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omaki-city\share\H-秘書政策課\課内専用\01 市政戦略係\201    総合計画\R4 まちづくり推進計画\1_市民意識調査_【R3実績（R4実施）】\7_HP\【確認済】HP掲載用データ\"/>
    </mc:Choice>
  </mc:AlternateContent>
  <workbookProtection workbookAlgorithmName="SHA-512" workbookHashValue="4wY6gAYRUgRSEb5/sfBPVIwWqq/r4ixVe9V2HVWVNBWIAcXfmhDqC12vN5AmsQ6CNWJTocyZk5zdy3I4b351GQ==" workbookSaltValue="Aa2VSizx7kVNnmuKsYpiSQ==" workbookSpinCount="100000" lockStructure="1"/>
  <bookViews>
    <workbookView xWindow="11430" yWindow="720" windowWidth="13515" windowHeight="14880" tabRatio="871" activeTab="2"/>
  </bookViews>
  <sheets>
    <sheet name="データについて" sheetId="3" r:id="rId1"/>
    <sheet name="【貼付用】児童・生徒アンケートlist" sheetId="11" state="hidden" r:id="rId2"/>
    <sheet name="単純集計" sheetId="4" r:id="rId3"/>
    <sheet name="★★クロス集計" sheetId="10" state="hidden" r:id="rId4"/>
  </sheets>
  <definedNames>
    <definedName name="_xlnm._FilterDatabase" localSheetId="1" hidden="1">【貼付用】児童・生徒アンケートlist!$A$4:$AD$2656</definedName>
    <definedName name="_xlnm.Print_Area" localSheetId="3">★★クロス集計!$A$2:$P$67</definedName>
    <definedName name="_xlnm.Print_Area" localSheetId="0">データについて!$A$1:$I$17</definedName>
    <definedName name="_xlnm.Print_Area" localSheetId="2">単純集計!$B$2:$I$67</definedName>
    <definedName name="_xlnm.Print_Titles" localSheetId="2">単純集計!$3:$5</definedName>
  </definedNames>
  <calcPr calcId="162913"/>
</workbook>
</file>

<file path=xl/calcChain.xml><?xml version="1.0" encoding="utf-8"?>
<calcChain xmlns="http://schemas.openxmlformats.org/spreadsheetml/2006/main">
  <c r="B14" i="3" l="1"/>
  <c r="B13" i="3"/>
  <c r="AD4" i="11"/>
  <c r="AC4" i="11"/>
  <c r="X5" i="11"/>
  <c r="AD5" i="11" s="1"/>
  <c r="Y5" i="11"/>
  <c r="Z5" i="11"/>
  <c r="AB39" i="11"/>
  <c r="W5" i="11"/>
  <c r="V5" i="11"/>
  <c r="U5" i="11"/>
  <c r="T5" i="11"/>
  <c r="S5" i="11"/>
  <c r="AA5" i="11"/>
  <c r="AC5" i="11" l="1"/>
  <c r="AA6" i="11"/>
  <c r="AA7" i="11"/>
  <c r="AA8" i="11"/>
  <c r="AA9" i="11"/>
  <c r="AA10" i="11"/>
  <c r="AA11" i="11"/>
  <c r="AA12" i="11"/>
  <c r="AA13" i="11"/>
  <c r="AA14" i="11"/>
  <c r="AA15" i="11"/>
  <c r="AA16" i="11"/>
  <c r="AA17" i="11"/>
  <c r="AA18" i="11"/>
  <c r="AA19" i="11"/>
  <c r="AA20" i="11"/>
  <c r="AA21" i="11"/>
  <c r="AA22" i="11"/>
  <c r="AA23" i="11"/>
  <c r="AA24" i="11"/>
  <c r="AA25" i="11"/>
  <c r="AA26" i="11"/>
  <c r="AA27" i="11"/>
  <c r="AA28" i="11"/>
  <c r="AA29" i="11"/>
  <c r="AA30" i="11"/>
  <c r="AA31" i="11"/>
  <c r="AA32" i="11"/>
  <c r="AA33" i="11"/>
  <c r="AA34" i="11"/>
  <c r="AA35" i="11"/>
  <c r="AA36" i="11"/>
  <c r="AA37" i="11"/>
  <c r="AA38" i="11"/>
  <c r="AA39" i="11"/>
  <c r="AA40" i="11"/>
  <c r="AA41" i="11"/>
  <c r="AA42" i="11"/>
  <c r="AA43" i="11"/>
  <c r="AA44" i="11"/>
  <c r="AA45" i="11"/>
  <c r="AA46" i="11"/>
  <c r="AA47" i="11"/>
  <c r="AA48" i="11"/>
  <c r="AA49" i="11"/>
  <c r="AA50" i="11"/>
  <c r="AA51" i="11"/>
  <c r="AA52" i="11"/>
  <c r="AA53" i="11"/>
  <c r="AA54" i="11"/>
  <c r="AA55" i="11"/>
  <c r="AA56" i="11"/>
  <c r="AA57" i="11"/>
  <c r="AA58" i="11"/>
  <c r="AA59" i="11"/>
  <c r="AA60" i="11"/>
  <c r="AA61" i="11"/>
  <c r="AA62" i="11"/>
  <c r="AA63" i="11"/>
  <c r="AA64" i="11"/>
  <c r="AA65" i="11"/>
  <c r="AA66" i="11"/>
  <c r="AA67" i="11"/>
  <c r="AA68" i="11"/>
  <c r="AA69" i="11"/>
  <c r="AA70" i="11"/>
  <c r="AA71" i="11"/>
  <c r="AA72" i="11"/>
  <c r="AA73" i="11"/>
  <c r="AA74" i="11"/>
  <c r="AA75" i="11"/>
  <c r="AA76" i="11"/>
  <c r="AA77" i="11"/>
  <c r="AA78" i="11"/>
  <c r="AA79" i="11"/>
  <c r="AA80" i="11"/>
  <c r="AA81" i="11"/>
  <c r="AA82" i="11"/>
  <c r="AA83" i="11"/>
  <c r="AA84" i="11"/>
  <c r="AA85" i="11"/>
  <c r="AA86" i="11"/>
  <c r="AA87" i="11"/>
  <c r="AA88" i="11"/>
  <c r="AA89" i="11"/>
  <c r="AA90" i="11"/>
  <c r="AA91" i="11"/>
  <c r="AA92" i="11"/>
  <c r="AA93" i="11"/>
  <c r="AA94" i="11"/>
  <c r="AA95" i="11"/>
  <c r="AA96" i="11"/>
  <c r="AA97" i="11"/>
  <c r="AA98" i="11"/>
  <c r="AA99" i="11"/>
  <c r="AA100" i="11"/>
  <c r="AA101" i="11"/>
  <c r="AA102" i="11"/>
  <c r="AA103" i="11"/>
  <c r="AA104" i="11"/>
  <c r="AA105" i="11"/>
  <c r="AA106" i="11"/>
  <c r="AA107" i="11"/>
  <c r="AA108" i="11"/>
  <c r="AA109" i="11"/>
  <c r="AA110" i="11"/>
  <c r="AA111" i="11"/>
  <c r="AA112" i="11"/>
  <c r="AA113" i="11"/>
  <c r="AA114" i="11"/>
  <c r="AA115" i="11"/>
  <c r="AA116" i="11"/>
  <c r="AA117" i="11"/>
  <c r="AA118" i="11"/>
  <c r="AA119" i="11"/>
  <c r="AA120" i="11"/>
  <c r="AA121" i="11"/>
  <c r="AA122" i="11"/>
  <c r="AA123" i="11"/>
  <c r="AA124" i="11"/>
  <c r="AA125" i="11"/>
  <c r="AA126" i="11"/>
  <c r="AA127" i="11"/>
  <c r="AA128" i="11"/>
  <c r="AA129" i="11"/>
  <c r="AA130" i="11"/>
  <c r="AA131" i="11"/>
  <c r="AA132" i="11"/>
  <c r="AA133" i="11"/>
  <c r="AA134" i="11"/>
  <c r="AA135" i="11"/>
  <c r="AA136" i="11"/>
  <c r="AA137" i="11"/>
  <c r="AA138" i="11"/>
  <c r="AA139" i="11"/>
  <c r="AA140" i="11"/>
  <c r="AA141" i="11"/>
  <c r="AA142" i="11"/>
  <c r="AA143" i="11"/>
  <c r="AA144" i="11"/>
  <c r="AA145" i="11"/>
  <c r="AA146" i="11"/>
  <c r="AA147" i="11"/>
  <c r="AA148" i="11"/>
  <c r="AA149" i="11"/>
  <c r="AA150" i="11"/>
  <c r="AA151" i="11"/>
  <c r="AA152" i="11"/>
  <c r="AA153" i="11"/>
  <c r="AA154" i="11"/>
  <c r="AA155" i="11"/>
  <c r="AA156" i="11"/>
  <c r="AA157" i="11"/>
  <c r="AA158" i="11"/>
  <c r="AA159" i="11"/>
  <c r="AA160" i="11"/>
  <c r="AA161" i="11"/>
  <c r="AA162" i="11"/>
  <c r="AA163" i="11"/>
  <c r="AA164" i="11"/>
  <c r="AA165" i="11"/>
  <c r="AA166" i="11"/>
  <c r="AA167" i="11"/>
  <c r="AA168" i="11"/>
  <c r="AA169" i="11"/>
  <c r="AA170" i="11"/>
  <c r="AA171" i="11"/>
  <c r="AA172" i="11"/>
  <c r="AA173" i="11"/>
  <c r="AA174" i="11"/>
  <c r="AA175" i="11"/>
  <c r="AA176" i="11"/>
  <c r="AA177" i="11"/>
  <c r="AA178" i="11"/>
  <c r="AA179" i="11"/>
  <c r="AA180" i="11"/>
  <c r="AA181" i="11"/>
  <c r="AA182" i="11"/>
  <c r="AA183" i="11"/>
  <c r="AA184" i="11"/>
  <c r="AA185" i="11"/>
  <c r="AA186" i="11"/>
  <c r="AA187" i="11"/>
  <c r="AA188" i="11"/>
  <c r="AA189" i="11"/>
  <c r="AA190" i="11"/>
  <c r="AA191" i="11"/>
  <c r="AA192" i="11"/>
  <c r="AA193" i="11"/>
  <c r="AA194" i="11"/>
  <c r="AA195" i="11"/>
  <c r="AA196" i="11"/>
  <c r="AA197" i="11"/>
  <c r="AA198" i="11"/>
  <c r="AA199" i="11"/>
  <c r="AA200" i="11"/>
  <c r="AA201" i="11"/>
  <c r="AA202" i="11"/>
  <c r="AA203" i="11"/>
  <c r="AA204" i="11"/>
  <c r="AA205" i="11"/>
  <c r="AA206" i="11"/>
  <c r="AA207" i="11"/>
  <c r="AA208" i="11"/>
  <c r="AA209" i="11"/>
  <c r="AA210" i="11"/>
  <c r="AA211" i="11"/>
  <c r="AA212" i="11"/>
  <c r="AA213" i="11"/>
  <c r="AA214" i="11"/>
  <c r="AA215" i="11"/>
  <c r="AA216" i="11"/>
  <c r="AA217" i="11"/>
  <c r="AA218" i="11"/>
  <c r="AA219" i="11"/>
  <c r="AA220" i="11"/>
  <c r="AA221" i="11"/>
  <c r="AA222" i="11"/>
  <c r="AA223" i="11"/>
  <c r="AA224" i="11"/>
  <c r="AA225" i="11"/>
  <c r="AA226" i="11"/>
  <c r="AA227" i="11"/>
  <c r="AA228" i="11"/>
  <c r="AA229" i="11"/>
  <c r="AA230" i="11"/>
  <c r="AA231" i="11"/>
  <c r="AA232" i="11"/>
  <c r="AA233" i="11"/>
  <c r="AA234" i="11"/>
  <c r="AA235" i="11"/>
  <c r="AA236" i="11"/>
  <c r="AA237" i="11"/>
  <c r="AA238" i="11"/>
  <c r="AA239" i="11"/>
  <c r="AA240" i="11"/>
  <c r="AA241" i="11"/>
  <c r="AA242" i="11"/>
  <c r="AA243" i="11"/>
  <c r="AA244" i="11"/>
  <c r="AA245" i="11"/>
  <c r="AA246" i="11"/>
  <c r="AA247" i="11"/>
  <c r="AA248" i="11"/>
  <c r="AA249" i="11"/>
  <c r="AA250" i="11"/>
  <c r="AA251" i="11"/>
  <c r="AA252" i="11"/>
  <c r="AA253" i="11"/>
  <c r="AA254" i="11"/>
  <c r="AA255" i="11"/>
  <c r="AA256" i="11"/>
  <c r="AA257" i="11"/>
  <c r="AA258" i="11"/>
  <c r="AA259" i="11"/>
  <c r="AA260" i="11"/>
  <c r="AA261" i="11"/>
  <c r="AA262" i="11"/>
  <c r="AA263" i="11"/>
  <c r="AA264" i="11"/>
  <c r="AA265" i="11"/>
  <c r="AA266" i="11"/>
  <c r="AA267" i="11"/>
  <c r="AA268" i="11"/>
  <c r="AA269" i="11"/>
  <c r="AA270" i="11"/>
  <c r="AA271" i="11"/>
  <c r="AA272" i="11"/>
  <c r="AA273" i="11"/>
  <c r="AA274" i="11"/>
  <c r="AA275" i="11"/>
  <c r="AA276" i="11"/>
  <c r="AA277" i="11"/>
  <c r="AA278" i="11"/>
  <c r="AA279" i="11"/>
  <c r="AA280" i="11"/>
  <c r="AA281" i="11"/>
  <c r="AA282" i="11"/>
  <c r="AA283" i="11"/>
  <c r="AA284" i="11"/>
  <c r="AA285" i="11"/>
  <c r="AA286" i="11"/>
  <c r="AA287" i="11"/>
  <c r="AA288" i="11"/>
  <c r="AA289" i="11"/>
  <c r="AA290" i="11"/>
  <c r="AA291" i="11"/>
  <c r="AA292" i="11"/>
  <c r="AA293" i="11"/>
  <c r="AA294" i="11"/>
  <c r="AA295" i="11"/>
  <c r="AA296" i="11"/>
  <c r="AA297" i="11"/>
  <c r="AA298" i="11"/>
  <c r="AA299" i="11"/>
  <c r="AA300" i="11"/>
  <c r="AA301" i="11"/>
  <c r="AA302" i="11"/>
  <c r="AA303" i="11"/>
  <c r="AA304" i="11"/>
  <c r="AA305" i="11"/>
  <c r="AA306" i="11"/>
  <c r="AA307" i="11"/>
  <c r="AA308" i="11"/>
  <c r="AA309" i="11"/>
  <c r="AA310" i="11"/>
  <c r="AA311" i="11"/>
  <c r="AA312" i="11"/>
  <c r="AA313" i="11"/>
  <c r="AA314" i="11"/>
  <c r="AA315" i="11"/>
  <c r="AA316" i="11"/>
  <c r="AA317" i="11"/>
  <c r="AA318" i="11"/>
  <c r="AA319" i="11"/>
  <c r="AA320" i="11"/>
  <c r="AA321" i="11"/>
  <c r="AA322" i="11"/>
  <c r="AA323" i="11"/>
  <c r="AA324" i="11"/>
  <c r="AA325" i="11"/>
  <c r="AA326" i="11"/>
  <c r="AA327" i="11"/>
  <c r="AA328" i="11"/>
  <c r="AA329" i="11"/>
  <c r="AA330" i="11"/>
  <c r="AA331" i="11"/>
  <c r="AA332" i="11"/>
  <c r="AA333" i="11"/>
  <c r="AA334" i="11"/>
  <c r="AA335" i="11"/>
  <c r="AA336" i="11"/>
  <c r="AA337" i="11"/>
  <c r="AA338" i="11"/>
  <c r="AA339" i="11"/>
  <c r="AA340" i="11"/>
  <c r="AA341" i="11"/>
  <c r="AA342" i="11"/>
  <c r="AA343" i="11"/>
  <c r="AA344" i="11"/>
  <c r="AA345" i="11"/>
  <c r="AA346" i="11"/>
  <c r="AA347" i="11"/>
  <c r="AA348" i="11"/>
  <c r="AA349" i="11"/>
  <c r="AA350" i="11"/>
  <c r="AA351" i="11"/>
  <c r="AA352" i="11"/>
  <c r="AA353" i="11"/>
  <c r="AA354" i="11"/>
  <c r="AA355" i="11"/>
  <c r="AA356" i="11"/>
  <c r="AA357" i="11"/>
  <c r="AA358" i="11"/>
  <c r="AA359" i="11"/>
  <c r="AA360" i="11"/>
  <c r="AA361" i="11"/>
  <c r="AA362" i="11"/>
  <c r="AA363" i="11"/>
  <c r="AA364" i="11"/>
  <c r="AA365" i="11"/>
  <c r="AA366" i="11"/>
  <c r="AA367" i="11"/>
  <c r="AA368" i="11"/>
  <c r="AA369" i="11"/>
  <c r="AA370" i="11"/>
  <c r="AA371" i="11"/>
  <c r="AA372" i="11"/>
  <c r="AA373" i="11"/>
  <c r="AA374" i="11"/>
  <c r="AA375" i="11"/>
  <c r="AA376" i="11"/>
  <c r="AA377" i="11"/>
  <c r="AA378" i="11"/>
  <c r="AA379" i="11"/>
  <c r="AA380" i="11"/>
  <c r="AA381" i="11"/>
  <c r="AA382" i="11"/>
  <c r="AA383" i="11"/>
  <c r="AA384" i="11"/>
  <c r="AA385" i="11"/>
  <c r="AA386" i="11"/>
  <c r="AA387" i="11"/>
  <c r="AA388" i="11"/>
  <c r="AA389" i="11"/>
  <c r="AA390" i="11"/>
  <c r="AA391" i="11"/>
  <c r="AA392" i="11"/>
  <c r="AA393" i="11"/>
  <c r="AA394" i="11"/>
  <c r="AA395" i="11"/>
  <c r="AA396" i="11"/>
  <c r="AA397" i="11"/>
  <c r="AA398" i="11"/>
  <c r="AA399" i="11"/>
  <c r="AA400" i="11"/>
  <c r="AA401" i="11"/>
  <c r="AA402" i="11"/>
  <c r="AA403" i="11"/>
  <c r="AA404" i="11"/>
  <c r="AA405" i="11"/>
  <c r="AA406" i="11"/>
  <c r="AA407" i="11"/>
  <c r="AA408" i="11"/>
  <c r="AA409" i="11"/>
  <c r="AA410" i="11"/>
  <c r="AA411" i="11"/>
  <c r="AA412" i="11"/>
  <c r="AA413" i="11"/>
  <c r="AA414" i="11"/>
  <c r="AA415" i="11"/>
  <c r="AA416" i="11"/>
  <c r="AA417" i="11"/>
  <c r="AA418" i="11"/>
  <c r="AA419" i="11"/>
  <c r="AA420" i="11"/>
  <c r="AA421" i="11"/>
  <c r="AA422" i="11"/>
  <c r="AA423" i="11"/>
  <c r="AA424" i="11"/>
  <c r="AA425" i="11"/>
  <c r="AA426" i="11"/>
  <c r="AA427" i="11"/>
  <c r="AA428" i="11"/>
  <c r="AA429" i="11"/>
  <c r="AA430" i="11"/>
  <c r="AA431" i="11"/>
  <c r="AA432" i="11"/>
  <c r="AA433" i="11"/>
  <c r="AA434" i="11"/>
  <c r="AA435" i="11"/>
  <c r="AA436" i="11"/>
  <c r="AA437" i="11"/>
  <c r="AA438" i="11"/>
  <c r="AA439" i="11"/>
  <c r="AA440" i="11"/>
  <c r="AA441" i="11"/>
  <c r="AA442" i="11"/>
  <c r="AA443" i="11"/>
  <c r="AA444" i="11"/>
  <c r="AA445" i="11"/>
  <c r="AA446" i="11"/>
  <c r="AA447" i="11"/>
  <c r="AA448" i="11"/>
  <c r="AA449" i="11"/>
  <c r="AA450" i="11"/>
  <c r="AA451" i="11"/>
  <c r="AA452" i="11"/>
  <c r="AA453" i="11"/>
  <c r="AA454" i="11"/>
  <c r="AA455" i="11"/>
  <c r="AA456" i="11"/>
  <c r="AA457" i="11"/>
  <c r="AA458" i="11"/>
  <c r="AA459" i="11"/>
  <c r="AA460" i="11"/>
  <c r="AA461" i="11"/>
  <c r="AA462" i="11"/>
  <c r="AA463" i="11"/>
  <c r="AA464" i="11"/>
  <c r="AA465" i="11"/>
  <c r="AA466" i="11"/>
  <c r="AA467" i="11"/>
  <c r="AA468" i="11"/>
  <c r="AA469" i="11"/>
  <c r="AA470" i="11"/>
  <c r="AA471" i="11"/>
  <c r="AA472" i="11"/>
  <c r="AA473" i="11"/>
  <c r="AA474" i="11"/>
  <c r="AA475" i="11"/>
  <c r="AA476" i="11"/>
  <c r="AA477" i="11"/>
  <c r="AA478" i="11"/>
  <c r="AA479" i="11"/>
  <c r="AA480" i="11"/>
  <c r="AA481" i="11"/>
  <c r="AA482" i="11"/>
  <c r="AA483" i="11"/>
  <c r="AA484" i="11"/>
  <c r="AA485" i="11"/>
  <c r="AA486" i="11"/>
  <c r="AA487" i="11"/>
  <c r="AA488" i="11"/>
  <c r="AA489" i="11"/>
  <c r="AA490" i="11"/>
  <c r="AA491" i="11"/>
  <c r="AA492" i="11"/>
  <c r="AA493" i="11"/>
  <c r="AA494" i="11"/>
  <c r="AA495" i="11"/>
  <c r="AA496" i="11"/>
  <c r="AA497" i="11"/>
  <c r="AA498" i="11"/>
  <c r="AA499" i="11"/>
  <c r="AA500" i="11"/>
  <c r="AA501" i="11"/>
  <c r="AA502" i="11"/>
  <c r="AA503" i="11"/>
  <c r="AA504" i="11"/>
  <c r="AA505" i="11"/>
  <c r="AA506" i="11"/>
  <c r="AA507" i="11"/>
  <c r="AA508" i="11"/>
  <c r="AA509" i="11"/>
  <c r="AA510" i="11"/>
  <c r="AA511" i="11"/>
  <c r="AA512" i="11"/>
  <c r="AA513" i="11"/>
  <c r="AA514" i="11"/>
  <c r="AA515" i="11"/>
  <c r="AA516" i="11"/>
  <c r="AA517" i="11"/>
  <c r="AA518" i="11"/>
  <c r="AA519" i="11"/>
  <c r="AA520" i="11"/>
  <c r="AA521" i="11"/>
  <c r="AA522" i="11"/>
  <c r="AA523" i="11"/>
  <c r="AA524" i="11"/>
  <c r="AA525" i="11"/>
  <c r="AA526" i="11"/>
  <c r="AA527" i="11"/>
  <c r="AA528" i="11"/>
  <c r="AA529" i="11"/>
  <c r="AA530" i="11"/>
  <c r="AA531" i="11"/>
  <c r="AA532" i="11"/>
  <c r="AA533" i="11"/>
  <c r="AA534" i="11"/>
  <c r="AA535" i="11"/>
  <c r="AA536" i="11"/>
  <c r="AA537" i="11"/>
  <c r="AA538" i="11"/>
  <c r="AA539" i="11"/>
  <c r="AA540" i="11"/>
  <c r="AA541" i="11"/>
  <c r="AA542" i="11"/>
  <c r="AA543" i="11"/>
  <c r="AA544" i="11"/>
  <c r="AA545" i="11"/>
  <c r="AA546" i="11"/>
  <c r="AA547" i="11"/>
  <c r="AA548" i="11"/>
  <c r="AA549" i="11"/>
  <c r="AA550" i="11"/>
  <c r="AA551" i="11"/>
  <c r="AA552" i="11"/>
  <c r="AA553" i="11"/>
  <c r="AA554" i="11"/>
  <c r="AA555" i="11"/>
  <c r="AA556" i="11"/>
  <c r="AA557" i="11"/>
  <c r="AA558" i="11"/>
  <c r="AA559" i="11"/>
  <c r="AA560" i="11"/>
  <c r="AA561" i="11"/>
  <c r="AA562" i="11"/>
  <c r="AA563" i="11"/>
  <c r="AA564" i="11"/>
  <c r="AA565" i="11"/>
  <c r="AA566" i="11"/>
  <c r="AA567" i="11"/>
  <c r="AA568" i="11"/>
  <c r="AA569" i="11"/>
  <c r="AA570" i="11"/>
  <c r="AA571" i="11"/>
  <c r="AA572" i="11"/>
  <c r="AA573" i="11"/>
  <c r="AA574" i="11"/>
  <c r="AA575" i="11"/>
  <c r="AA576" i="11"/>
  <c r="AA577" i="11"/>
  <c r="AA578" i="11"/>
  <c r="AA579" i="11"/>
  <c r="AA580" i="11"/>
  <c r="AA581" i="11"/>
  <c r="AA582" i="11"/>
  <c r="AA583" i="11"/>
  <c r="AA584" i="11"/>
  <c r="AA585" i="11"/>
  <c r="AA586" i="11"/>
  <c r="AA587" i="11"/>
  <c r="AA588" i="11"/>
  <c r="AA589" i="11"/>
  <c r="AA590" i="11"/>
  <c r="AA591" i="11"/>
  <c r="AA592" i="11"/>
  <c r="AA593" i="11"/>
  <c r="AA594" i="11"/>
  <c r="AA595" i="11"/>
  <c r="AA596" i="11"/>
  <c r="AA597" i="11"/>
  <c r="AA598" i="11"/>
  <c r="AA599" i="11"/>
  <c r="AA600" i="11"/>
  <c r="AA601" i="11"/>
  <c r="AA602" i="11"/>
  <c r="AA603" i="11"/>
  <c r="AA604" i="11"/>
  <c r="AA605" i="11"/>
  <c r="AA606" i="11"/>
  <c r="AA607" i="11"/>
  <c r="AA608" i="11"/>
  <c r="AA609" i="11"/>
  <c r="AA610" i="11"/>
  <c r="AA611" i="11"/>
  <c r="AA612" i="11"/>
  <c r="AA613" i="11"/>
  <c r="AA614" i="11"/>
  <c r="AA615" i="11"/>
  <c r="AA616" i="11"/>
  <c r="AA617" i="11"/>
  <c r="AA618" i="11"/>
  <c r="AA619" i="11"/>
  <c r="AA620" i="11"/>
  <c r="AA621" i="11"/>
  <c r="AA622" i="11"/>
  <c r="AA623" i="11"/>
  <c r="AA624" i="11"/>
  <c r="AA625" i="11"/>
  <c r="AA626" i="11"/>
  <c r="AA627" i="11"/>
  <c r="AA628" i="11"/>
  <c r="AA629" i="11"/>
  <c r="AA630" i="11"/>
  <c r="AA631" i="11"/>
  <c r="AA632" i="11"/>
  <c r="AA633" i="11"/>
  <c r="AA634" i="11"/>
  <c r="AA635" i="11"/>
  <c r="AA636" i="11"/>
  <c r="AA637" i="11"/>
  <c r="AA638" i="11"/>
  <c r="AA639" i="11"/>
  <c r="AA640" i="11"/>
  <c r="AA641" i="11"/>
  <c r="AA642" i="11"/>
  <c r="AA643" i="11"/>
  <c r="AA644" i="11"/>
  <c r="AA645" i="11"/>
  <c r="AA646" i="11"/>
  <c r="AA647" i="11"/>
  <c r="AA648" i="11"/>
  <c r="AA649" i="11"/>
  <c r="AA650" i="11"/>
  <c r="AA651" i="11"/>
  <c r="AA652" i="11"/>
  <c r="AA653" i="11"/>
  <c r="AA654" i="11"/>
  <c r="AA655" i="11"/>
  <c r="AA656" i="11"/>
  <c r="AA657" i="11"/>
  <c r="AA658" i="11"/>
  <c r="AA659" i="11"/>
  <c r="AA660" i="11"/>
  <c r="AA661" i="11"/>
  <c r="AA662" i="11"/>
  <c r="AA663" i="11"/>
  <c r="AA664" i="11"/>
  <c r="AA665" i="11"/>
  <c r="AA666" i="11"/>
  <c r="AA667" i="11"/>
  <c r="AA668" i="11"/>
  <c r="AA669" i="11"/>
  <c r="AA670" i="11"/>
  <c r="AA671" i="11"/>
  <c r="AA672" i="11"/>
  <c r="AA673" i="11"/>
  <c r="AA674" i="11"/>
  <c r="AA675" i="11"/>
  <c r="AA676" i="11"/>
  <c r="AA677" i="11"/>
  <c r="AA678" i="11"/>
  <c r="AA679" i="11"/>
  <c r="AA680" i="11"/>
  <c r="AA681" i="11"/>
  <c r="AA682" i="11"/>
  <c r="AA683" i="11"/>
  <c r="AA684" i="11"/>
  <c r="AA685" i="11"/>
  <c r="AA686" i="11"/>
  <c r="AA687" i="11"/>
  <c r="AA688" i="11"/>
  <c r="AA689" i="11"/>
  <c r="AA690" i="11"/>
  <c r="AA691" i="11"/>
  <c r="AA692" i="11"/>
  <c r="AA693" i="11"/>
  <c r="AA694" i="11"/>
  <c r="AA695" i="11"/>
  <c r="AA696" i="11"/>
  <c r="AA697" i="11"/>
  <c r="AA698" i="11"/>
  <c r="AA699" i="11"/>
  <c r="AA700" i="11"/>
  <c r="AA701" i="11"/>
  <c r="AA702" i="11"/>
  <c r="AA703" i="11"/>
  <c r="AA704" i="11"/>
  <c r="AA705" i="11"/>
  <c r="AA706" i="11"/>
  <c r="AA707" i="11"/>
  <c r="AA708" i="11"/>
  <c r="AA709" i="11"/>
  <c r="AA710" i="11"/>
  <c r="AA711" i="11"/>
  <c r="AA712" i="11"/>
  <c r="AA713" i="11"/>
  <c r="AA714" i="11"/>
  <c r="AA715" i="11"/>
  <c r="AA716" i="11"/>
  <c r="AA717" i="11"/>
  <c r="AA718" i="11"/>
  <c r="AA719" i="11"/>
  <c r="AA720" i="11"/>
  <c r="AA721" i="11"/>
  <c r="AA722" i="11"/>
  <c r="AA723" i="11"/>
  <c r="AA724" i="11"/>
  <c r="AA725" i="11"/>
  <c r="AA726" i="11"/>
  <c r="AA727" i="11"/>
  <c r="AA728" i="11"/>
  <c r="AA729" i="11"/>
  <c r="AA730" i="11"/>
  <c r="AA731" i="11"/>
  <c r="AA732" i="11"/>
  <c r="AA733" i="11"/>
  <c r="AA734" i="11"/>
  <c r="AA735" i="11"/>
  <c r="AA736" i="11"/>
  <c r="AA737" i="11"/>
  <c r="AA738" i="11"/>
  <c r="AA739" i="11"/>
  <c r="AA740" i="11"/>
  <c r="AA741" i="11"/>
  <c r="AA742" i="11"/>
  <c r="AA743" i="11"/>
  <c r="AA744" i="11"/>
  <c r="AA745" i="11"/>
  <c r="AA746" i="11"/>
  <c r="AA747" i="11"/>
  <c r="AA748" i="11"/>
  <c r="AA749" i="11"/>
  <c r="AA750" i="11"/>
  <c r="AA751" i="11"/>
  <c r="AA752" i="11"/>
  <c r="AA753" i="11"/>
  <c r="AA754" i="11"/>
  <c r="AA755" i="11"/>
  <c r="AA756" i="11"/>
  <c r="AA757" i="11"/>
  <c r="AA758" i="11"/>
  <c r="AA759" i="11"/>
  <c r="AA760" i="11"/>
  <c r="AA761" i="11"/>
  <c r="AA762" i="11"/>
  <c r="AA763" i="11"/>
  <c r="AA764" i="11"/>
  <c r="AA765" i="11"/>
  <c r="AA766" i="11"/>
  <c r="AA767" i="11"/>
  <c r="AA768" i="11"/>
  <c r="AA769" i="11"/>
  <c r="AA770" i="11"/>
  <c r="AA771" i="11"/>
  <c r="AA772" i="11"/>
  <c r="AA773" i="11"/>
  <c r="AA774" i="11"/>
  <c r="AA775" i="11"/>
  <c r="AA776" i="11"/>
  <c r="AA777" i="11"/>
  <c r="AA778" i="11"/>
  <c r="AA779" i="11"/>
  <c r="AA780" i="11"/>
  <c r="AA781" i="11"/>
  <c r="AA782" i="11"/>
  <c r="AA783" i="11"/>
  <c r="AA784" i="11"/>
  <c r="AA785" i="11"/>
  <c r="AA786" i="11"/>
  <c r="AA787" i="11"/>
  <c r="AA788" i="11"/>
  <c r="AA789" i="11"/>
  <c r="AA790" i="11"/>
  <c r="AA791" i="11"/>
  <c r="AA792" i="11"/>
  <c r="AA793" i="11"/>
  <c r="AA794" i="11"/>
  <c r="AA795" i="11"/>
  <c r="AA796" i="11"/>
  <c r="AA797" i="11"/>
  <c r="AA798" i="11"/>
  <c r="AA799" i="11"/>
  <c r="AA800" i="11"/>
  <c r="AA801" i="11"/>
  <c r="AA802" i="11"/>
  <c r="AA803" i="11"/>
  <c r="AA804" i="11"/>
  <c r="AA805" i="11"/>
  <c r="AA806" i="11"/>
  <c r="AA807" i="11"/>
  <c r="AA808" i="11"/>
  <c r="AA809" i="11"/>
  <c r="AA810" i="11"/>
  <c r="AA811" i="11"/>
  <c r="AA812" i="11"/>
  <c r="AA813" i="11"/>
  <c r="AA814" i="11"/>
  <c r="AA815" i="11"/>
  <c r="AA816" i="11"/>
  <c r="AA817" i="11"/>
  <c r="AA818" i="11"/>
  <c r="AA819" i="11"/>
  <c r="AA820" i="11"/>
  <c r="AA821" i="11"/>
  <c r="AA822" i="11"/>
  <c r="AA823" i="11"/>
  <c r="AA824" i="11"/>
  <c r="AA825" i="11"/>
  <c r="AA826" i="11"/>
  <c r="AA827" i="11"/>
  <c r="AA828" i="11"/>
  <c r="AA829" i="11"/>
  <c r="AA830" i="11"/>
  <c r="AA831" i="11"/>
  <c r="AA832" i="11"/>
  <c r="AA833" i="11"/>
  <c r="AA834" i="11"/>
  <c r="AA835" i="11"/>
  <c r="AA836" i="11"/>
  <c r="AA837" i="11"/>
  <c r="AA838" i="11"/>
  <c r="AA839" i="11"/>
  <c r="AA840" i="11"/>
  <c r="AA841" i="11"/>
  <c r="AA842" i="11"/>
  <c r="AA843" i="11"/>
  <c r="AA844" i="11"/>
  <c r="AA845" i="11"/>
  <c r="AA846" i="11"/>
  <c r="AA847" i="11"/>
  <c r="AA848" i="11"/>
  <c r="AA849" i="11"/>
  <c r="AA850" i="11"/>
  <c r="AA851" i="11"/>
  <c r="AA852" i="11"/>
  <c r="AA853" i="11"/>
  <c r="AA854" i="11"/>
  <c r="AA855" i="11"/>
  <c r="AA856" i="11"/>
  <c r="AA857" i="11"/>
  <c r="AA858" i="11"/>
  <c r="AA859" i="11"/>
  <c r="AA860" i="11"/>
  <c r="AA861" i="11"/>
  <c r="AA862" i="11"/>
  <c r="AA863" i="11"/>
  <c r="AA864" i="11"/>
  <c r="AA865" i="11"/>
  <c r="AA866" i="11"/>
  <c r="AA867" i="11"/>
  <c r="AA868" i="11"/>
  <c r="AA869" i="11"/>
  <c r="AA870" i="11"/>
  <c r="AA871" i="11"/>
  <c r="AA872" i="11"/>
  <c r="AA873" i="11"/>
  <c r="AA874" i="11"/>
  <c r="AA875" i="11"/>
  <c r="AA876" i="11"/>
  <c r="AA877" i="11"/>
  <c r="AA878" i="11"/>
  <c r="AA879" i="11"/>
  <c r="AA880" i="11"/>
  <c r="AA881" i="11"/>
  <c r="AA882" i="11"/>
  <c r="AA883" i="11"/>
  <c r="AA884" i="11"/>
  <c r="AA885" i="11"/>
  <c r="AA886" i="11"/>
  <c r="AA887" i="11"/>
  <c r="AA888" i="11"/>
  <c r="AA889" i="11"/>
  <c r="AA890" i="11"/>
  <c r="AA891" i="11"/>
  <c r="AA892" i="11"/>
  <c r="AA893" i="11"/>
  <c r="AA894" i="11"/>
  <c r="AA895" i="11"/>
  <c r="AA896" i="11"/>
  <c r="AA897" i="11"/>
  <c r="AA898" i="11"/>
  <c r="AA899" i="11"/>
  <c r="AA900" i="11"/>
  <c r="AA901" i="11"/>
  <c r="AA902" i="11"/>
  <c r="AA903" i="11"/>
  <c r="AA904" i="11"/>
  <c r="AA905" i="11"/>
  <c r="AA906" i="11"/>
  <c r="AA907" i="11"/>
  <c r="AA908" i="11"/>
  <c r="AA909" i="11"/>
  <c r="AA910" i="11"/>
  <c r="AA911" i="11"/>
  <c r="AA912" i="11"/>
  <c r="AA913" i="11"/>
  <c r="AA914" i="11"/>
  <c r="AA915" i="11"/>
  <c r="AA916" i="11"/>
  <c r="AA917" i="11"/>
  <c r="AA918" i="11"/>
  <c r="AA919" i="11"/>
  <c r="AA920" i="11"/>
  <c r="AA921" i="11"/>
  <c r="AA922" i="11"/>
  <c r="AA923" i="11"/>
  <c r="AA924" i="11"/>
  <c r="AA925" i="11"/>
  <c r="AA926" i="11"/>
  <c r="AA927" i="11"/>
  <c r="AA928" i="11"/>
  <c r="AA929" i="11"/>
  <c r="AA930" i="11"/>
  <c r="AA931" i="11"/>
  <c r="AA932" i="11"/>
  <c r="AA933" i="11"/>
  <c r="AA934" i="11"/>
  <c r="AA935" i="11"/>
  <c r="AA936" i="11"/>
  <c r="AA937" i="11"/>
  <c r="AA938" i="11"/>
  <c r="AA939" i="11"/>
  <c r="AA940" i="11"/>
  <c r="AA941" i="11"/>
  <c r="AA942" i="11"/>
  <c r="AA943" i="11"/>
  <c r="AA944" i="11"/>
  <c r="AA945" i="11"/>
  <c r="AA946" i="11"/>
  <c r="AA947" i="11"/>
  <c r="AA948" i="11"/>
  <c r="AA949" i="11"/>
  <c r="AA950" i="11"/>
  <c r="AA951" i="11"/>
  <c r="AA952" i="11"/>
  <c r="AA953" i="11"/>
  <c r="AA954" i="11"/>
  <c r="AA955" i="11"/>
  <c r="AA956" i="11"/>
  <c r="AA957" i="11"/>
  <c r="AA958" i="11"/>
  <c r="AA959" i="11"/>
  <c r="AA960" i="11"/>
  <c r="AA961" i="11"/>
  <c r="AA962" i="11"/>
  <c r="AA963" i="11"/>
  <c r="AA964" i="11"/>
  <c r="AA965" i="11"/>
  <c r="AA966" i="11"/>
  <c r="AA967" i="11"/>
  <c r="AA968" i="11"/>
  <c r="AA969" i="11"/>
  <c r="AA970" i="11"/>
  <c r="AA971" i="11"/>
  <c r="AA972" i="11"/>
  <c r="AA973" i="11"/>
  <c r="AA974" i="11"/>
  <c r="AA975" i="11"/>
  <c r="AA976" i="11"/>
  <c r="AA977" i="11"/>
  <c r="AA978" i="11"/>
  <c r="AA979" i="11"/>
  <c r="AA980" i="11"/>
  <c r="AA981" i="11"/>
  <c r="AA982" i="11"/>
  <c r="AA983" i="11"/>
  <c r="AA984" i="11"/>
  <c r="AA985" i="11"/>
  <c r="AA986" i="11"/>
  <c r="AA987" i="11"/>
  <c r="AA988" i="11"/>
  <c r="AA989" i="11"/>
  <c r="AA990" i="11"/>
  <c r="AA991" i="11"/>
  <c r="AA992" i="11"/>
  <c r="AA993" i="11"/>
  <c r="AA994" i="11"/>
  <c r="AA995" i="11"/>
  <c r="AA996" i="11"/>
  <c r="AA997" i="11"/>
  <c r="AA998" i="11"/>
  <c r="AA999" i="11"/>
  <c r="AA1000" i="11"/>
  <c r="AA1001" i="11"/>
  <c r="AA1002" i="11"/>
  <c r="AA1003" i="11"/>
  <c r="AA1004" i="11"/>
  <c r="AA1005" i="11"/>
  <c r="AA1006" i="11"/>
  <c r="AA1007" i="11"/>
  <c r="AA1008" i="11"/>
  <c r="AA1009" i="11"/>
  <c r="AA1010" i="11"/>
  <c r="AA1011" i="11"/>
  <c r="AA1012" i="11"/>
  <c r="AA1013" i="11"/>
  <c r="AA1014" i="11"/>
  <c r="AA1015" i="11"/>
  <c r="AA1016" i="11"/>
  <c r="AA1017" i="11"/>
  <c r="AA1018" i="11"/>
  <c r="AA1019" i="11"/>
  <c r="AA1020" i="11"/>
  <c r="AA1021" i="11"/>
  <c r="AA1022" i="11"/>
  <c r="AA1023" i="11"/>
  <c r="AA1024" i="11"/>
  <c r="AA1025" i="11"/>
  <c r="AA1026" i="11"/>
  <c r="AA1027" i="11"/>
  <c r="AA1028" i="11"/>
  <c r="AA1029" i="11"/>
  <c r="AA1030" i="11"/>
  <c r="AA1031" i="11"/>
  <c r="AA1032" i="11"/>
  <c r="AA1033" i="11"/>
  <c r="AA1034" i="11"/>
  <c r="AA1035" i="11"/>
  <c r="AA1036" i="11"/>
  <c r="AA1037" i="11"/>
  <c r="AA1038" i="11"/>
  <c r="AA1039" i="11"/>
  <c r="AA1040" i="11"/>
  <c r="AA1041" i="11"/>
  <c r="AA1042" i="11"/>
  <c r="AA1043" i="11"/>
  <c r="AA1044" i="11"/>
  <c r="AA1045" i="11"/>
  <c r="AA1046" i="11"/>
  <c r="AA1047" i="11"/>
  <c r="AA1048" i="11"/>
  <c r="AA1049" i="11"/>
  <c r="AA1050" i="11"/>
  <c r="AA1051" i="11"/>
  <c r="AA1052" i="11"/>
  <c r="AA1053" i="11"/>
  <c r="AA1054" i="11"/>
  <c r="AA1055" i="11"/>
  <c r="AA1056" i="11"/>
  <c r="AA1057" i="11"/>
  <c r="AA1058" i="11"/>
  <c r="AA1059" i="11"/>
  <c r="AA1060" i="11"/>
  <c r="AA1061" i="11"/>
  <c r="AA1062" i="11"/>
  <c r="AA1063" i="11"/>
  <c r="AA1064" i="11"/>
  <c r="AA1065" i="11"/>
  <c r="AA1066" i="11"/>
  <c r="AA1067" i="11"/>
  <c r="AA1068" i="11"/>
  <c r="AA1069" i="11"/>
  <c r="AA1070" i="11"/>
  <c r="AA1071" i="11"/>
  <c r="AA1072" i="11"/>
  <c r="AA1073" i="11"/>
  <c r="AA1074" i="11"/>
  <c r="AA1075" i="11"/>
  <c r="AA1076" i="11"/>
  <c r="AA1077" i="11"/>
  <c r="AA1078" i="11"/>
  <c r="AA1079" i="11"/>
  <c r="AA1080" i="11"/>
  <c r="AA1081" i="11"/>
  <c r="AA1082" i="11"/>
  <c r="AA1083" i="11"/>
  <c r="AA1084" i="11"/>
  <c r="AA1085" i="11"/>
  <c r="AA1086" i="11"/>
  <c r="AA1087" i="11"/>
  <c r="AA1088" i="11"/>
  <c r="AA1089" i="11"/>
  <c r="AA1090" i="11"/>
  <c r="AA1091" i="11"/>
  <c r="AA1092" i="11"/>
  <c r="AA1093" i="11"/>
  <c r="AA1094" i="11"/>
  <c r="AA1095" i="11"/>
  <c r="AA1096" i="11"/>
  <c r="AA1097" i="11"/>
  <c r="AA1098" i="11"/>
  <c r="AA1099" i="11"/>
  <c r="AA1100" i="11"/>
  <c r="AA1101" i="11"/>
  <c r="AA1102" i="11"/>
  <c r="AA1103" i="11"/>
  <c r="AA1104" i="11"/>
  <c r="AA1105" i="11"/>
  <c r="AA1106" i="11"/>
  <c r="AA1107" i="11"/>
  <c r="AA1108" i="11"/>
  <c r="AA1109" i="11"/>
  <c r="AA1110" i="11"/>
  <c r="AA1111" i="11"/>
  <c r="AA1112" i="11"/>
  <c r="AA1113" i="11"/>
  <c r="AA1114" i="11"/>
  <c r="AA1115" i="11"/>
  <c r="AA1116" i="11"/>
  <c r="AA1117" i="11"/>
  <c r="AA1118" i="11"/>
  <c r="AA1119" i="11"/>
  <c r="AA1120" i="11"/>
  <c r="AA1121" i="11"/>
  <c r="AA1122" i="11"/>
  <c r="AA1123" i="11"/>
  <c r="AA1124" i="11"/>
  <c r="AA1125" i="11"/>
  <c r="AA1126" i="11"/>
  <c r="AA1127" i="11"/>
  <c r="AA1128" i="11"/>
  <c r="AA1129" i="11"/>
  <c r="AA1130" i="11"/>
  <c r="AA1131" i="11"/>
  <c r="AA1132" i="11"/>
  <c r="AA1133" i="11"/>
  <c r="AA1134" i="11"/>
  <c r="AA1135" i="11"/>
  <c r="AA1136" i="11"/>
  <c r="AA1137" i="11"/>
  <c r="AA1138" i="11"/>
  <c r="AA1139" i="11"/>
  <c r="AA1140" i="11"/>
  <c r="AA1141" i="11"/>
  <c r="AA1142" i="11"/>
  <c r="AA1143" i="11"/>
  <c r="AA1144" i="11"/>
  <c r="AA1145" i="11"/>
  <c r="AA1146" i="11"/>
  <c r="AA1147" i="11"/>
  <c r="AA1148" i="11"/>
  <c r="AA1149" i="11"/>
  <c r="AA1150" i="11"/>
  <c r="AA1151" i="11"/>
  <c r="AA1152" i="11"/>
  <c r="AA1153" i="11"/>
  <c r="AA1154" i="11"/>
  <c r="AA1155" i="11"/>
  <c r="AA1156" i="11"/>
  <c r="AA1157" i="11"/>
  <c r="AA1158" i="11"/>
  <c r="AA1159" i="11"/>
  <c r="AA1160" i="11"/>
  <c r="AA1161" i="11"/>
  <c r="AA1162" i="11"/>
  <c r="AA1163" i="11"/>
  <c r="AA1164" i="11"/>
  <c r="AA1165" i="11"/>
  <c r="AA1166" i="11"/>
  <c r="AA1167" i="11"/>
  <c r="AA1168" i="11"/>
  <c r="AA1169" i="11"/>
  <c r="AA1170" i="11"/>
  <c r="AA1171" i="11"/>
  <c r="AA1172" i="11"/>
  <c r="AA1173" i="11"/>
  <c r="AA1174" i="11"/>
  <c r="AA1175" i="11"/>
  <c r="AA1176" i="11"/>
  <c r="AA1177" i="11"/>
  <c r="AA1178" i="11"/>
  <c r="AA1179" i="11"/>
  <c r="AA1180" i="11"/>
  <c r="AA1181" i="11"/>
  <c r="AA1182" i="11"/>
  <c r="AA1183" i="11"/>
  <c r="AA1184" i="11"/>
  <c r="AA1185" i="11"/>
  <c r="AA1186" i="11"/>
  <c r="AA1187" i="11"/>
  <c r="AA1188" i="11"/>
  <c r="AA1189" i="11"/>
  <c r="AA1190" i="11"/>
  <c r="AA1191" i="11"/>
  <c r="AA1192" i="11"/>
  <c r="AA1193" i="11"/>
  <c r="AA1194" i="11"/>
  <c r="AA1195" i="11"/>
  <c r="AA1196" i="11"/>
  <c r="AA1197" i="11"/>
  <c r="AA1198" i="11"/>
  <c r="AA1199" i="11"/>
  <c r="AA1200" i="11"/>
  <c r="AA1201" i="11"/>
  <c r="AA1202" i="11"/>
  <c r="AA1203" i="11"/>
  <c r="AA1204" i="11"/>
  <c r="AA1205" i="11"/>
  <c r="AA1206" i="11"/>
  <c r="AA1207" i="11"/>
  <c r="AA1208" i="11"/>
  <c r="AA1209" i="11"/>
  <c r="AA1210" i="11"/>
  <c r="AA1211" i="11"/>
  <c r="AA1212" i="11"/>
  <c r="AA1213" i="11"/>
  <c r="AA1214" i="11"/>
  <c r="AA1215" i="11"/>
  <c r="AA1216" i="11"/>
  <c r="AA1217" i="11"/>
  <c r="AA1218" i="11"/>
  <c r="AA1219" i="11"/>
  <c r="AA1220" i="11"/>
  <c r="AA1221" i="11"/>
  <c r="AA1222" i="11"/>
  <c r="AA1223" i="11"/>
  <c r="AA1224" i="11"/>
  <c r="AA1225" i="11"/>
  <c r="AA1226" i="11"/>
  <c r="AA1227" i="11"/>
  <c r="AA1228" i="11"/>
  <c r="AA1229" i="11"/>
  <c r="AA1230" i="11"/>
  <c r="AA1231" i="11"/>
  <c r="AA1232" i="11"/>
  <c r="AA1233" i="11"/>
  <c r="AA1234" i="11"/>
  <c r="AA1235" i="11"/>
  <c r="AA1236" i="11"/>
  <c r="AA1237" i="11"/>
  <c r="AA1238" i="11"/>
  <c r="AA1239" i="11"/>
  <c r="AA1240" i="11"/>
  <c r="AA1241" i="11"/>
  <c r="AA1242" i="11"/>
  <c r="AA1243" i="11"/>
  <c r="AA1244" i="11"/>
  <c r="AA1245" i="11"/>
  <c r="AA1246" i="11"/>
  <c r="AA1247" i="11"/>
  <c r="AA1248" i="11"/>
  <c r="AA1249" i="11"/>
  <c r="AA1250" i="11"/>
  <c r="AA1251" i="11"/>
  <c r="AA1252" i="11"/>
  <c r="AA1253" i="11"/>
  <c r="AA1254" i="11"/>
  <c r="AA1255" i="11"/>
  <c r="AA1256" i="11"/>
  <c r="AA1257" i="11"/>
  <c r="AA1258" i="11"/>
  <c r="AA1259" i="11"/>
  <c r="AA1260" i="11"/>
  <c r="AA1261" i="11"/>
  <c r="AA1262" i="11"/>
  <c r="AA1263" i="11"/>
  <c r="AA1264" i="11"/>
  <c r="AA1265" i="11"/>
  <c r="AA1266" i="11"/>
  <c r="AA1267" i="11"/>
  <c r="AA1268" i="11"/>
  <c r="AA1269" i="11"/>
  <c r="AA1270" i="11"/>
  <c r="AA1271" i="11"/>
  <c r="AA1272" i="11"/>
  <c r="AA1273" i="11"/>
  <c r="AA1274" i="11"/>
  <c r="AA1275" i="11"/>
  <c r="AA1276" i="11"/>
  <c r="AA1277" i="11"/>
  <c r="AA1278" i="11"/>
  <c r="AA1279" i="11"/>
  <c r="AA1280" i="11"/>
  <c r="AA1281" i="11"/>
  <c r="AA1282" i="11"/>
  <c r="AA1283" i="11"/>
  <c r="AA1284" i="11"/>
  <c r="AA1285" i="11"/>
  <c r="AA1286" i="11"/>
  <c r="AA1287" i="11"/>
  <c r="AA1288" i="11"/>
  <c r="AA1289" i="11"/>
  <c r="AA1290" i="11"/>
  <c r="AA1291" i="11"/>
  <c r="AA1292" i="11"/>
  <c r="AA1293" i="11"/>
  <c r="AA1294" i="11"/>
  <c r="AA1295" i="11"/>
  <c r="AA1296" i="11"/>
  <c r="AA1297" i="11"/>
  <c r="AA1298" i="11"/>
  <c r="AA1299" i="11"/>
  <c r="AA1300" i="11"/>
  <c r="AA1301" i="11"/>
  <c r="AA1302" i="11"/>
  <c r="AA1303" i="11"/>
  <c r="AA1304" i="11"/>
  <c r="AA1305" i="11"/>
  <c r="AA1306" i="11"/>
  <c r="AA1307" i="11"/>
  <c r="AA1308" i="11"/>
  <c r="AA1309" i="11"/>
  <c r="AA1310" i="11"/>
  <c r="AA1311" i="11"/>
  <c r="AA1312" i="11"/>
  <c r="AA1313" i="11"/>
  <c r="AA1314" i="11"/>
  <c r="AA1315" i="11"/>
  <c r="AA1316" i="11"/>
  <c r="AA1317" i="11"/>
  <c r="AA1318" i="11"/>
  <c r="AA1319" i="11"/>
  <c r="AA1320" i="11"/>
  <c r="AA1321" i="11"/>
  <c r="AA1322" i="11"/>
  <c r="AA1323" i="11"/>
  <c r="AA1324" i="11"/>
  <c r="AA1325" i="11"/>
  <c r="AA1326" i="11"/>
  <c r="AA1327" i="11"/>
  <c r="AA1328" i="11"/>
  <c r="AA1329" i="11"/>
  <c r="AA1330" i="11"/>
  <c r="AA1331" i="11"/>
  <c r="AA1332" i="11"/>
  <c r="AA1333" i="11"/>
  <c r="AA1334" i="11"/>
  <c r="AA1335" i="11"/>
  <c r="AA1336" i="11"/>
  <c r="AA1337" i="11"/>
  <c r="AA1338" i="11"/>
  <c r="AA1339" i="11"/>
  <c r="AA1340" i="11"/>
  <c r="AA1341" i="11"/>
  <c r="AA1342" i="11"/>
  <c r="AA1343" i="11"/>
  <c r="AA1344" i="11"/>
  <c r="AA1345" i="11"/>
  <c r="AA1346" i="11"/>
  <c r="AA1347" i="11"/>
  <c r="AA1348" i="11"/>
  <c r="AA1349" i="11"/>
  <c r="AA1350" i="11"/>
  <c r="AA1351" i="11"/>
  <c r="AA1352" i="11"/>
  <c r="AA1353" i="11"/>
  <c r="AA1354" i="11"/>
  <c r="AA1355" i="11"/>
  <c r="AA1356" i="11"/>
  <c r="AA1357" i="11"/>
  <c r="AA1358" i="11"/>
  <c r="AA1359" i="11"/>
  <c r="AA1360" i="11"/>
  <c r="AA1361" i="11"/>
  <c r="AA1362" i="11"/>
  <c r="AA1363" i="11"/>
  <c r="AA1364" i="11"/>
  <c r="AA1365" i="11"/>
  <c r="AA1366" i="11"/>
  <c r="AA1367" i="11"/>
  <c r="AA1368" i="11"/>
  <c r="AA1369" i="11"/>
  <c r="AA1370" i="11"/>
  <c r="AA1371" i="11"/>
  <c r="AA1372" i="11"/>
  <c r="AA1373" i="11"/>
  <c r="AA1374" i="11"/>
  <c r="AA1375" i="11"/>
  <c r="AA1376" i="11"/>
  <c r="AA1377" i="11"/>
  <c r="AA1378" i="11"/>
  <c r="AA1379" i="11"/>
  <c r="AA1380" i="11"/>
  <c r="AA1381" i="11"/>
  <c r="AA1382" i="11"/>
  <c r="AA1383" i="11"/>
  <c r="AA1384" i="11"/>
  <c r="AA1385" i="11"/>
  <c r="AA1386" i="11"/>
  <c r="AA1387" i="11"/>
  <c r="AA1388" i="11"/>
  <c r="AA1389" i="11"/>
  <c r="AA1390" i="11"/>
  <c r="AA1391" i="11"/>
  <c r="AA1392" i="11"/>
  <c r="AA1393" i="11"/>
  <c r="AA1394" i="11"/>
  <c r="AA1395" i="11"/>
  <c r="AA1396" i="11"/>
  <c r="AA1397" i="11"/>
  <c r="AA1398" i="11"/>
  <c r="AA1399" i="11"/>
  <c r="AA1400" i="11"/>
  <c r="AA1401" i="11"/>
  <c r="AA1402" i="11"/>
  <c r="AA1403" i="11"/>
  <c r="AA1404" i="11"/>
  <c r="AA1405" i="11"/>
  <c r="AA1406" i="11"/>
  <c r="AA1407" i="11"/>
  <c r="AA1408" i="11"/>
  <c r="AA1409" i="11"/>
  <c r="AA1410" i="11"/>
  <c r="AA1411" i="11"/>
  <c r="AA1412" i="11"/>
  <c r="AA1413" i="11"/>
  <c r="AA1414" i="11"/>
  <c r="AA1415" i="11"/>
  <c r="AA1416" i="11"/>
  <c r="AA1417" i="11"/>
  <c r="AA1418" i="11"/>
  <c r="AA1419" i="11"/>
  <c r="AA1420" i="11"/>
  <c r="AA1421" i="11"/>
  <c r="AA1422" i="11"/>
  <c r="AA1423" i="11"/>
  <c r="AA1424" i="11"/>
  <c r="AA1425" i="11"/>
  <c r="AA1426" i="11"/>
  <c r="AA1427" i="11"/>
  <c r="AA1428" i="11"/>
  <c r="AA1429" i="11"/>
  <c r="AA1430" i="11"/>
  <c r="AA1431" i="11"/>
  <c r="AA1432" i="11"/>
  <c r="AA1433" i="11"/>
  <c r="AA1434" i="11"/>
  <c r="AA1435" i="11"/>
  <c r="AA1436" i="11"/>
  <c r="AA1437" i="11"/>
  <c r="AA1438" i="11"/>
  <c r="AA1439" i="11"/>
  <c r="AA1440" i="11"/>
  <c r="AA1441" i="11"/>
  <c r="AA1442" i="11"/>
  <c r="AA1443" i="11"/>
  <c r="AA1444" i="11"/>
  <c r="AA1445" i="11"/>
  <c r="AA1446" i="11"/>
  <c r="AA1447" i="11"/>
  <c r="AA1448" i="11"/>
  <c r="AA1449" i="11"/>
  <c r="AA1450" i="11"/>
  <c r="AA1451" i="11"/>
  <c r="AA1452" i="11"/>
  <c r="AA1453" i="11"/>
  <c r="AA1454" i="11"/>
  <c r="AA1455" i="11"/>
  <c r="AA1456" i="11"/>
  <c r="AA1457" i="11"/>
  <c r="AA1458" i="11"/>
  <c r="AA1459" i="11"/>
  <c r="AA1460" i="11"/>
  <c r="AA1461" i="11"/>
  <c r="AA1462" i="11"/>
  <c r="AA1463" i="11"/>
  <c r="AA1464" i="11"/>
  <c r="AA1465" i="11"/>
  <c r="AA1466" i="11"/>
  <c r="AA1467" i="11"/>
  <c r="AA1468" i="11"/>
  <c r="AA1469" i="11"/>
  <c r="AA1470" i="11"/>
  <c r="AA1471" i="11"/>
  <c r="AA1472" i="11"/>
  <c r="AA1473" i="11"/>
  <c r="AA1474" i="11"/>
  <c r="AA1475" i="11"/>
  <c r="AA1476" i="11"/>
  <c r="AA1477" i="11"/>
  <c r="AA1478" i="11"/>
  <c r="AA1479" i="11"/>
  <c r="AA1480" i="11"/>
  <c r="AA1481" i="11"/>
  <c r="AA1482" i="11"/>
  <c r="AA1483" i="11"/>
  <c r="AA1484" i="11"/>
  <c r="AA1485" i="11"/>
  <c r="AA1486" i="11"/>
  <c r="AA1487" i="11"/>
  <c r="AA1488" i="11"/>
  <c r="AA1489" i="11"/>
  <c r="AA1490" i="11"/>
  <c r="AA1491" i="11"/>
  <c r="AA1492" i="11"/>
  <c r="AA1493" i="11"/>
  <c r="AA1494" i="11"/>
  <c r="AA1495" i="11"/>
  <c r="AA1496" i="11"/>
  <c r="AA1497" i="11"/>
  <c r="AA1498" i="11"/>
  <c r="AA1499" i="11"/>
  <c r="AA1500" i="11"/>
  <c r="AA1501" i="11"/>
  <c r="AA1502" i="11"/>
  <c r="AA1503" i="11"/>
  <c r="AA1504" i="11"/>
  <c r="AA1505" i="11"/>
  <c r="AA1506" i="11"/>
  <c r="AA1507" i="11"/>
  <c r="AA1508" i="11"/>
  <c r="AA1509" i="11"/>
  <c r="AA1510" i="11"/>
  <c r="AA1511" i="11"/>
  <c r="AA1512" i="11"/>
  <c r="AA1513" i="11"/>
  <c r="AA1514" i="11"/>
  <c r="AA1515" i="11"/>
  <c r="AA1516" i="11"/>
  <c r="AA1517" i="11"/>
  <c r="AA1518" i="11"/>
  <c r="AA1519" i="11"/>
  <c r="AA1520" i="11"/>
  <c r="AA1521" i="11"/>
  <c r="AA1522" i="11"/>
  <c r="AA1523" i="11"/>
  <c r="AA1524" i="11"/>
  <c r="AA1525" i="11"/>
  <c r="AA1526" i="11"/>
  <c r="AA1527" i="11"/>
  <c r="AA1528" i="11"/>
  <c r="AA1529" i="11"/>
  <c r="AA1530" i="11"/>
  <c r="AA1531" i="11"/>
  <c r="AA1532" i="11"/>
  <c r="AA1533" i="11"/>
  <c r="AA1534" i="11"/>
  <c r="AA1535" i="11"/>
  <c r="AA1536" i="11"/>
  <c r="AA1537" i="11"/>
  <c r="AA1538" i="11"/>
  <c r="AA1539" i="11"/>
  <c r="AA1540" i="11"/>
  <c r="AA1541" i="11"/>
  <c r="AA1542" i="11"/>
  <c r="AA1543" i="11"/>
  <c r="AA1544" i="11"/>
  <c r="AA1545" i="11"/>
  <c r="AA1546" i="11"/>
  <c r="AA1547" i="11"/>
  <c r="AA1548" i="11"/>
  <c r="AA1549" i="11"/>
  <c r="AA1550" i="11"/>
  <c r="AA1551" i="11"/>
  <c r="AA1552" i="11"/>
  <c r="AA1553" i="11"/>
  <c r="AA1554" i="11"/>
  <c r="AA1555" i="11"/>
  <c r="AA1556" i="11"/>
  <c r="AA1557" i="11"/>
  <c r="AA1558" i="11"/>
  <c r="AA1559" i="11"/>
  <c r="AA1560" i="11"/>
  <c r="AA1561" i="11"/>
  <c r="AA1562" i="11"/>
  <c r="AA1563" i="11"/>
  <c r="AA1564" i="11"/>
  <c r="AA1565" i="11"/>
  <c r="AA1566" i="11"/>
  <c r="AA1567" i="11"/>
  <c r="AA1568" i="11"/>
  <c r="AA1569" i="11"/>
  <c r="AA1570" i="11"/>
  <c r="AA1571" i="11"/>
  <c r="AA1572" i="11"/>
  <c r="AA1573" i="11"/>
  <c r="AA1574" i="11"/>
  <c r="AA1575" i="11"/>
  <c r="AA1576" i="11"/>
  <c r="AA1577" i="11"/>
  <c r="AA1578" i="11"/>
  <c r="AA1579" i="11"/>
  <c r="AA1580" i="11"/>
  <c r="AA1581" i="11"/>
  <c r="AA1582" i="11"/>
  <c r="AA1583" i="11"/>
  <c r="AA1584" i="11"/>
  <c r="AA1585" i="11"/>
  <c r="AA1586" i="11"/>
  <c r="AA1587" i="11"/>
  <c r="AA1588" i="11"/>
  <c r="AA1589" i="11"/>
  <c r="AA1590" i="11"/>
  <c r="AA1591" i="11"/>
  <c r="AA1592" i="11"/>
  <c r="AA1593" i="11"/>
  <c r="AA1594" i="11"/>
  <c r="AA1595" i="11"/>
  <c r="AA1596" i="11"/>
  <c r="AA1597" i="11"/>
  <c r="AA1598" i="11"/>
  <c r="AA1599" i="11"/>
  <c r="AA1600" i="11"/>
  <c r="AA1601" i="11"/>
  <c r="AA1602" i="11"/>
  <c r="AA1603" i="11"/>
  <c r="AA1604" i="11"/>
  <c r="AA1605" i="11"/>
  <c r="AA1606" i="11"/>
  <c r="AA1607" i="11"/>
  <c r="AA1608" i="11"/>
  <c r="AA1609" i="11"/>
  <c r="AA1610" i="11"/>
  <c r="AA1611" i="11"/>
  <c r="AA1612" i="11"/>
  <c r="AA1613" i="11"/>
  <c r="AA1614" i="11"/>
  <c r="AA1615" i="11"/>
  <c r="AA1616" i="11"/>
  <c r="AA1617" i="11"/>
  <c r="AA1618" i="11"/>
  <c r="AA1619" i="11"/>
  <c r="AA1620" i="11"/>
  <c r="AA1621" i="11"/>
  <c r="AA1622" i="11"/>
  <c r="AA1623" i="11"/>
  <c r="AA1624" i="11"/>
  <c r="AA1625" i="11"/>
  <c r="AA1626" i="11"/>
  <c r="AA1627" i="11"/>
  <c r="AA1628" i="11"/>
  <c r="AA1629" i="11"/>
  <c r="AA1630" i="11"/>
  <c r="AA1631" i="11"/>
  <c r="AA1632" i="11"/>
  <c r="AA1633" i="11"/>
  <c r="AA1634" i="11"/>
  <c r="AA1635" i="11"/>
  <c r="AA1636" i="11"/>
  <c r="AA1637" i="11"/>
  <c r="AA1638" i="11"/>
  <c r="AA1639" i="11"/>
  <c r="AA1640" i="11"/>
  <c r="AA1641" i="11"/>
  <c r="AA1642" i="11"/>
  <c r="AA1643" i="11"/>
  <c r="AA1644" i="11"/>
  <c r="AA1645" i="11"/>
  <c r="AA1646" i="11"/>
  <c r="AA1647" i="11"/>
  <c r="AA1648" i="11"/>
  <c r="AA1649" i="11"/>
  <c r="AA1650" i="11"/>
  <c r="AA1651" i="11"/>
  <c r="AA1652" i="11"/>
  <c r="AA1653" i="11"/>
  <c r="AA1654" i="11"/>
  <c r="AA1655" i="11"/>
  <c r="AA1656" i="11"/>
  <c r="AA1657" i="11"/>
  <c r="AA1658" i="11"/>
  <c r="AA1659" i="11"/>
  <c r="AA1660" i="11"/>
  <c r="AA1661" i="11"/>
  <c r="AA1662" i="11"/>
  <c r="AA1663" i="11"/>
  <c r="AA1664" i="11"/>
  <c r="AA1665" i="11"/>
  <c r="AA1666" i="11"/>
  <c r="AA1667" i="11"/>
  <c r="AA1668" i="11"/>
  <c r="AA1669" i="11"/>
  <c r="AA1670" i="11"/>
  <c r="AA1671" i="11"/>
  <c r="AA1672" i="11"/>
  <c r="AA1673" i="11"/>
  <c r="AA1674" i="11"/>
  <c r="AA1675" i="11"/>
  <c r="AA1676" i="11"/>
  <c r="AA1677" i="11"/>
  <c r="AA1678" i="11"/>
  <c r="AA1679" i="11"/>
  <c r="AA1680" i="11"/>
  <c r="AA1681" i="11"/>
  <c r="AA1682" i="11"/>
  <c r="AA1683" i="11"/>
  <c r="AA1684" i="11"/>
  <c r="AA1685" i="11"/>
  <c r="AA1686" i="11"/>
  <c r="AA1687" i="11"/>
  <c r="AA1688" i="11"/>
  <c r="AA1689" i="11"/>
  <c r="AA1690" i="11"/>
  <c r="AA1691" i="11"/>
  <c r="AA1692" i="11"/>
  <c r="AA1693" i="11"/>
  <c r="AA1694" i="11"/>
  <c r="AA1695" i="11"/>
  <c r="AA1696" i="11"/>
  <c r="AA1697" i="11"/>
  <c r="AA1698" i="11"/>
  <c r="AA1699" i="11"/>
  <c r="AA1700" i="11"/>
  <c r="AA1701" i="11"/>
  <c r="AA1702" i="11"/>
  <c r="AA1703" i="11"/>
  <c r="AA1704" i="11"/>
  <c r="AA1705" i="11"/>
  <c r="AA1706" i="11"/>
  <c r="AA1707" i="11"/>
  <c r="AA1708" i="11"/>
  <c r="AA1709" i="11"/>
  <c r="AA1710" i="11"/>
  <c r="AA1711" i="11"/>
  <c r="AA1712" i="11"/>
  <c r="AA1713" i="11"/>
  <c r="AA1714" i="11"/>
  <c r="AA1715" i="11"/>
  <c r="AA1716" i="11"/>
  <c r="AA1717" i="11"/>
  <c r="AA1718" i="11"/>
  <c r="AA1719" i="11"/>
  <c r="AA1720" i="11"/>
  <c r="AA1721" i="11"/>
  <c r="AA1722" i="11"/>
  <c r="AA1723" i="11"/>
  <c r="AA1724" i="11"/>
  <c r="AA1725" i="11"/>
  <c r="AA1726" i="11"/>
  <c r="AA1727" i="11"/>
  <c r="AA1728" i="11"/>
  <c r="AA1729" i="11"/>
  <c r="AA1730" i="11"/>
  <c r="AA1731" i="11"/>
  <c r="AA1732" i="11"/>
  <c r="AA1733" i="11"/>
  <c r="AA1734" i="11"/>
  <c r="AA1735" i="11"/>
  <c r="AA1736" i="11"/>
  <c r="AA1737" i="11"/>
  <c r="AA1738" i="11"/>
  <c r="AA1739" i="11"/>
  <c r="AA1740" i="11"/>
  <c r="AA1741" i="11"/>
  <c r="AA1742" i="11"/>
  <c r="AA1743" i="11"/>
  <c r="AA1744" i="11"/>
  <c r="AA1745" i="11"/>
  <c r="AA1746" i="11"/>
  <c r="AA1747" i="11"/>
  <c r="AA1748" i="11"/>
  <c r="AA1749" i="11"/>
  <c r="AA1750" i="11"/>
  <c r="AA1751" i="11"/>
  <c r="AA1752" i="11"/>
  <c r="AA1753" i="11"/>
  <c r="AA1754" i="11"/>
  <c r="AA1755" i="11"/>
  <c r="AA1756" i="11"/>
  <c r="AA1757" i="11"/>
  <c r="AA1758" i="11"/>
  <c r="AA1759" i="11"/>
  <c r="AA1760" i="11"/>
  <c r="AA1761" i="11"/>
  <c r="AA1762" i="11"/>
  <c r="AA1763" i="11"/>
  <c r="AA1764" i="11"/>
  <c r="AA1765" i="11"/>
  <c r="AA1766" i="11"/>
  <c r="AA1767" i="11"/>
  <c r="AA1768" i="11"/>
  <c r="AA1769" i="11"/>
  <c r="AA1770" i="11"/>
  <c r="AA1771" i="11"/>
  <c r="AA1772" i="11"/>
  <c r="AA1773" i="11"/>
  <c r="AA1774" i="11"/>
  <c r="AA1775" i="11"/>
  <c r="AA1776" i="11"/>
  <c r="AA1777" i="11"/>
  <c r="AA1778" i="11"/>
  <c r="AA1779" i="11"/>
  <c r="AA1780" i="11"/>
  <c r="AA1781" i="11"/>
  <c r="AA1782" i="11"/>
  <c r="AA1783" i="11"/>
  <c r="AA1784" i="11"/>
  <c r="AA1785" i="11"/>
  <c r="AA1786" i="11"/>
  <c r="AA1787" i="11"/>
  <c r="AA1788" i="11"/>
  <c r="AA1789" i="11"/>
  <c r="AA1790" i="11"/>
  <c r="AA1791" i="11"/>
  <c r="AA1792" i="11"/>
  <c r="AA1793" i="11"/>
  <c r="AA1794" i="11"/>
  <c r="AA1795" i="11"/>
  <c r="AA1796" i="11"/>
  <c r="AA1797" i="11"/>
  <c r="AA1798" i="11"/>
  <c r="AA1799" i="11"/>
  <c r="AA1800" i="11"/>
  <c r="AA1801" i="11"/>
  <c r="AA1802" i="11"/>
  <c r="AA1803" i="11"/>
  <c r="AA1804" i="11"/>
  <c r="AA1805" i="11"/>
  <c r="AA1806" i="11"/>
  <c r="AA1807" i="11"/>
  <c r="AA1808" i="11"/>
  <c r="AA1809" i="11"/>
  <c r="AA1810" i="11"/>
  <c r="AA1811" i="11"/>
  <c r="AA1812" i="11"/>
  <c r="AA1813" i="11"/>
  <c r="AA1814" i="11"/>
  <c r="AA1815" i="11"/>
  <c r="AA1816" i="11"/>
  <c r="AA1817" i="11"/>
  <c r="AA1818" i="11"/>
  <c r="AA1819" i="11"/>
  <c r="AA1820" i="11"/>
  <c r="AA1821" i="11"/>
  <c r="AA1822" i="11"/>
  <c r="AA1823" i="11"/>
  <c r="AA1824" i="11"/>
  <c r="AA1825" i="11"/>
  <c r="AA1826" i="11"/>
  <c r="AA1827" i="11"/>
  <c r="AA1828" i="11"/>
  <c r="AA1829" i="11"/>
  <c r="AA1830" i="11"/>
  <c r="AA1831" i="11"/>
  <c r="AA1832" i="11"/>
  <c r="AA1833" i="11"/>
  <c r="AA1834" i="11"/>
  <c r="AA1835" i="11"/>
  <c r="AA1836" i="11"/>
  <c r="AA1837" i="11"/>
  <c r="AA1838" i="11"/>
  <c r="AA1839" i="11"/>
  <c r="AA1840" i="11"/>
  <c r="AA1841" i="11"/>
  <c r="AA1842" i="11"/>
  <c r="AA1843" i="11"/>
  <c r="AA1844" i="11"/>
  <c r="AA1845" i="11"/>
  <c r="AA1846" i="11"/>
  <c r="AA1847" i="11"/>
  <c r="AA1848" i="11"/>
  <c r="AA1849" i="11"/>
  <c r="AA1850" i="11"/>
  <c r="AA1851" i="11"/>
  <c r="AA1852" i="11"/>
  <c r="AA1853" i="11"/>
  <c r="AA1854" i="11"/>
  <c r="AA1855" i="11"/>
  <c r="AA1856" i="11"/>
  <c r="AA1857" i="11"/>
  <c r="AA1858" i="11"/>
  <c r="AA1859" i="11"/>
  <c r="AA1860" i="11"/>
  <c r="AA1861" i="11"/>
  <c r="AA1862" i="11"/>
  <c r="AA1863" i="11"/>
  <c r="AA1864" i="11"/>
  <c r="AA1865" i="11"/>
  <c r="AA1866" i="11"/>
  <c r="AA1867" i="11"/>
  <c r="AA1868" i="11"/>
  <c r="AA1869" i="11"/>
  <c r="AA1870" i="11"/>
  <c r="AA1871" i="11"/>
  <c r="AA1872" i="11"/>
  <c r="AA1873" i="11"/>
  <c r="AA1874" i="11"/>
  <c r="AA1875" i="11"/>
  <c r="AA1876" i="11"/>
  <c r="AA1877" i="11"/>
  <c r="AA1878" i="11"/>
  <c r="AA1879" i="11"/>
  <c r="AA1880" i="11"/>
  <c r="AA1881" i="11"/>
  <c r="AA1882" i="11"/>
  <c r="AA1883" i="11"/>
  <c r="AA1884" i="11"/>
  <c r="AA1885" i="11"/>
  <c r="AA1886" i="11"/>
  <c r="AA1887" i="11"/>
  <c r="AA1888" i="11"/>
  <c r="AA1889" i="11"/>
  <c r="AA1890" i="11"/>
  <c r="AA1891" i="11"/>
  <c r="AA1892" i="11"/>
  <c r="AA1893" i="11"/>
  <c r="AA1894" i="11"/>
  <c r="AA1895" i="11"/>
  <c r="AA1896" i="11"/>
  <c r="AA1897" i="11"/>
  <c r="AA1898" i="11"/>
  <c r="AA1899" i="11"/>
  <c r="AA1900" i="11"/>
  <c r="AA1901" i="11"/>
  <c r="AA1902" i="11"/>
  <c r="AA1903" i="11"/>
  <c r="AA1904" i="11"/>
  <c r="AA1905" i="11"/>
  <c r="AA1906" i="11"/>
  <c r="AA1907" i="11"/>
  <c r="AA1908" i="11"/>
  <c r="AA1909" i="11"/>
  <c r="AA1910" i="11"/>
  <c r="AA1911" i="11"/>
  <c r="AA1912" i="11"/>
  <c r="AA1913" i="11"/>
  <c r="AA1914" i="11"/>
  <c r="AA1915" i="11"/>
  <c r="AA1916" i="11"/>
  <c r="AA1917" i="11"/>
  <c r="AA1918" i="11"/>
  <c r="AA1919" i="11"/>
  <c r="AA1920" i="11"/>
  <c r="AA1921" i="11"/>
  <c r="AA1922" i="11"/>
  <c r="AA1923" i="11"/>
  <c r="AA1924" i="11"/>
  <c r="AA1925" i="11"/>
  <c r="AA1926" i="11"/>
  <c r="AA1927" i="11"/>
  <c r="AA1928" i="11"/>
  <c r="AA1929" i="11"/>
  <c r="AA1930" i="11"/>
  <c r="AA1931" i="11"/>
  <c r="AA1932" i="11"/>
  <c r="AA1933" i="11"/>
  <c r="AA1934" i="11"/>
  <c r="AA1935" i="11"/>
  <c r="AA1936" i="11"/>
  <c r="AA1937" i="11"/>
  <c r="AA1938" i="11"/>
  <c r="AA1939" i="11"/>
  <c r="AA1940" i="11"/>
  <c r="AA1941" i="11"/>
  <c r="AA1942" i="11"/>
  <c r="AA1943" i="11"/>
  <c r="AA1944" i="11"/>
  <c r="AA1945" i="11"/>
  <c r="AA1946" i="11"/>
  <c r="AA1947" i="11"/>
  <c r="AA1948" i="11"/>
  <c r="AA1949" i="11"/>
  <c r="AA1950" i="11"/>
  <c r="AA1951" i="11"/>
  <c r="AA1952" i="11"/>
  <c r="AA1953" i="11"/>
  <c r="AA1954" i="11"/>
  <c r="AA1955" i="11"/>
  <c r="AA1956" i="11"/>
  <c r="AA1957" i="11"/>
  <c r="AA1958" i="11"/>
  <c r="AA1959" i="11"/>
  <c r="AA1960" i="11"/>
  <c r="AA1961" i="11"/>
  <c r="AA1962" i="11"/>
  <c r="AA1963" i="11"/>
  <c r="AA1964" i="11"/>
  <c r="AA1965" i="11"/>
  <c r="AA1966" i="11"/>
  <c r="AA1967" i="11"/>
  <c r="AA1968" i="11"/>
  <c r="AA1969" i="11"/>
  <c r="AA1970" i="11"/>
  <c r="AA1971" i="11"/>
  <c r="AA1972" i="11"/>
  <c r="AA1973" i="11"/>
  <c r="AA1974" i="11"/>
  <c r="AA1975" i="11"/>
  <c r="AA1976" i="11"/>
  <c r="AA1977" i="11"/>
  <c r="AA1978" i="11"/>
  <c r="AA1979" i="11"/>
  <c r="AA1980" i="11"/>
  <c r="AA1981" i="11"/>
  <c r="AA1982" i="11"/>
  <c r="AA1983" i="11"/>
  <c r="AA1984" i="11"/>
  <c r="AA1985" i="11"/>
  <c r="AA1986" i="11"/>
  <c r="AA1987" i="11"/>
  <c r="AA1988" i="11"/>
  <c r="AA1989" i="11"/>
  <c r="AA1990" i="11"/>
  <c r="AA1991" i="11"/>
  <c r="AA1992" i="11"/>
  <c r="AA1993" i="11"/>
  <c r="AA1994" i="11"/>
  <c r="AA1995" i="11"/>
  <c r="AA1996" i="11"/>
  <c r="AA1997" i="11"/>
  <c r="AA1998" i="11"/>
  <c r="AA1999" i="11"/>
  <c r="AA2000" i="11"/>
  <c r="AA2001" i="11"/>
  <c r="AA2002" i="11"/>
  <c r="AA2003" i="11"/>
  <c r="AA2004" i="11"/>
  <c r="AA2005" i="11"/>
  <c r="AA2006" i="11"/>
  <c r="AA2007" i="11"/>
  <c r="AA2008" i="11"/>
  <c r="AA2009" i="11"/>
  <c r="AA2010" i="11"/>
  <c r="AA2011" i="11"/>
  <c r="AA2012" i="11"/>
  <c r="AA2013" i="11"/>
  <c r="AA2014" i="11"/>
  <c r="AA2015" i="11"/>
  <c r="AA2016" i="11"/>
  <c r="AA2017" i="11"/>
  <c r="AA2018" i="11"/>
  <c r="AA2019" i="11"/>
  <c r="AA2020" i="11"/>
  <c r="AA2021" i="11"/>
  <c r="AA2022" i="11"/>
  <c r="AA2023" i="11"/>
  <c r="AA2024" i="11"/>
  <c r="AA2025" i="11"/>
  <c r="AA2026" i="11"/>
  <c r="AA2027" i="11"/>
  <c r="AA2028" i="11"/>
  <c r="AA2029" i="11"/>
  <c r="AA2030" i="11"/>
  <c r="AA2031" i="11"/>
  <c r="AA2032" i="11"/>
  <c r="AA2033" i="11"/>
  <c r="AA2034" i="11"/>
  <c r="AA2035" i="11"/>
  <c r="AA2036" i="11"/>
  <c r="AA2037" i="11"/>
  <c r="AA2038" i="11"/>
  <c r="AA2039" i="11"/>
  <c r="AA2040" i="11"/>
  <c r="AA2041" i="11"/>
  <c r="AA2042" i="11"/>
  <c r="AA2043" i="11"/>
  <c r="AA2044" i="11"/>
  <c r="AA2045" i="11"/>
  <c r="AA2046" i="11"/>
  <c r="AA2047" i="11"/>
  <c r="AA2048" i="11"/>
  <c r="AA2049" i="11"/>
  <c r="AA2050" i="11"/>
  <c r="AA2051" i="11"/>
  <c r="AA2052" i="11"/>
  <c r="AA2053" i="11"/>
  <c r="AA2054" i="11"/>
  <c r="AA2055" i="11"/>
  <c r="AA2056" i="11"/>
  <c r="AA2057" i="11"/>
  <c r="AA2058" i="11"/>
  <c r="AA2059" i="11"/>
  <c r="AA2060" i="11"/>
  <c r="AA2061" i="11"/>
  <c r="AA2062" i="11"/>
  <c r="AA2063" i="11"/>
  <c r="AA2064" i="11"/>
  <c r="AA2065" i="11"/>
  <c r="AA2066" i="11"/>
  <c r="AA2067" i="11"/>
  <c r="AA2068" i="11"/>
  <c r="AA2069" i="11"/>
  <c r="AA2070" i="11"/>
  <c r="AA2071" i="11"/>
  <c r="AA2072" i="11"/>
  <c r="AA2073" i="11"/>
  <c r="AA2074" i="11"/>
  <c r="AA2075" i="11"/>
  <c r="AA2076" i="11"/>
  <c r="AA2077" i="11"/>
  <c r="AA2078" i="11"/>
  <c r="AA2079" i="11"/>
  <c r="AA2080" i="11"/>
  <c r="AA2081" i="11"/>
  <c r="AA2082" i="11"/>
  <c r="AA2083" i="11"/>
  <c r="AA2084" i="11"/>
  <c r="AA2085" i="11"/>
  <c r="AA2086" i="11"/>
  <c r="AA2087" i="11"/>
  <c r="AA2088" i="11"/>
  <c r="AA2089" i="11"/>
  <c r="AA2090" i="11"/>
  <c r="AA2091" i="11"/>
  <c r="AA2092" i="11"/>
  <c r="AA2093" i="11"/>
  <c r="AA2094" i="11"/>
  <c r="AA2095" i="11"/>
  <c r="AA2096" i="11"/>
  <c r="AA2097" i="11"/>
  <c r="AA2098" i="11"/>
  <c r="AA2099" i="11"/>
  <c r="AA2100" i="11"/>
  <c r="AA2101" i="11"/>
  <c r="AA2102" i="11"/>
  <c r="AA2103" i="11"/>
  <c r="AA2104" i="11"/>
  <c r="AA2105" i="11"/>
  <c r="AA2106" i="11"/>
  <c r="AA2107" i="11"/>
  <c r="AA2108" i="11"/>
  <c r="AA2109" i="11"/>
  <c r="AA2110" i="11"/>
  <c r="AA2111" i="11"/>
  <c r="AA2112" i="11"/>
  <c r="AA2113" i="11"/>
  <c r="AA2114" i="11"/>
  <c r="AA2115" i="11"/>
  <c r="AA2116" i="11"/>
  <c r="AA2117" i="11"/>
  <c r="AA2118" i="11"/>
  <c r="AA2119" i="11"/>
  <c r="AA2120" i="11"/>
  <c r="AA2121" i="11"/>
  <c r="AA2122" i="11"/>
  <c r="AA2123" i="11"/>
  <c r="AA2124" i="11"/>
  <c r="AA2125" i="11"/>
  <c r="AA2126" i="11"/>
  <c r="AA2127" i="11"/>
  <c r="AA2128" i="11"/>
  <c r="AA2129" i="11"/>
  <c r="AA2130" i="11"/>
  <c r="AA2131" i="11"/>
  <c r="AA2132" i="11"/>
  <c r="AA2133" i="11"/>
  <c r="AA2134" i="11"/>
  <c r="AA2135" i="11"/>
  <c r="AA2136" i="11"/>
  <c r="AA2137" i="11"/>
  <c r="AA2138" i="11"/>
  <c r="AA2139" i="11"/>
  <c r="AA2140" i="11"/>
  <c r="AA2141" i="11"/>
  <c r="AA2142" i="11"/>
  <c r="AA2143" i="11"/>
  <c r="AA2144" i="11"/>
  <c r="AA2145" i="11"/>
  <c r="AA2146" i="11"/>
  <c r="AA2147" i="11"/>
  <c r="AA2148" i="11"/>
  <c r="AA2149" i="11"/>
  <c r="AA2150" i="11"/>
  <c r="AA2151" i="11"/>
  <c r="AA2152" i="11"/>
  <c r="AA2153" i="11"/>
  <c r="AA2154" i="11"/>
  <c r="AA2155" i="11"/>
  <c r="AA2156" i="11"/>
  <c r="AA2157" i="11"/>
  <c r="AA2158" i="11"/>
  <c r="AA2159" i="11"/>
  <c r="AA2160" i="11"/>
  <c r="AA2161" i="11"/>
  <c r="AA2162" i="11"/>
  <c r="AA2163" i="11"/>
  <c r="AA2164" i="11"/>
  <c r="AA2165" i="11"/>
  <c r="AA2166" i="11"/>
  <c r="AA2167" i="11"/>
  <c r="AA2168" i="11"/>
  <c r="AA2169" i="11"/>
  <c r="AA2170" i="11"/>
  <c r="AA2171" i="11"/>
  <c r="AA2172" i="11"/>
  <c r="AA2173" i="11"/>
  <c r="AA2174" i="11"/>
  <c r="AA2175" i="11"/>
  <c r="AA2176" i="11"/>
  <c r="AA2177" i="11"/>
  <c r="AA2178" i="11"/>
  <c r="AA2179" i="11"/>
  <c r="AA2180" i="11"/>
  <c r="AA2181" i="11"/>
  <c r="AA2182" i="11"/>
  <c r="AA2183" i="11"/>
  <c r="AA2184" i="11"/>
  <c r="AA2185" i="11"/>
  <c r="AA2186" i="11"/>
  <c r="AA2187" i="11"/>
  <c r="AA2188" i="11"/>
  <c r="AA2189" i="11"/>
  <c r="AA2190" i="11"/>
  <c r="AA2191" i="11"/>
  <c r="AA2192" i="11"/>
  <c r="AA2193" i="11"/>
  <c r="AA2194" i="11"/>
  <c r="AA2195" i="11"/>
  <c r="AA2196" i="11"/>
  <c r="AA2197" i="11"/>
  <c r="AA2198" i="11"/>
  <c r="AA2199" i="11"/>
  <c r="AA2200" i="11"/>
  <c r="AA2201" i="11"/>
  <c r="AA2202" i="11"/>
  <c r="AA2203" i="11"/>
  <c r="AA2204" i="11"/>
  <c r="AA2205" i="11"/>
  <c r="AA2206" i="11"/>
  <c r="AA2207" i="11"/>
  <c r="AA2208" i="11"/>
  <c r="AA2209" i="11"/>
  <c r="AA2210" i="11"/>
  <c r="AA2211" i="11"/>
  <c r="AA2212" i="11"/>
  <c r="AA2213" i="11"/>
  <c r="AA2214" i="11"/>
  <c r="AA2215" i="11"/>
  <c r="AA2216" i="11"/>
  <c r="AA2217" i="11"/>
  <c r="AA2218" i="11"/>
  <c r="AA2219" i="11"/>
  <c r="AA2220" i="11"/>
  <c r="AA2221" i="11"/>
  <c r="AA2222" i="11"/>
  <c r="AA2223" i="11"/>
  <c r="AA2224" i="11"/>
  <c r="AA2225" i="11"/>
  <c r="AA2226" i="11"/>
  <c r="AA2227" i="11"/>
  <c r="AA2228" i="11"/>
  <c r="AA2229" i="11"/>
  <c r="AA2230" i="11"/>
  <c r="AA2231" i="11"/>
  <c r="AA2232" i="11"/>
  <c r="AA2233" i="11"/>
  <c r="AA2234" i="11"/>
  <c r="AA2235" i="11"/>
  <c r="AA2236" i="11"/>
  <c r="AA2237" i="11"/>
  <c r="AA2238" i="11"/>
  <c r="AA2239" i="11"/>
  <c r="AA2240" i="11"/>
  <c r="AA2241" i="11"/>
  <c r="AA2242" i="11"/>
  <c r="AA2243" i="11"/>
  <c r="AA2244" i="11"/>
  <c r="AA2245" i="11"/>
  <c r="AA2246" i="11"/>
  <c r="AA2247" i="11"/>
  <c r="AA2248" i="11"/>
  <c r="AA2249" i="11"/>
  <c r="AA2250" i="11"/>
  <c r="AA2251" i="11"/>
  <c r="AA2252" i="11"/>
  <c r="AA2253" i="11"/>
  <c r="AA2254" i="11"/>
  <c r="AA2255" i="11"/>
  <c r="AA2256" i="11"/>
  <c r="AA2257" i="11"/>
  <c r="AA2258" i="11"/>
  <c r="AA2259" i="11"/>
  <c r="AA2260" i="11"/>
  <c r="AA2261" i="11"/>
  <c r="AA2262" i="11"/>
  <c r="AA2263" i="11"/>
  <c r="AA2264" i="11"/>
  <c r="AA2265" i="11"/>
  <c r="AA2266" i="11"/>
  <c r="AA2267" i="11"/>
  <c r="AA2268" i="11"/>
  <c r="AA2269" i="11"/>
  <c r="AA2270" i="11"/>
  <c r="AA2271" i="11"/>
  <c r="AA2272" i="11"/>
  <c r="AA2273" i="11"/>
  <c r="AA2274" i="11"/>
  <c r="AA2275" i="11"/>
  <c r="AA2276" i="11"/>
  <c r="AA2277" i="11"/>
  <c r="AA2278" i="11"/>
  <c r="AA2279" i="11"/>
  <c r="AA2280" i="11"/>
  <c r="AA2281" i="11"/>
  <c r="AA2282" i="11"/>
  <c r="AA2283" i="11"/>
  <c r="AA2284" i="11"/>
  <c r="AA2285" i="11"/>
  <c r="AA2286" i="11"/>
  <c r="AA2287" i="11"/>
  <c r="AA2288" i="11"/>
  <c r="AA2289" i="11"/>
  <c r="AA2290" i="11"/>
  <c r="AA2291" i="11"/>
  <c r="AA2292" i="11"/>
  <c r="AA2293" i="11"/>
  <c r="AA2294" i="11"/>
  <c r="AA2295" i="11"/>
  <c r="AA2296" i="11"/>
  <c r="AA2297" i="11"/>
  <c r="AA2298" i="11"/>
  <c r="AA2299" i="11"/>
  <c r="AA2300" i="11"/>
  <c r="AA2301" i="11"/>
  <c r="AA2302" i="11"/>
  <c r="AA2303" i="11"/>
  <c r="AA2304" i="11"/>
  <c r="AA2305" i="11"/>
  <c r="AA2306" i="11"/>
  <c r="AA2307" i="11"/>
  <c r="AA2308" i="11"/>
  <c r="AA2309" i="11"/>
  <c r="AA2310" i="11"/>
  <c r="AA2311" i="11"/>
  <c r="AA2312" i="11"/>
  <c r="AA2313" i="11"/>
  <c r="AA2314" i="11"/>
  <c r="AA2315" i="11"/>
  <c r="AA2316" i="11"/>
  <c r="AA2317" i="11"/>
  <c r="AA2318" i="11"/>
  <c r="AA2319" i="11"/>
  <c r="AA2320" i="11"/>
  <c r="AA2321" i="11"/>
  <c r="AA2322" i="11"/>
  <c r="AA2323" i="11"/>
  <c r="AA2324" i="11"/>
  <c r="AA2325" i="11"/>
  <c r="AA2326" i="11"/>
  <c r="AA2327" i="11"/>
  <c r="AA2328" i="11"/>
  <c r="AA2329" i="11"/>
  <c r="AA2330" i="11"/>
  <c r="AA2331" i="11"/>
  <c r="AA2332" i="11"/>
  <c r="AA2333" i="11"/>
  <c r="AA2334" i="11"/>
  <c r="AA2335" i="11"/>
  <c r="AA2336" i="11"/>
  <c r="AA2337" i="11"/>
  <c r="AA2338" i="11"/>
  <c r="AA2339" i="11"/>
  <c r="AA2340" i="11"/>
  <c r="AA2341" i="11"/>
  <c r="AA2342" i="11"/>
  <c r="AA2343" i="11"/>
  <c r="AA2344" i="11"/>
  <c r="AA2345" i="11"/>
  <c r="AA2346" i="11"/>
  <c r="AA2347" i="11"/>
  <c r="AA2348" i="11"/>
  <c r="AA2349" i="11"/>
  <c r="AA2350" i="11"/>
  <c r="AA2351" i="11"/>
  <c r="AA2352" i="11"/>
  <c r="AA2353" i="11"/>
  <c r="AA2354" i="11"/>
  <c r="AA2355" i="11"/>
  <c r="AA2356" i="11"/>
  <c r="AA2357" i="11"/>
  <c r="AA2358" i="11"/>
  <c r="AA2359" i="11"/>
  <c r="AA2360" i="11"/>
  <c r="AA2361" i="11"/>
  <c r="AA2362" i="11"/>
  <c r="AA2363" i="11"/>
  <c r="AA2364" i="11"/>
  <c r="AA2365" i="11"/>
  <c r="AA2366" i="11"/>
  <c r="AA2367" i="11"/>
  <c r="AA2368" i="11"/>
  <c r="AA2369" i="11"/>
  <c r="AA2370" i="11"/>
  <c r="AA2371" i="11"/>
  <c r="AA2372" i="11"/>
  <c r="AA2373" i="11"/>
  <c r="AA2374" i="11"/>
  <c r="AA2375" i="11"/>
  <c r="AA2376" i="11"/>
  <c r="AA2377" i="11"/>
  <c r="AA2378" i="11"/>
  <c r="AA2379" i="11"/>
  <c r="AA2380" i="11"/>
  <c r="AA2381" i="11"/>
  <c r="AA2382" i="11"/>
  <c r="AA2383" i="11"/>
  <c r="AA2384" i="11"/>
  <c r="AA2385" i="11"/>
  <c r="AA2386" i="11"/>
  <c r="AA2387" i="11"/>
  <c r="AA2388" i="11"/>
  <c r="AA2389" i="11"/>
  <c r="AA2390" i="11"/>
  <c r="AA2391" i="11"/>
  <c r="AA2392" i="11"/>
  <c r="AA2393" i="11"/>
  <c r="AA2394" i="11"/>
  <c r="AA2395" i="11"/>
  <c r="AA2396" i="11"/>
  <c r="AA2397" i="11"/>
  <c r="AA2398" i="11"/>
  <c r="AA2399" i="11"/>
  <c r="AA2400" i="11"/>
  <c r="AA2401" i="11"/>
  <c r="AA2402" i="11"/>
  <c r="AA2403" i="11"/>
  <c r="AA2404" i="11"/>
  <c r="AA2405" i="11"/>
  <c r="AA2406" i="11"/>
  <c r="AA2407" i="11"/>
  <c r="AA2408" i="11"/>
  <c r="AA2409" i="11"/>
  <c r="AA2410" i="11"/>
  <c r="AA2411" i="11"/>
  <c r="AA2412" i="11"/>
  <c r="AA2413" i="11"/>
  <c r="AA2414" i="11"/>
  <c r="AA2415" i="11"/>
  <c r="AA2416" i="11"/>
  <c r="AA2417" i="11"/>
  <c r="AA2418" i="11"/>
  <c r="AA2419" i="11"/>
  <c r="AA2420" i="11"/>
  <c r="AA2421" i="11"/>
  <c r="AA2422" i="11"/>
  <c r="AA2423" i="11"/>
  <c r="AA2424" i="11"/>
  <c r="AA2425" i="11"/>
  <c r="AA2426" i="11"/>
  <c r="AA2427" i="11"/>
  <c r="AA2428" i="11"/>
  <c r="AA2429" i="11"/>
  <c r="AA2430" i="11"/>
  <c r="AA2431" i="11"/>
  <c r="AA2432" i="11"/>
  <c r="AA2433" i="11"/>
  <c r="AA2434" i="11"/>
  <c r="AA2435" i="11"/>
  <c r="AA2436" i="11"/>
  <c r="AA2437" i="11"/>
  <c r="AA2438" i="11"/>
  <c r="AA2439" i="11"/>
  <c r="AA2440" i="11"/>
  <c r="AA2441" i="11"/>
  <c r="AA2442" i="11"/>
  <c r="AA2443" i="11"/>
  <c r="AA2444" i="11"/>
  <c r="AA2445" i="11"/>
  <c r="AA2446" i="11"/>
  <c r="AA2447" i="11"/>
  <c r="AA2448" i="11"/>
  <c r="AA2449" i="11"/>
  <c r="AA2450" i="11"/>
  <c r="AA2451" i="11"/>
  <c r="AA2452" i="11"/>
  <c r="AA2453" i="11"/>
  <c r="AA2454" i="11"/>
  <c r="AA2455" i="11"/>
  <c r="AA2456" i="11"/>
  <c r="AA2457" i="11"/>
  <c r="AA2458" i="11"/>
  <c r="AA2459" i="11"/>
  <c r="AA2460" i="11"/>
  <c r="AA2461" i="11"/>
  <c r="AA2462" i="11"/>
  <c r="AA2463" i="11"/>
  <c r="AA2464" i="11"/>
  <c r="AA2465" i="11"/>
  <c r="AA2466" i="11"/>
  <c r="AA2467" i="11"/>
  <c r="AA2468" i="11"/>
  <c r="AA2469" i="11"/>
  <c r="AA2470" i="11"/>
  <c r="AA2471" i="11"/>
  <c r="AA2472" i="11"/>
  <c r="AA2473" i="11"/>
  <c r="AA2474" i="11"/>
  <c r="AA2475" i="11"/>
  <c r="AA2476" i="11"/>
  <c r="AA2477" i="11"/>
  <c r="AA2478" i="11"/>
  <c r="AA2479" i="11"/>
  <c r="AA2480" i="11"/>
  <c r="AA2481" i="11"/>
  <c r="AA2482" i="11"/>
  <c r="AA2483" i="11"/>
  <c r="AA2484" i="11"/>
  <c r="AA2485" i="11"/>
  <c r="AA2486" i="11"/>
  <c r="AA2487" i="11"/>
  <c r="AA2488" i="11"/>
  <c r="AA2489" i="11"/>
  <c r="AA2490" i="11"/>
  <c r="AA2491" i="11"/>
  <c r="AA2492" i="11"/>
  <c r="AA2493" i="11"/>
  <c r="AA2494" i="11"/>
  <c r="AA2495" i="11"/>
  <c r="AA2496" i="11"/>
  <c r="AA2497" i="11"/>
  <c r="AA2498" i="11"/>
  <c r="AA2499" i="11"/>
  <c r="AA2500" i="11"/>
  <c r="AA2501" i="11"/>
  <c r="AA2502" i="11"/>
  <c r="AA2503" i="11"/>
  <c r="AA2504" i="11"/>
  <c r="AA2505" i="11"/>
  <c r="AA2506" i="11"/>
  <c r="AA2507" i="11"/>
  <c r="AA2508" i="11"/>
  <c r="AA2509" i="11"/>
  <c r="AA2510" i="11"/>
  <c r="AA2511" i="11"/>
  <c r="AA2512" i="11"/>
  <c r="AA2513" i="11"/>
  <c r="AA2514" i="11"/>
  <c r="AA2515" i="11"/>
  <c r="AA2516" i="11"/>
  <c r="AA2517" i="11"/>
  <c r="AA2518" i="11"/>
  <c r="AA2519" i="11"/>
  <c r="AA2520" i="11"/>
  <c r="AA2521" i="11"/>
  <c r="AA2522" i="11"/>
  <c r="AA2523" i="11"/>
  <c r="AA2524" i="11"/>
  <c r="AA2525" i="11"/>
  <c r="AA2526" i="11"/>
  <c r="AA2527" i="11"/>
  <c r="AA2528" i="11"/>
  <c r="AA2529" i="11"/>
  <c r="AA2530" i="11"/>
  <c r="AA2531" i="11"/>
  <c r="AA2532" i="11"/>
  <c r="AA2533" i="11"/>
  <c r="AA2534" i="11"/>
  <c r="AA2535" i="11"/>
  <c r="AA2536" i="11"/>
  <c r="AA2537" i="11"/>
  <c r="AA2538" i="11"/>
  <c r="AA2539" i="11"/>
  <c r="AA2540" i="11"/>
  <c r="AA2541" i="11"/>
  <c r="AA2542" i="11"/>
  <c r="AA2543" i="11"/>
  <c r="AA2544" i="11"/>
  <c r="AA2545" i="11"/>
  <c r="AA2546" i="11"/>
  <c r="AA2547" i="11"/>
  <c r="AA2548" i="11"/>
  <c r="AA2549" i="11"/>
  <c r="AA2550" i="11"/>
  <c r="AA2551" i="11"/>
  <c r="AA2552" i="11"/>
  <c r="AA2553" i="11"/>
  <c r="AA2554" i="11"/>
  <c r="AA2555" i="11"/>
  <c r="AA2556" i="11"/>
  <c r="AA2557" i="11"/>
  <c r="AA2558" i="11"/>
  <c r="AA2559" i="11"/>
  <c r="AA2560" i="11"/>
  <c r="AA2561" i="11"/>
  <c r="AA2562" i="11"/>
  <c r="AA2563" i="11"/>
  <c r="AA2564" i="11"/>
  <c r="AA2565" i="11"/>
  <c r="AA2566" i="11"/>
  <c r="AA2567" i="11"/>
  <c r="AA2568" i="11"/>
  <c r="AA2569" i="11"/>
  <c r="AA2570" i="11"/>
  <c r="AA2571" i="11"/>
  <c r="AA2572" i="11"/>
  <c r="AA2573" i="11"/>
  <c r="AA2574" i="11"/>
  <c r="AA2575" i="11"/>
  <c r="AA2576" i="11"/>
  <c r="AA2577" i="11"/>
  <c r="AA2578" i="11"/>
  <c r="AA2579" i="11"/>
  <c r="AA2580" i="11"/>
  <c r="AA2581" i="11"/>
  <c r="AA2582" i="11"/>
  <c r="AA2583" i="11"/>
  <c r="AA2584" i="11"/>
  <c r="AA2585" i="11"/>
  <c r="AA2586" i="11"/>
  <c r="AA2587" i="11"/>
  <c r="AA2588" i="11"/>
  <c r="AA2589" i="11"/>
  <c r="AA2590" i="11"/>
  <c r="AA2591" i="11"/>
  <c r="AA2592" i="11"/>
  <c r="AA2593" i="11"/>
  <c r="AA2594" i="11"/>
  <c r="AA2595" i="11"/>
  <c r="AA2596" i="11"/>
  <c r="AA2597" i="11"/>
  <c r="AA2598" i="11"/>
  <c r="AA2599" i="11"/>
  <c r="AA2600" i="11"/>
  <c r="AA2601" i="11"/>
  <c r="AA2602" i="11"/>
  <c r="AA2603" i="11"/>
  <c r="AA2604" i="11"/>
  <c r="AA2605" i="11"/>
  <c r="AA2606" i="11"/>
  <c r="AA2607" i="11"/>
  <c r="AA2608" i="11"/>
  <c r="AA2609" i="11"/>
  <c r="AA2610" i="11"/>
  <c r="AA2611" i="11"/>
  <c r="AA2612" i="11"/>
  <c r="AA2613" i="11"/>
  <c r="AA2614" i="11"/>
  <c r="AA2615" i="11"/>
  <c r="AA2616" i="11"/>
  <c r="AA2617" i="11"/>
  <c r="AA2618" i="11"/>
  <c r="AA2619" i="11"/>
  <c r="AA2620" i="11"/>
  <c r="AA2621" i="11"/>
  <c r="AA2622" i="11"/>
  <c r="AA2623" i="11"/>
  <c r="AA2624" i="11"/>
  <c r="AA2625" i="11"/>
  <c r="AA2626" i="11"/>
  <c r="AA2627" i="11"/>
  <c r="AA2628" i="11"/>
  <c r="AA2629" i="11"/>
  <c r="AA2630" i="11"/>
  <c r="AA2631" i="11"/>
  <c r="AA2632" i="11"/>
  <c r="AA2633" i="11"/>
  <c r="AA2634" i="11"/>
  <c r="AA2635" i="11"/>
  <c r="AA2636" i="11"/>
  <c r="AA2637" i="11"/>
  <c r="AA2638" i="11"/>
  <c r="AA2639" i="11"/>
  <c r="AA2640" i="11"/>
  <c r="AA2641" i="11"/>
  <c r="AA2642" i="11"/>
  <c r="AA2643" i="11"/>
  <c r="AA2644" i="11"/>
  <c r="AA2645" i="11"/>
  <c r="AA2646" i="11"/>
  <c r="AA2647" i="11"/>
  <c r="AA2648" i="11"/>
  <c r="AA2649" i="11"/>
  <c r="AA2650" i="11"/>
  <c r="AA2651" i="11"/>
  <c r="AA2652" i="11"/>
  <c r="AA2653" i="11"/>
  <c r="AA2654" i="11"/>
  <c r="AA2655" i="11"/>
  <c r="AA2656" i="11"/>
  <c r="AA2657" i="11"/>
  <c r="AA2658" i="11"/>
  <c r="AA2659" i="11"/>
  <c r="AA2660" i="11"/>
  <c r="AA2661" i="11"/>
  <c r="AA2662" i="11"/>
  <c r="AA2663" i="11"/>
  <c r="AA2664" i="11"/>
  <c r="AA2665" i="11"/>
  <c r="AA2666" i="11"/>
  <c r="AA2667" i="11"/>
  <c r="AA2668" i="11"/>
  <c r="AA2669" i="11"/>
  <c r="AA2670" i="11"/>
  <c r="AA2671" i="11"/>
  <c r="AA2672" i="11"/>
  <c r="AA2673" i="11"/>
  <c r="AA2674" i="11"/>
  <c r="AA2675" i="11"/>
  <c r="AA2676" i="11"/>
  <c r="AA2677" i="11"/>
  <c r="AA2678" i="11"/>
  <c r="AA2679" i="11"/>
  <c r="AA2680" i="11"/>
  <c r="AA2681" i="11"/>
  <c r="AA2682" i="11"/>
  <c r="AA2683" i="11"/>
  <c r="AA2684" i="11"/>
  <c r="AA2685" i="11"/>
  <c r="AA2686" i="11"/>
  <c r="AA2687" i="11"/>
  <c r="AA2688" i="11"/>
  <c r="AA2689" i="11"/>
  <c r="AA2690" i="11"/>
  <c r="AA2691" i="11"/>
  <c r="AA2692" i="11"/>
  <c r="AA2693" i="11"/>
  <c r="AA2694" i="11"/>
  <c r="AA2695" i="11"/>
  <c r="AA2696" i="11"/>
  <c r="AA2697" i="11"/>
  <c r="AA2698" i="11"/>
  <c r="AA2699" i="11"/>
  <c r="AA2700" i="11"/>
  <c r="AA2701" i="11"/>
  <c r="AA2702" i="11"/>
  <c r="AA2703" i="11"/>
  <c r="AA2704" i="11"/>
  <c r="AA2705" i="11"/>
  <c r="AA2706" i="11"/>
  <c r="AA2707" i="11"/>
  <c r="AA2708" i="11"/>
  <c r="AA2709" i="11"/>
  <c r="AA2710" i="11"/>
  <c r="AA2711" i="11"/>
  <c r="AA2712" i="11"/>
  <c r="AA2713" i="11"/>
  <c r="AA2714" i="11"/>
  <c r="AA2715" i="11"/>
  <c r="AA2716" i="11"/>
  <c r="AA2717" i="11"/>
  <c r="AA2718" i="11"/>
  <c r="AA2719" i="11"/>
  <c r="AA2720" i="11"/>
  <c r="AA2721" i="11"/>
  <c r="AA2722" i="11"/>
  <c r="AA2723" i="11"/>
  <c r="AA2724" i="11"/>
  <c r="AA2725" i="11"/>
  <c r="AA2726" i="11"/>
  <c r="AA2727" i="11"/>
  <c r="AA2728" i="11"/>
  <c r="AA2729" i="11"/>
  <c r="AA2730" i="11"/>
  <c r="AA2731" i="11"/>
  <c r="AA2732" i="11"/>
  <c r="AA2733" i="11"/>
  <c r="AA2734" i="11"/>
  <c r="AA2735" i="11"/>
  <c r="AA2736" i="11"/>
  <c r="AA2737" i="11"/>
  <c r="AA2738" i="11"/>
  <c r="AA2739" i="11"/>
  <c r="AA2740" i="11"/>
  <c r="AA2741" i="11"/>
  <c r="AA2742" i="11"/>
  <c r="AA2743" i="11"/>
  <c r="AA2744" i="11"/>
  <c r="AA2745" i="11"/>
  <c r="AA2746" i="11"/>
  <c r="AA2747" i="11"/>
  <c r="AA2748" i="11"/>
  <c r="AA2749" i="11"/>
  <c r="AA2750" i="11"/>
  <c r="AA2751" i="11"/>
  <c r="AA2752" i="11"/>
  <c r="AA2753" i="11"/>
  <c r="AA2754" i="11"/>
  <c r="AA2755" i="11"/>
  <c r="AA2756" i="11"/>
  <c r="AA2757" i="11"/>
  <c r="AA2758" i="11"/>
  <c r="AA2759" i="11"/>
  <c r="AA2760" i="11"/>
  <c r="AA2761" i="11"/>
  <c r="AA2762" i="11"/>
  <c r="AA2763" i="11"/>
  <c r="AA2764" i="11"/>
  <c r="AA2765" i="11"/>
  <c r="AA2766" i="11"/>
  <c r="AA2767" i="11"/>
  <c r="AA2768" i="11"/>
  <c r="AA2769" i="11"/>
  <c r="AA2770" i="11"/>
  <c r="AA2771" i="11"/>
  <c r="AA2772" i="11"/>
  <c r="AA2773" i="11"/>
  <c r="AA2774" i="11"/>
  <c r="AA2775" i="11"/>
  <c r="AA2776" i="11"/>
  <c r="AA2777" i="11"/>
  <c r="AA2778" i="11"/>
  <c r="AA2779" i="11"/>
  <c r="AA2780" i="11"/>
  <c r="AA2781" i="11"/>
  <c r="AA2782" i="11"/>
  <c r="AA2783" i="11"/>
  <c r="AA2784" i="11"/>
  <c r="AA2785" i="11"/>
  <c r="AA2786" i="11"/>
  <c r="AA2787" i="11"/>
  <c r="AA2788" i="11"/>
  <c r="AA2789" i="11"/>
  <c r="AA2790" i="11"/>
  <c r="AA2791" i="11"/>
  <c r="AA2792" i="11"/>
  <c r="AA2793" i="11"/>
  <c r="AA2794" i="11"/>
  <c r="AA2795" i="11"/>
  <c r="AA2796" i="11"/>
  <c r="AA2797" i="11"/>
  <c r="AA2798" i="11"/>
  <c r="AA2799" i="11"/>
  <c r="AA2800" i="11"/>
  <c r="AA2801" i="11"/>
  <c r="AA2802" i="11"/>
  <c r="AA2803" i="11"/>
  <c r="AA2804" i="11"/>
  <c r="AA2805" i="11"/>
  <c r="AA2806" i="11"/>
  <c r="AA2807" i="11"/>
  <c r="AA2808" i="11"/>
  <c r="AA2809" i="11"/>
  <c r="AA2810" i="11"/>
  <c r="AA2811" i="11"/>
  <c r="AA2812" i="11"/>
  <c r="AA2813" i="11"/>
  <c r="AA2814" i="11"/>
  <c r="AA2815" i="11"/>
  <c r="AA2816" i="11"/>
  <c r="AA2817" i="11"/>
  <c r="AA2818" i="11"/>
  <c r="AA2819" i="11"/>
  <c r="AA2820" i="11"/>
  <c r="AA2821" i="11"/>
  <c r="AA2822" i="11"/>
  <c r="AA2823" i="11"/>
  <c r="AA2824" i="11"/>
  <c r="AA2825" i="11"/>
  <c r="AA2826" i="11"/>
  <c r="AA2827" i="11"/>
  <c r="AA2828" i="11"/>
  <c r="AA2829" i="11"/>
  <c r="AA2830" i="11"/>
  <c r="AA2831" i="11"/>
  <c r="AA2832" i="11"/>
  <c r="AA2833" i="11"/>
  <c r="AA2834" i="11"/>
  <c r="AA2835" i="11"/>
  <c r="AA2836" i="11"/>
  <c r="AA2837" i="11"/>
  <c r="AA2838" i="11"/>
  <c r="AA2839" i="11"/>
  <c r="AA2840" i="11"/>
  <c r="AA2841" i="11"/>
  <c r="AA2842" i="11"/>
  <c r="AA2843" i="11"/>
  <c r="AA2844" i="11"/>
  <c r="AA2845" i="11"/>
  <c r="AA2846" i="11"/>
  <c r="AA2847" i="11"/>
  <c r="AA2848" i="11"/>
  <c r="AA2849" i="11"/>
  <c r="AA2850" i="11"/>
  <c r="AA2851" i="11"/>
  <c r="AA2852" i="11"/>
  <c r="AA2853" i="11"/>
  <c r="AA2854" i="11"/>
  <c r="AA2855" i="11"/>
  <c r="AA2856" i="11"/>
  <c r="AA2857" i="11"/>
  <c r="AA2858" i="11"/>
  <c r="AA2859" i="11"/>
  <c r="AA2860" i="11"/>
  <c r="AA2861" i="11"/>
  <c r="AA2862" i="11"/>
  <c r="AA2863" i="11"/>
  <c r="AA2864" i="11"/>
  <c r="AA2865" i="11"/>
  <c r="AA2866" i="11"/>
  <c r="AA2867" i="11"/>
  <c r="AA2868" i="11"/>
  <c r="AA2869" i="11"/>
  <c r="AA2870" i="11"/>
  <c r="AA2871" i="11"/>
  <c r="AA2872" i="11"/>
  <c r="AA2873" i="11"/>
  <c r="AA2874" i="11"/>
  <c r="AA2875" i="11"/>
  <c r="AA2876" i="11"/>
  <c r="AA2877" i="11"/>
  <c r="AA2878" i="11"/>
  <c r="AA2879" i="11"/>
  <c r="AA2880" i="11"/>
  <c r="AA2881" i="11"/>
  <c r="AA2882" i="11"/>
  <c r="AA2883" i="11"/>
  <c r="AA2884" i="11"/>
  <c r="AA2885" i="11"/>
  <c r="AA2886" i="11"/>
  <c r="AA2887" i="11"/>
  <c r="AA2888" i="11"/>
  <c r="AA2889" i="11"/>
  <c r="AA2890" i="11"/>
  <c r="AA2891" i="11"/>
  <c r="AA2892" i="11"/>
  <c r="AA2893" i="11"/>
  <c r="AA2894" i="11"/>
  <c r="AA2895" i="11"/>
  <c r="AA2896" i="11"/>
  <c r="AA2897" i="11"/>
  <c r="AA2898" i="11"/>
  <c r="AA2899" i="11"/>
  <c r="AA2900" i="11"/>
  <c r="AA2901" i="11"/>
  <c r="AA2902" i="11"/>
  <c r="AA2903" i="11"/>
  <c r="AA2904" i="11"/>
  <c r="AA2905" i="11"/>
  <c r="AA2906" i="11"/>
  <c r="AA2907" i="11"/>
  <c r="AA2908" i="11"/>
  <c r="AA2909" i="11"/>
  <c r="AA2910" i="11"/>
  <c r="AA2911" i="11"/>
  <c r="AA2912" i="11"/>
  <c r="AA2913" i="11"/>
  <c r="AA2914" i="11"/>
  <c r="AA2915" i="11"/>
  <c r="AA2916" i="11"/>
  <c r="AA2917" i="11"/>
  <c r="AA2918" i="11"/>
  <c r="AA2919" i="11"/>
  <c r="AA2920" i="11"/>
  <c r="AA2921" i="11"/>
  <c r="AA2922" i="11"/>
  <c r="AA2923" i="11"/>
  <c r="AA2924" i="11"/>
  <c r="AA2925" i="11"/>
  <c r="AA2926" i="11"/>
  <c r="AA2927" i="11"/>
  <c r="AA2928" i="11"/>
  <c r="AA2929" i="11"/>
  <c r="AA2930" i="11"/>
  <c r="AA2931" i="11"/>
  <c r="AA2932" i="11"/>
  <c r="AA2933" i="11"/>
  <c r="AA2934" i="11"/>
  <c r="AA2935" i="11"/>
  <c r="AA2936" i="11"/>
  <c r="AA2937" i="11"/>
  <c r="AA2938" i="11"/>
  <c r="AA2939" i="11"/>
  <c r="AA2940" i="11"/>
  <c r="AA2941" i="11"/>
  <c r="AA2942" i="11"/>
  <c r="AA2943" i="11"/>
  <c r="AA2944" i="11"/>
  <c r="AA2945" i="11"/>
  <c r="AA2946" i="11"/>
  <c r="AA2947" i="11"/>
  <c r="AA2948" i="11"/>
  <c r="AA2949" i="11"/>
  <c r="AA2950" i="11"/>
  <c r="AA2951" i="11"/>
  <c r="AA2952" i="11"/>
  <c r="AA2953" i="11"/>
  <c r="AA2954" i="11"/>
  <c r="AA2955" i="11"/>
  <c r="AA2956" i="11"/>
  <c r="AA2957" i="11"/>
  <c r="AA2958" i="11"/>
  <c r="AA2959" i="11"/>
  <c r="AA2960" i="11"/>
  <c r="AA2961" i="11"/>
  <c r="AA2962" i="11"/>
  <c r="AA2963" i="11"/>
  <c r="AA2964" i="11"/>
  <c r="AA2965" i="11"/>
  <c r="AA2966" i="11"/>
  <c r="AA2967" i="11"/>
  <c r="AA2968" i="11"/>
  <c r="AA2969" i="11"/>
  <c r="AA2970" i="11"/>
  <c r="AA2971" i="11"/>
  <c r="AA2972" i="11"/>
  <c r="AA2973" i="11"/>
  <c r="AA2974" i="11"/>
  <c r="AA2975" i="11"/>
  <c r="AA2976" i="11"/>
  <c r="AA2977" i="11"/>
  <c r="AA2978" i="11"/>
  <c r="AA2979" i="11"/>
  <c r="AA2980" i="11"/>
  <c r="AA2981" i="11"/>
  <c r="AA2982" i="11"/>
  <c r="AA2983" i="11"/>
  <c r="AA2984" i="11"/>
  <c r="AA2985" i="11"/>
  <c r="AA2986" i="11"/>
  <c r="AA2987" i="11"/>
  <c r="AA2988" i="11"/>
  <c r="AA2989" i="11"/>
  <c r="AA2990" i="11"/>
  <c r="AA2991" i="11"/>
  <c r="AA2992" i="11"/>
  <c r="AA2993" i="11"/>
  <c r="AA2994" i="11"/>
  <c r="AA2995" i="11"/>
  <c r="AA2996" i="11"/>
  <c r="AA2997" i="11"/>
  <c r="AA2998" i="11"/>
  <c r="AA2999" i="11"/>
  <c r="AA3000" i="11"/>
  <c r="AA3001" i="11"/>
  <c r="AA3002" i="11"/>
  <c r="AA3003" i="11"/>
  <c r="AA3004" i="11"/>
  <c r="AA3005" i="11"/>
  <c r="AA3006" i="11"/>
  <c r="AA3007" i="11"/>
  <c r="AA3008" i="11"/>
  <c r="AA3009" i="11"/>
  <c r="AA3010" i="11"/>
  <c r="AA3011" i="11"/>
  <c r="AA3012" i="11"/>
  <c r="AA3013" i="11"/>
  <c r="AA3014" i="11"/>
  <c r="AA3015" i="11"/>
  <c r="AA3016" i="11"/>
  <c r="AA3017" i="11"/>
  <c r="AA3018" i="11"/>
  <c r="AA3019" i="11"/>
  <c r="AA3020" i="11"/>
  <c r="AA3021" i="11"/>
  <c r="AA3022" i="11"/>
  <c r="AA3023" i="11"/>
  <c r="AA3024" i="11"/>
  <c r="AA3025" i="11"/>
  <c r="AA3026" i="11"/>
  <c r="AA3027" i="11"/>
  <c r="AA3028" i="11"/>
  <c r="AA3029" i="11"/>
  <c r="AA3030" i="11"/>
  <c r="AA3031" i="11"/>
  <c r="AA3032" i="11"/>
  <c r="AA3033" i="11"/>
  <c r="AA3034" i="11"/>
  <c r="AA3035" i="11"/>
  <c r="AA3036" i="11"/>
  <c r="AA3037" i="11"/>
  <c r="AA3038" i="11"/>
  <c r="AA3039" i="11"/>
  <c r="AA3040" i="11"/>
  <c r="AA3041" i="11"/>
  <c r="AA3042" i="11"/>
  <c r="AA3043" i="11"/>
  <c r="AA3044" i="11"/>
  <c r="AA3045" i="11"/>
  <c r="AA3046" i="11"/>
  <c r="AA3047" i="11"/>
  <c r="AA3048" i="11"/>
  <c r="AA3049" i="11"/>
  <c r="AA3050" i="11"/>
  <c r="AA3051" i="11"/>
  <c r="AA3052" i="11"/>
  <c r="AA3053" i="11"/>
  <c r="AA3054" i="11"/>
  <c r="AA3055" i="11"/>
  <c r="AA3056" i="11"/>
  <c r="AA3057" i="11"/>
  <c r="AA3058" i="11"/>
  <c r="AA3059" i="11"/>
  <c r="AA3060" i="11"/>
  <c r="AA3061" i="11"/>
  <c r="AA3062" i="11"/>
  <c r="AA3063" i="11"/>
  <c r="AA3064" i="11"/>
  <c r="AA3065" i="11"/>
  <c r="AA3066" i="11"/>
  <c r="AA3067" i="11"/>
  <c r="AA3068" i="11"/>
  <c r="AA3069" i="11"/>
  <c r="AA3070" i="11"/>
  <c r="AA3071" i="11"/>
  <c r="AA3072" i="11"/>
  <c r="AA3073" i="11"/>
  <c r="AA3074" i="11"/>
  <c r="AA3075" i="11"/>
  <c r="AA3076" i="11"/>
  <c r="AA3077" i="11"/>
  <c r="AA3078" i="11"/>
  <c r="AA3079" i="11"/>
  <c r="AA3080" i="11"/>
  <c r="AA3081" i="11"/>
  <c r="AA3082" i="11"/>
  <c r="AA3083" i="11"/>
  <c r="AA3084" i="11"/>
  <c r="AA3085" i="11"/>
  <c r="AA3086" i="11"/>
  <c r="AA3087" i="11"/>
  <c r="AA3088" i="11"/>
  <c r="AA3089" i="11"/>
  <c r="AA3090" i="11"/>
  <c r="AA3091" i="11"/>
  <c r="AA3092" i="11"/>
  <c r="AA3093" i="11"/>
  <c r="AA3094" i="11"/>
  <c r="AA3095" i="11"/>
  <c r="AA3096" i="11"/>
  <c r="AA3097" i="11"/>
  <c r="AA3098" i="11"/>
  <c r="AA3099" i="11"/>
  <c r="AA3100" i="11"/>
  <c r="AA3101" i="11"/>
  <c r="AA3102" i="11"/>
  <c r="AA3103" i="11"/>
  <c r="AA3104" i="11"/>
  <c r="AA3105" i="11"/>
  <c r="AA3106" i="11"/>
  <c r="AA3107" i="11"/>
  <c r="AA3108" i="11"/>
  <c r="AA3109" i="11"/>
  <c r="AA3110" i="11"/>
  <c r="AA3111" i="11"/>
  <c r="AA3112" i="11"/>
  <c r="AA3113" i="11"/>
  <c r="AA3114" i="11"/>
  <c r="AA3115" i="11"/>
  <c r="AA3116" i="11"/>
  <c r="AA3117" i="11"/>
  <c r="AA3118" i="11"/>
  <c r="AA3119" i="11"/>
  <c r="AA3120" i="11"/>
  <c r="AA3121" i="11"/>
  <c r="AA3122" i="11"/>
  <c r="AA3123" i="11"/>
  <c r="AA3124" i="11"/>
  <c r="AA3125" i="11"/>
  <c r="AA3126" i="11"/>
  <c r="AA3127" i="11"/>
  <c r="AA3128" i="11"/>
  <c r="AA3129" i="11"/>
  <c r="AA3130" i="11"/>
  <c r="AA3131" i="11"/>
  <c r="AA3132" i="11"/>
  <c r="AA3133" i="11"/>
  <c r="AA3134" i="11"/>
  <c r="AA3135" i="11"/>
  <c r="AA3136" i="11"/>
  <c r="AA3137" i="11"/>
  <c r="AA3138" i="11"/>
  <c r="AA3139" i="11"/>
  <c r="AA3140" i="11"/>
  <c r="AA3141" i="11"/>
  <c r="AA3142" i="11"/>
  <c r="AA3143" i="11"/>
  <c r="AA3144" i="11"/>
  <c r="AA3145" i="11"/>
  <c r="AA3146" i="11"/>
  <c r="AA3147" i="11"/>
  <c r="AA3148" i="11"/>
  <c r="AA3149" i="11"/>
  <c r="AA3150" i="11"/>
  <c r="AA3151" i="11"/>
  <c r="AA3152" i="11"/>
  <c r="AA3153" i="11"/>
  <c r="AA3154" i="11"/>
  <c r="AA3155" i="11"/>
  <c r="AA3156" i="11"/>
  <c r="AA3157" i="11"/>
  <c r="AA3158" i="11"/>
  <c r="AA3159" i="11"/>
  <c r="AA3160" i="11"/>
  <c r="AA3161" i="11"/>
  <c r="AA3162" i="11"/>
  <c r="AA3163" i="11"/>
  <c r="AA3164" i="11"/>
  <c r="AA3165" i="11"/>
  <c r="AA3166" i="11"/>
  <c r="AA3167" i="11"/>
  <c r="AA3168" i="11"/>
  <c r="AA3169" i="11"/>
  <c r="AA3170" i="11"/>
  <c r="AA3171" i="11"/>
  <c r="AA3172" i="11"/>
  <c r="AA3173" i="11"/>
  <c r="AA3174" i="11"/>
  <c r="AA3175" i="11"/>
  <c r="AA3176" i="11"/>
  <c r="AA3177" i="11"/>
  <c r="AA3178" i="11"/>
  <c r="AA3179" i="11"/>
  <c r="AA3180" i="11"/>
  <c r="AA3181" i="11"/>
  <c r="AA3182" i="11"/>
  <c r="AA3183" i="11"/>
  <c r="AA3184" i="11"/>
  <c r="AA3185" i="11"/>
  <c r="AA3186" i="11"/>
  <c r="AA3187" i="11"/>
  <c r="AA3188" i="11"/>
  <c r="AA3189" i="11"/>
  <c r="AA3190" i="11"/>
  <c r="AA3191" i="11"/>
  <c r="AA3192" i="11"/>
  <c r="AA3193" i="11"/>
  <c r="AA3194" i="11"/>
  <c r="AA3195" i="11"/>
  <c r="AA3196" i="11"/>
  <c r="AA3197" i="11"/>
  <c r="AA3198" i="11"/>
  <c r="AA3199" i="11"/>
  <c r="AA3200" i="11"/>
  <c r="AA3201" i="11"/>
  <c r="AA3202" i="11"/>
  <c r="AA3203" i="11"/>
  <c r="AA3204" i="11"/>
  <c r="AA3205" i="11"/>
  <c r="AA3206" i="11"/>
  <c r="AA3207" i="11"/>
  <c r="AA3208" i="11"/>
  <c r="AA3209" i="11"/>
  <c r="AA3210" i="11"/>
  <c r="AA3211" i="11"/>
  <c r="AA3212" i="11"/>
  <c r="AA3213" i="11"/>
  <c r="AA3214" i="11"/>
  <c r="AA3215" i="11"/>
  <c r="AA3216" i="11"/>
  <c r="AA3217" i="11"/>
  <c r="AA3218" i="11"/>
  <c r="AA3219" i="11"/>
  <c r="AA3220" i="11"/>
  <c r="AA3221" i="11"/>
  <c r="AA3222" i="11"/>
  <c r="AA3223" i="11"/>
  <c r="AA3224" i="11"/>
  <c r="AA3225" i="11"/>
  <c r="AA3226" i="11"/>
  <c r="AA3227" i="11"/>
  <c r="AA3228" i="11"/>
  <c r="AA3229" i="11"/>
  <c r="AA3230" i="11"/>
  <c r="AA3231" i="11"/>
  <c r="AA3232" i="11"/>
  <c r="AA3233" i="11"/>
  <c r="AA3234" i="11"/>
  <c r="AA3235" i="11"/>
  <c r="AA3236" i="11"/>
  <c r="AA3237" i="11"/>
  <c r="AA3238" i="11"/>
  <c r="AA3239" i="11"/>
  <c r="AA3240" i="11"/>
  <c r="AA3241" i="11"/>
  <c r="AA3242" i="11"/>
  <c r="AA3243" i="11"/>
  <c r="AA3244" i="11"/>
  <c r="AA3245" i="11"/>
  <c r="AA3246" i="11"/>
  <c r="AA3247" i="11"/>
  <c r="AA3248" i="11"/>
  <c r="AA3249" i="11"/>
  <c r="AA3250" i="11"/>
  <c r="AA3251" i="11"/>
  <c r="AA3252" i="11"/>
  <c r="AA3253" i="11"/>
  <c r="AA3254" i="11"/>
  <c r="AA3255" i="11"/>
  <c r="AA3256" i="11"/>
  <c r="AA3257" i="11"/>
  <c r="AA3258" i="11"/>
  <c r="AA3259" i="11"/>
  <c r="AA3260" i="11"/>
  <c r="AA3261" i="11"/>
  <c r="AA3262" i="11"/>
  <c r="AA3263" i="11"/>
  <c r="AA3264" i="11"/>
  <c r="AA3265" i="11"/>
  <c r="AA3266" i="11"/>
  <c r="AA3267" i="11"/>
  <c r="AA3268" i="11"/>
  <c r="AA3269" i="11"/>
  <c r="AA3270" i="11"/>
  <c r="AA3271" i="11"/>
  <c r="AA3272" i="11"/>
  <c r="AA3273" i="11"/>
  <c r="AA3274" i="11"/>
  <c r="AA3275" i="11"/>
  <c r="AA3276" i="11"/>
  <c r="AA3277" i="11"/>
  <c r="AA3278" i="11"/>
  <c r="AA3279" i="11"/>
  <c r="AA3280" i="11"/>
  <c r="AA3281" i="11"/>
  <c r="AA3282" i="11"/>
  <c r="AA3283" i="11"/>
  <c r="AA3284" i="11"/>
  <c r="AA3285" i="11"/>
  <c r="AA3286" i="11"/>
  <c r="AA3287" i="11"/>
  <c r="AA3288" i="11"/>
  <c r="AA3289" i="11"/>
  <c r="AA3290" i="11"/>
  <c r="AA3291" i="11"/>
  <c r="AA3292" i="11"/>
  <c r="AA3293" i="11"/>
  <c r="AA3294" i="11"/>
  <c r="AA3295" i="11"/>
  <c r="AA3296" i="11"/>
  <c r="AA3297" i="11"/>
  <c r="AA3298" i="11"/>
  <c r="AA3299" i="11"/>
  <c r="AA3300" i="11"/>
  <c r="AA3301" i="11"/>
  <c r="AA3302" i="11"/>
  <c r="AA3303" i="11"/>
  <c r="AA3304" i="11"/>
  <c r="AA3305" i="11"/>
  <c r="AA3306" i="11"/>
  <c r="AA3307" i="11"/>
  <c r="AA3308" i="11"/>
  <c r="AA3309" i="11"/>
  <c r="AA3310" i="11"/>
  <c r="AA3311" i="11"/>
  <c r="AA3312" i="11"/>
  <c r="AA3313" i="11"/>
  <c r="AA3314" i="11"/>
  <c r="AA3315" i="11"/>
  <c r="AA3316" i="11"/>
  <c r="AA3317" i="11"/>
  <c r="AA3318" i="11"/>
  <c r="AA3319" i="11"/>
  <c r="AA3320" i="11"/>
  <c r="AA3321" i="11"/>
  <c r="AA3322" i="11"/>
  <c r="AA3323" i="11"/>
  <c r="AA3324" i="11"/>
  <c r="AA3325" i="11"/>
  <c r="AA3326" i="11"/>
  <c r="AA3327" i="11"/>
  <c r="AA3328" i="11"/>
  <c r="AA3329" i="11"/>
  <c r="AA3330" i="11"/>
  <c r="AA3331" i="11"/>
  <c r="AA3332" i="11"/>
  <c r="AA3333" i="11"/>
  <c r="AA3334" i="11"/>
  <c r="AA3335" i="11"/>
  <c r="AA3336" i="11"/>
  <c r="AA3337" i="11"/>
  <c r="AA3338" i="11"/>
  <c r="AA3339" i="11"/>
  <c r="AA3340" i="11"/>
  <c r="AA3341" i="11"/>
  <c r="AA3342" i="11"/>
  <c r="AA3343" i="11"/>
  <c r="AA3344" i="11"/>
  <c r="AA3345" i="11"/>
  <c r="AA3346" i="11"/>
  <c r="AA3347" i="11"/>
  <c r="AA3348" i="11"/>
  <c r="AA3349" i="11"/>
  <c r="AA3350" i="11"/>
  <c r="AA3351" i="11"/>
  <c r="AA3352" i="11"/>
  <c r="AA3353" i="11"/>
  <c r="AA3354" i="11"/>
  <c r="AA3355" i="11"/>
  <c r="AA3356" i="11"/>
  <c r="AA3357" i="11"/>
  <c r="AA3358" i="11"/>
  <c r="AA3359" i="11"/>
  <c r="AA3360" i="11"/>
  <c r="AA3361" i="11"/>
  <c r="AA3362" i="11"/>
  <c r="AA3363" i="11"/>
  <c r="AA3364" i="11"/>
  <c r="AA3365" i="11"/>
  <c r="AA3366" i="11"/>
  <c r="AA3367" i="11"/>
  <c r="AA3368" i="11"/>
  <c r="AA3369" i="11"/>
  <c r="AA3370" i="11"/>
  <c r="AA3371" i="11"/>
  <c r="AA3372" i="11"/>
  <c r="AA3373" i="11"/>
  <c r="AA3374" i="11"/>
  <c r="AA3375" i="11"/>
  <c r="AA3376" i="11"/>
  <c r="AA3377" i="11"/>
  <c r="AA3378" i="11"/>
  <c r="AA3379" i="11"/>
  <c r="AA3380" i="11"/>
  <c r="AA3381" i="11"/>
  <c r="AA3382" i="11"/>
  <c r="AA3383" i="11"/>
  <c r="AA3384" i="11"/>
  <c r="AA3385" i="11"/>
  <c r="AA3386" i="11"/>
  <c r="AA3387" i="11"/>
  <c r="AA3388" i="11"/>
  <c r="AA3389" i="11"/>
  <c r="AA3390" i="11"/>
  <c r="AA3391" i="11"/>
  <c r="AA3392" i="11"/>
  <c r="AA3393" i="11"/>
  <c r="AA3394" i="11"/>
  <c r="AA3395" i="11"/>
  <c r="AA3396" i="11"/>
  <c r="AA3397" i="11"/>
  <c r="AA3398" i="11"/>
  <c r="AA3399" i="11"/>
  <c r="AA3400" i="11"/>
  <c r="AA3401" i="11"/>
  <c r="AA3402" i="11"/>
  <c r="AA3403" i="11"/>
  <c r="AA3404" i="11"/>
  <c r="AA3405" i="11"/>
  <c r="AA3406" i="11"/>
  <c r="AA3407" i="11"/>
  <c r="AA3408" i="11"/>
  <c r="AA3409" i="11"/>
  <c r="AA3410" i="11"/>
  <c r="AA3411" i="11"/>
  <c r="AA3412" i="11"/>
  <c r="AA3413" i="11"/>
  <c r="AA3414" i="11"/>
  <c r="AA3415" i="11"/>
  <c r="AA3416" i="11"/>
  <c r="AA3417" i="11"/>
  <c r="AA3418" i="11"/>
  <c r="AA3419" i="11"/>
  <c r="AA3420" i="11"/>
  <c r="AA3421" i="11"/>
  <c r="AA3422" i="11"/>
  <c r="AA3423" i="11"/>
  <c r="AA3424" i="11"/>
  <c r="AA3425" i="11"/>
  <c r="AA3426" i="11"/>
  <c r="AA3427" i="11"/>
  <c r="AA3428" i="11"/>
  <c r="AA3429" i="11"/>
  <c r="AA3430" i="11"/>
  <c r="AA3431" i="11"/>
  <c r="AA3432" i="11"/>
  <c r="AA3433" i="11"/>
  <c r="AA3434" i="11"/>
  <c r="AA3435" i="11"/>
  <c r="AA3436" i="11"/>
  <c r="AA3437" i="11"/>
  <c r="AA3438" i="11"/>
  <c r="AA3439" i="11"/>
  <c r="AA3440" i="11"/>
  <c r="AA3441" i="11"/>
  <c r="AA3442" i="11"/>
  <c r="AA3443" i="11"/>
  <c r="AA3444" i="11"/>
  <c r="AA3445" i="11"/>
  <c r="AA3446" i="11"/>
  <c r="AA3447" i="11"/>
  <c r="AA3448" i="11"/>
  <c r="AA3449" i="11"/>
  <c r="AA3450" i="11"/>
  <c r="AA3451" i="11"/>
  <c r="AA3452" i="11"/>
  <c r="AA3453" i="11"/>
  <c r="AA3454" i="11"/>
  <c r="AA3455" i="11"/>
  <c r="AA3456" i="11"/>
  <c r="AA3457" i="11"/>
  <c r="AA3458" i="11"/>
  <c r="AA3459" i="11"/>
  <c r="AA3460" i="11"/>
  <c r="AA3461" i="11"/>
  <c r="AA3462" i="11"/>
  <c r="AA3463" i="11"/>
  <c r="AA3464" i="11"/>
  <c r="AA3465" i="11"/>
  <c r="AA3466" i="11"/>
  <c r="AA3467" i="11"/>
  <c r="AA3468" i="11"/>
  <c r="AA3469" i="11"/>
  <c r="AA3470" i="11"/>
  <c r="AA3471" i="11"/>
  <c r="AA3472" i="11"/>
  <c r="AA3473" i="11"/>
  <c r="AA3474" i="11"/>
  <c r="AA3475" i="11"/>
  <c r="AA3476" i="11"/>
  <c r="AA3477" i="11"/>
  <c r="AA3478" i="11"/>
  <c r="AA3479" i="11"/>
  <c r="AA3480" i="11"/>
  <c r="AA3481" i="11"/>
  <c r="AA3482" i="11"/>
  <c r="AA3483" i="11"/>
  <c r="AA3484" i="11"/>
  <c r="AA3485" i="11"/>
  <c r="AA3486" i="11"/>
  <c r="AA3487" i="11"/>
  <c r="AA3488" i="11"/>
  <c r="AA3489" i="11"/>
  <c r="AA3490" i="11"/>
  <c r="AA3491" i="11"/>
  <c r="AA3492" i="11"/>
  <c r="AA3493" i="11"/>
  <c r="AA3494" i="11"/>
  <c r="AA3495" i="11"/>
  <c r="AA3496" i="11"/>
  <c r="AA3497" i="11"/>
  <c r="AA3498" i="11"/>
  <c r="AA3499" i="11"/>
  <c r="AA3500" i="11"/>
  <c r="AA3501" i="11"/>
  <c r="AA3502" i="11"/>
  <c r="AA3503" i="11"/>
  <c r="AA3504" i="11"/>
  <c r="AA3505" i="11"/>
  <c r="AA3506" i="11"/>
  <c r="AA3507" i="11"/>
  <c r="AA3508" i="11"/>
  <c r="AA3509" i="11"/>
  <c r="AA3510" i="11"/>
  <c r="AA3511" i="11"/>
  <c r="AA3512" i="11"/>
  <c r="AA3513" i="11"/>
  <c r="AA3514" i="11"/>
  <c r="AA3515" i="11"/>
  <c r="AA3516" i="11"/>
  <c r="AA3517" i="11"/>
  <c r="AA3518" i="11"/>
  <c r="AA3519" i="11"/>
  <c r="AA3520" i="11"/>
  <c r="AA3521" i="11"/>
  <c r="AA3522" i="11"/>
  <c r="AA3523" i="11"/>
  <c r="AA3524" i="11"/>
  <c r="AA3525" i="11"/>
  <c r="AA3526" i="11"/>
  <c r="AA3527" i="11"/>
  <c r="AA3528" i="11"/>
  <c r="AA3529" i="11"/>
  <c r="AA3530" i="11"/>
  <c r="AA3531" i="11"/>
  <c r="AA3532" i="11"/>
  <c r="AA3533" i="11"/>
  <c r="AA3534" i="11"/>
  <c r="AA3535" i="11"/>
  <c r="AA3536" i="11"/>
  <c r="AA3537" i="11"/>
  <c r="AA3538" i="11"/>
  <c r="AA3539" i="11"/>
  <c r="AA3540" i="11"/>
  <c r="AA3541" i="11"/>
  <c r="AA3542" i="11"/>
  <c r="AA3543" i="11"/>
  <c r="AA3544" i="11"/>
  <c r="AA3545" i="11"/>
  <c r="AA3546" i="11"/>
  <c r="AA3547" i="11"/>
  <c r="AA3548" i="11"/>
  <c r="AA3549" i="11"/>
  <c r="AA3550" i="11"/>
  <c r="AA3551" i="11"/>
  <c r="AA3552" i="11"/>
  <c r="AA3553" i="11"/>
  <c r="AA3554" i="11"/>
  <c r="AA3555" i="11"/>
  <c r="AA3556" i="11"/>
  <c r="AA3557" i="11"/>
  <c r="AA3558" i="11"/>
  <c r="AA3559" i="11"/>
  <c r="AA3560" i="11"/>
  <c r="AA3561" i="11"/>
  <c r="AA3562" i="11"/>
  <c r="AA3563" i="11"/>
  <c r="AA3564" i="11"/>
  <c r="AA3565" i="11"/>
  <c r="AA3566" i="11"/>
  <c r="AA3567" i="11"/>
  <c r="AA3568" i="11"/>
  <c r="AA3569" i="11"/>
  <c r="AA3570" i="11"/>
  <c r="AA3571" i="11"/>
  <c r="AA3572" i="11"/>
  <c r="AA3573" i="11"/>
  <c r="AA3574" i="11"/>
  <c r="AA3575" i="11"/>
  <c r="AA3576" i="11"/>
  <c r="AA3577" i="11"/>
  <c r="AA3578" i="11"/>
  <c r="AA3579" i="11"/>
  <c r="AA3580" i="11"/>
  <c r="AA3581" i="11"/>
  <c r="AA3582" i="11"/>
  <c r="AA3583" i="11"/>
  <c r="AA3584" i="11"/>
  <c r="AA3585" i="11"/>
  <c r="AA3586" i="11"/>
  <c r="AA3587" i="11"/>
  <c r="AA3588" i="11"/>
  <c r="AA3589" i="11"/>
  <c r="AA3590" i="11"/>
  <c r="AA3591" i="11"/>
  <c r="AA3592" i="11"/>
  <c r="AA3593" i="11"/>
  <c r="AA3594" i="11"/>
  <c r="AA3595" i="11"/>
  <c r="AA3596" i="11"/>
  <c r="AA3597" i="11"/>
  <c r="AA3598" i="11"/>
  <c r="AA3599" i="11"/>
  <c r="AA3600" i="11"/>
  <c r="AA3601" i="11"/>
  <c r="AA3602" i="11"/>
  <c r="AA3603" i="11"/>
  <c r="AA3604" i="11"/>
  <c r="AA3605" i="11"/>
  <c r="AA3606" i="11"/>
  <c r="AA3607" i="11"/>
  <c r="AA3608" i="11"/>
  <c r="AA3609" i="11"/>
  <c r="AA3610" i="11"/>
  <c r="AA3611" i="11"/>
  <c r="AA3612" i="11"/>
  <c r="AA3613" i="11"/>
  <c r="AA3614" i="11"/>
  <c r="AA3615" i="11"/>
  <c r="AA3616" i="11"/>
  <c r="AA3617" i="11"/>
  <c r="AA3618" i="11"/>
  <c r="AA3619" i="11"/>
  <c r="AA3620" i="11"/>
  <c r="AA3621" i="11"/>
  <c r="AA3622" i="11"/>
  <c r="AA3623" i="11"/>
  <c r="AA3624" i="11"/>
  <c r="AA3625" i="11"/>
  <c r="AA3626" i="11"/>
  <c r="AA3627" i="11"/>
  <c r="AA3628" i="11"/>
  <c r="AA3629" i="11"/>
  <c r="AA3630" i="11"/>
  <c r="AA3631" i="11"/>
  <c r="AA3632" i="11"/>
  <c r="AA3633" i="11"/>
  <c r="AA3634" i="11"/>
  <c r="AA3635" i="11"/>
  <c r="AA3636" i="11"/>
  <c r="AA3637" i="11"/>
  <c r="AA3638" i="11"/>
  <c r="AA3639" i="11"/>
  <c r="AA3640" i="11"/>
  <c r="AA3641" i="11"/>
  <c r="AA3642" i="11"/>
  <c r="AA3643" i="11"/>
  <c r="AA3644" i="11"/>
  <c r="AA3645" i="11"/>
  <c r="AA3646" i="11"/>
  <c r="AA3647" i="11"/>
  <c r="AA3648" i="11"/>
  <c r="AA3649" i="11"/>
  <c r="AA3650" i="11"/>
  <c r="AA3651" i="11"/>
  <c r="AA3652" i="11"/>
  <c r="AA3653" i="11"/>
  <c r="AA3654" i="11"/>
  <c r="AA3655" i="11"/>
  <c r="AA3656" i="11"/>
  <c r="AA3657" i="11"/>
  <c r="AA3658" i="11"/>
  <c r="AA3659" i="11"/>
  <c r="AA3660" i="11"/>
  <c r="AA3661" i="11"/>
  <c r="AA3662" i="11"/>
  <c r="AA3663" i="11"/>
  <c r="AA3664" i="11"/>
  <c r="AA3665" i="11"/>
  <c r="AA3666" i="11"/>
  <c r="AA3667" i="11"/>
  <c r="AA3668" i="11"/>
  <c r="AA3669" i="11"/>
  <c r="AA3670" i="11"/>
  <c r="AA3671" i="11"/>
  <c r="AA3672" i="11"/>
  <c r="AA3673" i="11"/>
  <c r="AA3674" i="11"/>
  <c r="AA3675" i="11"/>
  <c r="AA3676" i="11"/>
  <c r="AA3677" i="11"/>
  <c r="AA3678" i="11"/>
  <c r="AA3679" i="11"/>
  <c r="AA3680" i="11"/>
  <c r="AA3681" i="11"/>
  <c r="AA3682" i="11"/>
  <c r="AA3683" i="11"/>
  <c r="AA3684" i="11"/>
  <c r="AA3685" i="11"/>
  <c r="AA3686" i="11"/>
  <c r="AA3687" i="11"/>
  <c r="AA3688" i="11"/>
  <c r="AA3689" i="11"/>
  <c r="AA3690" i="11"/>
  <c r="AA3691" i="11"/>
  <c r="AA3692" i="11"/>
  <c r="AA3693" i="11"/>
  <c r="AA3694" i="11"/>
  <c r="AA3695" i="11"/>
  <c r="AA3696" i="11"/>
  <c r="AA3697" i="11"/>
  <c r="AA3698" i="11"/>
  <c r="AA3699" i="11"/>
  <c r="AA3700" i="11"/>
  <c r="AA3701" i="11"/>
  <c r="AA3702" i="11"/>
  <c r="AA3703" i="11"/>
  <c r="AA3704" i="11"/>
  <c r="AA3705" i="11"/>
  <c r="AA3706" i="11"/>
  <c r="AA3707" i="11"/>
  <c r="AA3708" i="11"/>
  <c r="AA3709" i="11"/>
  <c r="AA3710" i="11"/>
  <c r="AA3711" i="11"/>
  <c r="AA3712" i="11"/>
  <c r="AA3713" i="11"/>
  <c r="AA3714" i="11"/>
  <c r="AA3715" i="11"/>
  <c r="AA3716" i="11"/>
  <c r="AA3717" i="11"/>
  <c r="AA3718" i="11"/>
  <c r="AA3719" i="11"/>
  <c r="AA3720" i="11"/>
  <c r="AA3721" i="11"/>
  <c r="AA3722" i="11"/>
  <c r="AA3723" i="11"/>
  <c r="AA3724" i="11"/>
  <c r="AA3725" i="11"/>
  <c r="AA3726" i="11"/>
  <c r="AA3727" i="11"/>
  <c r="AA3728" i="11"/>
  <c r="AA3729" i="11"/>
  <c r="AA3730" i="11"/>
  <c r="AA3731" i="11"/>
  <c r="AA3732" i="11"/>
  <c r="AA3733" i="11"/>
  <c r="AA3734" i="11"/>
  <c r="AA3735" i="11"/>
  <c r="AA3736" i="11"/>
  <c r="AA3737" i="11"/>
  <c r="AA3738" i="11"/>
  <c r="AA3739" i="11"/>
  <c r="AA3740" i="11"/>
  <c r="AA3741" i="11"/>
  <c r="AA3742" i="11"/>
  <c r="AA3743" i="11"/>
  <c r="AA3744" i="11"/>
  <c r="AA3745" i="11"/>
  <c r="AA3746" i="11"/>
  <c r="AA3747" i="11"/>
  <c r="AA3748" i="11"/>
  <c r="AA3749" i="11"/>
  <c r="AA3750" i="11"/>
  <c r="AA3751" i="11"/>
  <c r="AA3752" i="11"/>
  <c r="AA3753" i="11"/>
  <c r="AA3754" i="11"/>
  <c r="AA3755" i="11"/>
  <c r="AA3756" i="11"/>
  <c r="AA3757" i="11"/>
  <c r="AA3758" i="11"/>
  <c r="AA3759" i="11"/>
  <c r="AA3760" i="11"/>
  <c r="AA3761" i="11"/>
  <c r="AA3762" i="11"/>
  <c r="AA3763" i="11"/>
  <c r="AA3764" i="11"/>
  <c r="AA3765" i="11"/>
  <c r="AA3766" i="11"/>
  <c r="AA3767" i="11"/>
  <c r="AA3768" i="11"/>
  <c r="AA3769" i="11"/>
  <c r="AA3770" i="11"/>
  <c r="AA3771" i="11"/>
  <c r="AA3772" i="11"/>
  <c r="AA3773" i="11"/>
  <c r="AA3774" i="11"/>
  <c r="AA3775" i="11"/>
  <c r="AA3776" i="11"/>
  <c r="AA3777" i="11"/>
  <c r="AA3778" i="11"/>
  <c r="AA3779" i="11"/>
  <c r="AA3780" i="11"/>
  <c r="AA3781" i="11"/>
  <c r="AA3782" i="11"/>
  <c r="AA3783" i="11"/>
  <c r="AA3784" i="11"/>
  <c r="AA3785" i="11"/>
  <c r="AA3786" i="11"/>
  <c r="AA3787" i="11"/>
  <c r="AA3788" i="11"/>
  <c r="AA3789" i="11"/>
  <c r="AA3790" i="11"/>
  <c r="AA3791" i="11"/>
  <c r="AA3792" i="11"/>
  <c r="AA3793" i="11"/>
  <c r="AA3794" i="11"/>
  <c r="AA3795" i="11"/>
  <c r="AA3796" i="11"/>
  <c r="AA3797" i="11"/>
  <c r="AA3798" i="11"/>
  <c r="AA3799" i="11"/>
  <c r="AA3800" i="11"/>
  <c r="AA3801" i="11"/>
  <c r="AA3802" i="11"/>
  <c r="AA3803" i="11"/>
  <c r="AA3804" i="11"/>
  <c r="AA3805" i="11"/>
  <c r="AA3806" i="11"/>
  <c r="AA3807" i="11"/>
  <c r="AA3808" i="11"/>
  <c r="AA3809" i="11"/>
  <c r="AA3810" i="11"/>
  <c r="AA3811" i="11"/>
  <c r="AA3812" i="11"/>
  <c r="AA3813" i="11"/>
  <c r="AA3814" i="11"/>
  <c r="AA3815" i="11"/>
  <c r="AA3816" i="11"/>
  <c r="AA3817" i="11"/>
  <c r="AA3818" i="11"/>
  <c r="AA3819" i="11"/>
  <c r="AA3820" i="11"/>
  <c r="AA3821" i="11"/>
  <c r="AA3822" i="11"/>
  <c r="AA3823" i="11"/>
  <c r="AA3824" i="11"/>
  <c r="AA3825" i="11"/>
  <c r="AA3826" i="11"/>
  <c r="AA3827" i="11"/>
  <c r="AA3828" i="11"/>
  <c r="AA3829" i="11"/>
  <c r="AA3830" i="11"/>
  <c r="AA3831" i="11"/>
  <c r="AA3832" i="11"/>
  <c r="AA3833" i="11"/>
  <c r="AA3834" i="11"/>
  <c r="AA3835" i="11"/>
  <c r="AA3836" i="11"/>
  <c r="AA3837" i="11"/>
  <c r="AA3838" i="11"/>
  <c r="AA3839" i="11"/>
  <c r="AA3840" i="11"/>
  <c r="AA3841" i="11"/>
  <c r="AA3842" i="11"/>
  <c r="AA3843" i="11"/>
  <c r="AA3844" i="11"/>
  <c r="AA3845" i="11"/>
  <c r="AA3846" i="11"/>
  <c r="AA3847" i="11"/>
  <c r="AA3848" i="11"/>
  <c r="AA3849" i="11"/>
  <c r="AA3850" i="11"/>
  <c r="AA3851" i="11"/>
  <c r="AA3852" i="11"/>
  <c r="AA3853" i="11"/>
  <c r="AA3854" i="11"/>
  <c r="AA3855" i="11"/>
  <c r="AA3856" i="11"/>
  <c r="AA3857" i="11"/>
  <c r="AA3858" i="11"/>
  <c r="AA3859" i="11"/>
  <c r="AA3860" i="11"/>
  <c r="AA3861" i="11"/>
  <c r="AA3862" i="11"/>
  <c r="AA3863" i="11"/>
  <c r="AA3864" i="11"/>
  <c r="AA3865" i="11"/>
  <c r="AA3866" i="11"/>
  <c r="AA3867" i="11"/>
  <c r="AA3868" i="11"/>
  <c r="AA3869" i="11"/>
  <c r="AA3870" i="11"/>
  <c r="AA3871" i="11"/>
  <c r="AA3872" i="11"/>
  <c r="AA3873" i="11"/>
  <c r="AA3874" i="11"/>
  <c r="AA3875" i="11"/>
  <c r="AA3876" i="11"/>
  <c r="AA3877" i="11"/>
  <c r="AA3878" i="11"/>
  <c r="AA3879" i="11"/>
  <c r="AA3880" i="11"/>
  <c r="AA3881" i="11"/>
  <c r="AA3882" i="11"/>
  <c r="AA3883" i="11"/>
  <c r="AA3884" i="11"/>
  <c r="AA3885" i="11"/>
  <c r="AA3886" i="11"/>
  <c r="AA3887" i="11"/>
  <c r="AA3888" i="11"/>
  <c r="AA3889" i="11"/>
  <c r="AA3890" i="11"/>
  <c r="AA3891" i="11"/>
  <c r="AA3892" i="11"/>
  <c r="AA3893" i="11"/>
  <c r="AA3894" i="11"/>
  <c r="AA3895" i="11"/>
  <c r="AA3896" i="11"/>
  <c r="AA3897" i="11"/>
  <c r="AA3898" i="11"/>
  <c r="AA3899" i="11"/>
  <c r="AA3900" i="11"/>
  <c r="AA3901" i="11"/>
  <c r="AA3902" i="11"/>
  <c r="AA3903" i="11"/>
  <c r="AA3904" i="11"/>
  <c r="AA3905" i="11"/>
  <c r="AA3906" i="11"/>
  <c r="AA3907" i="11"/>
  <c r="AA3908" i="11"/>
  <c r="AA3909" i="11"/>
  <c r="AA3910" i="11"/>
  <c r="AA3911" i="11"/>
  <c r="AA3912" i="11"/>
  <c r="AA3913" i="11"/>
  <c r="AA3914" i="11"/>
  <c r="AA3915" i="11"/>
  <c r="AA3916" i="11"/>
  <c r="AA3917" i="11"/>
  <c r="AA3918" i="11"/>
  <c r="AA3919" i="11"/>
  <c r="AA3920" i="11"/>
  <c r="AA3921" i="11"/>
  <c r="AA3922" i="11"/>
  <c r="AA3923" i="11"/>
  <c r="AA3924" i="11"/>
  <c r="AA3925" i="11"/>
  <c r="AA3926" i="11"/>
  <c r="AA3927" i="11"/>
  <c r="AA3928" i="11"/>
  <c r="AA3929" i="11"/>
  <c r="AA3930" i="11"/>
  <c r="AA3931" i="11"/>
  <c r="AA3932" i="11"/>
  <c r="AA3933" i="11"/>
  <c r="AA3934" i="11"/>
  <c r="AA3935" i="11"/>
  <c r="AA3936" i="11"/>
  <c r="AA3937" i="11"/>
  <c r="AA3938" i="11"/>
  <c r="AA3939" i="11"/>
  <c r="AA3940" i="11"/>
  <c r="AA3941" i="11"/>
  <c r="AA3942" i="11"/>
  <c r="AA3943" i="11"/>
  <c r="AA3944" i="11"/>
  <c r="AA3945" i="11"/>
  <c r="AA3946" i="11"/>
  <c r="AA3947" i="11"/>
  <c r="AA3948" i="11"/>
  <c r="AA3949" i="11"/>
  <c r="AA3950" i="11"/>
  <c r="AA3951" i="11"/>
  <c r="AA3952" i="11"/>
  <c r="AA3953" i="11"/>
  <c r="AA3954" i="11"/>
  <c r="AA3955" i="11"/>
  <c r="AA3956" i="11"/>
  <c r="AA3957" i="11"/>
  <c r="AA3958" i="11"/>
  <c r="AA3959" i="11"/>
  <c r="AA3960" i="11"/>
  <c r="AA3961" i="11"/>
  <c r="AA3962" i="11"/>
  <c r="AA3963" i="11"/>
  <c r="AA3964" i="11"/>
  <c r="AA3965" i="11"/>
  <c r="AA3966" i="11"/>
  <c r="AA3967" i="11"/>
  <c r="AA3968" i="11"/>
  <c r="AA3969" i="11"/>
  <c r="AA3970" i="11"/>
  <c r="AA3971" i="11"/>
  <c r="AA3972" i="11"/>
  <c r="AA3973" i="11"/>
  <c r="AA3974" i="11"/>
  <c r="AA3975" i="11"/>
  <c r="AA3976" i="11"/>
  <c r="AA3977" i="11"/>
  <c r="AA3978" i="11"/>
  <c r="AA3979" i="11"/>
  <c r="AA3980" i="11"/>
  <c r="AA3981" i="11"/>
  <c r="AA3982" i="11"/>
  <c r="AA3983" i="11"/>
  <c r="AA3984" i="11"/>
  <c r="AA3985" i="11"/>
  <c r="AA3986" i="11"/>
  <c r="AA3987" i="11"/>
  <c r="AA3988" i="11"/>
  <c r="AA3989" i="11"/>
  <c r="AA3990" i="11"/>
  <c r="AA3991" i="11"/>
  <c r="AA3992" i="11"/>
  <c r="AA3993" i="11"/>
  <c r="AA3994" i="11"/>
  <c r="AA3995" i="11"/>
  <c r="AA3996" i="11"/>
  <c r="AA3997" i="11"/>
  <c r="AA3998" i="11"/>
  <c r="AA3999" i="11"/>
  <c r="AA4000" i="11"/>
  <c r="AA4001" i="11"/>
  <c r="AA4002" i="11"/>
  <c r="AA4003" i="11"/>
  <c r="AA4004" i="11"/>
  <c r="AA4005" i="11"/>
  <c r="AA4006" i="11"/>
  <c r="AA4007" i="11"/>
  <c r="AA4008" i="11"/>
  <c r="AA4009" i="11"/>
  <c r="AA4010" i="11"/>
  <c r="AA4011" i="11"/>
  <c r="AA4012" i="11"/>
  <c r="AA4013" i="11"/>
  <c r="AA4014" i="11"/>
  <c r="AA4015" i="11"/>
  <c r="AA4016" i="11"/>
  <c r="AA4017" i="11"/>
  <c r="AA4018" i="11"/>
  <c r="AA4019" i="11"/>
  <c r="AA4020" i="11"/>
  <c r="AA4021" i="11"/>
  <c r="AA4022" i="11"/>
  <c r="AA4023" i="11"/>
  <c r="AA4024" i="11"/>
  <c r="AA4025" i="11"/>
  <c r="AA4026" i="11"/>
  <c r="AA4027" i="11"/>
  <c r="AA4028" i="11"/>
  <c r="AA4029" i="11"/>
  <c r="AA4030" i="11"/>
  <c r="AA4031" i="11"/>
  <c r="AA4032" i="11"/>
  <c r="AA4033" i="11"/>
  <c r="AA4034" i="11"/>
  <c r="AA4035" i="11"/>
  <c r="AA4036" i="11"/>
  <c r="AA4037" i="11"/>
  <c r="AA4038" i="11"/>
  <c r="AA4039" i="11"/>
  <c r="AA4040" i="11"/>
  <c r="AA4041" i="11"/>
  <c r="AA4042" i="11"/>
  <c r="AA4043" i="11"/>
  <c r="AA4044" i="11"/>
  <c r="AA4045" i="11"/>
  <c r="AA4046" i="11"/>
  <c r="AA4047" i="11"/>
  <c r="AA4048" i="11"/>
  <c r="AA4049" i="11"/>
  <c r="AA4050" i="11"/>
  <c r="AA4051" i="11"/>
  <c r="AA4052" i="11"/>
  <c r="AA4053" i="11"/>
  <c r="AA4054" i="11"/>
  <c r="AA4055" i="11"/>
  <c r="AA4056" i="11"/>
  <c r="AA4057" i="11"/>
  <c r="AA4058" i="11"/>
  <c r="AA4059" i="11"/>
  <c r="AA4060" i="11"/>
  <c r="AA4061" i="11"/>
  <c r="AA4062" i="11"/>
  <c r="AA4063" i="11"/>
  <c r="AA4064" i="11"/>
  <c r="AA4065" i="11"/>
  <c r="AA4066" i="11"/>
  <c r="AA4067" i="11"/>
  <c r="AA4068" i="11"/>
  <c r="AA4069" i="11"/>
  <c r="AA4070" i="11"/>
  <c r="AA4071" i="11"/>
  <c r="AA4072" i="11"/>
  <c r="AA4073" i="11"/>
  <c r="AA4074" i="11"/>
  <c r="AA4075" i="11"/>
  <c r="AA4076" i="11"/>
  <c r="AA4077" i="11"/>
  <c r="AA4078" i="11"/>
  <c r="AA4079" i="11"/>
  <c r="AA4080" i="11"/>
  <c r="AA4081" i="11"/>
  <c r="AA4082" i="11"/>
  <c r="AA4083" i="11"/>
  <c r="AA4084" i="11"/>
  <c r="AA4085" i="11"/>
  <c r="AA4086" i="11"/>
  <c r="AA4087" i="11"/>
  <c r="AA4088" i="11"/>
  <c r="AA4089" i="11"/>
  <c r="AA4090" i="11"/>
  <c r="AA4091" i="11"/>
  <c r="AA4092" i="11"/>
  <c r="AA4093" i="11"/>
  <c r="AA4094" i="11"/>
  <c r="AA4095" i="11"/>
  <c r="AA4096" i="11"/>
  <c r="AA4097" i="11"/>
  <c r="AA4098" i="11"/>
  <c r="AA4099" i="11"/>
  <c r="AA4100" i="11"/>
  <c r="AA4101" i="11"/>
  <c r="AA4102" i="11"/>
  <c r="AA4103" i="11"/>
  <c r="AA4104" i="11"/>
  <c r="AA4105" i="11"/>
  <c r="AA4106" i="11"/>
  <c r="AA4107" i="11"/>
  <c r="AA4108" i="11"/>
  <c r="AA4109" i="11"/>
  <c r="AA4110" i="11"/>
  <c r="AA4111" i="11"/>
  <c r="AA4112" i="11"/>
  <c r="AA4113" i="11"/>
  <c r="AA4114" i="11"/>
  <c r="AA4115" i="11"/>
  <c r="AA4116" i="11"/>
  <c r="AA4117" i="11"/>
  <c r="AA4118" i="11"/>
  <c r="AA4119" i="11"/>
  <c r="AA4120" i="11"/>
  <c r="AA4121" i="11"/>
  <c r="AA4122" i="11"/>
  <c r="AA4123" i="11"/>
  <c r="AA4124" i="11"/>
  <c r="AA4125" i="11"/>
  <c r="AA4126" i="11"/>
  <c r="AA4127" i="11"/>
  <c r="AA4128" i="11"/>
  <c r="AA4129" i="11"/>
  <c r="AA4130" i="11"/>
  <c r="AA4131" i="11"/>
  <c r="AA4132" i="11"/>
  <c r="AA4133" i="11"/>
  <c r="AA4134" i="11"/>
  <c r="AA4135" i="11"/>
  <c r="AA4136" i="11"/>
  <c r="AA4137" i="11"/>
  <c r="AA4138" i="11"/>
  <c r="AA4139" i="11"/>
  <c r="AA4140" i="11"/>
  <c r="AA4141" i="11"/>
  <c r="AA4142" i="11"/>
  <c r="AA4143" i="11"/>
  <c r="AA4144" i="11"/>
  <c r="AA4145" i="11"/>
  <c r="AA4146" i="11"/>
  <c r="AA4147" i="11"/>
  <c r="AA4148" i="11"/>
  <c r="AA4149" i="11"/>
  <c r="AA4150" i="11"/>
  <c r="AA4151" i="11"/>
  <c r="AA4152" i="11"/>
  <c r="AA4153" i="11"/>
  <c r="AA4154" i="11"/>
  <c r="AA4155" i="11"/>
  <c r="AA4156" i="11"/>
  <c r="AA4157" i="11"/>
  <c r="AA4158" i="11"/>
  <c r="AA4159" i="11"/>
  <c r="AA4160" i="11"/>
  <c r="AA4161" i="11"/>
  <c r="AA4162" i="11"/>
  <c r="AA4163" i="11"/>
  <c r="AA4164" i="11"/>
  <c r="AA4165" i="11"/>
  <c r="AA4166" i="11"/>
  <c r="AA4167" i="11"/>
  <c r="AA4168" i="11"/>
  <c r="AA4169" i="11"/>
  <c r="AA4170" i="11"/>
  <c r="AA4171" i="11"/>
  <c r="AA4172" i="11"/>
  <c r="AA4173" i="11"/>
  <c r="AA4174" i="11"/>
  <c r="AA4175" i="11"/>
  <c r="AA4176" i="11"/>
  <c r="AA4177" i="11"/>
  <c r="AA4178" i="11"/>
  <c r="AA4179" i="11"/>
  <c r="AA4180" i="11"/>
  <c r="AA4181" i="11"/>
  <c r="AA4182" i="11"/>
  <c r="AA4183" i="11"/>
  <c r="AA4184" i="11"/>
  <c r="AA4185" i="11"/>
  <c r="AA4186" i="11"/>
  <c r="AA4187" i="11"/>
  <c r="AA4188" i="11"/>
  <c r="AA4189" i="11"/>
  <c r="AA4190" i="11"/>
  <c r="AA4191" i="11"/>
  <c r="AA4192" i="11"/>
  <c r="AA4193" i="11"/>
  <c r="AA4194" i="11"/>
  <c r="AA4195" i="11"/>
  <c r="AA4196" i="11"/>
  <c r="AA4197" i="11"/>
  <c r="AA4198" i="11"/>
  <c r="AA4199" i="11"/>
  <c r="AA4200" i="11"/>
  <c r="AA4201" i="11"/>
  <c r="AA4202" i="11"/>
  <c r="AA4203" i="11"/>
  <c r="AA4204" i="11"/>
  <c r="AA4205" i="11"/>
  <c r="AA4206" i="11"/>
  <c r="AA4207" i="11"/>
  <c r="AA4208" i="11"/>
  <c r="AA4209" i="11"/>
  <c r="AA4210" i="11"/>
  <c r="AA4211" i="11"/>
  <c r="AA4212" i="11"/>
  <c r="AA4213" i="11"/>
  <c r="AA4214" i="11"/>
  <c r="AA4215" i="11"/>
  <c r="AA4216" i="11"/>
  <c r="AA4217" i="11"/>
  <c r="AA4218" i="11"/>
  <c r="AA4219" i="11"/>
  <c r="AA4220" i="11"/>
  <c r="AA4221" i="11"/>
  <c r="AA4222" i="11"/>
  <c r="AA4223" i="11"/>
  <c r="AA4224" i="11"/>
  <c r="AA4225" i="11"/>
  <c r="AA4226" i="11"/>
  <c r="AA4227" i="11"/>
  <c r="AA4228" i="11"/>
  <c r="AA4229" i="11"/>
  <c r="AA4230" i="11"/>
  <c r="AA4231" i="11"/>
  <c r="AA4232" i="11"/>
  <c r="AA4233" i="11"/>
  <c r="AA4234" i="11"/>
  <c r="AA4235" i="11"/>
  <c r="AA4236" i="11"/>
  <c r="AA4237" i="11"/>
  <c r="AA4238" i="11"/>
  <c r="AA4239" i="11"/>
  <c r="AA4240" i="11"/>
  <c r="AA4241" i="11"/>
  <c r="AA4242" i="11"/>
  <c r="AA4243" i="11"/>
  <c r="AA4244" i="11"/>
  <c r="AA4245" i="11"/>
  <c r="AA4246" i="11"/>
  <c r="AA4247" i="11"/>
  <c r="AA4248" i="11"/>
  <c r="AA4249" i="11"/>
  <c r="AA4250" i="11"/>
  <c r="AA4251" i="11"/>
  <c r="AA4252" i="11"/>
  <c r="AA4253" i="11"/>
  <c r="AA4254" i="11"/>
  <c r="AA4255" i="11"/>
  <c r="AA4256" i="11"/>
  <c r="AA4257" i="11"/>
  <c r="AA4258" i="11"/>
  <c r="AA4259" i="11"/>
  <c r="AA4260" i="11"/>
  <c r="AA4261" i="11"/>
  <c r="AA4262" i="11"/>
  <c r="AA4263" i="11"/>
  <c r="AA4264" i="11"/>
  <c r="AA4265" i="11"/>
  <c r="AA4266" i="11"/>
  <c r="AA4267" i="11"/>
  <c r="AA4268" i="11"/>
  <c r="AA4269" i="11"/>
  <c r="AA4270" i="11"/>
  <c r="AA4271" i="11"/>
  <c r="AA4272" i="11"/>
  <c r="AA4273" i="11"/>
  <c r="AA4274" i="11"/>
  <c r="AA4275" i="11"/>
  <c r="AA4276" i="11"/>
  <c r="AA4277" i="11"/>
  <c r="AA4278" i="11"/>
  <c r="AA4279" i="11"/>
  <c r="AA4280" i="11"/>
  <c r="AA4281" i="11"/>
  <c r="AA4282" i="11"/>
  <c r="AA4283" i="11"/>
  <c r="AA4284" i="11"/>
  <c r="AA4285" i="11"/>
  <c r="AA4286" i="11"/>
  <c r="AA4287" i="11"/>
  <c r="AA4288" i="11"/>
  <c r="AA4289" i="11"/>
  <c r="AA4290" i="11"/>
  <c r="AA4291" i="11"/>
  <c r="AA4292" i="11"/>
  <c r="AA4293" i="11"/>
  <c r="AA4294" i="11"/>
  <c r="AA4295" i="11"/>
  <c r="AA4296" i="11"/>
  <c r="AA4297" i="11"/>
  <c r="AA4298" i="11"/>
  <c r="AA4299" i="11"/>
  <c r="AA4300" i="11"/>
  <c r="AA4301" i="11"/>
  <c r="AA4302" i="11"/>
  <c r="AA4303" i="11"/>
  <c r="AA4304" i="11"/>
  <c r="AA4305" i="11"/>
  <c r="AA4306" i="11"/>
  <c r="AA4307" i="11"/>
  <c r="AA4308" i="11"/>
  <c r="AA4309" i="11"/>
  <c r="AA4310" i="11"/>
  <c r="AA4311" i="11"/>
  <c r="AA4312" i="11"/>
  <c r="AA4313" i="11"/>
  <c r="AA4314" i="11"/>
  <c r="AA4315" i="11"/>
  <c r="AA4316" i="11"/>
  <c r="AA4317" i="11"/>
  <c r="AA4318" i="11"/>
  <c r="AA4319" i="11"/>
  <c r="AA4320" i="11"/>
  <c r="AA4321" i="11"/>
  <c r="AA4322" i="11"/>
  <c r="AA4323" i="11"/>
  <c r="AA4324" i="11"/>
  <c r="AA4325" i="11"/>
  <c r="AA4326" i="11"/>
  <c r="AA4327" i="11"/>
  <c r="AA4328" i="11"/>
  <c r="AA4329" i="11"/>
  <c r="AA4330" i="11"/>
  <c r="AA4331" i="11"/>
  <c r="AA4332" i="11"/>
  <c r="AA4333" i="11"/>
  <c r="AA4334" i="11"/>
  <c r="AA4335" i="11"/>
  <c r="AA4336" i="11"/>
  <c r="AA4337" i="11"/>
  <c r="AA4338" i="11"/>
  <c r="AA4339" i="11"/>
  <c r="AA4340" i="11"/>
  <c r="AA4341" i="11"/>
  <c r="AA4342" i="11"/>
  <c r="AA4343" i="11"/>
  <c r="AA4344" i="11"/>
  <c r="AA4345" i="11"/>
  <c r="AA4346" i="11"/>
  <c r="AA4347" i="11"/>
  <c r="AA4348" i="11"/>
  <c r="AA4349" i="11"/>
  <c r="AA4350" i="11"/>
  <c r="AA4351" i="11"/>
  <c r="AA4352" i="11"/>
  <c r="AA4353" i="11"/>
  <c r="AA4354" i="11"/>
  <c r="AA4355" i="11"/>
  <c r="AA4356" i="11"/>
  <c r="AA4357" i="11"/>
  <c r="AA4358" i="11"/>
  <c r="AA4359" i="11"/>
  <c r="AA4360" i="11"/>
  <c r="AA4361" i="11"/>
  <c r="AA4362" i="11"/>
  <c r="AA4363" i="11"/>
  <c r="AA4364" i="11"/>
  <c r="AA4365" i="11"/>
  <c r="AA4366" i="11"/>
  <c r="AA4367" i="11"/>
  <c r="AA4368" i="11"/>
  <c r="AA4369" i="11"/>
  <c r="AA4370" i="11"/>
  <c r="AA4371" i="11"/>
  <c r="AA4372" i="11"/>
  <c r="AA4373" i="11"/>
  <c r="AA4374" i="11"/>
  <c r="AA4375" i="11"/>
  <c r="AA4376" i="11"/>
  <c r="AA4377" i="11"/>
  <c r="AA4378" i="11"/>
  <c r="AA4379" i="11"/>
  <c r="AA4380" i="11"/>
  <c r="AA4381" i="11"/>
  <c r="AA4382" i="11"/>
  <c r="AA4383" i="11"/>
  <c r="AA4384" i="11"/>
  <c r="AA4385" i="11"/>
  <c r="AA4386" i="11"/>
  <c r="AA4387" i="11"/>
  <c r="AA4388" i="11"/>
  <c r="AA4389" i="11"/>
  <c r="AA4390" i="11"/>
  <c r="AA4391" i="11"/>
  <c r="AA4392" i="11"/>
  <c r="AA4393" i="11"/>
  <c r="AA4394" i="11"/>
  <c r="AA4395" i="11"/>
  <c r="AA4396" i="11"/>
  <c r="AA4397" i="11"/>
  <c r="AA4398" i="11"/>
  <c r="AA4399" i="11"/>
  <c r="AA4400" i="11"/>
  <c r="AA4401" i="11"/>
  <c r="AA4402" i="11"/>
  <c r="AA4403" i="11"/>
  <c r="AA4404" i="11"/>
  <c r="AA4405" i="11"/>
  <c r="AA4406" i="11"/>
  <c r="AA4407" i="11"/>
  <c r="AA4408" i="11"/>
  <c r="AA4409" i="11"/>
  <c r="AA4410" i="11"/>
  <c r="AA4411" i="11"/>
  <c r="AA4412" i="11"/>
  <c r="AA4413" i="11"/>
  <c r="AA4414" i="11"/>
  <c r="AA4415" i="11"/>
  <c r="AA4416" i="11"/>
  <c r="AA4417" i="11"/>
  <c r="AA4418" i="11"/>
  <c r="AA4419" i="11"/>
  <c r="AA4420" i="11"/>
  <c r="AA4421" i="11"/>
  <c r="AA4422" i="11"/>
  <c r="AA4423" i="11"/>
  <c r="AA4424" i="11"/>
  <c r="AA4425" i="11"/>
  <c r="AA4426" i="11"/>
  <c r="AA4427" i="11"/>
  <c r="AA4428" i="11"/>
  <c r="AA4429" i="11"/>
  <c r="AA4430" i="11"/>
  <c r="AA4431" i="11"/>
  <c r="AA4432" i="11"/>
  <c r="AA4433" i="11"/>
  <c r="AA4434" i="11"/>
  <c r="AA4435" i="11"/>
  <c r="AA4436" i="11"/>
  <c r="AA4437" i="11"/>
  <c r="AA4438" i="11"/>
  <c r="AA4439" i="11"/>
  <c r="AA4440" i="11"/>
  <c r="AA4441" i="11"/>
  <c r="AA4442" i="11"/>
  <c r="AA4443" i="11"/>
  <c r="AA4444" i="11"/>
  <c r="AA4445" i="11"/>
  <c r="AA4446" i="11"/>
  <c r="AA4447" i="11"/>
  <c r="AA4448" i="11"/>
  <c r="AA4449" i="11"/>
  <c r="AA4450" i="11"/>
  <c r="AA4451" i="11"/>
  <c r="AA4452" i="11"/>
  <c r="AA4453" i="11"/>
  <c r="AA4454" i="11"/>
  <c r="AA4455" i="11"/>
  <c r="AA4456" i="11"/>
  <c r="AA4457" i="11"/>
  <c r="AA4458" i="11"/>
  <c r="AA4459" i="11"/>
  <c r="AA4460" i="11"/>
  <c r="AA4461" i="11"/>
  <c r="AA4462" i="11"/>
  <c r="AA4463" i="11"/>
  <c r="AA4464" i="11"/>
  <c r="AA4465" i="11"/>
  <c r="AA4466" i="11"/>
  <c r="AA4467" i="11"/>
  <c r="AA4468" i="11"/>
  <c r="AA4469" i="11"/>
  <c r="AA4470" i="11"/>
  <c r="AA4471" i="11"/>
  <c r="AA4472" i="11"/>
  <c r="AA4473" i="11"/>
  <c r="AA4474" i="11"/>
  <c r="AA4475" i="11"/>
  <c r="AA4476" i="11"/>
  <c r="AA4477" i="11"/>
  <c r="AA4478" i="11"/>
  <c r="AA4479" i="11"/>
  <c r="AA4480" i="11"/>
  <c r="AA4481" i="11"/>
  <c r="AA4482" i="11"/>
  <c r="AA4483" i="11"/>
  <c r="AA4484" i="11"/>
  <c r="AA4485" i="11"/>
  <c r="AA4486" i="11"/>
  <c r="AA4487" i="11"/>
  <c r="AA4488" i="11"/>
  <c r="AA4489" i="11"/>
  <c r="AA4490" i="11"/>
  <c r="AA4491" i="11"/>
  <c r="AA4492" i="11"/>
  <c r="AA4493" i="11"/>
  <c r="AA4494" i="11"/>
  <c r="AA4495" i="11"/>
  <c r="AA4496" i="11"/>
  <c r="AA4497" i="11"/>
  <c r="AA4498" i="11"/>
  <c r="AA4499" i="11"/>
  <c r="AA4500" i="11"/>
  <c r="AA4501" i="11"/>
  <c r="AA4502" i="11"/>
  <c r="AA4503" i="11"/>
  <c r="AA4504" i="11"/>
  <c r="AA4505" i="11"/>
  <c r="AA4506" i="11"/>
  <c r="AA4507" i="11"/>
  <c r="AA4508" i="11"/>
  <c r="AA4509" i="11"/>
  <c r="AA4510" i="11"/>
  <c r="AA4511" i="11"/>
  <c r="AA4512" i="11"/>
  <c r="AA4513" i="11"/>
  <c r="AA4514" i="11"/>
  <c r="AA4515" i="11"/>
  <c r="AA4516" i="11"/>
  <c r="AA4517" i="11"/>
  <c r="AA4518" i="11"/>
  <c r="AA4519" i="11"/>
  <c r="AA4520" i="11"/>
  <c r="AA4521" i="11"/>
  <c r="AA4522" i="11"/>
  <c r="AA4523" i="11"/>
  <c r="AA4524" i="11"/>
  <c r="AA4525" i="11"/>
  <c r="AA4526" i="11"/>
  <c r="AA4527" i="11"/>
  <c r="AA4528" i="11"/>
  <c r="AA4529" i="11"/>
  <c r="AA4530" i="11"/>
  <c r="AA4531" i="11"/>
  <c r="AA4532" i="11"/>
  <c r="AA4533" i="11"/>
  <c r="AA4534" i="11"/>
  <c r="AA4535" i="11"/>
  <c r="AA4536" i="11"/>
  <c r="AA4537" i="11"/>
  <c r="AA4538" i="11"/>
  <c r="AA4539" i="11"/>
  <c r="AA4540" i="11"/>
  <c r="AA4541" i="11"/>
  <c r="AA4542" i="11"/>
  <c r="AA4543" i="11"/>
  <c r="AA4544" i="11"/>
  <c r="AA4545" i="11"/>
  <c r="AA4546" i="11"/>
  <c r="AA4547" i="11"/>
  <c r="AA4548" i="11"/>
  <c r="AA4549" i="11"/>
  <c r="AA4550" i="11"/>
  <c r="AA4551" i="11"/>
  <c r="AA4552" i="11"/>
  <c r="AA4553" i="11"/>
  <c r="AA4554" i="11"/>
  <c r="AA4555" i="11"/>
  <c r="AA4556" i="11"/>
  <c r="AA4557" i="11"/>
  <c r="AA4558" i="11"/>
  <c r="AA4559" i="11"/>
  <c r="AA4560" i="11"/>
  <c r="AA4561" i="11"/>
  <c r="AA4562" i="11"/>
  <c r="AA4563" i="11"/>
  <c r="AA4564" i="11"/>
  <c r="AA4565" i="11"/>
  <c r="AA4566" i="11"/>
  <c r="AA4567" i="11"/>
  <c r="AA4568" i="11"/>
  <c r="AA4569" i="11"/>
  <c r="AA4570" i="11"/>
  <c r="AA4571" i="11"/>
  <c r="AA4572" i="11"/>
  <c r="AA4573" i="11"/>
  <c r="AA4574" i="11"/>
  <c r="AA4575" i="11"/>
  <c r="AA4576" i="11"/>
  <c r="AA4577" i="11"/>
  <c r="AA4578" i="11"/>
  <c r="AA4579" i="11"/>
  <c r="AA4580" i="11"/>
  <c r="AA4581" i="11"/>
  <c r="AA4582" i="11"/>
  <c r="AA4583" i="11"/>
  <c r="AA4584" i="11"/>
  <c r="AA4585" i="11"/>
  <c r="AA4586" i="11"/>
  <c r="AA4587" i="11"/>
  <c r="AA4588" i="11"/>
  <c r="AA4589" i="11"/>
  <c r="AA4590" i="11"/>
  <c r="AA4591" i="11"/>
  <c r="AA4592" i="11"/>
  <c r="AA4593" i="11"/>
  <c r="AA4594" i="11"/>
  <c r="AA4595" i="11"/>
  <c r="AA4596" i="11"/>
  <c r="AA4597" i="11"/>
  <c r="AA4598" i="11"/>
  <c r="AA4599" i="11"/>
  <c r="AA4600" i="11"/>
  <c r="AA4601" i="11"/>
  <c r="AA4602" i="11"/>
  <c r="AA4603" i="11"/>
  <c r="AA4604" i="11"/>
  <c r="AA4605" i="11"/>
  <c r="AA4606" i="11"/>
  <c r="AA4607" i="11"/>
  <c r="AA4608" i="11"/>
  <c r="AA4609" i="11"/>
  <c r="AA4610" i="11"/>
  <c r="AA4611" i="11"/>
  <c r="AA4612" i="11"/>
  <c r="AA4613" i="11"/>
  <c r="AA4614" i="11"/>
  <c r="AA4615" i="11"/>
  <c r="AA4616" i="11"/>
  <c r="AA4617" i="11"/>
  <c r="AA4618" i="11"/>
  <c r="AA4619" i="11"/>
  <c r="AA4620" i="11"/>
  <c r="AA4621" i="11"/>
  <c r="AA4622" i="11"/>
  <c r="AA4623" i="11"/>
  <c r="AA4624" i="11"/>
  <c r="AA4625" i="11"/>
  <c r="AA4626" i="11"/>
  <c r="AA4627" i="11"/>
  <c r="AA4628" i="11"/>
  <c r="AA4629" i="11"/>
  <c r="AA4630" i="11"/>
  <c r="AA4631" i="11"/>
  <c r="AA4632" i="11"/>
  <c r="AA4633" i="11"/>
  <c r="AA4634" i="11"/>
  <c r="AA4635" i="11"/>
  <c r="AA4636" i="11"/>
  <c r="AA4637" i="11"/>
  <c r="AA4638" i="11"/>
  <c r="AA4639" i="11"/>
  <c r="AA4640" i="11"/>
  <c r="AA4641" i="11"/>
  <c r="AA4642" i="11"/>
  <c r="AA4643" i="11"/>
  <c r="AA4644" i="11"/>
  <c r="AA4645" i="11"/>
  <c r="AA4646" i="11"/>
  <c r="AA4647" i="11"/>
  <c r="AA4648" i="11"/>
  <c r="AA4649" i="11"/>
  <c r="AA4650" i="11"/>
  <c r="AA4651" i="11"/>
  <c r="AA4652" i="11"/>
  <c r="AA4653" i="11"/>
  <c r="AA4654" i="11"/>
  <c r="AA4655" i="11"/>
  <c r="AA4656" i="11"/>
  <c r="AA4657" i="11"/>
  <c r="AA4658" i="11"/>
  <c r="AA4659" i="11"/>
  <c r="AA4660" i="11"/>
  <c r="AA4661" i="11"/>
  <c r="AA4662" i="11"/>
  <c r="AA4663" i="11"/>
  <c r="AA4664" i="11"/>
  <c r="AA4665" i="11"/>
  <c r="AA4666" i="11"/>
  <c r="AA4667" i="11"/>
  <c r="AA4668" i="11"/>
  <c r="AA4669" i="11"/>
  <c r="AA4670" i="11"/>
  <c r="AA4671" i="11"/>
  <c r="AA4672" i="11"/>
  <c r="AA4673" i="11"/>
  <c r="AA4674" i="11"/>
  <c r="AA4675" i="11"/>
  <c r="AA4676" i="11"/>
  <c r="AA4677" i="11"/>
  <c r="AA4678" i="11"/>
  <c r="AA4679" i="11"/>
  <c r="AA4680" i="11"/>
  <c r="AA4681" i="11"/>
  <c r="AA4682" i="11"/>
  <c r="AA4683" i="11"/>
  <c r="AA4684" i="11"/>
  <c r="AA4685" i="11"/>
  <c r="AA4686" i="11"/>
  <c r="AA4687" i="11"/>
  <c r="AA4688" i="11"/>
  <c r="AA4689" i="11"/>
  <c r="AA4690" i="11"/>
  <c r="AA4691" i="11"/>
  <c r="AA4692" i="11"/>
  <c r="AA4693" i="11"/>
  <c r="AA4694" i="11"/>
  <c r="AA4695" i="11"/>
  <c r="AA4696" i="11"/>
  <c r="AA4697" i="11"/>
  <c r="AA4698" i="11"/>
  <c r="AA4699" i="11"/>
  <c r="AA4700" i="11"/>
  <c r="AA4701" i="11"/>
  <c r="AA4702" i="11"/>
  <c r="AA4703" i="11"/>
  <c r="AA4704" i="11"/>
  <c r="AA4705" i="11"/>
  <c r="AA4706" i="11"/>
  <c r="AA4707" i="11"/>
  <c r="AA4708" i="11"/>
  <c r="AA4709" i="11"/>
  <c r="AA4710" i="11"/>
  <c r="AA4711" i="11"/>
  <c r="AA4712" i="11"/>
  <c r="AA4713" i="11"/>
  <c r="AA4714" i="11"/>
  <c r="AA4715" i="11"/>
  <c r="AA4716" i="11"/>
  <c r="AA4717" i="11"/>
  <c r="AA4718" i="11"/>
  <c r="AA4719" i="11"/>
  <c r="AA4720" i="11"/>
  <c r="AA4721" i="11"/>
  <c r="AA4722" i="11"/>
  <c r="AA4723" i="11"/>
  <c r="AA4724" i="11"/>
  <c r="AA4725" i="11"/>
  <c r="AA4726" i="11"/>
  <c r="AA4727" i="11"/>
  <c r="AA4728" i="11"/>
  <c r="AA4729" i="11"/>
  <c r="AA4730" i="11"/>
  <c r="AA4731" i="11"/>
  <c r="AA4732" i="11"/>
  <c r="AA4733" i="11"/>
  <c r="AA4734" i="11"/>
  <c r="AA4735" i="11"/>
  <c r="AA4736" i="11"/>
  <c r="AA4737" i="11"/>
  <c r="AA4738" i="11"/>
  <c r="AA4739" i="11"/>
  <c r="AA4740" i="11"/>
  <c r="AA4741" i="11"/>
  <c r="AA4742" i="11"/>
  <c r="AA4743" i="11"/>
  <c r="AA4744" i="11"/>
  <c r="AA4745" i="11"/>
  <c r="AA4746" i="11"/>
  <c r="AA4747" i="11"/>
  <c r="AA4748" i="11"/>
  <c r="AA4749" i="11"/>
  <c r="AA4750" i="11"/>
  <c r="AA4751" i="11"/>
  <c r="AA4752" i="11"/>
  <c r="AA4753" i="11"/>
  <c r="AA4754" i="11"/>
  <c r="AA4755" i="11"/>
  <c r="AA4756" i="11"/>
  <c r="AA4757" i="11"/>
  <c r="AA4758" i="11"/>
  <c r="AA4759" i="11"/>
  <c r="AA4760" i="11"/>
  <c r="AA4761" i="11"/>
  <c r="AA4762" i="11"/>
  <c r="AA4763" i="11"/>
  <c r="AA4764" i="11"/>
  <c r="AA4765" i="11"/>
  <c r="AA4766" i="11"/>
  <c r="AA4767" i="11"/>
  <c r="AA4768" i="11"/>
  <c r="AA4769" i="11"/>
  <c r="AA4770" i="11"/>
  <c r="AA4771" i="11"/>
  <c r="AA4772" i="11"/>
  <c r="AA4773" i="11"/>
  <c r="AA4774" i="11"/>
  <c r="AA4775" i="11"/>
  <c r="AA4776" i="11"/>
  <c r="AA4777" i="11"/>
  <c r="AA4778" i="11"/>
  <c r="AA4779" i="11"/>
  <c r="AA4780" i="11"/>
  <c r="AA4781" i="11"/>
  <c r="AA4782" i="11"/>
  <c r="AA4783" i="11"/>
  <c r="AA4784" i="11"/>
  <c r="AA4785" i="11"/>
  <c r="AA4786" i="11"/>
  <c r="AA4787" i="11"/>
  <c r="AA4788" i="11"/>
  <c r="AA4789" i="11"/>
  <c r="AA4790" i="11"/>
  <c r="AA4791" i="11"/>
  <c r="AA4792" i="11"/>
  <c r="AA4793" i="11"/>
  <c r="AA4794" i="11"/>
  <c r="AA4795" i="11"/>
  <c r="AA4796" i="11"/>
  <c r="AA4797" i="11"/>
  <c r="AA4798" i="11"/>
  <c r="AA4799" i="11"/>
  <c r="AA4800" i="11"/>
  <c r="AA4801" i="11"/>
  <c r="AA4802" i="11"/>
  <c r="AA4803" i="11"/>
  <c r="AA4804" i="11"/>
  <c r="AA4805" i="11"/>
  <c r="AA4806" i="11"/>
  <c r="AA4807" i="11"/>
  <c r="AA4808" i="11"/>
  <c r="AA4809" i="11"/>
  <c r="AA4810" i="11"/>
  <c r="AA4811" i="11"/>
  <c r="AA4812" i="11"/>
  <c r="AA4813" i="11"/>
  <c r="AA4814" i="11"/>
  <c r="AA4815" i="11"/>
  <c r="AA4816" i="11"/>
  <c r="AA4817" i="11"/>
  <c r="AA4818" i="11"/>
  <c r="AA4819" i="11"/>
  <c r="AA4820" i="11"/>
  <c r="AA4821" i="11"/>
  <c r="AA4822" i="11"/>
  <c r="AA4823" i="11"/>
  <c r="AA4824" i="11"/>
  <c r="AA4825" i="11"/>
  <c r="AA4826" i="11"/>
  <c r="AA4827" i="11"/>
  <c r="AA4828" i="11"/>
  <c r="AA4829" i="11"/>
  <c r="AA4830" i="11"/>
  <c r="AA4831" i="11"/>
  <c r="AA4832" i="11"/>
  <c r="AA4833" i="11"/>
  <c r="AA4834" i="11"/>
  <c r="AA4835" i="11"/>
  <c r="AA4836" i="11"/>
  <c r="AA4837" i="11"/>
  <c r="AA4838" i="11"/>
  <c r="AA4839" i="11"/>
  <c r="AA4840" i="11"/>
  <c r="AA4841" i="11"/>
  <c r="AA4842" i="11"/>
  <c r="AA4843" i="11"/>
  <c r="AA4844" i="11"/>
  <c r="AA4845" i="11"/>
  <c r="AA4846" i="11"/>
  <c r="AA4847" i="11"/>
  <c r="AA4848" i="11"/>
  <c r="AA4849" i="11"/>
  <c r="AA4850" i="11"/>
  <c r="AA4851" i="11"/>
  <c r="AA4852" i="11"/>
  <c r="AA4853" i="11"/>
  <c r="AA4854" i="11"/>
  <c r="AA4855" i="11"/>
  <c r="AA4856" i="11"/>
  <c r="AA4857" i="11"/>
  <c r="AA4858" i="11"/>
  <c r="AA4859" i="11"/>
  <c r="AA4860" i="11"/>
  <c r="AA4861" i="11"/>
  <c r="AA4862" i="11"/>
  <c r="AA4863" i="11"/>
  <c r="AA4864" i="11"/>
  <c r="AA4865" i="11"/>
  <c r="AA4866" i="11"/>
  <c r="AA4867" i="11"/>
  <c r="AA4868" i="11"/>
  <c r="AA4869" i="11"/>
  <c r="AA4870" i="11"/>
  <c r="AA4871" i="11"/>
  <c r="AA4872" i="11"/>
  <c r="AA4873" i="11"/>
  <c r="AA4874" i="11"/>
  <c r="AA4875" i="11"/>
  <c r="AA4876" i="11"/>
  <c r="AA4877" i="11"/>
  <c r="AA4878" i="11"/>
  <c r="AA4879" i="11"/>
  <c r="AA4880" i="11"/>
  <c r="AA4881" i="11"/>
  <c r="AA4882" i="11"/>
  <c r="AA4883" i="11"/>
  <c r="AA4884" i="11"/>
  <c r="AA4885" i="11"/>
  <c r="AA4886" i="11"/>
  <c r="AA4887" i="11"/>
  <c r="AA4888" i="11"/>
  <c r="AA4889" i="11"/>
  <c r="AA4890" i="11"/>
  <c r="AA4891" i="11"/>
  <c r="AA4892" i="11"/>
  <c r="AA4893" i="11"/>
  <c r="AA4894" i="11"/>
  <c r="AA4895" i="11"/>
  <c r="AA4896" i="11"/>
  <c r="AA4897" i="11"/>
  <c r="AA4898" i="11"/>
  <c r="AA4899" i="11"/>
  <c r="AA4900" i="11"/>
  <c r="AA4901" i="11"/>
  <c r="AA4902" i="11"/>
  <c r="AA4903" i="11"/>
  <c r="AA4904" i="11"/>
  <c r="AA4905" i="11"/>
  <c r="AA4906" i="11"/>
  <c r="AA4907" i="11"/>
  <c r="AA4908" i="11"/>
  <c r="AA4909" i="11"/>
  <c r="AA4910" i="11"/>
  <c r="AA4911" i="11"/>
  <c r="AA4912" i="11"/>
  <c r="AA4913" i="11"/>
  <c r="AA4914" i="11"/>
  <c r="AA4915" i="11"/>
  <c r="AA4916" i="11"/>
  <c r="AA4917" i="11"/>
  <c r="AA4918" i="11"/>
  <c r="AA4919" i="11"/>
  <c r="AA4920" i="11"/>
  <c r="AA4921" i="11"/>
  <c r="AA4922" i="11"/>
  <c r="AA4923" i="11"/>
  <c r="AA4924" i="11"/>
  <c r="AA4925" i="11"/>
  <c r="AA4926" i="11"/>
  <c r="AA4927" i="11"/>
  <c r="AA4928" i="11"/>
  <c r="AA4929" i="11"/>
  <c r="AA4930" i="11"/>
  <c r="AA4931" i="11"/>
  <c r="AA4932" i="11"/>
  <c r="AA4933" i="11"/>
  <c r="AA4934" i="11"/>
  <c r="AA4935" i="11"/>
  <c r="AA4936" i="11"/>
  <c r="AA4937" i="11"/>
  <c r="AA4938" i="11"/>
  <c r="AA4939" i="11"/>
  <c r="AA4940" i="11"/>
  <c r="AA4941" i="11"/>
  <c r="AA4942" i="11"/>
  <c r="AA4943" i="11"/>
  <c r="AA4944" i="11"/>
  <c r="AA4945" i="11"/>
  <c r="AA4946" i="11"/>
  <c r="AA4947" i="11"/>
  <c r="AA4948" i="11"/>
  <c r="AA4949" i="11"/>
  <c r="AA4950" i="11"/>
  <c r="AA4951" i="11"/>
  <c r="AA4952" i="11"/>
  <c r="AA4953" i="11"/>
  <c r="AA4954" i="11"/>
  <c r="AA4955" i="11"/>
  <c r="AA4956" i="11"/>
  <c r="AA4957" i="11"/>
  <c r="AA4958" i="11"/>
  <c r="AA4959" i="11"/>
  <c r="AA4960" i="11"/>
  <c r="AA4961" i="11"/>
  <c r="AA4962" i="11"/>
  <c r="AA4963" i="11"/>
  <c r="AA4964" i="11"/>
  <c r="AA4965" i="11"/>
  <c r="AA4966" i="11"/>
  <c r="AA4967" i="11"/>
  <c r="AA4968" i="11"/>
  <c r="AA4969" i="11"/>
  <c r="AA4970" i="11"/>
  <c r="AA4971" i="11"/>
  <c r="AA4972" i="11"/>
  <c r="AA4973" i="11"/>
  <c r="AA4974" i="11"/>
  <c r="AA4975" i="11"/>
  <c r="AA4976" i="11"/>
  <c r="AA4977" i="11"/>
  <c r="AA4978" i="11"/>
  <c r="AA4979" i="11"/>
  <c r="AA4980" i="11"/>
  <c r="AA4981" i="11"/>
  <c r="AA4982" i="11"/>
  <c r="AA4983" i="11"/>
  <c r="AA4984" i="11"/>
  <c r="AA4985" i="11"/>
  <c r="AA4986" i="11"/>
  <c r="AA4987" i="11"/>
  <c r="AA4988" i="11"/>
  <c r="AA4989" i="11"/>
  <c r="AA4990" i="11"/>
  <c r="AA4991" i="11"/>
  <c r="AA4992" i="11"/>
  <c r="AA4993" i="11"/>
  <c r="AA4994" i="11"/>
  <c r="AA4995" i="11"/>
  <c r="AA4996" i="11"/>
  <c r="AA4997" i="11"/>
  <c r="AA4998" i="11"/>
  <c r="AA4999" i="11"/>
  <c r="AA5000" i="11"/>
  <c r="Z6" i="11"/>
  <c r="Z7" i="11"/>
  <c r="Z8" i="11"/>
  <c r="Z9" i="11"/>
  <c r="Z10" i="11"/>
  <c r="Z11" i="11"/>
  <c r="Z12" i="11"/>
  <c r="Z13" i="11"/>
  <c r="Z14" i="11"/>
  <c r="Z15" i="11"/>
  <c r="Z16" i="11"/>
  <c r="Z17" i="11"/>
  <c r="Z18" i="11"/>
  <c r="Z19" i="11"/>
  <c r="Z20" i="11"/>
  <c r="Z21" i="11"/>
  <c r="Z22" i="11"/>
  <c r="Z23" i="11"/>
  <c r="Z24" i="11"/>
  <c r="Z25" i="11"/>
  <c r="Z26" i="11"/>
  <c r="Z27" i="11"/>
  <c r="Z28" i="11"/>
  <c r="Z29" i="11"/>
  <c r="Z30" i="11"/>
  <c r="Z31" i="11"/>
  <c r="Z32" i="11"/>
  <c r="Z33" i="11"/>
  <c r="Z34" i="11"/>
  <c r="Z35" i="11"/>
  <c r="Z36" i="11"/>
  <c r="Z37" i="11"/>
  <c r="Z38" i="11"/>
  <c r="Z39" i="11"/>
  <c r="Z40" i="11"/>
  <c r="Z41" i="11"/>
  <c r="Z42" i="11"/>
  <c r="Z43" i="11"/>
  <c r="Z44" i="11"/>
  <c r="Z45" i="11"/>
  <c r="Z46" i="11"/>
  <c r="Z47" i="11"/>
  <c r="Z48" i="11"/>
  <c r="Z49" i="11"/>
  <c r="Z50" i="11"/>
  <c r="Z51" i="11"/>
  <c r="Z52" i="11"/>
  <c r="Z53" i="11"/>
  <c r="Z54" i="11"/>
  <c r="Z55" i="11"/>
  <c r="Z56" i="11"/>
  <c r="Z57" i="11"/>
  <c r="Z58" i="11"/>
  <c r="Z59" i="11"/>
  <c r="Z60" i="11"/>
  <c r="Z61" i="11"/>
  <c r="Z62" i="11"/>
  <c r="Z63" i="11"/>
  <c r="Z64" i="11"/>
  <c r="Z65" i="11"/>
  <c r="Z66" i="11"/>
  <c r="Z67" i="11"/>
  <c r="Z68" i="11"/>
  <c r="Z69" i="11"/>
  <c r="Z70" i="11"/>
  <c r="Z71" i="11"/>
  <c r="Z72" i="11"/>
  <c r="Z73" i="11"/>
  <c r="Z74" i="11"/>
  <c r="Z75" i="11"/>
  <c r="Z76" i="11"/>
  <c r="Z77" i="11"/>
  <c r="Z78" i="11"/>
  <c r="Z79" i="11"/>
  <c r="Z80" i="11"/>
  <c r="Z81" i="11"/>
  <c r="Z82" i="11"/>
  <c r="Z83" i="11"/>
  <c r="Z84" i="11"/>
  <c r="Z85" i="11"/>
  <c r="Z86" i="11"/>
  <c r="Z87" i="11"/>
  <c r="Z88" i="11"/>
  <c r="Z89" i="11"/>
  <c r="Z90" i="11"/>
  <c r="Z91" i="11"/>
  <c r="Z92" i="11"/>
  <c r="Z93" i="11"/>
  <c r="Z94" i="11"/>
  <c r="Z95" i="11"/>
  <c r="Z96" i="11"/>
  <c r="Z97" i="11"/>
  <c r="Z98" i="11"/>
  <c r="Z99" i="11"/>
  <c r="Z100" i="11"/>
  <c r="Z101" i="11"/>
  <c r="Z102" i="11"/>
  <c r="Z103" i="11"/>
  <c r="Z104" i="11"/>
  <c r="Z105" i="11"/>
  <c r="Z106" i="11"/>
  <c r="Z107" i="11"/>
  <c r="Z108" i="11"/>
  <c r="Z109" i="11"/>
  <c r="Z110" i="11"/>
  <c r="Z111" i="11"/>
  <c r="Z112" i="11"/>
  <c r="Z113" i="11"/>
  <c r="Z114" i="11"/>
  <c r="Z115" i="11"/>
  <c r="Z116" i="11"/>
  <c r="Z117" i="11"/>
  <c r="Z118" i="11"/>
  <c r="Z119" i="11"/>
  <c r="Z120" i="11"/>
  <c r="Z121" i="11"/>
  <c r="Z122" i="11"/>
  <c r="Z123" i="11"/>
  <c r="Z124" i="11"/>
  <c r="Z125" i="11"/>
  <c r="Z126" i="11"/>
  <c r="Z127" i="11"/>
  <c r="Z128" i="11"/>
  <c r="Z129" i="11"/>
  <c r="Z130" i="11"/>
  <c r="Z131" i="11"/>
  <c r="Z132" i="11"/>
  <c r="Z133" i="11"/>
  <c r="Z134" i="11"/>
  <c r="Z135" i="11"/>
  <c r="Z136" i="11"/>
  <c r="Z137" i="11"/>
  <c r="Z138" i="11"/>
  <c r="Z139" i="11"/>
  <c r="Z140" i="11"/>
  <c r="Z141" i="11"/>
  <c r="Z142" i="11"/>
  <c r="Z143" i="11"/>
  <c r="Z144" i="11"/>
  <c r="Z145" i="11"/>
  <c r="Z146" i="11"/>
  <c r="Z147" i="11"/>
  <c r="Z148" i="11"/>
  <c r="Z149" i="11"/>
  <c r="Z150" i="11"/>
  <c r="Z151" i="11"/>
  <c r="Z152" i="11"/>
  <c r="Z153" i="11"/>
  <c r="Z154" i="11"/>
  <c r="Z155" i="11"/>
  <c r="Z156" i="11"/>
  <c r="Z157" i="11"/>
  <c r="Z158" i="11"/>
  <c r="Z159" i="11"/>
  <c r="Z160" i="11"/>
  <c r="Z161" i="11"/>
  <c r="Z162" i="11"/>
  <c r="Z163" i="11"/>
  <c r="Z164" i="11"/>
  <c r="Z165" i="11"/>
  <c r="Z166" i="11"/>
  <c r="Z167" i="11"/>
  <c r="Z168" i="11"/>
  <c r="Z169" i="11"/>
  <c r="Z170" i="11"/>
  <c r="Z171" i="11"/>
  <c r="Z172" i="11"/>
  <c r="Z173" i="11"/>
  <c r="Z174" i="11"/>
  <c r="Z175" i="11"/>
  <c r="Z176" i="11"/>
  <c r="Z177" i="11"/>
  <c r="Z178" i="11"/>
  <c r="Z179" i="11"/>
  <c r="Z180" i="11"/>
  <c r="Z181" i="11"/>
  <c r="Z182" i="11"/>
  <c r="Z183" i="11"/>
  <c r="Z184" i="11"/>
  <c r="Z185" i="11"/>
  <c r="Z186" i="11"/>
  <c r="Z187" i="11"/>
  <c r="Z188" i="11"/>
  <c r="Z189" i="11"/>
  <c r="Z190" i="11"/>
  <c r="Z191" i="11"/>
  <c r="Z192" i="11"/>
  <c r="Z193" i="11"/>
  <c r="Z194" i="11"/>
  <c r="Z195" i="11"/>
  <c r="Z196" i="11"/>
  <c r="Z197" i="11"/>
  <c r="Z198" i="11"/>
  <c r="Z199" i="11"/>
  <c r="Z200" i="11"/>
  <c r="Z201" i="11"/>
  <c r="Z202" i="11"/>
  <c r="Z203" i="11"/>
  <c r="Z204" i="11"/>
  <c r="Z205" i="11"/>
  <c r="Z206" i="11"/>
  <c r="Z207" i="11"/>
  <c r="Z208" i="11"/>
  <c r="Z209" i="11"/>
  <c r="Z210" i="11"/>
  <c r="Z211" i="11"/>
  <c r="Z212" i="11"/>
  <c r="Z213" i="11"/>
  <c r="Z214" i="11"/>
  <c r="Z215" i="11"/>
  <c r="Z216" i="11"/>
  <c r="Z217" i="11"/>
  <c r="Z218" i="11"/>
  <c r="Z219" i="11"/>
  <c r="Z220" i="11"/>
  <c r="Z221" i="11"/>
  <c r="Z222" i="11"/>
  <c r="Z223" i="11"/>
  <c r="Z224" i="11"/>
  <c r="Z225" i="11"/>
  <c r="Z226" i="11"/>
  <c r="Z227" i="11"/>
  <c r="Z228" i="11"/>
  <c r="Z229" i="11"/>
  <c r="Z230" i="11"/>
  <c r="Z231" i="11"/>
  <c r="Z232" i="11"/>
  <c r="Z233" i="11"/>
  <c r="Z234" i="11"/>
  <c r="Z235" i="11"/>
  <c r="Z236" i="11"/>
  <c r="Z237" i="11"/>
  <c r="Z238" i="11"/>
  <c r="Z239" i="11"/>
  <c r="Z240" i="11"/>
  <c r="Z241" i="11"/>
  <c r="Z242" i="11"/>
  <c r="Z243" i="11"/>
  <c r="Z244" i="11"/>
  <c r="Z245" i="11"/>
  <c r="Z246" i="11"/>
  <c r="Z247" i="11"/>
  <c r="Z248" i="11"/>
  <c r="Z249" i="11"/>
  <c r="Z250" i="11"/>
  <c r="Z251" i="11"/>
  <c r="Z252" i="11"/>
  <c r="Z253" i="11"/>
  <c r="Z254" i="11"/>
  <c r="Z255" i="11"/>
  <c r="Z256" i="11"/>
  <c r="Z257" i="11"/>
  <c r="Z258" i="11"/>
  <c r="Z259" i="11"/>
  <c r="Z260" i="11"/>
  <c r="Z261" i="11"/>
  <c r="Z262" i="11"/>
  <c r="Z263" i="11"/>
  <c r="Z264" i="11"/>
  <c r="Z265" i="11"/>
  <c r="Z266" i="11"/>
  <c r="Z267" i="11"/>
  <c r="Z268" i="11"/>
  <c r="Z269" i="11"/>
  <c r="Z270" i="11"/>
  <c r="Z271" i="11"/>
  <c r="Z272" i="11"/>
  <c r="Z273" i="11"/>
  <c r="Z274" i="11"/>
  <c r="Z275" i="11"/>
  <c r="Z276" i="11"/>
  <c r="Z277" i="11"/>
  <c r="Z278" i="11"/>
  <c r="Z279" i="11"/>
  <c r="Z280" i="11"/>
  <c r="Z281" i="11"/>
  <c r="Z282" i="11"/>
  <c r="Z283" i="11"/>
  <c r="Z284" i="11"/>
  <c r="Z285" i="11"/>
  <c r="Z286" i="11"/>
  <c r="Z287" i="11"/>
  <c r="Z288" i="11"/>
  <c r="Z289" i="11"/>
  <c r="Z290" i="11"/>
  <c r="Z291" i="11"/>
  <c r="Z292" i="11"/>
  <c r="Z293" i="11"/>
  <c r="Z294" i="11"/>
  <c r="Z295" i="11"/>
  <c r="Z296" i="11"/>
  <c r="Z297" i="11"/>
  <c r="Z298" i="11"/>
  <c r="Z299" i="11"/>
  <c r="Z300" i="11"/>
  <c r="Z301" i="11"/>
  <c r="Z302" i="11"/>
  <c r="Z303" i="11"/>
  <c r="Z304" i="11"/>
  <c r="Z305" i="11"/>
  <c r="Z306" i="11"/>
  <c r="Z307" i="11"/>
  <c r="Z308" i="11"/>
  <c r="Z309" i="11"/>
  <c r="Z310" i="11"/>
  <c r="Z311" i="11"/>
  <c r="Z312" i="11"/>
  <c r="Z313" i="11"/>
  <c r="Z314" i="11"/>
  <c r="Z315" i="11"/>
  <c r="Z316" i="11"/>
  <c r="Z317" i="11"/>
  <c r="Z318" i="11"/>
  <c r="Z319" i="11"/>
  <c r="Z320" i="11"/>
  <c r="Z321" i="11"/>
  <c r="Z322" i="11"/>
  <c r="Z323" i="11"/>
  <c r="Z324" i="11"/>
  <c r="Z325" i="11"/>
  <c r="Z326" i="11"/>
  <c r="Z327" i="11"/>
  <c r="Z328" i="11"/>
  <c r="Z329" i="11"/>
  <c r="Z330" i="11"/>
  <c r="Z331" i="11"/>
  <c r="Z332" i="11"/>
  <c r="Z333" i="11"/>
  <c r="Z334" i="11"/>
  <c r="Z335" i="11"/>
  <c r="Z336" i="11"/>
  <c r="Z337" i="11"/>
  <c r="Z338" i="11"/>
  <c r="Z339" i="11"/>
  <c r="Z340" i="11"/>
  <c r="Z341" i="11"/>
  <c r="Z342" i="11"/>
  <c r="Z343" i="11"/>
  <c r="Z344" i="11"/>
  <c r="Z345" i="11"/>
  <c r="Z346" i="11"/>
  <c r="Z347" i="11"/>
  <c r="Z348" i="11"/>
  <c r="Z349" i="11"/>
  <c r="Z350" i="11"/>
  <c r="Z351" i="11"/>
  <c r="Z352" i="11"/>
  <c r="Z353" i="11"/>
  <c r="Z354" i="11"/>
  <c r="Z355" i="11"/>
  <c r="Z356" i="11"/>
  <c r="Z357" i="11"/>
  <c r="Z358" i="11"/>
  <c r="Z359" i="11"/>
  <c r="Z360" i="11"/>
  <c r="Z361" i="11"/>
  <c r="Z362" i="11"/>
  <c r="Z363" i="11"/>
  <c r="Z364" i="11"/>
  <c r="Z365" i="11"/>
  <c r="Z366" i="11"/>
  <c r="Z367" i="11"/>
  <c r="Z368" i="11"/>
  <c r="Z369" i="11"/>
  <c r="Z370" i="11"/>
  <c r="Z371" i="11"/>
  <c r="Z372" i="11"/>
  <c r="Z373" i="11"/>
  <c r="Z374" i="11"/>
  <c r="Z375" i="11"/>
  <c r="Z376" i="11"/>
  <c r="Z377" i="11"/>
  <c r="Z378" i="11"/>
  <c r="Z379" i="11"/>
  <c r="Z380" i="11"/>
  <c r="Z381" i="11"/>
  <c r="Z382" i="11"/>
  <c r="Z383" i="11"/>
  <c r="Z384" i="11"/>
  <c r="Z385" i="11"/>
  <c r="Z386" i="11"/>
  <c r="Z387" i="11"/>
  <c r="Z388" i="11"/>
  <c r="Z389" i="11"/>
  <c r="Z390" i="11"/>
  <c r="Z391" i="11"/>
  <c r="Z392" i="11"/>
  <c r="Z393" i="11"/>
  <c r="Z394" i="11"/>
  <c r="Z395" i="11"/>
  <c r="Z396" i="11"/>
  <c r="Z397" i="11"/>
  <c r="Z398" i="11"/>
  <c r="Z399" i="11"/>
  <c r="Z400" i="11"/>
  <c r="Z401" i="11"/>
  <c r="Z402" i="11"/>
  <c r="Z403" i="11"/>
  <c r="Z404" i="11"/>
  <c r="Z405" i="11"/>
  <c r="Z406" i="11"/>
  <c r="Z407" i="11"/>
  <c r="Z408" i="11"/>
  <c r="Z409" i="11"/>
  <c r="Z410" i="11"/>
  <c r="Z411" i="11"/>
  <c r="Z412" i="11"/>
  <c r="Z413" i="11"/>
  <c r="Z414" i="11"/>
  <c r="Z415" i="11"/>
  <c r="Z416" i="11"/>
  <c r="Z417" i="11"/>
  <c r="Z418" i="11"/>
  <c r="Z419" i="11"/>
  <c r="Z420" i="11"/>
  <c r="Z421" i="11"/>
  <c r="Z422" i="11"/>
  <c r="Z423" i="11"/>
  <c r="Z424" i="11"/>
  <c r="Z425" i="11"/>
  <c r="Z426" i="11"/>
  <c r="Z427" i="11"/>
  <c r="Z428" i="11"/>
  <c r="Z429" i="11"/>
  <c r="Z430" i="11"/>
  <c r="Z431" i="11"/>
  <c r="Z432" i="11"/>
  <c r="Z433" i="11"/>
  <c r="Z434" i="11"/>
  <c r="Z435" i="11"/>
  <c r="Z436" i="11"/>
  <c r="Z437" i="11"/>
  <c r="Z438" i="11"/>
  <c r="Z439" i="11"/>
  <c r="Z440" i="11"/>
  <c r="Z441" i="11"/>
  <c r="Z442" i="11"/>
  <c r="Z443" i="11"/>
  <c r="Z444" i="11"/>
  <c r="Z445" i="11"/>
  <c r="Z446" i="11"/>
  <c r="Z447" i="11"/>
  <c r="Z448" i="11"/>
  <c r="Z449" i="11"/>
  <c r="Z450" i="11"/>
  <c r="Z451" i="11"/>
  <c r="Z452" i="11"/>
  <c r="Z453" i="11"/>
  <c r="Z454" i="11"/>
  <c r="Z455" i="11"/>
  <c r="Z456" i="11"/>
  <c r="Z457" i="11"/>
  <c r="Z458" i="11"/>
  <c r="Z459" i="11"/>
  <c r="Z460" i="11"/>
  <c r="Z461" i="11"/>
  <c r="Z462" i="11"/>
  <c r="Z463" i="11"/>
  <c r="Z464" i="11"/>
  <c r="Z465" i="11"/>
  <c r="Z466" i="11"/>
  <c r="Z467" i="11"/>
  <c r="Z468" i="11"/>
  <c r="Z469" i="11"/>
  <c r="Z470" i="11"/>
  <c r="Z471" i="11"/>
  <c r="Z472" i="11"/>
  <c r="Z473" i="11"/>
  <c r="Z474" i="11"/>
  <c r="Z475" i="11"/>
  <c r="Z476" i="11"/>
  <c r="Z477" i="11"/>
  <c r="Z478" i="11"/>
  <c r="Z479" i="11"/>
  <c r="Z480" i="11"/>
  <c r="Z481" i="11"/>
  <c r="Z482" i="11"/>
  <c r="Z483" i="11"/>
  <c r="Z484" i="11"/>
  <c r="Z485" i="11"/>
  <c r="Z486" i="11"/>
  <c r="Z487" i="11"/>
  <c r="Z488" i="11"/>
  <c r="Z489" i="11"/>
  <c r="Z490" i="11"/>
  <c r="Z491" i="11"/>
  <c r="Z492" i="11"/>
  <c r="Z493" i="11"/>
  <c r="Z494" i="11"/>
  <c r="Z495" i="11"/>
  <c r="Z496" i="11"/>
  <c r="Z497" i="11"/>
  <c r="Z498" i="11"/>
  <c r="Z499" i="11"/>
  <c r="Z500" i="11"/>
  <c r="Z501" i="11"/>
  <c r="Z502" i="11"/>
  <c r="Z503" i="11"/>
  <c r="Z504" i="11"/>
  <c r="Z505" i="11"/>
  <c r="Z506" i="11"/>
  <c r="Z507" i="11"/>
  <c r="Z508" i="11"/>
  <c r="Z509" i="11"/>
  <c r="Z510" i="11"/>
  <c r="Z511" i="11"/>
  <c r="Z512" i="11"/>
  <c r="Z513" i="11"/>
  <c r="Z514" i="11"/>
  <c r="Z515" i="11"/>
  <c r="Z516" i="11"/>
  <c r="Z517" i="11"/>
  <c r="Z518" i="11"/>
  <c r="Z519" i="11"/>
  <c r="Z520" i="11"/>
  <c r="Z521" i="11"/>
  <c r="Z522" i="11"/>
  <c r="Z523" i="11"/>
  <c r="Z524" i="11"/>
  <c r="Z525" i="11"/>
  <c r="Z526" i="11"/>
  <c r="Z527" i="11"/>
  <c r="Z528" i="11"/>
  <c r="Z529" i="11"/>
  <c r="Z530" i="11"/>
  <c r="Z531" i="11"/>
  <c r="Z532" i="11"/>
  <c r="Z533" i="11"/>
  <c r="Z534" i="11"/>
  <c r="Z535" i="11"/>
  <c r="Z536" i="11"/>
  <c r="Z537" i="11"/>
  <c r="Z538" i="11"/>
  <c r="Z539" i="11"/>
  <c r="Z540" i="11"/>
  <c r="Z541" i="11"/>
  <c r="Z542" i="11"/>
  <c r="Z543" i="11"/>
  <c r="Z544" i="11"/>
  <c r="Z545" i="11"/>
  <c r="Z546" i="11"/>
  <c r="Z547" i="11"/>
  <c r="Z548" i="11"/>
  <c r="Z549" i="11"/>
  <c r="Z550" i="11"/>
  <c r="Z551" i="11"/>
  <c r="Z552" i="11"/>
  <c r="Z553" i="11"/>
  <c r="Z554" i="11"/>
  <c r="Z555" i="11"/>
  <c r="Z556" i="11"/>
  <c r="Z557" i="11"/>
  <c r="Z558" i="11"/>
  <c r="Z559" i="11"/>
  <c r="Z560" i="11"/>
  <c r="Z561" i="11"/>
  <c r="Z562" i="11"/>
  <c r="Z563" i="11"/>
  <c r="Z564" i="11"/>
  <c r="Z565" i="11"/>
  <c r="Z566" i="11"/>
  <c r="Z567" i="11"/>
  <c r="Z568" i="11"/>
  <c r="Z569" i="11"/>
  <c r="Z570" i="11"/>
  <c r="Z571" i="11"/>
  <c r="Z572" i="11"/>
  <c r="Z573" i="11"/>
  <c r="Z574" i="11"/>
  <c r="Z575" i="11"/>
  <c r="Z576" i="11"/>
  <c r="Z577" i="11"/>
  <c r="Z578" i="11"/>
  <c r="Z579" i="11"/>
  <c r="Z580" i="11"/>
  <c r="Z581" i="11"/>
  <c r="Z582" i="11"/>
  <c r="Z583" i="11"/>
  <c r="Z584" i="11"/>
  <c r="Z585" i="11"/>
  <c r="Z586" i="11"/>
  <c r="Z587" i="11"/>
  <c r="Z588" i="11"/>
  <c r="Z589" i="11"/>
  <c r="Z590" i="11"/>
  <c r="Z591" i="11"/>
  <c r="Z592" i="11"/>
  <c r="Z593" i="11"/>
  <c r="Z594" i="11"/>
  <c r="Z595" i="11"/>
  <c r="Z596" i="11"/>
  <c r="Z597" i="11"/>
  <c r="Z598" i="11"/>
  <c r="Z599" i="11"/>
  <c r="Z600" i="11"/>
  <c r="Z601" i="11"/>
  <c r="Z602" i="11"/>
  <c r="Z603" i="11"/>
  <c r="Z604" i="11"/>
  <c r="Z605" i="11"/>
  <c r="Z606" i="11"/>
  <c r="Z607" i="11"/>
  <c r="Z608" i="11"/>
  <c r="Z609" i="11"/>
  <c r="Z610" i="11"/>
  <c r="Z611" i="11"/>
  <c r="Z612" i="11"/>
  <c r="Z613" i="11"/>
  <c r="Z614" i="11"/>
  <c r="Z615" i="11"/>
  <c r="Z616" i="11"/>
  <c r="Z617" i="11"/>
  <c r="Z618" i="11"/>
  <c r="Z619" i="11"/>
  <c r="Z620" i="11"/>
  <c r="Z621" i="11"/>
  <c r="Z622" i="11"/>
  <c r="Z623" i="11"/>
  <c r="Z624" i="11"/>
  <c r="Z625" i="11"/>
  <c r="Z626" i="11"/>
  <c r="Z627" i="11"/>
  <c r="Z628" i="11"/>
  <c r="Z629" i="11"/>
  <c r="Z630" i="11"/>
  <c r="Z631" i="11"/>
  <c r="Z632" i="11"/>
  <c r="Z633" i="11"/>
  <c r="Z634" i="11"/>
  <c r="Z635" i="11"/>
  <c r="Z636" i="11"/>
  <c r="Z637" i="11"/>
  <c r="Z638" i="11"/>
  <c r="Z639" i="11"/>
  <c r="Z640" i="11"/>
  <c r="Z641" i="11"/>
  <c r="Z642" i="11"/>
  <c r="Z643" i="11"/>
  <c r="Z644" i="11"/>
  <c r="Z645" i="11"/>
  <c r="Z646" i="11"/>
  <c r="Z647" i="11"/>
  <c r="Z648" i="11"/>
  <c r="Z649" i="11"/>
  <c r="Z650" i="11"/>
  <c r="Z651" i="11"/>
  <c r="Z652" i="11"/>
  <c r="Z653" i="11"/>
  <c r="Z654" i="11"/>
  <c r="Z655" i="11"/>
  <c r="Z656" i="11"/>
  <c r="Z657" i="11"/>
  <c r="Z658" i="11"/>
  <c r="Z659" i="11"/>
  <c r="Z660" i="11"/>
  <c r="Z661" i="11"/>
  <c r="Z662" i="11"/>
  <c r="Z663" i="11"/>
  <c r="Z664" i="11"/>
  <c r="Z665" i="11"/>
  <c r="Z666" i="11"/>
  <c r="Z667" i="11"/>
  <c r="Z668" i="11"/>
  <c r="Z669" i="11"/>
  <c r="Z670" i="11"/>
  <c r="Z671" i="11"/>
  <c r="Z672" i="11"/>
  <c r="Z673" i="11"/>
  <c r="Z674" i="11"/>
  <c r="Z675" i="11"/>
  <c r="Z676" i="11"/>
  <c r="Z677" i="11"/>
  <c r="Z678" i="11"/>
  <c r="Z679" i="11"/>
  <c r="Z680" i="11"/>
  <c r="Z681" i="11"/>
  <c r="Z682" i="11"/>
  <c r="Z683" i="11"/>
  <c r="Z684" i="11"/>
  <c r="Z685" i="11"/>
  <c r="Z686" i="11"/>
  <c r="Z687" i="11"/>
  <c r="Z688" i="11"/>
  <c r="Z689" i="11"/>
  <c r="Z690" i="11"/>
  <c r="Z691" i="11"/>
  <c r="Z692" i="11"/>
  <c r="Z693" i="11"/>
  <c r="Z694" i="11"/>
  <c r="Z695" i="11"/>
  <c r="Z696" i="11"/>
  <c r="Z697" i="11"/>
  <c r="Z698" i="11"/>
  <c r="Z699" i="11"/>
  <c r="Z700" i="11"/>
  <c r="Z701" i="11"/>
  <c r="Z702" i="11"/>
  <c r="Z703" i="11"/>
  <c r="Z704" i="11"/>
  <c r="Z705" i="11"/>
  <c r="Z706" i="11"/>
  <c r="Z707" i="11"/>
  <c r="Z708" i="11"/>
  <c r="Z709" i="11"/>
  <c r="Z710" i="11"/>
  <c r="Z711" i="11"/>
  <c r="Z712" i="11"/>
  <c r="Z713" i="11"/>
  <c r="Z714" i="11"/>
  <c r="Z715" i="11"/>
  <c r="Z716" i="11"/>
  <c r="Z717" i="11"/>
  <c r="Z718" i="11"/>
  <c r="Z719" i="11"/>
  <c r="Z720" i="11"/>
  <c r="Z721" i="11"/>
  <c r="Z722" i="11"/>
  <c r="Z723" i="11"/>
  <c r="Z724" i="11"/>
  <c r="Z725" i="11"/>
  <c r="Z726" i="11"/>
  <c r="Z727" i="11"/>
  <c r="Z728" i="11"/>
  <c r="Z729" i="11"/>
  <c r="Z730" i="11"/>
  <c r="Z731" i="11"/>
  <c r="Z732" i="11"/>
  <c r="Z733" i="11"/>
  <c r="Z734" i="11"/>
  <c r="Z735" i="11"/>
  <c r="Z736" i="11"/>
  <c r="Z737" i="11"/>
  <c r="Z738" i="11"/>
  <c r="Z739" i="11"/>
  <c r="Z740" i="11"/>
  <c r="Z741" i="11"/>
  <c r="Z742" i="11"/>
  <c r="Z743" i="11"/>
  <c r="Z744" i="11"/>
  <c r="Z745" i="11"/>
  <c r="Z746" i="11"/>
  <c r="Z747" i="11"/>
  <c r="Z748" i="11"/>
  <c r="Z749" i="11"/>
  <c r="Z750" i="11"/>
  <c r="Z751" i="11"/>
  <c r="Z752" i="11"/>
  <c r="Z753" i="11"/>
  <c r="Z754" i="11"/>
  <c r="Z755" i="11"/>
  <c r="Z756" i="11"/>
  <c r="Z757" i="11"/>
  <c r="Z758" i="11"/>
  <c r="Z759" i="11"/>
  <c r="Z760" i="11"/>
  <c r="Z761" i="11"/>
  <c r="Z762" i="11"/>
  <c r="Z763" i="11"/>
  <c r="Z764" i="11"/>
  <c r="Z765" i="11"/>
  <c r="Z766" i="11"/>
  <c r="Z767" i="11"/>
  <c r="Z768" i="11"/>
  <c r="Z769" i="11"/>
  <c r="Z770" i="11"/>
  <c r="Z771" i="11"/>
  <c r="Z772" i="11"/>
  <c r="Z773" i="11"/>
  <c r="Z774" i="11"/>
  <c r="Z775" i="11"/>
  <c r="Z776" i="11"/>
  <c r="Z777" i="11"/>
  <c r="Z778" i="11"/>
  <c r="Z779" i="11"/>
  <c r="Z780" i="11"/>
  <c r="Z781" i="11"/>
  <c r="Z782" i="11"/>
  <c r="Z783" i="11"/>
  <c r="Z784" i="11"/>
  <c r="Z785" i="11"/>
  <c r="Z786" i="11"/>
  <c r="Z787" i="11"/>
  <c r="Z788" i="11"/>
  <c r="Z789" i="11"/>
  <c r="Z790" i="11"/>
  <c r="Z791" i="11"/>
  <c r="Z792" i="11"/>
  <c r="Z793" i="11"/>
  <c r="Z794" i="11"/>
  <c r="Z795" i="11"/>
  <c r="Z796" i="11"/>
  <c r="Z797" i="11"/>
  <c r="Z798" i="11"/>
  <c r="Z799" i="11"/>
  <c r="Z800" i="11"/>
  <c r="Z801" i="11"/>
  <c r="Z802" i="11"/>
  <c r="Z803" i="11"/>
  <c r="Z804" i="11"/>
  <c r="Z805" i="11"/>
  <c r="Z806" i="11"/>
  <c r="Z807" i="11"/>
  <c r="Z808" i="11"/>
  <c r="Z809" i="11"/>
  <c r="Z810" i="11"/>
  <c r="Z811" i="11"/>
  <c r="Z812" i="11"/>
  <c r="Z813" i="11"/>
  <c r="Z814" i="11"/>
  <c r="Z815" i="11"/>
  <c r="Z816" i="11"/>
  <c r="Z817" i="11"/>
  <c r="Z818" i="11"/>
  <c r="Z819" i="11"/>
  <c r="Z820" i="11"/>
  <c r="Z821" i="11"/>
  <c r="Z822" i="11"/>
  <c r="Z823" i="11"/>
  <c r="Z824" i="11"/>
  <c r="Z825" i="11"/>
  <c r="Z826" i="11"/>
  <c r="Z827" i="11"/>
  <c r="Z828" i="11"/>
  <c r="Z829" i="11"/>
  <c r="Z830" i="11"/>
  <c r="Z831" i="11"/>
  <c r="Z832" i="11"/>
  <c r="Z833" i="11"/>
  <c r="Z834" i="11"/>
  <c r="Z835" i="11"/>
  <c r="Z836" i="11"/>
  <c r="Z837" i="11"/>
  <c r="Z838" i="11"/>
  <c r="Z839" i="11"/>
  <c r="Z840" i="11"/>
  <c r="Z841" i="11"/>
  <c r="Z842" i="11"/>
  <c r="Z843" i="11"/>
  <c r="Z844" i="11"/>
  <c r="Z845" i="11"/>
  <c r="Z846" i="11"/>
  <c r="Z847" i="11"/>
  <c r="Z848" i="11"/>
  <c r="Z849" i="11"/>
  <c r="Z850" i="11"/>
  <c r="Z851" i="11"/>
  <c r="Z852" i="11"/>
  <c r="Z853" i="11"/>
  <c r="Z854" i="11"/>
  <c r="Z855" i="11"/>
  <c r="Z856" i="11"/>
  <c r="Z857" i="11"/>
  <c r="Z858" i="11"/>
  <c r="Z859" i="11"/>
  <c r="Z860" i="11"/>
  <c r="Z861" i="11"/>
  <c r="Z862" i="11"/>
  <c r="Z863" i="11"/>
  <c r="Z864" i="11"/>
  <c r="Z865" i="11"/>
  <c r="Z866" i="11"/>
  <c r="Z867" i="11"/>
  <c r="Z868" i="11"/>
  <c r="Z869" i="11"/>
  <c r="Z870" i="11"/>
  <c r="Z871" i="11"/>
  <c r="Z872" i="11"/>
  <c r="Z873" i="11"/>
  <c r="Z874" i="11"/>
  <c r="Z875" i="11"/>
  <c r="Z876" i="11"/>
  <c r="Z877" i="11"/>
  <c r="Z878" i="11"/>
  <c r="Z879" i="11"/>
  <c r="Z880" i="11"/>
  <c r="Z881" i="11"/>
  <c r="Z882" i="11"/>
  <c r="Z883" i="11"/>
  <c r="Z884" i="11"/>
  <c r="Z885" i="11"/>
  <c r="Z886" i="11"/>
  <c r="Z887" i="11"/>
  <c r="Z888" i="11"/>
  <c r="Z889" i="11"/>
  <c r="Z890" i="11"/>
  <c r="Z891" i="11"/>
  <c r="Z892" i="11"/>
  <c r="Z893" i="11"/>
  <c r="Z894" i="11"/>
  <c r="Z895" i="11"/>
  <c r="Z896" i="11"/>
  <c r="Z897" i="11"/>
  <c r="Z898" i="11"/>
  <c r="Z899" i="11"/>
  <c r="Z900" i="11"/>
  <c r="Z901" i="11"/>
  <c r="Z902" i="11"/>
  <c r="Z903" i="11"/>
  <c r="Z904" i="11"/>
  <c r="Z905" i="11"/>
  <c r="Z906" i="11"/>
  <c r="Z907" i="11"/>
  <c r="Z908" i="11"/>
  <c r="Z909" i="11"/>
  <c r="Z910" i="11"/>
  <c r="Z911" i="11"/>
  <c r="Z912" i="11"/>
  <c r="Z913" i="11"/>
  <c r="Z914" i="11"/>
  <c r="Z915" i="11"/>
  <c r="Z916" i="11"/>
  <c r="Z917" i="11"/>
  <c r="Z918" i="11"/>
  <c r="Z919" i="11"/>
  <c r="Z920" i="11"/>
  <c r="Z921" i="11"/>
  <c r="Z922" i="11"/>
  <c r="Z923" i="11"/>
  <c r="Z924" i="11"/>
  <c r="Z925" i="11"/>
  <c r="Z926" i="11"/>
  <c r="Z927" i="11"/>
  <c r="Z928" i="11"/>
  <c r="Z929" i="11"/>
  <c r="Z930" i="11"/>
  <c r="Z931" i="11"/>
  <c r="Z932" i="11"/>
  <c r="Z933" i="11"/>
  <c r="Z934" i="11"/>
  <c r="Z935" i="11"/>
  <c r="Z936" i="11"/>
  <c r="Z937" i="11"/>
  <c r="Z938" i="11"/>
  <c r="Z939" i="11"/>
  <c r="Z940" i="11"/>
  <c r="Z941" i="11"/>
  <c r="Z942" i="11"/>
  <c r="Z943" i="11"/>
  <c r="Z944" i="11"/>
  <c r="Z945" i="11"/>
  <c r="Z946" i="11"/>
  <c r="Z947" i="11"/>
  <c r="Z948" i="11"/>
  <c r="Z949" i="11"/>
  <c r="Z950" i="11"/>
  <c r="Z951" i="11"/>
  <c r="Z952" i="11"/>
  <c r="Z953" i="11"/>
  <c r="Z954" i="11"/>
  <c r="Z955" i="11"/>
  <c r="Z956" i="11"/>
  <c r="Z957" i="11"/>
  <c r="Z958" i="11"/>
  <c r="Z959" i="11"/>
  <c r="Z960" i="11"/>
  <c r="Z961" i="11"/>
  <c r="Z962" i="11"/>
  <c r="Z963" i="11"/>
  <c r="Z964" i="11"/>
  <c r="Z965" i="11"/>
  <c r="Z966" i="11"/>
  <c r="Z967" i="11"/>
  <c r="Z968" i="11"/>
  <c r="Z969" i="11"/>
  <c r="Z970" i="11"/>
  <c r="Z971" i="11"/>
  <c r="Z972" i="11"/>
  <c r="Z973" i="11"/>
  <c r="Z974" i="11"/>
  <c r="Z975" i="11"/>
  <c r="Z976" i="11"/>
  <c r="Z977" i="11"/>
  <c r="Z978" i="11"/>
  <c r="Z979" i="11"/>
  <c r="Z980" i="11"/>
  <c r="Z981" i="11"/>
  <c r="Z982" i="11"/>
  <c r="Z983" i="11"/>
  <c r="Z984" i="11"/>
  <c r="Z985" i="11"/>
  <c r="Z986" i="11"/>
  <c r="Z987" i="11"/>
  <c r="Z988" i="11"/>
  <c r="Z989" i="11"/>
  <c r="Z990" i="11"/>
  <c r="Z991" i="11"/>
  <c r="Z992" i="11"/>
  <c r="Z993" i="11"/>
  <c r="Z994" i="11"/>
  <c r="Z995" i="11"/>
  <c r="Z996" i="11"/>
  <c r="Z997" i="11"/>
  <c r="Z998" i="11"/>
  <c r="Z999" i="11"/>
  <c r="Z1000" i="11"/>
  <c r="Z1001" i="11"/>
  <c r="Z1002" i="11"/>
  <c r="Z1003" i="11"/>
  <c r="Z1004" i="11"/>
  <c r="Z1005" i="11"/>
  <c r="Z1006" i="11"/>
  <c r="Z1007" i="11"/>
  <c r="Z1008" i="11"/>
  <c r="Z1009" i="11"/>
  <c r="Z1010" i="11"/>
  <c r="Z1011" i="11"/>
  <c r="Z1012" i="11"/>
  <c r="Z1013" i="11"/>
  <c r="Z1014" i="11"/>
  <c r="Z1015" i="11"/>
  <c r="Z1016" i="11"/>
  <c r="Z1017" i="11"/>
  <c r="Z1018" i="11"/>
  <c r="Z1019" i="11"/>
  <c r="Z1020" i="11"/>
  <c r="Z1021" i="11"/>
  <c r="Z1022" i="11"/>
  <c r="Z1023" i="11"/>
  <c r="Z1024" i="11"/>
  <c r="Z1025" i="11"/>
  <c r="Z1026" i="11"/>
  <c r="Z1027" i="11"/>
  <c r="Z1028" i="11"/>
  <c r="Z1029" i="11"/>
  <c r="Z1030" i="11"/>
  <c r="Z1031" i="11"/>
  <c r="Z1032" i="11"/>
  <c r="Z1033" i="11"/>
  <c r="Z1034" i="11"/>
  <c r="Z1035" i="11"/>
  <c r="Z1036" i="11"/>
  <c r="Z1037" i="11"/>
  <c r="Z1038" i="11"/>
  <c r="Z1039" i="11"/>
  <c r="Z1040" i="11"/>
  <c r="Z1041" i="11"/>
  <c r="Z1042" i="11"/>
  <c r="Z1043" i="11"/>
  <c r="Z1044" i="11"/>
  <c r="Z1045" i="11"/>
  <c r="Z1046" i="11"/>
  <c r="Z1047" i="11"/>
  <c r="Z1048" i="11"/>
  <c r="Z1049" i="11"/>
  <c r="Z1050" i="11"/>
  <c r="Z1051" i="11"/>
  <c r="Z1052" i="11"/>
  <c r="Z1053" i="11"/>
  <c r="Z1054" i="11"/>
  <c r="Z1055" i="11"/>
  <c r="Z1056" i="11"/>
  <c r="Z1057" i="11"/>
  <c r="Z1058" i="11"/>
  <c r="Z1059" i="11"/>
  <c r="Z1060" i="11"/>
  <c r="Z1061" i="11"/>
  <c r="Z1062" i="11"/>
  <c r="Z1063" i="11"/>
  <c r="Z1064" i="11"/>
  <c r="Z1065" i="11"/>
  <c r="Z1066" i="11"/>
  <c r="Z1067" i="11"/>
  <c r="Z1068" i="11"/>
  <c r="Z1069" i="11"/>
  <c r="Z1070" i="11"/>
  <c r="Z1071" i="11"/>
  <c r="Z1072" i="11"/>
  <c r="Z1073" i="11"/>
  <c r="Z1074" i="11"/>
  <c r="Z1075" i="11"/>
  <c r="Z1076" i="11"/>
  <c r="Z1077" i="11"/>
  <c r="Z1078" i="11"/>
  <c r="Z1079" i="11"/>
  <c r="Z1080" i="11"/>
  <c r="Z1081" i="11"/>
  <c r="Z1082" i="11"/>
  <c r="Z1083" i="11"/>
  <c r="Z1084" i="11"/>
  <c r="Z1085" i="11"/>
  <c r="Z1086" i="11"/>
  <c r="Z1087" i="11"/>
  <c r="Z1088" i="11"/>
  <c r="Z1089" i="11"/>
  <c r="Z1090" i="11"/>
  <c r="Z1091" i="11"/>
  <c r="Z1092" i="11"/>
  <c r="Z1093" i="11"/>
  <c r="Z1094" i="11"/>
  <c r="Z1095" i="11"/>
  <c r="Z1096" i="11"/>
  <c r="Z1097" i="11"/>
  <c r="Z1098" i="11"/>
  <c r="Z1099" i="11"/>
  <c r="Z1100" i="11"/>
  <c r="Z1101" i="11"/>
  <c r="Z1102" i="11"/>
  <c r="Z1103" i="11"/>
  <c r="Z1104" i="11"/>
  <c r="Z1105" i="11"/>
  <c r="Z1106" i="11"/>
  <c r="Z1107" i="11"/>
  <c r="Z1108" i="11"/>
  <c r="Z1109" i="11"/>
  <c r="Z1110" i="11"/>
  <c r="Z1111" i="11"/>
  <c r="Z1112" i="11"/>
  <c r="Z1113" i="11"/>
  <c r="Z1114" i="11"/>
  <c r="Z1115" i="11"/>
  <c r="Z1116" i="11"/>
  <c r="Z1117" i="11"/>
  <c r="Z1118" i="11"/>
  <c r="Z1119" i="11"/>
  <c r="Z1120" i="11"/>
  <c r="Z1121" i="11"/>
  <c r="Z1122" i="11"/>
  <c r="Z1123" i="11"/>
  <c r="Z1124" i="11"/>
  <c r="Z1125" i="11"/>
  <c r="Z1126" i="11"/>
  <c r="Z1127" i="11"/>
  <c r="Z1128" i="11"/>
  <c r="Z1129" i="11"/>
  <c r="Z1130" i="11"/>
  <c r="Z1131" i="11"/>
  <c r="Z1132" i="11"/>
  <c r="Z1133" i="11"/>
  <c r="Z1134" i="11"/>
  <c r="Z1135" i="11"/>
  <c r="Z1136" i="11"/>
  <c r="Z1137" i="11"/>
  <c r="Z1138" i="11"/>
  <c r="Z1139" i="11"/>
  <c r="Z1140" i="11"/>
  <c r="Z1141" i="11"/>
  <c r="Z1142" i="11"/>
  <c r="Z1143" i="11"/>
  <c r="Z1144" i="11"/>
  <c r="Z1145" i="11"/>
  <c r="Z1146" i="11"/>
  <c r="Z1147" i="11"/>
  <c r="Z1148" i="11"/>
  <c r="Z1149" i="11"/>
  <c r="Z1150" i="11"/>
  <c r="Z1151" i="11"/>
  <c r="Z1152" i="11"/>
  <c r="Z1153" i="11"/>
  <c r="Z1154" i="11"/>
  <c r="Z1155" i="11"/>
  <c r="Z1156" i="11"/>
  <c r="Z1157" i="11"/>
  <c r="Z1158" i="11"/>
  <c r="Z1159" i="11"/>
  <c r="Z1160" i="11"/>
  <c r="Z1161" i="11"/>
  <c r="Z1162" i="11"/>
  <c r="Z1163" i="11"/>
  <c r="Z1164" i="11"/>
  <c r="Z1165" i="11"/>
  <c r="Z1166" i="11"/>
  <c r="Z1167" i="11"/>
  <c r="Z1168" i="11"/>
  <c r="Z1169" i="11"/>
  <c r="Z1170" i="11"/>
  <c r="Z1171" i="11"/>
  <c r="Z1172" i="11"/>
  <c r="Z1173" i="11"/>
  <c r="Z1174" i="11"/>
  <c r="Z1175" i="11"/>
  <c r="Z1176" i="11"/>
  <c r="Z1177" i="11"/>
  <c r="Z1178" i="11"/>
  <c r="Z1179" i="11"/>
  <c r="Z1180" i="11"/>
  <c r="Z1181" i="11"/>
  <c r="Z1182" i="11"/>
  <c r="Z1183" i="11"/>
  <c r="Z1184" i="11"/>
  <c r="Z1185" i="11"/>
  <c r="Z1186" i="11"/>
  <c r="Z1187" i="11"/>
  <c r="Z1188" i="11"/>
  <c r="Z1189" i="11"/>
  <c r="Z1190" i="11"/>
  <c r="Z1191" i="11"/>
  <c r="Z1192" i="11"/>
  <c r="Z1193" i="11"/>
  <c r="Z1194" i="11"/>
  <c r="Z1195" i="11"/>
  <c r="Z1196" i="11"/>
  <c r="Z1197" i="11"/>
  <c r="Z1198" i="11"/>
  <c r="Z1199" i="11"/>
  <c r="Z1200" i="11"/>
  <c r="Z1201" i="11"/>
  <c r="Z1202" i="11"/>
  <c r="Z1203" i="11"/>
  <c r="Z1204" i="11"/>
  <c r="Z1205" i="11"/>
  <c r="Z1206" i="11"/>
  <c r="Z1207" i="11"/>
  <c r="Z1208" i="11"/>
  <c r="Z1209" i="11"/>
  <c r="Z1210" i="11"/>
  <c r="Z1211" i="11"/>
  <c r="Z1212" i="11"/>
  <c r="Z1213" i="11"/>
  <c r="Z1214" i="11"/>
  <c r="Z1215" i="11"/>
  <c r="Z1216" i="11"/>
  <c r="Z1217" i="11"/>
  <c r="Z1218" i="11"/>
  <c r="Z1219" i="11"/>
  <c r="Z1220" i="11"/>
  <c r="Z1221" i="11"/>
  <c r="Z1222" i="11"/>
  <c r="Z1223" i="11"/>
  <c r="Z1224" i="11"/>
  <c r="Z1225" i="11"/>
  <c r="Z1226" i="11"/>
  <c r="Z1227" i="11"/>
  <c r="Z1228" i="11"/>
  <c r="Z1229" i="11"/>
  <c r="Z1230" i="11"/>
  <c r="Z1231" i="11"/>
  <c r="Z1232" i="11"/>
  <c r="Z1233" i="11"/>
  <c r="Z1234" i="11"/>
  <c r="Z1235" i="11"/>
  <c r="Z1236" i="11"/>
  <c r="Z1237" i="11"/>
  <c r="Z1238" i="11"/>
  <c r="Z1239" i="11"/>
  <c r="Z1240" i="11"/>
  <c r="Z1241" i="11"/>
  <c r="Z1242" i="11"/>
  <c r="Z1243" i="11"/>
  <c r="Z1244" i="11"/>
  <c r="Z1245" i="11"/>
  <c r="Z1246" i="11"/>
  <c r="Z1247" i="11"/>
  <c r="Z1248" i="11"/>
  <c r="Z1249" i="11"/>
  <c r="Z1250" i="11"/>
  <c r="Z1251" i="11"/>
  <c r="Z1252" i="11"/>
  <c r="Z1253" i="11"/>
  <c r="Z1254" i="11"/>
  <c r="Z1255" i="11"/>
  <c r="Z1256" i="11"/>
  <c r="Z1257" i="11"/>
  <c r="Z1258" i="11"/>
  <c r="Z1259" i="11"/>
  <c r="Z1260" i="11"/>
  <c r="Z1261" i="11"/>
  <c r="Z1262" i="11"/>
  <c r="Z1263" i="11"/>
  <c r="Z1264" i="11"/>
  <c r="Z1265" i="11"/>
  <c r="Z1266" i="11"/>
  <c r="Z1267" i="11"/>
  <c r="Z1268" i="11"/>
  <c r="Z1269" i="11"/>
  <c r="Z1270" i="11"/>
  <c r="Z1271" i="11"/>
  <c r="Z1272" i="11"/>
  <c r="Z1273" i="11"/>
  <c r="Z1274" i="11"/>
  <c r="Z1275" i="11"/>
  <c r="Z1276" i="11"/>
  <c r="Z1277" i="11"/>
  <c r="Z1278" i="11"/>
  <c r="Z1279" i="11"/>
  <c r="Z1280" i="11"/>
  <c r="Z1281" i="11"/>
  <c r="Z1282" i="11"/>
  <c r="Z1283" i="11"/>
  <c r="Z1284" i="11"/>
  <c r="Z1285" i="11"/>
  <c r="Z1286" i="11"/>
  <c r="Z1287" i="11"/>
  <c r="Z1288" i="11"/>
  <c r="Z1289" i="11"/>
  <c r="Z1290" i="11"/>
  <c r="Z1291" i="11"/>
  <c r="Z1292" i="11"/>
  <c r="Z1293" i="11"/>
  <c r="Z1294" i="11"/>
  <c r="Z1295" i="11"/>
  <c r="Z1296" i="11"/>
  <c r="Z1297" i="11"/>
  <c r="Z1298" i="11"/>
  <c r="Z1299" i="11"/>
  <c r="Z1300" i="11"/>
  <c r="Z1301" i="11"/>
  <c r="Z1302" i="11"/>
  <c r="Z1303" i="11"/>
  <c r="Z1304" i="11"/>
  <c r="Z1305" i="11"/>
  <c r="Z1306" i="11"/>
  <c r="Z1307" i="11"/>
  <c r="Z1308" i="11"/>
  <c r="Z1309" i="11"/>
  <c r="Z1310" i="11"/>
  <c r="Z1311" i="11"/>
  <c r="Z1312" i="11"/>
  <c r="Z1313" i="11"/>
  <c r="Z1314" i="11"/>
  <c r="Z1315" i="11"/>
  <c r="Z1316" i="11"/>
  <c r="Z1317" i="11"/>
  <c r="Z1318" i="11"/>
  <c r="Z1319" i="11"/>
  <c r="Z1320" i="11"/>
  <c r="Z1321" i="11"/>
  <c r="Z1322" i="11"/>
  <c r="Z1323" i="11"/>
  <c r="Z1324" i="11"/>
  <c r="Z1325" i="11"/>
  <c r="Z1326" i="11"/>
  <c r="Z1327" i="11"/>
  <c r="Z1328" i="11"/>
  <c r="Z1329" i="11"/>
  <c r="Z1330" i="11"/>
  <c r="Z1331" i="11"/>
  <c r="Z1332" i="11"/>
  <c r="Z1333" i="11"/>
  <c r="Z1334" i="11"/>
  <c r="Z1335" i="11"/>
  <c r="Z1336" i="11"/>
  <c r="Z1337" i="11"/>
  <c r="Z1338" i="11"/>
  <c r="Z1339" i="11"/>
  <c r="Z1340" i="11"/>
  <c r="Z1341" i="11"/>
  <c r="Z1342" i="11"/>
  <c r="Z1343" i="11"/>
  <c r="Z1344" i="11"/>
  <c r="Z1345" i="11"/>
  <c r="Z1346" i="11"/>
  <c r="Z1347" i="11"/>
  <c r="Z1348" i="11"/>
  <c r="Z1349" i="11"/>
  <c r="Z1350" i="11"/>
  <c r="Z1351" i="11"/>
  <c r="Z1352" i="11"/>
  <c r="Z1353" i="11"/>
  <c r="Z1354" i="11"/>
  <c r="Z1355" i="11"/>
  <c r="Z1356" i="11"/>
  <c r="Z1357" i="11"/>
  <c r="Z1358" i="11"/>
  <c r="Z1359" i="11"/>
  <c r="Z1360" i="11"/>
  <c r="Z1361" i="11"/>
  <c r="Z1362" i="11"/>
  <c r="Z1363" i="11"/>
  <c r="Z1364" i="11"/>
  <c r="Z1365" i="11"/>
  <c r="Z1366" i="11"/>
  <c r="Z1367" i="11"/>
  <c r="Z1368" i="11"/>
  <c r="Z1369" i="11"/>
  <c r="Z1370" i="11"/>
  <c r="Z1371" i="11"/>
  <c r="Z1372" i="11"/>
  <c r="Z1373" i="11"/>
  <c r="Z1374" i="11"/>
  <c r="Z1375" i="11"/>
  <c r="Z1376" i="11"/>
  <c r="Z1377" i="11"/>
  <c r="Z1378" i="11"/>
  <c r="Z1379" i="11"/>
  <c r="Z1380" i="11"/>
  <c r="Z1381" i="11"/>
  <c r="Z1382" i="11"/>
  <c r="Z1383" i="11"/>
  <c r="Z1384" i="11"/>
  <c r="Z1385" i="11"/>
  <c r="Z1386" i="11"/>
  <c r="Z1387" i="11"/>
  <c r="Z1388" i="11"/>
  <c r="Z1389" i="11"/>
  <c r="Z1390" i="11"/>
  <c r="Z1391" i="11"/>
  <c r="Z1392" i="11"/>
  <c r="Z1393" i="11"/>
  <c r="Z1394" i="11"/>
  <c r="Z1395" i="11"/>
  <c r="Z1396" i="11"/>
  <c r="Z1397" i="11"/>
  <c r="Z1398" i="11"/>
  <c r="Z1399" i="11"/>
  <c r="Z1400" i="11"/>
  <c r="Z1401" i="11"/>
  <c r="Z1402" i="11"/>
  <c r="Z1403" i="11"/>
  <c r="Z1404" i="11"/>
  <c r="Z1405" i="11"/>
  <c r="Z1406" i="11"/>
  <c r="Z1407" i="11"/>
  <c r="Z1408" i="11"/>
  <c r="Z1409" i="11"/>
  <c r="Z1410" i="11"/>
  <c r="Z1411" i="11"/>
  <c r="Z1412" i="11"/>
  <c r="Z1413" i="11"/>
  <c r="Z1414" i="11"/>
  <c r="Z1415" i="11"/>
  <c r="Z1416" i="11"/>
  <c r="Z1417" i="11"/>
  <c r="Z1418" i="11"/>
  <c r="Z1419" i="11"/>
  <c r="Z1420" i="11"/>
  <c r="Z1421" i="11"/>
  <c r="Z1422" i="11"/>
  <c r="Z1423" i="11"/>
  <c r="Z1424" i="11"/>
  <c r="Z1425" i="11"/>
  <c r="Z1426" i="11"/>
  <c r="Z1427" i="11"/>
  <c r="Z1428" i="11"/>
  <c r="Z1429" i="11"/>
  <c r="Z1430" i="11"/>
  <c r="Z1431" i="11"/>
  <c r="Z1432" i="11"/>
  <c r="Z1433" i="11"/>
  <c r="Z1434" i="11"/>
  <c r="Z1435" i="11"/>
  <c r="Z1436" i="11"/>
  <c r="Z1437" i="11"/>
  <c r="Z1438" i="11"/>
  <c r="Z1439" i="11"/>
  <c r="Z1440" i="11"/>
  <c r="Z1441" i="11"/>
  <c r="Z1442" i="11"/>
  <c r="Z1443" i="11"/>
  <c r="Z1444" i="11"/>
  <c r="Z1445" i="11"/>
  <c r="Z1446" i="11"/>
  <c r="Z1447" i="11"/>
  <c r="Z1448" i="11"/>
  <c r="Z1449" i="11"/>
  <c r="Z1450" i="11"/>
  <c r="Z1451" i="11"/>
  <c r="Z1452" i="11"/>
  <c r="Z1453" i="11"/>
  <c r="Z1454" i="11"/>
  <c r="Z1455" i="11"/>
  <c r="Z1456" i="11"/>
  <c r="Z1457" i="11"/>
  <c r="Z1458" i="11"/>
  <c r="Z1459" i="11"/>
  <c r="Z1460" i="11"/>
  <c r="Z1461" i="11"/>
  <c r="Z1462" i="11"/>
  <c r="Z1463" i="11"/>
  <c r="Z1464" i="11"/>
  <c r="Z1465" i="11"/>
  <c r="Z1466" i="11"/>
  <c r="Z1467" i="11"/>
  <c r="Z1468" i="11"/>
  <c r="Z1469" i="11"/>
  <c r="Z1470" i="11"/>
  <c r="Z1471" i="11"/>
  <c r="Z1472" i="11"/>
  <c r="Z1473" i="11"/>
  <c r="Z1474" i="11"/>
  <c r="Z1475" i="11"/>
  <c r="Z1476" i="11"/>
  <c r="Z1477" i="11"/>
  <c r="Z1478" i="11"/>
  <c r="Z1479" i="11"/>
  <c r="Z1480" i="11"/>
  <c r="Z1481" i="11"/>
  <c r="Z1482" i="11"/>
  <c r="Z1483" i="11"/>
  <c r="Z1484" i="11"/>
  <c r="Z1485" i="11"/>
  <c r="Z1486" i="11"/>
  <c r="Z1487" i="11"/>
  <c r="Z1488" i="11"/>
  <c r="Z1489" i="11"/>
  <c r="Z1490" i="11"/>
  <c r="Z1491" i="11"/>
  <c r="Z1492" i="11"/>
  <c r="Z1493" i="11"/>
  <c r="Z1494" i="11"/>
  <c r="Z1495" i="11"/>
  <c r="Z1496" i="11"/>
  <c r="Z1497" i="11"/>
  <c r="Z1498" i="11"/>
  <c r="Z1499" i="11"/>
  <c r="Z1500" i="11"/>
  <c r="Z1501" i="11"/>
  <c r="Z1502" i="11"/>
  <c r="Z1503" i="11"/>
  <c r="Z1504" i="11"/>
  <c r="Z1505" i="11"/>
  <c r="Z1506" i="11"/>
  <c r="Z1507" i="11"/>
  <c r="Z1508" i="11"/>
  <c r="Z1509" i="11"/>
  <c r="Z1510" i="11"/>
  <c r="Z1511" i="11"/>
  <c r="Z1512" i="11"/>
  <c r="Z1513" i="11"/>
  <c r="Z1514" i="11"/>
  <c r="Z1515" i="11"/>
  <c r="Z1516" i="11"/>
  <c r="Z1517" i="11"/>
  <c r="Z1518" i="11"/>
  <c r="Z1519" i="11"/>
  <c r="Z1520" i="11"/>
  <c r="Z1521" i="11"/>
  <c r="Z1522" i="11"/>
  <c r="Z1523" i="11"/>
  <c r="Z1524" i="11"/>
  <c r="Z1525" i="11"/>
  <c r="Z1526" i="11"/>
  <c r="Z1527" i="11"/>
  <c r="Z1528" i="11"/>
  <c r="Z1529" i="11"/>
  <c r="Z1530" i="11"/>
  <c r="Z1531" i="11"/>
  <c r="Z1532" i="11"/>
  <c r="Z1533" i="11"/>
  <c r="Z1534" i="11"/>
  <c r="Z1535" i="11"/>
  <c r="Z1536" i="11"/>
  <c r="Z1537" i="11"/>
  <c r="Z1538" i="11"/>
  <c r="Z1539" i="11"/>
  <c r="Z1540" i="11"/>
  <c r="Z1541" i="11"/>
  <c r="Z1542" i="11"/>
  <c r="Z1543" i="11"/>
  <c r="Z1544" i="11"/>
  <c r="Z1545" i="11"/>
  <c r="Z1546" i="11"/>
  <c r="Z1547" i="11"/>
  <c r="Z1548" i="11"/>
  <c r="Z1549" i="11"/>
  <c r="Z1550" i="11"/>
  <c r="Z1551" i="11"/>
  <c r="Z1552" i="11"/>
  <c r="Z1553" i="11"/>
  <c r="Z1554" i="11"/>
  <c r="Z1555" i="11"/>
  <c r="Z1556" i="11"/>
  <c r="Z1557" i="11"/>
  <c r="Z1558" i="11"/>
  <c r="Z1559" i="11"/>
  <c r="Z1560" i="11"/>
  <c r="Z1561" i="11"/>
  <c r="Z1562" i="11"/>
  <c r="Z1563" i="11"/>
  <c r="Z1564" i="11"/>
  <c r="Z1565" i="11"/>
  <c r="Z1566" i="11"/>
  <c r="Z1567" i="11"/>
  <c r="Z1568" i="11"/>
  <c r="Z1569" i="11"/>
  <c r="Z1570" i="11"/>
  <c r="Z1571" i="11"/>
  <c r="Z1572" i="11"/>
  <c r="Z1573" i="11"/>
  <c r="Z1574" i="11"/>
  <c r="Z1575" i="11"/>
  <c r="Z1576" i="11"/>
  <c r="Z1577" i="11"/>
  <c r="Z1578" i="11"/>
  <c r="Z1579" i="11"/>
  <c r="Z1580" i="11"/>
  <c r="Z1581" i="11"/>
  <c r="Z1582" i="11"/>
  <c r="Z1583" i="11"/>
  <c r="Z1584" i="11"/>
  <c r="Z1585" i="11"/>
  <c r="Z1586" i="11"/>
  <c r="Z1587" i="11"/>
  <c r="Z1588" i="11"/>
  <c r="Z1589" i="11"/>
  <c r="Z1590" i="11"/>
  <c r="Z1591" i="11"/>
  <c r="Z1592" i="11"/>
  <c r="Z1593" i="11"/>
  <c r="Z1594" i="11"/>
  <c r="Z1595" i="11"/>
  <c r="Z1596" i="11"/>
  <c r="Z1597" i="11"/>
  <c r="Z1598" i="11"/>
  <c r="Z1599" i="11"/>
  <c r="Z1600" i="11"/>
  <c r="Z1601" i="11"/>
  <c r="Z1602" i="11"/>
  <c r="Z1603" i="11"/>
  <c r="Z1604" i="11"/>
  <c r="Z1605" i="11"/>
  <c r="Z1606" i="11"/>
  <c r="Z1607" i="11"/>
  <c r="Z1608" i="11"/>
  <c r="Z1609" i="11"/>
  <c r="Z1610" i="11"/>
  <c r="Z1611" i="11"/>
  <c r="Z1612" i="11"/>
  <c r="Z1613" i="11"/>
  <c r="Z1614" i="11"/>
  <c r="Z1615" i="11"/>
  <c r="Z1616" i="11"/>
  <c r="Z1617" i="11"/>
  <c r="Z1618" i="11"/>
  <c r="Z1619" i="11"/>
  <c r="Z1620" i="11"/>
  <c r="Z1621" i="11"/>
  <c r="Z1622" i="11"/>
  <c r="Z1623" i="11"/>
  <c r="Z1624" i="11"/>
  <c r="Z1625" i="11"/>
  <c r="Z1626" i="11"/>
  <c r="Z1627" i="11"/>
  <c r="Z1628" i="11"/>
  <c r="Z1629" i="11"/>
  <c r="Z1630" i="11"/>
  <c r="Z1631" i="11"/>
  <c r="Z1632" i="11"/>
  <c r="Z1633" i="11"/>
  <c r="Z1634" i="11"/>
  <c r="Z1635" i="11"/>
  <c r="Z1636" i="11"/>
  <c r="Z1637" i="11"/>
  <c r="Z1638" i="11"/>
  <c r="Z1639" i="11"/>
  <c r="Z1640" i="11"/>
  <c r="Z1641" i="11"/>
  <c r="Z1642" i="11"/>
  <c r="Z1643" i="11"/>
  <c r="Z1644" i="11"/>
  <c r="Z1645" i="11"/>
  <c r="Z1646" i="11"/>
  <c r="Z1647" i="11"/>
  <c r="Z1648" i="11"/>
  <c r="Z1649" i="11"/>
  <c r="Z1650" i="11"/>
  <c r="Z1651" i="11"/>
  <c r="Z1652" i="11"/>
  <c r="Z1653" i="11"/>
  <c r="Z1654" i="11"/>
  <c r="Z1655" i="11"/>
  <c r="Z1656" i="11"/>
  <c r="Z1657" i="11"/>
  <c r="Z1658" i="11"/>
  <c r="Z1659" i="11"/>
  <c r="Z1660" i="11"/>
  <c r="Z1661" i="11"/>
  <c r="Z1662" i="11"/>
  <c r="Z1663" i="11"/>
  <c r="Z1664" i="11"/>
  <c r="Z1665" i="11"/>
  <c r="Z1666" i="11"/>
  <c r="Z1667" i="11"/>
  <c r="Z1668" i="11"/>
  <c r="Z1669" i="11"/>
  <c r="Z1670" i="11"/>
  <c r="Z1671" i="11"/>
  <c r="Z1672" i="11"/>
  <c r="Z1673" i="11"/>
  <c r="Z1674" i="11"/>
  <c r="Z1675" i="11"/>
  <c r="Z1676" i="11"/>
  <c r="Z1677" i="11"/>
  <c r="Z1678" i="11"/>
  <c r="Z1679" i="11"/>
  <c r="Z1680" i="11"/>
  <c r="Z1681" i="11"/>
  <c r="Z1682" i="11"/>
  <c r="Z1683" i="11"/>
  <c r="Z1684" i="11"/>
  <c r="Z1685" i="11"/>
  <c r="Z1686" i="11"/>
  <c r="Z1687" i="11"/>
  <c r="Z1688" i="11"/>
  <c r="Z1689" i="11"/>
  <c r="Z1690" i="11"/>
  <c r="Z1691" i="11"/>
  <c r="Z1692" i="11"/>
  <c r="Z1693" i="11"/>
  <c r="Z1694" i="11"/>
  <c r="Z1695" i="11"/>
  <c r="Z1696" i="11"/>
  <c r="Z1697" i="11"/>
  <c r="Z1698" i="11"/>
  <c r="Z1699" i="11"/>
  <c r="Z1700" i="11"/>
  <c r="Z1701" i="11"/>
  <c r="Z1702" i="11"/>
  <c r="Z1703" i="11"/>
  <c r="Z1704" i="11"/>
  <c r="Z1705" i="11"/>
  <c r="Z1706" i="11"/>
  <c r="Z1707" i="11"/>
  <c r="Z1708" i="11"/>
  <c r="Z1709" i="11"/>
  <c r="Z1710" i="11"/>
  <c r="Z1711" i="11"/>
  <c r="Z1712" i="11"/>
  <c r="Z1713" i="11"/>
  <c r="Z1714" i="11"/>
  <c r="Z1715" i="11"/>
  <c r="Z1716" i="11"/>
  <c r="Z1717" i="11"/>
  <c r="Z1718" i="11"/>
  <c r="Z1719" i="11"/>
  <c r="Z1720" i="11"/>
  <c r="Z1721" i="11"/>
  <c r="Z1722" i="11"/>
  <c r="Z1723" i="11"/>
  <c r="Z1724" i="11"/>
  <c r="Z1725" i="11"/>
  <c r="Z1726" i="11"/>
  <c r="Z1727" i="11"/>
  <c r="Z1728" i="11"/>
  <c r="Z1729" i="11"/>
  <c r="Z1730" i="11"/>
  <c r="Z1731" i="11"/>
  <c r="Z1732" i="11"/>
  <c r="Z1733" i="11"/>
  <c r="Z1734" i="11"/>
  <c r="Z1735" i="11"/>
  <c r="Z1736" i="11"/>
  <c r="Z1737" i="11"/>
  <c r="Z1738" i="11"/>
  <c r="Z1739" i="11"/>
  <c r="Z1740" i="11"/>
  <c r="Z1741" i="11"/>
  <c r="Z1742" i="11"/>
  <c r="Z1743" i="11"/>
  <c r="Z1744" i="11"/>
  <c r="Z1745" i="11"/>
  <c r="Z1746" i="11"/>
  <c r="Z1747" i="11"/>
  <c r="Z1748" i="11"/>
  <c r="Z1749" i="11"/>
  <c r="Z1750" i="11"/>
  <c r="Z1751" i="11"/>
  <c r="Z1752" i="11"/>
  <c r="Z1753" i="11"/>
  <c r="Z1754" i="11"/>
  <c r="Z1755" i="11"/>
  <c r="Z1756" i="11"/>
  <c r="Z1757" i="11"/>
  <c r="Z1758" i="11"/>
  <c r="Z1759" i="11"/>
  <c r="Z1760" i="11"/>
  <c r="Z1761" i="11"/>
  <c r="Z1762" i="11"/>
  <c r="Z1763" i="11"/>
  <c r="Z1764" i="11"/>
  <c r="Z1765" i="11"/>
  <c r="Z1766" i="11"/>
  <c r="Z1767" i="11"/>
  <c r="Z1768" i="11"/>
  <c r="Z1769" i="11"/>
  <c r="Z1770" i="11"/>
  <c r="Z1771" i="11"/>
  <c r="Z1772" i="11"/>
  <c r="Z1773" i="11"/>
  <c r="Z1774" i="11"/>
  <c r="Z1775" i="11"/>
  <c r="Z1776" i="11"/>
  <c r="Z1777" i="11"/>
  <c r="Z1778" i="11"/>
  <c r="Z1779" i="11"/>
  <c r="Z1780" i="11"/>
  <c r="Z1781" i="11"/>
  <c r="Z1782" i="11"/>
  <c r="Z1783" i="11"/>
  <c r="Z1784" i="11"/>
  <c r="Z1785" i="11"/>
  <c r="Z1786" i="11"/>
  <c r="Z1787" i="11"/>
  <c r="Z1788" i="11"/>
  <c r="Z1789" i="11"/>
  <c r="Z1790" i="11"/>
  <c r="Z1791" i="11"/>
  <c r="Z1792" i="11"/>
  <c r="Z1793" i="11"/>
  <c r="Z1794" i="11"/>
  <c r="Z1795" i="11"/>
  <c r="Z1796" i="11"/>
  <c r="Z1797" i="11"/>
  <c r="Z1798" i="11"/>
  <c r="Z1799" i="11"/>
  <c r="Z1800" i="11"/>
  <c r="Z1801" i="11"/>
  <c r="Z1802" i="11"/>
  <c r="Z1803" i="11"/>
  <c r="Z1804" i="11"/>
  <c r="Z1805" i="11"/>
  <c r="Z1806" i="11"/>
  <c r="Z1807" i="11"/>
  <c r="Z1808" i="11"/>
  <c r="Z1809" i="11"/>
  <c r="Z1810" i="11"/>
  <c r="Z1811" i="11"/>
  <c r="Z1812" i="11"/>
  <c r="Z1813" i="11"/>
  <c r="Z1814" i="11"/>
  <c r="Z1815" i="11"/>
  <c r="Z1816" i="11"/>
  <c r="Z1817" i="11"/>
  <c r="Z1818" i="11"/>
  <c r="Z1819" i="11"/>
  <c r="Z1820" i="11"/>
  <c r="Z1821" i="11"/>
  <c r="Z1822" i="11"/>
  <c r="Z1823" i="11"/>
  <c r="Z1824" i="11"/>
  <c r="Z1825" i="11"/>
  <c r="Z1826" i="11"/>
  <c r="Z1827" i="11"/>
  <c r="Z1828" i="11"/>
  <c r="Z1829" i="11"/>
  <c r="Z1830" i="11"/>
  <c r="Z1831" i="11"/>
  <c r="Z1832" i="11"/>
  <c r="Z1833" i="11"/>
  <c r="Z1834" i="11"/>
  <c r="Z1835" i="11"/>
  <c r="Z1836" i="11"/>
  <c r="Z1837" i="11"/>
  <c r="Z1838" i="11"/>
  <c r="Z1839" i="11"/>
  <c r="Z1840" i="11"/>
  <c r="Z1841" i="11"/>
  <c r="Z1842" i="11"/>
  <c r="Z1843" i="11"/>
  <c r="Z1844" i="11"/>
  <c r="Z1845" i="11"/>
  <c r="Z1846" i="11"/>
  <c r="Z1847" i="11"/>
  <c r="Z1848" i="11"/>
  <c r="Z1849" i="11"/>
  <c r="Z1850" i="11"/>
  <c r="Z1851" i="11"/>
  <c r="Z1852" i="11"/>
  <c r="Z1853" i="11"/>
  <c r="Z1854" i="11"/>
  <c r="Z1855" i="11"/>
  <c r="Z1856" i="11"/>
  <c r="Z1857" i="11"/>
  <c r="Z1858" i="11"/>
  <c r="Z1859" i="11"/>
  <c r="Z1860" i="11"/>
  <c r="Z1861" i="11"/>
  <c r="Z1862" i="11"/>
  <c r="Z1863" i="11"/>
  <c r="Z1864" i="11"/>
  <c r="Z1865" i="11"/>
  <c r="Z1866" i="11"/>
  <c r="Z1867" i="11"/>
  <c r="Z1868" i="11"/>
  <c r="Z1869" i="11"/>
  <c r="Z1870" i="11"/>
  <c r="Z1871" i="11"/>
  <c r="Z1872" i="11"/>
  <c r="Z1873" i="11"/>
  <c r="Z1874" i="11"/>
  <c r="Z1875" i="11"/>
  <c r="Z1876" i="11"/>
  <c r="Z1877" i="11"/>
  <c r="Z1878" i="11"/>
  <c r="Z1879" i="11"/>
  <c r="Z1880" i="11"/>
  <c r="Z1881" i="11"/>
  <c r="Z1882" i="11"/>
  <c r="Z1883" i="11"/>
  <c r="Z1884" i="11"/>
  <c r="Z1885" i="11"/>
  <c r="Z1886" i="11"/>
  <c r="Z1887" i="11"/>
  <c r="Z1888" i="11"/>
  <c r="Z1889" i="11"/>
  <c r="Z1890" i="11"/>
  <c r="Z1891" i="11"/>
  <c r="Z1892" i="11"/>
  <c r="Z1893" i="11"/>
  <c r="Z1894" i="11"/>
  <c r="Z1895" i="11"/>
  <c r="Z1896" i="11"/>
  <c r="Z1897" i="11"/>
  <c r="Z1898" i="11"/>
  <c r="Z1899" i="11"/>
  <c r="Z1900" i="11"/>
  <c r="Z1901" i="11"/>
  <c r="Z1902" i="11"/>
  <c r="Z1903" i="11"/>
  <c r="Z1904" i="11"/>
  <c r="Z1905" i="11"/>
  <c r="Z1906" i="11"/>
  <c r="Z1907" i="11"/>
  <c r="Z1908" i="11"/>
  <c r="Z1909" i="11"/>
  <c r="Z1910" i="11"/>
  <c r="Z1911" i="11"/>
  <c r="Z1912" i="11"/>
  <c r="Z1913" i="11"/>
  <c r="Z1914" i="11"/>
  <c r="Z1915" i="11"/>
  <c r="Z1916" i="11"/>
  <c r="Z1917" i="11"/>
  <c r="Z1918" i="11"/>
  <c r="Z1919" i="11"/>
  <c r="Z1920" i="11"/>
  <c r="Z1921" i="11"/>
  <c r="Z1922" i="11"/>
  <c r="Z1923" i="11"/>
  <c r="Z1924" i="11"/>
  <c r="Z1925" i="11"/>
  <c r="Z1926" i="11"/>
  <c r="Z1927" i="11"/>
  <c r="Z1928" i="11"/>
  <c r="Z1929" i="11"/>
  <c r="Z1930" i="11"/>
  <c r="Z1931" i="11"/>
  <c r="Z1932" i="11"/>
  <c r="Z1933" i="11"/>
  <c r="Z1934" i="11"/>
  <c r="Z1935" i="11"/>
  <c r="Z1936" i="11"/>
  <c r="Z1937" i="11"/>
  <c r="Z1938" i="11"/>
  <c r="Z1939" i="11"/>
  <c r="Z1940" i="11"/>
  <c r="Z1941" i="11"/>
  <c r="Z1942" i="11"/>
  <c r="Z1943" i="11"/>
  <c r="Z1944" i="11"/>
  <c r="Z1945" i="11"/>
  <c r="Z1946" i="11"/>
  <c r="Z1947" i="11"/>
  <c r="Z1948" i="11"/>
  <c r="Z1949" i="11"/>
  <c r="Z1950" i="11"/>
  <c r="Z1951" i="11"/>
  <c r="Z1952" i="11"/>
  <c r="Z1953" i="11"/>
  <c r="Z1954" i="11"/>
  <c r="Z1955" i="11"/>
  <c r="Z1956" i="11"/>
  <c r="Z1957" i="11"/>
  <c r="Z1958" i="11"/>
  <c r="Z1959" i="11"/>
  <c r="Z1960" i="11"/>
  <c r="Z1961" i="11"/>
  <c r="Z1962" i="11"/>
  <c r="Z1963" i="11"/>
  <c r="Z1964" i="11"/>
  <c r="Z1965" i="11"/>
  <c r="Z1966" i="11"/>
  <c r="Z1967" i="11"/>
  <c r="Z1968" i="11"/>
  <c r="Z1969" i="11"/>
  <c r="Z1970" i="11"/>
  <c r="Z1971" i="11"/>
  <c r="Z1972" i="11"/>
  <c r="Z1973" i="11"/>
  <c r="Z1974" i="11"/>
  <c r="Z1975" i="11"/>
  <c r="Z1976" i="11"/>
  <c r="Z1977" i="11"/>
  <c r="Z1978" i="11"/>
  <c r="Z1979" i="11"/>
  <c r="Z1980" i="11"/>
  <c r="Z1981" i="11"/>
  <c r="Z1982" i="11"/>
  <c r="Z1983" i="11"/>
  <c r="Z1984" i="11"/>
  <c r="Z1985" i="11"/>
  <c r="Z1986" i="11"/>
  <c r="Z1987" i="11"/>
  <c r="Z1988" i="11"/>
  <c r="Z1989" i="11"/>
  <c r="Z1990" i="11"/>
  <c r="Z1991" i="11"/>
  <c r="Z1992" i="11"/>
  <c r="Z1993" i="11"/>
  <c r="Z1994" i="11"/>
  <c r="Z1995" i="11"/>
  <c r="Z1996" i="11"/>
  <c r="Z1997" i="11"/>
  <c r="Z1998" i="11"/>
  <c r="Z1999" i="11"/>
  <c r="Z2000" i="11"/>
  <c r="Z2001" i="11"/>
  <c r="Z2002" i="11"/>
  <c r="Z2003" i="11"/>
  <c r="Z2004" i="11"/>
  <c r="Z2005" i="11"/>
  <c r="Z2006" i="11"/>
  <c r="Z2007" i="11"/>
  <c r="Z2008" i="11"/>
  <c r="Z2009" i="11"/>
  <c r="Z2010" i="11"/>
  <c r="Z2011" i="11"/>
  <c r="Z2012" i="11"/>
  <c r="Z2013" i="11"/>
  <c r="Z2014" i="11"/>
  <c r="Z2015" i="11"/>
  <c r="Z2016" i="11"/>
  <c r="Z2017" i="11"/>
  <c r="Z2018" i="11"/>
  <c r="Z2019" i="11"/>
  <c r="Z2020" i="11"/>
  <c r="Z2021" i="11"/>
  <c r="Z2022" i="11"/>
  <c r="Z2023" i="11"/>
  <c r="Z2024" i="11"/>
  <c r="Z2025" i="11"/>
  <c r="Z2026" i="11"/>
  <c r="Z2027" i="11"/>
  <c r="Z2028" i="11"/>
  <c r="Z2029" i="11"/>
  <c r="Z2030" i="11"/>
  <c r="Z2031" i="11"/>
  <c r="Z2032" i="11"/>
  <c r="Z2033" i="11"/>
  <c r="Z2034" i="11"/>
  <c r="Z2035" i="11"/>
  <c r="Z2036" i="11"/>
  <c r="Z2037" i="11"/>
  <c r="Z2038" i="11"/>
  <c r="Z2039" i="11"/>
  <c r="Z2040" i="11"/>
  <c r="Z2041" i="11"/>
  <c r="Z2042" i="11"/>
  <c r="Z2043" i="11"/>
  <c r="Z2044" i="11"/>
  <c r="Z2045" i="11"/>
  <c r="Z2046" i="11"/>
  <c r="Z2047" i="11"/>
  <c r="Z2048" i="11"/>
  <c r="Z2049" i="11"/>
  <c r="Z2050" i="11"/>
  <c r="Z2051" i="11"/>
  <c r="Z2052" i="11"/>
  <c r="Z2053" i="11"/>
  <c r="Z2054" i="11"/>
  <c r="Z2055" i="11"/>
  <c r="Z2056" i="11"/>
  <c r="Z2057" i="11"/>
  <c r="Z2058" i="11"/>
  <c r="Z2059" i="11"/>
  <c r="Z2060" i="11"/>
  <c r="Z2061" i="11"/>
  <c r="Z2062" i="11"/>
  <c r="Z2063" i="11"/>
  <c r="Z2064" i="11"/>
  <c r="Z2065" i="11"/>
  <c r="Z2066" i="11"/>
  <c r="Z2067" i="11"/>
  <c r="Z2068" i="11"/>
  <c r="Z2069" i="11"/>
  <c r="Z2070" i="11"/>
  <c r="Z2071" i="11"/>
  <c r="Z2072" i="11"/>
  <c r="Z2073" i="11"/>
  <c r="Z2074" i="11"/>
  <c r="Z2075" i="11"/>
  <c r="Z2076" i="11"/>
  <c r="Z2077" i="11"/>
  <c r="Z2078" i="11"/>
  <c r="Z2079" i="11"/>
  <c r="Z2080" i="11"/>
  <c r="Z2081" i="11"/>
  <c r="Z2082" i="11"/>
  <c r="Z2083" i="11"/>
  <c r="Z2084" i="11"/>
  <c r="Z2085" i="11"/>
  <c r="Z2086" i="11"/>
  <c r="Z2087" i="11"/>
  <c r="Z2088" i="11"/>
  <c r="Z2089" i="11"/>
  <c r="Z2090" i="11"/>
  <c r="Z2091" i="11"/>
  <c r="Z2092" i="11"/>
  <c r="Z2093" i="11"/>
  <c r="Z2094" i="11"/>
  <c r="Z2095" i="11"/>
  <c r="Z2096" i="11"/>
  <c r="Z2097" i="11"/>
  <c r="Z2098" i="11"/>
  <c r="Z2099" i="11"/>
  <c r="Z2100" i="11"/>
  <c r="Z2101" i="11"/>
  <c r="Z2102" i="11"/>
  <c r="Z2103" i="11"/>
  <c r="Z2104" i="11"/>
  <c r="Z2105" i="11"/>
  <c r="Z2106" i="11"/>
  <c r="Z2107" i="11"/>
  <c r="Z2108" i="11"/>
  <c r="Z2109" i="11"/>
  <c r="Z2110" i="11"/>
  <c r="Z2111" i="11"/>
  <c r="Z2112" i="11"/>
  <c r="Z2113" i="11"/>
  <c r="Z2114" i="11"/>
  <c r="Z2115" i="11"/>
  <c r="Z2116" i="11"/>
  <c r="Z2117" i="11"/>
  <c r="Z2118" i="11"/>
  <c r="Z2119" i="11"/>
  <c r="Z2120" i="11"/>
  <c r="Z2121" i="11"/>
  <c r="Z2122" i="11"/>
  <c r="Z2123" i="11"/>
  <c r="Z2124" i="11"/>
  <c r="Z2125" i="11"/>
  <c r="Z2126" i="11"/>
  <c r="Z2127" i="11"/>
  <c r="Z2128" i="11"/>
  <c r="Z2129" i="11"/>
  <c r="Z2130" i="11"/>
  <c r="Z2131" i="11"/>
  <c r="Z2132" i="11"/>
  <c r="Z2133" i="11"/>
  <c r="Z2134" i="11"/>
  <c r="Z2135" i="11"/>
  <c r="Z2136" i="11"/>
  <c r="Z2137" i="11"/>
  <c r="Z2138" i="11"/>
  <c r="Z2139" i="11"/>
  <c r="Z2140" i="11"/>
  <c r="Z2141" i="11"/>
  <c r="Z2142" i="11"/>
  <c r="Z2143" i="11"/>
  <c r="Z2144" i="11"/>
  <c r="Z2145" i="11"/>
  <c r="Z2146" i="11"/>
  <c r="Z2147" i="11"/>
  <c r="Z2148" i="11"/>
  <c r="Z2149" i="11"/>
  <c r="Z2150" i="11"/>
  <c r="Z2151" i="11"/>
  <c r="Z2152" i="11"/>
  <c r="Z2153" i="11"/>
  <c r="Z2154" i="11"/>
  <c r="Z2155" i="11"/>
  <c r="Z2156" i="11"/>
  <c r="Z2157" i="11"/>
  <c r="Z2158" i="11"/>
  <c r="Z2159" i="11"/>
  <c r="Z2160" i="11"/>
  <c r="Z2161" i="11"/>
  <c r="Z2162" i="11"/>
  <c r="Z2163" i="11"/>
  <c r="Z2164" i="11"/>
  <c r="Z2165" i="11"/>
  <c r="Z2166" i="11"/>
  <c r="Z2167" i="11"/>
  <c r="Z2168" i="11"/>
  <c r="Z2169" i="11"/>
  <c r="Z2170" i="11"/>
  <c r="Z2171" i="11"/>
  <c r="Z2172" i="11"/>
  <c r="Z2173" i="11"/>
  <c r="Z2174" i="11"/>
  <c r="Z2175" i="11"/>
  <c r="Z2176" i="11"/>
  <c r="Z2177" i="11"/>
  <c r="Z2178" i="11"/>
  <c r="Z2179" i="11"/>
  <c r="Z2180" i="11"/>
  <c r="Z2181" i="11"/>
  <c r="Z2182" i="11"/>
  <c r="Z2183" i="11"/>
  <c r="Z2184" i="11"/>
  <c r="Z2185" i="11"/>
  <c r="Z2186" i="11"/>
  <c r="Z2187" i="11"/>
  <c r="Z2188" i="11"/>
  <c r="Z2189" i="11"/>
  <c r="Z2190" i="11"/>
  <c r="Z2191" i="11"/>
  <c r="Z2192" i="11"/>
  <c r="Z2193" i="11"/>
  <c r="Z2194" i="11"/>
  <c r="Z2195" i="11"/>
  <c r="Z2196" i="11"/>
  <c r="Z2197" i="11"/>
  <c r="Z2198" i="11"/>
  <c r="Z2199" i="11"/>
  <c r="Z2200" i="11"/>
  <c r="Z2201" i="11"/>
  <c r="Z2202" i="11"/>
  <c r="Z2203" i="11"/>
  <c r="Z2204" i="11"/>
  <c r="Z2205" i="11"/>
  <c r="Z2206" i="11"/>
  <c r="Z2207" i="11"/>
  <c r="Z2208" i="11"/>
  <c r="Z2209" i="11"/>
  <c r="Z2210" i="11"/>
  <c r="Z2211" i="11"/>
  <c r="Z2212" i="11"/>
  <c r="Z2213" i="11"/>
  <c r="Z2214" i="11"/>
  <c r="Z2215" i="11"/>
  <c r="Z2216" i="11"/>
  <c r="Z2217" i="11"/>
  <c r="Z2218" i="11"/>
  <c r="Z2219" i="11"/>
  <c r="Z2220" i="11"/>
  <c r="Z2221" i="11"/>
  <c r="Z2222" i="11"/>
  <c r="Z2223" i="11"/>
  <c r="Z2224" i="11"/>
  <c r="Z2225" i="11"/>
  <c r="Z2226" i="11"/>
  <c r="Z2227" i="11"/>
  <c r="Z2228" i="11"/>
  <c r="Z2229" i="11"/>
  <c r="Z2230" i="11"/>
  <c r="Z2231" i="11"/>
  <c r="Z2232" i="11"/>
  <c r="Z2233" i="11"/>
  <c r="Z2234" i="11"/>
  <c r="Z2235" i="11"/>
  <c r="Z2236" i="11"/>
  <c r="Z2237" i="11"/>
  <c r="Z2238" i="11"/>
  <c r="Z2239" i="11"/>
  <c r="Z2240" i="11"/>
  <c r="Z2241" i="11"/>
  <c r="Z2242" i="11"/>
  <c r="Z2243" i="11"/>
  <c r="Z2244" i="11"/>
  <c r="Z2245" i="11"/>
  <c r="Z2246" i="11"/>
  <c r="Z2247" i="11"/>
  <c r="Z2248" i="11"/>
  <c r="Z2249" i="11"/>
  <c r="Z2250" i="11"/>
  <c r="Z2251" i="11"/>
  <c r="Z2252" i="11"/>
  <c r="Z2253" i="11"/>
  <c r="Z2254" i="11"/>
  <c r="Z2255" i="11"/>
  <c r="Z2256" i="11"/>
  <c r="Z2257" i="11"/>
  <c r="Z2258" i="11"/>
  <c r="Z2259" i="11"/>
  <c r="Z2260" i="11"/>
  <c r="Z2261" i="11"/>
  <c r="Z2262" i="11"/>
  <c r="Z2263" i="11"/>
  <c r="Z2264" i="11"/>
  <c r="Z2265" i="11"/>
  <c r="Z2266" i="11"/>
  <c r="Z2267" i="11"/>
  <c r="Z2268" i="11"/>
  <c r="Z2269" i="11"/>
  <c r="Z2270" i="11"/>
  <c r="Z2271" i="11"/>
  <c r="Z2272" i="11"/>
  <c r="Z2273" i="11"/>
  <c r="Z2274" i="11"/>
  <c r="Z2275" i="11"/>
  <c r="Z2276" i="11"/>
  <c r="Z2277" i="11"/>
  <c r="Z2278" i="11"/>
  <c r="Z2279" i="11"/>
  <c r="Z2280" i="11"/>
  <c r="Z2281" i="11"/>
  <c r="Z2282" i="11"/>
  <c r="Z2283" i="11"/>
  <c r="Z2284" i="11"/>
  <c r="Z2285" i="11"/>
  <c r="Z2286" i="11"/>
  <c r="Z2287" i="11"/>
  <c r="Z2288" i="11"/>
  <c r="Z2289" i="11"/>
  <c r="Z2290" i="11"/>
  <c r="Z2291" i="11"/>
  <c r="Z2292" i="11"/>
  <c r="Z2293" i="11"/>
  <c r="Z2294" i="11"/>
  <c r="Z2295" i="11"/>
  <c r="Z2296" i="11"/>
  <c r="Z2297" i="11"/>
  <c r="Z2298" i="11"/>
  <c r="Z2299" i="11"/>
  <c r="Z2300" i="11"/>
  <c r="Z2301" i="11"/>
  <c r="Z2302" i="11"/>
  <c r="Z2303" i="11"/>
  <c r="Z2304" i="11"/>
  <c r="Z2305" i="11"/>
  <c r="Z2306" i="11"/>
  <c r="Z2307" i="11"/>
  <c r="Z2308" i="11"/>
  <c r="Z2309" i="11"/>
  <c r="Z2310" i="11"/>
  <c r="Z2311" i="11"/>
  <c r="Z2312" i="11"/>
  <c r="Z2313" i="11"/>
  <c r="Z2314" i="11"/>
  <c r="Z2315" i="11"/>
  <c r="Z2316" i="11"/>
  <c r="Z2317" i="11"/>
  <c r="Z2318" i="11"/>
  <c r="Z2319" i="11"/>
  <c r="Z2320" i="11"/>
  <c r="Z2321" i="11"/>
  <c r="Z2322" i="11"/>
  <c r="Z2323" i="11"/>
  <c r="Z2324" i="11"/>
  <c r="Z2325" i="11"/>
  <c r="Z2326" i="11"/>
  <c r="Z2327" i="11"/>
  <c r="Z2328" i="11"/>
  <c r="Z2329" i="11"/>
  <c r="Z2330" i="11"/>
  <c r="Z2331" i="11"/>
  <c r="Z2332" i="11"/>
  <c r="Z2333" i="11"/>
  <c r="Z2334" i="11"/>
  <c r="Z2335" i="11"/>
  <c r="Z2336" i="11"/>
  <c r="Z2337" i="11"/>
  <c r="Z2338" i="11"/>
  <c r="Z2339" i="11"/>
  <c r="Z2340" i="11"/>
  <c r="Z2341" i="11"/>
  <c r="Z2342" i="11"/>
  <c r="Z2343" i="11"/>
  <c r="Z2344" i="11"/>
  <c r="Z2345" i="11"/>
  <c r="Z2346" i="11"/>
  <c r="Z2347" i="11"/>
  <c r="Z2348" i="11"/>
  <c r="Z2349" i="11"/>
  <c r="Z2350" i="11"/>
  <c r="Z2351" i="11"/>
  <c r="Z2352" i="11"/>
  <c r="Z2353" i="11"/>
  <c r="Z2354" i="11"/>
  <c r="Z2355" i="11"/>
  <c r="Z2356" i="11"/>
  <c r="Z2357" i="11"/>
  <c r="Z2358" i="11"/>
  <c r="Z2359" i="11"/>
  <c r="Z2360" i="11"/>
  <c r="Z2361" i="11"/>
  <c r="Z2362" i="11"/>
  <c r="Z2363" i="11"/>
  <c r="Z2364" i="11"/>
  <c r="Z2365" i="11"/>
  <c r="Z2366" i="11"/>
  <c r="Z2367" i="11"/>
  <c r="Z2368" i="11"/>
  <c r="Z2369" i="11"/>
  <c r="Z2370" i="11"/>
  <c r="Z2371" i="11"/>
  <c r="Z2372" i="11"/>
  <c r="Z2373" i="11"/>
  <c r="Z2374" i="11"/>
  <c r="Z2375" i="11"/>
  <c r="Z2376" i="11"/>
  <c r="Z2377" i="11"/>
  <c r="Z2378" i="11"/>
  <c r="Z2379" i="11"/>
  <c r="Z2380" i="11"/>
  <c r="Z2381" i="11"/>
  <c r="Z2382" i="11"/>
  <c r="Z2383" i="11"/>
  <c r="Z2384" i="11"/>
  <c r="Z2385" i="11"/>
  <c r="Z2386" i="11"/>
  <c r="Z2387" i="11"/>
  <c r="Z2388" i="11"/>
  <c r="Z2389" i="11"/>
  <c r="Z2390" i="11"/>
  <c r="Z2391" i="11"/>
  <c r="Z2392" i="11"/>
  <c r="Z2393" i="11"/>
  <c r="Z2394" i="11"/>
  <c r="Z2395" i="11"/>
  <c r="Z2396" i="11"/>
  <c r="Z2397" i="11"/>
  <c r="Z2398" i="11"/>
  <c r="Z2399" i="11"/>
  <c r="Z2400" i="11"/>
  <c r="Z2401" i="11"/>
  <c r="Z2402" i="11"/>
  <c r="Z2403" i="11"/>
  <c r="Z2404" i="11"/>
  <c r="Z2405" i="11"/>
  <c r="Z2406" i="11"/>
  <c r="Z2407" i="11"/>
  <c r="Z2408" i="11"/>
  <c r="Z2409" i="11"/>
  <c r="Z2410" i="11"/>
  <c r="Z2411" i="11"/>
  <c r="Z2412" i="11"/>
  <c r="Z2413" i="11"/>
  <c r="Z2414" i="11"/>
  <c r="Z2415" i="11"/>
  <c r="Z2416" i="11"/>
  <c r="Z2417" i="11"/>
  <c r="Z2418" i="11"/>
  <c r="Z2419" i="11"/>
  <c r="Z2420" i="11"/>
  <c r="Z2421" i="11"/>
  <c r="Z2422" i="11"/>
  <c r="Z2423" i="11"/>
  <c r="Z2424" i="11"/>
  <c r="Z2425" i="11"/>
  <c r="Z2426" i="11"/>
  <c r="Z2427" i="11"/>
  <c r="Z2428" i="11"/>
  <c r="Z2429" i="11"/>
  <c r="Z2430" i="11"/>
  <c r="Z2431" i="11"/>
  <c r="Z2432" i="11"/>
  <c r="Z2433" i="11"/>
  <c r="Z2434" i="11"/>
  <c r="Z2435" i="11"/>
  <c r="Z2436" i="11"/>
  <c r="Z2437" i="11"/>
  <c r="Z2438" i="11"/>
  <c r="Z2439" i="11"/>
  <c r="Z2440" i="11"/>
  <c r="Z2441" i="11"/>
  <c r="Z2442" i="11"/>
  <c r="Z2443" i="11"/>
  <c r="Z2444" i="11"/>
  <c r="Z2445" i="11"/>
  <c r="Z2446" i="11"/>
  <c r="Z2447" i="11"/>
  <c r="Z2448" i="11"/>
  <c r="Z2449" i="11"/>
  <c r="Z2450" i="11"/>
  <c r="Z2451" i="11"/>
  <c r="Z2452" i="11"/>
  <c r="Z2453" i="11"/>
  <c r="Z2454" i="11"/>
  <c r="Z2455" i="11"/>
  <c r="Z2456" i="11"/>
  <c r="Z2457" i="11"/>
  <c r="Z2458" i="11"/>
  <c r="Z2459" i="11"/>
  <c r="Z2460" i="11"/>
  <c r="Z2461" i="11"/>
  <c r="Z2462" i="11"/>
  <c r="Z2463" i="11"/>
  <c r="Z2464" i="11"/>
  <c r="Z2465" i="11"/>
  <c r="Z2466" i="11"/>
  <c r="Z2467" i="11"/>
  <c r="Z2468" i="11"/>
  <c r="Z2469" i="11"/>
  <c r="Z2470" i="11"/>
  <c r="Z2471" i="11"/>
  <c r="Z2472" i="11"/>
  <c r="Z2473" i="11"/>
  <c r="Z2474" i="11"/>
  <c r="Z2475" i="11"/>
  <c r="Z2476" i="11"/>
  <c r="Z2477" i="11"/>
  <c r="Z2478" i="11"/>
  <c r="Z2479" i="11"/>
  <c r="Z2480" i="11"/>
  <c r="Z2481" i="11"/>
  <c r="Z2482" i="11"/>
  <c r="Z2483" i="11"/>
  <c r="Z2484" i="11"/>
  <c r="Z2485" i="11"/>
  <c r="Z2486" i="11"/>
  <c r="Z2487" i="11"/>
  <c r="Z2488" i="11"/>
  <c r="Z2489" i="11"/>
  <c r="Z2490" i="11"/>
  <c r="Z2491" i="11"/>
  <c r="Z2492" i="11"/>
  <c r="Z2493" i="11"/>
  <c r="Z2494" i="11"/>
  <c r="Z2495" i="11"/>
  <c r="Z2496" i="11"/>
  <c r="Z2497" i="11"/>
  <c r="Z2498" i="11"/>
  <c r="Z2499" i="11"/>
  <c r="Z2500" i="11"/>
  <c r="Z2501" i="11"/>
  <c r="Z2502" i="11"/>
  <c r="Z2503" i="11"/>
  <c r="Z2504" i="11"/>
  <c r="Z2505" i="11"/>
  <c r="Z2506" i="11"/>
  <c r="Z2507" i="11"/>
  <c r="Z2508" i="11"/>
  <c r="Z2509" i="11"/>
  <c r="Z2510" i="11"/>
  <c r="Z2511" i="11"/>
  <c r="Z2512" i="11"/>
  <c r="Z2513" i="11"/>
  <c r="Z2514" i="11"/>
  <c r="Z2515" i="11"/>
  <c r="Z2516" i="11"/>
  <c r="Z2517" i="11"/>
  <c r="Z2518" i="11"/>
  <c r="Z2519" i="11"/>
  <c r="Z2520" i="11"/>
  <c r="Z2521" i="11"/>
  <c r="Z2522" i="11"/>
  <c r="Z2523" i="11"/>
  <c r="Z2524" i="11"/>
  <c r="Z2525" i="11"/>
  <c r="Z2526" i="11"/>
  <c r="Z2527" i="11"/>
  <c r="Z2528" i="11"/>
  <c r="Z2529" i="11"/>
  <c r="Z2530" i="11"/>
  <c r="Z2531" i="11"/>
  <c r="Z2532" i="11"/>
  <c r="Z2533" i="11"/>
  <c r="Z2534" i="11"/>
  <c r="Z2535" i="11"/>
  <c r="Z2536" i="11"/>
  <c r="Z2537" i="11"/>
  <c r="Z2538" i="11"/>
  <c r="Z2539" i="11"/>
  <c r="Z2540" i="11"/>
  <c r="Z2541" i="11"/>
  <c r="Z2542" i="11"/>
  <c r="Z2543" i="11"/>
  <c r="Z2544" i="11"/>
  <c r="Z2545" i="11"/>
  <c r="Z2546" i="11"/>
  <c r="Z2547" i="11"/>
  <c r="Z2548" i="11"/>
  <c r="Z2549" i="11"/>
  <c r="Z2550" i="11"/>
  <c r="Z2551" i="11"/>
  <c r="Z2552" i="11"/>
  <c r="Z2553" i="11"/>
  <c r="Z2554" i="11"/>
  <c r="Z2555" i="11"/>
  <c r="Z2556" i="11"/>
  <c r="Z2557" i="11"/>
  <c r="Z2558" i="11"/>
  <c r="Z2559" i="11"/>
  <c r="Z2560" i="11"/>
  <c r="Z2561" i="11"/>
  <c r="Z2562" i="11"/>
  <c r="Z2563" i="11"/>
  <c r="Z2564" i="11"/>
  <c r="Z2565" i="11"/>
  <c r="Z2566" i="11"/>
  <c r="Z2567" i="11"/>
  <c r="Z2568" i="11"/>
  <c r="Z2569" i="11"/>
  <c r="Z2570" i="11"/>
  <c r="Z2571" i="11"/>
  <c r="Z2572" i="11"/>
  <c r="Z2573" i="11"/>
  <c r="Z2574" i="11"/>
  <c r="Z2575" i="11"/>
  <c r="Z2576" i="11"/>
  <c r="Z2577" i="11"/>
  <c r="Z2578" i="11"/>
  <c r="Z2579" i="11"/>
  <c r="Z2580" i="11"/>
  <c r="Z2581" i="11"/>
  <c r="Z2582" i="11"/>
  <c r="Z2583" i="11"/>
  <c r="Z2584" i="11"/>
  <c r="Z2585" i="11"/>
  <c r="Z2586" i="11"/>
  <c r="Z2587" i="11"/>
  <c r="Z2588" i="11"/>
  <c r="Z2589" i="11"/>
  <c r="Z2590" i="11"/>
  <c r="Z2591" i="11"/>
  <c r="Z2592" i="11"/>
  <c r="Z2593" i="11"/>
  <c r="Z2594" i="11"/>
  <c r="Z2595" i="11"/>
  <c r="Z2596" i="11"/>
  <c r="Z2597" i="11"/>
  <c r="Z2598" i="11"/>
  <c r="Z2599" i="11"/>
  <c r="Z2600" i="11"/>
  <c r="Z2601" i="11"/>
  <c r="Z2602" i="11"/>
  <c r="Z2603" i="11"/>
  <c r="Z2604" i="11"/>
  <c r="Z2605" i="11"/>
  <c r="Z2606" i="11"/>
  <c r="Z2607" i="11"/>
  <c r="Z2608" i="11"/>
  <c r="Z2609" i="11"/>
  <c r="Z2610" i="11"/>
  <c r="Z2611" i="11"/>
  <c r="Z2612" i="11"/>
  <c r="Z2613" i="11"/>
  <c r="Z2614" i="11"/>
  <c r="Z2615" i="11"/>
  <c r="Z2616" i="11"/>
  <c r="Z2617" i="11"/>
  <c r="Z2618" i="11"/>
  <c r="Z2619" i="11"/>
  <c r="Z2620" i="11"/>
  <c r="Z2621" i="11"/>
  <c r="Z2622" i="11"/>
  <c r="Z2623" i="11"/>
  <c r="Z2624" i="11"/>
  <c r="Z2625" i="11"/>
  <c r="Z2626" i="11"/>
  <c r="Z2627" i="11"/>
  <c r="Z2628" i="11"/>
  <c r="Z2629" i="11"/>
  <c r="Z2630" i="11"/>
  <c r="Z2631" i="11"/>
  <c r="Z2632" i="11"/>
  <c r="Z2633" i="11"/>
  <c r="Z2634" i="11"/>
  <c r="Z2635" i="11"/>
  <c r="Z2636" i="11"/>
  <c r="Z2637" i="11"/>
  <c r="Z2638" i="11"/>
  <c r="Z2639" i="11"/>
  <c r="Z2640" i="11"/>
  <c r="Z2641" i="11"/>
  <c r="Z2642" i="11"/>
  <c r="Z2643" i="11"/>
  <c r="Z2644" i="11"/>
  <c r="Z2645" i="11"/>
  <c r="Z2646" i="11"/>
  <c r="Z2647" i="11"/>
  <c r="Z2648" i="11"/>
  <c r="Z2649" i="11"/>
  <c r="Z2650" i="11"/>
  <c r="Z2651" i="11"/>
  <c r="Z2652" i="11"/>
  <c r="Z2653" i="11"/>
  <c r="Z2654" i="11"/>
  <c r="Z2655" i="11"/>
  <c r="Z2656" i="11"/>
  <c r="Z2657" i="11"/>
  <c r="Z2658" i="11"/>
  <c r="Z2659" i="11"/>
  <c r="Z2660" i="11"/>
  <c r="Z2661" i="11"/>
  <c r="Z2662" i="11"/>
  <c r="Z2663" i="11"/>
  <c r="Z2664" i="11"/>
  <c r="Z2665" i="11"/>
  <c r="Z2666" i="11"/>
  <c r="Z2667" i="11"/>
  <c r="Z2668" i="11"/>
  <c r="Z2669" i="11"/>
  <c r="Z2670" i="11"/>
  <c r="Z2671" i="11"/>
  <c r="Z2672" i="11"/>
  <c r="Z2673" i="11"/>
  <c r="Z2674" i="11"/>
  <c r="Z2675" i="11"/>
  <c r="Z2676" i="11"/>
  <c r="Z2677" i="11"/>
  <c r="Z2678" i="11"/>
  <c r="Z2679" i="11"/>
  <c r="Z2680" i="11"/>
  <c r="Z2681" i="11"/>
  <c r="Z2682" i="11"/>
  <c r="Z2683" i="11"/>
  <c r="Z2684" i="11"/>
  <c r="Z2685" i="11"/>
  <c r="Z2686" i="11"/>
  <c r="Z2687" i="11"/>
  <c r="Z2688" i="11"/>
  <c r="Z2689" i="11"/>
  <c r="Z2690" i="11"/>
  <c r="Z2691" i="11"/>
  <c r="Z2692" i="11"/>
  <c r="Z2693" i="11"/>
  <c r="Z2694" i="11"/>
  <c r="Z2695" i="11"/>
  <c r="Z2696" i="11"/>
  <c r="Z2697" i="11"/>
  <c r="Z2698" i="11"/>
  <c r="Z2699" i="11"/>
  <c r="Z2700" i="11"/>
  <c r="Z2701" i="11"/>
  <c r="Z2702" i="11"/>
  <c r="Z2703" i="11"/>
  <c r="Z2704" i="11"/>
  <c r="Z2705" i="11"/>
  <c r="Z2706" i="11"/>
  <c r="Z2707" i="11"/>
  <c r="Z2708" i="11"/>
  <c r="Z2709" i="11"/>
  <c r="Z2710" i="11"/>
  <c r="Z2711" i="11"/>
  <c r="Z2712" i="11"/>
  <c r="Z2713" i="11"/>
  <c r="Z2714" i="11"/>
  <c r="Z2715" i="11"/>
  <c r="Z2716" i="11"/>
  <c r="Z2717" i="11"/>
  <c r="Z2718" i="11"/>
  <c r="Z2719" i="11"/>
  <c r="Z2720" i="11"/>
  <c r="Z2721" i="11"/>
  <c r="Z2722" i="11"/>
  <c r="Z2723" i="11"/>
  <c r="Z2724" i="11"/>
  <c r="Z2725" i="11"/>
  <c r="Z2726" i="11"/>
  <c r="Z2727" i="11"/>
  <c r="Z2728" i="11"/>
  <c r="Z2729" i="11"/>
  <c r="Z2730" i="11"/>
  <c r="Z2731" i="11"/>
  <c r="Z2732" i="11"/>
  <c r="Z2733" i="11"/>
  <c r="Z2734" i="11"/>
  <c r="Z2735" i="11"/>
  <c r="Z2736" i="11"/>
  <c r="Z2737" i="11"/>
  <c r="Z2738" i="11"/>
  <c r="Z2739" i="11"/>
  <c r="Z2740" i="11"/>
  <c r="Z2741" i="11"/>
  <c r="Z2742" i="11"/>
  <c r="Z2743" i="11"/>
  <c r="Z2744" i="11"/>
  <c r="Z2745" i="11"/>
  <c r="Z2746" i="11"/>
  <c r="Z2747" i="11"/>
  <c r="Z2748" i="11"/>
  <c r="Z2749" i="11"/>
  <c r="Z2750" i="11"/>
  <c r="Z2751" i="11"/>
  <c r="Z2752" i="11"/>
  <c r="Z2753" i="11"/>
  <c r="Z2754" i="11"/>
  <c r="Z2755" i="11"/>
  <c r="Z2756" i="11"/>
  <c r="Z2757" i="11"/>
  <c r="Z2758" i="11"/>
  <c r="Z2759" i="11"/>
  <c r="Z2760" i="11"/>
  <c r="Z2761" i="11"/>
  <c r="Z2762" i="11"/>
  <c r="Z2763" i="11"/>
  <c r="Z2764" i="11"/>
  <c r="Z2765" i="11"/>
  <c r="Z2766" i="11"/>
  <c r="Z2767" i="11"/>
  <c r="Z2768" i="11"/>
  <c r="Z2769" i="11"/>
  <c r="Z2770" i="11"/>
  <c r="Z2771" i="11"/>
  <c r="Z2772" i="11"/>
  <c r="Z2773" i="11"/>
  <c r="Z2774" i="11"/>
  <c r="Z2775" i="11"/>
  <c r="Z2776" i="11"/>
  <c r="Z2777" i="11"/>
  <c r="Z2778" i="11"/>
  <c r="Z2779" i="11"/>
  <c r="Z2780" i="11"/>
  <c r="Z2781" i="11"/>
  <c r="Z2782" i="11"/>
  <c r="Z2783" i="11"/>
  <c r="Z2784" i="11"/>
  <c r="Z2785" i="11"/>
  <c r="Z2786" i="11"/>
  <c r="Z2787" i="11"/>
  <c r="Z2788" i="11"/>
  <c r="Z2789" i="11"/>
  <c r="Z2790" i="11"/>
  <c r="Z2791" i="11"/>
  <c r="Z2792" i="11"/>
  <c r="Z2793" i="11"/>
  <c r="Z2794" i="11"/>
  <c r="Z2795" i="11"/>
  <c r="Z2796" i="11"/>
  <c r="Z2797" i="11"/>
  <c r="Z2798" i="11"/>
  <c r="Z2799" i="11"/>
  <c r="Z2800" i="11"/>
  <c r="Z2801" i="11"/>
  <c r="Z2802" i="11"/>
  <c r="Z2803" i="11"/>
  <c r="Z2804" i="11"/>
  <c r="Z2805" i="11"/>
  <c r="Z2806" i="11"/>
  <c r="Z2807" i="11"/>
  <c r="Z2808" i="11"/>
  <c r="Z2809" i="11"/>
  <c r="Z2810" i="11"/>
  <c r="Z2811" i="11"/>
  <c r="Z2812" i="11"/>
  <c r="Z2813" i="11"/>
  <c r="Z2814" i="11"/>
  <c r="Z2815" i="11"/>
  <c r="Z2816" i="11"/>
  <c r="Z2817" i="11"/>
  <c r="Z2818" i="11"/>
  <c r="Z2819" i="11"/>
  <c r="Z2820" i="11"/>
  <c r="Z2821" i="11"/>
  <c r="Z2822" i="11"/>
  <c r="Z2823" i="11"/>
  <c r="Z2824" i="11"/>
  <c r="Z2825" i="11"/>
  <c r="Z2826" i="11"/>
  <c r="Z2827" i="11"/>
  <c r="Z2828" i="11"/>
  <c r="Z2829" i="11"/>
  <c r="Z2830" i="11"/>
  <c r="Z2831" i="11"/>
  <c r="Z2832" i="11"/>
  <c r="Z2833" i="11"/>
  <c r="Z2834" i="11"/>
  <c r="Z2835" i="11"/>
  <c r="Z2836" i="11"/>
  <c r="Z2837" i="11"/>
  <c r="Z2838" i="11"/>
  <c r="Z2839" i="11"/>
  <c r="Z2840" i="11"/>
  <c r="Z2841" i="11"/>
  <c r="Z2842" i="11"/>
  <c r="Z2843" i="11"/>
  <c r="Z2844" i="11"/>
  <c r="Z2845" i="11"/>
  <c r="Z2846" i="11"/>
  <c r="Z2847" i="11"/>
  <c r="Z2848" i="11"/>
  <c r="Z2849" i="11"/>
  <c r="Z2850" i="11"/>
  <c r="Z2851" i="11"/>
  <c r="Z2852" i="11"/>
  <c r="Z2853" i="11"/>
  <c r="Z2854" i="11"/>
  <c r="Z2855" i="11"/>
  <c r="Z2856" i="11"/>
  <c r="Z2857" i="11"/>
  <c r="Z2858" i="11"/>
  <c r="Z2859" i="11"/>
  <c r="Z2860" i="11"/>
  <c r="Z2861" i="11"/>
  <c r="Z2862" i="11"/>
  <c r="Z2863" i="11"/>
  <c r="Z2864" i="11"/>
  <c r="Z2865" i="11"/>
  <c r="Z2866" i="11"/>
  <c r="Z2867" i="11"/>
  <c r="Z2868" i="11"/>
  <c r="Z2869" i="11"/>
  <c r="Z2870" i="11"/>
  <c r="Z2871" i="11"/>
  <c r="Z2872" i="11"/>
  <c r="Z2873" i="11"/>
  <c r="Z2874" i="11"/>
  <c r="Z2875" i="11"/>
  <c r="Z2876" i="11"/>
  <c r="Z2877" i="11"/>
  <c r="Z2878" i="11"/>
  <c r="Z2879" i="11"/>
  <c r="Z2880" i="11"/>
  <c r="Z2881" i="11"/>
  <c r="Z2882" i="11"/>
  <c r="Z2883" i="11"/>
  <c r="Z2884" i="11"/>
  <c r="Z2885" i="11"/>
  <c r="Z2886" i="11"/>
  <c r="Z2887" i="11"/>
  <c r="Z2888" i="11"/>
  <c r="Z2889" i="11"/>
  <c r="Z2890" i="11"/>
  <c r="Z2891" i="11"/>
  <c r="Z2892" i="11"/>
  <c r="Z2893" i="11"/>
  <c r="Z2894" i="11"/>
  <c r="Z2895" i="11"/>
  <c r="Z2896" i="11"/>
  <c r="Z2897" i="11"/>
  <c r="Z2898" i="11"/>
  <c r="Z2899" i="11"/>
  <c r="Z2900" i="11"/>
  <c r="Z2901" i="11"/>
  <c r="Z2902" i="11"/>
  <c r="Z2903" i="11"/>
  <c r="Z2904" i="11"/>
  <c r="Z2905" i="11"/>
  <c r="Z2906" i="11"/>
  <c r="Z2907" i="11"/>
  <c r="Z2908" i="11"/>
  <c r="Z2909" i="11"/>
  <c r="Z2910" i="11"/>
  <c r="Z2911" i="11"/>
  <c r="Z2912" i="11"/>
  <c r="Z2913" i="11"/>
  <c r="Z2914" i="11"/>
  <c r="Z2915" i="11"/>
  <c r="Z2916" i="11"/>
  <c r="Z2917" i="11"/>
  <c r="Z2918" i="11"/>
  <c r="Z2919" i="11"/>
  <c r="Z2920" i="11"/>
  <c r="Z2921" i="11"/>
  <c r="Z2922" i="11"/>
  <c r="Z2923" i="11"/>
  <c r="Z2924" i="11"/>
  <c r="Z2925" i="11"/>
  <c r="Z2926" i="11"/>
  <c r="Z2927" i="11"/>
  <c r="Z2928" i="11"/>
  <c r="Z2929" i="11"/>
  <c r="Z2930" i="11"/>
  <c r="Z2931" i="11"/>
  <c r="Z2932" i="11"/>
  <c r="Z2933" i="11"/>
  <c r="Z2934" i="11"/>
  <c r="Z2935" i="11"/>
  <c r="Z2936" i="11"/>
  <c r="Z2937" i="11"/>
  <c r="Z2938" i="11"/>
  <c r="Z2939" i="11"/>
  <c r="Z2940" i="11"/>
  <c r="Z2941" i="11"/>
  <c r="Z2942" i="11"/>
  <c r="Z2943" i="11"/>
  <c r="Z2944" i="11"/>
  <c r="Z2945" i="11"/>
  <c r="Z2946" i="11"/>
  <c r="Z2947" i="11"/>
  <c r="Z2948" i="11"/>
  <c r="Z2949" i="11"/>
  <c r="Z2950" i="11"/>
  <c r="Z2951" i="11"/>
  <c r="Z2952" i="11"/>
  <c r="Z2953" i="11"/>
  <c r="Z2954" i="11"/>
  <c r="Z2955" i="11"/>
  <c r="Z2956" i="11"/>
  <c r="Z2957" i="11"/>
  <c r="Z2958" i="11"/>
  <c r="Z2959" i="11"/>
  <c r="Z2960" i="11"/>
  <c r="Z2961" i="11"/>
  <c r="Z2962" i="11"/>
  <c r="Z2963" i="11"/>
  <c r="Z2964" i="11"/>
  <c r="Z2965" i="11"/>
  <c r="Z2966" i="11"/>
  <c r="Z2967" i="11"/>
  <c r="Z2968" i="11"/>
  <c r="Z2969" i="11"/>
  <c r="Z2970" i="11"/>
  <c r="Z2971" i="11"/>
  <c r="Z2972" i="11"/>
  <c r="Z2973" i="11"/>
  <c r="Z2974" i="11"/>
  <c r="Z2975" i="11"/>
  <c r="Z2976" i="11"/>
  <c r="Z2977" i="11"/>
  <c r="Z2978" i="11"/>
  <c r="Z2979" i="11"/>
  <c r="Z2980" i="11"/>
  <c r="Z2981" i="11"/>
  <c r="Z2982" i="11"/>
  <c r="Z2983" i="11"/>
  <c r="Z2984" i="11"/>
  <c r="Z2985" i="11"/>
  <c r="Z2986" i="11"/>
  <c r="Z2987" i="11"/>
  <c r="Z2988" i="11"/>
  <c r="Z2989" i="11"/>
  <c r="Z2990" i="11"/>
  <c r="Z2991" i="11"/>
  <c r="Z2992" i="11"/>
  <c r="Z2993" i="11"/>
  <c r="Z2994" i="11"/>
  <c r="Z2995" i="11"/>
  <c r="Z2996" i="11"/>
  <c r="Z2997" i="11"/>
  <c r="Z2998" i="11"/>
  <c r="Z2999" i="11"/>
  <c r="Z3000" i="11"/>
  <c r="Z3001" i="11"/>
  <c r="Z3002" i="11"/>
  <c r="Z3003" i="11"/>
  <c r="Z3004" i="11"/>
  <c r="Z3005" i="11"/>
  <c r="Z3006" i="11"/>
  <c r="Z3007" i="11"/>
  <c r="Z3008" i="11"/>
  <c r="Z3009" i="11"/>
  <c r="Z3010" i="11"/>
  <c r="Z3011" i="11"/>
  <c r="Z3012" i="11"/>
  <c r="Z3013" i="11"/>
  <c r="Z3014" i="11"/>
  <c r="Z3015" i="11"/>
  <c r="Z3016" i="11"/>
  <c r="Z3017" i="11"/>
  <c r="Z3018" i="11"/>
  <c r="Z3019" i="11"/>
  <c r="Z3020" i="11"/>
  <c r="Z3021" i="11"/>
  <c r="Z3022" i="11"/>
  <c r="Z3023" i="11"/>
  <c r="Z3024" i="11"/>
  <c r="Z3025" i="11"/>
  <c r="Z3026" i="11"/>
  <c r="Z3027" i="11"/>
  <c r="Z3028" i="11"/>
  <c r="Z3029" i="11"/>
  <c r="Z3030" i="11"/>
  <c r="Z3031" i="11"/>
  <c r="Z3032" i="11"/>
  <c r="Z3033" i="11"/>
  <c r="Z3034" i="11"/>
  <c r="Z3035" i="11"/>
  <c r="Z3036" i="11"/>
  <c r="Z3037" i="11"/>
  <c r="Z3038" i="11"/>
  <c r="Z3039" i="11"/>
  <c r="Z3040" i="11"/>
  <c r="Z3041" i="11"/>
  <c r="Z3042" i="11"/>
  <c r="Z3043" i="11"/>
  <c r="Z3044" i="11"/>
  <c r="Z3045" i="11"/>
  <c r="Z3046" i="11"/>
  <c r="Z3047" i="11"/>
  <c r="Z3048" i="11"/>
  <c r="Z3049" i="11"/>
  <c r="Z3050" i="11"/>
  <c r="Z3051" i="11"/>
  <c r="Z3052" i="11"/>
  <c r="Z3053" i="11"/>
  <c r="Z3054" i="11"/>
  <c r="Z3055" i="11"/>
  <c r="Z3056" i="11"/>
  <c r="Z3057" i="11"/>
  <c r="Z3058" i="11"/>
  <c r="Z3059" i="11"/>
  <c r="Z3060" i="11"/>
  <c r="Z3061" i="11"/>
  <c r="Z3062" i="11"/>
  <c r="Z3063" i="11"/>
  <c r="Z3064" i="11"/>
  <c r="Z3065" i="11"/>
  <c r="Z3066" i="11"/>
  <c r="Z3067" i="11"/>
  <c r="Z3068" i="11"/>
  <c r="Z3069" i="11"/>
  <c r="Z3070" i="11"/>
  <c r="Z3071" i="11"/>
  <c r="Z3072" i="11"/>
  <c r="Z3073" i="11"/>
  <c r="Z3074" i="11"/>
  <c r="Z3075" i="11"/>
  <c r="Z3076" i="11"/>
  <c r="Z3077" i="11"/>
  <c r="Z3078" i="11"/>
  <c r="Z3079" i="11"/>
  <c r="Z3080" i="11"/>
  <c r="Z3081" i="11"/>
  <c r="Z3082" i="11"/>
  <c r="Z3083" i="11"/>
  <c r="Z3084" i="11"/>
  <c r="Z3085" i="11"/>
  <c r="Z3086" i="11"/>
  <c r="Z3087" i="11"/>
  <c r="Z3088" i="11"/>
  <c r="Z3089" i="11"/>
  <c r="Z3090" i="11"/>
  <c r="Z3091" i="11"/>
  <c r="Z3092" i="11"/>
  <c r="Z3093" i="11"/>
  <c r="Z3094" i="11"/>
  <c r="Z3095" i="11"/>
  <c r="Z3096" i="11"/>
  <c r="Z3097" i="11"/>
  <c r="Z3098" i="11"/>
  <c r="Z3099" i="11"/>
  <c r="Z3100" i="11"/>
  <c r="Z3101" i="11"/>
  <c r="Z3102" i="11"/>
  <c r="Z3103" i="11"/>
  <c r="Z3104" i="11"/>
  <c r="Z3105" i="11"/>
  <c r="Z3106" i="11"/>
  <c r="Z3107" i="11"/>
  <c r="Z3108" i="11"/>
  <c r="Z3109" i="11"/>
  <c r="Z3110" i="11"/>
  <c r="Z3111" i="11"/>
  <c r="Z3112" i="11"/>
  <c r="Z3113" i="11"/>
  <c r="Z3114" i="11"/>
  <c r="Z3115" i="11"/>
  <c r="Z3116" i="11"/>
  <c r="Z3117" i="11"/>
  <c r="Z3118" i="11"/>
  <c r="Z3119" i="11"/>
  <c r="Z3120" i="11"/>
  <c r="Z3121" i="11"/>
  <c r="Z3122" i="11"/>
  <c r="Z3123" i="11"/>
  <c r="Z3124" i="11"/>
  <c r="Z3125" i="11"/>
  <c r="Z3126" i="11"/>
  <c r="Z3127" i="11"/>
  <c r="Z3128" i="11"/>
  <c r="Z3129" i="11"/>
  <c r="Z3130" i="11"/>
  <c r="Z3131" i="11"/>
  <c r="Z3132" i="11"/>
  <c r="Z3133" i="11"/>
  <c r="Z3134" i="11"/>
  <c r="Z3135" i="11"/>
  <c r="Z3136" i="11"/>
  <c r="Z3137" i="11"/>
  <c r="Z3138" i="11"/>
  <c r="Z3139" i="11"/>
  <c r="Z3140" i="11"/>
  <c r="Z3141" i="11"/>
  <c r="Z3142" i="11"/>
  <c r="Z3143" i="11"/>
  <c r="Z3144" i="11"/>
  <c r="Z3145" i="11"/>
  <c r="Z3146" i="11"/>
  <c r="Z3147" i="11"/>
  <c r="Z3148" i="11"/>
  <c r="Z3149" i="11"/>
  <c r="Z3150" i="11"/>
  <c r="Z3151" i="11"/>
  <c r="Z3152" i="11"/>
  <c r="Z3153" i="11"/>
  <c r="Z3154" i="11"/>
  <c r="Z3155" i="11"/>
  <c r="Z3156" i="11"/>
  <c r="Z3157" i="11"/>
  <c r="Z3158" i="11"/>
  <c r="Z3159" i="11"/>
  <c r="Z3160" i="11"/>
  <c r="Z3161" i="11"/>
  <c r="Z3162" i="11"/>
  <c r="Z3163" i="11"/>
  <c r="Z3164" i="11"/>
  <c r="Z3165" i="11"/>
  <c r="Z3166" i="11"/>
  <c r="Z3167" i="11"/>
  <c r="Z3168" i="11"/>
  <c r="Z3169" i="11"/>
  <c r="Z3170" i="11"/>
  <c r="Z3171" i="11"/>
  <c r="Z3172" i="11"/>
  <c r="Z3173" i="11"/>
  <c r="Z3174" i="11"/>
  <c r="Z3175" i="11"/>
  <c r="Z3176" i="11"/>
  <c r="Z3177" i="11"/>
  <c r="Z3178" i="11"/>
  <c r="Z3179" i="11"/>
  <c r="Z3180" i="11"/>
  <c r="Z3181" i="11"/>
  <c r="Z3182" i="11"/>
  <c r="Z3183" i="11"/>
  <c r="Z3184" i="11"/>
  <c r="Z3185" i="11"/>
  <c r="Z3186" i="11"/>
  <c r="Z3187" i="11"/>
  <c r="Z3188" i="11"/>
  <c r="Z3189" i="11"/>
  <c r="Z3190" i="11"/>
  <c r="Z3191" i="11"/>
  <c r="Z3192" i="11"/>
  <c r="Z3193" i="11"/>
  <c r="Z3194" i="11"/>
  <c r="Z3195" i="11"/>
  <c r="Z3196" i="11"/>
  <c r="Z3197" i="11"/>
  <c r="Z3198" i="11"/>
  <c r="Z3199" i="11"/>
  <c r="Z3200" i="11"/>
  <c r="Z3201" i="11"/>
  <c r="Z3202" i="11"/>
  <c r="Z3203" i="11"/>
  <c r="Z3204" i="11"/>
  <c r="Z3205" i="11"/>
  <c r="Z3206" i="11"/>
  <c r="Z3207" i="11"/>
  <c r="Z3208" i="11"/>
  <c r="Z3209" i="11"/>
  <c r="Z3210" i="11"/>
  <c r="Z3211" i="11"/>
  <c r="Z3212" i="11"/>
  <c r="Z3213" i="11"/>
  <c r="Z3214" i="11"/>
  <c r="Z3215" i="11"/>
  <c r="Z3216" i="11"/>
  <c r="Z3217" i="11"/>
  <c r="Z3218" i="11"/>
  <c r="Z3219" i="11"/>
  <c r="Z3220" i="11"/>
  <c r="Z3221" i="11"/>
  <c r="Z3222" i="11"/>
  <c r="Z3223" i="11"/>
  <c r="Z3224" i="11"/>
  <c r="Z3225" i="11"/>
  <c r="Z3226" i="11"/>
  <c r="Z3227" i="11"/>
  <c r="Z3228" i="11"/>
  <c r="Z3229" i="11"/>
  <c r="Z3230" i="11"/>
  <c r="Z3231" i="11"/>
  <c r="Z3232" i="11"/>
  <c r="Z3233" i="11"/>
  <c r="Z3234" i="11"/>
  <c r="Z3235" i="11"/>
  <c r="Z3236" i="11"/>
  <c r="Z3237" i="11"/>
  <c r="Z3238" i="11"/>
  <c r="Z3239" i="11"/>
  <c r="Z3240" i="11"/>
  <c r="Z3241" i="11"/>
  <c r="Z3242" i="11"/>
  <c r="Z3243" i="11"/>
  <c r="Z3244" i="11"/>
  <c r="Z3245" i="11"/>
  <c r="Z3246" i="11"/>
  <c r="Z3247" i="11"/>
  <c r="Z3248" i="11"/>
  <c r="Z3249" i="11"/>
  <c r="Z3250" i="11"/>
  <c r="Z3251" i="11"/>
  <c r="Z3252" i="11"/>
  <c r="Z3253" i="11"/>
  <c r="Z3254" i="11"/>
  <c r="Z3255" i="11"/>
  <c r="Z3256" i="11"/>
  <c r="Z3257" i="11"/>
  <c r="Z3258" i="11"/>
  <c r="Z3259" i="11"/>
  <c r="Z3260" i="11"/>
  <c r="Z3261" i="11"/>
  <c r="Z3262" i="11"/>
  <c r="Z3263" i="11"/>
  <c r="Z3264" i="11"/>
  <c r="Z3265" i="11"/>
  <c r="Z3266" i="11"/>
  <c r="Z3267" i="11"/>
  <c r="Z3268" i="11"/>
  <c r="Z3269" i="11"/>
  <c r="Z3270" i="11"/>
  <c r="Z3271" i="11"/>
  <c r="Z3272" i="11"/>
  <c r="Z3273" i="11"/>
  <c r="Z3274" i="11"/>
  <c r="Z3275" i="11"/>
  <c r="Z3276" i="11"/>
  <c r="Z3277" i="11"/>
  <c r="Z3278" i="11"/>
  <c r="Z3279" i="11"/>
  <c r="Z3280" i="11"/>
  <c r="Z3281" i="11"/>
  <c r="Z3282" i="11"/>
  <c r="Z3283" i="11"/>
  <c r="Z3284" i="11"/>
  <c r="Z3285" i="11"/>
  <c r="Z3286" i="11"/>
  <c r="Z3287" i="11"/>
  <c r="Z3288" i="11"/>
  <c r="Z3289" i="11"/>
  <c r="Z3290" i="11"/>
  <c r="Z3291" i="11"/>
  <c r="Z3292" i="11"/>
  <c r="Z3293" i="11"/>
  <c r="Z3294" i="11"/>
  <c r="Z3295" i="11"/>
  <c r="Z3296" i="11"/>
  <c r="Z3297" i="11"/>
  <c r="Z3298" i="11"/>
  <c r="Z3299" i="11"/>
  <c r="Z3300" i="11"/>
  <c r="Z3301" i="11"/>
  <c r="Z3302" i="11"/>
  <c r="Z3303" i="11"/>
  <c r="Z3304" i="11"/>
  <c r="Z3305" i="11"/>
  <c r="Z3306" i="11"/>
  <c r="Z3307" i="11"/>
  <c r="Z3308" i="11"/>
  <c r="Z3309" i="11"/>
  <c r="Z3310" i="11"/>
  <c r="Z3311" i="11"/>
  <c r="Z3312" i="11"/>
  <c r="Z3313" i="11"/>
  <c r="Z3314" i="11"/>
  <c r="Z3315" i="11"/>
  <c r="Z3316" i="11"/>
  <c r="Z3317" i="11"/>
  <c r="Z3318" i="11"/>
  <c r="Z3319" i="11"/>
  <c r="Z3320" i="11"/>
  <c r="Z3321" i="11"/>
  <c r="Z3322" i="11"/>
  <c r="Z3323" i="11"/>
  <c r="Z3324" i="11"/>
  <c r="Z3325" i="11"/>
  <c r="Z3326" i="11"/>
  <c r="Z3327" i="11"/>
  <c r="Z3328" i="11"/>
  <c r="Z3329" i="11"/>
  <c r="Z3330" i="11"/>
  <c r="Z3331" i="11"/>
  <c r="Z3332" i="11"/>
  <c r="Z3333" i="11"/>
  <c r="Z3334" i="11"/>
  <c r="Z3335" i="11"/>
  <c r="Z3336" i="11"/>
  <c r="Z3337" i="11"/>
  <c r="Z3338" i="11"/>
  <c r="Z3339" i="11"/>
  <c r="Z3340" i="11"/>
  <c r="Z3341" i="11"/>
  <c r="Z3342" i="11"/>
  <c r="Z3343" i="11"/>
  <c r="Z3344" i="11"/>
  <c r="Z3345" i="11"/>
  <c r="Z3346" i="11"/>
  <c r="Z3347" i="11"/>
  <c r="Z3348" i="11"/>
  <c r="Z3349" i="11"/>
  <c r="Z3350" i="11"/>
  <c r="Z3351" i="11"/>
  <c r="Z3352" i="11"/>
  <c r="Z3353" i="11"/>
  <c r="Z3354" i="11"/>
  <c r="Z3355" i="11"/>
  <c r="Z3356" i="11"/>
  <c r="Z3357" i="11"/>
  <c r="Z3358" i="11"/>
  <c r="Z3359" i="11"/>
  <c r="Z3360" i="11"/>
  <c r="Z3361" i="11"/>
  <c r="Z3362" i="11"/>
  <c r="Z3363" i="11"/>
  <c r="Z3364" i="11"/>
  <c r="Z3365" i="11"/>
  <c r="Z3366" i="11"/>
  <c r="Z3367" i="11"/>
  <c r="Z3368" i="11"/>
  <c r="Z3369" i="11"/>
  <c r="Z3370" i="11"/>
  <c r="Z3371" i="11"/>
  <c r="Z3372" i="11"/>
  <c r="Z3373" i="11"/>
  <c r="Z3374" i="11"/>
  <c r="Z3375" i="11"/>
  <c r="Z3376" i="11"/>
  <c r="Z3377" i="11"/>
  <c r="Z3378" i="11"/>
  <c r="Z3379" i="11"/>
  <c r="Z3380" i="11"/>
  <c r="Z3381" i="11"/>
  <c r="Z3382" i="11"/>
  <c r="Z3383" i="11"/>
  <c r="Z3384" i="11"/>
  <c r="Z3385" i="11"/>
  <c r="Z3386" i="11"/>
  <c r="Z3387" i="11"/>
  <c r="Z3388" i="11"/>
  <c r="Z3389" i="11"/>
  <c r="Z3390" i="11"/>
  <c r="Z3391" i="11"/>
  <c r="Z3392" i="11"/>
  <c r="Z3393" i="11"/>
  <c r="Z3394" i="11"/>
  <c r="Z3395" i="11"/>
  <c r="Z3396" i="11"/>
  <c r="Z3397" i="11"/>
  <c r="Z3398" i="11"/>
  <c r="Z3399" i="11"/>
  <c r="Z3400" i="11"/>
  <c r="Z3401" i="11"/>
  <c r="Z3402" i="11"/>
  <c r="Z3403" i="11"/>
  <c r="Z3404" i="11"/>
  <c r="Z3405" i="11"/>
  <c r="Z3406" i="11"/>
  <c r="Z3407" i="11"/>
  <c r="Z3408" i="11"/>
  <c r="Z3409" i="11"/>
  <c r="Z3410" i="11"/>
  <c r="Z3411" i="11"/>
  <c r="Z3412" i="11"/>
  <c r="Z3413" i="11"/>
  <c r="Z3414" i="11"/>
  <c r="Z3415" i="11"/>
  <c r="Z3416" i="11"/>
  <c r="Z3417" i="11"/>
  <c r="Z3418" i="11"/>
  <c r="Z3419" i="11"/>
  <c r="Z3420" i="11"/>
  <c r="Z3421" i="11"/>
  <c r="Z3422" i="11"/>
  <c r="Z3423" i="11"/>
  <c r="Z3424" i="11"/>
  <c r="Z3425" i="11"/>
  <c r="Z3426" i="11"/>
  <c r="Z3427" i="11"/>
  <c r="Z3428" i="11"/>
  <c r="Z3429" i="11"/>
  <c r="Z3430" i="11"/>
  <c r="Z3431" i="11"/>
  <c r="Z3432" i="11"/>
  <c r="Z3433" i="11"/>
  <c r="Z3434" i="11"/>
  <c r="Z3435" i="11"/>
  <c r="Z3436" i="11"/>
  <c r="Z3437" i="11"/>
  <c r="Z3438" i="11"/>
  <c r="Z3439" i="11"/>
  <c r="Z3440" i="11"/>
  <c r="Z3441" i="11"/>
  <c r="Z3442" i="11"/>
  <c r="Z3443" i="11"/>
  <c r="Z3444" i="11"/>
  <c r="Z3445" i="11"/>
  <c r="Z3446" i="11"/>
  <c r="Z3447" i="11"/>
  <c r="Z3448" i="11"/>
  <c r="Z3449" i="11"/>
  <c r="Z3450" i="11"/>
  <c r="Z3451" i="11"/>
  <c r="Z3452" i="11"/>
  <c r="Z3453" i="11"/>
  <c r="Z3454" i="11"/>
  <c r="Z3455" i="11"/>
  <c r="Z3456" i="11"/>
  <c r="Z3457" i="11"/>
  <c r="Z3458" i="11"/>
  <c r="Z3459" i="11"/>
  <c r="Z3460" i="11"/>
  <c r="Z3461" i="11"/>
  <c r="Z3462" i="11"/>
  <c r="Z3463" i="11"/>
  <c r="Z3464" i="11"/>
  <c r="Z3465" i="11"/>
  <c r="Z3466" i="11"/>
  <c r="Z3467" i="11"/>
  <c r="Z3468" i="11"/>
  <c r="Z3469" i="11"/>
  <c r="Z3470" i="11"/>
  <c r="Z3471" i="11"/>
  <c r="Z3472" i="11"/>
  <c r="Z3473" i="11"/>
  <c r="Z3474" i="11"/>
  <c r="Z3475" i="11"/>
  <c r="Z3476" i="11"/>
  <c r="Z3477" i="11"/>
  <c r="Z3478" i="11"/>
  <c r="Z3479" i="11"/>
  <c r="Z3480" i="11"/>
  <c r="Z3481" i="11"/>
  <c r="Z3482" i="11"/>
  <c r="Z3483" i="11"/>
  <c r="Z3484" i="11"/>
  <c r="Z3485" i="11"/>
  <c r="Z3486" i="11"/>
  <c r="Z3487" i="11"/>
  <c r="Z3488" i="11"/>
  <c r="Z3489" i="11"/>
  <c r="Z3490" i="11"/>
  <c r="Z3491" i="11"/>
  <c r="Z3492" i="11"/>
  <c r="Z3493" i="11"/>
  <c r="Z3494" i="11"/>
  <c r="Z3495" i="11"/>
  <c r="Z3496" i="11"/>
  <c r="Z3497" i="11"/>
  <c r="Z3498" i="11"/>
  <c r="Z3499" i="11"/>
  <c r="Z3500" i="11"/>
  <c r="Z3501" i="11"/>
  <c r="Z3502" i="11"/>
  <c r="Z3503" i="11"/>
  <c r="Z3504" i="11"/>
  <c r="Z3505" i="11"/>
  <c r="Z3506" i="11"/>
  <c r="Z3507" i="11"/>
  <c r="Z3508" i="11"/>
  <c r="Z3509" i="11"/>
  <c r="Z3510" i="11"/>
  <c r="Z3511" i="11"/>
  <c r="Z3512" i="11"/>
  <c r="Z3513" i="11"/>
  <c r="Z3514" i="11"/>
  <c r="Z3515" i="11"/>
  <c r="Z3516" i="11"/>
  <c r="Z3517" i="11"/>
  <c r="Z3518" i="11"/>
  <c r="Z3519" i="11"/>
  <c r="Z3520" i="11"/>
  <c r="Z3521" i="11"/>
  <c r="Z3522" i="11"/>
  <c r="Z3523" i="11"/>
  <c r="Z3524" i="11"/>
  <c r="Z3525" i="11"/>
  <c r="Z3526" i="11"/>
  <c r="Z3527" i="11"/>
  <c r="Z3528" i="11"/>
  <c r="Z3529" i="11"/>
  <c r="Z3530" i="11"/>
  <c r="Z3531" i="11"/>
  <c r="Z3532" i="11"/>
  <c r="Z3533" i="11"/>
  <c r="Z3534" i="11"/>
  <c r="Z3535" i="11"/>
  <c r="Z3536" i="11"/>
  <c r="Z3537" i="11"/>
  <c r="Z3538" i="11"/>
  <c r="Z3539" i="11"/>
  <c r="Z3540" i="11"/>
  <c r="Z3541" i="11"/>
  <c r="Z3542" i="11"/>
  <c r="Z3543" i="11"/>
  <c r="Z3544" i="11"/>
  <c r="Z3545" i="11"/>
  <c r="Z3546" i="11"/>
  <c r="Z3547" i="11"/>
  <c r="Z3548" i="11"/>
  <c r="Z3549" i="11"/>
  <c r="Z3550" i="11"/>
  <c r="Z3551" i="11"/>
  <c r="Z3552" i="11"/>
  <c r="Z3553" i="11"/>
  <c r="Z3554" i="11"/>
  <c r="Z3555" i="11"/>
  <c r="Z3556" i="11"/>
  <c r="Z3557" i="11"/>
  <c r="Z3558" i="11"/>
  <c r="Z3559" i="11"/>
  <c r="Z3560" i="11"/>
  <c r="Z3561" i="11"/>
  <c r="Z3562" i="11"/>
  <c r="Z3563" i="11"/>
  <c r="Z3564" i="11"/>
  <c r="Z3565" i="11"/>
  <c r="Z3566" i="11"/>
  <c r="Z3567" i="11"/>
  <c r="Z3568" i="11"/>
  <c r="Z3569" i="11"/>
  <c r="Z3570" i="11"/>
  <c r="Z3571" i="11"/>
  <c r="Z3572" i="11"/>
  <c r="Z3573" i="11"/>
  <c r="Z3574" i="11"/>
  <c r="Z3575" i="11"/>
  <c r="Z3576" i="11"/>
  <c r="Z3577" i="11"/>
  <c r="Z3578" i="11"/>
  <c r="Z3579" i="11"/>
  <c r="Z3580" i="11"/>
  <c r="Z3581" i="11"/>
  <c r="Z3582" i="11"/>
  <c r="Z3583" i="11"/>
  <c r="Z3584" i="11"/>
  <c r="Z3585" i="11"/>
  <c r="Z3586" i="11"/>
  <c r="Z3587" i="11"/>
  <c r="Z3588" i="11"/>
  <c r="Z3589" i="11"/>
  <c r="Z3590" i="11"/>
  <c r="Z3591" i="11"/>
  <c r="Z3592" i="11"/>
  <c r="Z3593" i="11"/>
  <c r="Z3594" i="11"/>
  <c r="Z3595" i="11"/>
  <c r="Z3596" i="11"/>
  <c r="Z3597" i="11"/>
  <c r="Z3598" i="11"/>
  <c r="Z3599" i="11"/>
  <c r="Z3600" i="11"/>
  <c r="Z3601" i="11"/>
  <c r="Z3602" i="11"/>
  <c r="Z3603" i="11"/>
  <c r="Z3604" i="11"/>
  <c r="Z3605" i="11"/>
  <c r="Z3606" i="11"/>
  <c r="Z3607" i="11"/>
  <c r="Z3608" i="11"/>
  <c r="Z3609" i="11"/>
  <c r="Z3610" i="11"/>
  <c r="Z3611" i="11"/>
  <c r="Z3612" i="11"/>
  <c r="Z3613" i="11"/>
  <c r="Z3614" i="11"/>
  <c r="Z3615" i="11"/>
  <c r="Z3616" i="11"/>
  <c r="Z3617" i="11"/>
  <c r="Z3618" i="11"/>
  <c r="Z3619" i="11"/>
  <c r="Z3620" i="11"/>
  <c r="Z3621" i="11"/>
  <c r="Z3622" i="11"/>
  <c r="Z3623" i="11"/>
  <c r="Z3624" i="11"/>
  <c r="Z3625" i="11"/>
  <c r="Z3626" i="11"/>
  <c r="Z3627" i="11"/>
  <c r="Z3628" i="11"/>
  <c r="Z3629" i="11"/>
  <c r="Z3630" i="11"/>
  <c r="Z3631" i="11"/>
  <c r="Z3632" i="11"/>
  <c r="Z3633" i="11"/>
  <c r="Z3634" i="11"/>
  <c r="Z3635" i="11"/>
  <c r="Z3636" i="11"/>
  <c r="Z3637" i="11"/>
  <c r="Z3638" i="11"/>
  <c r="Z3639" i="11"/>
  <c r="Z3640" i="11"/>
  <c r="Z3641" i="11"/>
  <c r="Z3642" i="11"/>
  <c r="Z3643" i="11"/>
  <c r="Z3644" i="11"/>
  <c r="Z3645" i="11"/>
  <c r="Z3646" i="11"/>
  <c r="Z3647" i="11"/>
  <c r="Z3648" i="11"/>
  <c r="Z3649" i="11"/>
  <c r="Z3650" i="11"/>
  <c r="Z3651" i="11"/>
  <c r="Z3652" i="11"/>
  <c r="Z3653" i="11"/>
  <c r="Z3654" i="11"/>
  <c r="Z3655" i="11"/>
  <c r="Z3656" i="11"/>
  <c r="Z3657" i="11"/>
  <c r="Z3658" i="11"/>
  <c r="Z3659" i="11"/>
  <c r="Z3660" i="11"/>
  <c r="Z3661" i="11"/>
  <c r="Z3662" i="11"/>
  <c r="Z3663" i="11"/>
  <c r="Z3664" i="11"/>
  <c r="Z3665" i="11"/>
  <c r="Z3666" i="11"/>
  <c r="Z3667" i="11"/>
  <c r="Z3668" i="11"/>
  <c r="Z3669" i="11"/>
  <c r="Z3670" i="11"/>
  <c r="Z3671" i="11"/>
  <c r="Z3672" i="11"/>
  <c r="Z3673" i="11"/>
  <c r="Z3674" i="11"/>
  <c r="Z3675" i="11"/>
  <c r="Z3676" i="11"/>
  <c r="Z3677" i="11"/>
  <c r="Z3678" i="11"/>
  <c r="Z3679" i="11"/>
  <c r="Z3680" i="11"/>
  <c r="Z3681" i="11"/>
  <c r="Z3682" i="11"/>
  <c r="Z3683" i="11"/>
  <c r="Z3684" i="11"/>
  <c r="Z3685" i="11"/>
  <c r="Z3686" i="11"/>
  <c r="Z3687" i="11"/>
  <c r="Z3688" i="11"/>
  <c r="Z3689" i="11"/>
  <c r="Z3690" i="11"/>
  <c r="Z3691" i="11"/>
  <c r="Z3692" i="11"/>
  <c r="Z3693" i="11"/>
  <c r="Z3694" i="11"/>
  <c r="Z3695" i="11"/>
  <c r="Z3696" i="11"/>
  <c r="Z3697" i="11"/>
  <c r="Z3698" i="11"/>
  <c r="Z3699" i="11"/>
  <c r="Z3700" i="11"/>
  <c r="Z3701" i="11"/>
  <c r="Z3702" i="11"/>
  <c r="Z3703" i="11"/>
  <c r="Z3704" i="11"/>
  <c r="Z3705" i="11"/>
  <c r="Z3706" i="11"/>
  <c r="Z3707" i="11"/>
  <c r="Z3708" i="11"/>
  <c r="Z3709" i="11"/>
  <c r="Z3710" i="11"/>
  <c r="Z3711" i="11"/>
  <c r="Z3712" i="11"/>
  <c r="Z3713" i="11"/>
  <c r="Z3714" i="11"/>
  <c r="Z3715" i="11"/>
  <c r="Z3716" i="11"/>
  <c r="Z3717" i="11"/>
  <c r="Z3718" i="11"/>
  <c r="Z3719" i="11"/>
  <c r="Z3720" i="11"/>
  <c r="Z3721" i="11"/>
  <c r="Z3722" i="11"/>
  <c r="Z3723" i="11"/>
  <c r="Z3724" i="11"/>
  <c r="Z3725" i="11"/>
  <c r="Z3726" i="11"/>
  <c r="Z3727" i="11"/>
  <c r="Z3728" i="11"/>
  <c r="Z3729" i="11"/>
  <c r="Z3730" i="11"/>
  <c r="Z3731" i="11"/>
  <c r="Z3732" i="11"/>
  <c r="Z3733" i="11"/>
  <c r="Z3734" i="11"/>
  <c r="Z3735" i="11"/>
  <c r="Z3736" i="11"/>
  <c r="Z3737" i="11"/>
  <c r="Z3738" i="11"/>
  <c r="Z3739" i="11"/>
  <c r="Z3740" i="11"/>
  <c r="Z3741" i="11"/>
  <c r="Z3742" i="11"/>
  <c r="Z3743" i="11"/>
  <c r="Z3744" i="11"/>
  <c r="Z3745" i="11"/>
  <c r="Z3746" i="11"/>
  <c r="Z3747" i="11"/>
  <c r="Z3748" i="11"/>
  <c r="Z3749" i="11"/>
  <c r="Z3750" i="11"/>
  <c r="Z3751" i="11"/>
  <c r="Z3752" i="11"/>
  <c r="Z3753" i="11"/>
  <c r="Z3754" i="11"/>
  <c r="Z3755" i="11"/>
  <c r="Z3756" i="11"/>
  <c r="Z3757" i="11"/>
  <c r="Z3758" i="11"/>
  <c r="Z3759" i="11"/>
  <c r="Z3760" i="11"/>
  <c r="Z3761" i="11"/>
  <c r="Z3762" i="11"/>
  <c r="Z3763" i="11"/>
  <c r="Z3764" i="11"/>
  <c r="Z3765" i="11"/>
  <c r="Z3766" i="11"/>
  <c r="Z3767" i="11"/>
  <c r="Z3768" i="11"/>
  <c r="Z3769" i="11"/>
  <c r="Z3770" i="11"/>
  <c r="Z3771" i="11"/>
  <c r="Z3772" i="11"/>
  <c r="Z3773" i="11"/>
  <c r="Z3774" i="11"/>
  <c r="Z3775" i="11"/>
  <c r="Z3776" i="11"/>
  <c r="Z3777" i="11"/>
  <c r="Z3778" i="11"/>
  <c r="Z3779" i="11"/>
  <c r="Z3780" i="11"/>
  <c r="Z3781" i="11"/>
  <c r="Z3782" i="11"/>
  <c r="Z3783" i="11"/>
  <c r="Z3784" i="11"/>
  <c r="Z3785" i="11"/>
  <c r="Z3786" i="11"/>
  <c r="Z3787" i="11"/>
  <c r="Z3788" i="11"/>
  <c r="Z3789" i="11"/>
  <c r="Z3790" i="11"/>
  <c r="Z3791" i="11"/>
  <c r="Z3792" i="11"/>
  <c r="Z3793" i="11"/>
  <c r="Z3794" i="11"/>
  <c r="Z3795" i="11"/>
  <c r="Z3796" i="11"/>
  <c r="Z3797" i="11"/>
  <c r="Z3798" i="11"/>
  <c r="Z3799" i="11"/>
  <c r="Z3800" i="11"/>
  <c r="Z3801" i="11"/>
  <c r="Z3802" i="11"/>
  <c r="Z3803" i="11"/>
  <c r="Z3804" i="11"/>
  <c r="Z3805" i="11"/>
  <c r="Z3806" i="11"/>
  <c r="Z3807" i="11"/>
  <c r="Z3808" i="11"/>
  <c r="Z3809" i="11"/>
  <c r="Z3810" i="11"/>
  <c r="Z3811" i="11"/>
  <c r="Z3812" i="11"/>
  <c r="Z3813" i="11"/>
  <c r="Z3814" i="11"/>
  <c r="Z3815" i="11"/>
  <c r="Z3816" i="11"/>
  <c r="Z3817" i="11"/>
  <c r="Z3818" i="11"/>
  <c r="Z3819" i="11"/>
  <c r="Z3820" i="11"/>
  <c r="Z3821" i="11"/>
  <c r="Z3822" i="11"/>
  <c r="Z3823" i="11"/>
  <c r="Z3824" i="11"/>
  <c r="Z3825" i="11"/>
  <c r="Z3826" i="11"/>
  <c r="Z3827" i="11"/>
  <c r="Z3828" i="11"/>
  <c r="Z3829" i="11"/>
  <c r="Z3830" i="11"/>
  <c r="Z3831" i="11"/>
  <c r="Z3832" i="11"/>
  <c r="Z3833" i="11"/>
  <c r="Z3834" i="11"/>
  <c r="Z3835" i="11"/>
  <c r="Z3836" i="11"/>
  <c r="Z3837" i="11"/>
  <c r="Z3838" i="11"/>
  <c r="Z3839" i="11"/>
  <c r="Z3840" i="11"/>
  <c r="Z3841" i="11"/>
  <c r="Z3842" i="11"/>
  <c r="Z3843" i="11"/>
  <c r="Z3844" i="11"/>
  <c r="Z3845" i="11"/>
  <c r="Z3846" i="11"/>
  <c r="Z3847" i="11"/>
  <c r="Z3848" i="11"/>
  <c r="Z3849" i="11"/>
  <c r="Z3850" i="11"/>
  <c r="Z3851" i="11"/>
  <c r="Z3852" i="11"/>
  <c r="Z3853" i="11"/>
  <c r="Z3854" i="11"/>
  <c r="Z3855" i="11"/>
  <c r="Z3856" i="11"/>
  <c r="Z3857" i="11"/>
  <c r="Z3858" i="11"/>
  <c r="Z3859" i="11"/>
  <c r="Z3860" i="11"/>
  <c r="Z3861" i="11"/>
  <c r="Z3862" i="11"/>
  <c r="Z3863" i="11"/>
  <c r="Z3864" i="11"/>
  <c r="Z3865" i="11"/>
  <c r="Z3866" i="11"/>
  <c r="Z3867" i="11"/>
  <c r="Z3868" i="11"/>
  <c r="Z3869" i="11"/>
  <c r="Z3870" i="11"/>
  <c r="Z3871" i="11"/>
  <c r="Z3872" i="11"/>
  <c r="Z3873" i="11"/>
  <c r="Z3874" i="11"/>
  <c r="Z3875" i="11"/>
  <c r="Z3876" i="11"/>
  <c r="Z3877" i="11"/>
  <c r="Z3878" i="11"/>
  <c r="Z3879" i="11"/>
  <c r="Z3880" i="11"/>
  <c r="Z3881" i="11"/>
  <c r="Z3882" i="11"/>
  <c r="Z3883" i="11"/>
  <c r="Z3884" i="11"/>
  <c r="Z3885" i="11"/>
  <c r="Z3886" i="11"/>
  <c r="Z3887" i="11"/>
  <c r="Z3888" i="11"/>
  <c r="Z3889" i="11"/>
  <c r="Z3890" i="11"/>
  <c r="Z3891" i="11"/>
  <c r="Z3892" i="11"/>
  <c r="Z3893" i="11"/>
  <c r="Z3894" i="11"/>
  <c r="Z3895" i="11"/>
  <c r="Z3896" i="11"/>
  <c r="Z3897" i="11"/>
  <c r="Z3898" i="11"/>
  <c r="Z3899" i="11"/>
  <c r="Z3900" i="11"/>
  <c r="Z3901" i="11"/>
  <c r="Z3902" i="11"/>
  <c r="Z3903" i="11"/>
  <c r="Z3904" i="11"/>
  <c r="Z3905" i="11"/>
  <c r="Z3906" i="11"/>
  <c r="Z3907" i="11"/>
  <c r="Z3908" i="11"/>
  <c r="Z3909" i="11"/>
  <c r="Z3910" i="11"/>
  <c r="Z3911" i="11"/>
  <c r="Z3912" i="11"/>
  <c r="Z3913" i="11"/>
  <c r="Z3914" i="11"/>
  <c r="Z3915" i="11"/>
  <c r="Z3916" i="11"/>
  <c r="Z3917" i="11"/>
  <c r="Z3918" i="11"/>
  <c r="Z3919" i="11"/>
  <c r="Z3920" i="11"/>
  <c r="Z3921" i="11"/>
  <c r="Z3922" i="11"/>
  <c r="Z3923" i="11"/>
  <c r="Z3924" i="11"/>
  <c r="Z3925" i="11"/>
  <c r="Z3926" i="11"/>
  <c r="Z3927" i="11"/>
  <c r="Z3928" i="11"/>
  <c r="Z3929" i="11"/>
  <c r="Z3930" i="11"/>
  <c r="Z3931" i="11"/>
  <c r="Z3932" i="11"/>
  <c r="Z3933" i="11"/>
  <c r="Z3934" i="11"/>
  <c r="Z3935" i="11"/>
  <c r="Z3936" i="11"/>
  <c r="Z3937" i="11"/>
  <c r="Z3938" i="11"/>
  <c r="Z3939" i="11"/>
  <c r="Z3940" i="11"/>
  <c r="Z3941" i="11"/>
  <c r="Z3942" i="11"/>
  <c r="Z3943" i="11"/>
  <c r="Z3944" i="11"/>
  <c r="Z3945" i="11"/>
  <c r="Z3946" i="11"/>
  <c r="Z3947" i="11"/>
  <c r="Z3948" i="11"/>
  <c r="Z3949" i="11"/>
  <c r="Z3950" i="11"/>
  <c r="Z3951" i="11"/>
  <c r="Z3952" i="11"/>
  <c r="Z3953" i="11"/>
  <c r="Z3954" i="11"/>
  <c r="Z3955" i="11"/>
  <c r="Z3956" i="11"/>
  <c r="Z3957" i="11"/>
  <c r="Z3958" i="11"/>
  <c r="Z3959" i="11"/>
  <c r="Z3960" i="11"/>
  <c r="Z3961" i="11"/>
  <c r="Z3962" i="11"/>
  <c r="Z3963" i="11"/>
  <c r="Z3964" i="11"/>
  <c r="Z3965" i="11"/>
  <c r="Z3966" i="11"/>
  <c r="Z3967" i="11"/>
  <c r="Z3968" i="11"/>
  <c r="Z3969" i="11"/>
  <c r="Z3970" i="11"/>
  <c r="Z3971" i="11"/>
  <c r="Z3972" i="11"/>
  <c r="Z3973" i="11"/>
  <c r="Z3974" i="11"/>
  <c r="Z3975" i="11"/>
  <c r="Z3976" i="11"/>
  <c r="Z3977" i="11"/>
  <c r="Z3978" i="11"/>
  <c r="Z3979" i="11"/>
  <c r="Z3980" i="11"/>
  <c r="Z3981" i="11"/>
  <c r="Z3982" i="11"/>
  <c r="Z3983" i="11"/>
  <c r="Z3984" i="11"/>
  <c r="Z3985" i="11"/>
  <c r="Z3986" i="11"/>
  <c r="Z3987" i="11"/>
  <c r="Z3988" i="11"/>
  <c r="Z3989" i="11"/>
  <c r="Z3990" i="11"/>
  <c r="Z3991" i="11"/>
  <c r="Z3992" i="11"/>
  <c r="Z3993" i="11"/>
  <c r="Z3994" i="11"/>
  <c r="Z3995" i="11"/>
  <c r="Z3996" i="11"/>
  <c r="Z3997" i="11"/>
  <c r="Z3998" i="11"/>
  <c r="Z3999" i="11"/>
  <c r="Z4000" i="11"/>
  <c r="Z4001" i="11"/>
  <c r="Z4002" i="11"/>
  <c r="Z4003" i="11"/>
  <c r="Z4004" i="11"/>
  <c r="Z4005" i="11"/>
  <c r="Z4006" i="11"/>
  <c r="Z4007" i="11"/>
  <c r="Z4008" i="11"/>
  <c r="Z4009" i="11"/>
  <c r="Z4010" i="11"/>
  <c r="Z4011" i="11"/>
  <c r="Z4012" i="11"/>
  <c r="Z4013" i="11"/>
  <c r="Z4014" i="11"/>
  <c r="Z4015" i="11"/>
  <c r="Z4016" i="11"/>
  <c r="Z4017" i="11"/>
  <c r="Z4018" i="11"/>
  <c r="Z4019" i="11"/>
  <c r="Z4020" i="11"/>
  <c r="Z4021" i="11"/>
  <c r="Z4022" i="11"/>
  <c r="Z4023" i="11"/>
  <c r="Z4024" i="11"/>
  <c r="Z4025" i="11"/>
  <c r="Z4026" i="11"/>
  <c r="Z4027" i="11"/>
  <c r="Z4028" i="11"/>
  <c r="Z4029" i="11"/>
  <c r="Z4030" i="11"/>
  <c r="Z4031" i="11"/>
  <c r="Z4032" i="11"/>
  <c r="Z4033" i="11"/>
  <c r="Z4034" i="11"/>
  <c r="Z4035" i="11"/>
  <c r="Z4036" i="11"/>
  <c r="Z4037" i="11"/>
  <c r="Z4038" i="11"/>
  <c r="Z4039" i="11"/>
  <c r="Z4040" i="11"/>
  <c r="Z4041" i="11"/>
  <c r="Z4042" i="11"/>
  <c r="Z4043" i="11"/>
  <c r="Z4044" i="11"/>
  <c r="Z4045" i="11"/>
  <c r="Z4046" i="11"/>
  <c r="Z4047" i="11"/>
  <c r="Z4048" i="11"/>
  <c r="Z4049" i="11"/>
  <c r="Z4050" i="11"/>
  <c r="Z4051" i="11"/>
  <c r="Z4052" i="11"/>
  <c r="Z4053" i="11"/>
  <c r="Z4054" i="11"/>
  <c r="Z4055" i="11"/>
  <c r="Z4056" i="11"/>
  <c r="Z4057" i="11"/>
  <c r="Z4058" i="11"/>
  <c r="Z4059" i="11"/>
  <c r="Z4060" i="11"/>
  <c r="Z4061" i="11"/>
  <c r="Z4062" i="11"/>
  <c r="Z4063" i="11"/>
  <c r="Z4064" i="11"/>
  <c r="Z4065" i="11"/>
  <c r="Z4066" i="11"/>
  <c r="Z4067" i="11"/>
  <c r="Z4068" i="11"/>
  <c r="Z4069" i="11"/>
  <c r="Z4070" i="11"/>
  <c r="Z4071" i="11"/>
  <c r="Z4072" i="11"/>
  <c r="Z4073" i="11"/>
  <c r="Z4074" i="11"/>
  <c r="Z4075" i="11"/>
  <c r="Z4076" i="11"/>
  <c r="Z4077" i="11"/>
  <c r="Z4078" i="11"/>
  <c r="Z4079" i="11"/>
  <c r="Z4080" i="11"/>
  <c r="Z4081" i="11"/>
  <c r="Z4082" i="11"/>
  <c r="Z4083" i="11"/>
  <c r="Z4084" i="11"/>
  <c r="Z4085" i="11"/>
  <c r="Z4086" i="11"/>
  <c r="Z4087" i="11"/>
  <c r="Z4088" i="11"/>
  <c r="Z4089" i="11"/>
  <c r="Z4090" i="11"/>
  <c r="Z4091" i="11"/>
  <c r="Z4092" i="11"/>
  <c r="Z4093" i="11"/>
  <c r="Z4094" i="11"/>
  <c r="Z4095" i="11"/>
  <c r="Z4096" i="11"/>
  <c r="Z4097" i="11"/>
  <c r="Z4098" i="11"/>
  <c r="Z4099" i="11"/>
  <c r="Z4100" i="11"/>
  <c r="Z4101" i="11"/>
  <c r="Z4102" i="11"/>
  <c r="Z4103" i="11"/>
  <c r="Z4104" i="11"/>
  <c r="Z4105" i="11"/>
  <c r="Z4106" i="11"/>
  <c r="Z4107" i="11"/>
  <c r="Z4108" i="11"/>
  <c r="Z4109" i="11"/>
  <c r="Z4110" i="11"/>
  <c r="Z4111" i="11"/>
  <c r="Z4112" i="11"/>
  <c r="Z4113" i="11"/>
  <c r="Z4114" i="11"/>
  <c r="Z4115" i="11"/>
  <c r="Z4116" i="11"/>
  <c r="Z4117" i="11"/>
  <c r="Z4118" i="11"/>
  <c r="Z4119" i="11"/>
  <c r="Z4120" i="11"/>
  <c r="Z4121" i="11"/>
  <c r="Z4122" i="11"/>
  <c r="Z4123" i="11"/>
  <c r="Z4124" i="11"/>
  <c r="Z4125" i="11"/>
  <c r="Z4126" i="11"/>
  <c r="Z4127" i="11"/>
  <c r="Z4128" i="11"/>
  <c r="Z4129" i="11"/>
  <c r="Z4130" i="11"/>
  <c r="Z4131" i="11"/>
  <c r="Z4132" i="11"/>
  <c r="Z4133" i="11"/>
  <c r="Z4134" i="11"/>
  <c r="Z4135" i="11"/>
  <c r="Z4136" i="11"/>
  <c r="Z4137" i="11"/>
  <c r="Z4138" i="11"/>
  <c r="Z4139" i="11"/>
  <c r="Z4140" i="11"/>
  <c r="Z4141" i="11"/>
  <c r="Z4142" i="11"/>
  <c r="Z4143" i="11"/>
  <c r="Z4144" i="11"/>
  <c r="Z4145" i="11"/>
  <c r="Z4146" i="11"/>
  <c r="Z4147" i="11"/>
  <c r="Z4148" i="11"/>
  <c r="Z4149" i="11"/>
  <c r="Z4150" i="11"/>
  <c r="Z4151" i="11"/>
  <c r="Z4152" i="11"/>
  <c r="Z4153" i="11"/>
  <c r="Z4154" i="11"/>
  <c r="Z4155" i="11"/>
  <c r="Z4156" i="11"/>
  <c r="Z4157" i="11"/>
  <c r="Z4158" i="11"/>
  <c r="Z4159" i="11"/>
  <c r="Z4160" i="11"/>
  <c r="Z4161" i="11"/>
  <c r="Z4162" i="11"/>
  <c r="Z4163" i="11"/>
  <c r="Z4164" i="11"/>
  <c r="Z4165" i="11"/>
  <c r="Z4166" i="11"/>
  <c r="Z4167" i="11"/>
  <c r="Z4168" i="11"/>
  <c r="Z4169" i="11"/>
  <c r="Z4170" i="11"/>
  <c r="Z4171" i="11"/>
  <c r="Z4172" i="11"/>
  <c r="Z4173" i="11"/>
  <c r="Z4174" i="11"/>
  <c r="Z4175" i="11"/>
  <c r="Z4176" i="11"/>
  <c r="Z4177" i="11"/>
  <c r="Z4178" i="11"/>
  <c r="Z4179" i="11"/>
  <c r="Z4180" i="11"/>
  <c r="Z4181" i="11"/>
  <c r="Z4182" i="11"/>
  <c r="Z4183" i="11"/>
  <c r="Z4184" i="11"/>
  <c r="Z4185" i="11"/>
  <c r="Z4186" i="11"/>
  <c r="Z4187" i="11"/>
  <c r="Z4188" i="11"/>
  <c r="Z4189" i="11"/>
  <c r="Z4190" i="11"/>
  <c r="Z4191" i="11"/>
  <c r="Z4192" i="11"/>
  <c r="Z4193" i="11"/>
  <c r="Z4194" i="11"/>
  <c r="Z4195" i="11"/>
  <c r="Z4196" i="11"/>
  <c r="Z4197" i="11"/>
  <c r="Z4198" i="11"/>
  <c r="Z4199" i="11"/>
  <c r="Z4200" i="11"/>
  <c r="Z4201" i="11"/>
  <c r="Z4202" i="11"/>
  <c r="Z4203" i="11"/>
  <c r="Z4204" i="11"/>
  <c r="Z4205" i="11"/>
  <c r="Z4206" i="11"/>
  <c r="Z4207" i="11"/>
  <c r="Z4208" i="11"/>
  <c r="Z4209" i="11"/>
  <c r="Z4210" i="11"/>
  <c r="Z4211" i="11"/>
  <c r="Z4212" i="11"/>
  <c r="Z4213" i="11"/>
  <c r="Z4214" i="11"/>
  <c r="Z4215" i="11"/>
  <c r="Z4216" i="11"/>
  <c r="Z4217" i="11"/>
  <c r="Z4218" i="11"/>
  <c r="Z4219" i="11"/>
  <c r="Z4220" i="11"/>
  <c r="Z4221" i="11"/>
  <c r="Z4222" i="11"/>
  <c r="Z4223" i="11"/>
  <c r="Z4224" i="11"/>
  <c r="Z4225" i="11"/>
  <c r="Z4226" i="11"/>
  <c r="Z4227" i="11"/>
  <c r="Z4228" i="11"/>
  <c r="Z4229" i="11"/>
  <c r="Z4230" i="11"/>
  <c r="Z4231" i="11"/>
  <c r="Z4232" i="11"/>
  <c r="Z4233" i="11"/>
  <c r="Z4234" i="11"/>
  <c r="Z4235" i="11"/>
  <c r="Z4236" i="11"/>
  <c r="Z4237" i="11"/>
  <c r="Z4238" i="11"/>
  <c r="Z4239" i="11"/>
  <c r="Z4240" i="11"/>
  <c r="Z4241" i="11"/>
  <c r="Z4242" i="11"/>
  <c r="Z4243" i="11"/>
  <c r="Z4244" i="11"/>
  <c r="Z4245" i="11"/>
  <c r="Z4246" i="11"/>
  <c r="Z4247" i="11"/>
  <c r="Z4248" i="11"/>
  <c r="Z4249" i="11"/>
  <c r="Z4250" i="11"/>
  <c r="Z4251" i="11"/>
  <c r="Z4252" i="11"/>
  <c r="Z4253" i="11"/>
  <c r="Z4254" i="11"/>
  <c r="Z4255" i="11"/>
  <c r="Z4256" i="11"/>
  <c r="Z4257" i="11"/>
  <c r="Z4258" i="11"/>
  <c r="Z4259" i="11"/>
  <c r="Z4260" i="11"/>
  <c r="Z4261" i="11"/>
  <c r="Z4262" i="11"/>
  <c r="Z4263" i="11"/>
  <c r="Z4264" i="11"/>
  <c r="Z4265" i="11"/>
  <c r="Z4266" i="11"/>
  <c r="Z4267" i="11"/>
  <c r="Z4268" i="11"/>
  <c r="Z4269" i="11"/>
  <c r="Z4270" i="11"/>
  <c r="Z4271" i="11"/>
  <c r="Z4272" i="11"/>
  <c r="Z4273" i="11"/>
  <c r="Z4274" i="11"/>
  <c r="Z4275" i="11"/>
  <c r="Z4276" i="11"/>
  <c r="Z4277" i="11"/>
  <c r="Z4278" i="11"/>
  <c r="Z4279" i="11"/>
  <c r="Z4280" i="11"/>
  <c r="Z4281" i="11"/>
  <c r="Z4282" i="11"/>
  <c r="Z4283" i="11"/>
  <c r="Z4284" i="11"/>
  <c r="Z4285" i="11"/>
  <c r="Z4286" i="11"/>
  <c r="Z4287" i="11"/>
  <c r="Z4288" i="11"/>
  <c r="Z4289" i="11"/>
  <c r="Z4290" i="11"/>
  <c r="Z4291" i="11"/>
  <c r="Z4292" i="11"/>
  <c r="Z4293" i="11"/>
  <c r="Z4294" i="11"/>
  <c r="Z4295" i="11"/>
  <c r="Z4296" i="11"/>
  <c r="Z4297" i="11"/>
  <c r="Z4298" i="11"/>
  <c r="Z4299" i="11"/>
  <c r="Z4300" i="11"/>
  <c r="Z4301" i="11"/>
  <c r="Z4302" i="11"/>
  <c r="Z4303" i="11"/>
  <c r="Z4304" i="11"/>
  <c r="Z4305" i="11"/>
  <c r="Z4306" i="11"/>
  <c r="Z4307" i="11"/>
  <c r="Z4308" i="11"/>
  <c r="Z4309" i="11"/>
  <c r="Z4310" i="11"/>
  <c r="Z4311" i="11"/>
  <c r="Z4312" i="11"/>
  <c r="Z4313" i="11"/>
  <c r="Z4314" i="11"/>
  <c r="Z4315" i="11"/>
  <c r="Z4316" i="11"/>
  <c r="Z4317" i="11"/>
  <c r="Z4318" i="11"/>
  <c r="Z4319" i="11"/>
  <c r="Z4320" i="11"/>
  <c r="Z4321" i="11"/>
  <c r="Z4322" i="11"/>
  <c r="Z4323" i="11"/>
  <c r="Z4324" i="11"/>
  <c r="Z4325" i="11"/>
  <c r="Z4326" i="11"/>
  <c r="Z4327" i="11"/>
  <c r="Z4328" i="11"/>
  <c r="Z4329" i="11"/>
  <c r="Z4330" i="11"/>
  <c r="Z4331" i="11"/>
  <c r="Z4332" i="11"/>
  <c r="Z4333" i="11"/>
  <c r="Z4334" i="11"/>
  <c r="Z4335" i="11"/>
  <c r="Z4336" i="11"/>
  <c r="Z4337" i="11"/>
  <c r="Z4338" i="11"/>
  <c r="Z4339" i="11"/>
  <c r="Z4340" i="11"/>
  <c r="Z4341" i="11"/>
  <c r="Z4342" i="11"/>
  <c r="Z4343" i="11"/>
  <c r="Z4344" i="11"/>
  <c r="Z4345" i="11"/>
  <c r="Z4346" i="11"/>
  <c r="Z4347" i="11"/>
  <c r="Z4348" i="11"/>
  <c r="Z4349" i="11"/>
  <c r="Z4350" i="11"/>
  <c r="Z4351" i="11"/>
  <c r="Z4352" i="11"/>
  <c r="Z4353" i="11"/>
  <c r="Z4354" i="11"/>
  <c r="Z4355" i="11"/>
  <c r="Z4356" i="11"/>
  <c r="Z4357" i="11"/>
  <c r="Z4358" i="11"/>
  <c r="Z4359" i="11"/>
  <c r="Z4360" i="11"/>
  <c r="Z4361" i="11"/>
  <c r="Z4362" i="11"/>
  <c r="Z4363" i="11"/>
  <c r="Z4364" i="11"/>
  <c r="Z4365" i="11"/>
  <c r="Z4366" i="11"/>
  <c r="Z4367" i="11"/>
  <c r="Z4368" i="11"/>
  <c r="Z4369" i="11"/>
  <c r="Z4370" i="11"/>
  <c r="Z4371" i="11"/>
  <c r="Z4372" i="11"/>
  <c r="Z4373" i="11"/>
  <c r="Z4374" i="11"/>
  <c r="Z4375" i="11"/>
  <c r="Z4376" i="11"/>
  <c r="Z4377" i="11"/>
  <c r="Z4378" i="11"/>
  <c r="Z4379" i="11"/>
  <c r="Z4380" i="11"/>
  <c r="Z4381" i="11"/>
  <c r="Z4382" i="11"/>
  <c r="Z4383" i="11"/>
  <c r="Z4384" i="11"/>
  <c r="Z4385" i="11"/>
  <c r="Z4386" i="11"/>
  <c r="Z4387" i="11"/>
  <c r="Z4388" i="11"/>
  <c r="Z4389" i="11"/>
  <c r="Z4390" i="11"/>
  <c r="Z4391" i="11"/>
  <c r="Z4392" i="11"/>
  <c r="Z4393" i="11"/>
  <c r="Z4394" i="11"/>
  <c r="Z4395" i="11"/>
  <c r="Z4396" i="11"/>
  <c r="Z4397" i="11"/>
  <c r="Z4398" i="11"/>
  <c r="Z4399" i="11"/>
  <c r="Z4400" i="11"/>
  <c r="Z4401" i="11"/>
  <c r="Z4402" i="11"/>
  <c r="Z4403" i="11"/>
  <c r="Z4404" i="11"/>
  <c r="Z4405" i="11"/>
  <c r="Z4406" i="11"/>
  <c r="Z4407" i="11"/>
  <c r="Z4408" i="11"/>
  <c r="Z4409" i="11"/>
  <c r="Z4410" i="11"/>
  <c r="Z4411" i="11"/>
  <c r="Z4412" i="11"/>
  <c r="Z4413" i="11"/>
  <c r="Z4414" i="11"/>
  <c r="Z4415" i="11"/>
  <c r="Z4416" i="11"/>
  <c r="Z4417" i="11"/>
  <c r="Z4418" i="11"/>
  <c r="Z4419" i="11"/>
  <c r="Z4420" i="11"/>
  <c r="Z4421" i="11"/>
  <c r="Z4422" i="11"/>
  <c r="Z4423" i="11"/>
  <c r="Z4424" i="11"/>
  <c r="Z4425" i="11"/>
  <c r="Z4426" i="11"/>
  <c r="Z4427" i="11"/>
  <c r="Z4428" i="11"/>
  <c r="Z4429" i="11"/>
  <c r="Z4430" i="11"/>
  <c r="Z4431" i="11"/>
  <c r="Z4432" i="11"/>
  <c r="Z4433" i="11"/>
  <c r="Z4434" i="11"/>
  <c r="Z4435" i="11"/>
  <c r="Z4436" i="11"/>
  <c r="Z4437" i="11"/>
  <c r="Z4438" i="11"/>
  <c r="Z4439" i="11"/>
  <c r="Z4440" i="11"/>
  <c r="Z4441" i="11"/>
  <c r="Z4442" i="11"/>
  <c r="Z4443" i="11"/>
  <c r="Z4444" i="11"/>
  <c r="Z4445" i="11"/>
  <c r="Z4446" i="11"/>
  <c r="Z4447" i="11"/>
  <c r="Z4448" i="11"/>
  <c r="Z4449" i="11"/>
  <c r="Z4450" i="11"/>
  <c r="Z4451" i="11"/>
  <c r="Z4452" i="11"/>
  <c r="Z4453" i="11"/>
  <c r="Z4454" i="11"/>
  <c r="Z4455" i="11"/>
  <c r="Z4456" i="11"/>
  <c r="Z4457" i="11"/>
  <c r="Z4458" i="11"/>
  <c r="Z4459" i="11"/>
  <c r="Z4460" i="11"/>
  <c r="Z4461" i="11"/>
  <c r="Z4462" i="11"/>
  <c r="Z4463" i="11"/>
  <c r="Z4464" i="11"/>
  <c r="Z4465" i="11"/>
  <c r="Z4466" i="11"/>
  <c r="Z4467" i="11"/>
  <c r="Z4468" i="11"/>
  <c r="Z4469" i="11"/>
  <c r="Z4470" i="11"/>
  <c r="Z4471" i="11"/>
  <c r="Z4472" i="11"/>
  <c r="Z4473" i="11"/>
  <c r="Z4474" i="11"/>
  <c r="Z4475" i="11"/>
  <c r="Z4476" i="11"/>
  <c r="Z4477" i="11"/>
  <c r="Z4478" i="11"/>
  <c r="Z4479" i="11"/>
  <c r="Z4480" i="11"/>
  <c r="Z4481" i="11"/>
  <c r="Z4482" i="11"/>
  <c r="Z4483" i="11"/>
  <c r="Z4484" i="11"/>
  <c r="Z4485" i="11"/>
  <c r="Z4486" i="11"/>
  <c r="Z4487" i="11"/>
  <c r="Z4488" i="11"/>
  <c r="Z4489" i="11"/>
  <c r="Z4490" i="11"/>
  <c r="Z4491" i="11"/>
  <c r="Z4492" i="11"/>
  <c r="Z4493" i="11"/>
  <c r="Z4494" i="11"/>
  <c r="Z4495" i="11"/>
  <c r="Z4496" i="11"/>
  <c r="Z4497" i="11"/>
  <c r="Z4498" i="11"/>
  <c r="Z4499" i="11"/>
  <c r="Z4500" i="11"/>
  <c r="Z4501" i="11"/>
  <c r="Z4502" i="11"/>
  <c r="Z4503" i="11"/>
  <c r="Z4504" i="11"/>
  <c r="Z4505" i="11"/>
  <c r="Z4506" i="11"/>
  <c r="Z4507" i="11"/>
  <c r="Z4508" i="11"/>
  <c r="Z4509" i="11"/>
  <c r="Z4510" i="11"/>
  <c r="Z4511" i="11"/>
  <c r="Z4512" i="11"/>
  <c r="Z4513" i="11"/>
  <c r="Z4514" i="11"/>
  <c r="Z4515" i="11"/>
  <c r="Z4516" i="11"/>
  <c r="Z4517" i="11"/>
  <c r="Z4518" i="11"/>
  <c r="Z4519" i="11"/>
  <c r="Z4520" i="11"/>
  <c r="Z4521" i="11"/>
  <c r="Z4522" i="11"/>
  <c r="Z4523" i="11"/>
  <c r="Z4524" i="11"/>
  <c r="Z4525" i="11"/>
  <c r="Z4526" i="11"/>
  <c r="Z4527" i="11"/>
  <c r="Z4528" i="11"/>
  <c r="Z4529" i="11"/>
  <c r="Z4530" i="11"/>
  <c r="Z4531" i="11"/>
  <c r="Z4532" i="11"/>
  <c r="Z4533" i="11"/>
  <c r="Z4534" i="11"/>
  <c r="Z4535" i="11"/>
  <c r="Z4536" i="11"/>
  <c r="Z4537" i="11"/>
  <c r="Z4538" i="11"/>
  <c r="Z4539" i="11"/>
  <c r="Z4540" i="11"/>
  <c r="Z4541" i="11"/>
  <c r="Z4542" i="11"/>
  <c r="Z4543" i="11"/>
  <c r="Z4544" i="11"/>
  <c r="Z4545" i="11"/>
  <c r="Z4546" i="11"/>
  <c r="Z4547" i="11"/>
  <c r="Z4548" i="11"/>
  <c r="Z4549" i="11"/>
  <c r="Z4550" i="11"/>
  <c r="Z4551" i="11"/>
  <c r="Z4552" i="11"/>
  <c r="Z4553" i="11"/>
  <c r="Z4554" i="11"/>
  <c r="Z4555" i="11"/>
  <c r="Z4556" i="11"/>
  <c r="Z4557" i="11"/>
  <c r="Z4558" i="11"/>
  <c r="Z4559" i="11"/>
  <c r="Z4560" i="11"/>
  <c r="Z4561" i="11"/>
  <c r="Z4562" i="11"/>
  <c r="Z4563" i="11"/>
  <c r="Z4564" i="11"/>
  <c r="Z4565" i="11"/>
  <c r="Z4566" i="11"/>
  <c r="Z4567" i="11"/>
  <c r="Z4568" i="11"/>
  <c r="Z4569" i="11"/>
  <c r="Z4570" i="11"/>
  <c r="Z4571" i="11"/>
  <c r="Z4572" i="11"/>
  <c r="Z4573" i="11"/>
  <c r="Z4574" i="11"/>
  <c r="Z4575" i="11"/>
  <c r="Z4576" i="11"/>
  <c r="Z4577" i="11"/>
  <c r="Z4578" i="11"/>
  <c r="Z4579" i="11"/>
  <c r="Z4580" i="11"/>
  <c r="Z4581" i="11"/>
  <c r="Z4582" i="11"/>
  <c r="Z4583" i="11"/>
  <c r="Z4584" i="11"/>
  <c r="Z4585" i="11"/>
  <c r="Z4586" i="11"/>
  <c r="Z4587" i="11"/>
  <c r="Z4588" i="11"/>
  <c r="Z4589" i="11"/>
  <c r="Z4590" i="11"/>
  <c r="Z4591" i="11"/>
  <c r="Z4592" i="11"/>
  <c r="Z4593" i="11"/>
  <c r="Z4594" i="11"/>
  <c r="Z4595" i="11"/>
  <c r="Z4596" i="11"/>
  <c r="Z4597" i="11"/>
  <c r="Z4598" i="11"/>
  <c r="Z4599" i="11"/>
  <c r="Z4600" i="11"/>
  <c r="Z4601" i="11"/>
  <c r="Z4602" i="11"/>
  <c r="Z4603" i="11"/>
  <c r="Z4604" i="11"/>
  <c r="Z4605" i="11"/>
  <c r="Z4606" i="11"/>
  <c r="Z4607" i="11"/>
  <c r="Z4608" i="11"/>
  <c r="Z4609" i="11"/>
  <c r="Z4610" i="11"/>
  <c r="Z4611" i="11"/>
  <c r="Z4612" i="11"/>
  <c r="Z4613" i="11"/>
  <c r="Z4614" i="11"/>
  <c r="Z4615" i="11"/>
  <c r="Z4616" i="11"/>
  <c r="Z4617" i="11"/>
  <c r="Z4618" i="11"/>
  <c r="Z4619" i="11"/>
  <c r="Z4620" i="11"/>
  <c r="Z4621" i="11"/>
  <c r="Z4622" i="11"/>
  <c r="Z4623" i="11"/>
  <c r="Z4624" i="11"/>
  <c r="Z4625" i="11"/>
  <c r="Z4626" i="11"/>
  <c r="Z4627" i="11"/>
  <c r="Z4628" i="11"/>
  <c r="Z4629" i="11"/>
  <c r="Z4630" i="11"/>
  <c r="Z4631" i="11"/>
  <c r="Z4632" i="11"/>
  <c r="Z4633" i="11"/>
  <c r="Z4634" i="11"/>
  <c r="Z4635" i="11"/>
  <c r="Z4636" i="11"/>
  <c r="Z4637" i="11"/>
  <c r="Z4638" i="11"/>
  <c r="Z4639" i="11"/>
  <c r="Z4640" i="11"/>
  <c r="Z4641" i="11"/>
  <c r="Z4642" i="11"/>
  <c r="Z4643" i="11"/>
  <c r="Z4644" i="11"/>
  <c r="Z4645" i="11"/>
  <c r="Z4646" i="11"/>
  <c r="Z4647" i="11"/>
  <c r="Z4648" i="11"/>
  <c r="Z4649" i="11"/>
  <c r="Z4650" i="11"/>
  <c r="Z4651" i="11"/>
  <c r="Z4652" i="11"/>
  <c r="Z4653" i="11"/>
  <c r="Z4654" i="11"/>
  <c r="Z4655" i="11"/>
  <c r="Z4656" i="11"/>
  <c r="Z4657" i="11"/>
  <c r="Z4658" i="11"/>
  <c r="Z4659" i="11"/>
  <c r="Z4660" i="11"/>
  <c r="Z4661" i="11"/>
  <c r="Z4662" i="11"/>
  <c r="Z4663" i="11"/>
  <c r="Z4664" i="11"/>
  <c r="Z4665" i="11"/>
  <c r="Z4666" i="11"/>
  <c r="Z4667" i="11"/>
  <c r="Z4668" i="11"/>
  <c r="Z4669" i="11"/>
  <c r="Z4670" i="11"/>
  <c r="Z4671" i="11"/>
  <c r="Z4672" i="11"/>
  <c r="Z4673" i="11"/>
  <c r="Z4674" i="11"/>
  <c r="Z4675" i="11"/>
  <c r="Z4676" i="11"/>
  <c r="Z4677" i="11"/>
  <c r="Z4678" i="11"/>
  <c r="Z4679" i="11"/>
  <c r="Z4680" i="11"/>
  <c r="Z4681" i="11"/>
  <c r="Z4682" i="11"/>
  <c r="Z4683" i="11"/>
  <c r="Z4684" i="11"/>
  <c r="Z4685" i="11"/>
  <c r="Z4686" i="11"/>
  <c r="Z4687" i="11"/>
  <c r="Z4688" i="11"/>
  <c r="Z4689" i="11"/>
  <c r="Z4690" i="11"/>
  <c r="Z4691" i="11"/>
  <c r="Z4692" i="11"/>
  <c r="Z4693" i="11"/>
  <c r="Z4694" i="11"/>
  <c r="Z4695" i="11"/>
  <c r="Z4696" i="11"/>
  <c r="Z4697" i="11"/>
  <c r="Z4698" i="11"/>
  <c r="Z4699" i="11"/>
  <c r="Z4700" i="11"/>
  <c r="Z4701" i="11"/>
  <c r="Z4702" i="11"/>
  <c r="Z4703" i="11"/>
  <c r="Z4704" i="11"/>
  <c r="Z4705" i="11"/>
  <c r="Z4706" i="11"/>
  <c r="Z4707" i="11"/>
  <c r="Z4708" i="11"/>
  <c r="Z4709" i="11"/>
  <c r="Z4710" i="11"/>
  <c r="Z4711" i="11"/>
  <c r="Z4712" i="11"/>
  <c r="Z4713" i="11"/>
  <c r="Z4714" i="11"/>
  <c r="Z4715" i="11"/>
  <c r="Z4716" i="11"/>
  <c r="Z4717" i="11"/>
  <c r="Z4718" i="11"/>
  <c r="Z4719" i="11"/>
  <c r="Z4720" i="11"/>
  <c r="Z4721" i="11"/>
  <c r="Z4722" i="11"/>
  <c r="Z4723" i="11"/>
  <c r="Z4724" i="11"/>
  <c r="Z4725" i="11"/>
  <c r="Z4726" i="11"/>
  <c r="Z4727" i="11"/>
  <c r="Z4728" i="11"/>
  <c r="Z4729" i="11"/>
  <c r="Z4730" i="11"/>
  <c r="Z4731" i="11"/>
  <c r="Z4732" i="11"/>
  <c r="Z4733" i="11"/>
  <c r="Z4734" i="11"/>
  <c r="Z4735" i="11"/>
  <c r="Z4736" i="11"/>
  <c r="Z4737" i="11"/>
  <c r="Z4738" i="11"/>
  <c r="Z4739" i="11"/>
  <c r="Z4740" i="11"/>
  <c r="Z4741" i="11"/>
  <c r="Z4742" i="11"/>
  <c r="Z4743" i="11"/>
  <c r="Z4744" i="11"/>
  <c r="Z4745" i="11"/>
  <c r="Z4746" i="11"/>
  <c r="Z4747" i="11"/>
  <c r="Z4748" i="11"/>
  <c r="Z4749" i="11"/>
  <c r="Z4750" i="11"/>
  <c r="Z4751" i="11"/>
  <c r="Z4752" i="11"/>
  <c r="Z4753" i="11"/>
  <c r="Z4754" i="11"/>
  <c r="Z4755" i="11"/>
  <c r="Z4756" i="11"/>
  <c r="Z4757" i="11"/>
  <c r="Z4758" i="11"/>
  <c r="Z4759" i="11"/>
  <c r="Z4760" i="11"/>
  <c r="Z4761" i="11"/>
  <c r="Z4762" i="11"/>
  <c r="Z4763" i="11"/>
  <c r="Z4764" i="11"/>
  <c r="Z4765" i="11"/>
  <c r="Z4766" i="11"/>
  <c r="Z4767" i="11"/>
  <c r="Z4768" i="11"/>
  <c r="Z4769" i="11"/>
  <c r="Z4770" i="11"/>
  <c r="Z4771" i="11"/>
  <c r="Z4772" i="11"/>
  <c r="Z4773" i="11"/>
  <c r="Z4774" i="11"/>
  <c r="Z4775" i="11"/>
  <c r="Z4776" i="11"/>
  <c r="Z4777" i="11"/>
  <c r="Z4778" i="11"/>
  <c r="Z4779" i="11"/>
  <c r="Z4780" i="11"/>
  <c r="Z4781" i="11"/>
  <c r="Z4782" i="11"/>
  <c r="Z4783" i="11"/>
  <c r="Z4784" i="11"/>
  <c r="Z4785" i="11"/>
  <c r="Z4786" i="11"/>
  <c r="Z4787" i="11"/>
  <c r="Z4788" i="11"/>
  <c r="Z4789" i="11"/>
  <c r="Z4790" i="11"/>
  <c r="Z4791" i="11"/>
  <c r="Z4792" i="11"/>
  <c r="Z4793" i="11"/>
  <c r="Z4794" i="11"/>
  <c r="Z4795" i="11"/>
  <c r="Z4796" i="11"/>
  <c r="Z4797" i="11"/>
  <c r="Z4798" i="11"/>
  <c r="Z4799" i="11"/>
  <c r="Z4800" i="11"/>
  <c r="Z4801" i="11"/>
  <c r="Z4802" i="11"/>
  <c r="Z4803" i="11"/>
  <c r="Z4804" i="11"/>
  <c r="Z4805" i="11"/>
  <c r="Z4806" i="11"/>
  <c r="Z4807" i="11"/>
  <c r="Z4808" i="11"/>
  <c r="Z4809" i="11"/>
  <c r="Z4810" i="11"/>
  <c r="Z4811" i="11"/>
  <c r="Z4812" i="11"/>
  <c r="Z4813" i="11"/>
  <c r="Z4814" i="11"/>
  <c r="Z4815" i="11"/>
  <c r="Z4816" i="11"/>
  <c r="Z4817" i="11"/>
  <c r="Z4818" i="11"/>
  <c r="Z4819" i="11"/>
  <c r="Z4820" i="11"/>
  <c r="Z4821" i="11"/>
  <c r="Z4822" i="11"/>
  <c r="Z4823" i="11"/>
  <c r="Z4824" i="11"/>
  <c r="Z4825" i="11"/>
  <c r="Z4826" i="11"/>
  <c r="Z4827" i="11"/>
  <c r="Z4828" i="11"/>
  <c r="Z4829" i="11"/>
  <c r="Z4830" i="11"/>
  <c r="Z4831" i="11"/>
  <c r="Z4832" i="11"/>
  <c r="Z4833" i="11"/>
  <c r="Z4834" i="11"/>
  <c r="Z4835" i="11"/>
  <c r="Z4836" i="11"/>
  <c r="Z4837" i="11"/>
  <c r="Z4838" i="11"/>
  <c r="Z4839" i="11"/>
  <c r="Z4840" i="11"/>
  <c r="Z4841" i="11"/>
  <c r="Z4842" i="11"/>
  <c r="Z4843" i="11"/>
  <c r="Z4844" i="11"/>
  <c r="Z4845" i="11"/>
  <c r="Z4846" i="11"/>
  <c r="Z4847" i="11"/>
  <c r="Z4848" i="11"/>
  <c r="Z4849" i="11"/>
  <c r="Z4850" i="11"/>
  <c r="Z4851" i="11"/>
  <c r="Z4852" i="11"/>
  <c r="Z4853" i="11"/>
  <c r="Z4854" i="11"/>
  <c r="Z4855" i="11"/>
  <c r="Z4856" i="11"/>
  <c r="Z4857" i="11"/>
  <c r="Z4858" i="11"/>
  <c r="Z4859" i="11"/>
  <c r="Z4860" i="11"/>
  <c r="Z4861" i="11"/>
  <c r="Z4862" i="11"/>
  <c r="Z4863" i="11"/>
  <c r="Z4864" i="11"/>
  <c r="Z4865" i="11"/>
  <c r="Z4866" i="11"/>
  <c r="Z4867" i="11"/>
  <c r="Z4868" i="11"/>
  <c r="Z4869" i="11"/>
  <c r="Z4870" i="11"/>
  <c r="Z4871" i="11"/>
  <c r="Z4872" i="11"/>
  <c r="Z4873" i="11"/>
  <c r="Z4874" i="11"/>
  <c r="Z4875" i="11"/>
  <c r="Z4876" i="11"/>
  <c r="Z4877" i="11"/>
  <c r="Z4878" i="11"/>
  <c r="Z4879" i="11"/>
  <c r="Z4880" i="11"/>
  <c r="Z4881" i="11"/>
  <c r="Z4882" i="11"/>
  <c r="Z4883" i="11"/>
  <c r="Z4884" i="11"/>
  <c r="Z4885" i="11"/>
  <c r="Z4886" i="11"/>
  <c r="Z4887" i="11"/>
  <c r="Z4888" i="11"/>
  <c r="Z4889" i="11"/>
  <c r="Z4890" i="11"/>
  <c r="Z4891" i="11"/>
  <c r="Z4892" i="11"/>
  <c r="Z4893" i="11"/>
  <c r="Z4894" i="11"/>
  <c r="Z4895" i="11"/>
  <c r="Z4896" i="11"/>
  <c r="Z4897" i="11"/>
  <c r="Z4898" i="11"/>
  <c r="Z4899" i="11"/>
  <c r="Z4900" i="11"/>
  <c r="Z4901" i="11"/>
  <c r="Z4902" i="11"/>
  <c r="Z4903" i="11"/>
  <c r="Z4904" i="11"/>
  <c r="Z4905" i="11"/>
  <c r="Z4906" i="11"/>
  <c r="Z4907" i="11"/>
  <c r="Z4908" i="11"/>
  <c r="Z4909" i="11"/>
  <c r="Z4910" i="11"/>
  <c r="Z4911" i="11"/>
  <c r="Z4912" i="11"/>
  <c r="Z4913" i="11"/>
  <c r="Z4914" i="11"/>
  <c r="Z4915" i="11"/>
  <c r="Z4916" i="11"/>
  <c r="Z4917" i="11"/>
  <c r="Z4918" i="11"/>
  <c r="Z4919" i="11"/>
  <c r="Z4920" i="11"/>
  <c r="Z4921" i="11"/>
  <c r="Z4922" i="11"/>
  <c r="Z4923" i="11"/>
  <c r="Z4924" i="11"/>
  <c r="Z4925" i="11"/>
  <c r="Z4926" i="11"/>
  <c r="Z4927" i="11"/>
  <c r="Z4928" i="11"/>
  <c r="Z4929" i="11"/>
  <c r="Z4930" i="11"/>
  <c r="Z4931" i="11"/>
  <c r="Z4932" i="11"/>
  <c r="Z4933" i="11"/>
  <c r="Z4934" i="11"/>
  <c r="Z4935" i="11"/>
  <c r="Z4936" i="11"/>
  <c r="Z4937" i="11"/>
  <c r="Z4938" i="11"/>
  <c r="Z4939" i="11"/>
  <c r="Z4940" i="11"/>
  <c r="Z4941" i="11"/>
  <c r="Z4942" i="11"/>
  <c r="Z4943" i="11"/>
  <c r="Z4944" i="11"/>
  <c r="Z4945" i="11"/>
  <c r="Z4946" i="11"/>
  <c r="Z4947" i="11"/>
  <c r="Z4948" i="11"/>
  <c r="Z4949" i="11"/>
  <c r="Z4950" i="11"/>
  <c r="Z4951" i="11"/>
  <c r="Z4952" i="11"/>
  <c r="Z4953" i="11"/>
  <c r="Z4954" i="11"/>
  <c r="Z4955" i="11"/>
  <c r="Z4956" i="11"/>
  <c r="Z4957" i="11"/>
  <c r="Z4958" i="11"/>
  <c r="Z4959" i="11"/>
  <c r="Z4960" i="11"/>
  <c r="Z4961" i="11"/>
  <c r="Z4962" i="11"/>
  <c r="Z4963" i="11"/>
  <c r="Z4964" i="11"/>
  <c r="Z4965" i="11"/>
  <c r="Z4966" i="11"/>
  <c r="Z4967" i="11"/>
  <c r="Z4968" i="11"/>
  <c r="Z4969" i="11"/>
  <c r="Z4970" i="11"/>
  <c r="Z4971" i="11"/>
  <c r="Z4972" i="11"/>
  <c r="Z4973" i="11"/>
  <c r="Z4974" i="11"/>
  <c r="Z4975" i="11"/>
  <c r="Z4976" i="11"/>
  <c r="Z4977" i="11"/>
  <c r="Z4978" i="11"/>
  <c r="Z4979" i="11"/>
  <c r="Z4980" i="11"/>
  <c r="Z4981" i="11"/>
  <c r="Z4982" i="11"/>
  <c r="Z4983" i="11"/>
  <c r="Z4984" i="11"/>
  <c r="Z4985" i="11"/>
  <c r="Z4986" i="11"/>
  <c r="Z4987" i="11"/>
  <c r="Z4988" i="11"/>
  <c r="Z4989" i="11"/>
  <c r="Z4990" i="11"/>
  <c r="Z4991" i="11"/>
  <c r="Z4992" i="11"/>
  <c r="Z4993" i="11"/>
  <c r="Z4994" i="11"/>
  <c r="Z4995" i="11"/>
  <c r="Z4996" i="11"/>
  <c r="Z4997" i="11"/>
  <c r="Z4998" i="11"/>
  <c r="Z4999" i="11"/>
  <c r="Z5000" i="11"/>
  <c r="Y6" i="11"/>
  <c r="Y7" i="11"/>
  <c r="Y8" i="11"/>
  <c r="Y9" i="11"/>
  <c r="Y10" i="11"/>
  <c r="Y11" i="11"/>
  <c r="Y12" i="11"/>
  <c r="Y13" i="11"/>
  <c r="Y14" i="11"/>
  <c r="Y15" i="11"/>
  <c r="Y16" i="11"/>
  <c r="Y17" i="11"/>
  <c r="Y18" i="11"/>
  <c r="Y19" i="11"/>
  <c r="Y20" i="11"/>
  <c r="Y21" i="11"/>
  <c r="Y22" i="11"/>
  <c r="Y23" i="11"/>
  <c r="Y24" i="11"/>
  <c r="Y25" i="11"/>
  <c r="Y26" i="11"/>
  <c r="Y27" i="11"/>
  <c r="Y28" i="11"/>
  <c r="Y29" i="11"/>
  <c r="Y30" i="11"/>
  <c r="Y31" i="11"/>
  <c r="Y32" i="11"/>
  <c r="Y33" i="11"/>
  <c r="Y34" i="11"/>
  <c r="Y35" i="11"/>
  <c r="Y36" i="11"/>
  <c r="Y37" i="11"/>
  <c r="Y38" i="11"/>
  <c r="Y39" i="11"/>
  <c r="Y40" i="11"/>
  <c r="Y41" i="11"/>
  <c r="Y42" i="11"/>
  <c r="Y43" i="11"/>
  <c r="Y44" i="11"/>
  <c r="Y45" i="11"/>
  <c r="Y46" i="11"/>
  <c r="Y47" i="11"/>
  <c r="Y48" i="11"/>
  <c r="Y49" i="11"/>
  <c r="Y50" i="11"/>
  <c r="Y51" i="11"/>
  <c r="Y52" i="11"/>
  <c r="Y53" i="11"/>
  <c r="Y54" i="11"/>
  <c r="Y55" i="11"/>
  <c r="Y56" i="11"/>
  <c r="Y57" i="11"/>
  <c r="Y58" i="11"/>
  <c r="Y59" i="11"/>
  <c r="Y60" i="11"/>
  <c r="Y61" i="11"/>
  <c r="Y62" i="11"/>
  <c r="Y63" i="11"/>
  <c r="Y64" i="11"/>
  <c r="Y65" i="11"/>
  <c r="Y66" i="11"/>
  <c r="Y67" i="11"/>
  <c r="Y68" i="11"/>
  <c r="Y69" i="11"/>
  <c r="Y70" i="11"/>
  <c r="Y71" i="11"/>
  <c r="Y72" i="11"/>
  <c r="Y73" i="11"/>
  <c r="Y74" i="11"/>
  <c r="Y75" i="11"/>
  <c r="Y76" i="11"/>
  <c r="Y77" i="11"/>
  <c r="Y78" i="11"/>
  <c r="Y79" i="11"/>
  <c r="Y80" i="11"/>
  <c r="Y81" i="11"/>
  <c r="Y82" i="11"/>
  <c r="Y83" i="11"/>
  <c r="Y84" i="11"/>
  <c r="Y85" i="11"/>
  <c r="Y86" i="11"/>
  <c r="Y87" i="11"/>
  <c r="Y88" i="11"/>
  <c r="Y89" i="11"/>
  <c r="Y90" i="11"/>
  <c r="Y91" i="11"/>
  <c r="Y92" i="11"/>
  <c r="Y93" i="11"/>
  <c r="Y94" i="11"/>
  <c r="Y95" i="11"/>
  <c r="Y96" i="11"/>
  <c r="Y97" i="11"/>
  <c r="Y98" i="11"/>
  <c r="Y99" i="11"/>
  <c r="Y100" i="11"/>
  <c r="Y101" i="11"/>
  <c r="Y102" i="11"/>
  <c r="Y103" i="11"/>
  <c r="Y104" i="11"/>
  <c r="Y105" i="11"/>
  <c r="Y106" i="11"/>
  <c r="Y107" i="11"/>
  <c r="Y108" i="11"/>
  <c r="Y109" i="11"/>
  <c r="Y110" i="11"/>
  <c r="Y111" i="11"/>
  <c r="Y112" i="11"/>
  <c r="Y113" i="11"/>
  <c r="Y114" i="11"/>
  <c r="Y115" i="11"/>
  <c r="Y116" i="11"/>
  <c r="Y117" i="11"/>
  <c r="Y118" i="11"/>
  <c r="Y119" i="11"/>
  <c r="Y120" i="11"/>
  <c r="Y121" i="11"/>
  <c r="Y122" i="11"/>
  <c r="Y123" i="11"/>
  <c r="Y124" i="11"/>
  <c r="Y125" i="11"/>
  <c r="Y126" i="11"/>
  <c r="Y127" i="11"/>
  <c r="Y128" i="11"/>
  <c r="Y129" i="11"/>
  <c r="Y130" i="11"/>
  <c r="Y131" i="11"/>
  <c r="Y132" i="11"/>
  <c r="Y133" i="11"/>
  <c r="Y134" i="11"/>
  <c r="Y135" i="11"/>
  <c r="Y136" i="11"/>
  <c r="Y137" i="11"/>
  <c r="Y138" i="11"/>
  <c r="Y139" i="11"/>
  <c r="Y140" i="11"/>
  <c r="Y141" i="11"/>
  <c r="Y142" i="11"/>
  <c r="Y143" i="11"/>
  <c r="Y144" i="11"/>
  <c r="Y145" i="11"/>
  <c r="Y146" i="11"/>
  <c r="Y147" i="11"/>
  <c r="Y148" i="11"/>
  <c r="Y149" i="11"/>
  <c r="Y150" i="11"/>
  <c r="Y151" i="11"/>
  <c r="Y152" i="11"/>
  <c r="Y153" i="11"/>
  <c r="Y154" i="11"/>
  <c r="Y155" i="11"/>
  <c r="Y156" i="11"/>
  <c r="Y157" i="11"/>
  <c r="Y158" i="11"/>
  <c r="Y159" i="11"/>
  <c r="Y160" i="11"/>
  <c r="Y161" i="11"/>
  <c r="Y162" i="11"/>
  <c r="Y163" i="11"/>
  <c r="Y164" i="11"/>
  <c r="Y165" i="11"/>
  <c r="Y166" i="11"/>
  <c r="Y167" i="11"/>
  <c r="Y168" i="11"/>
  <c r="Y169" i="11"/>
  <c r="Y170" i="11"/>
  <c r="Y171" i="11"/>
  <c r="Y172" i="11"/>
  <c r="Y173" i="11"/>
  <c r="Y174" i="11"/>
  <c r="Y175" i="11"/>
  <c r="Y176" i="11"/>
  <c r="Y177" i="11"/>
  <c r="Y178" i="11"/>
  <c r="Y179" i="11"/>
  <c r="Y180" i="11"/>
  <c r="Y181" i="11"/>
  <c r="Y182" i="11"/>
  <c r="Y183" i="11"/>
  <c r="Y184" i="11"/>
  <c r="Y185" i="11"/>
  <c r="Y186" i="11"/>
  <c r="Y187" i="11"/>
  <c r="Y188" i="11"/>
  <c r="Y189" i="11"/>
  <c r="Y190" i="11"/>
  <c r="Y191" i="11"/>
  <c r="Y192" i="11"/>
  <c r="Y193" i="11"/>
  <c r="Y194" i="11"/>
  <c r="Y195" i="11"/>
  <c r="Y196" i="11"/>
  <c r="Y197" i="11"/>
  <c r="Y198" i="11"/>
  <c r="Y199" i="11"/>
  <c r="Y200" i="11"/>
  <c r="Y201" i="11"/>
  <c r="Y202" i="11"/>
  <c r="Y203" i="11"/>
  <c r="Y204" i="11"/>
  <c r="Y205" i="11"/>
  <c r="Y206" i="11"/>
  <c r="Y207" i="11"/>
  <c r="Y208" i="11"/>
  <c r="Y209" i="11"/>
  <c r="Y210" i="11"/>
  <c r="Y211" i="11"/>
  <c r="Y212" i="11"/>
  <c r="Y213" i="11"/>
  <c r="Y214" i="11"/>
  <c r="Y215" i="11"/>
  <c r="Y216" i="11"/>
  <c r="Y217" i="11"/>
  <c r="Y218" i="11"/>
  <c r="Y219" i="11"/>
  <c r="Y220" i="11"/>
  <c r="Y221" i="11"/>
  <c r="Y222" i="11"/>
  <c r="Y223" i="11"/>
  <c r="Y224" i="11"/>
  <c r="Y225" i="11"/>
  <c r="Y226" i="11"/>
  <c r="Y227" i="11"/>
  <c r="Y228" i="11"/>
  <c r="Y229" i="11"/>
  <c r="Y230" i="11"/>
  <c r="Y231" i="11"/>
  <c r="Y232" i="11"/>
  <c r="Y233" i="11"/>
  <c r="Y234" i="11"/>
  <c r="Y235" i="11"/>
  <c r="Y236" i="11"/>
  <c r="Y237" i="11"/>
  <c r="Y238" i="11"/>
  <c r="Y239" i="11"/>
  <c r="Y240" i="11"/>
  <c r="Y241" i="11"/>
  <c r="Y242" i="11"/>
  <c r="Y243" i="11"/>
  <c r="Y244" i="11"/>
  <c r="Y245" i="11"/>
  <c r="Y246" i="11"/>
  <c r="Y247" i="11"/>
  <c r="Y248" i="11"/>
  <c r="Y249" i="11"/>
  <c r="Y250" i="11"/>
  <c r="Y251" i="11"/>
  <c r="Y252" i="11"/>
  <c r="Y253" i="11"/>
  <c r="Y254" i="11"/>
  <c r="Y255" i="11"/>
  <c r="Y256" i="11"/>
  <c r="Y257" i="11"/>
  <c r="Y258" i="11"/>
  <c r="Y259" i="11"/>
  <c r="Y260" i="11"/>
  <c r="Y261" i="11"/>
  <c r="Y262" i="11"/>
  <c r="Y263" i="11"/>
  <c r="Y264" i="11"/>
  <c r="Y265" i="11"/>
  <c r="Y266" i="11"/>
  <c r="Y267" i="11"/>
  <c r="Y268" i="11"/>
  <c r="Y269" i="11"/>
  <c r="Y270" i="11"/>
  <c r="Y271" i="11"/>
  <c r="Y272" i="11"/>
  <c r="Y273" i="11"/>
  <c r="Y274" i="11"/>
  <c r="Y275" i="11"/>
  <c r="Y276" i="11"/>
  <c r="Y277" i="11"/>
  <c r="Y278" i="11"/>
  <c r="Y279" i="11"/>
  <c r="Y280" i="11"/>
  <c r="Y281" i="11"/>
  <c r="Y282" i="11"/>
  <c r="Y283" i="11"/>
  <c r="Y284" i="11"/>
  <c r="Y285" i="11"/>
  <c r="Y286" i="11"/>
  <c r="Y287" i="11"/>
  <c r="Y288" i="11"/>
  <c r="Y289" i="11"/>
  <c r="Y290" i="11"/>
  <c r="Y291" i="11"/>
  <c r="Y292" i="11"/>
  <c r="Y293" i="11"/>
  <c r="Y294" i="11"/>
  <c r="Y295" i="11"/>
  <c r="Y296" i="11"/>
  <c r="Y297" i="11"/>
  <c r="Y298" i="11"/>
  <c r="Y299" i="11"/>
  <c r="Y300" i="11"/>
  <c r="Y301" i="11"/>
  <c r="Y302" i="11"/>
  <c r="Y303" i="11"/>
  <c r="Y304" i="11"/>
  <c r="Y305" i="11"/>
  <c r="Y306" i="11"/>
  <c r="Y307" i="11"/>
  <c r="Y308" i="11"/>
  <c r="Y309" i="11"/>
  <c r="Y310" i="11"/>
  <c r="Y311" i="11"/>
  <c r="Y312" i="11"/>
  <c r="Y313" i="11"/>
  <c r="Y314" i="11"/>
  <c r="Y315" i="11"/>
  <c r="Y316" i="11"/>
  <c r="Y317" i="11"/>
  <c r="Y318" i="11"/>
  <c r="Y319" i="11"/>
  <c r="Y320" i="11"/>
  <c r="Y321" i="11"/>
  <c r="Y322" i="11"/>
  <c r="Y323" i="11"/>
  <c r="Y324" i="11"/>
  <c r="Y325" i="11"/>
  <c r="Y326" i="11"/>
  <c r="Y327" i="11"/>
  <c r="Y328" i="11"/>
  <c r="Y329" i="11"/>
  <c r="Y330" i="11"/>
  <c r="Y331" i="11"/>
  <c r="Y332" i="11"/>
  <c r="Y333" i="11"/>
  <c r="Y334" i="11"/>
  <c r="Y335" i="11"/>
  <c r="Y336" i="11"/>
  <c r="Y337" i="11"/>
  <c r="Y338" i="11"/>
  <c r="Y339" i="11"/>
  <c r="Y340" i="11"/>
  <c r="Y341" i="11"/>
  <c r="Y342" i="11"/>
  <c r="Y343" i="11"/>
  <c r="Y344" i="11"/>
  <c r="Y345" i="11"/>
  <c r="Y346" i="11"/>
  <c r="Y347" i="11"/>
  <c r="Y348" i="11"/>
  <c r="Y349" i="11"/>
  <c r="Y350" i="11"/>
  <c r="Y351" i="11"/>
  <c r="Y352" i="11"/>
  <c r="Y353" i="11"/>
  <c r="Y354" i="11"/>
  <c r="Y355" i="11"/>
  <c r="Y356" i="11"/>
  <c r="Y357" i="11"/>
  <c r="Y358" i="11"/>
  <c r="Y359" i="11"/>
  <c r="Y360" i="11"/>
  <c r="Y361" i="11"/>
  <c r="Y362" i="11"/>
  <c r="Y363" i="11"/>
  <c r="Y364" i="11"/>
  <c r="Y365" i="11"/>
  <c r="Y366" i="11"/>
  <c r="Y367" i="11"/>
  <c r="Y368" i="11"/>
  <c r="Y369" i="11"/>
  <c r="Y370" i="11"/>
  <c r="Y371" i="11"/>
  <c r="Y372" i="11"/>
  <c r="Y373" i="11"/>
  <c r="Y374" i="11"/>
  <c r="Y375" i="11"/>
  <c r="Y376" i="11"/>
  <c r="Y377" i="11"/>
  <c r="Y378" i="11"/>
  <c r="Y379" i="11"/>
  <c r="Y380" i="11"/>
  <c r="Y381" i="11"/>
  <c r="Y382" i="11"/>
  <c r="Y383" i="11"/>
  <c r="Y384" i="11"/>
  <c r="Y385" i="11"/>
  <c r="Y386" i="11"/>
  <c r="Y387" i="11"/>
  <c r="Y388" i="11"/>
  <c r="Y389" i="11"/>
  <c r="Y390" i="11"/>
  <c r="Y391" i="11"/>
  <c r="Y392" i="11"/>
  <c r="Y393" i="11"/>
  <c r="Y394" i="11"/>
  <c r="Y395" i="11"/>
  <c r="Y396" i="11"/>
  <c r="Y397" i="11"/>
  <c r="Y398" i="11"/>
  <c r="Y399" i="11"/>
  <c r="Y400" i="11"/>
  <c r="Y401" i="11"/>
  <c r="Y402" i="11"/>
  <c r="Y403" i="11"/>
  <c r="Y404" i="11"/>
  <c r="Y405" i="11"/>
  <c r="Y406" i="11"/>
  <c r="Y407" i="11"/>
  <c r="Y408" i="11"/>
  <c r="Y409" i="11"/>
  <c r="Y410" i="11"/>
  <c r="Y411" i="11"/>
  <c r="Y412" i="11"/>
  <c r="Y413" i="11"/>
  <c r="Y414" i="11"/>
  <c r="Y415" i="11"/>
  <c r="Y416" i="11"/>
  <c r="Y417" i="11"/>
  <c r="Y418" i="11"/>
  <c r="Y419" i="11"/>
  <c r="Y420" i="11"/>
  <c r="Y421" i="11"/>
  <c r="Y422" i="11"/>
  <c r="Y423" i="11"/>
  <c r="Y424" i="11"/>
  <c r="Y425" i="11"/>
  <c r="Y426" i="11"/>
  <c r="Y427" i="11"/>
  <c r="Y428" i="11"/>
  <c r="Y429" i="11"/>
  <c r="Y430" i="11"/>
  <c r="Y431" i="11"/>
  <c r="Y432" i="11"/>
  <c r="Y433" i="11"/>
  <c r="Y434" i="11"/>
  <c r="Y435" i="11"/>
  <c r="Y436" i="11"/>
  <c r="Y437" i="11"/>
  <c r="Y438" i="11"/>
  <c r="Y439" i="11"/>
  <c r="Y440" i="11"/>
  <c r="Y441" i="11"/>
  <c r="Y442" i="11"/>
  <c r="Y443" i="11"/>
  <c r="Y444" i="11"/>
  <c r="Y445" i="11"/>
  <c r="Y446" i="11"/>
  <c r="Y447" i="11"/>
  <c r="Y448" i="11"/>
  <c r="Y449" i="11"/>
  <c r="Y450" i="11"/>
  <c r="Y451" i="11"/>
  <c r="Y452" i="11"/>
  <c r="Y453" i="11"/>
  <c r="Y454" i="11"/>
  <c r="Y455" i="11"/>
  <c r="Y456" i="11"/>
  <c r="Y457" i="11"/>
  <c r="Y458" i="11"/>
  <c r="Y459" i="11"/>
  <c r="Y460" i="11"/>
  <c r="Y461" i="11"/>
  <c r="Y462" i="11"/>
  <c r="Y463" i="11"/>
  <c r="Y464" i="11"/>
  <c r="Y465" i="11"/>
  <c r="Y466" i="11"/>
  <c r="Y467" i="11"/>
  <c r="Y468" i="11"/>
  <c r="Y469" i="11"/>
  <c r="Y470" i="11"/>
  <c r="Y471" i="11"/>
  <c r="Y472" i="11"/>
  <c r="Y473" i="11"/>
  <c r="Y474" i="11"/>
  <c r="Y475" i="11"/>
  <c r="Y476" i="11"/>
  <c r="Y477" i="11"/>
  <c r="Y478" i="11"/>
  <c r="Y479" i="11"/>
  <c r="Y480" i="11"/>
  <c r="Y481" i="11"/>
  <c r="Y482" i="11"/>
  <c r="Y483" i="11"/>
  <c r="Y484" i="11"/>
  <c r="Y485" i="11"/>
  <c r="Y486" i="11"/>
  <c r="Y487" i="11"/>
  <c r="Y488" i="11"/>
  <c r="Y489" i="11"/>
  <c r="Y490" i="11"/>
  <c r="Y491" i="11"/>
  <c r="Y492" i="11"/>
  <c r="Y493" i="11"/>
  <c r="Y494" i="11"/>
  <c r="Y495" i="11"/>
  <c r="Y496" i="11"/>
  <c r="Y497" i="11"/>
  <c r="Y498" i="11"/>
  <c r="Y499" i="11"/>
  <c r="Y500" i="11"/>
  <c r="Y501" i="11"/>
  <c r="Y502" i="11"/>
  <c r="Y503" i="11"/>
  <c r="Y504" i="11"/>
  <c r="Y505" i="11"/>
  <c r="Y506" i="11"/>
  <c r="Y507" i="11"/>
  <c r="Y508" i="11"/>
  <c r="Y509" i="11"/>
  <c r="Y510" i="11"/>
  <c r="Y511" i="11"/>
  <c r="Y512" i="11"/>
  <c r="Y513" i="11"/>
  <c r="Y514" i="11"/>
  <c r="Y515" i="11"/>
  <c r="Y516" i="11"/>
  <c r="Y517" i="11"/>
  <c r="Y518" i="11"/>
  <c r="Y519" i="11"/>
  <c r="Y520" i="11"/>
  <c r="Y521" i="11"/>
  <c r="Y522" i="11"/>
  <c r="Y523" i="11"/>
  <c r="Y524" i="11"/>
  <c r="Y525" i="11"/>
  <c r="Y526" i="11"/>
  <c r="Y527" i="11"/>
  <c r="Y528" i="11"/>
  <c r="Y529" i="11"/>
  <c r="Y530" i="11"/>
  <c r="Y531" i="11"/>
  <c r="Y532" i="11"/>
  <c r="Y533" i="11"/>
  <c r="Y534" i="11"/>
  <c r="Y535" i="11"/>
  <c r="Y536" i="11"/>
  <c r="Y537" i="11"/>
  <c r="Y538" i="11"/>
  <c r="Y539" i="11"/>
  <c r="Y540" i="11"/>
  <c r="Y541" i="11"/>
  <c r="Y542" i="11"/>
  <c r="Y543" i="11"/>
  <c r="Y544" i="11"/>
  <c r="Y545" i="11"/>
  <c r="Y546" i="11"/>
  <c r="Y547" i="11"/>
  <c r="Y548" i="11"/>
  <c r="Y549" i="11"/>
  <c r="Y550" i="11"/>
  <c r="Y551" i="11"/>
  <c r="Y552" i="11"/>
  <c r="Y553" i="11"/>
  <c r="Y554" i="11"/>
  <c r="Y555" i="11"/>
  <c r="Y556" i="11"/>
  <c r="Y557" i="11"/>
  <c r="Y558" i="11"/>
  <c r="Y559" i="11"/>
  <c r="Y560" i="11"/>
  <c r="Y561" i="11"/>
  <c r="Y562" i="11"/>
  <c r="Y563" i="11"/>
  <c r="Y564" i="11"/>
  <c r="Y565" i="11"/>
  <c r="Y566" i="11"/>
  <c r="Y567" i="11"/>
  <c r="Y568" i="11"/>
  <c r="Y569" i="11"/>
  <c r="Y570" i="11"/>
  <c r="Y571" i="11"/>
  <c r="Y572" i="11"/>
  <c r="Y573" i="11"/>
  <c r="Y574" i="11"/>
  <c r="Y575" i="11"/>
  <c r="Y576" i="11"/>
  <c r="Y577" i="11"/>
  <c r="Y578" i="11"/>
  <c r="Y579" i="11"/>
  <c r="Y580" i="11"/>
  <c r="Y581" i="11"/>
  <c r="Y582" i="11"/>
  <c r="Y583" i="11"/>
  <c r="Y584" i="11"/>
  <c r="Y585" i="11"/>
  <c r="Y586" i="11"/>
  <c r="Y587" i="11"/>
  <c r="Y588" i="11"/>
  <c r="Y589" i="11"/>
  <c r="Y590" i="11"/>
  <c r="Y591" i="11"/>
  <c r="Y592" i="11"/>
  <c r="Y593" i="11"/>
  <c r="Y594" i="11"/>
  <c r="Y595" i="11"/>
  <c r="Y596" i="11"/>
  <c r="Y597" i="11"/>
  <c r="Y598" i="11"/>
  <c r="Y599" i="11"/>
  <c r="Y600" i="11"/>
  <c r="Y601" i="11"/>
  <c r="Y602" i="11"/>
  <c r="Y603" i="11"/>
  <c r="Y604" i="11"/>
  <c r="Y605" i="11"/>
  <c r="Y606" i="11"/>
  <c r="Y607" i="11"/>
  <c r="Y608" i="11"/>
  <c r="Y609" i="11"/>
  <c r="Y610" i="11"/>
  <c r="Y611" i="11"/>
  <c r="Y612" i="11"/>
  <c r="Y613" i="11"/>
  <c r="Y614" i="11"/>
  <c r="Y615" i="11"/>
  <c r="Y616" i="11"/>
  <c r="Y617" i="11"/>
  <c r="Y618" i="11"/>
  <c r="Y619" i="11"/>
  <c r="Y620" i="11"/>
  <c r="Y621" i="11"/>
  <c r="Y622" i="11"/>
  <c r="Y623" i="11"/>
  <c r="Y624" i="11"/>
  <c r="Y625" i="11"/>
  <c r="Y626" i="11"/>
  <c r="Y627" i="11"/>
  <c r="Y628" i="11"/>
  <c r="Y629" i="11"/>
  <c r="Y630" i="11"/>
  <c r="Y631" i="11"/>
  <c r="Y632" i="11"/>
  <c r="Y633" i="11"/>
  <c r="Y634" i="11"/>
  <c r="Y635" i="11"/>
  <c r="Y636" i="11"/>
  <c r="Y637" i="11"/>
  <c r="Y638" i="11"/>
  <c r="Y639" i="11"/>
  <c r="Y640" i="11"/>
  <c r="Y641" i="11"/>
  <c r="Y642" i="11"/>
  <c r="Y643" i="11"/>
  <c r="Y644" i="11"/>
  <c r="Y645" i="11"/>
  <c r="Y646" i="11"/>
  <c r="Y647" i="11"/>
  <c r="Y648" i="11"/>
  <c r="Y649" i="11"/>
  <c r="Y650" i="11"/>
  <c r="Y651" i="11"/>
  <c r="Y652" i="11"/>
  <c r="Y653" i="11"/>
  <c r="Y654" i="11"/>
  <c r="Y655" i="11"/>
  <c r="Y656" i="11"/>
  <c r="Y657" i="11"/>
  <c r="Y658" i="11"/>
  <c r="Y659" i="11"/>
  <c r="Y660" i="11"/>
  <c r="Y661" i="11"/>
  <c r="Y662" i="11"/>
  <c r="Y663" i="11"/>
  <c r="Y664" i="11"/>
  <c r="Y665" i="11"/>
  <c r="Y666" i="11"/>
  <c r="Y667" i="11"/>
  <c r="Y668" i="11"/>
  <c r="Y669" i="11"/>
  <c r="Y670" i="11"/>
  <c r="Y671" i="11"/>
  <c r="Y672" i="11"/>
  <c r="Y673" i="11"/>
  <c r="Y674" i="11"/>
  <c r="Y675" i="11"/>
  <c r="Y676" i="11"/>
  <c r="Y677" i="11"/>
  <c r="Y678" i="11"/>
  <c r="Y679" i="11"/>
  <c r="Y680" i="11"/>
  <c r="Y681" i="11"/>
  <c r="Y682" i="11"/>
  <c r="Y683" i="11"/>
  <c r="Y684" i="11"/>
  <c r="Y685" i="11"/>
  <c r="Y686" i="11"/>
  <c r="Y687" i="11"/>
  <c r="Y688" i="11"/>
  <c r="Y689" i="11"/>
  <c r="Y690" i="11"/>
  <c r="Y691" i="11"/>
  <c r="Y692" i="11"/>
  <c r="Y693" i="11"/>
  <c r="Y694" i="11"/>
  <c r="Y695" i="11"/>
  <c r="Y696" i="11"/>
  <c r="Y697" i="11"/>
  <c r="Y698" i="11"/>
  <c r="Y699" i="11"/>
  <c r="Y700" i="11"/>
  <c r="Y701" i="11"/>
  <c r="Y702" i="11"/>
  <c r="Y703" i="11"/>
  <c r="Y704" i="11"/>
  <c r="Y705" i="11"/>
  <c r="Y706" i="11"/>
  <c r="Y707" i="11"/>
  <c r="Y708" i="11"/>
  <c r="Y709" i="11"/>
  <c r="Y710" i="11"/>
  <c r="Y711" i="11"/>
  <c r="Y712" i="11"/>
  <c r="Y713" i="11"/>
  <c r="Y714" i="11"/>
  <c r="Y715" i="11"/>
  <c r="Y716" i="11"/>
  <c r="Y717" i="11"/>
  <c r="Y718" i="11"/>
  <c r="Y719" i="11"/>
  <c r="Y720" i="11"/>
  <c r="Y721" i="11"/>
  <c r="Y722" i="11"/>
  <c r="Y723" i="11"/>
  <c r="Y724" i="11"/>
  <c r="Y725" i="11"/>
  <c r="Y726" i="11"/>
  <c r="Y727" i="11"/>
  <c r="Y728" i="11"/>
  <c r="Y729" i="11"/>
  <c r="Y730" i="11"/>
  <c r="Y731" i="11"/>
  <c r="Y732" i="11"/>
  <c r="Y733" i="11"/>
  <c r="Y734" i="11"/>
  <c r="Y735" i="11"/>
  <c r="Y736" i="11"/>
  <c r="Y737" i="11"/>
  <c r="Y738" i="11"/>
  <c r="Y739" i="11"/>
  <c r="Y740" i="11"/>
  <c r="Y741" i="11"/>
  <c r="Y742" i="11"/>
  <c r="Y743" i="11"/>
  <c r="Y744" i="11"/>
  <c r="Y745" i="11"/>
  <c r="Y746" i="11"/>
  <c r="Y747" i="11"/>
  <c r="Y748" i="11"/>
  <c r="Y749" i="11"/>
  <c r="Y750" i="11"/>
  <c r="Y751" i="11"/>
  <c r="Y752" i="11"/>
  <c r="Y753" i="11"/>
  <c r="Y754" i="11"/>
  <c r="Y755" i="11"/>
  <c r="Y756" i="11"/>
  <c r="Y757" i="11"/>
  <c r="Y758" i="11"/>
  <c r="Y759" i="11"/>
  <c r="Y760" i="11"/>
  <c r="Y761" i="11"/>
  <c r="Y762" i="11"/>
  <c r="Y763" i="11"/>
  <c r="Y764" i="11"/>
  <c r="Y765" i="11"/>
  <c r="Y766" i="11"/>
  <c r="Y767" i="11"/>
  <c r="Y768" i="11"/>
  <c r="Y769" i="11"/>
  <c r="Y770" i="11"/>
  <c r="Y771" i="11"/>
  <c r="Y772" i="11"/>
  <c r="Y773" i="11"/>
  <c r="Y774" i="11"/>
  <c r="Y775" i="11"/>
  <c r="Y776" i="11"/>
  <c r="Y777" i="11"/>
  <c r="Y778" i="11"/>
  <c r="Y779" i="11"/>
  <c r="Y780" i="11"/>
  <c r="Y781" i="11"/>
  <c r="Y782" i="11"/>
  <c r="Y783" i="11"/>
  <c r="Y784" i="11"/>
  <c r="Y785" i="11"/>
  <c r="Y786" i="11"/>
  <c r="Y787" i="11"/>
  <c r="Y788" i="11"/>
  <c r="Y789" i="11"/>
  <c r="Y790" i="11"/>
  <c r="Y791" i="11"/>
  <c r="Y792" i="11"/>
  <c r="Y793" i="11"/>
  <c r="Y794" i="11"/>
  <c r="Y795" i="11"/>
  <c r="Y796" i="11"/>
  <c r="Y797" i="11"/>
  <c r="Y798" i="11"/>
  <c r="Y799" i="11"/>
  <c r="Y800" i="11"/>
  <c r="Y801" i="11"/>
  <c r="Y802" i="11"/>
  <c r="Y803" i="11"/>
  <c r="Y804" i="11"/>
  <c r="Y805" i="11"/>
  <c r="Y806" i="11"/>
  <c r="Y807" i="11"/>
  <c r="Y808" i="11"/>
  <c r="Y809" i="11"/>
  <c r="Y810" i="11"/>
  <c r="Y811" i="11"/>
  <c r="Y812" i="11"/>
  <c r="Y813" i="11"/>
  <c r="Y814" i="11"/>
  <c r="Y815" i="11"/>
  <c r="Y816" i="11"/>
  <c r="Y817" i="11"/>
  <c r="Y818" i="11"/>
  <c r="Y819" i="11"/>
  <c r="Y820" i="11"/>
  <c r="Y821" i="11"/>
  <c r="Y822" i="11"/>
  <c r="Y823" i="11"/>
  <c r="Y824" i="11"/>
  <c r="Y825" i="11"/>
  <c r="Y826" i="11"/>
  <c r="Y827" i="11"/>
  <c r="Y828" i="11"/>
  <c r="Y829" i="11"/>
  <c r="Y830" i="11"/>
  <c r="Y831" i="11"/>
  <c r="Y832" i="11"/>
  <c r="Y833" i="11"/>
  <c r="Y834" i="11"/>
  <c r="Y835" i="11"/>
  <c r="Y836" i="11"/>
  <c r="Y837" i="11"/>
  <c r="Y838" i="11"/>
  <c r="Y839" i="11"/>
  <c r="Y840" i="11"/>
  <c r="Y841" i="11"/>
  <c r="Y842" i="11"/>
  <c r="Y843" i="11"/>
  <c r="Y844" i="11"/>
  <c r="Y845" i="11"/>
  <c r="Y846" i="11"/>
  <c r="Y847" i="11"/>
  <c r="Y848" i="11"/>
  <c r="Y849" i="11"/>
  <c r="Y850" i="11"/>
  <c r="Y851" i="11"/>
  <c r="Y852" i="11"/>
  <c r="Y853" i="11"/>
  <c r="Y854" i="11"/>
  <c r="Y855" i="11"/>
  <c r="Y856" i="11"/>
  <c r="Y857" i="11"/>
  <c r="Y858" i="11"/>
  <c r="Y859" i="11"/>
  <c r="Y860" i="11"/>
  <c r="Y861" i="11"/>
  <c r="Y862" i="11"/>
  <c r="Y863" i="11"/>
  <c r="Y864" i="11"/>
  <c r="Y865" i="11"/>
  <c r="Y866" i="11"/>
  <c r="Y867" i="11"/>
  <c r="Y868" i="11"/>
  <c r="Y869" i="11"/>
  <c r="Y870" i="11"/>
  <c r="Y871" i="11"/>
  <c r="Y872" i="11"/>
  <c r="Y873" i="11"/>
  <c r="Y874" i="11"/>
  <c r="Y875" i="11"/>
  <c r="Y876" i="11"/>
  <c r="Y877" i="11"/>
  <c r="Y878" i="11"/>
  <c r="Y879" i="11"/>
  <c r="Y880" i="11"/>
  <c r="Y881" i="11"/>
  <c r="Y882" i="11"/>
  <c r="Y883" i="11"/>
  <c r="Y884" i="11"/>
  <c r="Y885" i="11"/>
  <c r="Y886" i="11"/>
  <c r="Y887" i="11"/>
  <c r="Y888" i="11"/>
  <c r="Y889" i="11"/>
  <c r="Y890" i="11"/>
  <c r="Y891" i="11"/>
  <c r="Y892" i="11"/>
  <c r="Y893" i="11"/>
  <c r="Y894" i="11"/>
  <c r="Y895" i="11"/>
  <c r="Y896" i="11"/>
  <c r="Y897" i="11"/>
  <c r="Y898" i="11"/>
  <c r="Y899" i="11"/>
  <c r="Y900" i="11"/>
  <c r="Y901" i="11"/>
  <c r="Y902" i="11"/>
  <c r="Y903" i="11"/>
  <c r="Y904" i="11"/>
  <c r="Y905" i="11"/>
  <c r="Y906" i="11"/>
  <c r="Y907" i="11"/>
  <c r="Y908" i="11"/>
  <c r="Y909" i="11"/>
  <c r="Y910" i="11"/>
  <c r="Y911" i="11"/>
  <c r="Y912" i="11"/>
  <c r="Y913" i="11"/>
  <c r="Y914" i="11"/>
  <c r="Y915" i="11"/>
  <c r="Y916" i="11"/>
  <c r="Y917" i="11"/>
  <c r="Y918" i="11"/>
  <c r="Y919" i="11"/>
  <c r="Y920" i="11"/>
  <c r="Y921" i="11"/>
  <c r="Y922" i="11"/>
  <c r="Y923" i="11"/>
  <c r="Y924" i="11"/>
  <c r="Y925" i="11"/>
  <c r="Y926" i="11"/>
  <c r="Y927" i="11"/>
  <c r="Y928" i="11"/>
  <c r="Y929" i="11"/>
  <c r="Y930" i="11"/>
  <c r="Y931" i="11"/>
  <c r="Y932" i="11"/>
  <c r="Y933" i="11"/>
  <c r="Y934" i="11"/>
  <c r="Y935" i="11"/>
  <c r="Y936" i="11"/>
  <c r="Y937" i="11"/>
  <c r="Y938" i="11"/>
  <c r="Y939" i="11"/>
  <c r="Y940" i="11"/>
  <c r="Y941" i="11"/>
  <c r="Y942" i="11"/>
  <c r="Y943" i="11"/>
  <c r="Y944" i="11"/>
  <c r="Y945" i="11"/>
  <c r="Y946" i="11"/>
  <c r="Y947" i="11"/>
  <c r="Y948" i="11"/>
  <c r="Y949" i="11"/>
  <c r="Y950" i="11"/>
  <c r="Y951" i="11"/>
  <c r="Y952" i="11"/>
  <c r="Y953" i="11"/>
  <c r="Y954" i="11"/>
  <c r="Y955" i="11"/>
  <c r="Y956" i="11"/>
  <c r="Y957" i="11"/>
  <c r="Y958" i="11"/>
  <c r="Y959" i="11"/>
  <c r="Y960" i="11"/>
  <c r="Y961" i="11"/>
  <c r="Y962" i="11"/>
  <c r="Y963" i="11"/>
  <c r="Y964" i="11"/>
  <c r="Y965" i="11"/>
  <c r="Y966" i="11"/>
  <c r="Y967" i="11"/>
  <c r="Y968" i="11"/>
  <c r="Y969" i="11"/>
  <c r="Y970" i="11"/>
  <c r="Y971" i="11"/>
  <c r="Y972" i="11"/>
  <c r="Y973" i="11"/>
  <c r="Y974" i="11"/>
  <c r="Y975" i="11"/>
  <c r="Y976" i="11"/>
  <c r="Y977" i="11"/>
  <c r="Y978" i="11"/>
  <c r="Y979" i="11"/>
  <c r="Y980" i="11"/>
  <c r="Y981" i="11"/>
  <c r="Y982" i="11"/>
  <c r="Y983" i="11"/>
  <c r="Y984" i="11"/>
  <c r="Y985" i="11"/>
  <c r="Y986" i="11"/>
  <c r="Y987" i="11"/>
  <c r="Y988" i="11"/>
  <c r="Y989" i="11"/>
  <c r="Y990" i="11"/>
  <c r="Y991" i="11"/>
  <c r="Y992" i="11"/>
  <c r="Y993" i="11"/>
  <c r="Y994" i="11"/>
  <c r="Y995" i="11"/>
  <c r="Y996" i="11"/>
  <c r="Y997" i="11"/>
  <c r="Y998" i="11"/>
  <c r="Y999" i="11"/>
  <c r="Y1000" i="11"/>
  <c r="Y1001" i="11"/>
  <c r="Y1002" i="11"/>
  <c r="Y1003" i="11"/>
  <c r="Y1004" i="11"/>
  <c r="Y1005" i="11"/>
  <c r="Y1006" i="11"/>
  <c r="Y1007" i="11"/>
  <c r="Y1008" i="11"/>
  <c r="Y1009" i="11"/>
  <c r="Y1010" i="11"/>
  <c r="Y1011" i="11"/>
  <c r="Y1012" i="11"/>
  <c r="Y1013" i="11"/>
  <c r="Y1014" i="11"/>
  <c r="Y1015" i="11"/>
  <c r="Y1016" i="11"/>
  <c r="Y1017" i="11"/>
  <c r="Y1018" i="11"/>
  <c r="Y1019" i="11"/>
  <c r="Y1020" i="11"/>
  <c r="Y1021" i="11"/>
  <c r="Y1022" i="11"/>
  <c r="Y1023" i="11"/>
  <c r="Y1024" i="11"/>
  <c r="Y1025" i="11"/>
  <c r="Y1026" i="11"/>
  <c r="Y1027" i="11"/>
  <c r="Y1028" i="11"/>
  <c r="Y1029" i="11"/>
  <c r="Y1030" i="11"/>
  <c r="Y1031" i="11"/>
  <c r="Y1032" i="11"/>
  <c r="Y1033" i="11"/>
  <c r="Y1034" i="11"/>
  <c r="Y1035" i="11"/>
  <c r="Y1036" i="11"/>
  <c r="Y1037" i="11"/>
  <c r="Y1038" i="11"/>
  <c r="Y1039" i="11"/>
  <c r="Y1040" i="11"/>
  <c r="Y1041" i="11"/>
  <c r="Y1042" i="11"/>
  <c r="Y1043" i="11"/>
  <c r="Y1044" i="11"/>
  <c r="Y1045" i="11"/>
  <c r="Y1046" i="11"/>
  <c r="Y1047" i="11"/>
  <c r="Y1048" i="11"/>
  <c r="Y1049" i="11"/>
  <c r="Y1050" i="11"/>
  <c r="Y1051" i="11"/>
  <c r="Y1052" i="11"/>
  <c r="Y1053" i="11"/>
  <c r="Y1054" i="11"/>
  <c r="Y1055" i="11"/>
  <c r="Y1056" i="11"/>
  <c r="Y1057" i="11"/>
  <c r="Y1058" i="11"/>
  <c r="Y1059" i="11"/>
  <c r="Y1060" i="11"/>
  <c r="Y1061" i="11"/>
  <c r="Y1062" i="11"/>
  <c r="Y1063" i="11"/>
  <c r="Y1064" i="11"/>
  <c r="Y1065" i="11"/>
  <c r="Y1066" i="11"/>
  <c r="Y1067" i="11"/>
  <c r="Y1068" i="11"/>
  <c r="Y1069" i="11"/>
  <c r="Y1070" i="11"/>
  <c r="Y1071" i="11"/>
  <c r="Y1072" i="11"/>
  <c r="Y1073" i="11"/>
  <c r="Y1074" i="11"/>
  <c r="Y1075" i="11"/>
  <c r="Y1076" i="11"/>
  <c r="Y1077" i="11"/>
  <c r="Y1078" i="11"/>
  <c r="Y1079" i="11"/>
  <c r="Y1080" i="11"/>
  <c r="Y1081" i="11"/>
  <c r="Y1082" i="11"/>
  <c r="Y1083" i="11"/>
  <c r="Y1084" i="11"/>
  <c r="Y1085" i="11"/>
  <c r="Y1086" i="11"/>
  <c r="Y1087" i="11"/>
  <c r="Y1088" i="11"/>
  <c r="Y1089" i="11"/>
  <c r="Y1090" i="11"/>
  <c r="Y1091" i="11"/>
  <c r="Y1092" i="11"/>
  <c r="Y1093" i="11"/>
  <c r="Y1094" i="11"/>
  <c r="Y1095" i="11"/>
  <c r="Y1096" i="11"/>
  <c r="Y1097" i="11"/>
  <c r="Y1098" i="11"/>
  <c r="Y1099" i="11"/>
  <c r="Y1100" i="11"/>
  <c r="Y1101" i="11"/>
  <c r="Y1102" i="11"/>
  <c r="Y1103" i="11"/>
  <c r="Y1104" i="11"/>
  <c r="Y1105" i="11"/>
  <c r="Y1106" i="11"/>
  <c r="Y1107" i="11"/>
  <c r="Y1108" i="11"/>
  <c r="Y1109" i="11"/>
  <c r="Y1110" i="11"/>
  <c r="Y1111" i="11"/>
  <c r="Y1112" i="11"/>
  <c r="Y1113" i="11"/>
  <c r="Y1114" i="11"/>
  <c r="Y1115" i="11"/>
  <c r="Y1116" i="11"/>
  <c r="Y1117" i="11"/>
  <c r="Y1118" i="11"/>
  <c r="Y1119" i="11"/>
  <c r="Y1120" i="11"/>
  <c r="Y1121" i="11"/>
  <c r="Y1122" i="11"/>
  <c r="Y1123" i="11"/>
  <c r="Y1124" i="11"/>
  <c r="Y1125" i="11"/>
  <c r="Y1126" i="11"/>
  <c r="Y1127" i="11"/>
  <c r="Y1128" i="11"/>
  <c r="Y1129" i="11"/>
  <c r="Y1130" i="11"/>
  <c r="Y1131" i="11"/>
  <c r="Y1132" i="11"/>
  <c r="Y1133" i="11"/>
  <c r="Y1134" i="11"/>
  <c r="Y1135" i="11"/>
  <c r="Y1136" i="11"/>
  <c r="Y1137" i="11"/>
  <c r="Y1138" i="11"/>
  <c r="Y1139" i="11"/>
  <c r="Y1140" i="11"/>
  <c r="Y1141" i="11"/>
  <c r="Y1142" i="11"/>
  <c r="Y1143" i="11"/>
  <c r="Y1144" i="11"/>
  <c r="Y1145" i="11"/>
  <c r="Y1146" i="11"/>
  <c r="Y1147" i="11"/>
  <c r="Y1148" i="11"/>
  <c r="Y1149" i="11"/>
  <c r="Y1150" i="11"/>
  <c r="Y1151" i="11"/>
  <c r="Y1152" i="11"/>
  <c r="Y1153" i="11"/>
  <c r="Y1154" i="11"/>
  <c r="Y1155" i="11"/>
  <c r="Y1156" i="11"/>
  <c r="Y1157" i="11"/>
  <c r="Y1158" i="11"/>
  <c r="Y1159" i="11"/>
  <c r="Y1160" i="11"/>
  <c r="Y1161" i="11"/>
  <c r="Y1162" i="11"/>
  <c r="Y1163" i="11"/>
  <c r="Y1164" i="11"/>
  <c r="Y1165" i="11"/>
  <c r="Y1166" i="11"/>
  <c r="Y1167" i="11"/>
  <c r="Y1168" i="11"/>
  <c r="Y1169" i="11"/>
  <c r="Y1170" i="11"/>
  <c r="Y1171" i="11"/>
  <c r="Y1172" i="11"/>
  <c r="Y1173" i="11"/>
  <c r="Y1174" i="11"/>
  <c r="Y1175" i="11"/>
  <c r="Y1176" i="11"/>
  <c r="Y1177" i="11"/>
  <c r="Y1178" i="11"/>
  <c r="Y1179" i="11"/>
  <c r="Y1180" i="11"/>
  <c r="Y1181" i="11"/>
  <c r="Y1182" i="11"/>
  <c r="Y1183" i="11"/>
  <c r="Y1184" i="11"/>
  <c r="Y1185" i="11"/>
  <c r="Y1186" i="11"/>
  <c r="Y1187" i="11"/>
  <c r="Y1188" i="11"/>
  <c r="Y1189" i="11"/>
  <c r="Y1190" i="11"/>
  <c r="Y1191" i="11"/>
  <c r="Y1192" i="11"/>
  <c r="Y1193" i="11"/>
  <c r="Y1194" i="11"/>
  <c r="Y1195" i="11"/>
  <c r="Y1196" i="11"/>
  <c r="Y1197" i="11"/>
  <c r="Y1198" i="11"/>
  <c r="Y1199" i="11"/>
  <c r="Y1200" i="11"/>
  <c r="Y1201" i="11"/>
  <c r="Y1202" i="11"/>
  <c r="Y1203" i="11"/>
  <c r="Y1204" i="11"/>
  <c r="Y1205" i="11"/>
  <c r="Y1206" i="11"/>
  <c r="Y1207" i="11"/>
  <c r="Y1208" i="11"/>
  <c r="Y1209" i="11"/>
  <c r="Y1210" i="11"/>
  <c r="Y1211" i="11"/>
  <c r="Y1212" i="11"/>
  <c r="Y1213" i="11"/>
  <c r="Y1214" i="11"/>
  <c r="Y1215" i="11"/>
  <c r="Y1216" i="11"/>
  <c r="Y1217" i="11"/>
  <c r="Y1218" i="11"/>
  <c r="Y1219" i="11"/>
  <c r="Y1220" i="11"/>
  <c r="Y1221" i="11"/>
  <c r="Y1222" i="11"/>
  <c r="Y1223" i="11"/>
  <c r="Y1224" i="11"/>
  <c r="Y1225" i="11"/>
  <c r="Y1226" i="11"/>
  <c r="Y1227" i="11"/>
  <c r="Y1228" i="11"/>
  <c r="Y1229" i="11"/>
  <c r="Y1230" i="11"/>
  <c r="Y1231" i="11"/>
  <c r="Y1232" i="11"/>
  <c r="Y1233" i="11"/>
  <c r="Y1234" i="11"/>
  <c r="Y1235" i="11"/>
  <c r="Y1236" i="11"/>
  <c r="Y1237" i="11"/>
  <c r="Y1238" i="11"/>
  <c r="Y1239" i="11"/>
  <c r="Y1240" i="11"/>
  <c r="Y1241" i="11"/>
  <c r="Y1242" i="11"/>
  <c r="Y1243" i="11"/>
  <c r="Y1244" i="11"/>
  <c r="Y1245" i="11"/>
  <c r="Y1246" i="11"/>
  <c r="Y1247" i="11"/>
  <c r="Y1248" i="11"/>
  <c r="Y1249" i="11"/>
  <c r="Y1250" i="11"/>
  <c r="Y1251" i="11"/>
  <c r="Y1252" i="11"/>
  <c r="Y1253" i="11"/>
  <c r="Y1254" i="11"/>
  <c r="Y1255" i="11"/>
  <c r="Y1256" i="11"/>
  <c r="Y1257" i="11"/>
  <c r="Y1258" i="11"/>
  <c r="Y1259" i="11"/>
  <c r="Y1260" i="11"/>
  <c r="Y1261" i="11"/>
  <c r="Y1262" i="11"/>
  <c r="Y1263" i="11"/>
  <c r="Y1264" i="11"/>
  <c r="Y1265" i="11"/>
  <c r="Y1266" i="11"/>
  <c r="Y1267" i="11"/>
  <c r="Y1268" i="11"/>
  <c r="Y1269" i="11"/>
  <c r="Y1270" i="11"/>
  <c r="Y1271" i="11"/>
  <c r="Y1272" i="11"/>
  <c r="Y1273" i="11"/>
  <c r="Y1274" i="11"/>
  <c r="Y1275" i="11"/>
  <c r="Y1276" i="11"/>
  <c r="Y1277" i="11"/>
  <c r="Y1278" i="11"/>
  <c r="Y1279" i="11"/>
  <c r="Y1280" i="11"/>
  <c r="Y1281" i="11"/>
  <c r="Y1282" i="11"/>
  <c r="Y1283" i="11"/>
  <c r="Y1284" i="11"/>
  <c r="Y1285" i="11"/>
  <c r="Y1286" i="11"/>
  <c r="Y1287" i="11"/>
  <c r="Y1288" i="11"/>
  <c r="Y1289" i="11"/>
  <c r="Y1290" i="11"/>
  <c r="Y1291" i="11"/>
  <c r="Y1292" i="11"/>
  <c r="Y1293" i="11"/>
  <c r="Y1294" i="11"/>
  <c r="Y1295" i="11"/>
  <c r="Y1296" i="11"/>
  <c r="Y1297" i="11"/>
  <c r="Y1298" i="11"/>
  <c r="Y1299" i="11"/>
  <c r="Y1300" i="11"/>
  <c r="Y1301" i="11"/>
  <c r="Y1302" i="11"/>
  <c r="Y1303" i="11"/>
  <c r="Y1304" i="11"/>
  <c r="Y1305" i="11"/>
  <c r="Y1306" i="11"/>
  <c r="Y1307" i="11"/>
  <c r="Y1308" i="11"/>
  <c r="Y1309" i="11"/>
  <c r="Y1310" i="11"/>
  <c r="Y1311" i="11"/>
  <c r="Y1312" i="11"/>
  <c r="Y1313" i="11"/>
  <c r="Y1314" i="11"/>
  <c r="Y1315" i="11"/>
  <c r="Y1316" i="11"/>
  <c r="Y1317" i="11"/>
  <c r="Y1318" i="11"/>
  <c r="Y1319" i="11"/>
  <c r="Y1320" i="11"/>
  <c r="Y1321" i="11"/>
  <c r="Y1322" i="11"/>
  <c r="Y1323" i="11"/>
  <c r="Y1324" i="11"/>
  <c r="Y1325" i="11"/>
  <c r="Y1326" i="11"/>
  <c r="Y1327" i="11"/>
  <c r="Y1328" i="11"/>
  <c r="Y1329" i="11"/>
  <c r="Y1330" i="11"/>
  <c r="Y1331" i="11"/>
  <c r="Y1332" i="11"/>
  <c r="Y1333" i="11"/>
  <c r="Y1334" i="11"/>
  <c r="Y1335" i="11"/>
  <c r="Y1336" i="11"/>
  <c r="Y1337" i="11"/>
  <c r="Y1338" i="11"/>
  <c r="Y1339" i="11"/>
  <c r="Y1340" i="11"/>
  <c r="Y1341" i="11"/>
  <c r="Y1342" i="11"/>
  <c r="Y1343" i="11"/>
  <c r="Y1344" i="11"/>
  <c r="Y1345" i="11"/>
  <c r="Y1346" i="11"/>
  <c r="Y1347" i="11"/>
  <c r="Y1348" i="11"/>
  <c r="Y1349" i="11"/>
  <c r="Y1350" i="11"/>
  <c r="Y1351" i="11"/>
  <c r="Y1352" i="11"/>
  <c r="Y1353" i="11"/>
  <c r="Y1354" i="11"/>
  <c r="Y1355" i="11"/>
  <c r="Y1356" i="11"/>
  <c r="Y1357" i="11"/>
  <c r="Y1358" i="11"/>
  <c r="Y1359" i="11"/>
  <c r="Y1360" i="11"/>
  <c r="Y1361" i="11"/>
  <c r="Y1362" i="11"/>
  <c r="Y1363" i="11"/>
  <c r="Y1364" i="11"/>
  <c r="Y1365" i="11"/>
  <c r="Y1366" i="11"/>
  <c r="Y1367" i="11"/>
  <c r="Y1368" i="11"/>
  <c r="Y1369" i="11"/>
  <c r="Y1370" i="11"/>
  <c r="Y1371" i="11"/>
  <c r="Y1372" i="11"/>
  <c r="Y1373" i="11"/>
  <c r="Y1374" i="11"/>
  <c r="Y1375" i="11"/>
  <c r="Y1376" i="11"/>
  <c r="Y1377" i="11"/>
  <c r="Y1378" i="11"/>
  <c r="Y1379" i="11"/>
  <c r="Y1380" i="11"/>
  <c r="Y1381" i="11"/>
  <c r="Y1382" i="11"/>
  <c r="Y1383" i="11"/>
  <c r="Y1384" i="11"/>
  <c r="Y1385" i="11"/>
  <c r="Y1386" i="11"/>
  <c r="Y1387" i="11"/>
  <c r="Y1388" i="11"/>
  <c r="Y1389" i="11"/>
  <c r="Y1390" i="11"/>
  <c r="Y1391" i="11"/>
  <c r="Y1392" i="11"/>
  <c r="Y1393" i="11"/>
  <c r="Y1394" i="11"/>
  <c r="Y1395" i="11"/>
  <c r="Y1396" i="11"/>
  <c r="Y1397" i="11"/>
  <c r="Y1398" i="11"/>
  <c r="Y1399" i="11"/>
  <c r="Y1400" i="11"/>
  <c r="Y1401" i="11"/>
  <c r="Y1402" i="11"/>
  <c r="Y1403" i="11"/>
  <c r="Y1404" i="11"/>
  <c r="Y1405" i="11"/>
  <c r="Y1406" i="11"/>
  <c r="Y1407" i="11"/>
  <c r="Y1408" i="11"/>
  <c r="Y1409" i="11"/>
  <c r="Y1410" i="11"/>
  <c r="Y1411" i="11"/>
  <c r="Y1412" i="11"/>
  <c r="Y1413" i="11"/>
  <c r="Y1414" i="11"/>
  <c r="Y1415" i="11"/>
  <c r="Y1416" i="11"/>
  <c r="Y1417" i="11"/>
  <c r="Y1418" i="11"/>
  <c r="Y1419" i="11"/>
  <c r="Y1420" i="11"/>
  <c r="Y1421" i="11"/>
  <c r="Y1422" i="11"/>
  <c r="Y1423" i="11"/>
  <c r="Y1424" i="11"/>
  <c r="Y1425" i="11"/>
  <c r="Y1426" i="11"/>
  <c r="Y1427" i="11"/>
  <c r="Y1428" i="11"/>
  <c r="Y1429" i="11"/>
  <c r="Y1430" i="11"/>
  <c r="Y1431" i="11"/>
  <c r="Y1432" i="11"/>
  <c r="Y1433" i="11"/>
  <c r="Y1434" i="11"/>
  <c r="Y1435" i="11"/>
  <c r="Y1436" i="11"/>
  <c r="Y1437" i="11"/>
  <c r="Y1438" i="11"/>
  <c r="Y1439" i="11"/>
  <c r="Y1440" i="11"/>
  <c r="Y1441" i="11"/>
  <c r="Y1442" i="11"/>
  <c r="Y1443" i="11"/>
  <c r="Y1444" i="11"/>
  <c r="Y1445" i="11"/>
  <c r="Y1446" i="11"/>
  <c r="Y1447" i="11"/>
  <c r="Y1448" i="11"/>
  <c r="Y1449" i="11"/>
  <c r="Y1450" i="11"/>
  <c r="Y1451" i="11"/>
  <c r="Y1452" i="11"/>
  <c r="Y1453" i="11"/>
  <c r="Y1454" i="11"/>
  <c r="Y1455" i="11"/>
  <c r="Y1456" i="11"/>
  <c r="Y1457" i="11"/>
  <c r="Y1458" i="11"/>
  <c r="Y1459" i="11"/>
  <c r="Y1460" i="11"/>
  <c r="Y1461" i="11"/>
  <c r="Y1462" i="11"/>
  <c r="Y1463" i="11"/>
  <c r="Y1464" i="11"/>
  <c r="Y1465" i="11"/>
  <c r="Y1466" i="11"/>
  <c r="Y1467" i="11"/>
  <c r="Y1468" i="11"/>
  <c r="Y1469" i="11"/>
  <c r="Y1470" i="11"/>
  <c r="Y1471" i="11"/>
  <c r="Y1472" i="11"/>
  <c r="Y1473" i="11"/>
  <c r="Y1474" i="11"/>
  <c r="Y1475" i="11"/>
  <c r="Y1476" i="11"/>
  <c r="Y1477" i="11"/>
  <c r="Y1478" i="11"/>
  <c r="Y1479" i="11"/>
  <c r="Y1480" i="11"/>
  <c r="Y1481" i="11"/>
  <c r="Y1482" i="11"/>
  <c r="Y1483" i="11"/>
  <c r="Y1484" i="11"/>
  <c r="Y1485" i="11"/>
  <c r="Y1486" i="11"/>
  <c r="Y1487" i="11"/>
  <c r="Y1488" i="11"/>
  <c r="Y1489" i="11"/>
  <c r="Y1490" i="11"/>
  <c r="Y1491" i="11"/>
  <c r="Y1492" i="11"/>
  <c r="Y1493" i="11"/>
  <c r="Y1494" i="11"/>
  <c r="Y1495" i="11"/>
  <c r="Y1496" i="11"/>
  <c r="Y1497" i="11"/>
  <c r="Y1498" i="11"/>
  <c r="Y1499" i="11"/>
  <c r="Y1500" i="11"/>
  <c r="Y1501" i="11"/>
  <c r="Y1502" i="11"/>
  <c r="Y1503" i="11"/>
  <c r="Y1504" i="11"/>
  <c r="Y1505" i="11"/>
  <c r="Y1506" i="11"/>
  <c r="Y1507" i="11"/>
  <c r="Y1508" i="11"/>
  <c r="Y1509" i="11"/>
  <c r="Y1510" i="11"/>
  <c r="Y1511" i="11"/>
  <c r="Y1512" i="11"/>
  <c r="Y1513" i="11"/>
  <c r="Y1514" i="11"/>
  <c r="Y1515" i="11"/>
  <c r="Y1516" i="11"/>
  <c r="Y1517" i="11"/>
  <c r="Y1518" i="11"/>
  <c r="Y1519" i="11"/>
  <c r="Y1520" i="11"/>
  <c r="Y1521" i="11"/>
  <c r="Y1522" i="11"/>
  <c r="Y1523" i="11"/>
  <c r="Y1524" i="11"/>
  <c r="Y1525" i="11"/>
  <c r="Y1526" i="11"/>
  <c r="Y1527" i="11"/>
  <c r="Y1528" i="11"/>
  <c r="Y1529" i="11"/>
  <c r="Y1530" i="11"/>
  <c r="Y1531" i="11"/>
  <c r="Y1532" i="11"/>
  <c r="Y1533" i="11"/>
  <c r="Y1534" i="11"/>
  <c r="Y1535" i="11"/>
  <c r="Y1536" i="11"/>
  <c r="Y1537" i="11"/>
  <c r="Y1538" i="11"/>
  <c r="Y1539" i="11"/>
  <c r="Y1540" i="11"/>
  <c r="Y1541" i="11"/>
  <c r="Y1542" i="11"/>
  <c r="Y1543" i="11"/>
  <c r="Y1544" i="11"/>
  <c r="Y1545" i="11"/>
  <c r="Y1546" i="11"/>
  <c r="Y1547" i="11"/>
  <c r="Y1548" i="11"/>
  <c r="Y1549" i="11"/>
  <c r="Y1550" i="11"/>
  <c r="Y1551" i="11"/>
  <c r="Y1552" i="11"/>
  <c r="Y1553" i="11"/>
  <c r="Y1554" i="11"/>
  <c r="Y1555" i="11"/>
  <c r="Y1556" i="11"/>
  <c r="Y1557" i="11"/>
  <c r="Y1558" i="11"/>
  <c r="Y1559" i="11"/>
  <c r="Y1560" i="11"/>
  <c r="Y1561" i="11"/>
  <c r="Y1562" i="11"/>
  <c r="Y1563" i="11"/>
  <c r="Y1564" i="11"/>
  <c r="Y1565" i="11"/>
  <c r="Y1566" i="11"/>
  <c r="Y1567" i="11"/>
  <c r="Y1568" i="11"/>
  <c r="Y1569" i="11"/>
  <c r="Y1570" i="11"/>
  <c r="Y1571" i="11"/>
  <c r="Y1572" i="11"/>
  <c r="Y1573" i="11"/>
  <c r="Y1574" i="11"/>
  <c r="Y1575" i="11"/>
  <c r="Y1576" i="11"/>
  <c r="Y1577" i="11"/>
  <c r="Y1578" i="11"/>
  <c r="Y1579" i="11"/>
  <c r="Y1580" i="11"/>
  <c r="Y1581" i="11"/>
  <c r="Y1582" i="11"/>
  <c r="Y1583" i="11"/>
  <c r="Y1584" i="11"/>
  <c r="Y1585" i="11"/>
  <c r="Y1586" i="11"/>
  <c r="Y1587" i="11"/>
  <c r="Y1588" i="11"/>
  <c r="Y1589" i="11"/>
  <c r="Y1590" i="11"/>
  <c r="Y1591" i="11"/>
  <c r="Y1592" i="11"/>
  <c r="Y1593" i="11"/>
  <c r="Y1594" i="11"/>
  <c r="Y1595" i="11"/>
  <c r="Y1596" i="11"/>
  <c r="Y1597" i="11"/>
  <c r="Y1598" i="11"/>
  <c r="Y1599" i="11"/>
  <c r="Y1600" i="11"/>
  <c r="Y1601" i="11"/>
  <c r="Y1602" i="11"/>
  <c r="Y1603" i="11"/>
  <c r="Y1604" i="11"/>
  <c r="Y1605" i="11"/>
  <c r="Y1606" i="11"/>
  <c r="Y1607" i="11"/>
  <c r="Y1608" i="11"/>
  <c r="Y1609" i="11"/>
  <c r="Y1610" i="11"/>
  <c r="Y1611" i="11"/>
  <c r="Y1612" i="11"/>
  <c r="Y1613" i="11"/>
  <c r="Y1614" i="11"/>
  <c r="Y1615" i="11"/>
  <c r="Y1616" i="11"/>
  <c r="Y1617" i="11"/>
  <c r="Y1618" i="11"/>
  <c r="Y1619" i="11"/>
  <c r="Y1620" i="11"/>
  <c r="Y1621" i="11"/>
  <c r="Y1622" i="11"/>
  <c r="Y1623" i="11"/>
  <c r="Y1624" i="11"/>
  <c r="Y1625" i="11"/>
  <c r="Y1626" i="11"/>
  <c r="Y1627" i="11"/>
  <c r="Y1628" i="11"/>
  <c r="Y1629" i="11"/>
  <c r="Y1630" i="11"/>
  <c r="Y1631" i="11"/>
  <c r="Y1632" i="11"/>
  <c r="Y1633" i="11"/>
  <c r="Y1634" i="11"/>
  <c r="Y1635" i="11"/>
  <c r="Y1636" i="11"/>
  <c r="Y1637" i="11"/>
  <c r="Y1638" i="11"/>
  <c r="Y1639" i="11"/>
  <c r="Y1640" i="11"/>
  <c r="Y1641" i="11"/>
  <c r="Y1642" i="11"/>
  <c r="Y1643" i="11"/>
  <c r="Y1644" i="11"/>
  <c r="Y1645" i="11"/>
  <c r="Y1646" i="11"/>
  <c r="Y1647" i="11"/>
  <c r="Y1648" i="11"/>
  <c r="Y1649" i="11"/>
  <c r="Y1650" i="11"/>
  <c r="Y1651" i="11"/>
  <c r="Y1652" i="11"/>
  <c r="Y1653" i="11"/>
  <c r="Y1654" i="11"/>
  <c r="Y1655" i="11"/>
  <c r="Y1656" i="11"/>
  <c r="Y1657" i="11"/>
  <c r="Y1658" i="11"/>
  <c r="Y1659" i="11"/>
  <c r="Y1660" i="11"/>
  <c r="Y1661" i="11"/>
  <c r="Y1662" i="11"/>
  <c r="Y1663" i="11"/>
  <c r="Y1664" i="11"/>
  <c r="Y1665" i="11"/>
  <c r="Y1666" i="11"/>
  <c r="Y1667" i="11"/>
  <c r="Y1668" i="11"/>
  <c r="Y1669" i="11"/>
  <c r="Y1670" i="11"/>
  <c r="Y1671" i="11"/>
  <c r="Y1672" i="11"/>
  <c r="Y1673" i="11"/>
  <c r="Y1674" i="11"/>
  <c r="Y1675" i="11"/>
  <c r="Y1676" i="11"/>
  <c r="Y1677" i="11"/>
  <c r="Y1678" i="11"/>
  <c r="Y1679" i="11"/>
  <c r="Y1680" i="11"/>
  <c r="Y1681" i="11"/>
  <c r="Y1682" i="11"/>
  <c r="Y1683" i="11"/>
  <c r="Y1684" i="11"/>
  <c r="Y1685" i="11"/>
  <c r="Y1686" i="11"/>
  <c r="Y1687" i="11"/>
  <c r="Y1688" i="11"/>
  <c r="Y1689" i="11"/>
  <c r="Y1690" i="11"/>
  <c r="Y1691" i="11"/>
  <c r="Y1692" i="11"/>
  <c r="Y1693" i="11"/>
  <c r="Y1694" i="11"/>
  <c r="Y1695" i="11"/>
  <c r="Y1696" i="11"/>
  <c r="Y1697" i="11"/>
  <c r="Y1698" i="11"/>
  <c r="Y1699" i="11"/>
  <c r="Y1700" i="11"/>
  <c r="Y1701" i="11"/>
  <c r="Y1702" i="11"/>
  <c r="Y1703" i="11"/>
  <c r="Y1704" i="11"/>
  <c r="Y1705" i="11"/>
  <c r="Y1706" i="11"/>
  <c r="Y1707" i="11"/>
  <c r="Y1708" i="11"/>
  <c r="Y1709" i="11"/>
  <c r="Y1710" i="11"/>
  <c r="Y1711" i="11"/>
  <c r="Y1712" i="11"/>
  <c r="Y1713" i="11"/>
  <c r="Y1714" i="11"/>
  <c r="Y1715" i="11"/>
  <c r="Y1716" i="11"/>
  <c r="Y1717" i="11"/>
  <c r="Y1718" i="11"/>
  <c r="Y1719" i="11"/>
  <c r="Y1720" i="11"/>
  <c r="Y1721" i="11"/>
  <c r="Y1722" i="11"/>
  <c r="Y1723" i="11"/>
  <c r="Y1724" i="11"/>
  <c r="Y1725" i="11"/>
  <c r="Y1726" i="11"/>
  <c r="Y1727" i="11"/>
  <c r="Y1728" i="11"/>
  <c r="Y1729" i="11"/>
  <c r="Y1730" i="11"/>
  <c r="Y1731" i="11"/>
  <c r="Y1732" i="11"/>
  <c r="Y1733" i="11"/>
  <c r="Y1734" i="11"/>
  <c r="Y1735" i="11"/>
  <c r="Y1736" i="11"/>
  <c r="Y1737" i="11"/>
  <c r="Y1738" i="11"/>
  <c r="Y1739" i="11"/>
  <c r="Y1740" i="11"/>
  <c r="Y1741" i="11"/>
  <c r="Y1742" i="11"/>
  <c r="Y1743" i="11"/>
  <c r="Y1744" i="11"/>
  <c r="Y1745" i="11"/>
  <c r="Y1746" i="11"/>
  <c r="Y1747" i="11"/>
  <c r="Y1748" i="11"/>
  <c r="Y1749" i="11"/>
  <c r="Y1750" i="11"/>
  <c r="Y1751" i="11"/>
  <c r="Y1752" i="11"/>
  <c r="Y1753" i="11"/>
  <c r="Y1754" i="11"/>
  <c r="Y1755" i="11"/>
  <c r="Y1756" i="11"/>
  <c r="Y1757" i="11"/>
  <c r="Y1758" i="11"/>
  <c r="Y1759" i="11"/>
  <c r="Y1760" i="11"/>
  <c r="Y1761" i="11"/>
  <c r="Y1762" i="11"/>
  <c r="Y1763" i="11"/>
  <c r="Y1764" i="11"/>
  <c r="Y1765" i="11"/>
  <c r="Y1766" i="11"/>
  <c r="Y1767" i="11"/>
  <c r="Y1768" i="11"/>
  <c r="Y1769" i="11"/>
  <c r="Y1770" i="11"/>
  <c r="Y1771" i="11"/>
  <c r="Y1772" i="11"/>
  <c r="Y1773" i="11"/>
  <c r="Y1774" i="11"/>
  <c r="Y1775" i="11"/>
  <c r="Y1776" i="11"/>
  <c r="Y1777" i="11"/>
  <c r="Y1778" i="11"/>
  <c r="Y1779" i="11"/>
  <c r="Y1780" i="11"/>
  <c r="Y1781" i="11"/>
  <c r="Y1782" i="11"/>
  <c r="Y1783" i="11"/>
  <c r="Y1784" i="11"/>
  <c r="Y1785" i="11"/>
  <c r="Y1786" i="11"/>
  <c r="Y1787" i="11"/>
  <c r="Y1788" i="11"/>
  <c r="Y1789" i="11"/>
  <c r="Y1790" i="11"/>
  <c r="Y1791" i="11"/>
  <c r="Y1792" i="11"/>
  <c r="Y1793" i="11"/>
  <c r="Y1794" i="11"/>
  <c r="Y1795" i="11"/>
  <c r="Y1796" i="11"/>
  <c r="Y1797" i="11"/>
  <c r="Y1798" i="11"/>
  <c r="Y1799" i="11"/>
  <c r="Y1800" i="11"/>
  <c r="Y1801" i="11"/>
  <c r="Y1802" i="11"/>
  <c r="Y1803" i="11"/>
  <c r="Y1804" i="11"/>
  <c r="Y1805" i="11"/>
  <c r="Y1806" i="11"/>
  <c r="Y1807" i="11"/>
  <c r="Y1808" i="11"/>
  <c r="Y1809" i="11"/>
  <c r="Y1810" i="11"/>
  <c r="Y1811" i="11"/>
  <c r="Y1812" i="11"/>
  <c r="Y1813" i="11"/>
  <c r="Y1814" i="11"/>
  <c r="Y1815" i="11"/>
  <c r="Y1816" i="11"/>
  <c r="Y1817" i="11"/>
  <c r="Y1818" i="11"/>
  <c r="Y1819" i="11"/>
  <c r="Y1820" i="11"/>
  <c r="Y1821" i="11"/>
  <c r="Y1822" i="11"/>
  <c r="Y1823" i="11"/>
  <c r="Y1824" i="11"/>
  <c r="Y1825" i="11"/>
  <c r="Y1826" i="11"/>
  <c r="Y1827" i="11"/>
  <c r="Y1828" i="11"/>
  <c r="Y1829" i="11"/>
  <c r="Y1830" i="11"/>
  <c r="Y1831" i="11"/>
  <c r="Y1832" i="11"/>
  <c r="Y1833" i="11"/>
  <c r="Y1834" i="11"/>
  <c r="Y1835" i="11"/>
  <c r="Y1836" i="11"/>
  <c r="Y1837" i="11"/>
  <c r="Y1838" i="11"/>
  <c r="Y1839" i="11"/>
  <c r="Y1840" i="11"/>
  <c r="Y1841" i="11"/>
  <c r="Y1842" i="11"/>
  <c r="Y1843" i="11"/>
  <c r="Y1844" i="11"/>
  <c r="Y1845" i="11"/>
  <c r="Y1846" i="11"/>
  <c r="Y1847" i="11"/>
  <c r="Y1848" i="11"/>
  <c r="Y1849" i="11"/>
  <c r="Y1850" i="11"/>
  <c r="Y1851" i="11"/>
  <c r="Y1852" i="11"/>
  <c r="Y1853" i="11"/>
  <c r="Y1854" i="11"/>
  <c r="Y1855" i="11"/>
  <c r="Y1856" i="11"/>
  <c r="Y1857" i="11"/>
  <c r="Y1858" i="11"/>
  <c r="Y1859" i="11"/>
  <c r="Y1860" i="11"/>
  <c r="Y1861" i="11"/>
  <c r="Y1862" i="11"/>
  <c r="Y1863" i="11"/>
  <c r="Y1864" i="11"/>
  <c r="Y1865" i="11"/>
  <c r="Y1866" i="11"/>
  <c r="Y1867" i="11"/>
  <c r="Y1868" i="11"/>
  <c r="Y1869" i="11"/>
  <c r="Y1870" i="11"/>
  <c r="Y1871" i="11"/>
  <c r="Y1872" i="11"/>
  <c r="Y1873" i="11"/>
  <c r="Y1874" i="11"/>
  <c r="Y1875" i="11"/>
  <c r="Y1876" i="11"/>
  <c r="Y1877" i="11"/>
  <c r="Y1878" i="11"/>
  <c r="Y1879" i="11"/>
  <c r="Y1880" i="11"/>
  <c r="Y1881" i="11"/>
  <c r="Y1882" i="11"/>
  <c r="Y1883" i="11"/>
  <c r="Y1884" i="11"/>
  <c r="Y1885" i="11"/>
  <c r="Y1886" i="11"/>
  <c r="Y1887" i="11"/>
  <c r="Y1888" i="11"/>
  <c r="Y1889" i="11"/>
  <c r="Y1890" i="11"/>
  <c r="Y1891" i="11"/>
  <c r="Y1892" i="11"/>
  <c r="Y1893" i="11"/>
  <c r="Y1894" i="11"/>
  <c r="Y1895" i="11"/>
  <c r="Y1896" i="11"/>
  <c r="Y1897" i="11"/>
  <c r="Y1898" i="11"/>
  <c r="Y1899" i="11"/>
  <c r="Y1900" i="11"/>
  <c r="Y1901" i="11"/>
  <c r="Y1902" i="11"/>
  <c r="Y1903" i="11"/>
  <c r="Y1904" i="11"/>
  <c r="Y1905" i="11"/>
  <c r="Y1906" i="11"/>
  <c r="Y1907" i="11"/>
  <c r="Y1908" i="11"/>
  <c r="Y1909" i="11"/>
  <c r="Y1910" i="11"/>
  <c r="Y1911" i="11"/>
  <c r="Y1912" i="11"/>
  <c r="Y1913" i="11"/>
  <c r="Y1914" i="11"/>
  <c r="Y1915" i="11"/>
  <c r="Y1916" i="11"/>
  <c r="Y1917" i="11"/>
  <c r="Y1918" i="11"/>
  <c r="Y1919" i="11"/>
  <c r="Y1920" i="11"/>
  <c r="Y1921" i="11"/>
  <c r="Y1922" i="11"/>
  <c r="Y1923" i="11"/>
  <c r="Y1924" i="11"/>
  <c r="Y1925" i="11"/>
  <c r="Y1926" i="11"/>
  <c r="Y1927" i="11"/>
  <c r="Y1928" i="11"/>
  <c r="Y1929" i="11"/>
  <c r="Y1930" i="11"/>
  <c r="Y1931" i="11"/>
  <c r="Y1932" i="11"/>
  <c r="Y1933" i="11"/>
  <c r="Y1934" i="11"/>
  <c r="Y1935" i="11"/>
  <c r="Y1936" i="11"/>
  <c r="Y1937" i="11"/>
  <c r="Y1938" i="11"/>
  <c r="Y1939" i="11"/>
  <c r="Y1940" i="11"/>
  <c r="Y1941" i="11"/>
  <c r="Y1942" i="11"/>
  <c r="Y1943" i="11"/>
  <c r="Y1944" i="11"/>
  <c r="Y1945" i="11"/>
  <c r="Y1946" i="11"/>
  <c r="Y1947" i="11"/>
  <c r="Y1948" i="11"/>
  <c r="Y1949" i="11"/>
  <c r="Y1950" i="11"/>
  <c r="Y1951" i="11"/>
  <c r="Y1952" i="11"/>
  <c r="Y1953" i="11"/>
  <c r="Y1954" i="11"/>
  <c r="Y1955" i="11"/>
  <c r="Y1956" i="11"/>
  <c r="Y1957" i="11"/>
  <c r="Y1958" i="11"/>
  <c r="Y1959" i="11"/>
  <c r="Y1960" i="11"/>
  <c r="Y1961" i="11"/>
  <c r="Y1962" i="11"/>
  <c r="Y1963" i="11"/>
  <c r="Y1964" i="11"/>
  <c r="Y1965" i="11"/>
  <c r="Y1966" i="11"/>
  <c r="Y1967" i="11"/>
  <c r="Y1968" i="11"/>
  <c r="Y1969" i="11"/>
  <c r="Y1970" i="11"/>
  <c r="Y1971" i="11"/>
  <c r="Y1972" i="11"/>
  <c r="Y1973" i="11"/>
  <c r="Y1974" i="11"/>
  <c r="Y1975" i="11"/>
  <c r="Y1976" i="11"/>
  <c r="Y1977" i="11"/>
  <c r="Y1978" i="11"/>
  <c r="Y1979" i="11"/>
  <c r="Y1980" i="11"/>
  <c r="Y1981" i="11"/>
  <c r="Y1982" i="11"/>
  <c r="Y1983" i="11"/>
  <c r="Y1984" i="11"/>
  <c r="Y1985" i="11"/>
  <c r="Y1986" i="11"/>
  <c r="Y1987" i="11"/>
  <c r="Y1988" i="11"/>
  <c r="Y1989" i="11"/>
  <c r="Y1990" i="11"/>
  <c r="Y1991" i="11"/>
  <c r="Y1992" i="11"/>
  <c r="Y1993" i="11"/>
  <c r="Y1994" i="11"/>
  <c r="Y1995" i="11"/>
  <c r="Y1996" i="11"/>
  <c r="Y1997" i="11"/>
  <c r="Y1998" i="11"/>
  <c r="Y1999" i="11"/>
  <c r="Y2000" i="11"/>
  <c r="Y2001" i="11"/>
  <c r="Y2002" i="11"/>
  <c r="Y2003" i="11"/>
  <c r="Y2004" i="11"/>
  <c r="Y2005" i="11"/>
  <c r="Y2006" i="11"/>
  <c r="Y2007" i="11"/>
  <c r="Y2008" i="11"/>
  <c r="Y2009" i="11"/>
  <c r="Y2010" i="11"/>
  <c r="Y2011" i="11"/>
  <c r="Y2012" i="11"/>
  <c r="Y2013" i="11"/>
  <c r="Y2014" i="11"/>
  <c r="Y2015" i="11"/>
  <c r="Y2016" i="11"/>
  <c r="Y2017" i="11"/>
  <c r="Y2018" i="11"/>
  <c r="Y2019" i="11"/>
  <c r="Y2020" i="11"/>
  <c r="Y2021" i="11"/>
  <c r="Y2022" i="11"/>
  <c r="Y2023" i="11"/>
  <c r="Y2024" i="11"/>
  <c r="Y2025" i="11"/>
  <c r="Y2026" i="11"/>
  <c r="Y2027" i="11"/>
  <c r="Y2028" i="11"/>
  <c r="Y2029" i="11"/>
  <c r="Y2030" i="11"/>
  <c r="Y2031" i="11"/>
  <c r="Y2032" i="11"/>
  <c r="Y2033" i="11"/>
  <c r="Y2034" i="11"/>
  <c r="Y2035" i="11"/>
  <c r="Y2036" i="11"/>
  <c r="Y2037" i="11"/>
  <c r="Y2038" i="11"/>
  <c r="Y2039" i="11"/>
  <c r="Y2040" i="11"/>
  <c r="Y2041" i="11"/>
  <c r="Y2042" i="11"/>
  <c r="Y2043" i="11"/>
  <c r="Y2044" i="11"/>
  <c r="Y2045" i="11"/>
  <c r="Y2046" i="11"/>
  <c r="Y2047" i="11"/>
  <c r="Y2048" i="11"/>
  <c r="Y2049" i="11"/>
  <c r="Y2050" i="11"/>
  <c r="Y2051" i="11"/>
  <c r="Y2052" i="11"/>
  <c r="Y2053" i="11"/>
  <c r="Y2054" i="11"/>
  <c r="Y2055" i="11"/>
  <c r="Y2056" i="11"/>
  <c r="Y2057" i="11"/>
  <c r="Y2058" i="11"/>
  <c r="Y2059" i="11"/>
  <c r="Y2060" i="11"/>
  <c r="Y2061" i="11"/>
  <c r="Y2062" i="11"/>
  <c r="Y2063" i="11"/>
  <c r="Y2064" i="11"/>
  <c r="Y2065" i="11"/>
  <c r="Y2066" i="11"/>
  <c r="Y2067" i="11"/>
  <c r="Y2068" i="11"/>
  <c r="Y2069" i="11"/>
  <c r="Y2070" i="11"/>
  <c r="Y2071" i="11"/>
  <c r="Y2072" i="11"/>
  <c r="Y2073" i="11"/>
  <c r="Y2074" i="11"/>
  <c r="Y2075" i="11"/>
  <c r="Y2076" i="11"/>
  <c r="Y2077" i="11"/>
  <c r="Y2078" i="11"/>
  <c r="Y2079" i="11"/>
  <c r="Y2080" i="11"/>
  <c r="Y2081" i="11"/>
  <c r="Y2082" i="11"/>
  <c r="Y2083" i="11"/>
  <c r="Y2084" i="11"/>
  <c r="Y2085" i="11"/>
  <c r="Y2086" i="11"/>
  <c r="Y2087" i="11"/>
  <c r="Y2088" i="11"/>
  <c r="Y2089" i="11"/>
  <c r="Y2090" i="11"/>
  <c r="Y2091" i="11"/>
  <c r="Y2092" i="11"/>
  <c r="Y2093" i="11"/>
  <c r="Y2094" i="11"/>
  <c r="Y2095" i="11"/>
  <c r="Y2096" i="11"/>
  <c r="Y2097" i="11"/>
  <c r="Y2098" i="11"/>
  <c r="Y2099" i="11"/>
  <c r="Y2100" i="11"/>
  <c r="Y2101" i="11"/>
  <c r="Y2102" i="11"/>
  <c r="Y2103" i="11"/>
  <c r="Y2104" i="11"/>
  <c r="Y2105" i="11"/>
  <c r="Y2106" i="11"/>
  <c r="Y2107" i="11"/>
  <c r="Y2108" i="11"/>
  <c r="Y2109" i="11"/>
  <c r="Y2110" i="11"/>
  <c r="Y2111" i="11"/>
  <c r="Y2112" i="11"/>
  <c r="Y2113" i="11"/>
  <c r="Y2114" i="11"/>
  <c r="Y2115" i="11"/>
  <c r="Y2116" i="11"/>
  <c r="Y2117" i="11"/>
  <c r="Y2118" i="11"/>
  <c r="Y2119" i="11"/>
  <c r="Y2120" i="11"/>
  <c r="Y2121" i="11"/>
  <c r="Y2122" i="11"/>
  <c r="Y2123" i="11"/>
  <c r="Y2124" i="11"/>
  <c r="Y2125" i="11"/>
  <c r="Y2126" i="11"/>
  <c r="Y2127" i="11"/>
  <c r="Y2128" i="11"/>
  <c r="Y2129" i="11"/>
  <c r="Y2130" i="11"/>
  <c r="Y2131" i="11"/>
  <c r="Y2132" i="11"/>
  <c r="Y2133" i="11"/>
  <c r="Y2134" i="11"/>
  <c r="Y2135" i="11"/>
  <c r="Y2136" i="11"/>
  <c r="Y2137" i="11"/>
  <c r="Y2138" i="11"/>
  <c r="Y2139" i="11"/>
  <c r="Y2140" i="11"/>
  <c r="Y2141" i="11"/>
  <c r="Y2142" i="11"/>
  <c r="Y2143" i="11"/>
  <c r="Y2144" i="11"/>
  <c r="Y2145" i="11"/>
  <c r="Y2146" i="11"/>
  <c r="Y2147" i="11"/>
  <c r="Y2148" i="11"/>
  <c r="Y2149" i="11"/>
  <c r="Y2150" i="11"/>
  <c r="Y2151" i="11"/>
  <c r="Y2152" i="11"/>
  <c r="Y2153" i="11"/>
  <c r="Y2154" i="11"/>
  <c r="Y2155" i="11"/>
  <c r="Y2156" i="11"/>
  <c r="Y2157" i="11"/>
  <c r="Y2158" i="11"/>
  <c r="Y2159" i="11"/>
  <c r="Y2160" i="11"/>
  <c r="Y2161" i="11"/>
  <c r="Y2162" i="11"/>
  <c r="Y2163" i="11"/>
  <c r="Y2164" i="11"/>
  <c r="Y2165" i="11"/>
  <c r="Y2166" i="11"/>
  <c r="Y2167" i="11"/>
  <c r="Y2168" i="11"/>
  <c r="Y2169" i="11"/>
  <c r="Y2170" i="11"/>
  <c r="Y2171" i="11"/>
  <c r="Y2172" i="11"/>
  <c r="Y2173" i="11"/>
  <c r="Y2174" i="11"/>
  <c r="Y2175" i="11"/>
  <c r="Y2176" i="11"/>
  <c r="Y2177" i="11"/>
  <c r="Y2178" i="11"/>
  <c r="Y2179" i="11"/>
  <c r="Y2180" i="11"/>
  <c r="Y2181" i="11"/>
  <c r="Y2182" i="11"/>
  <c r="Y2183" i="11"/>
  <c r="Y2184" i="11"/>
  <c r="Y2185" i="11"/>
  <c r="Y2186" i="11"/>
  <c r="Y2187" i="11"/>
  <c r="Y2188" i="11"/>
  <c r="Y2189" i="11"/>
  <c r="Y2190" i="11"/>
  <c r="Y2191" i="11"/>
  <c r="Y2192" i="11"/>
  <c r="Y2193" i="11"/>
  <c r="Y2194" i="11"/>
  <c r="Y2195" i="11"/>
  <c r="Y2196" i="11"/>
  <c r="Y2197" i="11"/>
  <c r="Y2198" i="11"/>
  <c r="Y2199" i="11"/>
  <c r="Y2200" i="11"/>
  <c r="Y2201" i="11"/>
  <c r="Y2202" i="11"/>
  <c r="Y2203" i="11"/>
  <c r="Y2204" i="11"/>
  <c r="Y2205" i="11"/>
  <c r="Y2206" i="11"/>
  <c r="Y2207" i="11"/>
  <c r="Y2208" i="11"/>
  <c r="Y2209" i="11"/>
  <c r="Y2210" i="11"/>
  <c r="Y2211" i="11"/>
  <c r="Y2212" i="11"/>
  <c r="Y2213" i="11"/>
  <c r="Y2214" i="11"/>
  <c r="Y2215" i="11"/>
  <c r="Y2216" i="11"/>
  <c r="Y2217" i="11"/>
  <c r="Y2218" i="11"/>
  <c r="Y2219" i="11"/>
  <c r="Y2220" i="11"/>
  <c r="Y2221" i="11"/>
  <c r="Y2222" i="11"/>
  <c r="Y2223" i="11"/>
  <c r="Y2224" i="11"/>
  <c r="Y2225" i="11"/>
  <c r="Y2226" i="11"/>
  <c r="Y2227" i="11"/>
  <c r="Y2228" i="11"/>
  <c r="Y2229" i="11"/>
  <c r="Y2230" i="11"/>
  <c r="Y2231" i="11"/>
  <c r="Y2232" i="11"/>
  <c r="Y2233" i="11"/>
  <c r="Y2234" i="11"/>
  <c r="Y2235" i="11"/>
  <c r="Y2236" i="11"/>
  <c r="Y2237" i="11"/>
  <c r="Y2238" i="11"/>
  <c r="Y2239" i="11"/>
  <c r="Y2240" i="11"/>
  <c r="Y2241" i="11"/>
  <c r="Y2242" i="11"/>
  <c r="Y2243" i="11"/>
  <c r="Y2244" i="11"/>
  <c r="Y2245" i="11"/>
  <c r="Y2246" i="11"/>
  <c r="Y2247" i="11"/>
  <c r="Y2248" i="11"/>
  <c r="Y2249" i="11"/>
  <c r="Y2250" i="11"/>
  <c r="Y2251" i="11"/>
  <c r="Y2252" i="11"/>
  <c r="Y2253" i="11"/>
  <c r="Y2254" i="11"/>
  <c r="Y2255" i="11"/>
  <c r="Y2256" i="11"/>
  <c r="Y2257" i="11"/>
  <c r="Y2258" i="11"/>
  <c r="Y2259" i="11"/>
  <c r="Y2260" i="11"/>
  <c r="Y2261" i="11"/>
  <c r="Y2262" i="11"/>
  <c r="Y2263" i="11"/>
  <c r="Y2264" i="11"/>
  <c r="Y2265" i="11"/>
  <c r="Y2266" i="11"/>
  <c r="Y2267" i="11"/>
  <c r="Y2268" i="11"/>
  <c r="Y2269" i="11"/>
  <c r="Y2270" i="11"/>
  <c r="Y2271" i="11"/>
  <c r="Y2272" i="11"/>
  <c r="Y2273" i="11"/>
  <c r="Y2274" i="11"/>
  <c r="Y2275" i="11"/>
  <c r="Y2276" i="11"/>
  <c r="Y2277" i="11"/>
  <c r="Y2278" i="11"/>
  <c r="Y2279" i="11"/>
  <c r="Y2280" i="11"/>
  <c r="Y2281" i="11"/>
  <c r="Y2282" i="11"/>
  <c r="Y2283" i="11"/>
  <c r="Y2284" i="11"/>
  <c r="Y2285" i="11"/>
  <c r="Y2286" i="11"/>
  <c r="Y2287" i="11"/>
  <c r="Y2288" i="11"/>
  <c r="Y2289" i="11"/>
  <c r="Y2290" i="11"/>
  <c r="Y2291" i="11"/>
  <c r="Y2292" i="11"/>
  <c r="Y2293" i="11"/>
  <c r="Y2294" i="11"/>
  <c r="Y2295" i="11"/>
  <c r="Y2296" i="11"/>
  <c r="Y2297" i="11"/>
  <c r="Y2298" i="11"/>
  <c r="Y2299" i="11"/>
  <c r="Y2300" i="11"/>
  <c r="Y2301" i="11"/>
  <c r="Y2302" i="11"/>
  <c r="Y2303" i="11"/>
  <c r="Y2304" i="11"/>
  <c r="Y2305" i="11"/>
  <c r="Y2306" i="11"/>
  <c r="Y2307" i="11"/>
  <c r="Y2308" i="11"/>
  <c r="Y2309" i="11"/>
  <c r="Y2310" i="11"/>
  <c r="Y2311" i="11"/>
  <c r="Y2312" i="11"/>
  <c r="Y2313" i="11"/>
  <c r="Y2314" i="11"/>
  <c r="Y2315" i="11"/>
  <c r="Y2316" i="11"/>
  <c r="Y2317" i="11"/>
  <c r="Y2318" i="11"/>
  <c r="Y2319" i="11"/>
  <c r="Y2320" i="11"/>
  <c r="Y2321" i="11"/>
  <c r="Y2322" i="11"/>
  <c r="Y2323" i="11"/>
  <c r="Y2324" i="11"/>
  <c r="Y2325" i="11"/>
  <c r="Y2326" i="11"/>
  <c r="Y2327" i="11"/>
  <c r="Y2328" i="11"/>
  <c r="Y2329" i="11"/>
  <c r="Y2330" i="11"/>
  <c r="Y2331" i="11"/>
  <c r="Y2332" i="11"/>
  <c r="Y2333" i="11"/>
  <c r="Y2334" i="11"/>
  <c r="Y2335" i="11"/>
  <c r="Y2336" i="11"/>
  <c r="Y2337" i="11"/>
  <c r="Y2338" i="11"/>
  <c r="Y2339" i="11"/>
  <c r="Y2340" i="11"/>
  <c r="Y2341" i="11"/>
  <c r="Y2342" i="11"/>
  <c r="Y2343" i="11"/>
  <c r="Y2344" i="11"/>
  <c r="Y2345" i="11"/>
  <c r="Y2346" i="11"/>
  <c r="Y2347" i="11"/>
  <c r="Y2348" i="11"/>
  <c r="Y2349" i="11"/>
  <c r="Y2350" i="11"/>
  <c r="Y2351" i="11"/>
  <c r="Y2352" i="11"/>
  <c r="Y2353" i="11"/>
  <c r="Y2354" i="11"/>
  <c r="Y2355" i="11"/>
  <c r="Y2356" i="11"/>
  <c r="Y2357" i="11"/>
  <c r="Y2358" i="11"/>
  <c r="Y2359" i="11"/>
  <c r="Y2360" i="11"/>
  <c r="Y2361" i="11"/>
  <c r="Y2362" i="11"/>
  <c r="Y2363" i="11"/>
  <c r="Y2364" i="11"/>
  <c r="Y2365" i="11"/>
  <c r="Y2366" i="11"/>
  <c r="Y2367" i="11"/>
  <c r="Y2368" i="11"/>
  <c r="Y2369" i="11"/>
  <c r="Y2370" i="11"/>
  <c r="Y2371" i="11"/>
  <c r="Y2372" i="11"/>
  <c r="Y2373" i="11"/>
  <c r="Y2374" i="11"/>
  <c r="Y2375" i="11"/>
  <c r="Y2376" i="11"/>
  <c r="Y2377" i="11"/>
  <c r="Y2378" i="11"/>
  <c r="Y2379" i="11"/>
  <c r="Y2380" i="11"/>
  <c r="Y2381" i="11"/>
  <c r="Y2382" i="11"/>
  <c r="Y2383" i="11"/>
  <c r="Y2384" i="11"/>
  <c r="Y2385" i="11"/>
  <c r="Y2386" i="11"/>
  <c r="Y2387" i="11"/>
  <c r="Y2388" i="11"/>
  <c r="Y2389" i="11"/>
  <c r="Y2390" i="11"/>
  <c r="Y2391" i="11"/>
  <c r="Y2392" i="11"/>
  <c r="Y2393" i="11"/>
  <c r="Y2394" i="11"/>
  <c r="Y2395" i="11"/>
  <c r="Y2396" i="11"/>
  <c r="Y2397" i="11"/>
  <c r="Y2398" i="11"/>
  <c r="Y2399" i="11"/>
  <c r="Y2400" i="11"/>
  <c r="Y2401" i="11"/>
  <c r="Y2402" i="11"/>
  <c r="Y2403" i="11"/>
  <c r="Y2404" i="11"/>
  <c r="Y2405" i="11"/>
  <c r="Y2406" i="11"/>
  <c r="Y2407" i="11"/>
  <c r="Y2408" i="11"/>
  <c r="Y2409" i="11"/>
  <c r="Y2410" i="11"/>
  <c r="Y2411" i="11"/>
  <c r="Y2412" i="11"/>
  <c r="Y2413" i="11"/>
  <c r="Y2414" i="11"/>
  <c r="Y2415" i="11"/>
  <c r="Y2416" i="11"/>
  <c r="Y2417" i="11"/>
  <c r="Y2418" i="11"/>
  <c r="Y2419" i="11"/>
  <c r="Y2420" i="11"/>
  <c r="Y2421" i="11"/>
  <c r="Y2422" i="11"/>
  <c r="Y2423" i="11"/>
  <c r="Y2424" i="11"/>
  <c r="Y2425" i="11"/>
  <c r="Y2426" i="11"/>
  <c r="Y2427" i="11"/>
  <c r="Y2428" i="11"/>
  <c r="Y2429" i="11"/>
  <c r="Y2430" i="11"/>
  <c r="Y2431" i="11"/>
  <c r="Y2432" i="11"/>
  <c r="Y2433" i="11"/>
  <c r="Y2434" i="11"/>
  <c r="Y2435" i="11"/>
  <c r="Y2436" i="11"/>
  <c r="Y2437" i="11"/>
  <c r="Y2438" i="11"/>
  <c r="Y2439" i="11"/>
  <c r="Y2440" i="11"/>
  <c r="Y2441" i="11"/>
  <c r="Y2442" i="11"/>
  <c r="Y2443" i="11"/>
  <c r="Y2444" i="11"/>
  <c r="Y2445" i="11"/>
  <c r="Y2446" i="11"/>
  <c r="Y2447" i="11"/>
  <c r="Y2448" i="11"/>
  <c r="Y2449" i="11"/>
  <c r="Y2450" i="11"/>
  <c r="Y2451" i="11"/>
  <c r="Y2452" i="11"/>
  <c r="Y2453" i="11"/>
  <c r="Y2454" i="11"/>
  <c r="Y2455" i="11"/>
  <c r="Y2456" i="11"/>
  <c r="Y2457" i="11"/>
  <c r="Y2458" i="11"/>
  <c r="Y2459" i="11"/>
  <c r="Y2460" i="11"/>
  <c r="Y2461" i="11"/>
  <c r="Y2462" i="11"/>
  <c r="Y2463" i="11"/>
  <c r="Y2464" i="11"/>
  <c r="Y2465" i="11"/>
  <c r="Y2466" i="11"/>
  <c r="Y2467" i="11"/>
  <c r="Y2468" i="11"/>
  <c r="Y2469" i="11"/>
  <c r="Y2470" i="11"/>
  <c r="Y2471" i="11"/>
  <c r="Y2472" i="11"/>
  <c r="Y2473" i="11"/>
  <c r="Y2474" i="11"/>
  <c r="Y2475" i="11"/>
  <c r="Y2476" i="11"/>
  <c r="Y2477" i="11"/>
  <c r="Y2478" i="11"/>
  <c r="Y2479" i="11"/>
  <c r="Y2480" i="11"/>
  <c r="Y2481" i="11"/>
  <c r="Y2482" i="11"/>
  <c r="Y2483" i="11"/>
  <c r="Y2484" i="11"/>
  <c r="Y2485" i="11"/>
  <c r="Y2486" i="11"/>
  <c r="Y2487" i="11"/>
  <c r="Y2488" i="11"/>
  <c r="Y2489" i="11"/>
  <c r="Y2490" i="11"/>
  <c r="Y2491" i="11"/>
  <c r="Y2492" i="11"/>
  <c r="Y2493" i="11"/>
  <c r="Y2494" i="11"/>
  <c r="Y2495" i="11"/>
  <c r="Y2496" i="11"/>
  <c r="Y2497" i="11"/>
  <c r="Y2498" i="11"/>
  <c r="Y2499" i="11"/>
  <c r="Y2500" i="11"/>
  <c r="Y2501" i="11"/>
  <c r="Y2502" i="11"/>
  <c r="Y2503" i="11"/>
  <c r="Y2504" i="11"/>
  <c r="Y2505" i="11"/>
  <c r="Y2506" i="11"/>
  <c r="Y2507" i="11"/>
  <c r="Y2508" i="11"/>
  <c r="Y2509" i="11"/>
  <c r="Y2510" i="11"/>
  <c r="Y2511" i="11"/>
  <c r="Y2512" i="11"/>
  <c r="Y2513" i="11"/>
  <c r="Y2514" i="11"/>
  <c r="Y2515" i="11"/>
  <c r="Y2516" i="11"/>
  <c r="Y2517" i="11"/>
  <c r="Y2518" i="11"/>
  <c r="Y2519" i="11"/>
  <c r="Y2520" i="11"/>
  <c r="Y2521" i="11"/>
  <c r="Y2522" i="11"/>
  <c r="Y2523" i="11"/>
  <c r="Y2524" i="11"/>
  <c r="Y2525" i="11"/>
  <c r="Y2526" i="11"/>
  <c r="Y2527" i="11"/>
  <c r="Y2528" i="11"/>
  <c r="Y2529" i="11"/>
  <c r="Y2530" i="11"/>
  <c r="Y2531" i="11"/>
  <c r="Y2532" i="11"/>
  <c r="Y2533" i="11"/>
  <c r="Y2534" i="11"/>
  <c r="Y2535" i="11"/>
  <c r="Y2536" i="11"/>
  <c r="Y2537" i="11"/>
  <c r="Y2538" i="11"/>
  <c r="Y2539" i="11"/>
  <c r="Y2540" i="11"/>
  <c r="Y2541" i="11"/>
  <c r="Y2542" i="11"/>
  <c r="Y2543" i="11"/>
  <c r="Y2544" i="11"/>
  <c r="Y2545" i="11"/>
  <c r="Y2546" i="11"/>
  <c r="Y2547" i="11"/>
  <c r="Y2548" i="11"/>
  <c r="Y2549" i="11"/>
  <c r="Y2550" i="11"/>
  <c r="Y2551" i="11"/>
  <c r="Y2552" i="11"/>
  <c r="Y2553" i="11"/>
  <c r="Y2554" i="11"/>
  <c r="Y2555" i="11"/>
  <c r="Y2556" i="11"/>
  <c r="Y2557" i="11"/>
  <c r="Y2558" i="11"/>
  <c r="Y2559" i="11"/>
  <c r="Y2560" i="11"/>
  <c r="Y2561" i="11"/>
  <c r="Y2562" i="11"/>
  <c r="Y2563" i="11"/>
  <c r="Y2564" i="11"/>
  <c r="Y2565" i="11"/>
  <c r="Y2566" i="11"/>
  <c r="Y2567" i="11"/>
  <c r="Y2568" i="11"/>
  <c r="Y2569" i="11"/>
  <c r="Y2570" i="11"/>
  <c r="Y2571" i="11"/>
  <c r="Y2572" i="11"/>
  <c r="Y2573" i="11"/>
  <c r="Y2574" i="11"/>
  <c r="Y2575" i="11"/>
  <c r="Y2576" i="11"/>
  <c r="Y2577" i="11"/>
  <c r="Y2578" i="11"/>
  <c r="Y2579" i="11"/>
  <c r="Y2580" i="11"/>
  <c r="Y2581" i="11"/>
  <c r="Y2582" i="11"/>
  <c r="Y2583" i="11"/>
  <c r="Y2584" i="11"/>
  <c r="Y2585" i="11"/>
  <c r="Y2586" i="11"/>
  <c r="Y2587" i="11"/>
  <c r="Y2588" i="11"/>
  <c r="Y2589" i="11"/>
  <c r="Y2590" i="11"/>
  <c r="Y2591" i="11"/>
  <c r="Y2592" i="11"/>
  <c r="Y2593" i="11"/>
  <c r="Y2594" i="11"/>
  <c r="Y2595" i="11"/>
  <c r="Y2596" i="11"/>
  <c r="Y2597" i="11"/>
  <c r="Y2598" i="11"/>
  <c r="Y2599" i="11"/>
  <c r="Y2600" i="11"/>
  <c r="Y2601" i="11"/>
  <c r="Y2602" i="11"/>
  <c r="Y2603" i="11"/>
  <c r="Y2604" i="11"/>
  <c r="Y2605" i="11"/>
  <c r="Y2606" i="11"/>
  <c r="Y2607" i="11"/>
  <c r="Y2608" i="11"/>
  <c r="Y2609" i="11"/>
  <c r="Y2610" i="11"/>
  <c r="Y2611" i="11"/>
  <c r="Y2612" i="11"/>
  <c r="Y2613" i="11"/>
  <c r="Y2614" i="11"/>
  <c r="Y2615" i="11"/>
  <c r="Y2616" i="11"/>
  <c r="Y2617" i="11"/>
  <c r="Y2618" i="11"/>
  <c r="Y2619" i="11"/>
  <c r="Y2620" i="11"/>
  <c r="Y2621" i="11"/>
  <c r="Y2622" i="11"/>
  <c r="Y2623" i="11"/>
  <c r="Y2624" i="11"/>
  <c r="Y2625" i="11"/>
  <c r="Y2626" i="11"/>
  <c r="Y2627" i="11"/>
  <c r="Y2628" i="11"/>
  <c r="Y2629" i="11"/>
  <c r="Y2630" i="11"/>
  <c r="Y2631" i="11"/>
  <c r="Y2632" i="11"/>
  <c r="Y2633" i="11"/>
  <c r="Y2634" i="11"/>
  <c r="Y2635" i="11"/>
  <c r="Y2636" i="11"/>
  <c r="Y2637" i="11"/>
  <c r="Y2638" i="11"/>
  <c r="Y2639" i="11"/>
  <c r="Y2640" i="11"/>
  <c r="Y2641" i="11"/>
  <c r="Y2642" i="11"/>
  <c r="Y2643" i="11"/>
  <c r="Y2644" i="11"/>
  <c r="Y2645" i="11"/>
  <c r="Y2646" i="11"/>
  <c r="Y2647" i="11"/>
  <c r="Y2648" i="11"/>
  <c r="Y2649" i="11"/>
  <c r="Y2650" i="11"/>
  <c r="Y2651" i="11"/>
  <c r="Y2652" i="11"/>
  <c r="Y2653" i="11"/>
  <c r="Y2654" i="11"/>
  <c r="Y2655" i="11"/>
  <c r="Y2656" i="11"/>
  <c r="Y2657" i="11"/>
  <c r="Y2658" i="11"/>
  <c r="Y2659" i="11"/>
  <c r="Y2660" i="11"/>
  <c r="Y2661" i="11"/>
  <c r="Y2662" i="11"/>
  <c r="Y2663" i="11"/>
  <c r="Y2664" i="11"/>
  <c r="Y2665" i="11"/>
  <c r="Y2666" i="11"/>
  <c r="Y2667" i="11"/>
  <c r="Y2668" i="11"/>
  <c r="Y2669" i="11"/>
  <c r="Y2670" i="11"/>
  <c r="Y2671" i="11"/>
  <c r="Y2672" i="11"/>
  <c r="Y2673" i="11"/>
  <c r="Y2674" i="11"/>
  <c r="Y2675" i="11"/>
  <c r="Y2676" i="11"/>
  <c r="Y2677" i="11"/>
  <c r="Y2678" i="11"/>
  <c r="Y2679" i="11"/>
  <c r="Y2680" i="11"/>
  <c r="Y2681" i="11"/>
  <c r="Y2682" i="11"/>
  <c r="Y2683" i="11"/>
  <c r="Y2684" i="11"/>
  <c r="Y2685" i="11"/>
  <c r="Y2686" i="11"/>
  <c r="Y2687" i="11"/>
  <c r="Y2688" i="11"/>
  <c r="Y2689" i="11"/>
  <c r="Y2690" i="11"/>
  <c r="Y2691" i="11"/>
  <c r="Y2692" i="11"/>
  <c r="Y2693" i="11"/>
  <c r="Y2694" i="11"/>
  <c r="Y2695" i="11"/>
  <c r="Y2696" i="11"/>
  <c r="Y2697" i="11"/>
  <c r="Y2698" i="11"/>
  <c r="Y2699" i="11"/>
  <c r="Y2700" i="11"/>
  <c r="Y2701" i="11"/>
  <c r="Y2702" i="11"/>
  <c r="Y2703" i="11"/>
  <c r="Y2704" i="11"/>
  <c r="Y2705" i="11"/>
  <c r="Y2706" i="11"/>
  <c r="Y2707" i="11"/>
  <c r="Y2708" i="11"/>
  <c r="Y2709" i="11"/>
  <c r="Y2710" i="11"/>
  <c r="Y2711" i="11"/>
  <c r="Y2712" i="11"/>
  <c r="Y2713" i="11"/>
  <c r="Y2714" i="11"/>
  <c r="Y2715" i="11"/>
  <c r="Y2716" i="11"/>
  <c r="Y2717" i="11"/>
  <c r="Y2718" i="11"/>
  <c r="Y2719" i="11"/>
  <c r="Y2720" i="11"/>
  <c r="Y2721" i="11"/>
  <c r="Y2722" i="11"/>
  <c r="Y2723" i="11"/>
  <c r="Y2724" i="11"/>
  <c r="Y2725" i="11"/>
  <c r="Y2726" i="11"/>
  <c r="Y2727" i="11"/>
  <c r="Y2728" i="11"/>
  <c r="Y2729" i="11"/>
  <c r="Y2730" i="11"/>
  <c r="Y2731" i="11"/>
  <c r="Y2732" i="11"/>
  <c r="Y2733" i="11"/>
  <c r="Y2734" i="11"/>
  <c r="Y2735" i="11"/>
  <c r="Y2736" i="11"/>
  <c r="Y2737" i="11"/>
  <c r="Y2738" i="11"/>
  <c r="Y2739" i="11"/>
  <c r="Y2740" i="11"/>
  <c r="Y2741" i="11"/>
  <c r="Y2742" i="11"/>
  <c r="Y2743" i="11"/>
  <c r="Y2744" i="11"/>
  <c r="Y2745" i="11"/>
  <c r="Y2746" i="11"/>
  <c r="Y2747" i="11"/>
  <c r="Y2748" i="11"/>
  <c r="Y2749" i="11"/>
  <c r="Y2750" i="11"/>
  <c r="Y2751" i="11"/>
  <c r="Y2752" i="11"/>
  <c r="Y2753" i="11"/>
  <c r="Y2754" i="11"/>
  <c r="Y2755" i="11"/>
  <c r="Y2756" i="11"/>
  <c r="Y2757" i="11"/>
  <c r="Y2758" i="11"/>
  <c r="Y2759" i="11"/>
  <c r="Y2760" i="11"/>
  <c r="Y2761" i="11"/>
  <c r="Y2762" i="11"/>
  <c r="Y2763" i="11"/>
  <c r="Y2764" i="11"/>
  <c r="Y2765" i="11"/>
  <c r="Y2766" i="11"/>
  <c r="Y2767" i="11"/>
  <c r="Y2768" i="11"/>
  <c r="Y2769" i="11"/>
  <c r="Y2770" i="11"/>
  <c r="Y2771" i="11"/>
  <c r="Y2772" i="11"/>
  <c r="Y2773" i="11"/>
  <c r="Y2774" i="11"/>
  <c r="Y2775" i="11"/>
  <c r="Y2776" i="11"/>
  <c r="Y2777" i="11"/>
  <c r="Y2778" i="11"/>
  <c r="Y2779" i="11"/>
  <c r="Y2780" i="11"/>
  <c r="Y2781" i="11"/>
  <c r="Y2782" i="11"/>
  <c r="Y2783" i="11"/>
  <c r="Y2784" i="11"/>
  <c r="Y2785" i="11"/>
  <c r="Y2786" i="11"/>
  <c r="Y2787" i="11"/>
  <c r="Y2788" i="11"/>
  <c r="Y2789" i="11"/>
  <c r="Y2790" i="11"/>
  <c r="Y2791" i="11"/>
  <c r="Y2792" i="11"/>
  <c r="Y2793" i="11"/>
  <c r="Y2794" i="11"/>
  <c r="Y2795" i="11"/>
  <c r="Y2796" i="11"/>
  <c r="Y2797" i="11"/>
  <c r="Y2798" i="11"/>
  <c r="Y2799" i="11"/>
  <c r="Y2800" i="11"/>
  <c r="Y2801" i="11"/>
  <c r="Y2802" i="11"/>
  <c r="Y2803" i="11"/>
  <c r="Y2804" i="11"/>
  <c r="Y2805" i="11"/>
  <c r="Y2806" i="11"/>
  <c r="Y2807" i="11"/>
  <c r="Y2808" i="11"/>
  <c r="Y2809" i="11"/>
  <c r="Y2810" i="11"/>
  <c r="Y2811" i="11"/>
  <c r="Y2812" i="11"/>
  <c r="Y2813" i="11"/>
  <c r="Y2814" i="11"/>
  <c r="Y2815" i="11"/>
  <c r="Y2816" i="11"/>
  <c r="Y2817" i="11"/>
  <c r="Y2818" i="11"/>
  <c r="Y2819" i="11"/>
  <c r="Y2820" i="11"/>
  <c r="Y2821" i="11"/>
  <c r="Y2822" i="11"/>
  <c r="Y2823" i="11"/>
  <c r="Y2824" i="11"/>
  <c r="Y2825" i="11"/>
  <c r="Y2826" i="11"/>
  <c r="Y2827" i="11"/>
  <c r="Y2828" i="11"/>
  <c r="Y2829" i="11"/>
  <c r="Y2830" i="11"/>
  <c r="Y2831" i="11"/>
  <c r="Y2832" i="11"/>
  <c r="Y2833" i="11"/>
  <c r="Y2834" i="11"/>
  <c r="Y2835" i="11"/>
  <c r="Y2836" i="11"/>
  <c r="Y2837" i="11"/>
  <c r="Y2838" i="11"/>
  <c r="Y2839" i="11"/>
  <c r="Y2840" i="11"/>
  <c r="Y2841" i="11"/>
  <c r="Y2842" i="11"/>
  <c r="Y2843" i="11"/>
  <c r="Y2844" i="11"/>
  <c r="Y2845" i="11"/>
  <c r="Y2846" i="11"/>
  <c r="Y2847" i="11"/>
  <c r="Y2848" i="11"/>
  <c r="Y2849" i="11"/>
  <c r="Y2850" i="11"/>
  <c r="Y2851" i="11"/>
  <c r="Y2852" i="11"/>
  <c r="Y2853" i="11"/>
  <c r="Y2854" i="11"/>
  <c r="Y2855" i="11"/>
  <c r="Y2856" i="11"/>
  <c r="Y2857" i="11"/>
  <c r="Y2858" i="11"/>
  <c r="Y2859" i="11"/>
  <c r="Y2860" i="11"/>
  <c r="Y2861" i="11"/>
  <c r="Y2862" i="11"/>
  <c r="Y2863" i="11"/>
  <c r="Y2864" i="11"/>
  <c r="Y2865" i="11"/>
  <c r="Y2866" i="11"/>
  <c r="Y2867" i="11"/>
  <c r="Y2868" i="11"/>
  <c r="Y2869" i="11"/>
  <c r="Y2870" i="11"/>
  <c r="Y2871" i="11"/>
  <c r="Y2872" i="11"/>
  <c r="Y2873" i="11"/>
  <c r="Y2874" i="11"/>
  <c r="Y2875" i="11"/>
  <c r="Y2876" i="11"/>
  <c r="Y2877" i="11"/>
  <c r="Y2878" i="11"/>
  <c r="Y2879" i="11"/>
  <c r="Y2880" i="11"/>
  <c r="Y2881" i="11"/>
  <c r="Y2882" i="11"/>
  <c r="Y2883" i="11"/>
  <c r="Y2884" i="11"/>
  <c r="Y2885" i="11"/>
  <c r="Y2886" i="11"/>
  <c r="Y2887" i="11"/>
  <c r="Y2888" i="11"/>
  <c r="Y2889" i="11"/>
  <c r="Y2890" i="11"/>
  <c r="Y2891" i="11"/>
  <c r="Y2892" i="11"/>
  <c r="Y2893" i="11"/>
  <c r="Y2894" i="11"/>
  <c r="Y2895" i="11"/>
  <c r="Y2896" i="11"/>
  <c r="Y2897" i="11"/>
  <c r="Y2898" i="11"/>
  <c r="Y2899" i="11"/>
  <c r="Y2900" i="11"/>
  <c r="Y2901" i="11"/>
  <c r="Y2902" i="11"/>
  <c r="Y2903" i="11"/>
  <c r="Y2904" i="11"/>
  <c r="Y2905" i="11"/>
  <c r="Y2906" i="11"/>
  <c r="Y2907" i="11"/>
  <c r="Y2908" i="11"/>
  <c r="Y2909" i="11"/>
  <c r="Y2910" i="11"/>
  <c r="Y2911" i="11"/>
  <c r="Y2912" i="11"/>
  <c r="Y2913" i="11"/>
  <c r="Y2914" i="11"/>
  <c r="Y2915" i="11"/>
  <c r="Y2916" i="11"/>
  <c r="Y2917" i="11"/>
  <c r="Y2918" i="11"/>
  <c r="Y2919" i="11"/>
  <c r="Y2920" i="11"/>
  <c r="Y2921" i="11"/>
  <c r="Y2922" i="11"/>
  <c r="Y2923" i="11"/>
  <c r="Y2924" i="11"/>
  <c r="Y2925" i="11"/>
  <c r="Y2926" i="11"/>
  <c r="Y2927" i="11"/>
  <c r="Y2928" i="11"/>
  <c r="Y2929" i="11"/>
  <c r="Y2930" i="11"/>
  <c r="Y2931" i="11"/>
  <c r="Y2932" i="11"/>
  <c r="Y2933" i="11"/>
  <c r="Y2934" i="11"/>
  <c r="Y2935" i="11"/>
  <c r="Y2936" i="11"/>
  <c r="Y2937" i="11"/>
  <c r="Y2938" i="11"/>
  <c r="Y2939" i="11"/>
  <c r="Y2940" i="11"/>
  <c r="Y2941" i="11"/>
  <c r="Y2942" i="11"/>
  <c r="Y2943" i="11"/>
  <c r="Y2944" i="11"/>
  <c r="Y2945" i="11"/>
  <c r="Y2946" i="11"/>
  <c r="Y2947" i="11"/>
  <c r="Y2948" i="11"/>
  <c r="Y2949" i="11"/>
  <c r="Y2950" i="11"/>
  <c r="Y2951" i="11"/>
  <c r="Y2952" i="11"/>
  <c r="Y2953" i="11"/>
  <c r="Y2954" i="11"/>
  <c r="Y2955" i="11"/>
  <c r="Y2956" i="11"/>
  <c r="Y2957" i="11"/>
  <c r="Y2958" i="11"/>
  <c r="Y2959" i="11"/>
  <c r="Y2960" i="11"/>
  <c r="Y2961" i="11"/>
  <c r="Y2962" i="11"/>
  <c r="Y2963" i="11"/>
  <c r="Y2964" i="11"/>
  <c r="Y2965" i="11"/>
  <c r="Y2966" i="11"/>
  <c r="Y2967" i="11"/>
  <c r="Y2968" i="11"/>
  <c r="Y2969" i="11"/>
  <c r="Y2970" i="11"/>
  <c r="Y2971" i="11"/>
  <c r="Y2972" i="11"/>
  <c r="Y2973" i="11"/>
  <c r="Y2974" i="11"/>
  <c r="Y2975" i="11"/>
  <c r="Y2976" i="11"/>
  <c r="Y2977" i="11"/>
  <c r="Y2978" i="11"/>
  <c r="Y2979" i="11"/>
  <c r="Y2980" i="11"/>
  <c r="Y2981" i="11"/>
  <c r="Y2982" i="11"/>
  <c r="Y2983" i="11"/>
  <c r="Y2984" i="11"/>
  <c r="Y2985" i="11"/>
  <c r="Y2986" i="11"/>
  <c r="Y2987" i="11"/>
  <c r="Y2988" i="11"/>
  <c r="Y2989" i="11"/>
  <c r="Y2990" i="11"/>
  <c r="Y2991" i="11"/>
  <c r="Y2992" i="11"/>
  <c r="Y2993" i="11"/>
  <c r="Y2994" i="11"/>
  <c r="Y2995" i="11"/>
  <c r="Y2996" i="11"/>
  <c r="Y2997" i="11"/>
  <c r="Y2998" i="11"/>
  <c r="Y2999" i="11"/>
  <c r="Y3000" i="11"/>
  <c r="Y3001" i="11"/>
  <c r="Y3002" i="11"/>
  <c r="Y3003" i="11"/>
  <c r="Y3004" i="11"/>
  <c r="Y3005" i="11"/>
  <c r="Y3006" i="11"/>
  <c r="Y3007" i="11"/>
  <c r="Y3008" i="11"/>
  <c r="Y3009" i="11"/>
  <c r="Y3010" i="11"/>
  <c r="Y3011" i="11"/>
  <c r="Y3012" i="11"/>
  <c r="Y3013" i="11"/>
  <c r="Y3014" i="11"/>
  <c r="Y3015" i="11"/>
  <c r="Y3016" i="11"/>
  <c r="Y3017" i="11"/>
  <c r="Y3018" i="11"/>
  <c r="Y3019" i="11"/>
  <c r="Y3020" i="11"/>
  <c r="Y3021" i="11"/>
  <c r="Y3022" i="11"/>
  <c r="Y3023" i="11"/>
  <c r="Y3024" i="11"/>
  <c r="Y3025" i="11"/>
  <c r="Y3026" i="11"/>
  <c r="Y3027" i="11"/>
  <c r="Y3028" i="11"/>
  <c r="Y3029" i="11"/>
  <c r="Y3030" i="11"/>
  <c r="Y3031" i="11"/>
  <c r="Y3032" i="11"/>
  <c r="Y3033" i="11"/>
  <c r="Y3034" i="11"/>
  <c r="Y3035" i="11"/>
  <c r="Y3036" i="11"/>
  <c r="Y3037" i="11"/>
  <c r="Y3038" i="11"/>
  <c r="Y3039" i="11"/>
  <c r="Y3040" i="11"/>
  <c r="Y3041" i="11"/>
  <c r="Y3042" i="11"/>
  <c r="Y3043" i="11"/>
  <c r="Y3044" i="11"/>
  <c r="Y3045" i="11"/>
  <c r="Y3046" i="11"/>
  <c r="Y3047" i="11"/>
  <c r="Y3048" i="11"/>
  <c r="Y3049" i="11"/>
  <c r="Y3050" i="11"/>
  <c r="Y3051" i="11"/>
  <c r="Y3052" i="11"/>
  <c r="Y3053" i="11"/>
  <c r="Y3054" i="11"/>
  <c r="Y3055" i="11"/>
  <c r="Y3056" i="11"/>
  <c r="Y3057" i="11"/>
  <c r="Y3058" i="11"/>
  <c r="Y3059" i="11"/>
  <c r="Y3060" i="11"/>
  <c r="Y3061" i="11"/>
  <c r="Y3062" i="11"/>
  <c r="Y3063" i="11"/>
  <c r="Y3064" i="11"/>
  <c r="Y3065" i="11"/>
  <c r="Y3066" i="11"/>
  <c r="Y3067" i="11"/>
  <c r="Y3068" i="11"/>
  <c r="Y3069" i="11"/>
  <c r="Y3070" i="11"/>
  <c r="Y3071" i="11"/>
  <c r="Y3072" i="11"/>
  <c r="Y3073" i="11"/>
  <c r="Y3074" i="11"/>
  <c r="Y3075" i="11"/>
  <c r="Y3076" i="11"/>
  <c r="Y3077" i="11"/>
  <c r="Y3078" i="11"/>
  <c r="Y3079" i="11"/>
  <c r="Y3080" i="11"/>
  <c r="Y3081" i="11"/>
  <c r="Y3082" i="11"/>
  <c r="Y3083" i="11"/>
  <c r="Y3084" i="11"/>
  <c r="Y3085" i="11"/>
  <c r="Y3086" i="11"/>
  <c r="Y3087" i="11"/>
  <c r="Y3088" i="11"/>
  <c r="Y3089" i="11"/>
  <c r="Y3090" i="11"/>
  <c r="Y3091" i="11"/>
  <c r="Y3092" i="11"/>
  <c r="Y3093" i="11"/>
  <c r="Y3094" i="11"/>
  <c r="Y3095" i="11"/>
  <c r="Y3096" i="11"/>
  <c r="Y3097" i="11"/>
  <c r="Y3098" i="11"/>
  <c r="Y3099" i="11"/>
  <c r="Y3100" i="11"/>
  <c r="Y3101" i="11"/>
  <c r="Y3102" i="11"/>
  <c r="Y3103" i="11"/>
  <c r="Y3104" i="11"/>
  <c r="Y3105" i="11"/>
  <c r="Y3106" i="11"/>
  <c r="Y3107" i="11"/>
  <c r="Y3108" i="11"/>
  <c r="Y3109" i="11"/>
  <c r="Y3110" i="11"/>
  <c r="Y3111" i="11"/>
  <c r="Y3112" i="11"/>
  <c r="Y3113" i="11"/>
  <c r="Y3114" i="11"/>
  <c r="Y3115" i="11"/>
  <c r="Y3116" i="11"/>
  <c r="Y3117" i="11"/>
  <c r="Y3118" i="11"/>
  <c r="Y3119" i="11"/>
  <c r="Y3120" i="11"/>
  <c r="Y3121" i="11"/>
  <c r="Y3122" i="11"/>
  <c r="Y3123" i="11"/>
  <c r="Y3124" i="11"/>
  <c r="Y3125" i="11"/>
  <c r="Y3126" i="11"/>
  <c r="Y3127" i="11"/>
  <c r="Y3128" i="11"/>
  <c r="Y3129" i="11"/>
  <c r="Y3130" i="11"/>
  <c r="Y3131" i="11"/>
  <c r="Y3132" i="11"/>
  <c r="Y3133" i="11"/>
  <c r="Y3134" i="11"/>
  <c r="Y3135" i="11"/>
  <c r="Y3136" i="11"/>
  <c r="Y3137" i="11"/>
  <c r="Y3138" i="11"/>
  <c r="Y3139" i="11"/>
  <c r="Y3140" i="11"/>
  <c r="Y3141" i="11"/>
  <c r="Y3142" i="11"/>
  <c r="Y3143" i="11"/>
  <c r="Y3144" i="11"/>
  <c r="Y3145" i="11"/>
  <c r="Y3146" i="11"/>
  <c r="Y3147" i="11"/>
  <c r="Y3148" i="11"/>
  <c r="Y3149" i="11"/>
  <c r="Y3150" i="11"/>
  <c r="Y3151" i="11"/>
  <c r="Y3152" i="11"/>
  <c r="Y3153" i="11"/>
  <c r="Y3154" i="11"/>
  <c r="Y3155" i="11"/>
  <c r="Y3156" i="11"/>
  <c r="Y3157" i="11"/>
  <c r="Y3158" i="11"/>
  <c r="Y3159" i="11"/>
  <c r="Y3160" i="11"/>
  <c r="Y3161" i="11"/>
  <c r="Y3162" i="11"/>
  <c r="Y3163" i="11"/>
  <c r="Y3164" i="11"/>
  <c r="Y3165" i="11"/>
  <c r="Y3166" i="11"/>
  <c r="Y3167" i="11"/>
  <c r="Y3168" i="11"/>
  <c r="Y3169" i="11"/>
  <c r="Y3170" i="11"/>
  <c r="Y3171" i="11"/>
  <c r="Y3172" i="11"/>
  <c r="Y3173" i="11"/>
  <c r="Y3174" i="11"/>
  <c r="Y3175" i="11"/>
  <c r="Y3176" i="11"/>
  <c r="Y3177" i="11"/>
  <c r="Y3178" i="11"/>
  <c r="Y3179" i="11"/>
  <c r="Y3180" i="11"/>
  <c r="Y3181" i="11"/>
  <c r="Y3182" i="11"/>
  <c r="Y3183" i="11"/>
  <c r="Y3184" i="11"/>
  <c r="Y3185" i="11"/>
  <c r="Y3186" i="11"/>
  <c r="Y3187" i="11"/>
  <c r="Y3188" i="11"/>
  <c r="Y3189" i="11"/>
  <c r="Y3190" i="11"/>
  <c r="Y3191" i="11"/>
  <c r="Y3192" i="11"/>
  <c r="Y3193" i="11"/>
  <c r="Y3194" i="11"/>
  <c r="Y3195" i="11"/>
  <c r="Y3196" i="11"/>
  <c r="Y3197" i="11"/>
  <c r="Y3198" i="11"/>
  <c r="Y3199" i="11"/>
  <c r="Y3200" i="11"/>
  <c r="Y3201" i="11"/>
  <c r="Y3202" i="11"/>
  <c r="Y3203" i="11"/>
  <c r="Y3204" i="11"/>
  <c r="Y3205" i="11"/>
  <c r="Y3206" i="11"/>
  <c r="Y3207" i="11"/>
  <c r="Y3208" i="11"/>
  <c r="Y3209" i="11"/>
  <c r="Y3210" i="11"/>
  <c r="Y3211" i="11"/>
  <c r="Y3212" i="11"/>
  <c r="Y3213" i="11"/>
  <c r="Y3214" i="11"/>
  <c r="Y3215" i="11"/>
  <c r="Y3216" i="11"/>
  <c r="Y3217" i="11"/>
  <c r="Y3218" i="11"/>
  <c r="Y3219" i="11"/>
  <c r="Y3220" i="11"/>
  <c r="Y3221" i="11"/>
  <c r="Y3222" i="11"/>
  <c r="Y3223" i="11"/>
  <c r="Y3224" i="11"/>
  <c r="Y3225" i="11"/>
  <c r="Y3226" i="11"/>
  <c r="Y3227" i="11"/>
  <c r="Y3228" i="11"/>
  <c r="Y3229" i="11"/>
  <c r="Y3230" i="11"/>
  <c r="Y3231" i="11"/>
  <c r="Y3232" i="11"/>
  <c r="Y3233" i="11"/>
  <c r="Y3234" i="11"/>
  <c r="Y3235" i="11"/>
  <c r="Y3236" i="11"/>
  <c r="Y3237" i="11"/>
  <c r="Y3238" i="11"/>
  <c r="Y3239" i="11"/>
  <c r="Y3240" i="11"/>
  <c r="Y3241" i="11"/>
  <c r="Y3242" i="11"/>
  <c r="Y3243" i="11"/>
  <c r="Y3244" i="11"/>
  <c r="Y3245" i="11"/>
  <c r="Y3246" i="11"/>
  <c r="Y3247" i="11"/>
  <c r="Y3248" i="11"/>
  <c r="Y3249" i="11"/>
  <c r="Y3250" i="11"/>
  <c r="Y3251" i="11"/>
  <c r="Y3252" i="11"/>
  <c r="Y3253" i="11"/>
  <c r="Y3254" i="11"/>
  <c r="Y3255" i="11"/>
  <c r="Y3256" i="11"/>
  <c r="Y3257" i="11"/>
  <c r="Y3258" i="11"/>
  <c r="Y3259" i="11"/>
  <c r="Y3260" i="11"/>
  <c r="Y3261" i="11"/>
  <c r="Y3262" i="11"/>
  <c r="Y3263" i="11"/>
  <c r="Y3264" i="11"/>
  <c r="Y3265" i="11"/>
  <c r="Y3266" i="11"/>
  <c r="Y3267" i="11"/>
  <c r="Y3268" i="11"/>
  <c r="Y3269" i="11"/>
  <c r="Y3270" i="11"/>
  <c r="Y3271" i="11"/>
  <c r="Y3272" i="11"/>
  <c r="Y3273" i="11"/>
  <c r="Y3274" i="11"/>
  <c r="Y3275" i="11"/>
  <c r="Y3276" i="11"/>
  <c r="Y3277" i="11"/>
  <c r="Y3278" i="11"/>
  <c r="Y3279" i="11"/>
  <c r="Y3280" i="11"/>
  <c r="Y3281" i="11"/>
  <c r="Y3282" i="11"/>
  <c r="Y3283" i="11"/>
  <c r="Y3284" i="11"/>
  <c r="Y3285" i="11"/>
  <c r="Y3286" i="11"/>
  <c r="Y3287" i="11"/>
  <c r="Y3288" i="11"/>
  <c r="Y3289" i="11"/>
  <c r="Y3290" i="11"/>
  <c r="Y3291" i="11"/>
  <c r="Y3292" i="11"/>
  <c r="Y3293" i="11"/>
  <c r="Y3294" i="11"/>
  <c r="Y3295" i="11"/>
  <c r="Y3296" i="11"/>
  <c r="Y3297" i="11"/>
  <c r="Y3298" i="11"/>
  <c r="Y3299" i="11"/>
  <c r="Y3300" i="11"/>
  <c r="Y3301" i="11"/>
  <c r="Y3302" i="11"/>
  <c r="Y3303" i="11"/>
  <c r="Y3304" i="11"/>
  <c r="Y3305" i="11"/>
  <c r="Y3306" i="11"/>
  <c r="Y3307" i="11"/>
  <c r="Y3308" i="11"/>
  <c r="Y3309" i="11"/>
  <c r="Y3310" i="11"/>
  <c r="Y3311" i="11"/>
  <c r="Y3312" i="11"/>
  <c r="Y3313" i="11"/>
  <c r="Y3314" i="11"/>
  <c r="Y3315" i="11"/>
  <c r="Y3316" i="11"/>
  <c r="Y3317" i="11"/>
  <c r="Y3318" i="11"/>
  <c r="Y3319" i="11"/>
  <c r="Y3320" i="11"/>
  <c r="Y3321" i="11"/>
  <c r="Y3322" i="11"/>
  <c r="Y3323" i="11"/>
  <c r="Y3324" i="11"/>
  <c r="Y3325" i="11"/>
  <c r="Y3326" i="11"/>
  <c r="Y3327" i="11"/>
  <c r="Y3328" i="11"/>
  <c r="Y3329" i="11"/>
  <c r="Y3330" i="11"/>
  <c r="Y3331" i="11"/>
  <c r="Y3332" i="11"/>
  <c r="Y3333" i="11"/>
  <c r="Y3334" i="11"/>
  <c r="Y3335" i="11"/>
  <c r="Y3336" i="11"/>
  <c r="Y3337" i="11"/>
  <c r="Y3338" i="11"/>
  <c r="Y3339" i="11"/>
  <c r="Y3340" i="11"/>
  <c r="Y3341" i="11"/>
  <c r="Y3342" i="11"/>
  <c r="Y3343" i="11"/>
  <c r="Y3344" i="11"/>
  <c r="Y3345" i="11"/>
  <c r="Y3346" i="11"/>
  <c r="Y3347" i="11"/>
  <c r="Y3348" i="11"/>
  <c r="Y3349" i="11"/>
  <c r="Y3350" i="11"/>
  <c r="Y3351" i="11"/>
  <c r="Y3352" i="11"/>
  <c r="Y3353" i="11"/>
  <c r="Y3354" i="11"/>
  <c r="Y3355" i="11"/>
  <c r="Y3356" i="11"/>
  <c r="Y3357" i="11"/>
  <c r="Y3358" i="11"/>
  <c r="Y3359" i="11"/>
  <c r="Y3360" i="11"/>
  <c r="Y3361" i="11"/>
  <c r="Y3362" i="11"/>
  <c r="Y3363" i="11"/>
  <c r="Y3364" i="11"/>
  <c r="Y3365" i="11"/>
  <c r="Y3366" i="11"/>
  <c r="Y3367" i="11"/>
  <c r="Y3368" i="11"/>
  <c r="Y3369" i="11"/>
  <c r="Y3370" i="11"/>
  <c r="Y3371" i="11"/>
  <c r="Y3372" i="11"/>
  <c r="Y3373" i="11"/>
  <c r="Y3374" i="11"/>
  <c r="Y3375" i="11"/>
  <c r="Y3376" i="11"/>
  <c r="Y3377" i="11"/>
  <c r="Y3378" i="11"/>
  <c r="Y3379" i="11"/>
  <c r="Y3380" i="11"/>
  <c r="Y3381" i="11"/>
  <c r="Y3382" i="11"/>
  <c r="Y3383" i="11"/>
  <c r="Y3384" i="11"/>
  <c r="Y3385" i="11"/>
  <c r="Y3386" i="11"/>
  <c r="Y3387" i="11"/>
  <c r="Y3388" i="11"/>
  <c r="Y3389" i="11"/>
  <c r="Y3390" i="11"/>
  <c r="Y3391" i="11"/>
  <c r="Y3392" i="11"/>
  <c r="Y3393" i="11"/>
  <c r="Y3394" i="11"/>
  <c r="Y3395" i="11"/>
  <c r="Y3396" i="11"/>
  <c r="Y3397" i="11"/>
  <c r="Y3398" i="11"/>
  <c r="Y3399" i="11"/>
  <c r="Y3400" i="11"/>
  <c r="Y3401" i="11"/>
  <c r="Y3402" i="11"/>
  <c r="Y3403" i="11"/>
  <c r="Y3404" i="11"/>
  <c r="Y3405" i="11"/>
  <c r="Y3406" i="11"/>
  <c r="Y3407" i="11"/>
  <c r="Y3408" i="11"/>
  <c r="Y3409" i="11"/>
  <c r="Y3410" i="11"/>
  <c r="Y3411" i="11"/>
  <c r="Y3412" i="11"/>
  <c r="Y3413" i="11"/>
  <c r="Y3414" i="11"/>
  <c r="Y3415" i="11"/>
  <c r="Y3416" i="11"/>
  <c r="Y3417" i="11"/>
  <c r="Y3418" i="11"/>
  <c r="Y3419" i="11"/>
  <c r="Y3420" i="11"/>
  <c r="Y3421" i="11"/>
  <c r="Y3422" i="11"/>
  <c r="Y3423" i="11"/>
  <c r="Y3424" i="11"/>
  <c r="Y3425" i="11"/>
  <c r="Y3426" i="11"/>
  <c r="Y3427" i="11"/>
  <c r="Y3428" i="11"/>
  <c r="Y3429" i="11"/>
  <c r="Y3430" i="11"/>
  <c r="Y3431" i="11"/>
  <c r="Y3432" i="11"/>
  <c r="Y3433" i="11"/>
  <c r="Y3434" i="11"/>
  <c r="Y3435" i="11"/>
  <c r="Y3436" i="11"/>
  <c r="Y3437" i="11"/>
  <c r="Y3438" i="11"/>
  <c r="Y3439" i="11"/>
  <c r="Y3440" i="11"/>
  <c r="Y3441" i="11"/>
  <c r="Y3442" i="11"/>
  <c r="Y3443" i="11"/>
  <c r="Y3444" i="11"/>
  <c r="Y3445" i="11"/>
  <c r="Y3446" i="11"/>
  <c r="Y3447" i="11"/>
  <c r="Y3448" i="11"/>
  <c r="Y3449" i="11"/>
  <c r="Y3450" i="11"/>
  <c r="Y3451" i="11"/>
  <c r="Y3452" i="11"/>
  <c r="Y3453" i="11"/>
  <c r="Y3454" i="11"/>
  <c r="Y3455" i="11"/>
  <c r="Y3456" i="11"/>
  <c r="Y3457" i="11"/>
  <c r="Y3458" i="11"/>
  <c r="Y3459" i="11"/>
  <c r="Y3460" i="11"/>
  <c r="Y3461" i="11"/>
  <c r="Y3462" i="11"/>
  <c r="Y3463" i="11"/>
  <c r="Y3464" i="11"/>
  <c r="Y3465" i="11"/>
  <c r="Y3466" i="11"/>
  <c r="Y3467" i="11"/>
  <c r="Y3468" i="11"/>
  <c r="Y3469" i="11"/>
  <c r="Y3470" i="11"/>
  <c r="Y3471" i="11"/>
  <c r="Y3472" i="11"/>
  <c r="Y3473" i="11"/>
  <c r="Y3474" i="11"/>
  <c r="Y3475" i="11"/>
  <c r="Y3476" i="11"/>
  <c r="Y3477" i="11"/>
  <c r="Y3478" i="11"/>
  <c r="Y3479" i="11"/>
  <c r="Y3480" i="11"/>
  <c r="Y3481" i="11"/>
  <c r="Y3482" i="11"/>
  <c r="Y3483" i="11"/>
  <c r="Y3484" i="11"/>
  <c r="Y3485" i="11"/>
  <c r="Y3486" i="11"/>
  <c r="Y3487" i="11"/>
  <c r="Y3488" i="11"/>
  <c r="Y3489" i="11"/>
  <c r="Y3490" i="11"/>
  <c r="Y3491" i="11"/>
  <c r="Y3492" i="11"/>
  <c r="Y3493" i="11"/>
  <c r="Y3494" i="11"/>
  <c r="Y3495" i="11"/>
  <c r="Y3496" i="11"/>
  <c r="Y3497" i="11"/>
  <c r="Y3498" i="11"/>
  <c r="Y3499" i="11"/>
  <c r="Y3500" i="11"/>
  <c r="Y3501" i="11"/>
  <c r="Y3502" i="11"/>
  <c r="Y3503" i="11"/>
  <c r="Y3504" i="11"/>
  <c r="Y3505" i="11"/>
  <c r="Y3506" i="11"/>
  <c r="Y3507" i="11"/>
  <c r="Y3508" i="11"/>
  <c r="Y3509" i="11"/>
  <c r="Y3510" i="11"/>
  <c r="Y3511" i="11"/>
  <c r="Y3512" i="11"/>
  <c r="Y3513" i="11"/>
  <c r="Y3514" i="11"/>
  <c r="Y3515" i="11"/>
  <c r="Y3516" i="11"/>
  <c r="Y3517" i="11"/>
  <c r="Y3518" i="11"/>
  <c r="Y3519" i="11"/>
  <c r="Y3520" i="11"/>
  <c r="Y3521" i="11"/>
  <c r="Y3522" i="11"/>
  <c r="Y3523" i="11"/>
  <c r="Y3524" i="11"/>
  <c r="Y3525" i="11"/>
  <c r="Y3526" i="11"/>
  <c r="Y3527" i="11"/>
  <c r="Y3528" i="11"/>
  <c r="Y3529" i="11"/>
  <c r="Y3530" i="11"/>
  <c r="Y3531" i="11"/>
  <c r="Y3532" i="11"/>
  <c r="Y3533" i="11"/>
  <c r="Y3534" i="11"/>
  <c r="Y3535" i="11"/>
  <c r="Y3536" i="11"/>
  <c r="Y3537" i="11"/>
  <c r="Y3538" i="11"/>
  <c r="Y3539" i="11"/>
  <c r="Y3540" i="11"/>
  <c r="Y3541" i="11"/>
  <c r="Y3542" i="11"/>
  <c r="Y3543" i="11"/>
  <c r="Y3544" i="11"/>
  <c r="Y3545" i="11"/>
  <c r="Y3546" i="11"/>
  <c r="Y3547" i="11"/>
  <c r="Y3548" i="11"/>
  <c r="Y3549" i="11"/>
  <c r="Y3550" i="11"/>
  <c r="Y3551" i="11"/>
  <c r="Y3552" i="11"/>
  <c r="Y3553" i="11"/>
  <c r="Y3554" i="11"/>
  <c r="Y3555" i="11"/>
  <c r="Y3556" i="11"/>
  <c r="Y3557" i="11"/>
  <c r="Y3558" i="11"/>
  <c r="Y3559" i="11"/>
  <c r="Y3560" i="11"/>
  <c r="Y3561" i="11"/>
  <c r="Y3562" i="11"/>
  <c r="Y3563" i="11"/>
  <c r="Y3564" i="11"/>
  <c r="Y3565" i="11"/>
  <c r="Y3566" i="11"/>
  <c r="Y3567" i="11"/>
  <c r="Y3568" i="11"/>
  <c r="Y3569" i="11"/>
  <c r="Y3570" i="11"/>
  <c r="Y3571" i="11"/>
  <c r="Y3572" i="11"/>
  <c r="Y3573" i="11"/>
  <c r="Y3574" i="11"/>
  <c r="Y3575" i="11"/>
  <c r="Y3576" i="11"/>
  <c r="Y3577" i="11"/>
  <c r="Y3578" i="11"/>
  <c r="Y3579" i="11"/>
  <c r="Y3580" i="11"/>
  <c r="Y3581" i="11"/>
  <c r="Y3582" i="11"/>
  <c r="Y3583" i="11"/>
  <c r="Y3584" i="11"/>
  <c r="Y3585" i="11"/>
  <c r="Y3586" i="11"/>
  <c r="Y3587" i="11"/>
  <c r="Y3588" i="11"/>
  <c r="Y3589" i="11"/>
  <c r="Y3590" i="11"/>
  <c r="Y3591" i="11"/>
  <c r="Y3592" i="11"/>
  <c r="Y3593" i="11"/>
  <c r="Y3594" i="11"/>
  <c r="Y3595" i="11"/>
  <c r="Y3596" i="11"/>
  <c r="Y3597" i="11"/>
  <c r="Y3598" i="11"/>
  <c r="Y3599" i="11"/>
  <c r="Y3600" i="11"/>
  <c r="Y3601" i="11"/>
  <c r="Y3602" i="11"/>
  <c r="Y3603" i="11"/>
  <c r="Y3604" i="11"/>
  <c r="Y3605" i="11"/>
  <c r="Y3606" i="11"/>
  <c r="Y3607" i="11"/>
  <c r="Y3608" i="11"/>
  <c r="Y3609" i="11"/>
  <c r="Y3610" i="11"/>
  <c r="Y3611" i="11"/>
  <c r="Y3612" i="11"/>
  <c r="Y3613" i="11"/>
  <c r="Y3614" i="11"/>
  <c r="Y3615" i="11"/>
  <c r="Y3616" i="11"/>
  <c r="Y3617" i="11"/>
  <c r="Y3618" i="11"/>
  <c r="Y3619" i="11"/>
  <c r="Y3620" i="11"/>
  <c r="Y3621" i="11"/>
  <c r="Y3622" i="11"/>
  <c r="Y3623" i="11"/>
  <c r="Y3624" i="11"/>
  <c r="Y3625" i="11"/>
  <c r="Y3626" i="11"/>
  <c r="Y3627" i="11"/>
  <c r="Y3628" i="11"/>
  <c r="Y3629" i="11"/>
  <c r="Y3630" i="11"/>
  <c r="Y3631" i="11"/>
  <c r="Y3632" i="11"/>
  <c r="Y3633" i="11"/>
  <c r="Y3634" i="11"/>
  <c r="Y3635" i="11"/>
  <c r="Y3636" i="11"/>
  <c r="Y3637" i="11"/>
  <c r="Y3638" i="11"/>
  <c r="Y3639" i="11"/>
  <c r="Y3640" i="11"/>
  <c r="Y3641" i="11"/>
  <c r="Y3642" i="11"/>
  <c r="Y3643" i="11"/>
  <c r="Y3644" i="11"/>
  <c r="Y3645" i="11"/>
  <c r="Y3646" i="11"/>
  <c r="Y3647" i="11"/>
  <c r="Y3648" i="11"/>
  <c r="Y3649" i="11"/>
  <c r="Y3650" i="11"/>
  <c r="Y3651" i="11"/>
  <c r="Y3652" i="11"/>
  <c r="Y3653" i="11"/>
  <c r="Y3654" i="11"/>
  <c r="Y3655" i="11"/>
  <c r="Y3656" i="11"/>
  <c r="Y3657" i="11"/>
  <c r="Y3658" i="11"/>
  <c r="Y3659" i="11"/>
  <c r="Y3660" i="11"/>
  <c r="Y3661" i="11"/>
  <c r="Y3662" i="11"/>
  <c r="Y3663" i="11"/>
  <c r="Y3664" i="11"/>
  <c r="Y3665" i="11"/>
  <c r="Y3666" i="11"/>
  <c r="Y3667" i="11"/>
  <c r="Y3668" i="11"/>
  <c r="Y3669" i="11"/>
  <c r="Y3670" i="11"/>
  <c r="Y3671" i="11"/>
  <c r="Y3672" i="11"/>
  <c r="Y3673" i="11"/>
  <c r="Y3674" i="11"/>
  <c r="Y3675" i="11"/>
  <c r="Y3676" i="11"/>
  <c r="Y3677" i="11"/>
  <c r="Y3678" i="11"/>
  <c r="Y3679" i="11"/>
  <c r="Y3680" i="11"/>
  <c r="Y3681" i="11"/>
  <c r="Y3682" i="11"/>
  <c r="Y3683" i="11"/>
  <c r="Y3684" i="11"/>
  <c r="Y3685" i="11"/>
  <c r="Y3686" i="11"/>
  <c r="Y3687" i="11"/>
  <c r="Y3688" i="11"/>
  <c r="Y3689" i="11"/>
  <c r="Y3690" i="11"/>
  <c r="Y3691" i="11"/>
  <c r="Y3692" i="11"/>
  <c r="Y3693" i="11"/>
  <c r="Y3694" i="11"/>
  <c r="Y3695" i="11"/>
  <c r="Y3696" i="11"/>
  <c r="Y3697" i="11"/>
  <c r="Y3698" i="11"/>
  <c r="Y3699" i="11"/>
  <c r="Y3700" i="11"/>
  <c r="Y3701" i="11"/>
  <c r="Y3702" i="11"/>
  <c r="Y3703" i="11"/>
  <c r="Y3704" i="11"/>
  <c r="Y3705" i="11"/>
  <c r="Y3706" i="11"/>
  <c r="Y3707" i="11"/>
  <c r="Y3708" i="11"/>
  <c r="Y3709" i="11"/>
  <c r="Y3710" i="11"/>
  <c r="Y3711" i="11"/>
  <c r="Y3712" i="11"/>
  <c r="Y3713" i="11"/>
  <c r="Y3714" i="11"/>
  <c r="Y3715" i="11"/>
  <c r="Y3716" i="11"/>
  <c r="Y3717" i="11"/>
  <c r="Y3718" i="11"/>
  <c r="Y3719" i="11"/>
  <c r="Y3720" i="11"/>
  <c r="Y3721" i="11"/>
  <c r="Y3722" i="11"/>
  <c r="Y3723" i="11"/>
  <c r="Y3724" i="11"/>
  <c r="Y3725" i="11"/>
  <c r="Y3726" i="11"/>
  <c r="Y3727" i="11"/>
  <c r="Y3728" i="11"/>
  <c r="Y3729" i="11"/>
  <c r="Y3730" i="11"/>
  <c r="Y3731" i="11"/>
  <c r="Y3732" i="11"/>
  <c r="Y3733" i="11"/>
  <c r="Y3734" i="11"/>
  <c r="Y3735" i="11"/>
  <c r="Y3736" i="11"/>
  <c r="Y3737" i="11"/>
  <c r="Y3738" i="11"/>
  <c r="Y3739" i="11"/>
  <c r="Y3740" i="11"/>
  <c r="Y3741" i="11"/>
  <c r="Y3742" i="11"/>
  <c r="Y3743" i="11"/>
  <c r="Y3744" i="11"/>
  <c r="Y3745" i="11"/>
  <c r="Y3746" i="11"/>
  <c r="Y3747" i="11"/>
  <c r="Y3748" i="11"/>
  <c r="Y3749" i="11"/>
  <c r="Y3750" i="11"/>
  <c r="Y3751" i="11"/>
  <c r="Y3752" i="11"/>
  <c r="Y3753" i="11"/>
  <c r="Y3754" i="11"/>
  <c r="Y3755" i="11"/>
  <c r="Y3756" i="11"/>
  <c r="Y3757" i="11"/>
  <c r="Y3758" i="11"/>
  <c r="Y3759" i="11"/>
  <c r="Y3760" i="11"/>
  <c r="Y3761" i="11"/>
  <c r="Y3762" i="11"/>
  <c r="Y3763" i="11"/>
  <c r="Y3764" i="11"/>
  <c r="Y3765" i="11"/>
  <c r="Y3766" i="11"/>
  <c r="Y3767" i="11"/>
  <c r="Y3768" i="11"/>
  <c r="Y3769" i="11"/>
  <c r="Y3770" i="11"/>
  <c r="Y3771" i="11"/>
  <c r="Y3772" i="11"/>
  <c r="Y3773" i="11"/>
  <c r="Y3774" i="11"/>
  <c r="Y3775" i="11"/>
  <c r="Y3776" i="11"/>
  <c r="Y3777" i="11"/>
  <c r="Y3778" i="11"/>
  <c r="Y3779" i="11"/>
  <c r="Y3780" i="11"/>
  <c r="Y3781" i="11"/>
  <c r="Y3782" i="11"/>
  <c r="Y3783" i="11"/>
  <c r="Y3784" i="11"/>
  <c r="Y3785" i="11"/>
  <c r="Y3786" i="11"/>
  <c r="Y3787" i="11"/>
  <c r="Y3788" i="11"/>
  <c r="Y3789" i="11"/>
  <c r="Y3790" i="11"/>
  <c r="Y3791" i="11"/>
  <c r="Y3792" i="11"/>
  <c r="Y3793" i="11"/>
  <c r="Y3794" i="11"/>
  <c r="Y3795" i="11"/>
  <c r="Y3796" i="11"/>
  <c r="Y3797" i="11"/>
  <c r="Y3798" i="11"/>
  <c r="Y3799" i="11"/>
  <c r="Y3800" i="11"/>
  <c r="Y3801" i="11"/>
  <c r="Y3802" i="11"/>
  <c r="Y3803" i="11"/>
  <c r="Y3804" i="11"/>
  <c r="Y3805" i="11"/>
  <c r="Y3806" i="11"/>
  <c r="Y3807" i="11"/>
  <c r="Y3808" i="11"/>
  <c r="Y3809" i="11"/>
  <c r="Y3810" i="11"/>
  <c r="Y3811" i="11"/>
  <c r="Y3812" i="11"/>
  <c r="Y3813" i="11"/>
  <c r="Y3814" i="11"/>
  <c r="Y3815" i="11"/>
  <c r="Y3816" i="11"/>
  <c r="Y3817" i="11"/>
  <c r="Y3818" i="11"/>
  <c r="Y3819" i="11"/>
  <c r="Y3820" i="11"/>
  <c r="Y3821" i="11"/>
  <c r="Y3822" i="11"/>
  <c r="Y3823" i="11"/>
  <c r="Y3824" i="11"/>
  <c r="Y3825" i="11"/>
  <c r="Y3826" i="11"/>
  <c r="Y3827" i="11"/>
  <c r="Y3828" i="11"/>
  <c r="Y3829" i="11"/>
  <c r="Y3830" i="11"/>
  <c r="Y3831" i="11"/>
  <c r="Y3832" i="11"/>
  <c r="Y3833" i="11"/>
  <c r="Y3834" i="11"/>
  <c r="Y3835" i="11"/>
  <c r="Y3836" i="11"/>
  <c r="Y3837" i="11"/>
  <c r="Y3838" i="11"/>
  <c r="Y3839" i="11"/>
  <c r="Y3840" i="11"/>
  <c r="Y3841" i="11"/>
  <c r="Y3842" i="11"/>
  <c r="Y3843" i="11"/>
  <c r="Y3844" i="11"/>
  <c r="Y3845" i="11"/>
  <c r="Y3846" i="11"/>
  <c r="Y3847" i="11"/>
  <c r="Y3848" i="11"/>
  <c r="Y3849" i="11"/>
  <c r="Y3850" i="11"/>
  <c r="Y3851" i="11"/>
  <c r="Y3852" i="11"/>
  <c r="Y3853" i="11"/>
  <c r="Y3854" i="11"/>
  <c r="Y3855" i="11"/>
  <c r="Y3856" i="11"/>
  <c r="Y3857" i="11"/>
  <c r="Y3858" i="11"/>
  <c r="Y3859" i="11"/>
  <c r="Y3860" i="11"/>
  <c r="Y3861" i="11"/>
  <c r="Y3862" i="11"/>
  <c r="Y3863" i="11"/>
  <c r="Y3864" i="11"/>
  <c r="Y3865" i="11"/>
  <c r="Y3866" i="11"/>
  <c r="Y3867" i="11"/>
  <c r="Y3868" i="11"/>
  <c r="Y3869" i="11"/>
  <c r="Y3870" i="11"/>
  <c r="Y3871" i="11"/>
  <c r="Y3872" i="11"/>
  <c r="Y3873" i="11"/>
  <c r="Y3874" i="11"/>
  <c r="Y3875" i="11"/>
  <c r="Y3876" i="11"/>
  <c r="Y3877" i="11"/>
  <c r="Y3878" i="11"/>
  <c r="Y3879" i="11"/>
  <c r="Y3880" i="11"/>
  <c r="Y3881" i="11"/>
  <c r="Y3882" i="11"/>
  <c r="Y3883" i="11"/>
  <c r="Y3884" i="11"/>
  <c r="Y3885" i="11"/>
  <c r="Y3886" i="11"/>
  <c r="Y3887" i="11"/>
  <c r="Y3888" i="11"/>
  <c r="Y3889" i="11"/>
  <c r="Y3890" i="11"/>
  <c r="Y3891" i="11"/>
  <c r="Y3892" i="11"/>
  <c r="Y3893" i="11"/>
  <c r="Y3894" i="11"/>
  <c r="Y3895" i="11"/>
  <c r="Y3896" i="11"/>
  <c r="Y3897" i="11"/>
  <c r="Y3898" i="11"/>
  <c r="Y3899" i="11"/>
  <c r="Y3900" i="11"/>
  <c r="Y3901" i="11"/>
  <c r="Y3902" i="11"/>
  <c r="Y3903" i="11"/>
  <c r="Y3904" i="11"/>
  <c r="Y3905" i="11"/>
  <c r="Y3906" i="11"/>
  <c r="Y3907" i="11"/>
  <c r="Y3908" i="11"/>
  <c r="Y3909" i="11"/>
  <c r="Y3910" i="11"/>
  <c r="Y3911" i="11"/>
  <c r="Y3912" i="11"/>
  <c r="Y3913" i="11"/>
  <c r="Y3914" i="11"/>
  <c r="Y3915" i="11"/>
  <c r="Y3916" i="11"/>
  <c r="Y3917" i="11"/>
  <c r="Y3918" i="11"/>
  <c r="Y3919" i="11"/>
  <c r="Y3920" i="11"/>
  <c r="Y3921" i="11"/>
  <c r="Y3922" i="11"/>
  <c r="Y3923" i="11"/>
  <c r="Y3924" i="11"/>
  <c r="Y3925" i="11"/>
  <c r="Y3926" i="11"/>
  <c r="Y3927" i="11"/>
  <c r="Y3928" i="11"/>
  <c r="Y3929" i="11"/>
  <c r="Y3930" i="11"/>
  <c r="Y3931" i="11"/>
  <c r="Y3932" i="11"/>
  <c r="Y3933" i="11"/>
  <c r="Y3934" i="11"/>
  <c r="Y3935" i="11"/>
  <c r="Y3936" i="11"/>
  <c r="Y3937" i="11"/>
  <c r="Y3938" i="11"/>
  <c r="Y3939" i="11"/>
  <c r="Y3940" i="11"/>
  <c r="Y3941" i="11"/>
  <c r="Y3942" i="11"/>
  <c r="Y3943" i="11"/>
  <c r="Y3944" i="11"/>
  <c r="Y3945" i="11"/>
  <c r="Y3946" i="11"/>
  <c r="Y3947" i="11"/>
  <c r="Y3948" i="11"/>
  <c r="Y3949" i="11"/>
  <c r="Y3950" i="11"/>
  <c r="Y3951" i="11"/>
  <c r="Y3952" i="11"/>
  <c r="Y3953" i="11"/>
  <c r="Y3954" i="11"/>
  <c r="Y3955" i="11"/>
  <c r="Y3956" i="11"/>
  <c r="Y3957" i="11"/>
  <c r="Y3958" i="11"/>
  <c r="Y3959" i="11"/>
  <c r="Y3960" i="11"/>
  <c r="Y3961" i="11"/>
  <c r="Y3962" i="11"/>
  <c r="Y3963" i="11"/>
  <c r="Y3964" i="11"/>
  <c r="Y3965" i="11"/>
  <c r="Y3966" i="11"/>
  <c r="Y3967" i="11"/>
  <c r="Y3968" i="11"/>
  <c r="Y3969" i="11"/>
  <c r="Y3970" i="11"/>
  <c r="Y3971" i="11"/>
  <c r="Y3972" i="11"/>
  <c r="Y3973" i="11"/>
  <c r="Y3974" i="11"/>
  <c r="Y3975" i="11"/>
  <c r="Y3976" i="11"/>
  <c r="Y3977" i="11"/>
  <c r="Y3978" i="11"/>
  <c r="Y3979" i="11"/>
  <c r="Y3980" i="11"/>
  <c r="Y3981" i="11"/>
  <c r="Y3982" i="11"/>
  <c r="Y3983" i="11"/>
  <c r="Y3984" i="11"/>
  <c r="Y3985" i="11"/>
  <c r="Y3986" i="11"/>
  <c r="Y3987" i="11"/>
  <c r="Y3988" i="11"/>
  <c r="Y3989" i="11"/>
  <c r="Y3990" i="11"/>
  <c r="Y3991" i="11"/>
  <c r="Y3992" i="11"/>
  <c r="Y3993" i="11"/>
  <c r="Y3994" i="11"/>
  <c r="Y3995" i="11"/>
  <c r="Y3996" i="11"/>
  <c r="Y3997" i="11"/>
  <c r="Y3998" i="11"/>
  <c r="Y3999" i="11"/>
  <c r="Y4000" i="11"/>
  <c r="Y4001" i="11"/>
  <c r="Y4002" i="11"/>
  <c r="Y4003" i="11"/>
  <c r="Y4004" i="11"/>
  <c r="Y4005" i="11"/>
  <c r="Y4006" i="11"/>
  <c r="Y4007" i="11"/>
  <c r="Y4008" i="11"/>
  <c r="Y4009" i="11"/>
  <c r="Y4010" i="11"/>
  <c r="Y4011" i="11"/>
  <c r="Y4012" i="11"/>
  <c r="Y4013" i="11"/>
  <c r="Y4014" i="11"/>
  <c r="Y4015" i="11"/>
  <c r="Y4016" i="11"/>
  <c r="Y4017" i="11"/>
  <c r="Y4018" i="11"/>
  <c r="Y4019" i="11"/>
  <c r="Y4020" i="11"/>
  <c r="Y4021" i="11"/>
  <c r="Y4022" i="11"/>
  <c r="Y4023" i="11"/>
  <c r="Y4024" i="11"/>
  <c r="Y4025" i="11"/>
  <c r="Y4026" i="11"/>
  <c r="Y4027" i="11"/>
  <c r="Y4028" i="11"/>
  <c r="Y4029" i="11"/>
  <c r="Y4030" i="11"/>
  <c r="Y4031" i="11"/>
  <c r="Y4032" i="11"/>
  <c r="Y4033" i="11"/>
  <c r="Y4034" i="11"/>
  <c r="Y4035" i="11"/>
  <c r="Y4036" i="11"/>
  <c r="Y4037" i="11"/>
  <c r="Y4038" i="11"/>
  <c r="Y4039" i="11"/>
  <c r="Y4040" i="11"/>
  <c r="Y4041" i="11"/>
  <c r="Y4042" i="11"/>
  <c r="Y4043" i="11"/>
  <c r="Y4044" i="11"/>
  <c r="Y4045" i="11"/>
  <c r="Y4046" i="11"/>
  <c r="Y4047" i="11"/>
  <c r="Y4048" i="11"/>
  <c r="Y4049" i="11"/>
  <c r="Y4050" i="11"/>
  <c r="Y4051" i="11"/>
  <c r="Y4052" i="11"/>
  <c r="Y4053" i="11"/>
  <c r="Y4054" i="11"/>
  <c r="Y4055" i="11"/>
  <c r="Y4056" i="11"/>
  <c r="Y4057" i="11"/>
  <c r="Y4058" i="11"/>
  <c r="Y4059" i="11"/>
  <c r="Y4060" i="11"/>
  <c r="Y4061" i="11"/>
  <c r="Y4062" i="11"/>
  <c r="Y4063" i="11"/>
  <c r="Y4064" i="11"/>
  <c r="Y4065" i="11"/>
  <c r="Y4066" i="11"/>
  <c r="Y4067" i="11"/>
  <c r="Y4068" i="11"/>
  <c r="Y4069" i="11"/>
  <c r="Y4070" i="11"/>
  <c r="Y4071" i="11"/>
  <c r="Y4072" i="11"/>
  <c r="Y4073" i="11"/>
  <c r="Y4074" i="11"/>
  <c r="Y4075" i="11"/>
  <c r="Y4076" i="11"/>
  <c r="Y4077" i="11"/>
  <c r="Y4078" i="11"/>
  <c r="Y4079" i="11"/>
  <c r="Y4080" i="11"/>
  <c r="Y4081" i="11"/>
  <c r="Y4082" i="11"/>
  <c r="Y4083" i="11"/>
  <c r="Y4084" i="11"/>
  <c r="Y4085" i="11"/>
  <c r="Y4086" i="11"/>
  <c r="Y4087" i="11"/>
  <c r="Y4088" i="11"/>
  <c r="Y4089" i="11"/>
  <c r="Y4090" i="11"/>
  <c r="Y4091" i="11"/>
  <c r="Y4092" i="11"/>
  <c r="Y4093" i="11"/>
  <c r="Y4094" i="11"/>
  <c r="Y4095" i="11"/>
  <c r="Y4096" i="11"/>
  <c r="Y4097" i="11"/>
  <c r="Y4098" i="11"/>
  <c r="Y4099" i="11"/>
  <c r="Y4100" i="11"/>
  <c r="Y4101" i="11"/>
  <c r="Y4102" i="11"/>
  <c r="Y4103" i="11"/>
  <c r="Y4104" i="11"/>
  <c r="Y4105" i="11"/>
  <c r="Y4106" i="11"/>
  <c r="Y4107" i="11"/>
  <c r="Y4108" i="11"/>
  <c r="Y4109" i="11"/>
  <c r="Y4110" i="11"/>
  <c r="Y4111" i="11"/>
  <c r="Y4112" i="11"/>
  <c r="Y4113" i="11"/>
  <c r="Y4114" i="11"/>
  <c r="Y4115" i="11"/>
  <c r="Y4116" i="11"/>
  <c r="Y4117" i="11"/>
  <c r="Y4118" i="11"/>
  <c r="Y4119" i="11"/>
  <c r="Y4120" i="11"/>
  <c r="Y4121" i="11"/>
  <c r="Y4122" i="11"/>
  <c r="Y4123" i="11"/>
  <c r="Y4124" i="11"/>
  <c r="Y4125" i="11"/>
  <c r="Y4126" i="11"/>
  <c r="Y4127" i="11"/>
  <c r="Y4128" i="11"/>
  <c r="Y4129" i="11"/>
  <c r="Y4130" i="11"/>
  <c r="Y4131" i="11"/>
  <c r="Y4132" i="11"/>
  <c r="Y4133" i="11"/>
  <c r="Y4134" i="11"/>
  <c r="Y4135" i="11"/>
  <c r="Y4136" i="11"/>
  <c r="Y4137" i="11"/>
  <c r="Y4138" i="11"/>
  <c r="Y4139" i="11"/>
  <c r="Y4140" i="11"/>
  <c r="Y4141" i="11"/>
  <c r="Y4142" i="11"/>
  <c r="Y4143" i="11"/>
  <c r="Y4144" i="11"/>
  <c r="Y4145" i="11"/>
  <c r="Y4146" i="11"/>
  <c r="Y4147" i="11"/>
  <c r="Y4148" i="11"/>
  <c r="Y4149" i="11"/>
  <c r="Y4150" i="11"/>
  <c r="Y4151" i="11"/>
  <c r="Y4152" i="11"/>
  <c r="Y4153" i="11"/>
  <c r="Y4154" i="11"/>
  <c r="Y4155" i="11"/>
  <c r="Y4156" i="11"/>
  <c r="Y4157" i="11"/>
  <c r="Y4158" i="11"/>
  <c r="Y4159" i="11"/>
  <c r="Y4160" i="11"/>
  <c r="Y4161" i="11"/>
  <c r="Y4162" i="11"/>
  <c r="Y4163" i="11"/>
  <c r="Y4164" i="11"/>
  <c r="Y4165" i="11"/>
  <c r="Y4166" i="11"/>
  <c r="Y4167" i="11"/>
  <c r="Y4168" i="11"/>
  <c r="Y4169" i="11"/>
  <c r="Y4170" i="11"/>
  <c r="Y4171" i="11"/>
  <c r="Y4172" i="11"/>
  <c r="Y4173" i="11"/>
  <c r="Y4174" i="11"/>
  <c r="Y4175" i="11"/>
  <c r="Y4176" i="11"/>
  <c r="Y4177" i="11"/>
  <c r="Y4178" i="11"/>
  <c r="Y4179" i="11"/>
  <c r="Y4180" i="11"/>
  <c r="Y4181" i="11"/>
  <c r="Y4182" i="11"/>
  <c r="Y4183" i="11"/>
  <c r="Y4184" i="11"/>
  <c r="Y4185" i="11"/>
  <c r="Y4186" i="11"/>
  <c r="Y4187" i="11"/>
  <c r="Y4188" i="11"/>
  <c r="Y4189" i="11"/>
  <c r="Y4190" i="11"/>
  <c r="Y4191" i="11"/>
  <c r="Y4192" i="11"/>
  <c r="Y4193" i="11"/>
  <c r="Y4194" i="11"/>
  <c r="Y4195" i="11"/>
  <c r="Y4196" i="11"/>
  <c r="Y4197" i="11"/>
  <c r="Y4198" i="11"/>
  <c r="Y4199" i="11"/>
  <c r="Y4200" i="11"/>
  <c r="Y4201" i="11"/>
  <c r="Y4202" i="11"/>
  <c r="Y4203" i="11"/>
  <c r="Y4204" i="11"/>
  <c r="Y4205" i="11"/>
  <c r="Y4206" i="11"/>
  <c r="Y4207" i="11"/>
  <c r="Y4208" i="11"/>
  <c r="Y4209" i="11"/>
  <c r="Y4210" i="11"/>
  <c r="Y4211" i="11"/>
  <c r="Y4212" i="11"/>
  <c r="Y4213" i="11"/>
  <c r="Y4214" i="11"/>
  <c r="Y4215" i="11"/>
  <c r="Y4216" i="11"/>
  <c r="Y4217" i="11"/>
  <c r="Y4218" i="11"/>
  <c r="Y4219" i="11"/>
  <c r="Y4220" i="11"/>
  <c r="Y4221" i="11"/>
  <c r="Y4222" i="11"/>
  <c r="Y4223" i="11"/>
  <c r="Y4224" i="11"/>
  <c r="Y4225" i="11"/>
  <c r="Y4226" i="11"/>
  <c r="Y4227" i="11"/>
  <c r="Y4228" i="11"/>
  <c r="Y4229" i="11"/>
  <c r="Y4230" i="11"/>
  <c r="Y4231" i="11"/>
  <c r="Y4232" i="11"/>
  <c r="Y4233" i="11"/>
  <c r="Y4234" i="11"/>
  <c r="Y4235" i="11"/>
  <c r="Y4236" i="11"/>
  <c r="Y4237" i="11"/>
  <c r="Y4238" i="11"/>
  <c r="Y4239" i="11"/>
  <c r="Y4240" i="11"/>
  <c r="Y4241" i="11"/>
  <c r="Y4242" i="11"/>
  <c r="Y4243" i="11"/>
  <c r="Y4244" i="11"/>
  <c r="Y4245" i="11"/>
  <c r="Y4246" i="11"/>
  <c r="Y4247" i="11"/>
  <c r="Y4248" i="11"/>
  <c r="Y4249" i="11"/>
  <c r="Y4250" i="11"/>
  <c r="Y4251" i="11"/>
  <c r="Y4252" i="11"/>
  <c r="Y4253" i="11"/>
  <c r="Y4254" i="11"/>
  <c r="Y4255" i="11"/>
  <c r="Y4256" i="11"/>
  <c r="Y4257" i="11"/>
  <c r="Y4258" i="11"/>
  <c r="Y4259" i="11"/>
  <c r="Y4260" i="11"/>
  <c r="Y4261" i="11"/>
  <c r="Y4262" i="11"/>
  <c r="Y4263" i="11"/>
  <c r="Y4264" i="11"/>
  <c r="Y4265" i="11"/>
  <c r="Y4266" i="11"/>
  <c r="Y4267" i="11"/>
  <c r="Y4268" i="11"/>
  <c r="Y4269" i="11"/>
  <c r="Y4270" i="11"/>
  <c r="Y4271" i="11"/>
  <c r="Y4272" i="11"/>
  <c r="Y4273" i="11"/>
  <c r="Y4274" i="11"/>
  <c r="Y4275" i="11"/>
  <c r="Y4276" i="11"/>
  <c r="Y4277" i="11"/>
  <c r="Y4278" i="11"/>
  <c r="Y4279" i="11"/>
  <c r="Y4280" i="11"/>
  <c r="Y4281" i="11"/>
  <c r="Y4282" i="11"/>
  <c r="Y4283" i="11"/>
  <c r="Y4284" i="11"/>
  <c r="Y4285" i="11"/>
  <c r="Y4286" i="11"/>
  <c r="Y4287" i="11"/>
  <c r="Y4288" i="11"/>
  <c r="Y4289" i="11"/>
  <c r="Y4290" i="11"/>
  <c r="Y4291" i="11"/>
  <c r="Y4292" i="11"/>
  <c r="Y4293" i="11"/>
  <c r="Y4294" i="11"/>
  <c r="Y4295" i="11"/>
  <c r="Y4296" i="11"/>
  <c r="Y4297" i="11"/>
  <c r="Y4298" i="11"/>
  <c r="Y4299" i="11"/>
  <c r="Y4300" i="11"/>
  <c r="Y4301" i="11"/>
  <c r="Y4302" i="11"/>
  <c r="Y4303" i="11"/>
  <c r="Y4304" i="11"/>
  <c r="Y4305" i="11"/>
  <c r="Y4306" i="11"/>
  <c r="Y4307" i="11"/>
  <c r="Y4308" i="11"/>
  <c r="Y4309" i="11"/>
  <c r="Y4310" i="11"/>
  <c r="Y4311" i="11"/>
  <c r="Y4312" i="11"/>
  <c r="Y4313" i="11"/>
  <c r="Y4314" i="11"/>
  <c r="Y4315" i="11"/>
  <c r="Y4316" i="11"/>
  <c r="Y4317" i="11"/>
  <c r="Y4318" i="11"/>
  <c r="Y4319" i="11"/>
  <c r="Y4320" i="11"/>
  <c r="Y4321" i="11"/>
  <c r="Y4322" i="11"/>
  <c r="Y4323" i="11"/>
  <c r="Y4324" i="11"/>
  <c r="Y4325" i="11"/>
  <c r="Y4326" i="11"/>
  <c r="Y4327" i="11"/>
  <c r="Y4328" i="11"/>
  <c r="Y4329" i="11"/>
  <c r="Y4330" i="11"/>
  <c r="Y4331" i="11"/>
  <c r="Y4332" i="11"/>
  <c r="Y4333" i="11"/>
  <c r="Y4334" i="11"/>
  <c r="Y4335" i="11"/>
  <c r="Y4336" i="11"/>
  <c r="Y4337" i="11"/>
  <c r="Y4338" i="11"/>
  <c r="Y4339" i="11"/>
  <c r="Y4340" i="11"/>
  <c r="Y4341" i="11"/>
  <c r="Y4342" i="11"/>
  <c r="Y4343" i="11"/>
  <c r="Y4344" i="11"/>
  <c r="Y4345" i="11"/>
  <c r="Y4346" i="11"/>
  <c r="Y4347" i="11"/>
  <c r="Y4348" i="11"/>
  <c r="Y4349" i="11"/>
  <c r="Y4350" i="11"/>
  <c r="Y4351" i="11"/>
  <c r="Y4352" i="11"/>
  <c r="Y4353" i="11"/>
  <c r="Y4354" i="11"/>
  <c r="Y4355" i="11"/>
  <c r="Y4356" i="11"/>
  <c r="Y4357" i="11"/>
  <c r="Y4358" i="11"/>
  <c r="Y4359" i="11"/>
  <c r="Y4360" i="11"/>
  <c r="Y4361" i="11"/>
  <c r="Y4362" i="11"/>
  <c r="Y4363" i="11"/>
  <c r="Y4364" i="11"/>
  <c r="Y4365" i="11"/>
  <c r="Y4366" i="11"/>
  <c r="Y4367" i="11"/>
  <c r="Y4368" i="11"/>
  <c r="Y4369" i="11"/>
  <c r="Y4370" i="11"/>
  <c r="Y4371" i="11"/>
  <c r="Y4372" i="11"/>
  <c r="Y4373" i="11"/>
  <c r="Y4374" i="11"/>
  <c r="Y4375" i="11"/>
  <c r="Y4376" i="11"/>
  <c r="Y4377" i="11"/>
  <c r="Y4378" i="11"/>
  <c r="Y4379" i="11"/>
  <c r="Y4380" i="11"/>
  <c r="Y4381" i="11"/>
  <c r="Y4382" i="11"/>
  <c r="Y4383" i="11"/>
  <c r="Y4384" i="11"/>
  <c r="Y4385" i="11"/>
  <c r="Y4386" i="11"/>
  <c r="Y4387" i="11"/>
  <c r="Y4388" i="11"/>
  <c r="Y4389" i="11"/>
  <c r="Y4390" i="11"/>
  <c r="Y4391" i="11"/>
  <c r="Y4392" i="11"/>
  <c r="Y4393" i="11"/>
  <c r="Y4394" i="11"/>
  <c r="Y4395" i="11"/>
  <c r="Y4396" i="11"/>
  <c r="Y4397" i="11"/>
  <c r="Y4398" i="11"/>
  <c r="Y4399" i="11"/>
  <c r="Y4400" i="11"/>
  <c r="Y4401" i="11"/>
  <c r="Y4402" i="11"/>
  <c r="Y4403" i="11"/>
  <c r="Y4404" i="11"/>
  <c r="Y4405" i="11"/>
  <c r="Y4406" i="11"/>
  <c r="Y4407" i="11"/>
  <c r="Y4408" i="11"/>
  <c r="Y4409" i="11"/>
  <c r="Y4410" i="11"/>
  <c r="Y4411" i="11"/>
  <c r="Y4412" i="11"/>
  <c r="Y4413" i="11"/>
  <c r="Y4414" i="11"/>
  <c r="Y4415" i="11"/>
  <c r="Y4416" i="11"/>
  <c r="Y4417" i="11"/>
  <c r="Y4418" i="11"/>
  <c r="Y4419" i="11"/>
  <c r="Y4420" i="11"/>
  <c r="Y4421" i="11"/>
  <c r="Y4422" i="11"/>
  <c r="Y4423" i="11"/>
  <c r="Y4424" i="11"/>
  <c r="Y4425" i="11"/>
  <c r="Y4426" i="11"/>
  <c r="Y4427" i="11"/>
  <c r="Y4428" i="11"/>
  <c r="Y4429" i="11"/>
  <c r="Y4430" i="11"/>
  <c r="Y4431" i="11"/>
  <c r="Y4432" i="11"/>
  <c r="Y4433" i="11"/>
  <c r="Y4434" i="11"/>
  <c r="Y4435" i="11"/>
  <c r="Y4436" i="11"/>
  <c r="Y4437" i="11"/>
  <c r="Y4438" i="11"/>
  <c r="Y4439" i="11"/>
  <c r="Y4440" i="11"/>
  <c r="Y4441" i="11"/>
  <c r="Y4442" i="11"/>
  <c r="Y4443" i="11"/>
  <c r="Y4444" i="11"/>
  <c r="Y4445" i="11"/>
  <c r="Y4446" i="11"/>
  <c r="Y4447" i="11"/>
  <c r="Y4448" i="11"/>
  <c r="Y4449" i="11"/>
  <c r="Y4450" i="11"/>
  <c r="Y4451" i="11"/>
  <c r="Y4452" i="11"/>
  <c r="Y4453" i="11"/>
  <c r="Y4454" i="11"/>
  <c r="Y4455" i="11"/>
  <c r="Y4456" i="11"/>
  <c r="Y4457" i="11"/>
  <c r="Y4458" i="11"/>
  <c r="Y4459" i="11"/>
  <c r="Y4460" i="11"/>
  <c r="Y4461" i="11"/>
  <c r="Y4462" i="11"/>
  <c r="Y4463" i="11"/>
  <c r="Y4464" i="11"/>
  <c r="Y4465" i="11"/>
  <c r="Y4466" i="11"/>
  <c r="Y4467" i="11"/>
  <c r="Y4468" i="11"/>
  <c r="Y4469" i="11"/>
  <c r="Y4470" i="11"/>
  <c r="Y4471" i="11"/>
  <c r="Y4472" i="11"/>
  <c r="Y4473" i="11"/>
  <c r="Y4474" i="11"/>
  <c r="Y4475" i="11"/>
  <c r="Y4476" i="11"/>
  <c r="Y4477" i="11"/>
  <c r="Y4478" i="11"/>
  <c r="Y4479" i="11"/>
  <c r="Y4480" i="11"/>
  <c r="Y4481" i="11"/>
  <c r="Y4482" i="11"/>
  <c r="Y4483" i="11"/>
  <c r="Y4484" i="11"/>
  <c r="Y4485" i="11"/>
  <c r="Y4486" i="11"/>
  <c r="Y4487" i="11"/>
  <c r="Y4488" i="11"/>
  <c r="Y4489" i="11"/>
  <c r="Y4490" i="11"/>
  <c r="Y4491" i="11"/>
  <c r="Y4492" i="11"/>
  <c r="Y4493" i="11"/>
  <c r="Y4494" i="11"/>
  <c r="Y4495" i="11"/>
  <c r="Y4496" i="11"/>
  <c r="Y4497" i="11"/>
  <c r="Y4498" i="11"/>
  <c r="Y4499" i="11"/>
  <c r="Y4500" i="11"/>
  <c r="Y4501" i="11"/>
  <c r="Y4502" i="11"/>
  <c r="Y4503" i="11"/>
  <c r="Y4504" i="11"/>
  <c r="Y4505" i="11"/>
  <c r="Y4506" i="11"/>
  <c r="Y4507" i="11"/>
  <c r="Y4508" i="11"/>
  <c r="Y4509" i="11"/>
  <c r="Y4510" i="11"/>
  <c r="Y4511" i="11"/>
  <c r="Y4512" i="11"/>
  <c r="Y4513" i="11"/>
  <c r="Y4514" i="11"/>
  <c r="Y4515" i="11"/>
  <c r="Y4516" i="11"/>
  <c r="Y4517" i="11"/>
  <c r="Y4518" i="11"/>
  <c r="Y4519" i="11"/>
  <c r="Y4520" i="11"/>
  <c r="Y4521" i="11"/>
  <c r="Y4522" i="11"/>
  <c r="Y4523" i="11"/>
  <c r="Y4524" i="11"/>
  <c r="Y4525" i="11"/>
  <c r="Y4526" i="11"/>
  <c r="Y4527" i="11"/>
  <c r="Y4528" i="11"/>
  <c r="Y4529" i="11"/>
  <c r="Y4530" i="11"/>
  <c r="Y4531" i="11"/>
  <c r="Y4532" i="11"/>
  <c r="Y4533" i="11"/>
  <c r="Y4534" i="11"/>
  <c r="Y4535" i="11"/>
  <c r="Y4536" i="11"/>
  <c r="Y4537" i="11"/>
  <c r="Y4538" i="11"/>
  <c r="Y4539" i="11"/>
  <c r="Y4540" i="11"/>
  <c r="Y4541" i="11"/>
  <c r="Y4542" i="11"/>
  <c r="Y4543" i="11"/>
  <c r="Y4544" i="11"/>
  <c r="Y4545" i="11"/>
  <c r="Y4546" i="11"/>
  <c r="Y4547" i="11"/>
  <c r="Y4548" i="11"/>
  <c r="Y4549" i="11"/>
  <c r="Y4550" i="11"/>
  <c r="Y4551" i="11"/>
  <c r="Y4552" i="11"/>
  <c r="Y4553" i="11"/>
  <c r="Y4554" i="11"/>
  <c r="Y4555" i="11"/>
  <c r="Y4556" i="11"/>
  <c r="Y4557" i="11"/>
  <c r="Y4558" i="11"/>
  <c r="Y4559" i="11"/>
  <c r="Y4560" i="11"/>
  <c r="Y4561" i="11"/>
  <c r="Y4562" i="11"/>
  <c r="Y4563" i="11"/>
  <c r="Y4564" i="11"/>
  <c r="Y4565" i="11"/>
  <c r="Y4566" i="11"/>
  <c r="Y4567" i="11"/>
  <c r="Y4568" i="11"/>
  <c r="Y4569" i="11"/>
  <c r="Y4570" i="11"/>
  <c r="Y4571" i="11"/>
  <c r="Y4572" i="11"/>
  <c r="Y4573" i="11"/>
  <c r="Y4574" i="11"/>
  <c r="Y4575" i="11"/>
  <c r="Y4576" i="11"/>
  <c r="Y4577" i="11"/>
  <c r="Y4578" i="11"/>
  <c r="Y4579" i="11"/>
  <c r="Y4580" i="11"/>
  <c r="Y4581" i="11"/>
  <c r="Y4582" i="11"/>
  <c r="Y4583" i="11"/>
  <c r="Y4584" i="11"/>
  <c r="Y4585" i="11"/>
  <c r="Y4586" i="11"/>
  <c r="Y4587" i="11"/>
  <c r="Y4588" i="11"/>
  <c r="Y4589" i="11"/>
  <c r="Y4590" i="11"/>
  <c r="Y4591" i="11"/>
  <c r="Y4592" i="11"/>
  <c r="Y4593" i="11"/>
  <c r="Y4594" i="11"/>
  <c r="Y4595" i="11"/>
  <c r="Y4596" i="11"/>
  <c r="Y4597" i="11"/>
  <c r="Y4598" i="11"/>
  <c r="Y4599" i="11"/>
  <c r="Y4600" i="11"/>
  <c r="Y4601" i="11"/>
  <c r="Y4602" i="11"/>
  <c r="Y4603" i="11"/>
  <c r="Y4604" i="11"/>
  <c r="Y4605" i="11"/>
  <c r="Y4606" i="11"/>
  <c r="Y4607" i="11"/>
  <c r="Y4608" i="11"/>
  <c r="Y4609" i="11"/>
  <c r="Y4610" i="11"/>
  <c r="Y4611" i="11"/>
  <c r="Y4612" i="11"/>
  <c r="Y4613" i="11"/>
  <c r="Y4614" i="11"/>
  <c r="Y4615" i="11"/>
  <c r="Y4616" i="11"/>
  <c r="Y4617" i="11"/>
  <c r="Y4618" i="11"/>
  <c r="Y4619" i="11"/>
  <c r="Y4620" i="11"/>
  <c r="Y4621" i="11"/>
  <c r="Y4622" i="11"/>
  <c r="Y4623" i="11"/>
  <c r="Y4624" i="11"/>
  <c r="Y4625" i="11"/>
  <c r="Y4626" i="11"/>
  <c r="Y4627" i="11"/>
  <c r="Y4628" i="11"/>
  <c r="Y4629" i="11"/>
  <c r="Y4630" i="11"/>
  <c r="Y4631" i="11"/>
  <c r="Y4632" i="11"/>
  <c r="Y4633" i="11"/>
  <c r="Y4634" i="11"/>
  <c r="Y4635" i="11"/>
  <c r="Y4636" i="11"/>
  <c r="Y4637" i="11"/>
  <c r="Y4638" i="11"/>
  <c r="Y4639" i="11"/>
  <c r="Y4640" i="11"/>
  <c r="Y4641" i="11"/>
  <c r="Y4642" i="11"/>
  <c r="Y4643" i="11"/>
  <c r="Y4644" i="11"/>
  <c r="Y4645" i="11"/>
  <c r="Y4646" i="11"/>
  <c r="Y4647" i="11"/>
  <c r="Y4648" i="11"/>
  <c r="Y4649" i="11"/>
  <c r="Y4650" i="11"/>
  <c r="Y4651" i="11"/>
  <c r="Y4652" i="11"/>
  <c r="Y4653" i="11"/>
  <c r="Y4654" i="11"/>
  <c r="Y4655" i="11"/>
  <c r="Y4656" i="11"/>
  <c r="Y4657" i="11"/>
  <c r="Y4658" i="11"/>
  <c r="Y4659" i="11"/>
  <c r="Y4660" i="11"/>
  <c r="Y4661" i="11"/>
  <c r="Y4662" i="11"/>
  <c r="Y4663" i="11"/>
  <c r="Y4664" i="11"/>
  <c r="Y4665" i="11"/>
  <c r="Y4666" i="11"/>
  <c r="Y4667" i="11"/>
  <c r="Y4668" i="11"/>
  <c r="Y4669" i="11"/>
  <c r="Y4670" i="11"/>
  <c r="Y4671" i="11"/>
  <c r="Y4672" i="11"/>
  <c r="Y4673" i="11"/>
  <c r="Y4674" i="11"/>
  <c r="Y4675" i="11"/>
  <c r="Y4676" i="11"/>
  <c r="Y4677" i="11"/>
  <c r="Y4678" i="11"/>
  <c r="Y4679" i="11"/>
  <c r="Y4680" i="11"/>
  <c r="Y4681" i="11"/>
  <c r="Y4682" i="11"/>
  <c r="Y4683" i="11"/>
  <c r="Y4684" i="11"/>
  <c r="Y4685" i="11"/>
  <c r="Y4686" i="11"/>
  <c r="Y4687" i="11"/>
  <c r="Y4688" i="11"/>
  <c r="Y4689" i="11"/>
  <c r="Y4690" i="11"/>
  <c r="Y4691" i="11"/>
  <c r="Y4692" i="11"/>
  <c r="Y4693" i="11"/>
  <c r="Y4694" i="11"/>
  <c r="Y4695" i="11"/>
  <c r="Y4696" i="11"/>
  <c r="Y4697" i="11"/>
  <c r="Y4698" i="11"/>
  <c r="Y4699" i="11"/>
  <c r="Y4700" i="11"/>
  <c r="Y4701" i="11"/>
  <c r="Y4702" i="11"/>
  <c r="Y4703" i="11"/>
  <c r="Y4704" i="11"/>
  <c r="Y4705" i="11"/>
  <c r="Y4706" i="11"/>
  <c r="Y4707" i="11"/>
  <c r="Y4708" i="11"/>
  <c r="Y4709" i="11"/>
  <c r="Y4710" i="11"/>
  <c r="Y4711" i="11"/>
  <c r="Y4712" i="11"/>
  <c r="Y4713" i="11"/>
  <c r="Y4714" i="11"/>
  <c r="Y4715" i="11"/>
  <c r="Y4716" i="11"/>
  <c r="Y4717" i="11"/>
  <c r="Y4718" i="11"/>
  <c r="Y4719" i="11"/>
  <c r="Y4720" i="11"/>
  <c r="Y4721" i="11"/>
  <c r="Y4722" i="11"/>
  <c r="Y4723" i="11"/>
  <c r="Y4724" i="11"/>
  <c r="Y4725" i="11"/>
  <c r="Y4726" i="11"/>
  <c r="Y4727" i="11"/>
  <c r="Y4728" i="11"/>
  <c r="Y4729" i="11"/>
  <c r="Y4730" i="11"/>
  <c r="Y4731" i="11"/>
  <c r="Y4732" i="11"/>
  <c r="Y4733" i="11"/>
  <c r="Y4734" i="11"/>
  <c r="Y4735" i="11"/>
  <c r="Y4736" i="11"/>
  <c r="Y4737" i="11"/>
  <c r="Y4738" i="11"/>
  <c r="Y4739" i="11"/>
  <c r="Y4740" i="11"/>
  <c r="Y4741" i="11"/>
  <c r="Y4742" i="11"/>
  <c r="Y4743" i="11"/>
  <c r="Y4744" i="11"/>
  <c r="Y4745" i="11"/>
  <c r="Y4746" i="11"/>
  <c r="Y4747" i="11"/>
  <c r="Y4748" i="11"/>
  <c r="Y4749" i="11"/>
  <c r="Y4750" i="11"/>
  <c r="Y4751" i="11"/>
  <c r="Y4752" i="11"/>
  <c r="Y4753" i="11"/>
  <c r="Y4754" i="11"/>
  <c r="Y4755" i="11"/>
  <c r="Y4756" i="11"/>
  <c r="Y4757" i="11"/>
  <c r="Y4758" i="11"/>
  <c r="Y4759" i="11"/>
  <c r="Y4760" i="11"/>
  <c r="Y4761" i="11"/>
  <c r="Y4762" i="11"/>
  <c r="Y4763" i="11"/>
  <c r="Y4764" i="11"/>
  <c r="Y4765" i="11"/>
  <c r="Y4766" i="11"/>
  <c r="Y4767" i="11"/>
  <c r="Y4768" i="11"/>
  <c r="Y4769" i="11"/>
  <c r="Y4770" i="11"/>
  <c r="Y4771" i="11"/>
  <c r="Y4772" i="11"/>
  <c r="Y4773" i="11"/>
  <c r="Y4774" i="11"/>
  <c r="Y4775" i="11"/>
  <c r="Y4776" i="11"/>
  <c r="Y4777" i="11"/>
  <c r="Y4778" i="11"/>
  <c r="Y4779" i="11"/>
  <c r="Y4780" i="11"/>
  <c r="Y4781" i="11"/>
  <c r="Y4782" i="11"/>
  <c r="Y4783" i="11"/>
  <c r="Y4784" i="11"/>
  <c r="Y4785" i="11"/>
  <c r="Y4786" i="11"/>
  <c r="Y4787" i="11"/>
  <c r="Y4788" i="11"/>
  <c r="Y4789" i="11"/>
  <c r="Y4790" i="11"/>
  <c r="Y4791" i="11"/>
  <c r="Y4792" i="11"/>
  <c r="Y4793" i="11"/>
  <c r="Y4794" i="11"/>
  <c r="Y4795" i="11"/>
  <c r="Y4796" i="11"/>
  <c r="Y4797" i="11"/>
  <c r="Y4798" i="11"/>
  <c r="Y4799" i="11"/>
  <c r="Y4800" i="11"/>
  <c r="Y4801" i="11"/>
  <c r="Y4802" i="11"/>
  <c r="Y4803" i="11"/>
  <c r="Y4804" i="11"/>
  <c r="Y4805" i="11"/>
  <c r="Y4806" i="11"/>
  <c r="Y4807" i="11"/>
  <c r="Y4808" i="11"/>
  <c r="Y4809" i="11"/>
  <c r="Y4810" i="11"/>
  <c r="Y4811" i="11"/>
  <c r="Y4812" i="11"/>
  <c r="Y4813" i="11"/>
  <c r="Y4814" i="11"/>
  <c r="Y4815" i="11"/>
  <c r="Y4816" i="11"/>
  <c r="Y4817" i="11"/>
  <c r="Y4818" i="11"/>
  <c r="Y4819" i="11"/>
  <c r="Y4820" i="11"/>
  <c r="Y4821" i="11"/>
  <c r="Y4822" i="11"/>
  <c r="Y4823" i="11"/>
  <c r="Y4824" i="11"/>
  <c r="Y4825" i="11"/>
  <c r="Y4826" i="11"/>
  <c r="Y4827" i="11"/>
  <c r="Y4828" i="11"/>
  <c r="Y4829" i="11"/>
  <c r="Y4830" i="11"/>
  <c r="Y4831" i="11"/>
  <c r="Y4832" i="11"/>
  <c r="Y4833" i="11"/>
  <c r="Y4834" i="11"/>
  <c r="Y4835" i="11"/>
  <c r="Y4836" i="11"/>
  <c r="Y4837" i="11"/>
  <c r="Y4838" i="11"/>
  <c r="Y4839" i="11"/>
  <c r="Y4840" i="11"/>
  <c r="Y4841" i="11"/>
  <c r="Y4842" i="11"/>
  <c r="Y4843" i="11"/>
  <c r="Y4844" i="11"/>
  <c r="Y4845" i="11"/>
  <c r="Y4846" i="11"/>
  <c r="Y4847" i="11"/>
  <c r="Y4848" i="11"/>
  <c r="Y4849" i="11"/>
  <c r="Y4850" i="11"/>
  <c r="Y4851" i="11"/>
  <c r="Y4852" i="11"/>
  <c r="Y4853" i="11"/>
  <c r="Y4854" i="11"/>
  <c r="Y4855" i="11"/>
  <c r="Y4856" i="11"/>
  <c r="Y4857" i="11"/>
  <c r="Y4858" i="11"/>
  <c r="Y4859" i="11"/>
  <c r="Y4860" i="11"/>
  <c r="Y4861" i="11"/>
  <c r="Y4862" i="11"/>
  <c r="Y4863" i="11"/>
  <c r="Y4864" i="11"/>
  <c r="Y4865" i="11"/>
  <c r="Y4866" i="11"/>
  <c r="Y4867" i="11"/>
  <c r="Y4868" i="11"/>
  <c r="Y4869" i="11"/>
  <c r="Y4870" i="11"/>
  <c r="Y4871" i="11"/>
  <c r="Y4872" i="11"/>
  <c r="Y4873" i="11"/>
  <c r="Y4874" i="11"/>
  <c r="Y4875" i="11"/>
  <c r="Y4876" i="11"/>
  <c r="Y4877" i="11"/>
  <c r="Y4878" i="11"/>
  <c r="Y4879" i="11"/>
  <c r="Y4880" i="11"/>
  <c r="Y4881" i="11"/>
  <c r="Y4882" i="11"/>
  <c r="Y4883" i="11"/>
  <c r="Y4884" i="11"/>
  <c r="Y4885" i="11"/>
  <c r="Y4886" i="11"/>
  <c r="Y4887" i="11"/>
  <c r="Y4888" i="11"/>
  <c r="Y4889" i="11"/>
  <c r="Y4890" i="11"/>
  <c r="Y4891" i="11"/>
  <c r="Y4892" i="11"/>
  <c r="Y4893" i="11"/>
  <c r="Y4894" i="11"/>
  <c r="Y4895" i="11"/>
  <c r="Y4896" i="11"/>
  <c r="Y4897" i="11"/>
  <c r="Y4898" i="11"/>
  <c r="Y4899" i="11"/>
  <c r="Y4900" i="11"/>
  <c r="Y4901" i="11"/>
  <c r="Y4902" i="11"/>
  <c r="Y4903" i="11"/>
  <c r="Y4904" i="11"/>
  <c r="Y4905" i="11"/>
  <c r="Y4906" i="11"/>
  <c r="Y4907" i="11"/>
  <c r="Y4908" i="11"/>
  <c r="Y4909" i="11"/>
  <c r="Y4910" i="11"/>
  <c r="Y4911" i="11"/>
  <c r="Y4912" i="11"/>
  <c r="Y4913" i="11"/>
  <c r="Y4914" i="11"/>
  <c r="Y4915" i="11"/>
  <c r="Y4916" i="11"/>
  <c r="Y4917" i="11"/>
  <c r="Y4918" i="11"/>
  <c r="Y4919" i="11"/>
  <c r="Y4920" i="11"/>
  <c r="Y4921" i="11"/>
  <c r="Y4922" i="11"/>
  <c r="Y4923" i="11"/>
  <c r="Y4924" i="11"/>
  <c r="Y4925" i="11"/>
  <c r="Y4926" i="11"/>
  <c r="Y4927" i="11"/>
  <c r="Y4928" i="11"/>
  <c r="Y4929" i="11"/>
  <c r="Y4930" i="11"/>
  <c r="Y4931" i="11"/>
  <c r="Y4932" i="11"/>
  <c r="Y4933" i="11"/>
  <c r="Y4934" i="11"/>
  <c r="Y4935" i="11"/>
  <c r="Y4936" i="11"/>
  <c r="Y4937" i="11"/>
  <c r="Y4938" i="11"/>
  <c r="Y4939" i="11"/>
  <c r="Y4940" i="11"/>
  <c r="Y4941" i="11"/>
  <c r="Y4942" i="11"/>
  <c r="Y4943" i="11"/>
  <c r="Y4944" i="11"/>
  <c r="Y4945" i="11"/>
  <c r="Y4946" i="11"/>
  <c r="Y4947" i="11"/>
  <c r="Y4948" i="11"/>
  <c r="Y4949" i="11"/>
  <c r="Y4950" i="11"/>
  <c r="Y4951" i="11"/>
  <c r="Y4952" i="11"/>
  <c r="Y4953" i="11"/>
  <c r="Y4954" i="11"/>
  <c r="Y4955" i="11"/>
  <c r="Y4956" i="11"/>
  <c r="Y4957" i="11"/>
  <c r="Y4958" i="11"/>
  <c r="Y4959" i="11"/>
  <c r="Y4960" i="11"/>
  <c r="Y4961" i="11"/>
  <c r="Y4962" i="11"/>
  <c r="Y4963" i="11"/>
  <c r="Y4964" i="11"/>
  <c r="Y4965" i="11"/>
  <c r="Y4966" i="11"/>
  <c r="Y4967" i="11"/>
  <c r="Y4968" i="11"/>
  <c r="Y4969" i="11"/>
  <c r="Y4970" i="11"/>
  <c r="Y4971" i="11"/>
  <c r="Y4972" i="11"/>
  <c r="Y4973" i="11"/>
  <c r="Y4974" i="11"/>
  <c r="Y4975" i="11"/>
  <c r="Y4976" i="11"/>
  <c r="Y4977" i="11"/>
  <c r="Y4978" i="11"/>
  <c r="Y4979" i="11"/>
  <c r="Y4980" i="11"/>
  <c r="Y4981" i="11"/>
  <c r="Y4982" i="11"/>
  <c r="Y4983" i="11"/>
  <c r="Y4984" i="11"/>
  <c r="Y4985" i="11"/>
  <c r="Y4986" i="11"/>
  <c r="Y4987" i="11"/>
  <c r="Y4988" i="11"/>
  <c r="Y4989" i="11"/>
  <c r="Y4990" i="11"/>
  <c r="Y4991" i="11"/>
  <c r="Y4992" i="11"/>
  <c r="Y4993" i="11"/>
  <c r="Y4994" i="11"/>
  <c r="Y4995" i="11"/>
  <c r="Y4996" i="11"/>
  <c r="Y4997" i="11"/>
  <c r="Y4998" i="11"/>
  <c r="Y4999" i="11"/>
  <c r="Y5000" i="11"/>
  <c r="X6" i="11"/>
  <c r="X7" i="11"/>
  <c r="X8" i="11"/>
  <c r="X9" i="11"/>
  <c r="X10" i="11"/>
  <c r="X11" i="11"/>
  <c r="X12" i="11"/>
  <c r="X13" i="11"/>
  <c r="X14" i="11"/>
  <c r="X15"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62" i="11"/>
  <c r="X63" i="11"/>
  <c r="X64" i="11"/>
  <c r="X65" i="11"/>
  <c r="X66" i="11"/>
  <c r="X67" i="11"/>
  <c r="X68" i="11"/>
  <c r="X69" i="11"/>
  <c r="X70" i="11"/>
  <c r="X71" i="11"/>
  <c r="X72" i="11"/>
  <c r="X73" i="11"/>
  <c r="X74" i="11"/>
  <c r="X75" i="11"/>
  <c r="X76" i="11"/>
  <c r="X77" i="11"/>
  <c r="X78" i="11"/>
  <c r="X79" i="11"/>
  <c r="X80" i="11"/>
  <c r="X81" i="11"/>
  <c r="X82" i="11"/>
  <c r="X83" i="11"/>
  <c r="X84" i="11"/>
  <c r="X85" i="11"/>
  <c r="X86" i="11"/>
  <c r="X87" i="11"/>
  <c r="X88" i="11"/>
  <c r="X89" i="11"/>
  <c r="X90" i="11"/>
  <c r="X91" i="11"/>
  <c r="X92" i="11"/>
  <c r="X93" i="11"/>
  <c r="X94" i="11"/>
  <c r="X95" i="11"/>
  <c r="X96" i="11"/>
  <c r="X97" i="11"/>
  <c r="X98" i="11"/>
  <c r="X99" i="11"/>
  <c r="X100" i="11"/>
  <c r="X101" i="11"/>
  <c r="X102" i="11"/>
  <c r="X103" i="11"/>
  <c r="X104" i="11"/>
  <c r="X105" i="11"/>
  <c r="X106" i="11"/>
  <c r="X107" i="11"/>
  <c r="X108" i="11"/>
  <c r="X109" i="11"/>
  <c r="X110" i="11"/>
  <c r="X111" i="11"/>
  <c r="X112" i="11"/>
  <c r="X113" i="11"/>
  <c r="X114" i="11"/>
  <c r="X115" i="11"/>
  <c r="X116" i="11"/>
  <c r="X117" i="11"/>
  <c r="X118" i="11"/>
  <c r="X119" i="11"/>
  <c r="X120" i="11"/>
  <c r="X121" i="11"/>
  <c r="X122" i="11"/>
  <c r="X123" i="11"/>
  <c r="X124" i="11"/>
  <c r="X125" i="11"/>
  <c r="X126" i="11"/>
  <c r="X127" i="11"/>
  <c r="X128" i="11"/>
  <c r="X129" i="11"/>
  <c r="X130" i="11"/>
  <c r="X131" i="11"/>
  <c r="X132" i="11"/>
  <c r="X133" i="11"/>
  <c r="X134" i="11"/>
  <c r="X135" i="11"/>
  <c r="X136" i="11"/>
  <c r="X137" i="11"/>
  <c r="X138" i="11"/>
  <c r="X139" i="11"/>
  <c r="X140" i="11"/>
  <c r="X141" i="11"/>
  <c r="X142" i="11"/>
  <c r="X143" i="11"/>
  <c r="X144" i="11"/>
  <c r="X145" i="11"/>
  <c r="X146" i="11"/>
  <c r="X147" i="11"/>
  <c r="X148" i="11"/>
  <c r="X149" i="11"/>
  <c r="X150" i="11"/>
  <c r="X151" i="11"/>
  <c r="X152" i="11"/>
  <c r="X153" i="11"/>
  <c r="X154" i="11"/>
  <c r="X155" i="11"/>
  <c r="X156" i="11"/>
  <c r="X157" i="11"/>
  <c r="X158" i="11"/>
  <c r="X159" i="11"/>
  <c r="X160" i="11"/>
  <c r="X161" i="11"/>
  <c r="X162" i="11"/>
  <c r="X163" i="11"/>
  <c r="X164" i="11"/>
  <c r="X165" i="11"/>
  <c r="X166" i="11"/>
  <c r="X167" i="11"/>
  <c r="X168" i="11"/>
  <c r="X169" i="11"/>
  <c r="X170" i="11"/>
  <c r="X171" i="11"/>
  <c r="X172" i="11"/>
  <c r="X173" i="11"/>
  <c r="X174" i="11"/>
  <c r="X175" i="11"/>
  <c r="X176" i="11"/>
  <c r="X177" i="11"/>
  <c r="X178" i="11"/>
  <c r="X179" i="11"/>
  <c r="X180" i="11"/>
  <c r="X181" i="11"/>
  <c r="X182" i="11"/>
  <c r="X183" i="11"/>
  <c r="X184" i="11"/>
  <c r="X185" i="11"/>
  <c r="X186" i="11"/>
  <c r="X187" i="11"/>
  <c r="X188" i="11"/>
  <c r="X189" i="11"/>
  <c r="X190" i="11"/>
  <c r="X191" i="11"/>
  <c r="X192" i="11"/>
  <c r="X193" i="11"/>
  <c r="X194" i="11"/>
  <c r="X195" i="11"/>
  <c r="X196" i="11"/>
  <c r="X197" i="11"/>
  <c r="X198" i="11"/>
  <c r="X199" i="11"/>
  <c r="X200" i="11"/>
  <c r="X201" i="11"/>
  <c r="X202" i="11"/>
  <c r="X203" i="11"/>
  <c r="X204" i="11"/>
  <c r="X205" i="11"/>
  <c r="X206" i="11"/>
  <c r="X207" i="11"/>
  <c r="X208" i="11"/>
  <c r="X209" i="11"/>
  <c r="X210" i="11"/>
  <c r="X211" i="11"/>
  <c r="X212" i="11"/>
  <c r="X213" i="11"/>
  <c r="X214" i="11"/>
  <c r="X215" i="11"/>
  <c r="X216" i="11"/>
  <c r="X217" i="11"/>
  <c r="X218" i="11"/>
  <c r="X219" i="11"/>
  <c r="X220" i="11"/>
  <c r="X221" i="11"/>
  <c r="X222" i="11"/>
  <c r="X223" i="11"/>
  <c r="X224" i="11"/>
  <c r="X225" i="11"/>
  <c r="X226" i="11"/>
  <c r="X227" i="11"/>
  <c r="X228" i="11"/>
  <c r="X229" i="11"/>
  <c r="X230" i="11"/>
  <c r="X231" i="11"/>
  <c r="X232" i="11"/>
  <c r="X233" i="11"/>
  <c r="X234" i="11"/>
  <c r="X235" i="11"/>
  <c r="X236" i="11"/>
  <c r="X237" i="11"/>
  <c r="X238" i="11"/>
  <c r="X239" i="11"/>
  <c r="X240" i="11"/>
  <c r="X241" i="11"/>
  <c r="X242" i="11"/>
  <c r="X243" i="11"/>
  <c r="X244" i="11"/>
  <c r="X245" i="11"/>
  <c r="X246" i="11"/>
  <c r="X247" i="11"/>
  <c r="X248" i="11"/>
  <c r="X249" i="11"/>
  <c r="X250" i="11"/>
  <c r="X251" i="11"/>
  <c r="X252" i="11"/>
  <c r="X253" i="11"/>
  <c r="X254" i="11"/>
  <c r="X255" i="11"/>
  <c r="X256" i="11"/>
  <c r="X257" i="11"/>
  <c r="X258" i="11"/>
  <c r="X259" i="11"/>
  <c r="X260" i="11"/>
  <c r="X261" i="11"/>
  <c r="X262" i="11"/>
  <c r="X263" i="11"/>
  <c r="X264" i="11"/>
  <c r="X265" i="11"/>
  <c r="X266" i="11"/>
  <c r="X267" i="11"/>
  <c r="X268" i="11"/>
  <c r="X269" i="11"/>
  <c r="X270" i="11"/>
  <c r="X271" i="11"/>
  <c r="X272" i="11"/>
  <c r="X273" i="11"/>
  <c r="X274" i="11"/>
  <c r="X275" i="11"/>
  <c r="X276" i="11"/>
  <c r="X277" i="11"/>
  <c r="X278" i="11"/>
  <c r="X279" i="11"/>
  <c r="X280" i="11"/>
  <c r="X281" i="11"/>
  <c r="X282" i="11"/>
  <c r="X283" i="11"/>
  <c r="X284" i="11"/>
  <c r="X285" i="11"/>
  <c r="X286" i="11"/>
  <c r="X287" i="11"/>
  <c r="X288" i="11"/>
  <c r="X289" i="11"/>
  <c r="X290" i="11"/>
  <c r="X291" i="11"/>
  <c r="X292" i="11"/>
  <c r="X293" i="11"/>
  <c r="X294" i="11"/>
  <c r="X295" i="11"/>
  <c r="X296" i="11"/>
  <c r="X297" i="11"/>
  <c r="X298" i="11"/>
  <c r="X299" i="11"/>
  <c r="X300" i="11"/>
  <c r="X301" i="11"/>
  <c r="X302" i="11"/>
  <c r="X303" i="11"/>
  <c r="X304" i="11"/>
  <c r="X305" i="11"/>
  <c r="X306" i="11"/>
  <c r="X307" i="11"/>
  <c r="X308" i="11"/>
  <c r="X309" i="11"/>
  <c r="X310" i="11"/>
  <c r="X311" i="11"/>
  <c r="X312" i="11"/>
  <c r="X313" i="11"/>
  <c r="X314" i="11"/>
  <c r="X315" i="11"/>
  <c r="X316" i="11"/>
  <c r="X317" i="11"/>
  <c r="X318" i="11"/>
  <c r="X319" i="11"/>
  <c r="X320" i="11"/>
  <c r="X321" i="11"/>
  <c r="X322" i="11"/>
  <c r="X323" i="11"/>
  <c r="X324" i="11"/>
  <c r="X325" i="11"/>
  <c r="X326" i="11"/>
  <c r="X327" i="11"/>
  <c r="X328" i="11"/>
  <c r="X329" i="11"/>
  <c r="X330" i="11"/>
  <c r="X331" i="11"/>
  <c r="X332" i="11"/>
  <c r="X333" i="11"/>
  <c r="X334" i="11"/>
  <c r="X335" i="11"/>
  <c r="X336" i="11"/>
  <c r="X337" i="11"/>
  <c r="X338" i="11"/>
  <c r="X339" i="11"/>
  <c r="X340" i="11"/>
  <c r="X341" i="11"/>
  <c r="X342" i="11"/>
  <c r="X343" i="11"/>
  <c r="X344" i="11"/>
  <c r="X345" i="11"/>
  <c r="X346" i="11"/>
  <c r="X347" i="11"/>
  <c r="X348" i="11"/>
  <c r="X349" i="11"/>
  <c r="X350" i="11"/>
  <c r="X351" i="11"/>
  <c r="X352" i="11"/>
  <c r="X353" i="11"/>
  <c r="X354" i="11"/>
  <c r="X355" i="11"/>
  <c r="X356" i="11"/>
  <c r="X357" i="11"/>
  <c r="X358" i="11"/>
  <c r="X359" i="11"/>
  <c r="X360" i="11"/>
  <c r="X361" i="11"/>
  <c r="X362" i="11"/>
  <c r="X363" i="11"/>
  <c r="X364" i="11"/>
  <c r="X365" i="11"/>
  <c r="X366" i="11"/>
  <c r="X367" i="11"/>
  <c r="X368" i="11"/>
  <c r="X369" i="11"/>
  <c r="X370" i="11"/>
  <c r="X371" i="11"/>
  <c r="X372" i="11"/>
  <c r="X373" i="11"/>
  <c r="X374" i="11"/>
  <c r="X375" i="11"/>
  <c r="X376" i="11"/>
  <c r="X377" i="11"/>
  <c r="X378" i="11"/>
  <c r="X379" i="11"/>
  <c r="X380" i="11"/>
  <c r="X381" i="11"/>
  <c r="X382" i="11"/>
  <c r="X383" i="11"/>
  <c r="X384" i="11"/>
  <c r="X385" i="11"/>
  <c r="X386" i="11"/>
  <c r="X387" i="11"/>
  <c r="X388" i="11"/>
  <c r="X389" i="11"/>
  <c r="X390" i="11"/>
  <c r="X391" i="11"/>
  <c r="X392" i="11"/>
  <c r="X393" i="11"/>
  <c r="X394" i="11"/>
  <c r="X395" i="11"/>
  <c r="X396" i="11"/>
  <c r="X397" i="11"/>
  <c r="X398" i="11"/>
  <c r="X399" i="11"/>
  <c r="X400" i="11"/>
  <c r="X401" i="11"/>
  <c r="X402" i="11"/>
  <c r="X403" i="11"/>
  <c r="X404" i="11"/>
  <c r="X405" i="11"/>
  <c r="X406" i="11"/>
  <c r="X407" i="11"/>
  <c r="X408" i="11"/>
  <c r="X409" i="11"/>
  <c r="X410" i="11"/>
  <c r="X411" i="11"/>
  <c r="X412" i="11"/>
  <c r="X413" i="11"/>
  <c r="X414" i="11"/>
  <c r="X415" i="11"/>
  <c r="X416" i="11"/>
  <c r="X417" i="11"/>
  <c r="X418" i="11"/>
  <c r="X419" i="11"/>
  <c r="X420" i="11"/>
  <c r="X421" i="11"/>
  <c r="X422" i="11"/>
  <c r="X423" i="11"/>
  <c r="X424" i="11"/>
  <c r="X425" i="11"/>
  <c r="X426" i="11"/>
  <c r="X427" i="11"/>
  <c r="X428" i="11"/>
  <c r="X429" i="11"/>
  <c r="X430" i="11"/>
  <c r="X431" i="11"/>
  <c r="X432" i="11"/>
  <c r="X433" i="11"/>
  <c r="X434" i="11"/>
  <c r="X435" i="11"/>
  <c r="X436" i="11"/>
  <c r="X437" i="11"/>
  <c r="X438" i="11"/>
  <c r="X439" i="11"/>
  <c r="X440" i="11"/>
  <c r="X441" i="11"/>
  <c r="X442" i="11"/>
  <c r="X443" i="11"/>
  <c r="X444" i="11"/>
  <c r="X445" i="11"/>
  <c r="X446" i="11"/>
  <c r="X447" i="11"/>
  <c r="X448" i="11"/>
  <c r="X449" i="11"/>
  <c r="X450" i="11"/>
  <c r="X451" i="11"/>
  <c r="X452" i="11"/>
  <c r="X453" i="11"/>
  <c r="X454" i="11"/>
  <c r="X455" i="11"/>
  <c r="X456" i="11"/>
  <c r="X457" i="11"/>
  <c r="X458" i="11"/>
  <c r="X459" i="11"/>
  <c r="X460" i="11"/>
  <c r="X461" i="11"/>
  <c r="X462" i="11"/>
  <c r="X463" i="11"/>
  <c r="X464" i="11"/>
  <c r="X465" i="11"/>
  <c r="X466" i="11"/>
  <c r="X467" i="11"/>
  <c r="X468" i="11"/>
  <c r="X469" i="11"/>
  <c r="X470" i="11"/>
  <c r="X471" i="11"/>
  <c r="X472" i="11"/>
  <c r="X473" i="11"/>
  <c r="X474" i="11"/>
  <c r="X475" i="11"/>
  <c r="X476" i="11"/>
  <c r="X477" i="11"/>
  <c r="X478" i="11"/>
  <c r="X479" i="11"/>
  <c r="X480" i="11"/>
  <c r="X481" i="11"/>
  <c r="X482" i="11"/>
  <c r="X483" i="11"/>
  <c r="X484" i="11"/>
  <c r="X485" i="11"/>
  <c r="X486" i="11"/>
  <c r="X487" i="11"/>
  <c r="X488" i="11"/>
  <c r="X489" i="11"/>
  <c r="X490" i="11"/>
  <c r="X491" i="11"/>
  <c r="X492" i="11"/>
  <c r="X493" i="11"/>
  <c r="X494" i="11"/>
  <c r="X495" i="11"/>
  <c r="X496" i="11"/>
  <c r="X497" i="11"/>
  <c r="X498" i="11"/>
  <c r="X499" i="11"/>
  <c r="X500" i="11"/>
  <c r="X501" i="11"/>
  <c r="X502" i="11"/>
  <c r="X503" i="11"/>
  <c r="X504" i="11"/>
  <c r="X505" i="11"/>
  <c r="X506" i="11"/>
  <c r="X507" i="11"/>
  <c r="X508" i="11"/>
  <c r="X509" i="11"/>
  <c r="X510" i="11"/>
  <c r="X511" i="11"/>
  <c r="X512" i="11"/>
  <c r="X513" i="11"/>
  <c r="X514" i="11"/>
  <c r="X515" i="11"/>
  <c r="X516" i="11"/>
  <c r="X517" i="11"/>
  <c r="X518" i="11"/>
  <c r="X519" i="11"/>
  <c r="X520" i="11"/>
  <c r="X521" i="11"/>
  <c r="X522" i="11"/>
  <c r="X523" i="11"/>
  <c r="X524" i="11"/>
  <c r="X525" i="11"/>
  <c r="X526" i="11"/>
  <c r="X527" i="11"/>
  <c r="X528" i="11"/>
  <c r="X529" i="11"/>
  <c r="X530" i="11"/>
  <c r="X531" i="11"/>
  <c r="X532" i="11"/>
  <c r="X533" i="11"/>
  <c r="X534" i="11"/>
  <c r="X535" i="11"/>
  <c r="X536" i="11"/>
  <c r="X537" i="11"/>
  <c r="X538" i="11"/>
  <c r="X539" i="11"/>
  <c r="X540" i="11"/>
  <c r="X541" i="11"/>
  <c r="X542" i="11"/>
  <c r="X543" i="11"/>
  <c r="X544" i="11"/>
  <c r="X545" i="11"/>
  <c r="X546" i="11"/>
  <c r="X547" i="11"/>
  <c r="X548" i="11"/>
  <c r="X549" i="11"/>
  <c r="X550" i="11"/>
  <c r="X551" i="11"/>
  <c r="X552" i="11"/>
  <c r="X553" i="11"/>
  <c r="X554" i="11"/>
  <c r="X555" i="11"/>
  <c r="X556" i="11"/>
  <c r="X557" i="11"/>
  <c r="X558" i="11"/>
  <c r="X559" i="11"/>
  <c r="X560" i="11"/>
  <c r="X561" i="11"/>
  <c r="X562" i="11"/>
  <c r="X563" i="11"/>
  <c r="X564" i="11"/>
  <c r="X565" i="11"/>
  <c r="X566" i="11"/>
  <c r="X567" i="11"/>
  <c r="X568" i="11"/>
  <c r="X569" i="11"/>
  <c r="X570" i="11"/>
  <c r="X571" i="11"/>
  <c r="X572" i="11"/>
  <c r="X573" i="11"/>
  <c r="X574" i="11"/>
  <c r="X575" i="11"/>
  <c r="X576" i="11"/>
  <c r="X577" i="11"/>
  <c r="X578" i="11"/>
  <c r="X579" i="11"/>
  <c r="X580" i="11"/>
  <c r="X581" i="11"/>
  <c r="X582" i="11"/>
  <c r="X583" i="11"/>
  <c r="X584" i="11"/>
  <c r="X585" i="11"/>
  <c r="X586" i="11"/>
  <c r="X587" i="11"/>
  <c r="X588" i="11"/>
  <c r="X589" i="11"/>
  <c r="X590" i="11"/>
  <c r="X591" i="11"/>
  <c r="X592" i="11"/>
  <c r="X593" i="11"/>
  <c r="X594" i="11"/>
  <c r="X595" i="11"/>
  <c r="X596" i="11"/>
  <c r="X597" i="11"/>
  <c r="X598" i="11"/>
  <c r="X599" i="11"/>
  <c r="X600" i="11"/>
  <c r="X601" i="11"/>
  <c r="X602" i="11"/>
  <c r="X603" i="11"/>
  <c r="X604" i="11"/>
  <c r="X605" i="11"/>
  <c r="X606" i="11"/>
  <c r="X607" i="11"/>
  <c r="X608" i="11"/>
  <c r="X609" i="11"/>
  <c r="X610" i="11"/>
  <c r="X611" i="11"/>
  <c r="X612" i="11"/>
  <c r="X613" i="11"/>
  <c r="X614" i="11"/>
  <c r="X615" i="11"/>
  <c r="X616" i="11"/>
  <c r="X617" i="11"/>
  <c r="X618" i="11"/>
  <c r="X619" i="11"/>
  <c r="X620" i="11"/>
  <c r="X621" i="11"/>
  <c r="X622" i="11"/>
  <c r="X623" i="11"/>
  <c r="X624" i="11"/>
  <c r="X625" i="11"/>
  <c r="X626" i="11"/>
  <c r="X627" i="11"/>
  <c r="X628" i="11"/>
  <c r="X629" i="11"/>
  <c r="X630" i="11"/>
  <c r="X631" i="11"/>
  <c r="X632" i="11"/>
  <c r="X633" i="11"/>
  <c r="X634" i="11"/>
  <c r="X635" i="11"/>
  <c r="X636" i="11"/>
  <c r="X637" i="11"/>
  <c r="X638" i="11"/>
  <c r="X639" i="11"/>
  <c r="X640" i="11"/>
  <c r="X641" i="11"/>
  <c r="X642" i="11"/>
  <c r="X643" i="11"/>
  <c r="X644" i="11"/>
  <c r="X645" i="11"/>
  <c r="X646" i="11"/>
  <c r="X647" i="11"/>
  <c r="X648" i="11"/>
  <c r="X649" i="11"/>
  <c r="X650" i="11"/>
  <c r="X651" i="11"/>
  <c r="X652" i="11"/>
  <c r="X653" i="11"/>
  <c r="X654" i="11"/>
  <c r="X655" i="11"/>
  <c r="X656" i="11"/>
  <c r="X657" i="11"/>
  <c r="X658" i="11"/>
  <c r="X659" i="11"/>
  <c r="X660" i="11"/>
  <c r="X661" i="11"/>
  <c r="X662" i="11"/>
  <c r="X663" i="11"/>
  <c r="X664" i="11"/>
  <c r="X665" i="11"/>
  <c r="X666" i="11"/>
  <c r="X667" i="11"/>
  <c r="X668" i="11"/>
  <c r="X669" i="11"/>
  <c r="X670" i="11"/>
  <c r="X671" i="11"/>
  <c r="X672" i="11"/>
  <c r="X673" i="11"/>
  <c r="X674" i="11"/>
  <c r="X675" i="11"/>
  <c r="X676" i="11"/>
  <c r="X677" i="11"/>
  <c r="X678" i="11"/>
  <c r="X679" i="11"/>
  <c r="X680" i="11"/>
  <c r="X681" i="11"/>
  <c r="X682" i="11"/>
  <c r="X683" i="11"/>
  <c r="X684" i="11"/>
  <c r="X685" i="11"/>
  <c r="X686" i="11"/>
  <c r="X687" i="11"/>
  <c r="X688" i="11"/>
  <c r="X689" i="11"/>
  <c r="X690" i="11"/>
  <c r="X691" i="11"/>
  <c r="X692" i="11"/>
  <c r="X693" i="11"/>
  <c r="X694" i="11"/>
  <c r="X695" i="11"/>
  <c r="X696" i="11"/>
  <c r="X697" i="11"/>
  <c r="X698" i="11"/>
  <c r="X699" i="11"/>
  <c r="X700" i="11"/>
  <c r="X701" i="11"/>
  <c r="X702" i="11"/>
  <c r="X703" i="11"/>
  <c r="X704" i="11"/>
  <c r="X705" i="11"/>
  <c r="X706" i="11"/>
  <c r="X707" i="11"/>
  <c r="X708" i="11"/>
  <c r="X709" i="11"/>
  <c r="X710" i="11"/>
  <c r="X711" i="11"/>
  <c r="X712" i="11"/>
  <c r="X713" i="11"/>
  <c r="X714" i="11"/>
  <c r="X715" i="11"/>
  <c r="X716" i="11"/>
  <c r="X717" i="11"/>
  <c r="X718" i="11"/>
  <c r="X719" i="11"/>
  <c r="X720" i="11"/>
  <c r="X721" i="11"/>
  <c r="X722" i="11"/>
  <c r="X723" i="11"/>
  <c r="X724" i="11"/>
  <c r="X725" i="11"/>
  <c r="X726" i="11"/>
  <c r="X727" i="11"/>
  <c r="X728" i="11"/>
  <c r="X729" i="11"/>
  <c r="X730" i="11"/>
  <c r="X731" i="11"/>
  <c r="X732" i="11"/>
  <c r="X733" i="11"/>
  <c r="X734" i="11"/>
  <c r="X735" i="11"/>
  <c r="X736" i="11"/>
  <c r="X737" i="11"/>
  <c r="X738" i="11"/>
  <c r="X739" i="11"/>
  <c r="X740" i="11"/>
  <c r="X741" i="11"/>
  <c r="X742" i="11"/>
  <c r="X743" i="11"/>
  <c r="X744" i="11"/>
  <c r="X745" i="11"/>
  <c r="X746" i="11"/>
  <c r="X747" i="11"/>
  <c r="X748" i="11"/>
  <c r="X749" i="11"/>
  <c r="X750" i="11"/>
  <c r="X751" i="11"/>
  <c r="X752" i="11"/>
  <c r="X753" i="11"/>
  <c r="X754" i="11"/>
  <c r="X755" i="11"/>
  <c r="X756" i="11"/>
  <c r="X757" i="11"/>
  <c r="X758" i="11"/>
  <c r="X759" i="11"/>
  <c r="X760" i="11"/>
  <c r="X761" i="11"/>
  <c r="X762" i="11"/>
  <c r="X763" i="11"/>
  <c r="X764" i="11"/>
  <c r="X765" i="11"/>
  <c r="X766" i="11"/>
  <c r="X767" i="11"/>
  <c r="X768" i="11"/>
  <c r="X769" i="11"/>
  <c r="X770" i="11"/>
  <c r="X771" i="11"/>
  <c r="X772" i="11"/>
  <c r="X773" i="11"/>
  <c r="X774" i="11"/>
  <c r="X775" i="11"/>
  <c r="X776" i="11"/>
  <c r="X777" i="11"/>
  <c r="X778" i="11"/>
  <c r="X779" i="11"/>
  <c r="X780" i="11"/>
  <c r="X781" i="11"/>
  <c r="X782" i="11"/>
  <c r="X783" i="11"/>
  <c r="X784" i="11"/>
  <c r="X785" i="11"/>
  <c r="X786" i="11"/>
  <c r="X787" i="11"/>
  <c r="X788" i="11"/>
  <c r="X789" i="11"/>
  <c r="X790" i="11"/>
  <c r="X791" i="11"/>
  <c r="X792" i="11"/>
  <c r="X793" i="11"/>
  <c r="X794" i="11"/>
  <c r="X795" i="11"/>
  <c r="X796" i="11"/>
  <c r="X797" i="11"/>
  <c r="X798" i="11"/>
  <c r="X799" i="11"/>
  <c r="X800" i="11"/>
  <c r="X801" i="11"/>
  <c r="X802" i="11"/>
  <c r="X803" i="11"/>
  <c r="X804" i="11"/>
  <c r="X805" i="11"/>
  <c r="X806" i="11"/>
  <c r="X807" i="11"/>
  <c r="X808" i="11"/>
  <c r="X809" i="11"/>
  <c r="X810" i="11"/>
  <c r="X811" i="11"/>
  <c r="X812" i="11"/>
  <c r="X813" i="11"/>
  <c r="X814" i="11"/>
  <c r="X815" i="11"/>
  <c r="X816" i="11"/>
  <c r="X817" i="11"/>
  <c r="X818" i="11"/>
  <c r="X819" i="11"/>
  <c r="X820" i="11"/>
  <c r="X821" i="11"/>
  <c r="X822" i="11"/>
  <c r="X823" i="11"/>
  <c r="X824" i="11"/>
  <c r="X825" i="11"/>
  <c r="X826" i="11"/>
  <c r="X827" i="11"/>
  <c r="X828" i="11"/>
  <c r="X829" i="11"/>
  <c r="X830" i="11"/>
  <c r="X831" i="11"/>
  <c r="X832" i="11"/>
  <c r="X833" i="11"/>
  <c r="X834" i="11"/>
  <c r="X835" i="11"/>
  <c r="X836" i="11"/>
  <c r="X837" i="11"/>
  <c r="X838" i="11"/>
  <c r="X839" i="11"/>
  <c r="X840" i="11"/>
  <c r="X841" i="11"/>
  <c r="X842" i="11"/>
  <c r="X843" i="11"/>
  <c r="X844" i="11"/>
  <c r="X845" i="11"/>
  <c r="X846" i="11"/>
  <c r="X847" i="11"/>
  <c r="X848" i="11"/>
  <c r="X849" i="11"/>
  <c r="X850" i="11"/>
  <c r="X851" i="11"/>
  <c r="X852" i="11"/>
  <c r="X853" i="11"/>
  <c r="X854" i="11"/>
  <c r="X855" i="11"/>
  <c r="X856" i="11"/>
  <c r="X857" i="11"/>
  <c r="X858" i="11"/>
  <c r="X859" i="11"/>
  <c r="X860" i="11"/>
  <c r="X861" i="11"/>
  <c r="X862" i="11"/>
  <c r="X863" i="11"/>
  <c r="X864" i="11"/>
  <c r="X865" i="11"/>
  <c r="X866" i="11"/>
  <c r="X867" i="11"/>
  <c r="X868" i="11"/>
  <c r="X869" i="11"/>
  <c r="X870" i="11"/>
  <c r="X871" i="11"/>
  <c r="X872" i="11"/>
  <c r="X873" i="11"/>
  <c r="X874" i="11"/>
  <c r="X875" i="11"/>
  <c r="X876" i="11"/>
  <c r="X877" i="11"/>
  <c r="X878" i="11"/>
  <c r="X879" i="11"/>
  <c r="X880" i="11"/>
  <c r="X881" i="11"/>
  <c r="X882" i="11"/>
  <c r="X883" i="11"/>
  <c r="X884" i="11"/>
  <c r="X885" i="11"/>
  <c r="X886" i="11"/>
  <c r="X887" i="11"/>
  <c r="X888" i="11"/>
  <c r="X889" i="11"/>
  <c r="X890" i="11"/>
  <c r="X891" i="11"/>
  <c r="X892" i="11"/>
  <c r="X893" i="11"/>
  <c r="X894" i="11"/>
  <c r="X895" i="11"/>
  <c r="X896" i="11"/>
  <c r="X897" i="11"/>
  <c r="X898" i="11"/>
  <c r="X899" i="11"/>
  <c r="X900" i="11"/>
  <c r="X901" i="11"/>
  <c r="X902" i="11"/>
  <c r="X903" i="11"/>
  <c r="X904" i="11"/>
  <c r="X905" i="11"/>
  <c r="X906" i="11"/>
  <c r="X907" i="11"/>
  <c r="X908" i="11"/>
  <c r="X909" i="11"/>
  <c r="X910" i="11"/>
  <c r="X911" i="11"/>
  <c r="X912" i="11"/>
  <c r="X913" i="11"/>
  <c r="X914" i="11"/>
  <c r="X915" i="11"/>
  <c r="X916" i="11"/>
  <c r="X917" i="11"/>
  <c r="X918" i="11"/>
  <c r="X919" i="11"/>
  <c r="X920" i="11"/>
  <c r="X921" i="11"/>
  <c r="X922" i="11"/>
  <c r="X923" i="11"/>
  <c r="X924" i="11"/>
  <c r="X925" i="11"/>
  <c r="X926" i="11"/>
  <c r="X927" i="11"/>
  <c r="X928" i="11"/>
  <c r="X929" i="11"/>
  <c r="X930" i="11"/>
  <c r="X931" i="11"/>
  <c r="X932" i="11"/>
  <c r="X933" i="11"/>
  <c r="X934" i="11"/>
  <c r="X935" i="11"/>
  <c r="X936" i="11"/>
  <c r="X937" i="11"/>
  <c r="X938" i="11"/>
  <c r="X939" i="11"/>
  <c r="X940" i="11"/>
  <c r="X941" i="11"/>
  <c r="X942" i="11"/>
  <c r="X943" i="11"/>
  <c r="X944" i="11"/>
  <c r="X945" i="11"/>
  <c r="X946" i="11"/>
  <c r="X947" i="11"/>
  <c r="X948" i="11"/>
  <c r="X949" i="11"/>
  <c r="X950" i="11"/>
  <c r="X951" i="11"/>
  <c r="X952" i="11"/>
  <c r="X953" i="11"/>
  <c r="X954" i="11"/>
  <c r="X955" i="11"/>
  <c r="X956" i="11"/>
  <c r="X957" i="11"/>
  <c r="X958" i="11"/>
  <c r="X959" i="11"/>
  <c r="X960" i="11"/>
  <c r="X961" i="11"/>
  <c r="X962" i="11"/>
  <c r="X963" i="11"/>
  <c r="X964" i="11"/>
  <c r="X965" i="11"/>
  <c r="X966" i="11"/>
  <c r="X967" i="11"/>
  <c r="X968" i="11"/>
  <c r="X969" i="11"/>
  <c r="X970" i="11"/>
  <c r="X971" i="11"/>
  <c r="X972" i="11"/>
  <c r="X973" i="11"/>
  <c r="X974" i="11"/>
  <c r="X975" i="11"/>
  <c r="X976" i="11"/>
  <c r="X977" i="11"/>
  <c r="X978" i="11"/>
  <c r="X979" i="11"/>
  <c r="X980" i="11"/>
  <c r="X981" i="11"/>
  <c r="X982" i="11"/>
  <c r="X983" i="11"/>
  <c r="X984" i="11"/>
  <c r="X985" i="11"/>
  <c r="X986" i="11"/>
  <c r="X987" i="11"/>
  <c r="X988" i="11"/>
  <c r="X989" i="11"/>
  <c r="X990" i="11"/>
  <c r="X991" i="11"/>
  <c r="X992" i="11"/>
  <c r="X993" i="11"/>
  <c r="X994" i="11"/>
  <c r="X995" i="11"/>
  <c r="X996" i="11"/>
  <c r="X997" i="11"/>
  <c r="X998" i="11"/>
  <c r="X999" i="11"/>
  <c r="X1000" i="11"/>
  <c r="X1001" i="11"/>
  <c r="X1002" i="11"/>
  <c r="X1003" i="11"/>
  <c r="X1004" i="11"/>
  <c r="X1005" i="11"/>
  <c r="X1006" i="11"/>
  <c r="X1007" i="11"/>
  <c r="X1008" i="11"/>
  <c r="X1009" i="11"/>
  <c r="X1010" i="11"/>
  <c r="X1011" i="11"/>
  <c r="X1012" i="11"/>
  <c r="X1013" i="11"/>
  <c r="X1014" i="11"/>
  <c r="X1015" i="11"/>
  <c r="X1016" i="11"/>
  <c r="X1017" i="11"/>
  <c r="X1018" i="11"/>
  <c r="X1019" i="11"/>
  <c r="X1020" i="11"/>
  <c r="X1021" i="11"/>
  <c r="X1022" i="11"/>
  <c r="X1023" i="11"/>
  <c r="X1024" i="11"/>
  <c r="X1025" i="11"/>
  <c r="X1026" i="11"/>
  <c r="X1027" i="11"/>
  <c r="X1028" i="11"/>
  <c r="X1029" i="11"/>
  <c r="X1030" i="11"/>
  <c r="X1031" i="11"/>
  <c r="X1032" i="11"/>
  <c r="X1033" i="11"/>
  <c r="X1034" i="11"/>
  <c r="X1035" i="11"/>
  <c r="X1036" i="11"/>
  <c r="X1037" i="11"/>
  <c r="X1038" i="11"/>
  <c r="X1039" i="11"/>
  <c r="X1040" i="11"/>
  <c r="X1041" i="11"/>
  <c r="X1042" i="11"/>
  <c r="X1043" i="11"/>
  <c r="X1044" i="11"/>
  <c r="X1045" i="11"/>
  <c r="X1046" i="11"/>
  <c r="X1047" i="11"/>
  <c r="X1048" i="11"/>
  <c r="X1049" i="11"/>
  <c r="X1050" i="11"/>
  <c r="X1051" i="11"/>
  <c r="X1052" i="11"/>
  <c r="X1053" i="11"/>
  <c r="X1054" i="11"/>
  <c r="X1055" i="11"/>
  <c r="X1056" i="11"/>
  <c r="X1057" i="11"/>
  <c r="X1058" i="11"/>
  <c r="X1059" i="11"/>
  <c r="X1060" i="11"/>
  <c r="X1061" i="11"/>
  <c r="X1062" i="11"/>
  <c r="X1063" i="11"/>
  <c r="X1064" i="11"/>
  <c r="X1065" i="11"/>
  <c r="X1066" i="11"/>
  <c r="X1067" i="11"/>
  <c r="X1068" i="11"/>
  <c r="X1069" i="11"/>
  <c r="X1070" i="11"/>
  <c r="X1071" i="11"/>
  <c r="X1072" i="11"/>
  <c r="X1073" i="11"/>
  <c r="X1074" i="11"/>
  <c r="X1075" i="11"/>
  <c r="X1076" i="11"/>
  <c r="X1077" i="11"/>
  <c r="X1078" i="11"/>
  <c r="X1079" i="11"/>
  <c r="X1080" i="11"/>
  <c r="X1081" i="11"/>
  <c r="X1082" i="11"/>
  <c r="X1083" i="11"/>
  <c r="X1084" i="11"/>
  <c r="X1085" i="11"/>
  <c r="X1086" i="11"/>
  <c r="X1087" i="11"/>
  <c r="X1088" i="11"/>
  <c r="X1089" i="11"/>
  <c r="X1090" i="11"/>
  <c r="X1091" i="11"/>
  <c r="X1092" i="11"/>
  <c r="X1093" i="11"/>
  <c r="X1094" i="11"/>
  <c r="X1095" i="11"/>
  <c r="X1096" i="11"/>
  <c r="X1097" i="11"/>
  <c r="X1098" i="11"/>
  <c r="X1099" i="11"/>
  <c r="X1100" i="11"/>
  <c r="X1101" i="11"/>
  <c r="X1102" i="11"/>
  <c r="X1103" i="11"/>
  <c r="X1104" i="11"/>
  <c r="X1105" i="11"/>
  <c r="X1106" i="11"/>
  <c r="X1107" i="11"/>
  <c r="X1108" i="11"/>
  <c r="X1109" i="11"/>
  <c r="X1110" i="11"/>
  <c r="X1111" i="11"/>
  <c r="X1112" i="11"/>
  <c r="X1113" i="11"/>
  <c r="X1114" i="11"/>
  <c r="X1115" i="11"/>
  <c r="X1116" i="11"/>
  <c r="X1117" i="11"/>
  <c r="X1118" i="11"/>
  <c r="X1119" i="11"/>
  <c r="X1120" i="11"/>
  <c r="X1121" i="11"/>
  <c r="X1122" i="11"/>
  <c r="X1123" i="11"/>
  <c r="X1124" i="11"/>
  <c r="X1125" i="11"/>
  <c r="X1126" i="11"/>
  <c r="X1127" i="11"/>
  <c r="X1128" i="11"/>
  <c r="X1129" i="11"/>
  <c r="X1130" i="11"/>
  <c r="X1131" i="11"/>
  <c r="X1132" i="11"/>
  <c r="X1133" i="11"/>
  <c r="X1134" i="11"/>
  <c r="X1135" i="11"/>
  <c r="X1136" i="11"/>
  <c r="X1137" i="11"/>
  <c r="X1138" i="11"/>
  <c r="X1139" i="11"/>
  <c r="X1140" i="11"/>
  <c r="X1141" i="11"/>
  <c r="X1142" i="11"/>
  <c r="X1143" i="11"/>
  <c r="X1144" i="11"/>
  <c r="X1145" i="11"/>
  <c r="X1146" i="11"/>
  <c r="X1147" i="11"/>
  <c r="X1148" i="11"/>
  <c r="X1149" i="11"/>
  <c r="X1150" i="11"/>
  <c r="X1151" i="11"/>
  <c r="X1152" i="11"/>
  <c r="X1153" i="11"/>
  <c r="X1154" i="11"/>
  <c r="X1155" i="11"/>
  <c r="X1156" i="11"/>
  <c r="X1157" i="11"/>
  <c r="X1158" i="11"/>
  <c r="X1159" i="11"/>
  <c r="X1160" i="11"/>
  <c r="X1161" i="11"/>
  <c r="X1162" i="11"/>
  <c r="X1163" i="11"/>
  <c r="X1164" i="11"/>
  <c r="X1165" i="11"/>
  <c r="X1166" i="11"/>
  <c r="X1167" i="11"/>
  <c r="X1168" i="11"/>
  <c r="X1169" i="11"/>
  <c r="X1170" i="11"/>
  <c r="X1171" i="11"/>
  <c r="X1172" i="11"/>
  <c r="X1173" i="11"/>
  <c r="X1174" i="11"/>
  <c r="X1175" i="11"/>
  <c r="X1176" i="11"/>
  <c r="X1177" i="11"/>
  <c r="X1178" i="11"/>
  <c r="X1179" i="11"/>
  <c r="X1180" i="11"/>
  <c r="X1181" i="11"/>
  <c r="X1182" i="11"/>
  <c r="X1183" i="11"/>
  <c r="X1184" i="11"/>
  <c r="X1185" i="11"/>
  <c r="X1186" i="11"/>
  <c r="X1187" i="11"/>
  <c r="X1188" i="11"/>
  <c r="X1189" i="11"/>
  <c r="X1190" i="11"/>
  <c r="X1191" i="11"/>
  <c r="X1192" i="11"/>
  <c r="X1193" i="11"/>
  <c r="X1194" i="11"/>
  <c r="X1195" i="11"/>
  <c r="X1196" i="11"/>
  <c r="X1197" i="11"/>
  <c r="X1198" i="11"/>
  <c r="X1199" i="11"/>
  <c r="X1200" i="11"/>
  <c r="X1201" i="11"/>
  <c r="X1202" i="11"/>
  <c r="X1203" i="11"/>
  <c r="X1204" i="11"/>
  <c r="X1205" i="11"/>
  <c r="X1206" i="11"/>
  <c r="X1207" i="11"/>
  <c r="X1208" i="11"/>
  <c r="X1209" i="11"/>
  <c r="X1210" i="11"/>
  <c r="X1211" i="11"/>
  <c r="X1212" i="11"/>
  <c r="X1213" i="11"/>
  <c r="X1214" i="11"/>
  <c r="X1215" i="11"/>
  <c r="X1216" i="11"/>
  <c r="X1217" i="11"/>
  <c r="X1218" i="11"/>
  <c r="X1219" i="11"/>
  <c r="X1220" i="11"/>
  <c r="X1221" i="11"/>
  <c r="X1222" i="11"/>
  <c r="X1223" i="11"/>
  <c r="X1224" i="11"/>
  <c r="X1225" i="11"/>
  <c r="X1226" i="11"/>
  <c r="X1227" i="11"/>
  <c r="X1228" i="11"/>
  <c r="X1229" i="11"/>
  <c r="X1230" i="11"/>
  <c r="X1231" i="11"/>
  <c r="X1232" i="11"/>
  <c r="X1233" i="11"/>
  <c r="X1234" i="11"/>
  <c r="X1235" i="11"/>
  <c r="X1236" i="11"/>
  <c r="X1237" i="11"/>
  <c r="X1238" i="11"/>
  <c r="X1239" i="11"/>
  <c r="X1240" i="11"/>
  <c r="X1241" i="11"/>
  <c r="X1242" i="11"/>
  <c r="X1243" i="11"/>
  <c r="X1244" i="11"/>
  <c r="X1245" i="11"/>
  <c r="X1246" i="11"/>
  <c r="X1247" i="11"/>
  <c r="X1248" i="11"/>
  <c r="X1249" i="11"/>
  <c r="X1250" i="11"/>
  <c r="X1251" i="11"/>
  <c r="X1252" i="11"/>
  <c r="X1253" i="11"/>
  <c r="X1254" i="11"/>
  <c r="X1255" i="11"/>
  <c r="X1256" i="11"/>
  <c r="X1257" i="11"/>
  <c r="X1258" i="11"/>
  <c r="X1259" i="11"/>
  <c r="X1260" i="11"/>
  <c r="X1261" i="11"/>
  <c r="X1262" i="11"/>
  <c r="X1263" i="11"/>
  <c r="X1264" i="11"/>
  <c r="X1265" i="11"/>
  <c r="X1266" i="11"/>
  <c r="X1267" i="11"/>
  <c r="X1268" i="11"/>
  <c r="X1269" i="11"/>
  <c r="X1270" i="11"/>
  <c r="X1271" i="11"/>
  <c r="X1272" i="11"/>
  <c r="X1273" i="11"/>
  <c r="X1274" i="11"/>
  <c r="X1275" i="11"/>
  <c r="X1276" i="11"/>
  <c r="X1277" i="11"/>
  <c r="X1278" i="11"/>
  <c r="X1279" i="11"/>
  <c r="X1280" i="11"/>
  <c r="X1281" i="11"/>
  <c r="X1282" i="11"/>
  <c r="X1283" i="11"/>
  <c r="X1284" i="11"/>
  <c r="X1285" i="11"/>
  <c r="X1286" i="11"/>
  <c r="X1287" i="11"/>
  <c r="X1288" i="11"/>
  <c r="X1289" i="11"/>
  <c r="X1290" i="11"/>
  <c r="X1291" i="11"/>
  <c r="X1292" i="11"/>
  <c r="X1293" i="11"/>
  <c r="X1294" i="11"/>
  <c r="X1295" i="11"/>
  <c r="X1296" i="11"/>
  <c r="X1297" i="11"/>
  <c r="X1298" i="11"/>
  <c r="X1299" i="11"/>
  <c r="X1300" i="11"/>
  <c r="X1301" i="11"/>
  <c r="X1302" i="11"/>
  <c r="X1303" i="11"/>
  <c r="X1304" i="11"/>
  <c r="X1305" i="11"/>
  <c r="X1306" i="11"/>
  <c r="X1307" i="11"/>
  <c r="X1308" i="11"/>
  <c r="X1309" i="11"/>
  <c r="X1310" i="11"/>
  <c r="X1311" i="11"/>
  <c r="X1312" i="11"/>
  <c r="X1313" i="11"/>
  <c r="X1314" i="11"/>
  <c r="X1315" i="11"/>
  <c r="X1316" i="11"/>
  <c r="X1317" i="11"/>
  <c r="X1318" i="11"/>
  <c r="X1319" i="11"/>
  <c r="X1320" i="11"/>
  <c r="X1321" i="11"/>
  <c r="X1322" i="11"/>
  <c r="X1323" i="11"/>
  <c r="X1324" i="11"/>
  <c r="X1325" i="11"/>
  <c r="X1326" i="11"/>
  <c r="X1327" i="11"/>
  <c r="X1328" i="11"/>
  <c r="X1329" i="11"/>
  <c r="X1330" i="11"/>
  <c r="X1331" i="11"/>
  <c r="X1332" i="11"/>
  <c r="X1333" i="11"/>
  <c r="X1334" i="11"/>
  <c r="X1335" i="11"/>
  <c r="X1336" i="11"/>
  <c r="X1337" i="11"/>
  <c r="X1338" i="11"/>
  <c r="X1339" i="11"/>
  <c r="X1340" i="11"/>
  <c r="X1341" i="11"/>
  <c r="X1342" i="11"/>
  <c r="X1343" i="11"/>
  <c r="X1344" i="11"/>
  <c r="X1345" i="11"/>
  <c r="X1346" i="11"/>
  <c r="X1347" i="11"/>
  <c r="X1348" i="11"/>
  <c r="X1349" i="11"/>
  <c r="X1350" i="11"/>
  <c r="X1351" i="11"/>
  <c r="X1352" i="11"/>
  <c r="X1353" i="11"/>
  <c r="X1354" i="11"/>
  <c r="X1355" i="11"/>
  <c r="X1356" i="11"/>
  <c r="X1357" i="11"/>
  <c r="X1358" i="11"/>
  <c r="X1359" i="11"/>
  <c r="X1360" i="11"/>
  <c r="X1361" i="11"/>
  <c r="X1362" i="11"/>
  <c r="X1363" i="11"/>
  <c r="X1364" i="11"/>
  <c r="X1365" i="11"/>
  <c r="X1366" i="11"/>
  <c r="X1367" i="11"/>
  <c r="X1368" i="11"/>
  <c r="X1369" i="11"/>
  <c r="X1370" i="11"/>
  <c r="X1371" i="11"/>
  <c r="X1372" i="11"/>
  <c r="X1373" i="11"/>
  <c r="X1374" i="11"/>
  <c r="X1375" i="11"/>
  <c r="X1376" i="11"/>
  <c r="X1377" i="11"/>
  <c r="X1378" i="11"/>
  <c r="X1379" i="11"/>
  <c r="X1380" i="11"/>
  <c r="X1381" i="11"/>
  <c r="X1382" i="11"/>
  <c r="X1383" i="11"/>
  <c r="X1384" i="11"/>
  <c r="X1385" i="11"/>
  <c r="X1386" i="11"/>
  <c r="X1387" i="11"/>
  <c r="X1388" i="11"/>
  <c r="X1389" i="11"/>
  <c r="X1390" i="11"/>
  <c r="X1391" i="11"/>
  <c r="X1392" i="11"/>
  <c r="X1393" i="11"/>
  <c r="X1394" i="11"/>
  <c r="X1395" i="11"/>
  <c r="X1396" i="11"/>
  <c r="X1397" i="11"/>
  <c r="X1398" i="11"/>
  <c r="X1399" i="11"/>
  <c r="X1400" i="11"/>
  <c r="X1401" i="11"/>
  <c r="X1402" i="11"/>
  <c r="X1403" i="11"/>
  <c r="X1404" i="11"/>
  <c r="X1405" i="11"/>
  <c r="X1406" i="11"/>
  <c r="X1407" i="11"/>
  <c r="X1408" i="11"/>
  <c r="X1409" i="11"/>
  <c r="X1410" i="11"/>
  <c r="X1411" i="11"/>
  <c r="X1412" i="11"/>
  <c r="X1413" i="11"/>
  <c r="X1414" i="11"/>
  <c r="X1415" i="11"/>
  <c r="X1416" i="11"/>
  <c r="X1417" i="11"/>
  <c r="X1418" i="11"/>
  <c r="X1419" i="11"/>
  <c r="X1420" i="11"/>
  <c r="X1421" i="11"/>
  <c r="X1422" i="11"/>
  <c r="X1423" i="11"/>
  <c r="X1424" i="11"/>
  <c r="X1425" i="11"/>
  <c r="X1426" i="11"/>
  <c r="X1427" i="11"/>
  <c r="X1428" i="11"/>
  <c r="X1429" i="11"/>
  <c r="X1430" i="11"/>
  <c r="X1431" i="11"/>
  <c r="X1432" i="11"/>
  <c r="X1433" i="11"/>
  <c r="X1434" i="11"/>
  <c r="X1435" i="11"/>
  <c r="X1436" i="11"/>
  <c r="X1437" i="11"/>
  <c r="X1438" i="11"/>
  <c r="X1439" i="11"/>
  <c r="X1440" i="11"/>
  <c r="X1441" i="11"/>
  <c r="X1442" i="11"/>
  <c r="X1443" i="11"/>
  <c r="X1444" i="11"/>
  <c r="X1445" i="11"/>
  <c r="X1446" i="11"/>
  <c r="X1447" i="11"/>
  <c r="X1448" i="11"/>
  <c r="X1449" i="11"/>
  <c r="X1450" i="11"/>
  <c r="X1451" i="11"/>
  <c r="X1452" i="11"/>
  <c r="X1453" i="11"/>
  <c r="X1454" i="11"/>
  <c r="X1455" i="11"/>
  <c r="X1456" i="11"/>
  <c r="X1457" i="11"/>
  <c r="X1458" i="11"/>
  <c r="X1459" i="11"/>
  <c r="X1460" i="11"/>
  <c r="X1461" i="11"/>
  <c r="X1462" i="11"/>
  <c r="X1463" i="11"/>
  <c r="X1464" i="11"/>
  <c r="X1465" i="11"/>
  <c r="X1466" i="11"/>
  <c r="X1467" i="11"/>
  <c r="X1468" i="11"/>
  <c r="X1469" i="11"/>
  <c r="X1470" i="11"/>
  <c r="X1471" i="11"/>
  <c r="X1472" i="11"/>
  <c r="X1473" i="11"/>
  <c r="X1474" i="11"/>
  <c r="X1475" i="11"/>
  <c r="X1476" i="11"/>
  <c r="X1477" i="11"/>
  <c r="X1478" i="11"/>
  <c r="X1479" i="11"/>
  <c r="X1480" i="11"/>
  <c r="X1481" i="11"/>
  <c r="X1482" i="11"/>
  <c r="X1483" i="11"/>
  <c r="X1484" i="11"/>
  <c r="X1485" i="11"/>
  <c r="X1486" i="11"/>
  <c r="X1487" i="11"/>
  <c r="X1488" i="11"/>
  <c r="X1489" i="11"/>
  <c r="X1490" i="11"/>
  <c r="X1491" i="11"/>
  <c r="X1492" i="11"/>
  <c r="X1493" i="11"/>
  <c r="X1494" i="11"/>
  <c r="X1495" i="11"/>
  <c r="X1496" i="11"/>
  <c r="X1497" i="11"/>
  <c r="X1498" i="11"/>
  <c r="X1499" i="11"/>
  <c r="X1500" i="11"/>
  <c r="X1501" i="11"/>
  <c r="X1502" i="11"/>
  <c r="X1503" i="11"/>
  <c r="X1504" i="11"/>
  <c r="X1505" i="11"/>
  <c r="X1506" i="11"/>
  <c r="X1507" i="11"/>
  <c r="X1508" i="11"/>
  <c r="X1509" i="11"/>
  <c r="X1510" i="11"/>
  <c r="X1511" i="11"/>
  <c r="X1512" i="11"/>
  <c r="X1513" i="11"/>
  <c r="X1514" i="11"/>
  <c r="X1515" i="11"/>
  <c r="X1516" i="11"/>
  <c r="X1517" i="11"/>
  <c r="X1518" i="11"/>
  <c r="X1519" i="11"/>
  <c r="X1520" i="11"/>
  <c r="X1521" i="11"/>
  <c r="X1522" i="11"/>
  <c r="X1523" i="11"/>
  <c r="X1524" i="11"/>
  <c r="X1525" i="11"/>
  <c r="X1526" i="11"/>
  <c r="X1527" i="11"/>
  <c r="X1528" i="11"/>
  <c r="X1529" i="11"/>
  <c r="X1530" i="11"/>
  <c r="X1531" i="11"/>
  <c r="X1532" i="11"/>
  <c r="X1533" i="11"/>
  <c r="X1534" i="11"/>
  <c r="X1535" i="11"/>
  <c r="X1536" i="11"/>
  <c r="X1537" i="11"/>
  <c r="X1538" i="11"/>
  <c r="X1539" i="11"/>
  <c r="X1540" i="11"/>
  <c r="X1541" i="11"/>
  <c r="X1542" i="11"/>
  <c r="X1543" i="11"/>
  <c r="X1544" i="11"/>
  <c r="X1545" i="11"/>
  <c r="X1546" i="11"/>
  <c r="X1547" i="11"/>
  <c r="X1548" i="11"/>
  <c r="X1549" i="11"/>
  <c r="X1550" i="11"/>
  <c r="X1551" i="11"/>
  <c r="X1552" i="11"/>
  <c r="X1553" i="11"/>
  <c r="X1554" i="11"/>
  <c r="X1555" i="11"/>
  <c r="X1556" i="11"/>
  <c r="X1557" i="11"/>
  <c r="X1558" i="11"/>
  <c r="X1559" i="11"/>
  <c r="X1560" i="11"/>
  <c r="X1561" i="11"/>
  <c r="X1562" i="11"/>
  <c r="X1563" i="11"/>
  <c r="X1564" i="11"/>
  <c r="X1565" i="11"/>
  <c r="X1566" i="11"/>
  <c r="X1567" i="11"/>
  <c r="X1568" i="11"/>
  <c r="X1569" i="11"/>
  <c r="X1570" i="11"/>
  <c r="X1571" i="11"/>
  <c r="X1572" i="11"/>
  <c r="X1573" i="11"/>
  <c r="X1574" i="11"/>
  <c r="X1575" i="11"/>
  <c r="X1576" i="11"/>
  <c r="X1577" i="11"/>
  <c r="X1578" i="11"/>
  <c r="X1579" i="11"/>
  <c r="X1580" i="11"/>
  <c r="X1581" i="11"/>
  <c r="X1582" i="11"/>
  <c r="X1583" i="11"/>
  <c r="X1584" i="11"/>
  <c r="X1585" i="11"/>
  <c r="X1586" i="11"/>
  <c r="X1587" i="11"/>
  <c r="X1588" i="11"/>
  <c r="X1589" i="11"/>
  <c r="X1590" i="11"/>
  <c r="X1591" i="11"/>
  <c r="X1592" i="11"/>
  <c r="X1593" i="11"/>
  <c r="X1594" i="11"/>
  <c r="X1595" i="11"/>
  <c r="X1596" i="11"/>
  <c r="X1597" i="11"/>
  <c r="X1598" i="11"/>
  <c r="X1599" i="11"/>
  <c r="X1600" i="11"/>
  <c r="X1601" i="11"/>
  <c r="X1602" i="11"/>
  <c r="X1603" i="11"/>
  <c r="X1604" i="11"/>
  <c r="X1605" i="11"/>
  <c r="X1606" i="11"/>
  <c r="X1607" i="11"/>
  <c r="X1608" i="11"/>
  <c r="X1609" i="11"/>
  <c r="X1610" i="11"/>
  <c r="X1611" i="11"/>
  <c r="X1612" i="11"/>
  <c r="X1613" i="11"/>
  <c r="X1614" i="11"/>
  <c r="X1615" i="11"/>
  <c r="X1616" i="11"/>
  <c r="X1617" i="11"/>
  <c r="X1618" i="11"/>
  <c r="X1619" i="11"/>
  <c r="X1620" i="11"/>
  <c r="X1621" i="11"/>
  <c r="X1622" i="11"/>
  <c r="X1623" i="11"/>
  <c r="X1624" i="11"/>
  <c r="X1625" i="11"/>
  <c r="X1626" i="11"/>
  <c r="X1627" i="11"/>
  <c r="X1628" i="11"/>
  <c r="X1629" i="11"/>
  <c r="X1630" i="11"/>
  <c r="X1631" i="11"/>
  <c r="X1632" i="11"/>
  <c r="X1633" i="11"/>
  <c r="X1634" i="11"/>
  <c r="X1635" i="11"/>
  <c r="X1636" i="11"/>
  <c r="X1637" i="11"/>
  <c r="X1638" i="11"/>
  <c r="X1639" i="11"/>
  <c r="X1640" i="11"/>
  <c r="X1641" i="11"/>
  <c r="X1642" i="11"/>
  <c r="X1643" i="11"/>
  <c r="X1644" i="11"/>
  <c r="X1645" i="11"/>
  <c r="X1646" i="11"/>
  <c r="X1647" i="11"/>
  <c r="X1648" i="11"/>
  <c r="X1649" i="11"/>
  <c r="X1650" i="11"/>
  <c r="X1651" i="11"/>
  <c r="X1652" i="11"/>
  <c r="X1653" i="11"/>
  <c r="X1654" i="11"/>
  <c r="X1655" i="11"/>
  <c r="X1656" i="11"/>
  <c r="X1657" i="11"/>
  <c r="X1658" i="11"/>
  <c r="X1659" i="11"/>
  <c r="X1660" i="11"/>
  <c r="X1661" i="11"/>
  <c r="X1662" i="11"/>
  <c r="X1663" i="11"/>
  <c r="X1664" i="11"/>
  <c r="X1665" i="11"/>
  <c r="X1666" i="11"/>
  <c r="X1667" i="11"/>
  <c r="X1668" i="11"/>
  <c r="X1669" i="11"/>
  <c r="X1670" i="11"/>
  <c r="X1671" i="11"/>
  <c r="X1672" i="11"/>
  <c r="X1673" i="11"/>
  <c r="X1674" i="11"/>
  <c r="X1675" i="11"/>
  <c r="X1676" i="11"/>
  <c r="X1677" i="11"/>
  <c r="X1678" i="11"/>
  <c r="X1679" i="11"/>
  <c r="X1680" i="11"/>
  <c r="X1681" i="11"/>
  <c r="X1682" i="11"/>
  <c r="X1683" i="11"/>
  <c r="X1684" i="11"/>
  <c r="X1685" i="11"/>
  <c r="X1686" i="11"/>
  <c r="X1687" i="11"/>
  <c r="X1688" i="11"/>
  <c r="X1689" i="11"/>
  <c r="X1690" i="11"/>
  <c r="X1691" i="11"/>
  <c r="X1692" i="11"/>
  <c r="X1693" i="11"/>
  <c r="X1694" i="11"/>
  <c r="X1695" i="11"/>
  <c r="X1696" i="11"/>
  <c r="X1697" i="11"/>
  <c r="X1698" i="11"/>
  <c r="X1699" i="11"/>
  <c r="X1700" i="11"/>
  <c r="X1701" i="11"/>
  <c r="X1702" i="11"/>
  <c r="X1703" i="11"/>
  <c r="X1704" i="11"/>
  <c r="X1705" i="11"/>
  <c r="X1706" i="11"/>
  <c r="X1707" i="11"/>
  <c r="X1708" i="11"/>
  <c r="X1709" i="11"/>
  <c r="X1710" i="11"/>
  <c r="X1711" i="11"/>
  <c r="X1712" i="11"/>
  <c r="X1713" i="11"/>
  <c r="X1714" i="11"/>
  <c r="X1715" i="11"/>
  <c r="X1716" i="11"/>
  <c r="X1717" i="11"/>
  <c r="X1718" i="11"/>
  <c r="X1719" i="11"/>
  <c r="X1720" i="11"/>
  <c r="X1721" i="11"/>
  <c r="X1722" i="11"/>
  <c r="X1723" i="11"/>
  <c r="X1724" i="11"/>
  <c r="X1725" i="11"/>
  <c r="X1726" i="11"/>
  <c r="X1727" i="11"/>
  <c r="X1728" i="11"/>
  <c r="X1729" i="11"/>
  <c r="X1730" i="11"/>
  <c r="X1731" i="11"/>
  <c r="X1732" i="11"/>
  <c r="X1733" i="11"/>
  <c r="X1734" i="11"/>
  <c r="X1735" i="11"/>
  <c r="X1736" i="11"/>
  <c r="X1737" i="11"/>
  <c r="X1738" i="11"/>
  <c r="X1739" i="11"/>
  <c r="X1740" i="11"/>
  <c r="X1741" i="11"/>
  <c r="X1742" i="11"/>
  <c r="X1743" i="11"/>
  <c r="X1744" i="11"/>
  <c r="X1745" i="11"/>
  <c r="X1746" i="11"/>
  <c r="X1747" i="11"/>
  <c r="X1748" i="11"/>
  <c r="X1749" i="11"/>
  <c r="X1750" i="11"/>
  <c r="X1751" i="11"/>
  <c r="X1752" i="11"/>
  <c r="X1753" i="11"/>
  <c r="X1754" i="11"/>
  <c r="X1755" i="11"/>
  <c r="X1756" i="11"/>
  <c r="X1757" i="11"/>
  <c r="X1758" i="11"/>
  <c r="X1759" i="11"/>
  <c r="X1760" i="11"/>
  <c r="X1761" i="11"/>
  <c r="X1762" i="11"/>
  <c r="X1763" i="11"/>
  <c r="X1764" i="11"/>
  <c r="X1765" i="11"/>
  <c r="X1766" i="11"/>
  <c r="X1767" i="11"/>
  <c r="X1768" i="11"/>
  <c r="X1769" i="11"/>
  <c r="X1770" i="11"/>
  <c r="X1771" i="11"/>
  <c r="X1772" i="11"/>
  <c r="X1773" i="11"/>
  <c r="X1774" i="11"/>
  <c r="X1775" i="11"/>
  <c r="X1776" i="11"/>
  <c r="X1777" i="11"/>
  <c r="X1778" i="11"/>
  <c r="X1779" i="11"/>
  <c r="X1780" i="11"/>
  <c r="X1781" i="11"/>
  <c r="X1782" i="11"/>
  <c r="X1783" i="11"/>
  <c r="X1784" i="11"/>
  <c r="X1785" i="11"/>
  <c r="X1786" i="11"/>
  <c r="X1787" i="11"/>
  <c r="X1788" i="11"/>
  <c r="X1789" i="11"/>
  <c r="X1790" i="11"/>
  <c r="X1791" i="11"/>
  <c r="X1792" i="11"/>
  <c r="X1793" i="11"/>
  <c r="X1794" i="11"/>
  <c r="X1795" i="11"/>
  <c r="X1796" i="11"/>
  <c r="X1797" i="11"/>
  <c r="X1798" i="11"/>
  <c r="X1799" i="11"/>
  <c r="X1800" i="11"/>
  <c r="X1801" i="11"/>
  <c r="X1802" i="11"/>
  <c r="X1803" i="11"/>
  <c r="X1804" i="11"/>
  <c r="X1805" i="11"/>
  <c r="X1806" i="11"/>
  <c r="X1807" i="11"/>
  <c r="X1808" i="11"/>
  <c r="X1809" i="11"/>
  <c r="X1810" i="11"/>
  <c r="X1811" i="11"/>
  <c r="X1812" i="11"/>
  <c r="X1813" i="11"/>
  <c r="X1814" i="11"/>
  <c r="X1815" i="11"/>
  <c r="X1816" i="11"/>
  <c r="X1817" i="11"/>
  <c r="X1818" i="11"/>
  <c r="X1819" i="11"/>
  <c r="X1820" i="11"/>
  <c r="X1821" i="11"/>
  <c r="X1822" i="11"/>
  <c r="X1823" i="11"/>
  <c r="X1824" i="11"/>
  <c r="X1825" i="11"/>
  <c r="X1826" i="11"/>
  <c r="X1827" i="11"/>
  <c r="X1828" i="11"/>
  <c r="X1829" i="11"/>
  <c r="X1830" i="11"/>
  <c r="X1831" i="11"/>
  <c r="X1832" i="11"/>
  <c r="X1833" i="11"/>
  <c r="X1834" i="11"/>
  <c r="X1835" i="11"/>
  <c r="X1836" i="11"/>
  <c r="X1837" i="11"/>
  <c r="X1838" i="11"/>
  <c r="X1839" i="11"/>
  <c r="X1840" i="11"/>
  <c r="X1841" i="11"/>
  <c r="X1842" i="11"/>
  <c r="X1843" i="11"/>
  <c r="X1844" i="11"/>
  <c r="X1845" i="11"/>
  <c r="X1846" i="11"/>
  <c r="X1847" i="11"/>
  <c r="X1848" i="11"/>
  <c r="X1849" i="11"/>
  <c r="X1850" i="11"/>
  <c r="X1851" i="11"/>
  <c r="X1852" i="11"/>
  <c r="X1853" i="11"/>
  <c r="X1854" i="11"/>
  <c r="X1855" i="11"/>
  <c r="X1856" i="11"/>
  <c r="X1857" i="11"/>
  <c r="X1858" i="11"/>
  <c r="X1859" i="11"/>
  <c r="X1860" i="11"/>
  <c r="X1861" i="11"/>
  <c r="X1862" i="11"/>
  <c r="X1863" i="11"/>
  <c r="X1864" i="11"/>
  <c r="X1865" i="11"/>
  <c r="X1866" i="11"/>
  <c r="X1867" i="11"/>
  <c r="X1868" i="11"/>
  <c r="X1869" i="11"/>
  <c r="X1870" i="11"/>
  <c r="X1871" i="11"/>
  <c r="X1872" i="11"/>
  <c r="X1873" i="11"/>
  <c r="X1874" i="11"/>
  <c r="X1875" i="11"/>
  <c r="X1876" i="11"/>
  <c r="X1877" i="11"/>
  <c r="X1878" i="11"/>
  <c r="X1879" i="11"/>
  <c r="X1880" i="11"/>
  <c r="X1881" i="11"/>
  <c r="X1882" i="11"/>
  <c r="X1883" i="11"/>
  <c r="X1884" i="11"/>
  <c r="X1885" i="11"/>
  <c r="X1886" i="11"/>
  <c r="X1887" i="11"/>
  <c r="X1888" i="11"/>
  <c r="X1889" i="11"/>
  <c r="X1890" i="11"/>
  <c r="X1891" i="11"/>
  <c r="X1892" i="11"/>
  <c r="X1893" i="11"/>
  <c r="X1894" i="11"/>
  <c r="X1895" i="11"/>
  <c r="X1896" i="11"/>
  <c r="X1897" i="11"/>
  <c r="X1898" i="11"/>
  <c r="X1899" i="11"/>
  <c r="X1900" i="11"/>
  <c r="X1901" i="11"/>
  <c r="X1902" i="11"/>
  <c r="X1903" i="11"/>
  <c r="X1904" i="11"/>
  <c r="X1905" i="11"/>
  <c r="X1906" i="11"/>
  <c r="X1907" i="11"/>
  <c r="X1908" i="11"/>
  <c r="X1909" i="11"/>
  <c r="X1910" i="11"/>
  <c r="X1911" i="11"/>
  <c r="X1912" i="11"/>
  <c r="X1913" i="11"/>
  <c r="X1914" i="11"/>
  <c r="X1915" i="11"/>
  <c r="X1916" i="11"/>
  <c r="X1917" i="11"/>
  <c r="X1918" i="11"/>
  <c r="X1919" i="11"/>
  <c r="X1920" i="11"/>
  <c r="X1921" i="11"/>
  <c r="X1922" i="11"/>
  <c r="X1923" i="11"/>
  <c r="X1924" i="11"/>
  <c r="X1925" i="11"/>
  <c r="X1926" i="11"/>
  <c r="X1927" i="11"/>
  <c r="X1928" i="11"/>
  <c r="X1929" i="11"/>
  <c r="X1930" i="11"/>
  <c r="X1931" i="11"/>
  <c r="X1932" i="11"/>
  <c r="X1933" i="11"/>
  <c r="X1934" i="11"/>
  <c r="X1935" i="11"/>
  <c r="X1936" i="11"/>
  <c r="X1937" i="11"/>
  <c r="X1938" i="11"/>
  <c r="X1939" i="11"/>
  <c r="X1940" i="11"/>
  <c r="X1941" i="11"/>
  <c r="X1942" i="11"/>
  <c r="X1943" i="11"/>
  <c r="X1944" i="11"/>
  <c r="X1945" i="11"/>
  <c r="X1946" i="11"/>
  <c r="X1947" i="11"/>
  <c r="X1948" i="11"/>
  <c r="X1949" i="11"/>
  <c r="X1950" i="11"/>
  <c r="X1951" i="11"/>
  <c r="X1952" i="11"/>
  <c r="X1953" i="11"/>
  <c r="X1954" i="11"/>
  <c r="X1955" i="11"/>
  <c r="X1956" i="11"/>
  <c r="X1957" i="11"/>
  <c r="X1958" i="11"/>
  <c r="X1959" i="11"/>
  <c r="X1960" i="11"/>
  <c r="X1961" i="11"/>
  <c r="X1962" i="11"/>
  <c r="X1963" i="11"/>
  <c r="X1964" i="11"/>
  <c r="X1965" i="11"/>
  <c r="X1966" i="11"/>
  <c r="X1967" i="11"/>
  <c r="X1968" i="11"/>
  <c r="X1969" i="11"/>
  <c r="X1970" i="11"/>
  <c r="X1971" i="11"/>
  <c r="X1972" i="11"/>
  <c r="X1973" i="11"/>
  <c r="X1974" i="11"/>
  <c r="X1975" i="11"/>
  <c r="X1976" i="11"/>
  <c r="X1977" i="11"/>
  <c r="X1978" i="11"/>
  <c r="X1979" i="11"/>
  <c r="X1980" i="11"/>
  <c r="X1981" i="11"/>
  <c r="X1982" i="11"/>
  <c r="X1983" i="11"/>
  <c r="X1984" i="11"/>
  <c r="X1985" i="11"/>
  <c r="X1986" i="11"/>
  <c r="X1987" i="11"/>
  <c r="X1988" i="11"/>
  <c r="X1989" i="11"/>
  <c r="X1990" i="11"/>
  <c r="X1991" i="11"/>
  <c r="X1992" i="11"/>
  <c r="X1993" i="11"/>
  <c r="X1994" i="11"/>
  <c r="X1995" i="11"/>
  <c r="X1996" i="11"/>
  <c r="X1997" i="11"/>
  <c r="X1998" i="11"/>
  <c r="X1999" i="11"/>
  <c r="X2000" i="11"/>
  <c r="X2001" i="11"/>
  <c r="X2002" i="11"/>
  <c r="X2003" i="11"/>
  <c r="X2004" i="11"/>
  <c r="X2005" i="11"/>
  <c r="X2006" i="11"/>
  <c r="X2007" i="11"/>
  <c r="X2008" i="11"/>
  <c r="X2009" i="11"/>
  <c r="X2010" i="11"/>
  <c r="X2011" i="11"/>
  <c r="X2012" i="11"/>
  <c r="X2013" i="11"/>
  <c r="X2014" i="11"/>
  <c r="X2015" i="11"/>
  <c r="X2016" i="11"/>
  <c r="X2017" i="11"/>
  <c r="X2018" i="11"/>
  <c r="X2019" i="11"/>
  <c r="X2020" i="11"/>
  <c r="X2021" i="11"/>
  <c r="X2022" i="11"/>
  <c r="X2023" i="11"/>
  <c r="X2024" i="11"/>
  <c r="X2025" i="11"/>
  <c r="X2026" i="11"/>
  <c r="X2027" i="11"/>
  <c r="X2028" i="11"/>
  <c r="X2029" i="11"/>
  <c r="X2030" i="11"/>
  <c r="X2031" i="11"/>
  <c r="X2032" i="11"/>
  <c r="X2033" i="11"/>
  <c r="X2034" i="11"/>
  <c r="X2035" i="11"/>
  <c r="X2036" i="11"/>
  <c r="X2037" i="11"/>
  <c r="X2038" i="11"/>
  <c r="X2039" i="11"/>
  <c r="X2040" i="11"/>
  <c r="X2041" i="11"/>
  <c r="X2042" i="11"/>
  <c r="X2043" i="11"/>
  <c r="X2044" i="11"/>
  <c r="X2045" i="11"/>
  <c r="X2046" i="11"/>
  <c r="X2047" i="11"/>
  <c r="X2048" i="11"/>
  <c r="X2049" i="11"/>
  <c r="X2050" i="11"/>
  <c r="X2051" i="11"/>
  <c r="X2052" i="11"/>
  <c r="X2053" i="11"/>
  <c r="X2054" i="11"/>
  <c r="X2055" i="11"/>
  <c r="X2056" i="11"/>
  <c r="X2057" i="11"/>
  <c r="X2058" i="11"/>
  <c r="X2059" i="11"/>
  <c r="X2060" i="11"/>
  <c r="X2061" i="11"/>
  <c r="X2062" i="11"/>
  <c r="X2063" i="11"/>
  <c r="X2064" i="11"/>
  <c r="X2065" i="11"/>
  <c r="X2066" i="11"/>
  <c r="X2067" i="11"/>
  <c r="X2068" i="11"/>
  <c r="X2069" i="11"/>
  <c r="X2070" i="11"/>
  <c r="X2071" i="11"/>
  <c r="X2072" i="11"/>
  <c r="X2073" i="11"/>
  <c r="X2074" i="11"/>
  <c r="X2075" i="11"/>
  <c r="X2076" i="11"/>
  <c r="X2077" i="11"/>
  <c r="X2078" i="11"/>
  <c r="X2079" i="11"/>
  <c r="X2080" i="11"/>
  <c r="X2081" i="11"/>
  <c r="X2082" i="11"/>
  <c r="X2083" i="11"/>
  <c r="X2084" i="11"/>
  <c r="X2085" i="11"/>
  <c r="X2086" i="11"/>
  <c r="X2087" i="11"/>
  <c r="X2088" i="11"/>
  <c r="X2089" i="11"/>
  <c r="X2090" i="11"/>
  <c r="X2091" i="11"/>
  <c r="X2092" i="11"/>
  <c r="X2093" i="11"/>
  <c r="X2094" i="11"/>
  <c r="X2095" i="11"/>
  <c r="X2096" i="11"/>
  <c r="X2097" i="11"/>
  <c r="X2098" i="11"/>
  <c r="X2099" i="11"/>
  <c r="X2100" i="11"/>
  <c r="X2101" i="11"/>
  <c r="X2102" i="11"/>
  <c r="X2103" i="11"/>
  <c r="X2104" i="11"/>
  <c r="X2105" i="11"/>
  <c r="X2106" i="11"/>
  <c r="X2107" i="11"/>
  <c r="X2108" i="11"/>
  <c r="X2109" i="11"/>
  <c r="X2110" i="11"/>
  <c r="X2111" i="11"/>
  <c r="X2112" i="11"/>
  <c r="X2113" i="11"/>
  <c r="X2114" i="11"/>
  <c r="X2115" i="11"/>
  <c r="X2116" i="11"/>
  <c r="X2117" i="11"/>
  <c r="X2118" i="11"/>
  <c r="X2119" i="11"/>
  <c r="X2120" i="11"/>
  <c r="X2121" i="11"/>
  <c r="X2122" i="11"/>
  <c r="X2123" i="11"/>
  <c r="X2124" i="11"/>
  <c r="X2125" i="11"/>
  <c r="X2126" i="11"/>
  <c r="X2127" i="11"/>
  <c r="X2128" i="11"/>
  <c r="X2129" i="11"/>
  <c r="X2130" i="11"/>
  <c r="X2131" i="11"/>
  <c r="X2132" i="11"/>
  <c r="X2133" i="11"/>
  <c r="X2134" i="11"/>
  <c r="X2135" i="11"/>
  <c r="X2136" i="11"/>
  <c r="X2137" i="11"/>
  <c r="X2138" i="11"/>
  <c r="X2139" i="11"/>
  <c r="X2140" i="11"/>
  <c r="X2141" i="11"/>
  <c r="X2142" i="11"/>
  <c r="X2143" i="11"/>
  <c r="X2144" i="11"/>
  <c r="X2145" i="11"/>
  <c r="X2146" i="11"/>
  <c r="X2147" i="11"/>
  <c r="X2148" i="11"/>
  <c r="X2149" i="11"/>
  <c r="X2150" i="11"/>
  <c r="X2151" i="11"/>
  <c r="X2152" i="11"/>
  <c r="X2153" i="11"/>
  <c r="X2154" i="11"/>
  <c r="X2155" i="11"/>
  <c r="X2156" i="11"/>
  <c r="X2157" i="11"/>
  <c r="X2158" i="11"/>
  <c r="X2159" i="11"/>
  <c r="X2160" i="11"/>
  <c r="X2161" i="11"/>
  <c r="X2162" i="11"/>
  <c r="X2163" i="11"/>
  <c r="X2164" i="11"/>
  <c r="X2165" i="11"/>
  <c r="X2166" i="11"/>
  <c r="X2167" i="11"/>
  <c r="X2168" i="11"/>
  <c r="X2169" i="11"/>
  <c r="X2170" i="11"/>
  <c r="X2171" i="11"/>
  <c r="X2172" i="11"/>
  <c r="X2173" i="11"/>
  <c r="X2174" i="11"/>
  <c r="X2175" i="11"/>
  <c r="X2176" i="11"/>
  <c r="X2177" i="11"/>
  <c r="X2178" i="11"/>
  <c r="X2179" i="11"/>
  <c r="X2180" i="11"/>
  <c r="X2181" i="11"/>
  <c r="X2182" i="11"/>
  <c r="X2183" i="11"/>
  <c r="X2184" i="11"/>
  <c r="X2185" i="11"/>
  <c r="X2186" i="11"/>
  <c r="X2187" i="11"/>
  <c r="X2188" i="11"/>
  <c r="X2189" i="11"/>
  <c r="X2190" i="11"/>
  <c r="X2191" i="11"/>
  <c r="X2192" i="11"/>
  <c r="X2193" i="11"/>
  <c r="X2194" i="11"/>
  <c r="X2195" i="11"/>
  <c r="X2196" i="11"/>
  <c r="X2197" i="11"/>
  <c r="X2198" i="11"/>
  <c r="X2199" i="11"/>
  <c r="X2200" i="11"/>
  <c r="X2201" i="11"/>
  <c r="X2202" i="11"/>
  <c r="X2203" i="11"/>
  <c r="X2204" i="11"/>
  <c r="X2205" i="11"/>
  <c r="X2206" i="11"/>
  <c r="X2207" i="11"/>
  <c r="X2208" i="11"/>
  <c r="X2209" i="11"/>
  <c r="X2210" i="11"/>
  <c r="X2211" i="11"/>
  <c r="X2212" i="11"/>
  <c r="X2213" i="11"/>
  <c r="X2214" i="11"/>
  <c r="X2215" i="11"/>
  <c r="X2216" i="11"/>
  <c r="X2217" i="11"/>
  <c r="X2218" i="11"/>
  <c r="X2219" i="11"/>
  <c r="X2220" i="11"/>
  <c r="X2221" i="11"/>
  <c r="X2222" i="11"/>
  <c r="X2223" i="11"/>
  <c r="X2224" i="11"/>
  <c r="X2225" i="11"/>
  <c r="X2226" i="11"/>
  <c r="X2227" i="11"/>
  <c r="X2228" i="11"/>
  <c r="X2229" i="11"/>
  <c r="X2230" i="11"/>
  <c r="X2231" i="11"/>
  <c r="X2232" i="11"/>
  <c r="X2233" i="11"/>
  <c r="X2234" i="11"/>
  <c r="X2235" i="11"/>
  <c r="X2236" i="11"/>
  <c r="X2237" i="11"/>
  <c r="X2238" i="11"/>
  <c r="X2239" i="11"/>
  <c r="X2240" i="11"/>
  <c r="X2241" i="11"/>
  <c r="X2242" i="11"/>
  <c r="X2243" i="11"/>
  <c r="X2244" i="11"/>
  <c r="X2245" i="11"/>
  <c r="X2246" i="11"/>
  <c r="X2247" i="11"/>
  <c r="X2248" i="11"/>
  <c r="X2249" i="11"/>
  <c r="X2250" i="11"/>
  <c r="X2251" i="11"/>
  <c r="X2252" i="11"/>
  <c r="X2253" i="11"/>
  <c r="X2254" i="11"/>
  <c r="X2255" i="11"/>
  <c r="X2256" i="11"/>
  <c r="X2257" i="11"/>
  <c r="X2258" i="11"/>
  <c r="X2259" i="11"/>
  <c r="X2260" i="11"/>
  <c r="X2261" i="11"/>
  <c r="X2262" i="11"/>
  <c r="X2263" i="11"/>
  <c r="X2264" i="11"/>
  <c r="X2265" i="11"/>
  <c r="X2266" i="11"/>
  <c r="X2267" i="11"/>
  <c r="X2268" i="11"/>
  <c r="X2269" i="11"/>
  <c r="X2270" i="11"/>
  <c r="X2271" i="11"/>
  <c r="X2272" i="11"/>
  <c r="X2273" i="11"/>
  <c r="X2274" i="11"/>
  <c r="X2275" i="11"/>
  <c r="X2276" i="11"/>
  <c r="X2277" i="11"/>
  <c r="X2278" i="11"/>
  <c r="X2279" i="11"/>
  <c r="X2280" i="11"/>
  <c r="X2281" i="11"/>
  <c r="X2282" i="11"/>
  <c r="X2283" i="11"/>
  <c r="X2284" i="11"/>
  <c r="X2285" i="11"/>
  <c r="X2286" i="11"/>
  <c r="X2287" i="11"/>
  <c r="X2288" i="11"/>
  <c r="X2289" i="11"/>
  <c r="X2290" i="11"/>
  <c r="X2291" i="11"/>
  <c r="X2292" i="11"/>
  <c r="X2293" i="11"/>
  <c r="X2294" i="11"/>
  <c r="X2295" i="11"/>
  <c r="X2296" i="11"/>
  <c r="X2297" i="11"/>
  <c r="X2298" i="11"/>
  <c r="X2299" i="11"/>
  <c r="X2300" i="11"/>
  <c r="X2301" i="11"/>
  <c r="X2302" i="11"/>
  <c r="X2303" i="11"/>
  <c r="X2304" i="11"/>
  <c r="X2305" i="11"/>
  <c r="X2306" i="11"/>
  <c r="X2307" i="11"/>
  <c r="X2308" i="11"/>
  <c r="X2309" i="11"/>
  <c r="X2310" i="11"/>
  <c r="X2311" i="11"/>
  <c r="X2312" i="11"/>
  <c r="X2313" i="11"/>
  <c r="X2314" i="11"/>
  <c r="X2315" i="11"/>
  <c r="X2316" i="11"/>
  <c r="X2317" i="11"/>
  <c r="X2318" i="11"/>
  <c r="X2319" i="11"/>
  <c r="X2320" i="11"/>
  <c r="X2321" i="11"/>
  <c r="X2322" i="11"/>
  <c r="X2323" i="11"/>
  <c r="X2324" i="11"/>
  <c r="X2325" i="11"/>
  <c r="X2326" i="11"/>
  <c r="X2327" i="11"/>
  <c r="X2328" i="11"/>
  <c r="X2329" i="11"/>
  <c r="X2330" i="11"/>
  <c r="X2331" i="11"/>
  <c r="X2332" i="11"/>
  <c r="X2333" i="11"/>
  <c r="X2334" i="11"/>
  <c r="X2335" i="11"/>
  <c r="X2336" i="11"/>
  <c r="X2337" i="11"/>
  <c r="X2338" i="11"/>
  <c r="X2339" i="11"/>
  <c r="X2340" i="11"/>
  <c r="X2341" i="11"/>
  <c r="X2342" i="11"/>
  <c r="X2343" i="11"/>
  <c r="X2344" i="11"/>
  <c r="X2345" i="11"/>
  <c r="X2346" i="11"/>
  <c r="X2347" i="11"/>
  <c r="X2348" i="11"/>
  <c r="X2349" i="11"/>
  <c r="X2350" i="11"/>
  <c r="X2351" i="11"/>
  <c r="X2352" i="11"/>
  <c r="X2353" i="11"/>
  <c r="X2354" i="11"/>
  <c r="X2355" i="11"/>
  <c r="X2356" i="11"/>
  <c r="X2357" i="11"/>
  <c r="X2358" i="11"/>
  <c r="X2359" i="11"/>
  <c r="X2360" i="11"/>
  <c r="X2361" i="11"/>
  <c r="X2362" i="11"/>
  <c r="X2363" i="11"/>
  <c r="X2364" i="11"/>
  <c r="X2365" i="11"/>
  <c r="X2366" i="11"/>
  <c r="X2367" i="11"/>
  <c r="X2368" i="11"/>
  <c r="X2369" i="11"/>
  <c r="X2370" i="11"/>
  <c r="X2371" i="11"/>
  <c r="X2372" i="11"/>
  <c r="X2373" i="11"/>
  <c r="X2374" i="11"/>
  <c r="X2375" i="11"/>
  <c r="X2376" i="11"/>
  <c r="X2377" i="11"/>
  <c r="X2378" i="11"/>
  <c r="X2379" i="11"/>
  <c r="X2380" i="11"/>
  <c r="X2381" i="11"/>
  <c r="X2382" i="11"/>
  <c r="X2383" i="11"/>
  <c r="X2384" i="11"/>
  <c r="X2385" i="11"/>
  <c r="X2386" i="11"/>
  <c r="X2387" i="11"/>
  <c r="X2388" i="11"/>
  <c r="X2389" i="11"/>
  <c r="X2390" i="11"/>
  <c r="X2391" i="11"/>
  <c r="X2392" i="11"/>
  <c r="X2393" i="11"/>
  <c r="X2394" i="11"/>
  <c r="X2395" i="11"/>
  <c r="X2396" i="11"/>
  <c r="X2397" i="11"/>
  <c r="X2398" i="11"/>
  <c r="X2399" i="11"/>
  <c r="X2400" i="11"/>
  <c r="X2401" i="11"/>
  <c r="X2402" i="11"/>
  <c r="X2403" i="11"/>
  <c r="X2404" i="11"/>
  <c r="X2405" i="11"/>
  <c r="X2406" i="11"/>
  <c r="X2407" i="11"/>
  <c r="X2408" i="11"/>
  <c r="X2409" i="11"/>
  <c r="X2410" i="11"/>
  <c r="X2411" i="11"/>
  <c r="X2412" i="11"/>
  <c r="X2413" i="11"/>
  <c r="X2414" i="11"/>
  <c r="X2415" i="11"/>
  <c r="X2416" i="11"/>
  <c r="X2417" i="11"/>
  <c r="X2418" i="11"/>
  <c r="X2419" i="11"/>
  <c r="X2420" i="11"/>
  <c r="X2421" i="11"/>
  <c r="X2422" i="11"/>
  <c r="X2423" i="11"/>
  <c r="X2424" i="11"/>
  <c r="X2425" i="11"/>
  <c r="X2426" i="11"/>
  <c r="X2427" i="11"/>
  <c r="X2428" i="11"/>
  <c r="X2429" i="11"/>
  <c r="X2430" i="11"/>
  <c r="X2431" i="11"/>
  <c r="X2432" i="11"/>
  <c r="X2433" i="11"/>
  <c r="X2434" i="11"/>
  <c r="X2435" i="11"/>
  <c r="X2436" i="11"/>
  <c r="X2437" i="11"/>
  <c r="X2438" i="11"/>
  <c r="X2439" i="11"/>
  <c r="X2440" i="11"/>
  <c r="X2441" i="11"/>
  <c r="X2442" i="11"/>
  <c r="X2443" i="11"/>
  <c r="X2444" i="11"/>
  <c r="X2445" i="11"/>
  <c r="X2446" i="11"/>
  <c r="X2447" i="11"/>
  <c r="X2448" i="11"/>
  <c r="X2449" i="11"/>
  <c r="X2450" i="11"/>
  <c r="X2451" i="11"/>
  <c r="X2452" i="11"/>
  <c r="X2453" i="11"/>
  <c r="X2454" i="11"/>
  <c r="X2455" i="11"/>
  <c r="X2456" i="11"/>
  <c r="X2457" i="11"/>
  <c r="X2458" i="11"/>
  <c r="X2459" i="11"/>
  <c r="X2460" i="11"/>
  <c r="X2461" i="11"/>
  <c r="X2462" i="11"/>
  <c r="X2463" i="11"/>
  <c r="X2464" i="11"/>
  <c r="X2465" i="11"/>
  <c r="X2466" i="11"/>
  <c r="X2467" i="11"/>
  <c r="X2468" i="11"/>
  <c r="X2469" i="11"/>
  <c r="X2470" i="11"/>
  <c r="X2471" i="11"/>
  <c r="X2472" i="11"/>
  <c r="X2473" i="11"/>
  <c r="X2474" i="11"/>
  <c r="X2475" i="11"/>
  <c r="X2476" i="11"/>
  <c r="X2477" i="11"/>
  <c r="X2478" i="11"/>
  <c r="X2479" i="11"/>
  <c r="X2480" i="11"/>
  <c r="X2481" i="11"/>
  <c r="X2482" i="11"/>
  <c r="X2483" i="11"/>
  <c r="X2484" i="11"/>
  <c r="X2485" i="11"/>
  <c r="X2486" i="11"/>
  <c r="X2487" i="11"/>
  <c r="X2488" i="11"/>
  <c r="X2489" i="11"/>
  <c r="X2490" i="11"/>
  <c r="X2491" i="11"/>
  <c r="X2492" i="11"/>
  <c r="X2493" i="11"/>
  <c r="X2494" i="11"/>
  <c r="X2495" i="11"/>
  <c r="X2496" i="11"/>
  <c r="X2497" i="11"/>
  <c r="X2498" i="11"/>
  <c r="X2499" i="11"/>
  <c r="X2500" i="11"/>
  <c r="X2501" i="11"/>
  <c r="X2502" i="11"/>
  <c r="X2503" i="11"/>
  <c r="X2504" i="11"/>
  <c r="X2505" i="11"/>
  <c r="X2506" i="11"/>
  <c r="X2507" i="11"/>
  <c r="X2508" i="11"/>
  <c r="X2509" i="11"/>
  <c r="X2510" i="11"/>
  <c r="X2511" i="11"/>
  <c r="X2512" i="11"/>
  <c r="X2513" i="11"/>
  <c r="X2514" i="11"/>
  <c r="X2515" i="11"/>
  <c r="X2516" i="11"/>
  <c r="X2517" i="11"/>
  <c r="X2518" i="11"/>
  <c r="X2519" i="11"/>
  <c r="X2520" i="11"/>
  <c r="X2521" i="11"/>
  <c r="X2522" i="11"/>
  <c r="X2523" i="11"/>
  <c r="X2524" i="11"/>
  <c r="X2525" i="11"/>
  <c r="X2526" i="11"/>
  <c r="X2527" i="11"/>
  <c r="X2528" i="11"/>
  <c r="X2529" i="11"/>
  <c r="X2530" i="11"/>
  <c r="X2531" i="11"/>
  <c r="X2532" i="11"/>
  <c r="X2533" i="11"/>
  <c r="X2534" i="11"/>
  <c r="X2535" i="11"/>
  <c r="X2536" i="11"/>
  <c r="X2537" i="11"/>
  <c r="X2538" i="11"/>
  <c r="X2539" i="11"/>
  <c r="X2540" i="11"/>
  <c r="X2541" i="11"/>
  <c r="X2542" i="11"/>
  <c r="X2543" i="11"/>
  <c r="X2544" i="11"/>
  <c r="X2545" i="11"/>
  <c r="X2546" i="11"/>
  <c r="X2547" i="11"/>
  <c r="X2548" i="11"/>
  <c r="X2549" i="11"/>
  <c r="X2550" i="11"/>
  <c r="X2551" i="11"/>
  <c r="X2552" i="11"/>
  <c r="X2553" i="11"/>
  <c r="X2554" i="11"/>
  <c r="X2555" i="11"/>
  <c r="X2556" i="11"/>
  <c r="X2557" i="11"/>
  <c r="X2558" i="11"/>
  <c r="X2559" i="11"/>
  <c r="X2560" i="11"/>
  <c r="X2561" i="11"/>
  <c r="X2562" i="11"/>
  <c r="X2563" i="11"/>
  <c r="X2564" i="11"/>
  <c r="X2565" i="11"/>
  <c r="X2566" i="11"/>
  <c r="X2567" i="11"/>
  <c r="X2568" i="11"/>
  <c r="X2569" i="11"/>
  <c r="X2570" i="11"/>
  <c r="X2571" i="11"/>
  <c r="X2572" i="11"/>
  <c r="X2573" i="11"/>
  <c r="X2574" i="11"/>
  <c r="X2575" i="11"/>
  <c r="X2576" i="11"/>
  <c r="X2577" i="11"/>
  <c r="X2578" i="11"/>
  <c r="X2579" i="11"/>
  <c r="X2580" i="11"/>
  <c r="X2581" i="11"/>
  <c r="X2582" i="11"/>
  <c r="X2583" i="11"/>
  <c r="X2584" i="11"/>
  <c r="X2585" i="11"/>
  <c r="X2586" i="11"/>
  <c r="X2587" i="11"/>
  <c r="X2588" i="11"/>
  <c r="X2589" i="11"/>
  <c r="X2590" i="11"/>
  <c r="X2591" i="11"/>
  <c r="X2592" i="11"/>
  <c r="X2593" i="11"/>
  <c r="X2594" i="11"/>
  <c r="X2595" i="11"/>
  <c r="X2596" i="11"/>
  <c r="X2597" i="11"/>
  <c r="X2598" i="11"/>
  <c r="X2599" i="11"/>
  <c r="X2600" i="11"/>
  <c r="X2601" i="11"/>
  <c r="X2602" i="11"/>
  <c r="X2603" i="11"/>
  <c r="X2604" i="11"/>
  <c r="X2605" i="11"/>
  <c r="X2606" i="11"/>
  <c r="X2607" i="11"/>
  <c r="X2608" i="11"/>
  <c r="X2609" i="11"/>
  <c r="X2610" i="11"/>
  <c r="X2611" i="11"/>
  <c r="X2612" i="11"/>
  <c r="X2613" i="11"/>
  <c r="X2614" i="11"/>
  <c r="X2615" i="11"/>
  <c r="X2616" i="11"/>
  <c r="X2617" i="11"/>
  <c r="X2618" i="11"/>
  <c r="X2619" i="11"/>
  <c r="X2620" i="11"/>
  <c r="X2621" i="11"/>
  <c r="X2622" i="11"/>
  <c r="X2623" i="11"/>
  <c r="X2624" i="11"/>
  <c r="X2625" i="11"/>
  <c r="X2626" i="11"/>
  <c r="X2627" i="11"/>
  <c r="X2628" i="11"/>
  <c r="X2629" i="11"/>
  <c r="X2630" i="11"/>
  <c r="X2631" i="11"/>
  <c r="X2632" i="11"/>
  <c r="X2633" i="11"/>
  <c r="X2634" i="11"/>
  <c r="X2635" i="11"/>
  <c r="X2636" i="11"/>
  <c r="X2637" i="11"/>
  <c r="X2638" i="11"/>
  <c r="X2639" i="11"/>
  <c r="X2640" i="11"/>
  <c r="X2641" i="11"/>
  <c r="X2642" i="11"/>
  <c r="X2643" i="11"/>
  <c r="X2644" i="11"/>
  <c r="X2645" i="11"/>
  <c r="X2646" i="11"/>
  <c r="X2647" i="11"/>
  <c r="X2648" i="11"/>
  <c r="X2649" i="11"/>
  <c r="X2650" i="11"/>
  <c r="X2651" i="11"/>
  <c r="X2652" i="11"/>
  <c r="X2653" i="11"/>
  <c r="X2654" i="11"/>
  <c r="X2655" i="11"/>
  <c r="X2656" i="11"/>
  <c r="X2657" i="11"/>
  <c r="X2658" i="11"/>
  <c r="X2659" i="11"/>
  <c r="X2660" i="11"/>
  <c r="X2661" i="11"/>
  <c r="X2662" i="11"/>
  <c r="X2663" i="11"/>
  <c r="X2664" i="11"/>
  <c r="X2665" i="11"/>
  <c r="X2666" i="11"/>
  <c r="X2667" i="11"/>
  <c r="X2668" i="11"/>
  <c r="X2669" i="11"/>
  <c r="X2670" i="11"/>
  <c r="X2671" i="11"/>
  <c r="X2672" i="11"/>
  <c r="X2673" i="11"/>
  <c r="X2674" i="11"/>
  <c r="X2675" i="11"/>
  <c r="X2676" i="11"/>
  <c r="X2677" i="11"/>
  <c r="X2678" i="11"/>
  <c r="X2679" i="11"/>
  <c r="X2680" i="11"/>
  <c r="X2681" i="11"/>
  <c r="X2682" i="11"/>
  <c r="X2683" i="11"/>
  <c r="X2684" i="11"/>
  <c r="X2685" i="11"/>
  <c r="X2686" i="11"/>
  <c r="X2687" i="11"/>
  <c r="X2688" i="11"/>
  <c r="X2689" i="11"/>
  <c r="X2690" i="11"/>
  <c r="X2691" i="11"/>
  <c r="X2692" i="11"/>
  <c r="X2693" i="11"/>
  <c r="X2694" i="11"/>
  <c r="X2695" i="11"/>
  <c r="X2696" i="11"/>
  <c r="X2697" i="11"/>
  <c r="X2698" i="11"/>
  <c r="X2699" i="11"/>
  <c r="X2700" i="11"/>
  <c r="X2701" i="11"/>
  <c r="X2702" i="11"/>
  <c r="X2703" i="11"/>
  <c r="X2704" i="11"/>
  <c r="X2705" i="11"/>
  <c r="X2706" i="11"/>
  <c r="X2707" i="11"/>
  <c r="X2708" i="11"/>
  <c r="X2709" i="11"/>
  <c r="X2710" i="11"/>
  <c r="X2711" i="11"/>
  <c r="X2712" i="11"/>
  <c r="X2713" i="11"/>
  <c r="X2714" i="11"/>
  <c r="X2715" i="11"/>
  <c r="X2716" i="11"/>
  <c r="X2717" i="11"/>
  <c r="X2718" i="11"/>
  <c r="X2719" i="11"/>
  <c r="X2720" i="11"/>
  <c r="X2721" i="11"/>
  <c r="X2722" i="11"/>
  <c r="X2723" i="11"/>
  <c r="X2724" i="11"/>
  <c r="X2725" i="11"/>
  <c r="X2726" i="11"/>
  <c r="X2727" i="11"/>
  <c r="X2728" i="11"/>
  <c r="X2729" i="11"/>
  <c r="X2730" i="11"/>
  <c r="X2731" i="11"/>
  <c r="X2732" i="11"/>
  <c r="X2733" i="11"/>
  <c r="X2734" i="11"/>
  <c r="X2735" i="11"/>
  <c r="X2736" i="11"/>
  <c r="X2737" i="11"/>
  <c r="X2738" i="11"/>
  <c r="X2739" i="11"/>
  <c r="X2740" i="11"/>
  <c r="X2741" i="11"/>
  <c r="X2742" i="11"/>
  <c r="X2743" i="11"/>
  <c r="X2744" i="11"/>
  <c r="X2745" i="11"/>
  <c r="X2746" i="11"/>
  <c r="X2747" i="11"/>
  <c r="X2748" i="11"/>
  <c r="X2749" i="11"/>
  <c r="X2750" i="11"/>
  <c r="X2751" i="11"/>
  <c r="X2752" i="11"/>
  <c r="X2753" i="11"/>
  <c r="X2754" i="11"/>
  <c r="X2755" i="11"/>
  <c r="X2756" i="11"/>
  <c r="X2757" i="11"/>
  <c r="X2758" i="11"/>
  <c r="X2759" i="11"/>
  <c r="X2760" i="11"/>
  <c r="X2761" i="11"/>
  <c r="X2762" i="11"/>
  <c r="X2763" i="11"/>
  <c r="X2764" i="11"/>
  <c r="X2765" i="11"/>
  <c r="X2766" i="11"/>
  <c r="X2767" i="11"/>
  <c r="X2768" i="11"/>
  <c r="X2769" i="11"/>
  <c r="X2770" i="11"/>
  <c r="X2771" i="11"/>
  <c r="X2772" i="11"/>
  <c r="X2773" i="11"/>
  <c r="X2774" i="11"/>
  <c r="X2775" i="11"/>
  <c r="X2776" i="11"/>
  <c r="X2777" i="11"/>
  <c r="X2778" i="11"/>
  <c r="X2779" i="11"/>
  <c r="X2780" i="11"/>
  <c r="X2781" i="11"/>
  <c r="X2782" i="11"/>
  <c r="X2783" i="11"/>
  <c r="X2784" i="11"/>
  <c r="X2785" i="11"/>
  <c r="X2786" i="11"/>
  <c r="X2787" i="11"/>
  <c r="X2788" i="11"/>
  <c r="X2789" i="11"/>
  <c r="X2790" i="11"/>
  <c r="X2791" i="11"/>
  <c r="X2792" i="11"/>
  <c r="X2793" i="11"/>
  <c r="X2794" i="11"/>
  <c r="X2795" i="11"/>
  <c r="X2796" i="11"/>
  <c r="X2797" i="11"/>
  <c r="X2798" i="11"/>
  <c r="X2799" i="11"/>
  <c r="X2800" i="11"/>
  <c r="X2801" i="11"/>
  <c r="X2802" i="11"/>
  <c r="X2803" i="11"/>
  <c r="X2804" i="11"/>
  <c r="X2805" i="11"/>
  <c r="X2806" i="11"/>
  <c r="X2807" i="11"/>
  <c r="X2808" i="11"/>
  <c r="X2809" i="11"/>
  <c r="X2810" i="11"/>
  <c r="X2811" i="11"/>
  <c r="X2812" i="11"/>
  <c r="X2813" i="11"/>
  <c r="X2814" i="11"/>
  <c r="X2815" i="11"/>
  <c r="X2816" i="11"/>
  <c r="X2817" i="11"/>
  <c r="X2818" i="11"/>
  <c r="X2819" i="11"/>
  <c r="X2820" i="11"/>
  <c r="X2821" i="11"/>
  <c r="X2822" i="11"/>
  <c r="X2823" i="11"/>
  <c r="X2824" i="11"/>
  <c r="X2825" i="11"/>
  <c r="X2826" i="11"/>
  <c r="X2827" i="11"/>
  <c r="X2828" i="11"/>
  <c r="X2829" i="11"/>
  <c r="X2830" i="11"/>
  <c r="X2831" i="11"/>
  <c r="X2832" i="11"/>
  <c r="X2833" i="11"/>
  <c r="X2834" i="11"/>
  <c r="X2835" i="11"/>
  <c r="X2836" i="11"/>
  <c r="X2837" i="11"/>
  <c r="X2838" i="11"/>
  <c r="X2839" i="11"/>
  <c r="X2840" i="11"/>
  <c r="X2841" i="11"/>
  <c r="X2842" i="11"/>
  <c r="X2843" i="11"/>
  <c r="X2844" i="11"/>
  <c r="X2845" i="11"/>
  <c r="X2846" i="11"/>
  <c r="X2847" i="11"/>
  <c r="X2848" i="11"/>
  <c r="X2849" i="11"/>
  <c r="X2850" i="11"/>
  <c r="X2851" i="11"/>
  <c r="X2852" i="11"/>
  <c r="X2853" i="11"/>
  <c r="X2854" i="11"/>
  <c r="X2855" i="11"/>
  <c r="X2856" i="11"/>
  <c r="X2857" i="11"/>
  <c r="X2858" i="11"/>
  <c r="X2859" i="11"/>
  <c r="X2860" i="11"/>
  <c r="X2861" i="11"/>
  <c r="X2862" i="11"/>
  <c r="X2863" i="11"/>
  <c r="X2864" i="11"/>
  <c r="X2865" i="11"/>
  <c r="X2866" i="11"/>
  <c r="X2867" i="11"/>
  <c r="X2868" i="11"/>
  <c r="X2869" i="11"/>
  <c r="X2870" i="11"/>
  <c r="X2871" i="11"/>
  <c r="X2872" i="11"/>
  <c r="X2873" i="11"/>
  <c r="X2874" i="11"/>
  <c r="X2875" i="11"/>
  <c r="X2876" i="11"/>
  <c r="X2877" i="11"/>
  <c r="X2878" i="11"/>
  <c r="X2879" i="11"/>
  <c r="X2880" i="11"/>
  <c r="X2881" i="11"/>
  <c r="X2882" i="11"/>
  <c r="X2883" i="11"/>
  <c r="X2884" i="11"/>
  <c r="X2885" i="11"/>
  <c r="X2886" i="11"/>
  <c r="X2887" i="11"/>
  <c r="X2888" i="11"/>
  <c r="X2889" i="11"/>
  <c r="X2890" i="11"/>
  <c r="X2891" i="11"/>
  <c r="X2892" i="11"/>
  <c r="X2893" i="11"/>
  <c r="X2894" i="11"/>
  <c r="X2895" i="11"/>
  <c r="X2896" i="11"/>
  <c r="X2897" i="11"/>
  <c r="X2898" i="11"/>
  <c r="X2899" i="11"/>
  <c r="X2900" i="11"/>
  <c r="X2901" i="11"/>
  <c r="X2902" i="11"/>
  <c r="X2903" i="11"/>
  <c r="X2904" i="11"/>
  <c r="X2905" i="11"/>
  <c r="X2906" i="11"/>
  <c r="X2907" i="11"/>
  <c r="X2908" i="11"/>
  <c r="X2909" i="11"/>
  <c r="X2910" i="11"/>
  <c r="X2911" i="11"/>
  <c r="X2912" i="11"/>
  <c r="X2913" i="11"/>
  <c r="X2914" i="11"/>
  <c r="X2915" i="11"/>
  <c r="X2916" i="11"/>
  <c r="X2917" i="11"/>
  <c r="X2918" i="11"/>
  <c r="X2919" i="11"/>
  <c r="X2920" i="11"/>
  <c r="X2921" i="11"/>
  <c r="X2922" i="11"/>
  <c r="X2923" i="11"/>
  <c r="X2924" i="11"/>
  <c r="X2925" i="11"/>
  <c r="X2926" i="11"/>
  <c r="X2927" i="11"/>
  <c r="X2928" i="11"/>
  <c r="X2929" i="11"/>
  <c r="X2930" i="11"/>
  <c r="X2931" i="11"/>
  <c r="X2932" i="11"/>
  <c r="X2933" i="11"/>
  <c r="X2934" i="11"/>
  <c r="X2935" i="11"/>
  <c r="X2936" i="11"/>
  <c r="X2937" i="11"/>
  <c r="X2938" i="11"/>
  <c r="X2939" i="11"/>
  <c r="X2940" i="11"/>
  <c r="X2941" i="11"/>
  <c r="X2942" i="11"/>
  <c r="X2943" i="11"/>
  <c r="X2944" i="11"/>
  <c r="X2945" i="11"/>
  <c r="X2946" i="11"/>
  <c r="X2947" i="11"/>
  <c r="X2948" i="11"/>
  <c r="X2949" i="11"/>
  <c r="X2950" i="11"/>
  <c r="X2951" i="11"/>
  <c r="X2952" i="11"/>
  <c r="X2953" i="11"/>
  <c r="X2954" i="11"/>
  <c r="X2955" i="11"/>
  <c r="X2956" i="11"/>
  <c r="X2957" i="11"/>
  <c r="X2958" i="11"/>
  <c r="X2959" i="11"/>
  <c r="X2960" i="11"/>
  <c r="X2961" i="11"/>
  <c r="X2962" i="11"/>
  <c r="X2963" i="11"/>
  <c r="X2964" i="11"/>
  <c r="X2965" i="11"/>
  <c r="X2966" i="11"/>
  <c r="X2967" i="11"/>
  <c r="X2968" i="11"/>
  <c r="X2969" i="11"/>
  <c r="X2970" i="11"/>
  <c r="X2971" i="11"/>
  <c r="X2972" i="11"/>
  <c r="X2973" i="11"/>
  <c r="X2974" i="11"/>
  <c r="X2975" i="11"/>
  <c r="X2976" i="11"/>
  <c r="X2977" i="11"/>
  <c r="X2978" i="11"/>
  <c r="X2979" i="11"/>
  <c r="X2980" i="11"/>
  <c r="X2981" i="11"/>
  <c r="X2982" i="11"/>
  <c r="X2983" i="11"/>
  <c r="X2984" i="11"/>
  <c r="X2985" i="11"/>
  <c r="X2986" i="11"/>
  <c r="X2987" i="11"/>
  <c r="X2988" i="11"/>
  <c r="X2989" i="11"/>
  <c r="X2990" i="11"/>
  <c r="X2991" i="11"/>
  <c r="X2992" i="11"/>
  <c r="X2993" i="11"/>
  <c r="X2994" i="11"/>
  <c r="X2995" i="11"/>
  <c r="X2996" i="11"/>
  <c r="X2997" i="11"/>
  <c r="X2998" i="11"/>
  <c r="X2999" i="11"/>
  <c r="X3000" i="11"/>
  <c r="X3001" i="11"/>
  <c r="X3002" i="11"/>
  <c r="X3003" i="11"/>
  <c r="X3004" i="11"/>
  <c r="X3005" i="11"/>
  <c r="X3006" i="11"/>
  <c r="X3007" i="11"/>
  <c r="X3008" i="11"/>
  <c r="X3009" i="11"/>
  <c r="X3010" i="11"/>
  <c r="X3011" i="11"/>
  <c r="X3012" i="11"/>
  <c r="X3013" i="11"/>
  <c r="X3014" i="11"/>
  <c r="X3015" i="11"/>
  <c r="X3016" i="11"/>
  <c r="X3017" i="11"/>
  <c r="X3018" i="11"/>
  <c r="X3019" i="11"/>
  <c r="X3020" i="11"/>
  <c r="X3021" i="11"/>
  <c r="X3022" i="11"/>
  <c r="X3023" i="11"/>
  <c r="X3024" i="11"/>
  <c r="X3025" i="11"/>
  <c r="X3026" i="11"/>
  <c r="X3027" i="11"/>
  <c r="X3028" i="11"/>
  <c r="X3029" i="11"/>
  <c r="X3030" i="11"/>
  <c r="X3031" i="11"/>
  <c r="X3032" i="11"/>
  <c r="X3033" i="11"/>
  <c r="X3034" i="11"/>
  <c r="X3035" i="11"/>
  <c r="X3036" i="11"/>
  <c r="X3037" i="11"/>
  <c r="X3038" i="11"/>
  <c r="X3039" i="11"/>
  <c r="X3040" i="11"/>
  <c r="X3041" i="11"/>
  <c r="X3042" i="11"/>
  <c r="X3043" i="11"/>
  <c r="X3044" i="11"/>
  <c r="X3045" i="11"/>
  <c r="X3046" i="11"/>
  <c r="X3047" i="11"/>
  <c r="X3048" i="11"/>
  <c r="X3049" i="11"/>
  <c r="X3050" i="11"/>
  <c r="X3051" i="11"/>
  <c r="X3052" i="11"/>
  <c r="X3053" i="11"/>
  <c r="X3054" i="11"/>
  <c r="X3055" i="11"/>
  <c r="X3056" i="11"/>
  <c r="X3057" i="11"/>
  <c r="X3058" i="11"/>
  <c r="X3059" i="11"/>
  <c r="X3060" i="11"/>
  <c r="X3061" i="11"/>
  <c r="X3062" i="11"/>
  <c r="X3063" i="11"/>
  <c r="X3064" i="11"/>
  <c r="X3065" i="11"/>
  <c r="X3066" i="11"/>
  <c r="X3067" i="11"/>
  <c r="X3068" i="11"/>
  <c r="X3069" i="11"/>
  <c r="X3070" i="11"/>
  <c r="X3071" i="11"/>
  <c r="X3072" i="11"/>
  <c r="X3073" i="11"/>
  <c r="X3074" i="11"/>
  <c r="X3075" i="11"/>
  <c r="X3076" i="11"/>
  <c r="X3077" i="11"/>
  <c r="X3078" i="11"/>
  <c r="X3079" i="11"/>
  <c r="X3080" i="11"/>
  <c r="X3081" i="11"/>
  <c r="X3082" i="11"/>
  <c r="X3083" i="11"/>
  <c r="X3084" i="11"/>
  <c r="X3085" i="11"/>
  <c r="X3086" i="11"/>
  <c r="X3087" i="11"/>
  <c r="X3088" i="11"/>
  <c r="X3089" i="11"/>
  <c r="X3090" i="11"/>
  <c r="X3091" i="11"/>
  <c r="X3092" i="11"/>
  <c r="X3093" i="11"/>
  <c r="X3094" i="11"/>
  <c r="X3095" i="11"/>
  <c r="X3096" i="11"/>
  <c r="X3097" i="11"/>
  <c r="X3098" i="11"/>
  <c r="X3099" i="11"/>
  <c r="X3100" i="11"/>
  <c r="X3101" i="11"/>
  <c r="X3102" i="11"/>
  <c r="X3103" i="11"/>
  <c r="X3104" i="11"/>
  <c r="X3105" i="11"/>
  <c r="X3106" i="11"/>
  <c r="X3107" i="11"/>
  <c r="X3108" i="11"/>
  <c r="X3109" i="11"/>
  <c r="X3110" i="11"/>
  <c r="X3111" i="11"/>
  <c r="X3112" i="11"/>
  <c r="X3113" i="11"/>
  <c r="X3114" i="11"/>
  <c r="X3115" i="11"/>
  <c r="X3116" i="11"/>
  <c r="X3117" i="11"/>
  <c r="X3118" i="11"/>
  <c r="X3119" i="11"/>
  <c r="X3120" i="11"/>
  <c r="X3121" i="11"/>
  <c r="X3122" i="11"/>
  <c r="X3123" i="11"/>
  <c r="X3124" i="11"/>
  <c r="X3125" i="11"/>
  <c r="X3126" i="11"/>
  <c r="X3127" i="11"/>
  <c r="X3128" i="11"/>
  <c r="X3129" i="11"/>
  <c r="X3130" i="11"/>
  <c r="X3131" i="11"/>
  <c r="X3132" i="11"/>
  <c r="X3133" i="11"/>
  <c r="X3134" i="11"/>
  <c r="X3135" i="11"/>
  <c r="X3136" i="11"/>
  <c r="X3137" i="11"/>
  <c r="X3138" i="11"/>
  <c r="X3139" i="11"/>
  <c r="X3140" i="11"/>
  <c r="X3141" i="11"/>
  <c r="X3142" i="11"/>
  <c r="X3143" i="11"/>
  <c r="X3144" i="11"/>
  <c r="X3145" i="11"/>
  <c r="X3146" i="11"/>
  <c r="X3147" i="11"/>
  <c r="X3148" i="11"/>
  <c r="X3149" i="11"/>
  <c r="X3150" i="11"/>
  <c r="X3151" i="11"/>
  <c r="X3152" i="11"/>
  <c r="X3153" i="11"/>
  <c r="X3154" i="11"/>
  <c r="X3155" i="11"/>
  <c r="X3156" i="11"/>
  <c r="X3157" i="11"/>
  <c r="X3158" i="11"/>
  <c r="X3159" i="11"/>
  <c r="X3160" i="11"/>
  <c r="X3161" i="11"/>
  <c r="X3162" i="11"/>
  <c r="X3163" i="11"/>
  <c r="X3164" i="11"/>
  <c r="X3165" i="11"/>
  <c r="X3166" i="11"/>
  <c r="X3167" i="11"/>
  <c r="X3168" i="11"/>
  <c r="X3169" i="11"/>
  <c r="X3170" i="11"/>
  <c r="X3171" i="11"/>
  <c r="X3172" i="11"/>
  <c r="X3173" i="11"/>
  <c r="X3174" i="11"/>
  <c r="X3175" i="11"/>
  <c r="X3176" i="11"/>
  <c r="X3177" i="11"/>
  <c r="X3178" i="11"/>
  <c r="X3179" i="11"/>
  <c r="X3180" i="11"/>
  <c r="X3181" i="11"/>
  <c r="X3182" i="11"/>
  <c r="X3183" i="11"/>
  <c r="X3184" i="11"/>
  <c r="X3185" i="11"/>
  <c r="X3186" i="11"/>
  <c r="X3187" i="11"/>
  <c r="X3188" i="11"/>
  <c r="X3189" i="11"/>
  <c r="X3190" i="11"/>
  <c r="X3191" i="11"/>
  <c r="X3192" i="11"/>
  <c r="X3193" i="11"/>
  <c r="X3194" i="11"/>
  <c r="X3195" i="11"/>
  <c r="X3196" i="11"/>
  <c r="X3197" i="11"/>
  <c r="X3198" i="11"/>
  <c r="X3199" i="11"/>
  <c r="X3200" i="11"/>
  <c r="X3201" i="11"/>
  <c r="X3202" i="11"/>
  <c r="X3203" i="11"/>
  <c r="X3204" i="11"/>
  <c r="X3205" i="11"/>
  <c r="X3206" i="11"/>
  <c r="X3207" i="11"/>
  <c r="X3208" i="11"/>
  <c r="X3209" i="11"/>
  <c r="X3210" i="11"/>
  <c r="X3211" i="11"/>
  <c r="X3212" i="11"/>
  <c r="X3213" i="11"/>
  <c r="X3214" i="11"/>
  <c r="X3215" i="11"/>
  <c r="X3216" i="11"/>
  <c r="X3217" i="11"/>
  <c r="X3218" i="11"/>
  <c r="X3219" i="11"/>
  <c r="X3220" i="11"/>
  <c r="X3221" i="11"/>
  <c r="X3222" i="11"/>
  <c r="X3223" i="11"/>
  <c r="X3224" i="11"/>
  <c r="X3225" i="11"/>
  <c r="X3226" i="11"/>
  <c r="X3227" i="11"/>
  <c r="X3228" i="11"/>
  <c r="X3229" i="11"/>
  <c r="X3230" i="11"/>
  <c r="X3231" i="11"/>
  <c r="X3232" i="11"/>
  <c r="X3233" i="11"/>
  <c r="X3234" i="11"/>
  <c r="X3235" i="11"/>
  <c r="X3236" i="11"/>
  <c r="X3237" i="11"/>
  <c r="X3238" i="11"/>
  <c r="X3239" i="11"/>
  <c r="X3240" i="11"/>
  <c r="X3241" i="11"/>
  <c r="X3242" i="11"/>
  <c r="X3243" i="11"/>
  <c r="X3244" i="11"/>
  <c r="X3245" i="11"/>
  <c r="X3246" i="11"/>
  <c r="X3247" i="11"/>
  <c r="X3248" i="11"/>
  <c r="X3249" i="11"/>
  <c r="X3250" i="11"/>
  <c r="X3251" i="11"/>
  <c r="X3252" i="11"/>
  <c r="X3253" i="11"/>
  <c r="X3254" i="11"/>
  <c r="X3255" i="11"/>
  <c r="X3256" i="11"/>
  <c r="X3257" i="11"/>
  <c r="X3258" i="11"/>
  <c r="X3259" i="11"/>
  <c r="X3260" i="11"/>
  <c r="X3261" i="11"/>
  <c r="X3262" i="11"/>
  <c r="X3263" i="11"/>
  <c r="X3264" i="11"/>
  <c r="X3265" i="11"/>
  <c r="X3266" i="11"/>
  <c r="X3267" i="11"/>
  <c r="X3268" i="11"/>
  <c r="X3269" i="11"/>
  <c r="X3270" i="11"/>
  <c r="X3271" i="11"/>
  <c r="X3272" i="11"/>
  <c r="X3273" i="11"/>
  <c r="X3274" i="11"/>
  <c r="X3275" i="11"/>
  <c r="X3276" i="11"/>
  <c r="X3277" i="11"/>
  <c r="X3278" i="11"/>
  <c r="X3279" i="11"/>
  <c r="X3280" i="11"/>
  <c r="X3281" i="11"/>
  <c r="X3282" i="11"/>
  <c r="X3283" i="11"/>
  <c r="X3284" i="11"/>
  <c r="X3285" i="11"/>
  <c r="X3286" i="11"/>
  <c r="X3287" i="11"/>
  <c r="X3288" i="11"/>
  <c r="X3289" i="11"/>
  <c r="X3290" i="11"/>
  <c r="X3291" i="11"/>
  <c r="X3292" i="11"/>
  <c r="X3293" i="11"/>
  <c r="X3294" i="11"/>
  <c r="X3295" i="11"/>
  <c r="X3296" i="11"/>
  <c r="X3297" i="11"/>
  <c r="X3298" i="11"/>
  <c r="X3299" i="11"/>
  <c r="X3300" i="11"/>
  <c r="X3301" i="11"/>
  <c r="X3302" i="11"/>
  <c r="X3303" i="11"/>
  <c r="X3304" i="11"/>
  <c r="X3305" i="11"/>
  <c r="X3306" i="11"/>
  <c r="X3307" i="11"/>
  <c r="X3308" i="11"/>
  <c r="X3309" i="11"/>
  <c r="X3310" i="11"/>
  <c r="X3311" i="11"/>
  <c r="X3312" i="11"/>
  <c r="X3313" i="11"/>
  <c r="X3314" i="11"/>
  <c r="X3315" i="11"/>
  <c r="X3316" i="11"/>
  <c r="X3317" i="11"/>
  <c r="X3318" i="11"/>
  <c r="X3319" i="11"/>
  <c r="X3320" i="11"/>
  <c r="X3321" i="11"/>
  <c r="X3322" i="11"/>
  <c r="X3323" i="11"/>
  <c r="X3324" i="11"/>
  <c r="X3325" i="11"/>
  <c r="X3326" i="11"/>
  <c r="X3327" i="11"/>
  <c r="X3328" i="11"/>
  <c r="X3329" i="11"/>
  <c r="X3330" i="11"/>
  <c r="X3331" i="11"/>
  <c r="X3332" i="11"/>
  <c r="X3333" i="11"/>
  <c r="X3334" i="11"/>
  <c r="X3335" i="11"/>
  <c r="X3336" i="11"/>
  <c r="X3337" i="11"/>
  <c r="X3338" i="11"/>
  <c r="X3339" i="11"/>
  <c r="X3340" i="11"/>
  <c r="X3341" i="11"/>
  <c r="X3342" i="11"/>
  <c r="X3343" i="11"/>
  <c r="X3344" i="11"/>
  <c r="X3345" i="11"/>
  <c r="X3346" i="11"/>
  <c r="X3347" i="11"/>
  <c r="X3348" i="11"/>
  <c r="X3349" i="11"/>
  <c r="X3350" i="11"/>
  <c r="X3351" i="11"/>
  <c r="X3352" i="11"/>
  <c r="X3353" i="11"/>
  <c r="X3354" i="11"/>
  <c r="X3355" i="11"/>
  <c r="X3356" i="11"/>
  <c r="X3357" i="11"/>
  <c r="X3358" i="11"/>
  <c r="X3359" i="11"/>
  <c r="X3360" i="11"/>
  <c r="X3361" i="11"/>
  <c r="X3362" i="11"/>
  <c r="X3363" i="11"/>
  <c r="X3364" i="11"/>
  <c r="X3365" i="11"/>
  <c r="X3366" i="11"/>
  <c r="X3367" i="11"/>
  <c r="X3368" i="11"/>
  <c r="X3369" i="11"/>
  <c r="X3370" i="11"/>
  <c r="X3371" i="11"/>
  <c r="X3372" i="11"/>
  <c r="X3373" i="11"/>
  <c r="X3374" i="11"/>
  <c r="X3375" i="11"/>
  <c r="X3376" i="11"/>
  <c r="X3377" i="11"/>
  <c r="X3378" i="11"/>
  <c r="X3379" i="11"/>
  <c r="X3380" i="11"/>
  <c r="X3381" i="11"/>
  <c r="X3382" i="11"/>
  <c r="X3383" i="11"/>
  <c r="X3384" i="11"/>
  <c r="X3385" i="11"/>
  <c r="X3386" i="11"/>
  <c r="X3387" i="11"/>
  <c r="X3388" i="11"/>
  <c r="X3389" i="11"/>
  <c r="X3390" i="11"/>
  <c r="X3391" i="11"/>
  <c r="X3392" i="11"/>
  <c r="X3393" i="11"/>
  <c r="X3394" i="11"/>
  <c r="X3395" i="11"/>
  <c r="X3396" i="11"/>
  <c r="X3397" i="11"/>
  <c r="X3398" i="11"/>
  <c r="X3399" i="11"/>
  <c r="X3400" i="11"/>
  <c r="X3401" i="11"/>
  <c r="X3402" i="11"/>
  <c r="X3403" i="11"/>
  <c r="X3404" i="11"/>
  <c r="X3405" i="11"/>
  <c r="X3406" i="11"/>
  <c r="X3407" i="11"/>
  <c r="X3408" i="11"/>
  <c r="X3409" i="11"/>
  <c r="X3410" i="11"/>
  <c r="X3411" i="11"/>
  <c r="X3412" i="11"/>
  <c r="X3413" i="11"/>
  <c r="X3414" i="11"/>
  <c r="X3415" i="11"/>
  <c r="X3416" i="11"/>
  <c r="X3417" i="11"/>
  <c r="X3418" i="11"/>
  <c r="X3419" i="11"/>
  <c r="X3420" i="11"/>
  <c r="X3421" i="11"/>
  <c r="X3422" i="11"/>
  <c r="X3423" i="11"/>
  <c r="X3424" i="11"/>
  <c r="X3425" i="11"/>
  <c r="X3426" i="11"/>
  <c r="X3427" i="11"/>
  <c r="X3428" i="11"/>
  <c r="X3429" i="11"/>
  <c r="X3430" i="11"/>
  <c r="X3431" i="11"/>
  <c r="X3432" i="11"/>
  <c r="X3433" i="11"/>
  <c r="X3434" i="11"/>
  <c r="X3435" i="11"/>
  <c r="X3436" i="11"/>
  <c r="X3437" i="11"/>
  <c r="X3438" i="11"/>
  <c r="X3439" i="11"/>
  <c r="X3440" i="11"/>
  <c r="X3441" i="11"/>
  <c r="X3442" i="11"/>
  <c r="X3443" i="11"/>
  <c r="X3444" i="11"/>
  <c r="X3445" i="11"/>
  <c r="X3446" i="11"/>
  <c r="X3447" i="11"/>
  <c r="X3448" i="11"/>
  <c r="X3449" i="11"/>
  <c r="X3450" i="11"/>
  <c r="X3451" i="11"/>
  <c r="X3452" i="11"/>
  <c r="X3453" i="11"/>
  <c r="X3454" i="11"/>
  <c r="X3455" i="11"/>
  <c r="X3456" i="11"/>
  <c r="X3457" i="11"/>
  <c r="X3458" i="11"/>
  <c r="X3459" i="11"/>
  <c r="X3460" i="11"/>
  <c r="X3461" i="11"/>
  <c r="X3462" i="11"/>
  <c r="X3463" i="11"/>
  <c r="X3464" i="11"/>
  <c r="X3465" i="11"/>
  <c r="X3466" i="11"/>
  <c r="X3467" i="11"/>
  <c r="X3468" i="11"/>
  <c r="X3469" i="11"/>
  <c r="X3470" i="11"/>
  <c r="X3471" i="11"/>
  <c r="X3472" i="11"/>
  <c r="X3473" i="11"/>
  <c r="X3474" i="11"/>
  <c r="X3475" i="11"/>
  <c r="X3476" i="11"/>
  <c r="X3477" i="11"/>
  <c r="X3478" i="11"/>
  <c r="X3479" i="11"/>
  <c r="X3480" i="11"/>
  <c r="X3481" i="11"/>
  <c r="X3482" i="11"/>
  <c r="X3483" i="11"/>
  <c r="X3484" i="11"/>
  <c r="X3485" i="11"/>
  <c r="X3486" i="11"/>
  <c r="X3487" i="11"/>
  <c r="X3488" i="11"/>
  <c r="X3489" i="11"/>
  <c r="X3490" i="11"/>
  <c r="X3491" i="11"/>
  <c r="X3492" i="11"/>
  <c r="X3493" i="11"/>
  <c r="X3494" i="11"/>
  <c r="X3495" i="11"/>
  <c r="X3496" i="11"/>
  <c r="X3497" i="11"/>
  <c r="X3498" i="11"/>
  <c r="X3499" i="11"/>
  <c r="X3500" i="11"/>
  <c r="X3501" i="11"/>
  <c r="X3502" i="11"/>
  <c r="X3503" i="11"/>
  <c r="X3504" i="11"/>
  <c r="X3505" i="11"/>
  <c r="X3506" i="11"/>
  <c r="X3507" i="11"/>
  <c r="X3508" i="11"/>
  <c r="X3509" i="11"/>
  <c r="X3510" i="11"/>
  <c r="X3511" i="11"/>
  <c r="X3512" i="11"/>
  <c r="X3513" i="11"/>
  <c r="X3514" i="11"/>
  <c r="X3515" i="11"/>
  <c r="X3516" i="11"/>
  <c r="X3517" i="11"/>
  <c r="X3518" i="11"/>
  <c r="X3519" i="11"/>
  <c r="X3520" i="11"/>
  <c r="X3521" i="11"/>
  <c r="X3522" i="11"/>
  <c r="X3523" i="11"/>
  <c r="X3524" i="11"/>
  <c r="X3525" i="11"/>
  <c r="X3526" i="11"/>
  <c r="X3527" i="11"/>
  <c r="X3528" i="11"/>
  <c r="X3529" i="11"/>
  <c r="X3530" i="11"/>
  <c r="X3531" i="11"/>
  <c r="X3532" i="11"/>
  <c r="X3533" i="11"/>
  <c r="X3534" i="11"/>
  <c r="X3535" i="11"/>
  <c r="X3536" i="11"/>
  <c r="X3537" i="11"/>
  <c r="X3538" i="11"/>
  <c r="X3539" i="11"/>
  <c r="X3540" i="11"/>
  <c r="X3541" i="11"/>
  <c r="X3542" i="11"/>
  <c r="X3543" i="11"/>
  <c r="X3544" i="11"/>
  <c r="X3545" i="11"/>
  <c r="X3546" i="11"/>
  <c r="X3547" i="11"/>
  <c r="X3548" i="11"/>
  <c r="X3549" i="11"/>
  <c r="X3550" i="11"/>
  <c r="X3551" i="11"/>
  <c r="X3552" i="11"/>
  <c r="X3553" i="11"/>
  <c r="X3554" i="11"/>
  <c r="X3555" i="11"/>
  <c r="X3556" i="11"/>
  <c r="X3557" i="11"/>
  <c r="X3558" i="11"/>
  <c r="X3559" i="11"/>
  <c r="X3560" i="11"/>
  <c r="X3561" i="11"/>
  <c r="X3562" i="11"/>
  <c r="X3563" i="11"/>
  <c r="X3564" i="11"/>
  <c r="X3565" i="11"/>
  <c r="X3566" i="11"/>
  <c r="X3567" i="11"/>
  <c r="X3568" i="11"/>
  <c r="X3569" i="11"/>
  <c r="X3570" i="11"/>
  <c r="X3571" i="11"/>
  <c r="X3572" i="11"/>
  <c r="X3573" i="11"/>
  <c r="X3574" i="11"/>
  <c r="X3575" i="11"/>
  <c r="X3576" i="11"/>
  <c r="X3577" i="11"/>
  <c r="X3578" i="11"/>
  <c r="X3579" i="11"/>
  <c r="X3580" i="11"/>
  <c r="X3581" i="11"/>
  <c r="X3582" i="11"/>
  <c r="X3583" i="11"/>
  <c r="X3584" i="11"/>
  <c r="X3585" i="11"/>
  <c r="X3586" i="11"/>
  <c r="X3587" i="11"/>
  <c r="X3588" i="11"/>
  <c r="X3589" i="11"/>
  <c r="X3590" i="11"/>
  <c r="X3591" i="11"/>
  <c r="X3592" i="11"/>
  <c r="X3593" i="11"/>
  <c r="X3594" i="11"/>
  <c r="X3595" i="11"/>
  <c r="X3596" i="11"/>
  <c r="X3597" i="11"/>
  <c r="X3598" i="11"/>
  <c r="X3599" i="11"/>
  <c r="X3600" i="11"/>
  <c r="X3601" i="11"/>
  <c r="X3602" i="11"/>
  <c r="X3603" i="11"/>
  <c r="X3604" i="11"/>
  <c r="X3605" i="11"/>
  <c r="X3606" i="11"/>
  <c r="X3607" i="11"/>
  <c r="X3608" i="11"/>
  <c r="X3609" i="11"/>
  <c r="X3610" i="11"/>
  <c r="X3611" i="11"/>
  <c r="X3612" i="11"/>
  <c r="X3613" i="11"/>
  <c r="X3614" i="11"/>
  <c r="X3615" i="11"/>
  <c r="X3616" i="11"/>
  <c r="X3617" i="11"/>
  <c r="X3618" i="11"/>
  <c r="X3619" i="11"/>
  <c r="X3620" i="11"/>
  <c r="X3621" i="11"/>
  <c r="X3622" i="11"/>
  <c r="X3623" i="11"/>
  <c r="X3624" i="11"/>
  <c r="X3625" i="11"/>
  <c r="X3626" i="11"/>
  <c r="X3627" i="11"/>
  <c r="X3628" i="11"/>
  <c r="X3629" i="11"/>
  <c r="X3630" i="11"/>
  <c r="X3631" i="11"/>
  <c r="X3632" i="11"/>
  <c r="X3633" i="11"/>
  <c r="X3634" i="11"/>
  <c r="X3635" i="11"/>
  <c r="X3636" i="11"/>
  <c r="X3637" i="11"/>
  <c r="X3638" i="11"/>
  <c r="X3639" i="11"/>
  <c r="X3640" i="11"/>
  <c r="X3641" i="11"/>
  <c r="X3642" i="11"/>
  <c r="X3643" i="11"/>
  <c r="X3644" i="11"/>
  <c r="X3645" i="11"/>
  <c r="X3646" i="11"/>
  <c r="X3647" i="11"/>
  <c r="X3648" i="11"/>
  <c r="X3649" i="11"/>
  <c r="X3650" i="11"/>
  <c r="X3651" i="11"/>
  <c r="X3652" i="11"/>
  <c r="X3653" i="11"/>
  <c r="X3654" i="11"/>
  <c r="X3655" i="11"/>
  <c r="X3656" i="11"/>
  <c r="X3657" i="11"/>
  <c r="X3658" i="11"/>
  <c r="X3659" i="11"/>
  <c r="X3660" i="11"/>
  <c r="X3661" i="11"/>
  <c r="X3662" i="11"/>
  <c r="X3663" i="11"/>
  <c r="X3664" i="11"/>
  <c r="X3665" i="11"/>
  <c r="X3666" i="11"/>
  <c r="X3667" i="11"/>
  <c r="X3668" i="11"/>
  <c r="X3669" i="11"/>
  <c r="X3670" i="11"/>
  <c r="X3671" i="11"/>
  <c r="X3672" i="11"/>
  <c r="X3673" i="11"/>
  <c r="X3674" i="11"/>
  <c r="X3675" i="11"/>
  <c r="X3676" i="11"/>
  <c r="X3677" i="11"/>
  <c r="X3678" i="11"/>
  <c r="X3679" i="11"/>
  <c r="X3680" i="11"/>
  <c r="X3681" i="11"/>
  <c r="X3682" i="11"/>
  <c r="X3683" i="11"/>
  <c r="X3684" i="11"/>
  <c r="X3685" i="11"/>
  <c r="X3686" i="11"/>
  <c r="X3687" i="11"/>
  <c r="X3688" i="11"/>
  <c r="X3689" i="11"/>
  <c r="X3690" i="11"/>
  <c r="X3691" i="11"/>
  <c r="X3692" i="11"/>
  <c r="X3693" i="11"/>
  <c r="X3694" i="11"/>
  <c r="X3695" i="11"/>
  <c r="X3696" i="11"/>
  <c r="X3697" i="11"/>
  <c r="X3698" i="11"/>
  <c r="X3699" i="11"/>
  <c r="X3700" i="11"/>
  <c r="X3701" i="11"/>
  <c r="X3702" i="11"/>
  <c r="X3703" i="11"/>
  <c r="X3704" i="11"/>
  <c r="X3705" i="11"/>
  <c r="X3706" i="11"/>
  <c r="X3707" i="11"/>
  <c r="X3708" i="11"/>
  <c r="X3709" i="11"/>
  <c r="X3710" i="11"/>
  <c r="X3711" i="11"/>
  <c r="X3712" i="11"/>
  <c r="X3713" i="11"/>
  <c r="X3714" i="11"/>
  <c r="X3715" i="11"/>
  <c r="X3716" i="11"/>
  <c r="X3717" i="11"/>
  <c r="X3718" i="11"/>
  <c r="X3719" i="11"/>
  <c r="X3720" i="11"/>
  <c r="X3721" i="11"/>
  <c r="X3722" i="11"/>
  <c r="X3723" i="11"/>
  <c r="X3724" i="11"/>
  <c r="X3725" i="11"/>
  <c r="X3726" i="11"/>
  <c r="X3727" i="11"/>
  <c r="X3728" i="11"/>
  <c r="X3729" i="11"/>
  <c r="X3730" i="11"/>
  <c r="X3731" i="11"/>
  <c r="X3732" i="11"/>
  <c r="X3733" i="11"/>
  <c r="X3734" i="11"/>
  <c r="X3735" i="11"/>
  <c r="X3736" i="11"/>
  <c r="X3737" i="11"/>
  <c r="X3738" i="11"/>
  <c r="X3739" i="11"/>
  <c r="X3740" i="11"/>
  <c r="X3741" i="11"/>
  <c r="X3742" i="11"/>
  <c r="X3743" i="11"/>
  <c r="X3744" i="11"/>
  <c r="X3745" i="11"/>
  <c r="X3746" i="11"/>
  <c r="X3747" i="11"/>
  <c r="X3748" i="11"/>
  <c r="X3749" i="11"/>
  <c r="X3750" i="11"/>
  <c r="X3751" i="11"/>
  <c r="X3752" i="11"/>
  <c r="X3753" i="11"/>
  <c r="X3754" i="11"/>
  <c r="X3755" i="11"/>
  <c r="X3756" i="11"/>
  <c r="X3757" i="11"/>
  <c r="X3758" i="11"/>
  <c r="X3759" i="11"/>
  <c r="X3760" i="11"/>
  <c r="X3761" i="11"/>
  <c r="X3762" i="11"/>
  <c r="X3763" i="11"/>
  <c r="X3764" i="11"/>
  <c r="X3765" i="11"/>
  <c r="X3766" i="11"/>
  <c r="X3767" i="11"/>
  <c r="X3768" i="11"/>
  <c r="X3769" i="11"/>
  <c r="X3770" i="11"/>
  <c r="X3771" i="11"/>
  <c r="X3772" i="11"/>
  <c r="X3773" i="11"/>
  <c r="X3774" i="11"/>
  <c r="X3775" i="11"/>
  <c r="X3776" i="11"/>
  <c r="X3777" i="11"/>
  <c r="X3778" i="11"/>
  <c r="X3779" i="11"/>
  <c r="X3780" i="11"/>
  <c r="X3781" i="11"/>
  <c r="X3782" i="11"/>
  <c r="X3783" i="11"/>
  <c r="X3784" i="11"/>
  <c r="X3785" i="11"/>
  <c r="X3786" i="11"/>
  <c r="X3787" i="11"/>
  <c r="X3788" i="11"/>
  <c r="X3789" i="11"/>
  <c r="X3790" i="11"/>
  <c r="X3791" i="11"/>
  <c r="X3792" i="11"/>
  <c r="X3793" i="11"/>
  <c r="X3794" i="11"/>
  <c r="X3795" i="11"/>
  <c r="X3796" i="11"/>
  <c r="X3797" i="11"/>
  <c r="X3798" i="11"/>
  <c r="X3799" i="11"/>
  <c r="X3800" i="11"/>
  <c r="X3801" i="11"/>
  <c r="X3802" i="11"/>
  <c r="X3803" i="11"/>
  <c r="X3804" i="11"/>
  <c r="X3805" i="11"/>
  <c r="X3806" i="11"/>
  <c r="X3807" i="11"/>
  <c r="X3808" i="11"/>
  <c r="X3809" i="11"/>
  <c r="X3810" i="11"/>
  <c r="X3811" i="11"/>
  <c r="X3812" i="11"/>
  <c r="X3813" i="11"/>
  <c r="X3814" i="11"/>
  <c r="X3815" i="11"/>
  <c r="X3816" i="11"/>
  <c r="X3817" i="11"/>
  <c r="X3818" i="11"/>
  <c r="X3819" i="11"/>
  <c r="X3820" i="11"/>
  <c r="X3821" i="11"/>
  <c r="X3822" i="11"/>
  <c r="X3823" i="11"/>
  <c r="X3824" i="11"/>
  <c r="X3825" i="11"/>
  <c r="X3826" i="11"/>
  <c r="X3827" i="11"/>
  <c r="X3828" i="11"/>
  <c r="X3829" i="11"/>
  <c r="X3830" i="11"/>
  <c r="X3831" i="11"/>
  <c r="X3832" i="11"/>
  <c r="X3833" i="11"/>
  <c r="X3834" i="11"/>
  <c r="X3835" i="11"/>
  <c r="X3836" i="11"/>
  <c r="X3837" i="11"/>
  <c r="X3838" i="11"/>
  <c r="X3839" i="11"/>
  <c r="X3840" i="11"/>
  <c r="X3841" i="11"/>
  <c r="X3842" i="11"/>
  <c r="X3843" i="11"/>
  <c r="X3844" i="11"/>
  <c r="X3845" i="11"/>
  <c r="X3846" i="11"/>
  <c r="X3847" i="11"/>
  <c r="X3848" i="11"/>
  <c r="X3849" i="11"/>
  <c r="X3850" i="11"/>
  <c r="X3851" i="11"/>
  <c r="X3852" i="11"/>
  <c r="X3853" i="11"/>
  <c r="X3854" i="11"/>
  <c r="X3855" i="11"/>
  <c r="X3856" i="11"/>
  <c r="X3857" i="11"/>
  <c r="X3858" i="11"/>
  <c r="X3859" i="11"/>
  <c r="X3860" i="11"/>
  <c r="X3861" i="11"/>
  <c r="X3862" i="11"/>
  <c r="X3863" i="11"/>
  <c r="X3864" i="11"/>
  <c r="X3865" i="11"/>
  <c r="X3866" i="11"/>
  <c r="X3867" i="11"/>
  <c r="X3868" i="11"/>
  <c r="X3869" i="11"/>
  <c r="X3870" i="11"/>
  <c r="X3871" i="11"/>
  <c r="X3872" i="11"/>
  <c r="X3873" i="11"/>
  <c r="X3874" i="11"/>
  <c r="X3875" i="11"/>
  <c r="X3876" i="11"/>
  <c r="X3877" i="11"/>
  <c r="X3878" i="11"/>
  <c r="X3879" i="11"/>
  <c r="X3880" i="11"/>
  <c r="X3881" i="11"/>
  <c r="X3882" i="11"/>
  <c r="X3883" i="11"/>
  <c r="X3884" i="11"/>
  <c r="X3885" i="11"/>
  <c r="X3886" i="11"/>
  <c r="X3887" i="11"/>
  <c r="X3888" i="11"/>
  <c r="X3889" i="11"/>
  <c r="X3890" i="11"/>
  <c r="X3891" i="11"/>
  <c r="X3892" i="11"/>
  <c r="X3893" i="11"/>
  <c r="X3894" i="11"/>
  <c r="X3895" i="11"/>
  <c r="X3896" i="11"/>
  <c r="X3897" i="11"/>
  <c r="X3898" i="11"/>
  <c r="X3899" i="11"/>
  <c r="X3900" i="11"/>
  <c r="X3901" i="11"/>
  <c r="X3902" i="11"/>
  <c r="X3903" i="11"/>
  <c r="X3904" i="11"/>
  <c r="X3905" i="11"/>
  <c r="X3906" i="11"/>
  <c r="X3907" i="11"/>
  <c r="X3908" i="11"/>
  <c r="X3909" i="11"/>
  <c r="X3910" i="11"/>
  <c r="X3911" i="11"/>
  <c r="X3912" i="11"/>
  <c r="X3913" i="11"/>
  <c r="X3914" i="11"/>
  <c r="X3915" i="11"/>
  <c r="X3916" i="11"/>
  <c r="X3917" i="11"/>
  <c r="X3918" i="11"/>
  <c r="X3919" i="11"/>
  <c r="X3920" i="11"/>
  <c r="X3921" i="11"/>
  <c r="X3922" i="11"/>
  <c r="X3923" i="11"/>
  <c r="X3924" i="11"/>
  <c r="X3925" i="11"/>
  <c r="X3926" i="11"/>
  <c r="X3927" i="11"/>
  <c r="X3928" i="11"/>
  <c r="X3929" i="11"/>
  <c r="X3930" i="11"/>
  <c r="X3931" i="11"/>
  <c r="X3932" i="11"/>
  <c r="X3933" i="11"/>
  <c r="X3934" i="11"/>
  <c r="X3935" i="11"/>
  <c r="X3936" i="11"/>
  <c r="X3937" i="11"/>
  <c r="X3938" i="11"/>
  <c r="X3939" i="11"/>
  <c r="X3940" i="11"/>
  <c r="X3941" i="11"/>
  <c r="X3942" i="11"/>
  <c r="X3943" i="11"/>
  <c r="X3944" i="11"/>
  <c r="X3945" i="11"/>
  <c r="X3946" i="11"/>
  <c r="X3947" i="11"/>
  <c r="X3948" i="11"/>
  <c r="X3949" i="11"/>
  <c r="X3950" i="11"/>
  <c r="X3951" i="11"/>
  <c r="X3952" i="11"/>
  <c r="X3953" i="11"/>
  <c r="X3954" i="11"/>
  <c r="X3955" i="11"/>
  <c r="X3956" i="11"/>
  <c r="X3957" i="11"/>
  <c r="X3958" i="11"/>
  <c r="X3959" i="11"/>
  <c r="X3960" i="11"/>
  <c r="X3961" i="11"/>
  <c r="X3962" i="11"/>
  <c r="X3963" i="11"/>
  <c r="X3964" i="11"/>
  <c r="X3965" i="11"/>
  <c r="X3966" i="11"/>
  <c r="X3967" i="11"/>
  <c r="X3968" i="11"/>
  <c r="X3969" i="11"/>
  <c r="X3970" i="11"/>
  <c r="X3971" i="11"/>
  <c r="X3972" i="11"/>
  <c r="X3973" i="11"/>
  <c r="X3974" i="11"/>
  <c r="X3975" i="11"/>
  <c r="X3976" i="11"/>
  <c r="X3977" i="11"/>
  <c r="X3978" i="11"/>
  <c r="X3979" i="11"/>
  <c r="X3980" i="11"/>
  <c r="X3981" i="11"/>
  <c r="X3982" i="11"/>
  <c r="X3983" i="11"/>
  <c r="X3984" i="11"/>
  <c r="X3985" i="11"/>
  <c r="X3986" i="11"/>
  <c r="X3987" i="11"/>
  <c r="X3988" i="11"/>
  <c r="X3989" i="11"/>
  <c r="X3990" i="11"/>
  <c r="X3991" i="11"/>
  <c r="X3992" i="11"/>
  <c r="X3993" i="11"/>
  <c r="X3994" i="11"/>
  <c r="X3995" i="11"/>
  <c r="X3996" i="11"/>
  <c r="X3997" i="11"/>
  <c r="X3998" i="11"/>
  <c r="X3999" i="11"/>
  <c r="X4000" i="11"/>
  <c r="X4001" i="11"/>
  <c r="X4002" i="11"/>
  <c r="X4003" i="11"/>
  <c r="X4004" i="11"/>
  <c r="X4005" i="11"/>
  <c r="X4006" i="11"/>
  <c r="X4007" i="11"/>
  <c r="X4008" i="11"/>
  <c r="X4009" i="11"/>
  <c r="X4010" i="11"/>
  <c r="X4011" i="11"/>
  <c r="X4012" i="11"/>
  <c r="X4013" i="11"/>
  <c r="X4014" i="11"/>
  <c r="X4015" i="11"/>
  <c r="X4016" i="11"/>
  <c r="X4017" i="11"/>
  <c r="X4018" i="11"/>
  <c r="X4019" i="11"/>
  <c r="X4020" i="11"/>
  <c r="X4021" i="11"/>
  <c r="X4022" i="11"/>
  <c r="X4023" i="11"/>
  <c r="X4024" i="11"/>
  <c r="X4025" i="11"/>
  <c r="X4026" i="11"/>
  <c r="X4027" i="11"/>
  <c r="X4028" i="11"/>
  <c r="X4029" i="11"/>
  <c r="X4030" i="11"/>
  <c r="X4031" i="11"/>
  <c r="X4032" i="11"/>
  <c r="X4033" i="11"/>
  <c r="X4034" i="11"/>
  <c r="X4035" i="11"/>
  <c r="X4036" i="11"/>
  <c r="X4037" i="11"/>
  <c r="X4038" i="11"/>
  <c r="X4039" i="11"/>
  <c r="X4040" i="11"/>
  <c r="X4041" i="11"/>
  <c r="X4042" i="11"/>
  <c r="X4043" i="11"/>
  <c r="X4044" i="11"/>
  <c r="X4045" i="11"/>
  <c r="X4046" i="11"/>
  <c r="X4047" i="11"/>
  <c r="X4048" i="11"/>
  <c r="X4049" i="11"/>
  <c r="X4050" i="11"/>
  <c r="X4051" i="11"/>
  <c r="X4052" i="11"/>
  <c r="X4053" i="11"/>
  <c r="X4054" i="11"/>
  <c r="X4055" i="11"/>
  <c r="X4056" i="11"/>
  <c r="X4057" i="11"/>
  <c r="X4058" i="11"/>
  <c r="X4059" i="11"/>
  <c r="X4060" i="11"/>
  <c r="X4061" i="11"/>
  <c r="X4062" i="11"/>
  <c r="X4063" i="11"/>
  <c r="X4064" i="11"/>
  <c r="X4065" i="11"/>
  <c r="X4066" i="11"/>
  <c r="X4067" i="11"/>
  <c r="X4068" i="11"/>
  <c r="X4069" i="11"/>
  <c r="X4070" i="11"/>
  <c r="X4071" i="11"/>
  <c r="X4072" i="11"/>
  <c r="X4073" i="11"/>
  <c r="X4074" i="11"/>
  <c r="X4075" i="11"/>
  <c r="X4076" i="11"/>
  <c r="X4077" i="11"/>
  <c r="X4078" i="11"/>
  <c r="X4079" i="11"/>
  <c r="X4080" i="11"/>
  <c r="X4081" i="11"/>
  <c r="X4082" i="11"/>
  <c r="X4083" i="11"/>
  <c r="X4084" i="11"/>
  <c r="X4085" i="11"/>
  <c r="X4086" i="11"/>
  <c r="X4087" i="11"/>
  <c r="X4088" i="11"/>
  <c r="X4089" i="11"/>
  <c r="X4090" i="11"/>
  <c r="X4091" i="11"/>
  <c r="X4092" i="11"/>
  <c r="X4093" i="11"/>
  <c r="X4094" i="11"/>
  <c r="X4095" i="11"/>
  <c r="X4096" i="11"/>
  <c r="X4097" i="11"/>
  <c r="X4098" i="11"/>
  <c r="X4099" i="11"/>
  <c r="X4100" i="11"/>
  <c r="X4101" i="11"/>
  <c r="X4102" i="11"/>
  <c r="X4103" i="11"/>
  <c r="X4104" i="11"/>
  <c r="X4105" i="11"/>
  <c r="X4106" i="11"/>
  <c r="X4107" i="11"/>
  <c r="X4108" i="11"/>
  <c r="X4109" i="11"/>
  <c r="X4110" i="11"/>
  <c r="X4111" i="11"/>
  <c r="X4112" i="11"/>
  <c r="X4113" i="11"/>
  <c r="X4114" i="11"/>
  <c r="X4115" i="11"/>
  <c r="X4116" i="11"/>
  <c r="X4117" i="11"/>
  <c r="X4118" i="11"/>
  <c r="X4119" i="11"/>
  <c r="X4120" i="11"/>
  <c r="X4121" i="11"/>
  <c r="X4122" i="11"/>
  <c r="X4123" i="11"/>
  <c r="X4124" i="11"/>
  <c r="X4125" i="11"/>
  <c r="X4126" i="11"/>
  <c r="X4127" i="11"/>
  <c r="X4128" i="11"/>
  <c r="X4129" i="11"/>
  <c r="X4130" i="11"/>
  <c r="X4131" i="11"/>
  <c r="X4132" i="11"/>
  <c r="X4133" i="11"/>
  <c r="X4134" i="11"/>
  <c r="X4135" i="11"/>
  <c r="X4136" i="11"/>
  <c r="X4137" i="11"/>
  <c r="X4138" i="11"/>
  <c r="X4139" i="11"/>
  <c r="X4140" i="11"/>
  <c r="X4141" i="11"/>
  <c r="X4142" i="11"/>
  <c r="X4143" i="11"/>
  <c r="X4144" i="11"/>
  <c r="X4145" i="11"/>
  <c r="X4146" i="11"/>
  <c r="X4147" i="11"/>
  <c r="X4148" i="11"/>
  <c r="X4149" i="11"/>
  <c r="X4150" i="11"/>
  <c r="X4151" i="11"/>
  <c r="X4152" i="11"/>
  <c r="X4153" i="11"/>
  <c r="X4154" i="11"/>
  <c r="X4155" i="11"/>
  <c r="X4156" i="11"/>
  <c r="X4157" i="11"/>
  <c r="X4158" i="11"/>
  <c r="X4159" i="11"/>
  <c r="X4160" i="11"/>
  <c r="X4161" i="11"/>
  <c r="X4162" i="11"/>
  <c r="X4163" i="11"/>
  <c r="X4164" i="11"/>
  <c r="X4165" i="11"/>
  <c r="X4166" i="11"/>
  <c r="X4167" i="11"/>
  <c r="X4168" i="11"/>
  <c r="X4169" i="11"/>
  <c r="X4170" i="11"/>
  <c r="X4171" i="11"/>
  <c r="X4172" i="11"/>
  <c r="X4173" i="11"/>
  <c r="X4174" i="11"/>
  <c r="X4175" i="11"/>
  <c r="X4176" i="11"/>
  <c r="X4177" i="11"/>
  <c r="X4178" i="11"/>
  <c r="X4179" i="11"/>
  <c r="X4180" i="11"/>
  <c r="X4181" i="11"/>
  <c r="X4182" i="11"/>
  <c r="X4183" i="11"/>
  <c r="X4184" i="11"/>
  <c r="X4185" i="11"/>
  <c r="X4186" i="11"/>
  <c r="X4187" i="11"/>
  <c r="X4188" i="11"/>
  <c r="X4189" i="11"/>
  <c r="X4190" i="11"/>
  <c r="X4191" i="11"/>
  <c r="X4192" i="11"/>
  <c r="X4193" i="11"/>
  <c r="X4194" i="11"/>
  <c r="X4195" i="11"/>
  <c r="X4196" i="11"/>
  <c r="X4197" i="11"/>
  <c r="X4198" i="11"/>
  <c r="X4199" i="11"/>
  <c r="X4200" i="11"/>
  <c r="X4201" i="11"/>
  <c r="X4202" i="11"/>
  <c r="X4203" i="11"/>
  <c r="X4204" i="11"/>
  <c r="X4205" i="11"/>
  <c r="X4206" i="11"/>
  <c r="X4207" i="11"/>
  <c r="X4208" i="11"/>
  <c r="X4209" i="11"/>
  <c r="X4210" i="11"/>
  <c r="X4211" i="11"/>
  <c r="X4212" i="11"/>
  <c r="X4213" i="11"/>
  <c r="X4214" i="11"/>
  <c r="X4215" i="11"/>
  <c r="X4216" i="11"/>
  <c r="X4217" i="11"/>
  <c r="X4218" i="11"/>
  <c r="X4219" i="11"/>
  <c r="X4220" i="11"/>
  <c r="X4221" i="11"/>
  <c r="X4222" i="11"/>
  <c r="X4223" i="11"/>
  <c r="X4224" i="11"/>
  <c r="X4225" i="11"/>
  <c r="X4226" i="11"/>
  <c r="X4227" i="11"/>
  <c r="X4228" i="11"/>
  <c r="X4229" i="11"/>
  <c r="X4230" i="11"/>
  <c r="X4231" i="11"/>
  <c r="X4232" i="11"/>
  <c r="X4233" i="11"/>
  <c r="X4234" i="11"/>
  <c r="X4235" i="11"/>
  <c r="X4236" i="11"/>
  <c r="X4237" i="11"/>
  <c r="X4238" i="11"/>
  <c r="X4239" i="11"/>
  <c r="X4240" i="11"/>
  <c r="X4241" i="11"/>
  <c r="X4242" i="11"/>
  <c r="X4243" i="11"/>
  <c r="X4244" i="11"/>
  <c r="X4245" i="11"/>
  <c r="X4246" i="11"/>
  <c r="X4247" i="11"/>
  <c r="X4248" i="11"/>
  <c r="X4249" i="11"/>
  <c r="X4250" i="11"/>
  <c r="X4251" i="11"/>
  <c r="X4252" i="11"/>
  <c r="X4253" i="11"/>
  <c r="X4254" i="11"/>
  <c r="X4255" i="11"/>
  <c r="X4256" i="11"/>
  <c r="X4257" i="11"/>
  <c r="X4258" i="11"/>
  <c r="X4259" i="11"/>
  <c r="X4260" i="11"/>
  <c r="X4261" i="11"/>
  <c r="X4262" i="11"/>
  <c r="X4263" i="11"/>
  <c r="X4264" i="11"/>
  <c r="X4265" i="11"/>
  <c r="X4266" i="11"/>
  <c r="X4267" i="11"/>
  <c r="X4268" i="11"/>
  <c r="X4269" i="11"/>
  <c r="X4270" i="11"/>
  <c r="X4271" i="11"/>
  <c r="X4272" i="11"/>
  <c r="X4273" i="11"/>
  <c r="X4274" i="11"/>
  <c r="X4275" i="11"/>
  <c r="X4276" i="11"/>
  <c r="X4277" i="11"/>
  <c r="X4278" i="11"/>
  <c r="X4279" i="11"/>
  <c r="X4280" i="11"/>
  <c r="X4281" i="11"/>
  <c r="X4282" i="11"/>
  <c r="X4283" i="11"/>
  <c r="X4284" i="11"/>
  <c r="X4285" i="11"/>
  <c r="X4286" i="11"/>
  <c r="X4287" i="11"/>
  <c r="X4288" i="11"/>
  <c r="X4289" i="11"/>
  <c r="X4290" i="11"/>
  <c r="X4291" i="11"/>
  <c r="X4292" i="11"/>
  <c r="X4293" i="11"/>
  <c r="X4294" i="11"/>
  <c r="X4295" i="11"/>
  <c r="X4296" i="11"/>
  <c r="X4297" i="11"/>
  <c r="X4298" i="11"/>
  <c r="X4299" i="11"/>
  <c r="X4300" i="11"/>
  <c r="X4301" i="11"/>
  <c r="X4302" i="11"/>
  <c r="X4303" i="11"/>
  <c r="X4304" i="11"/>
  <c r="X4305" i="11"/>
  <c r="X4306" i="11"/>
  <c r="X4307" i="11"/>
  <c r="X4308" i="11"/>
  <c r="X4309" i="11"/>
  <c r="X4310" i="11"/>
  <c r="X4311" i="11"/>
  <c r="X4312" i="11"/>
  <c r="X4313" i="11"/>
  <c r="X4314" i="11"/>
  <c r="X4315" i="11"/>
  <c r="X4316" i="11"/>
  <c r="X4317" i="11"/>
  <c r="X4318" i="11"/>
  <c r="X4319" i="11"/>
  <c r="X4320" i="11"/>
  <c r="X4321" i="11"/>
  <c r="X4322" i="11"/>
  <c r="X4323" i="11"/>
  <c r="X4324" i="11"/>
  <c r="X4325" i="11"/>
  <c r="X4326" i="11"/>
  <c r="X4327" i="11"/>
  <c r="X4328" i="11"/>
  <c r="X4329" i="11"/>
  <c r="X4330" i="11"/>
  <c r="X4331" i="11"/>
  <c r="X4332" i="11"/>
  <c r="X4333" i="11"/>
  <c r="X4334" i="11"/>
  <c r="X4335" i="11"/>
  <c r="X4336" i="11"/>
  <c r="X4337" i="11"/>
  <c r="X4338" i="11"/>
  <c r="X4339" i="11"/>
  <c r="X4340" i="11"/>
  <c r="X4341" i="11"/>
  <c r="X4342" i="11"/>
  <c r="X4343" i="11"/>
  <c r="X4344" i="11"/>
  <c r="X4345" i="11"/>
  <c r="X4346" i="11"/>
  <c r="X4347" i="11"/>
  <c r="X4348" i="11"/>
  <c r="X4349" i="11"/>
  <c r="X4350" i="11"/>
  <c r="X4351" i="11"/>
  <c r="X4352" i="11"/>
  <c r="X4353" i="11"/>
  <c r="X4354" i="11"/>
  <c r="X4355" i="11"/>
  <c r="X4356" i="11"/>
  <c r="X4357" i="11"/>
  <c r="X4358" i="11"/>
  <c r="X4359" i="11"/>
  <c r="X4360" i="11"/>
  <c r="X4361" i="11"/>
  <c r="X4362" i="11"/>
  <c r="X4363" i="11"/>
  <c r="X4364" i="11"/>
  <c r="X4365" i="11"/>
  <c r="X4366" i="11"/>
  <c r="X4367" i="11"/>
  <c r="X4368" i="11"/>
  <c r="X4369" i="11"/>
  <c r="X4370" i="11"/>
  <c r="X4371" i="11"/>
  <c r="X4372" i="11"/>
  <c r="X4373" i="11"/>
  <c r="X4374" i="11"/>
  <c r="X4375" i="11"/>
  <c r="X4376" i="11"/>
  <c r="X4377" i="11"/>
  <c r="X4378" i="11"/>
  <c r="X4379" i="11"/>
  <c r="X4380" i="11"/>
  <c r="X4381" i="11"/>
  <c r="X4382" i="11"/>
  <c r="X4383" i="11"/>
  <c r="X4384" i="11"/>
  <c r="X4385" i="11"/>
  <c r="X4386" i="11"/>
  <c r="X4387" i="11"/>
  <c r="X4388" i="11"/>
  <c r="X4389" i="11"/>
  <c r="X4390" i="11"/>
  <c r="X4391" i="11"/>
  <c r="X4392" i="11"/>
  <c r="X4393" i="11"/>
  <c r="X4394" i="11"/>
  <c r="X4395" i="11"/>
  <c r="X4396" i="11"/>
  <c r="X4397" i="11"/>
  <c r="X4398" i="11"/>
  <c r="X4399" i="11"/>
  <c r="X4400" i="11"/>
  <c r="X4401" i="11"/>
  <c r="X4402" i="11"/>
  <c r="X4403" i="11"/>
  <c r="X4404" i="11"/>
  <c r="X4405" i="11"/>
  <c r="X4406" i="11"/>
  <c r="X4407" i="11"/>
  <c r="X4408" i="11"/>
  <c r="X4409" i="11"/>
  <c r="X4410" i="11"/>
  <c r="X4411" i="11"/>
  <c r="X4412" i="11"/>
  <c r="X4413" i="11"/>
  <c r="X4414" i="11"/>
  <c r="X4415" i="11"/>
  <c r="X4416" i="11"/>
  <c r="X4417" i="11"/>
  <c r="X4418" i="11"/>
  <c r="X4419" i="11"/>
  <c r="X4420" i="11"/>
  <c r="X4421" i="11"/>
  <c r="X4422" i="11"/>
  <c r="X4423" i="11"/>
  <c r="X4424" i="11"/>
  <c r="X4425" i="11"/>
  <c r="X4426" i="11"/>
  <c r="X4427" i="11"/>
  <c r="X4428" i="11"/>
  <c r="X4429" i="11"/>
  <c r="X4430" i="11"/>
  <c r="X4431" i="11"/>
  <c r="X4432" i="11"/>
  <c r="X4433" i="11"/>
  <c r="X4434" i="11"/>
  <c r="X4435" i="11"/>
  <c r="X4436" i="11"/>
  <c r="X4437" i="11"/>
  <c r="X4438" i="11"/>
  <c r="X4439" i="11"/>
  <c r="X4440" i="11"/>
  <c r="X4441" i="11"/>
  <c r="X4442" i="11"/>
  <c r="X4443" i="11"/>
  <c r="X4444" i="11"/>
  <c r="X4445" i="11"/>
  <c r="X4446" i="11"/>
  <c r="X4447" i="11"/>
  <c r="X4448" i="11"/>
  <c r="X4449" i="11"/>
  <c r="X4450" i="11"/>
  <c r="X4451" i="11"/>
  <c r="X4452" i="11"/>
  <c r="X4453" i="11"/>
  <c r="X4454" i="11"/>
  <c r="X4455" i="11"/>
  <c r="X4456" i="11"/>
  <c r="X4457" i="11"/>
  <c r="X4458" i="11"/>
  <c r="X4459" i="11"/>
  <c r="X4460" i="11"/>
  <c r="X4461" i="11"/>
  <c r="X4462" i="11"/>
  <c r="X4463" i="11"/>
  <c r="X4464" i="11"/>
  <c r="X4465" i="11"/>
  <c r="X4466" i="11"/>
  <c r="X4467" i="11"/>
  <c r="X4468" i="11"/>
  <c r="X4469" i="11"/>
  <c r="X4470" i="11"/>
  <c r="X4471" i="11"/>
  <c r="X4472" i="11"/>
  <c r="X4473" i="11"/>
  <c r="X4474" i="11"/>
  <c r="X4475" i="11"/>
  <c r="X4476" i="11"/>
  <c r="X4477" i="11"/>
  <c r="X4478" i="11"/>
  <c r="X4479" i="11"/>
  <c r="X4480" i="11"/>
  <c r="X4481" i="11"/>
  <c r="X4482" i="11"/>
  <c r="X4483" i="11"/>
  <c r="X4484" i="11"/>
  <c r="X4485" i="11"/>
  <c r="X4486" i="11"/>
  <c r="X4487" i="11"/>
  <c r="X4488" i="11"/>
  <c r="X4489" i="11"/>
  <c r="X4490" i="11"/>
  <c r="X4491" i="11"/>
  <c r="X4492" i="11"/>
  <c r="X4493" i="11"/>
  <c r="X4494" i="11"/>
  <c r="X4495" i="11"/>
  <c r="X4496" i="11"/>
  <c r="X4497" i="11"/>
  <c r="X4498" i="11"/>
  <c r="X4499" i="11"/>
  <c r="X4500" i="11"/>
  <c r="X4501" i="11"/>
  <c r="X4502" i="11"/>
  <c r="X4503" i="11"/>
  <c r="X4504" i="11"/>
  <c r="X4505" i="11"/>
  <c r="X4506" i="11"/>
  <c r="X4507" i="11"/>
  <c r="X4508" i="11"/>
  <c r="X4509" i="11"/>
  <c r="X4510" i="11"/>
  <c r="X4511" i="11"/>
  <c r="X4512" i="11"/>
  <c r="X4513" i="11"/>
  <c r="X4514" i="11"/>
  <c r="X4515" i="11"/>
  <c r="X4516" i="11"/>
  <c r="X4517" i="11"/>
  <c r="X4518" i="11"/>
  <c r="X4519" i="11"/>
  <c r="X4520" i="11"/>
  <c r="X4521" i="11"/>
  <c r="X4522" i="11"/>
  <c r="X4523" i="11"/>
  <c r="X4524" i="11"/>
  <c r="X4525" i="11"/>
  <c r="X4526" i="11"/>
  <c r="X4527" i="11"/>
  <c r="X4528" i="11"/>
  <c r="X4529" i="11"/>
  <c r="X4530" i="11"/>
  <c r="X4531" i="11"/>
  <c r="X4532" i="11"/>
  <c r="X4533" i="11"/>
  <c r="X4534" i="11"/>
  <c r="X4535" i="11"/>
  <c r="X4536" i="11"/>
  <c r="X4537" i="11"/>
  <c r="X4538" i="11"/>
  <c r="X4539" i="11"/>
  <c r="X4540" i="11"/>
  <c r="X4541" i="11"/>
  <c r="X4542" i="11"/>
  <c r="X4543" i="11"/>
  <c r="X4544" i="11"/>
  <c r="X4545" i="11"/>
  <c r="X4546" i="11"/>
  <c r="X4547" i="11"/>
  <c r="X4548" i="11"/>
  <c r="X4549" i="11"/>
  <c r="X4550" i="11"/>
  <c r="X4551" i="11"/>
  <c r="X4552" i="11"/>
  <c r="X4553" i="11"/>
  <c r="X4554" i="11"/>
  <c r="X4555" i="11"/>
  <c r="X4556" i="11"/>
  <c r="X4557" i="11"/>
  <c r="X4558" i="11"/>
  <c r="X4559" i="11"/>
  <c r="X4560" i="11"/>
  <c r="X4561" i="11"/>
  <c r="X4562" i="11"/>
  <c r="X4563" i="11"/>
  <c r="X4564" i="11"/>
  <c r="X4565" i="11"/>
  <c r="X4566" i="11"/>
  <c r="X4567" i="11"/>
  <c r="X4568" i="11"/>
  <c r="X4569" i="11"/>
  <c r="X4570" i="11"/>
  <c r="X4571" i="11"/>
  <c r="X4572" i="11"/>
  <c r="X4573" i="11"/>
  <c r="X4574" i="11"/>
  <c r="X4575" i="11"/>
  <c r="X4576" i="11"/>
  <c r="X4577" i="11"/>
  <c r="X4578" i="11"/>
  <c r="X4579" i="11"/>
  <c r="X4580" i="11"/>
  <c r="X4581" i="11"/>
  <c r="X4582" i="11"/>
  <c r="X4583" i="11"/>
  <c r="X4584" i="11"/>
  <c r="X4585" i="11"/>
  <c r="X4586" i="11"/>
  <c r="X4587" i="11"/>
  <c r="X4588" i="11"/>
  <c r="X4589" i="11"/>
  <c r="X4590" i="11"/>
  <c r="X4591" i="11"/>
  <c r="X4592" i="11"/>
  <c r="X4593" i="11"/>
  <c r="X4594" i="11"/>
  <c r="X4595" i="11"/>
  <c r="X4596" i="11"/>
  <c r="X4597" i="11"/>
  <c r="X4598" i="11"/>
  <c r="X4599" i="11"/>
  <c r="X4600" i="11"/>
  <c r="X4601" i="11"/>
  <c r="X4602" i="11"/>
  <c r="X4603" i="11"/>
  <c r="X4604" i="11"/>
  <c r="X4605" i="11"/>
  <c r="X4606" i="11"/>
  <c r="X4607" i="11"/>
  <c r="X4608" i="11"/>
  <c r="X4609" i="11"/>
  <c r="X4610" i="11"/>
  <c r="X4611" i="11"/>
  <c r="X4612" i="11"/>
  <c r="X4613" i="11"/>
  <c r="X4614" i="11"/>
  <c r="X4615" i="11"/>
  <c r="X4616" i="11"/>
  <c r="X4617" i="11"/>
  <c r="X4618" i="11"/>
  <c r="X4619" i="11"/>
  <c r="X4620" i="11"/>
  <c r="X4621" i="11"/>
  <c r="X4622" i="11"/>
  <c r="X4623" i="11"/>
  <c r="X4624" i="11"/>
  <c r="X4625" i="11"/>
  <c r="X4626" i="11"/>
  <c r="X4627" i="11"/>
  <c r="X4628" i="11"/>
  <c r="X4629" i="11"/>
  <c r="X4630" i="11"/>
  <c r="X4631" i="11"/>
  <c r="X4632" i="11"/>
  <c r="X4633" i="11"/>
  <c r="X4634" i="11"/>
  <c r="X4635" i="11"/>
  <c r="X4636" i="11"/>
  <c r="X4637" i="11"/>
  <c r="X4638" i="11"/>
  <c r="X4639" i="11"/>
  <c r="X4640" i="11"/>
  <c r="X4641" i="11"/>
  <c r="X4642" i="11"/>
  <c r="X4643" i="11"/>
  <c r="X4644" i="11"/>
  <c r="X4645" i="11"/>
  <c r="X4646" i="11"/>
  <c r="X4647" i="11"/>
  <c r="X4648" i="11"/>
  <c r="X4649" i="11"/>
  <c r="X4650" i="11"/>
  <c r="X4651" i="11"/>
  <c r="X4652" i="11"/>
  <c r="X4653" i="11"/>
  <c r="X4654" i="11"/>
  <c r="X4655" i="11"/>
  <c r="X4656" i="11"/>
  <c r="X4657" i="11"/>
  <c r="X4658" i="11"/>
  <c r="X4659" i="11"/>
  <c r="X4660" i="11"/>
  <c r="X4661" i="11"/>
  <c r="X4662" i="11"/>
  <c r="X4663" i="11"/>
  <c r="X4664" i="11"/>
  <c r="X4665" i="11"/>
  <c r="X4666" i="11"/>
  <c r="X4667" i="11"/>
  <c r="X4668" i="11"/>
  <c r="X4669" i="11"/>
  <c r="X4670" i="11"/>
  <c r="X4671" i="11"/>
  <c r="X4672" i="11"/>
  <c r="X4673" i="11"/>
  <c r="X4674" i="11"/>
  <c r="X4675" i="11"/>
  <c r="X4676" i="11"/>
  <c r="X4677" i="11"/>
  <c r="X4678" i="11"/>
  <c r="X4679" i="11"/>
  <c r="X4680" i="11"/>
  <c r="X4681" i="11"/>
  <c r="X4682" i="11"/>
  <c r="X4683" i="11"/>
  <c r="X4684" i="11"/>
  <c r="X4685" i="11"/>
  <c r="X4686" i="11"/>
  <c r="X4687" i="11"/>
  <c r="X4688" i="11"/>
  <c r="X4689" i="11"/>
  <c r="X4690" i="11"/>
  <c r="X4691" i="11"/>
  <c r="X4692" i="11"/>
  <c r="X4693" i="11"/>
  <c r="X4694" i="11"/>
  <c r="X4695" i="11"/>
  <c r="X4696" i="11"/>
  <c r="X4697" i="11"/>
  <c r="X4698" i="11"/>
  <c r="X4699" i="11"/>
  <c r="X4700" i="11"/>
  <c r="X4701" i="11"/>
  <c r="X4702" i="11"/>
  <c r="X4703" i="11"/>
  <c r="X4704" i="11"/>
  <c r="X4705" i="11"/>
  <c r="X4706" i="11"/>
  <c r="X4707" i="11"/>
  <c r="X4708" i="11"/>
  <c r="X4709" i="11"/>
  <c r="X4710" i="11"/>
  <c r="X4711" i="11"/>
  <c r="X4712" i="11"/>
  <c r="X4713" i="11"/>
  <c r="X4714" i="11"/>
  <c r="X4715" i="11"/>
  <c r="X4716" i="11"/>
  <c r="X4717" i="11"/>
  <c r="X4718" i="11"/>
  <c r="X4719" i="11"/>
  <c r="X4720" i="11"/>
  <c r="X4721" i="11"/>
  <c r="X4722" i="11"/>
  <c r="X4723" i="11"/>
  <c r="X4724" i="11"/>
  <c r="X4725" i="11"/>
  <c r="X4726" i="11"/>
  <c r="X4727" i="11"/>
  <c r="X4728" i="11"/>
  <c r="X4729" i="11"/>
  <c r="X4730" i="11"/>
  <c r="X4731" i="11"/>
  <c r="X4732" i="11"/>
  <c r="X4733" i="11"/>
  <c r="X4734" i="11"/>
  <c r="X4735" i="11"/>
  <c r="X4736" i="11"/>
  <c r="X4737" i="11"/>
  <c r="X4738" i="11"/>
  <c r="X4739" i="11"/>
  <c r="X4740" i="11"/>
  <c r="X4741" i="11"/>
  <c r="X4742" i="11"/>
  <c r="X4743" i="11"/>
  <c r="X4744" i="11"/>
  <c r="X4745" i="11"/>
  <c r="X4746" i="11"/>
  <c r="X4747" i="11"/>
  <c r="X4748" i="11"/>
  <c r="X4749" i="11"/>
  <c r="X4750" i="11"/>
  <c r="X4751" i="11"/>
  <c r="X4752" i="11"/>
  <c r="X4753" i="11"/>
  <c r="X4754" i="11"/>
  <c r="X4755" i="11"/>
  <c r="X4756" i="11"/>
  <c r="X4757" i="11"/>
  <c r="X4758" i="11"/>
  <c r="X4759" i="11"/>
  <c r="X4760" i="11"/>
  <c r="X4761" i="11"/>
  <c r="X4762" i="11"/>
  <c r="X4763" i="11"/>
  <c r="X4764" i="11"/>
  <c r="X4765" i="11"/>
  <c r="X4766" i="11"/>
  <c r="X4767" i="11"/>
  <c r="X4768" i="11"/>
  <c r="X4769" i="11"/>
  <c r="X4770" i="11"/>
  <c r="X4771" i="11"/>
  <c r="X4772" i="11"/>
  <c r="X4773" i="11"/>
  <c r="X4774" i="11"/>
  <c r="X4775" i="11"/>
  <c r="X4776" i="11"/>
  <c r="X4777" i="11"/>
  <c r="X4778" i="11"/>
  <c r="X4779" i="11"/>
  <c r="X4780" i="11"/>
  <c r="X4781" i="11"/>
  <c r="X4782" i="11"/>
  <c r="X4783" i="11"/>
  <c r="X4784" i="11"/>
  <c r="X4785" i="11"/>
  <c r="X4786" i="11"/>
  <c r="X4787" i="11"/>
  <c r="X4788" i="11"/>
  <c r="X4789" i="11"/>
  <c r="X4790" i="11"/>
  <c r="X4791" i="11"/>
  <c r="X4792" i="11"/>
  <c r="X4793" i="11"/>
  <c r="X4794" i="11"/>
  <c r="X4795" i="11"/>
  <c r="X4796" i="11"/>
  <c r="X4797" i="11"/>
  <c r="X4798" i="11"/>
  <c r="X4799" i="11"/>
  <c r="X4800" i="11"/>
  <c r="X4801" i="11"/>
  <c r="X4802" i="11"/>
  <c r="X4803" i="11"/>
  <c r="X4804" i="11"/>
  <c r="X4805" i="11"/>
  <c r="X4806" i="11"/>
  <c r="X4807" i="11"/>
  <c r="X4808" i="11"/>
  <c r="X4809" i="11"/>
  <c r="X4810" i="11"/>
  <c r="X4811" i="11"/>
  <c r="X4812" i="11"/>
  <c r="X4813" i="11"/>
  <c r="X4814" i="11"/>
  <c r="X4815" i="11"/>
  <c r="X4816" i="11"/>
  <c r="X4817" i="11"/>
  <c r="X4818" i="11"/>
  <c r="X4819" i="11"/>
  <c r="X4820" i="11"/>
  <c r="X4821" i="11"/>
  <c r="X4822" i="11"/>
  <c r="X4823" i="11"/>
  <c r="X4824" i="11"/>
  <c r="X4825" i="11"/>
  <c r="X4826" i="11"/>
  <c r="X4827" i="11"/>
  <c r="X4828" i="11"/>
  <c r="X4829" i="11"/>
  <c r="X4830" i="11"/>
  <c r="X4831" i="11"/>
  <c r="X4832" i="11"/>
  <c r="X4833" i="11"/>
  <c r="X4834" i="11"/>
  <c r="X4835" i="11"/>
  <c r="X4836" i="11"/>
  <c r="X4837" i="11"/>
  <c r="X4838" i="11"/>
  <c r="X4839" i="11"/>
  <c r="X4840" i="11"/>
  <c r="X4841" i="11"/>
  <c r="X4842" i="11"/>
  <c r="X4843" i="11"/>
  <c r="X4844" i="11"/>
  <c r="X4845" i="11"/>
  <c r="X4846" i="11"/>
  <c r="X4847" i="11"/>
  <c r="X4848" i="11"/>
  <c r="X4849" i="11"/>
  <c r="X4850" i="11"/>
  <c r="X4851" i="11"/>
  <c r="X4852" i="11"/>
  <c r="X4853" i="11"/>
  <c r="X4854" i="11"/>
  <c r="X4855" i="11"/>
  <c r="X4856" i="11"/>
  <c r="X4857" i="11"/>
  <c r="X4858" i="11"/>
  <c r="X4859" i="11"/>
  <c r="X4860" i="11"/>
  <c r="X4861" i="11"/>
  <c r="X4862" i="11"/>
  <c r="X4863" i="11"/>
  <c r="X4864" i="11"/>
  <c r="X4865" i="11"/>
  <c r="X4866" i="11"/>
  <c r="X4867" i="11"/>
  <c r="X4868" i="11"/>
  <c r="X4869" i="11"/>
  <c r="X4870" i="11"/>
  <c r="X4871" i="11"/>
  <c r="X4872" i="11"/>
  <c r="X4873" i="11"/>
  <c r="X4874" i="11"/>
  <c r="X4875" i="11"/>
  <c r="X4876" i="11"/>
  <c r="X4877" i="11"/>
  <c r="X4878" i="11"/>
  <c r="X4879" i="11"/>
  <c r="X4880" i="11"/>
  <c r="X4881" i="11"/>
  <c r="X4882" i="11"/>
  <c r="X4883" i="11"/>
  <c r="X4884" i="11"/>
  <c r="X4885" i="11"/>
  <c r="X4886" i="11"/>
  <c r="X4887" i="11"/>
  <c r="X4888" i="11"/>
  <c r="X4889" i="11"/>
  <c r="X4890" i="11"/>
  <c r="X4891" i="11"/>
  <c r="X4892" i="11"/>
  <c r="X4893" i="11"/>
  <c r="X4894" i="11"/>
  <c r="X4895" i="11"/>
  <c r="X4896" i="11"/>
  <c r="X4897" i="11"/>
  <c r="X4898" i="11"/>
  <c r="X4899" i="11"/>
  <c r="X4900" i="11"/>
  <c r="X4901" i="11"/>
  <c r="X4902" i="11"/>
  <c r="X4903" i="11"/>
  <c r="X4904" i="11"/>
  <c r="X4905" i="11"/>
  <c r="X4906" i="11"/>
  <c r="X4907" i="11"/>
  <c r="X4908" i="11"/>
  <c r="X4909" i="11"/>
  <c r="X4910" i="11"/>
  <c r="X4911" i="11"/>
  <c r="X4912" i="11"/>
  <c r="X4913" i="11"/>
  <c r="X4914" i="11"/>
  <c r="X4915" i="11"/>
  <c r="X4916" i="11"/>
  <c r="X4917" i="11"/>
  <c r="X4918" i="11"/>
  <c r="X4919" i="11"/>
  <c r="X4920" i="11"/>
  <c r="X4921" i="11"/>
  <c r="X4922" i="11"/>
  <c r="X4923" i="11"/>
  <c r="X4924" i="11"/>
  <c r="X4925" i="11"/>
  <c r="X4926" i="11"/>
  <c r="X4927" i="11"/>
  <c r="X4928" i="11"/>
  <c r="X4929" i="11"/>
  <c r="X4930" i="11"/>
  <c r="X4931" i="11"/>
  <c r="X4932" i="11"/>
  <c r="X4933" i="11"/>
  <c r="X4934" i="11"/>
  <c r="X4935" i="11"/>
  <c r="X4936" i="11"/>
  <c r="X4937" i="11"/>
  <c r="X4938" i="11"/>
  <c r="X4939" i="11"/>
  <c r="X4940" i="11"/>
  <c r="X4941" i="11"/>
  <c r="X4942" i="11"/>
  <c r="X4943" i="11"/>
  <c r="X4944" i="11"/>
  <c r="X4945" i="11"/>
  <c r="X4946" i="11"/>
  <c r="X4947" i="11"/>
  <c r="X4948" i="11"/>
  <c r="X4949" i="11"/>
  <c r="X4950" i="11"/>
  <c r="X4951" i="11"/>
  <c r="X4952" i="11"/>
  <c r="X4953" i="11"/>
  <c r="X4954" i="11"/>
  <c r="X4955" i="11"/>
  <c r="X4956" i="11"/>
  <c r="X4957" i="11"/>
  <c r="X4958" i="11"/>
  <c r="X4959" i="11"/>
  <c r="X4960" i="11"/>
  <c r="X4961" i="11"/>
  <c r="X4962" i="11"/>
  <c r="X4963" i="11"/>
  <c r="X4964" i="11"/>
  <c r="X4965" i="11"/>
  <c r="X4966" i="11"/>
  <c r="X4967" i="11"/>
  <c r="X4968" i="11"/>
  <c r="X4969" i="11"/>
  <c r="X4970" i="11"/>
  <c r="X4971" i="11"/>
  <c r="X4972" i="11"/>
  <c r="X4973" i="11"/>
  <c r="X4974" i="11"/>
  <c r="X4975" i="11"/>
  <c r="X4976" i="11"/>
  <c r="X4977" i="11"/>
  <c r="X4978" i="11"/>
  <c r="X4979" i="11"/>
  <c r="X4980" i="11"/>
  <c r="X4981" i="11"/>
  <c r="X4982" i="11"/>
  <c r="X4983" i="11"/>
  <c r="X4984" i="11"/>
  <c r="X4985" i="11"/>
  <c r="X4986" i="11"/>
  <c r="X4987" i="11"/>
  <c r="X4988" i="11"/>
  <c r="X4989" i="11"/>
  <c r="X4990" i="11"/>
  <c r="X4991" i="11"/>
  <c r="X4992" i="11"/>
  <c r="X4993" i="11"/>
  <c r="X4994" i="11"/>
  <c r="X4995" i="11"/>
  <c r="X4996" i="11"/>
  <c r="X4997" i="11"/>
  <c r="X4998" i="11"/>
  <c r="X4999" i="11"/>
  <c r="X5000" i="11"/>
  <c r="W6" i="11"/>
  <c r="W7" i="11"/>
  <c r="W8" i="11"/>
  <c r="W9" i="11"/>
  <c r="W10" i="11"/>
  <c r="W11" i="11"/>
  <c r="W12" i="11"/>
  <c r="W13" i="11"/>
  <c r="W14" i="11"/>
  <c r="W15" i="11"/>
  <c r="W16" i="11"/>
  <c r="W17" i="11"/>
  <c r="W18" i="11"/>
  <c r="W19" i="11"/>
  <c r="W20" i="11"/>
  <c r="W21" i="11"/>
  <c r="W22" i="11"/>
  <c r="W23" i="11"/>
  <c r="W24" i="11"/>
  <c r="W25" i="11"/>
  <c r="W26" i="11"/>
  <c r="W27" i="11"/>
  <c r="W28" i="11"/>
  <c r="W29" i="11"/>
  <c r="W30" i="11"/>
  <c r="W31" i="11"/>
  <c r="W32" i="11"/>
  <c r="W33" i="11"/>
  <c r="W34" i="11"/>
  <c r="W35" i="11"/>
  <c r="W36" i="11"/>
  <c r="W37" i="11"/>
  <c r="W38" i="11"/>
  <c r="W39" i="11"/>
  <c r="W40" i="11"/>
  <c r="W41" i="11"/>
  <c r="W42" i="11"/>
  <c r="W43" i="11"/>
  <c r="W44" i="11"/>
  <c r="W45" i="11"/>
  <c r="W46" i="11"/>
  <c r="W47" i="11"/>
  <c r="W48" i="11"/>
  <c r="W49" i="11"/>
  <c r="W50" i="11"/>
  <c r="W51" i="11"/>
  <c r="W52" i="11"/>
  <c r="W53" i="11"/>
  <c r="W54" i="11"/>
  <c r="W55" i="11"/>
  <c r="W56" i="11"/>
  <c r="W57" i="11"/>
  <c r="W58" i="11"/>
  <c r="W59" i="11"/>
  <c r="W60" i="11"/>
  <c r="W61" i="11"/>
  <c r="W62" i="11"/>
  <c r="W63" i="11"/>
  <c r="W64" i="11"/>
  <c r="W65" i="11"/>
  <c r="W66" i="11"/>
  <c r="W67" i="11"/>
  <c r="W68" i="11"/>
  <c r="W69" i="11"/>
  <c r="W70" i="11"/>
  <c r="W71" i="11"/>
  <c r="W72" i="11"/>
  <c r="W73" i="11"/>
  <c r="W74" i="11"/>
  <c r="W75" i="11"/>
  <c r="W76" i="11"/>
  <c r="W77" i="11"/>
  <c r="W78" i="11"/>
  <c r="W79" i="11"/>
  <c r="W80" i="11"/>
  <c r="W81" i="11"/>
  <c r="W82" i="11"/>
  <c r="W83" i="11"/>
  <c r="W84" i="11"/>
  <c r="W85" i="11"/>
  <c r="W86" i="11"/>
  <c r="W87" i="11"/>
  <c r="W88" i="11"/>
  <c r="W89" i="11"/>
  <c r="W90" i="11"/>
  <c r="W91" i="11"/>
  <c r="W92" i="11"/>
  <c r="W93" i="11"/>
  <c r="W94" i="11"/>
  <c r="W95" i="11"/>
  <c r="W96" i="11"/>
  <c r="W97" i="11"/>
  <c r="W98" i="11"/>
  <c r="W99" i="11"/>
  <c r="W100" i="11"/>
  <c r="W101" i="11"/>
  <c r="W102" i="11"/>
  <c r="W103" i="11"/>
  <c r="W104" i="11"/>
  <c r="W105" i="11"/>
  <c r="W106" i="11"/>
  <c r="W107" i="11"/>
  <c r="W108" i="11"/>
  <c r="W109" i="11"/>
  <c r="W110" i="11"/>
  <c r="W111" i="11"/>
  <c r="W112" i="11"/>
  <c r="W113" i="11"/>
  <c r="W114" i="11"/>
  <c r="W115" i="11"/>
  <c r="W116" i="11"/>
  <c r="W117" i="11"/>
  <c r="W118" i="11"/>
  <c r="W119" i="11"/>
  <c r="W120" i="11"/>
  <c r="W121" i="11"/>
  <c r="W122" i="11"/>
  <c r="W123" i="11"/>
  <c r="W124" i="11"/>
  <c r="W125" i="11"/>
  <c r="W126" i="11"/>
  <c r="W127" i="11"/>
  <c r="W128" i="11"/>
  <c r="W129" i="11"/>
  <c r="W130" i="11"/>
  <c r="W131" i="11"/>
  <c r="W132" i="11"/>
  <c r="W133" i="11"/>
  <c r="W134" i="11"/>
  <c r="W135" i="11"/>
  <c r="W136" i="11"/>
  <c r="W137" i="11"/>
  <c r="W138" i="11"/>
  <c r="W139" i="11"/>
  <c r="W140" i="11"/>
  <c r="W141" i="11"/>
  <c r="W142" i="11"/>
  <c r="W143" i="11"/>
  <c r="W144" i="11"/>
  <c r="W145" i="11"/>
  <c r="W146" i="11"/>
  <c r="W147" i="11"/>
  <c r="W148" i="11"/>
  <c r="W149" i="11"/>
  <c r="W150" i="11"/>
  <c r="W151" i="11"/>
  <c r="W152" i="11"/>
  <c r="W153" i="11"/>
  <c r="W154" i="11"/>
  <c r="W155" i="11"/>
  <c r="W156" i="11"/>
  <c r="W157" i="11"/>
  <c r="W158" i="11"/>
  <c r="W159" i="11"/>
  <c r="W160" i="11"/>
  <c r="W161" i="11"/>
  <c r="W162" i="11"/>
  <c r="W163" i="11"/>
  <c r="W164" i="11"/>
  <c r="W165" i="11"/>
  <c r="W166" i="11"/>
  <c r="W167" i="11"/>
  <c r="W168" i="11"/>
  <c r="W169" i="11"/>
  <c r="W170" i="11"/>
  <c r="W171" i="11"/>
  <c r="W172" i="11"/>
  <c r="W173" i="11"/>
  <c r="W174" i="11"/>
  <c r="W175" i="11"/>
  <c r="W176" i="11"/>
  <c r="W177" i="11"/>
  <c r="W178" i="11"/>
  <c r="W179" i="11"/>
  <c r="W180" i="11"/>
  <c r="W181" i="11"/>
  <c r="W182" i="11"/>
  <c r="W183" i="11"/>
  <c r="W184" i="11"/>
  <c r="W185" i="11"/>
  <c r="W186" i="11"/>
  <c r="W187" i="11"/>
  <c r="W188" i="11"/>
  <c r="W189" i="11"/>
  <c r="W190" i="11"/>
  <c r="W191" i="11"/>
  <c r="W192" i="11"/>
  <c r="W193" i="11"/>
  <c r="W194" i="11"/>
  <c r="W195" i="11"/>
  <c r="W196" i="11"/>
  <c r="W197" i="11"/>
  <c r="W198" i="11"/>
  <c r="W199" i="11"/>
  <c r="W200" i="11"/>
  <c r="W201" i="11"/>
  <c r="W202" i="11"/>
  <c r="W203" i="11"/>
  <c r="W204" i="11"/>
  <c r="W205" i="11"/>
  <c r="W206" i="11"/>
  <c r="W207" i="11"/>
  <c r="W208" i="11"/>
  <c r="W209" i="11"/>
  <c r="W210" i="11"/>
  <c r="W211" i="11"/>
  <c r="W212" i="11"/>
  <c r="W213" i="11"/>
  <c r="W214" i="11"/>
  <c r="W215" i="11"/>
  <c r="W216" i="11"/>
  <c r="W217" i="11"/>
  <c r="W218" i="11"/>
  <c r="W219" i="11"/>
  <c r="W220" i="11"/>
  <c r="W221" i="11"/>
  <c r="W222" i="11"/>
  <c r="W223" i="11"/>
  <c r="W224" i="11"/>
  <c r="W225" i="11"/>
  <c r="W226" i="11"/>
  <c r="W227" i="11"/>
  <c r="W228" i="11"/>
  <c r="W229" i="11"/>
  <c r="W230" i="11"/>
  <c r="W231" i="11"/>
  <c r="W232" i="11"/>
  <c r="W233" i="11"/>
  <c r="W234" i="11"/>
  <c r="W235" i="11"/>
  <c r="W236" i="11"/>
  <c r="W237" i="11"/>
  <c r="W238" i="11"/>
  <c r="W239" i="11"/>
  <c r="W240" i="11"/>
  <c r="W241" i="11"/>
  <c r="W242" i="11"/>
  <c r="W243" i="11"/>
  <c r="W244" i="11"/>
  <c r="W245" i="11"/>
  <c r="W246" i="11"/>
  <c r="W247" i="11"/>
  <c r="W248" i="11"/>
  <c r="W249" i="11"/>
  <c r="W250" i="11"/>
  <c r="W251" i="11"/>
  <c r="W252" i="11"/>
  <c r="W253" i="11"/>
  <c r="W254" i="11"/>
  <c r="W255" i="11"/>
  <c r="W256" i="11"/>
  <c r="W257" i="11"/>
  <c r="W258" i="11"/>
  <c r="W259" i="11"/>
  <c r="W260" i="11"/>
  <c r="W261" i="11"/>
  <c r="W262" i="11"/>
  <c r="W263" i="11"/>
  <c r="W264" i="11"/>
  <c r="W265" i="11"/>
  <c r="W266" i="11"/>
  <c r="W267" i="11"/>
  <c r="W268" i="11"/>
  <c r="W269" i="11"/>
  <c r="W270" i="11"/>
  <c r="W271" i="11"/>
  <c r="W272" i="11"/>
  <c r="W273" i="11"/>
  <c r="W274" i="11"/>
  <c r="W275" i="11"/>
  <c r="W276" i="11"/>
  <c r="W277" i="11"/>
  <c r="W278" i="11"/>
  <c r="W279" i="11"/>
  <c r="W280" i="11"/>
  <c r="W281" i="11"/>
  <c r="W282" i="11"/>
  <c r="W283" i="11"/>
  <c r="W284" i="11"/>
  <c r="W285" i="11"/>
  <c r="W286" i="11"/>
  <c r="W287" i="11"/>
  <c r="W288" i="11"/>
  <c r="W289" i="11"/>
  <c r="W290" i="11"/>
  <c r="W291" i="11"/>
  <c r="W292" i="11"/>
  <c r="W293" i="11"/>
  <c r="W294" i="11"/>
  <c r="W295" i="11"/>
  <c r="W296" i="11"/>
  <c r="W297" i="11"/>
  <c r="W298" i="11"/>
  <c r="W299" i="11"/>
  <c r="W300" i="11"/>
  <c r="W301" i="11"/>
  <c r="W302" i="11"/>
  <c r="W303" i="11"/>
  <c r="W304" i="11"/>
  <c r="W305" i="11"/>
  <c r="W306" i="11"/>
  <c r="W307" i="11"/>
  <c r="W308" i="11"/>
  <c r="W309" i="11"/>
  <c r="W310" i="11"/>
  <c r="W311" i="11"/>
  <c r="W312" i="11"/>
  <c r="W313" i="11"/>
  <c r="W314" i="11"/>
  <c r="W315" i="11"/>
  <c r="W316" i="11"/>
  <c r="W317" i="11"/>
  <c r="W318" i="11"/>
  <c r="W319" i="11"/>
  <c r="W320" i="11"/>
  <c r="W321" i="11"/>
  <c r="W322" i="11"/>
  <c r="W323" i="11"/>
  <c r="W324" i="11"/>
  <c r="W325" i="11"/>
  <c r="W326" i="11"/>
  <c r="W327" i="11"/>
  <c r="W328" i="11"/>
  <c r="W329" i="11"/>
  <c r="W330" i="11"/>
  <c r="W331" i="11"/>
  <c r="W332" i="11"/>
  <c r="W333" i="11"/>
  <c r="W334" i="11"/>
  <c r="W335" i="11"/>
  <c r="W336" i="11"/>
  <c r="W337" i="11"/>
  <c r="W338" i="11"/>
  <c r="W339" i="11"/>
  <c r="W340" i="11"/>
  <c r="W341" i="11"/>
  <c r="W342" i="11"/>
  <c r="W343" i="11"/>
  <c r="W344" i="11"/>
  <c r="W345" i="11"/>
  <c r="W346" i="11"/>
  <c r="W347" i="11"/>
  <c r="W348" i="11"/>
  <c r="W349" i="11"/>
  <c r="W350" i="11"/>
  <c r="W351" i="11"/>
  <c r="W352" i="11"/>
  <c r="W353" i="11"/>
  <c r="W354" i="11"/>
  <c r="W355" i="11"/>
  <c r="W356" i="11"/>
  <c r="W357" i="11"/>
  <c r="W358" i="11"/>
  <c r="W359" i="11"/>
  <c r="W360" i="11"/>
  <c r="W361" i="11"/>
  <c r="W362" i="11"/>
  <c r="W363" i="11"/>
  <c r="W364" i="11"/>
  <c r="W365" i="11"/>
  <c r="W366" i="11"/>
  <c r="W367" i="11"/>
  <c r="W368" i="11"/>
  <c r="W369" i="11"/>
  <c r="W370" i="11"/>
  <c r="W371" i="11"/>
  <c r="W372" i="11"/>
  <c r="W373" i="11"/>
  <c r="W374" i="11"/>
  <c r="W375" i="11"/>
  <c r="W376" i="11"/>
  <c r="W377" i="11"/>
  <c r="W378" i="11"/>
  <c r="W379" i="11"/>
  <c r="W380" i="11"/>
  <c r="W381" i="11"/>
  <c r="W382" i="11"/>
  <c r="W383" i="11"/>
  <c r="W384" i="11"/>
  <c r="W385" i="11"/>
  <c r="W386" i="11"/>
  <c r="W387" i="11"/>
  <c r="W388" i="11"/>
  <c r="W389" i="11"/>
  <c r="W390" i="11"/>
  <c r="W391" i="11"/>
  <c r="W392" i="11"/>
  <c r="W393" i="11"/>
  <c r="W394" i="11"/>
  <c r="W395" i="11"/>
  <c r="W396" i="11"/>
  <c r="W397" i="11"/>
  <c r="W398" i="11"/>
  <c r="W399" i="11"/>
  <c r="W400" i="11"/>
  <c r="W401" i="11"/>
  <c r="W402" i="11"/>
  <c r="W403" i="11"/>
  <c r="W404" i="11"/>
  <c r="W405" i="11"/>
  <c r="W406" i="11"/>
  <c r="W407" i="11"/>
  <c r="W408" i="11"/>
  <c r="W409" i="11"/>
  <c r="W410" i="11"/>
  <c r="W411" i="11"/>
  <c r="W412" i="11"/>
  <c r="W413" i="11"/>
  <c r="W414" i="11"/>
  <c r="W415" i="11"/>
  <c r="W416" i="11"/>
  <c r="W417" i="11"/>
  <c r="W418" i="11"/>
  <c r="W419" i="11"/>
  <c r="W420" i="11"/>
  <c r="W421" i="11"/>
  <c r="W422" i="11"/>
  <c r="W423" i="11"/>
  <c r="W424" i="11"/>
  <c r="W425" i="11"/>
  <c r="W426" i="11"/>
  <c r="W427" i="11"/>
  <c r="W428" i="11"/>
  <c r="W429" i="11"/>
  <c r="W430" i="11"/>
  <c r="W431" i="11"/>
  <c r="W432" i="11"/>
  <c r="W433" i="11"/>
  <c r="W434" i="11"/>
  <c r="W435" i="11"/>
  <c r="W436" i="11"/>
  <c r="W437" i="11"/>
  <c r="W438" i="11"/>
  <c r="W439" i="11"/>
  <c r="W440" i="11"/>
  <c r="W441" i="11"/>
  <c r="W442" i="11"/>
  <c r="W443" i="11"/>
  <c r="W444" i="11"/>
  <c r="W445" i="11"/>
  <c r="W446" i="11"/>
  <c r="W447" i="11"/>
  <c r="W448" i="11"/>
  <c r="W449" i="11"/>
  <c r="W450" i="11"/>
  <c r="W451" i="11"/>
  <c r="W452" i="11"/>
  <c r="W453" i="11"/>
  <c r="W454" i="11"/>
  <c r="W455" i="11"/>
  <c r="W456" i="11"/>
  <c r="W457" i="11"/>
  <c r="W458" i="11"/>
  <c r="W459" i="11"/>
  <c r="W460" i="11"/>
  <c r="W461" i="11"/>
  <c r="W462" i="11"/>
  <c r="W463" i="11"/>
  <c r="W464" i="11"/>
  <c r="W465" i="11"/>
  <c r="W466" i="11"/>
  <c r="W467" i="11"/>
  <c r="W468" i="11"/>
  <c r="W469" i="11"/>
  <c r="W470" i="11"/>
  <c r="W471" i="11"/>
  <c r="W472" i="11"/>
  <c r="W473" i="11"/>
  <c r="W474" i="11"/>
  <c r="W475" i="11"/>
  <c r="W476" i="11"/>
  <c r="W477" i="11"/>
  <c r="W478" i="11"/>
  <c r="W479" i="11"/>
  <c r="W480" i="11"/>
  <c r="W481" i="11"/>
  <c r="W482" i="11"/>
  <c r="W483" i="11"/>
  <c r="W484" i="11"/>
  <c r="W485" i="11"/>
  <c r="W486" i="11"/>
  <c r="W487" i="11"/>
  <c r="W488" i="11"/>
  <c r="W489" i="11"/>
  <c r="W490" i="11"/>
  <c r="W491" i="11"/>
  <c r="W492" i="11"/>
  <c r="W493" i="11"/>
  <c r="W494" i="11"/>
  <c r="W495" i="11"/>
  <c r="W496" i="11"/>
  <c r="W497" i="11"/>
  <c r="W498" i="11"/>
  <c r="W499" i="11"/>
  <c r="W500" i="11"/>
  <c r="W501" i="11"/>
  <c r="W502" i="11"/>
  <c r="W503" i="11"/>
  <c r="W504" i="11"/>
  <c r="W505" i="11"/>
  <c r="W506" i="11"/>
  <c r="W507" i="11"/>
  <c r="W508" i="11"/>
  <c r="W509" i="11"/>
  <c r="W510" i="11"/>
  <c r="W511" i="11"/>
  <c r="W512" i="11"/>
  <c r="W513" i="11"/>
  <c r="W514" i="11"/>
  <c r="W515" i="11"/>
  <c r="W516" i="11"/>
  <c r="W517" i="11"/>
  <c r="W518" i="11"/>
  <c r="W519" i="11"/>
  <c r="W520" i="11"/>
  <c r="W521" i="11"/>
  <c r="W522" i="11"/>
  <c r="W523" i="11"/>
  <c r="W524" i="11"/>
  <c r="W525" i="11"/>
  <c r="W526" i="11"/>
  <c r="W527" i="11"/>
  <c r="W528" i="11"/>
  <c r="W529" i="11"/>
  <c r="W530" i="11"/>
  <c r="W531" i="11"/>
  <c r="W532" i="11"/>
  <c r="W533" i="11"/>
  <c r="W534" i="11"/>
  <c r="W535" i="11"/>
  <c r="W536" i="11"/>
  <c r="W537" i="11"/>
  <c r="W538" i="11"/>
  <c r="W539" i="11"/>
  <c r="W540" i="11"/>
  <c r="W541" i="11"/>
  <c r="W542" i="11"/>
  <c r="W543" i="11"/>
  <c r="W544" i="11"/>
  <c r="W545" i="11"/>
  <c r="W546" i="11"/>
  <c r="W547" i="11"/>
  <c r="W548" i="11"/>
  <c r="W549" i="11"/>
  <c r="W550" i="11"/>
  <c r="W551" i="11"/>
  <c r="W552" i="11"/>
  <c r="W553" i="11"/>
  <c r="W554" i="11"/>
  <c r="W555" i="11"/>
  <c r="W556" i="11"/>
  <c r="W557" i="11"/>
  <c r="W558" i="11"/>
  <c r="W559" i="11"/>
  <c r="W560" i="11"/>
  <c r="W561" i="11"/>
  <c r="W562" i="11"/>
  <c r="W563" i="11"/>
  <c r="W564" i="11"/>
  <c r="W565" i="11"/>
  <c r="W566" i="11"/>
  <c r="W567" i="11"/>
  <c r="W568" i="11"/>
  <c r="W569" i="11"/>
  <c r="W570" i="11"/>
  <c r="W571" i="11"/>
  <c r="W572" i="11"/>
  <c r="W573" i="11"/>
  <c r="W574" i="11"/>
  <c r="W575" i="11"/>
  <c r="W576" i="11"/>
  <c r="W577" i="11"/>
  <c r="W578" i="11"/>
  <c r="W579" i="11"/>
  <c r="W580" i="11"/>
  <c r="W581" i="11"/>
  <c r="W582" i="11"/>
  <c r="W583" i="11"/>
  <c r="W584" i="11"/>
  <c r="W585" i="11"/>
  <c r="W586" i="11"/>
  <c r="W587" i="11"/>
  <c r="W588" i="11"/>
  <c r="W589" i="11"/>
  <c r="W590" i="11"/>
  <c r="W591" i="11"/>
  <c r="W592" i="11"/>
  <c r="W593" i="11"/>
  <c r="W594" i="11"/>
  <c r="W595" i="11"/>
  <c r="W596" i="11"/>
  <c r="W597" i="11"/>
  <c r="W598" i="11"/>
  <c r="W599" i="11"/>
  <c r="W600" i="11"/>
  <c r="W601" i="11"/>
  <c r="W602" i="11"/>
  <c r="W603" i="11"/>
  <c r="W604" i="11"/>
  <c r="W605" i="11"/>
  <c r="W606" i="11"/>
  <c r="W607" i="11"/>
  <c r="W608" i="11"/>
  <c r="W609" i="11"/>
  <c r="W610" i="11"/>
  <c r="W611" i="11"/>
  <c r="W612" i="11"/>
  <c r="W613" i="11"/>
  <c r="W614" i="11"/>
  <c r="W615" i="11"/>
  <c r="W616" i="11"/>
  <c r="W617" i="11"/>
  <c r="W618" i="11"/>
  <c r="W619" i="11"/>
  <c r="W620" i="11"/>
  <c r="W621" i="11"/>
  <c r="W622" i="11"/>
  <c r="W623" i="11"/>
  <c r="W624" i="11"/>
  <c r="W625" i="11"/>
  <c r="W626" i="11"/>
  <c r="W627" i="11"/>
  <c r="W628" i="11"/>
  <c r="W629" i="11"/>
  <c r="W630" i="11"/>
  <c r="W631" i="11"/>
  <c r="W632" i="11"/>
  <c r="W633" i="11"/>
  <c r="W634" i="11"/>
  <c r="W635" i="11"/>
  <c r="W636" i="11"/>
  <c r="W637" i="11"/>
  <c r="W638" i="11"/>
  <c r="W639" i="11"/>
  <c r="W640" i="11"/>
  <c r="W641" i="11"/>
  <c r="W642" i="11"/>
  <c r="W643" i="11"/>
  <c r="W644" i="11"/>
  <c r="W645" i="11"/>
  <c r="W646" i="11"/>
  <c r="W647" i="11"/>
  <c r="W648" i="11"/>
  <c r="W649" i="11"/>
  <c r="W650" i="11"/>
  <c r="W651" i="11"/>
  <c r="W652" i="11"/>
  <c r="W653" i="11"/>
  <c r="W654" i="11"/>
  <c r="W655" i="11"/>
  <c r="W656" i="11"/>
  <c r="W657" i="11"/>
  <c r="W658" i="11"/>
  <c r="W659" i="11"/>
  <c r="W660" i="11"/>
  <c r="W661" i="11"/>
  <c r="W662" i="11"/>
  <c r="W663" i="11"/>
  <c r="W664" i="11"/>
  <c r="W665" i="11"/>
  <c r="W666" i="11"/>
  <c r="W667" i="11"/>
  <c r="W668" i="11"/>
  <c r="W669" i="11"/>
  <c r="W670" i="11"/>
  <c r="W671" i="11"/>
  <c r="W672" i="11"/>
  <c r="W673" i="11"/>
  <c r="W674" i="11"/>
  <c r="W675" i="11"/>
  <c r="W676" i="11"/>
  <c r="W677" i="11"/>
  <c r="W678" i="11"/>
  <c r="W679" i="11"/>
  <c r="W680" i="11"/>
  <c r="W681" i="11"/>
  <c r="W682" i="11"/>
  <c r="W683" i="11"/>
  <c r="W684" i="11"/>
  <c r="W685" i="11"/>
  <c r="W686" i="11"/>
  <c r="W687" i="11"/>
  <c r="W688" i="11"/>
  <c r="W689" i="11"/>
  <c r="W690" i="11"/>
  <c r="W691" i="11"/>
  <c r="W692" i="11"/>
  <c r="W693" i="11"/>
  <c r="W694" i="11"/>
  <c r="W695" i="11"/>
  <c r="W696" i="11"/>
  <c r="W697" i="11"/>
  <c r="W698" i="11"/>
  <c r="W699" i="11"/>
  <c r="W700" i="11"/>
  <c r="W701" i="11"/>
  <c r="W702" i="11"/>
  <c r="W703" i="11"/>
  <c r="W704" i="11"/>
  <c r="W705" i="11"/>
  <c r="W706" i="11"/>
  <c r="W707" i="11"/>
  <c r="W708" i="11"/>
  <c r="W709" i="11"/>
  <c r="W710" i="11"/>
  <c r="W711" i="11"/>
  <c r="W712" i="11"/>
  <c r="W713" i="11"/>
  <c r="W714" i="11"/>
  <c r="W715" i="11"/>
  <c r="W716" i="11"/>
  <c r="W717" i="11"/>
  <c r="W718" i="11"/>
  <c r="W719" i="11"/>
  <c r="W720" i="11"/>
  <c r="W721" i="11"/>
  <c r="W722" i="11"/>
  <c r="W723" i="11"/>
  <c r="W724" i="11"/>
  <c r="W725" i="11"/>
  <c r="W726" i="11"/>
  <c r="W727" i="11"/>
  <c r="W728" i="11"/>
  <c r="W729" i="11"/>
  <c r="W730" i="11"/>
  <c r="W731" i="11"/>
  <c r="W732" i="11"/>
  <c r="W733" i="11"/>
  <c r="W734" i="11"/>
  <c r="W735" i="11"/>
  <c r="W736" i="11"/>
  <c r="W737" i="11"/>
  <c r="W738" i="11"/>
  <c r="W739" i="11"/>
  <c r="W740" i="11"/>
  <c r="W741" i="11"/>
  <c r="W742" i="11"/>
  <c r="W743" i="11"/>
  <c r="W744" i="11"/>
  <c r="W745" i="11"/>
  <c r="W746" i="11"/>
  <c r="W747" i="11"/>
  <c r="W748" i="11"/>
  <c r="W749" i="11"/>
  <c r="W750" i="11"/>
  <c r="W751" i="11"/>
  <c r="W752" i="11"/>
  <c r="W753" i="11"/>
  <c r="W754" i="11"/>
  <c r="W755" i="11"/>
  <c r="W756" i="11"/>
  <c r="W757" i="11"/>
  <c r="W758" i="11"/>
  <c r="W759" i="11"/>
  <c r="W760" i="11"/>
  <c r="W761" i="11"/>
  <c r="W762" i="11"/>
  <c r="W763" i="11"/>
  <c r="W764" i="11"/>
  <c r="W765" i="11"/>
  <c r="W766" i="11"/>
  <c r="W767" i="11"/>
  <c r="W768" i="11"/>
  <c r="W769" i="11"/>
  <c r="W770" i="11"/>
  <c r="W771" i="11"/>
  <c r="W772" i="11"/>
  <c r="W773" i="11"/>
  <c r="W774" i="11"/>
  <c r="W775" i="11"/>
  <c r="W776" i="11"/>
  <c r="W777" i="11"/>
  <c r="W778" i="11"/>
  <c r="W779" i="11"/>
  <c r="W780" i="11"/>
  <c r="W781" i="11"/>
  <c r="W782" i="11"/>
  <c r="W783" i="11"/>
  <c r="W784" i="11"/>
  <c r="W785" i="11"/>
  <c r="W786" i="11"/>
  <c r="W787" i="11"/>
  <c r="W788" i="11"/>
  <c r="W789" i="11"/>
  <c r="W790" i="11"/>
  <c r="W791" i="11"/>
  <c r="W792" i="11"/>
  <c r="W793" i="11"/>
  <c r="W794" i="11"/>
  <c r="W795" i="11"/>
  <c r="W796" i="11"/>
  <c r="W797" i="11"/>
  <c r="W798" i="11"/>
  <c r="W799" i="11"/>
  <c r="W800" i="11"/>
  <c r="W801" i="11"/>
  <c r="W802" i="11"/>
  <c r="W803" i="11"/>
  <c r="W804" i="11"/>
  <c r="W805" i="11"/>
  <c r="W806" i="11"/>
  <c r="W807" i="11"/>
  <c r="W808" i="11"/>
  <c r="W809" i="11"/>
  <c r="W810" i="11"/>
  <c r="W811" i="11"/>
  <c r="W812" i="11"/>
  <c r="W813" i="11"/>
  <c r="W814" i="11"/>
  <c r="W815" i="11"/>
  <c r="W816" i="11"/>
  <c r="W817" i="11"/>
  <c r="W818" i="11"/>
  <c r="W819" i="11"/>
  <c r="W820" i="11"/>
  <c r="W821" i="11"/>
  <c r="W822" i="11"/>
  <c r="W823" i="11"/>
  <c r="W824" i="11"/>
  <c r="W825" i="11"/>
  <c r="W826" i="11"/>
  <c r="W827" i="11"/>
  <c r="W828" i="11"/>
  <c r="W829" i="11"/>
  <c r="W830" i="11"/>
  <c r="W831" i="11"/>
  <c r="W832" i="11"/>
  <c r="W833" i="11"/>
  <c r="W834" i="11"/>
  <c r="W835" i="11"/>
  <c r="W836" i="11"/>
  <c r="W837" i="11"/>
  <c r="W838" i="11"/>
  <c r="W839" i="11"/>
  <c r="W840" i="11"/>
  <c r="W841" i="11"/>
  <c r="W842" i="11"/>
  <c r="W843" i="11"/>
  <c r="W844" i="11"/>
  <c r="W845" i="11"/>
  <c r="W846" i="11"/>
  <c r="W847" i="11"/>
  <c r="W848" i="11"/>
  <c r="W849" i="11"/>
  <c r="W850" i="11"/>
  <c r="W851" i="11"/>
  <c r="W852" i="11"/>
  <c r="W853" i="11"/>
  <c r="W854" i="11"/>
  <c r="W855" i="11"/>
  <c r="W856" i="11"/>
  <c r="W857" i="11"/>
  <c r="W858" i="11"/>
  <c r="W859" i="11"/>
  <c r="W860" i="11"/>
  <c r="W861" i="11"/>
  <c r="W862" i="11"/>
  <c r="W863" i="11"/>
  <c r="W864" i="11"/>
  <c r="W865" i="11"/>
  <c r="W866" i="11"/>
  <c r="W867" i="11"/>
  <c r="W868" i="11"/>
  <c r="W869" i="11"/>
  <c r="W870" i="11"/>
  <c r="W871" i="11"/>
  <c r="W872" i="11"/>
  <c r="W873" i="11"/>
  <c r="W874" i="11"/>
  <c r="W875" i="11"/>
  <c r="W876" i="11"/>
  <c r="W877" i="11"/>
  <c r="W878" i="11"/>
  <c r="W879" i="11"/>
  <c r="W880" i="11"/>
  <c r="W881" i="11"/>
  <c r="W882" i="11"/>
  <c r="W883" i="11"/>
  <c r="W884" i="11"/>
  <c r="W885" i="11"/>
  <c r="W886" i="11"/>
  <c r="W887" i="11"/>
  <c r="W888" i="11"/>
  <c r="W889" i="11"/>
  <c r="W890" i="11"/>
  <c r="W891" i="11"/>
  <c r="W892" i="11"/>
  <c r="W893" i="11"/>
  <c r="W894" i="11"/>
  <c r="W895" i="11"/>
  <c r="W896" i="11"/>
  <c r="W897" i="11"/>
  <c r="W898" i="11"/>
  <c r="W899" i="11"/>
  <c r="W900" i="11"/>
  <c r="W901" i="11"/>
  <c r="W902" i="11"/>
  <c r="W903" i="11"/>
  <c r="W904" i="11"/>
  <c r="W905" i="11"/>
  <c r="W906" i="11"/>
  <c r="W907" i="11"/>
  <c r="W908" i="11"/>
  <c r="W909" i="11"/>
  <c r="W910" i="11"/>
  <c r="W911" i="11"/>
  <c r="W912" i="11"/>
  <c r="W913" i="11"/>
  <c r="W914" i="11"/>
  <c r="W915" i="11"/>
  <c r="W916" i="11"/>
  <c r="W917" i="11"/>
  <c r="W918" i="11"/>
  <c r="W919" i="11"/>
  <c r="W920" i="11"/>
  <c r="W921" i="11"/>
  <c r="W922" i="11"/>
  <c r="W923" i="11"/>
  <c r="W924" i="11"/>
  <c r="W925" i="11"/>
  <c r="W926" i="11"/>
  <c r="W927" i="11"/>
  <c r="W928" i="11"/>
  <c r="W929" i="11"/>
  <c r="W930" i="11"/>
  <c r="W931" i="11"/>
  <c r="W932" i="11"/>
  <c r="W933" i="11"/>
  <c r="W934" i="11"/>
  <c r="W935" i="11"/>
  <c r="W936" i="11"/>
  <c r="W937" i="11"/>
  <c r="W938" i="11"/>
  <c r="W939" i="11"/>
  <c r="W940" i="11"/>
  <c r="W941" i="11"/>
  <c r="W942" i="11"/>
  <c r="W943" i="11"/>
  <c r="W944" i="11"/>
  <c r="W945" i="11"/>
  <c r="W946" i="11"/>
  <c r="W947" i="11"/>
  <c r="W948" i="11"/>
  <c r="W949" i="11"/>
  <c r="W950" i="11"/>
  <c r="W951" i="11"/>
  <c r="W952" i="11"/>
  <c r="W953" i="11"/>
  <c r="W954" i="11"/>
  <c r="W955" i="11"/>
  <c r="W956" i="11"/>
  <c r="W957" i="11"/>
  <c r="W958" i="11"/>
  <c r="W959" i="11"/>
  <c r="W960" i="11"/>
  <c r="W961" i="11"/>
  <c r="W962" i="11"/>
  <c r="W963" i="11"/>
  <c r="W964" i="11"/>
  <c r="W965" i="11"/>
  <c r="W966" i="11"/>
  <c r="W967" i="11"/>
  <c r="W968" i="11"/>
  <c r="W969" i="11"/>
  <c r="W970" i="11"/>
  <c r="W971" i="11"/>
  <c r="W972" i="11"/>
  <c r="W973" i="11"/>
  <c r="W974" i="11"/>
  <c r="W975" i="11"/>
  <c r="W976" i="11"/>
  <c r="W977" i="11"/>
  <c r="W978" i="11"/>
  <c r="W979" i="11"/>
  <c r="W980" i="11"/>
  <c r="W981" i="11"/>
  <c r="W982" i="11"/>
  <c r="W983" i="11"/>
  <c r="W984" i="11"/>
  <c r="W985" i="11"/>
  <c r="W986" i="11"/>
  <c r="W987" i="11"/>
  <c r="W988" i="11"/>
  <c r="W989" i="11"/>
  <c r="W990" i="11"/>
  <c r="W991" i="11"/>
  <c r="W992" i="11"/>
  <c r="W993" i="11"/>
  <c r="W994" i="11"/>
  <c r="W995" i="11"/>
  <c r="W996" i="11"/>
  <c r="W997" i="11"/>
  <c r="W998" i="11"/>
  <c r="W999" i="11"/>
  <c r="W1000" i="11"/>
  <c r="W1001" i="11"/>
  <c r="W1002" i="11"/>
  <c r="W1003" i="11"/>
  <c r="W1004" i="11"/>
  <c r="W1005" i="11"/>
  <c r="W1006" i="11"/>
  <c r="W1007" i="11"/>
  <c r="W1008" i="11"/>
  <c r="W1009" i="11"/>
  <c r="W1010" i="11"/>
  <c r="W1011" i="11"/>
  <c r="W1012" i="11"/>
  <c r="W1013" i="11"/>
  <c r="W1014" i="11"/>
  <c r="W1015" i="11"/>
  <c r="W1016" i="11"/>
  <c r="W1017" i="11"/>
  <c r="W1018" i="11"/>
  <c r="W1019" i="11"/>
  <c r="W1020" i="11"/>
  <c r="W1021" i="11"/>
  <c r="W1022" i="11"/>
  <c r="W1023" i="11"/>
  <c r="W1024" i="11"/>
  <c r="W1025" i="11"/>
  <c r="W1026" i="11"/>
  <c r="W1027" i="11"/>
  <c r="W1028" i="11"/>
  <c r="W1029" i="11"/>
  <c r="W1030" i="11"/>
  <c r="W1031" i="11"/>
  <c r="W1032" i="11"/>
  <c r="W1033" i="11"/>
  <c r="W1034" i="11"/>
  <c r="W1035" i="11"/>
  <c r="W1036" i="11"/>
  <c r="W1037" i="11"/>
  <c r="W1038" i="11"/>
  <c r="W1039" i="11"/>
  <c r="W1040" i="11"/>
  <c r="W1041" i="11"/>
  <c r="W1042" i="11"/>
  <c r="W1043" i="11"/>
  <c r="W1044" i="11"/>
  <c r="W1045" i="11"/>
  <c r="W1046" i="11"/>
  <c r="W1047" i="11"/>
  <c r="W1048" i="11"/>
  <c r="W1049" i="11"/>
  <c r="W1050" i="11"/>
  <c r="W1051" i="11"/>
  <c r="W1052" i="11"/>
  <c r="W1053" i="11"/>
  <c r="W1054" i="11"/>
  <c r="W1055" i="11"/>
  <c r="W1056" i="11"/>
  <c r="W1057" i="11"/>
  <c r="W1058" i="11"/>
  <c r="W1059" i="11"/>
  <c r="W1060" i="11"/>
  <c r="W1061" i="11"/>
  <c r="W1062" i="11"/>
  <c r="W1063" i="11"/>
  <c r="W1064" i="11"/>
  <c r="W1065" i="11"/>
  <c r="W1066" i="11"/>
  <c r="W1067" i="11"/>
  <c r="W1068" i="11"/>
  <c r="W1069" i="11"/>
  <c r="W1070" i="11"/>
  <c r="W1071" i="11"/>
  <c r="W1072" i="11"/>
  <c r="W1073" i="11"/>
  <c r="W1074" i="11"/>
  <c r="W1075" i="11"/>
  <c r="W1076" i="11"/>
  <c r="W1077" i="11"/>
  <c r="W1078" i="11"/>
  <c r="W1079" i="11"/>
  <c r="W1080" i="11"/>
  <c r="W1081" i="11"/>
  <c r="W1082" i="11"/>
  <c r="W1083" i="11"/>
  <c r="W1084" i="11"/>
  <c r="W1085" i="11"/>
  <c r="W1086" i="11"/>
  <c r="W1087" i="11"/>
  <c r="W1088" i="11"/>
  <c r="W1089" i="11"/>
  <c r="W1090" i="11"/>
  <c r="W1091" i="11"/>
  <c r="W1092" i="11"/>
  <c r="W1093" i="11"/>
  <c r="W1094" i="11"/>
  <c r="W1095" i="11"/>
  <c r="W1096" i="11"/>
  <c r="W1097" i="11"/>
  <c r="W1098" i="11"/>
  <c r="W1099" i="11"/>
  <c r="W1100" i="11"/>
  <c r="W1101" i="11"/>
  <c r="W1102" i="11"/>
  <c r="W1103" i="11"/>
  <c r="W1104" i="11"/>
  <c r="W1105" i="11"/>
  <c r="W1106" i="11"/>
  <c r="W1107" i="11"/>
  <c r="W1108" i="11"/>
  <c r="W1109" i="11"/>
  <c r="W1110" i="11"/>
  <c r="W1111" i="11"/>
  <c r="W1112" i="11"/>
  <c r="W1113" i="11"/>
  <c r="W1114" i="11"/>
  <c r="W1115" i="11"/>
  <c r="W1116" i="11"/>
  <c r="W1117" i="11"/>
  <c r="W1118" i="11"/>
  <c r="W1119" i="11"/>
  <c r="W1120" i="11"/>
  <c r="W1121" i="11"/>
  <c r="W1122" i="11"/>
  <c r="W1123" i="11"/>
  <c r="W1124" i="11"/>
  <c r="W1125" i="11"/>
  <c r="W1126" i="11"/>
  <c r="W1127" i="11"/>
  <c r="W1128" i="11"/>
  <c r="W1129" i="11"/>
  <c r="W1130" i="11"/>
  <c r="W1131" i="11"/>
  <c r="W1132" i="11"/>
  <c r="W1133" i="11"/>
  <c r="W1134" i="11"/>
  <c r="W1135" i="11"/>
  <c r="W1136" i="11"/>
  <c r="W1137" i="11"/>
  <c r="W1138" i="11"/>
  <c r="W1139" i="11"/>
  <c r="W1140" i="11"/>
  <c r="W1141" i="11"/>
  <c r="W1142" i="11"/>
  <c r="W1143" i="11"/>
  <c r="W1144" i="11"/>
  <c r="W1145" i="11"/>
  <c r="W1146" i="11"/>
  <c r="W1147" i="11"/>
  <c r="W1148" i="11"/>
  <c r="W1149" i="11"/>
  <c r="W1150" i="11"/>
  <c r="W1151" i="11"/>
  <c r="W1152" i="11"/>
  <c r="W1153" i="11"/>
  <c r="W1154" i="11"/>
  <c r="W1155" i="11"/>
  <c r="W1156" i="11"/>
  <c r="W1157" i="11"/>
  <c r="W1158" i="11"/>
  <c r="W1159" i="11"/>
  <c r="W1160" i="11"/>
  <c r="W1161" i="11"/>
  <c r="W1162" i="11"/>
  <c r="W1163" i="11"/>
  <c r="W1164" i="11"/>
  <c r="W1165" i="11"/>
  <c r="W1166" i="11"/>
  <c r="W1167" i="11"/>
  <c r="W1168" i="11"/>
  <c r="W1169" i="11"/>
  <c r="W1170" i="11"/>
  <c r="W1171" i="11"/>
  <c r="W1172" i="11"/>
  <c r="W1173" i="11"/>
  <c r="W1174" i="11"/>
  <c r="W1175" i="11"/>
  <c r="W1176" i="11"/>
  <c r="W1177" i="11"/>
  <c r="W1178" i="11"/>
  <c r="W1179" i="11"/>
  <c r="W1180" i="11"/>
  <c r="W1181" i="11"/>
  <c r="W1182" i="11"/>
  <c r="W1183" i="11"/>
  <c r="W1184" i="11"/>
  <c r="W1185" i="11"/>
  <c r="W1186" i="11"/>
  <c r="W1187" i="11"/>
  <c r="W1188" i="11"/>
  <c r="W1189" i="11"/>
  <c r="W1190" i="11"/>
  <c r="W1191" i="11"/>
  <c r="W1192" i="11"/>
  <c r="W1193" i="11"/>
  <c r="W1194" i="11"/>
  <c r="W1195" i="11"/>
  <c r="W1196" i="11"/>
  <c r="W1197" i="11"/>
  <c r="W1198" i="11"/>
  <c r="W1199" i="11"/>
  <c r="W1200" i="11"/>
  <c r="W1201" i="11"/>
  <c r="W1202" i="11"/>
  <c r="W1203" i="11"/>
  <c r="W1204" i="11"/>
  <c r="W1205" i="11"/>
  <c r="W1206" i="11"/>
  <c r="W1207" i="11"/>
  <c r="W1208" i="11"/>
  <c r="W1209" i="11"/>
  <c r="W1210" i="11"/>
  <c r="W1211" i="11"/>
  <c r="W1212" i="11"/>
  <c r="W1213" i="11"/>
  <c r="W1214" i="11"/>
  <c r="W1215" i="11"/>
  <c r="W1216" i="11"/>
  <c r="W1217" i="11"/>
  <c r="W1218" i="11"/>
  <c r="W1219" i="11"/>
  <c r="W1220" i="11"/>
  <c r="W1221" i="11"/>
  <c r="W1222" i="11"/>
  <c r="W1223" i="11"/>
  <c r="W1224" i="11"/>
  <c r="W1225" i="11"/>
  <c r="W1226" i="11"/>
  <c r="W1227" i="11"/>
  <c r="W1228" i="11"/>
  <c r="W1229" i="11"/>
  <c r="W1230" i="11"/>
  <c r="W1231" i="11"/>
  <c r="W1232" i="11"/>
  <c r="W1233" i="11"/>
  <c r="W1234" i="11"/>
  <c r="W1235" i="11"/>
  <c r="W1236" i="11"/>
  <c r="W1237" i="11"/>
  <c r="W1238" i="11"/>
  <c r="W1239" i="11"/>
  <c r="W1240" i="11"/>
  <c r="W1241" i="11"/>
  <c r="W1242" i="11"/>
  <c r="W1243" i="11"/>
  <c r="W1244" i="11"/>
  <c r="W1245" i="11"/>
  <c r="W1246" i="11"/>
  <c r="W1247" i="11"/>
  <c r="W1248" i="11"/>
  <c r="W1249" i="11"/>
  <c r="W1250" i="11"/>
  <c r="W1251" i="11"/>
  <c r="W1252" i="11"/>
  <c r="W1253" i="11"/>
  <c r="W1254" i="11"/>
  <c r="W1255" i="11"/>
  <c r="W1256" i="11"/>
  <c r="W1257" i="11"/>
  <c r="W1258" i="11"/>
  <c r="W1259" i="11"/>
  <c r="W1260" i="11"/>
  <c r="W1261" i="11"/>
  <c r="W1262" i="11"/>
  <c r="W1263" i="11"/>
  <c r="W1264" i="11"/>
  <c r="W1265" i="11"/>
  <c r="W1266" i="11"/>
  <c r="W1267" i="11"/>
  <c r="W1268" i="11"/>
  <c r="W1269" i="11"/>
  <c r="W1270" i="11"/>
  <c r="W1271" i="11"/>
  <c r="W1272" i="11"/>
  <c r="W1273" i="11"/>
  <c r="W1274" i="11"/>
  <c r="W1275" i="11"/>
  <c r="W1276" i="11"/>
  <c r="W1277" i="11"/>
  <c r="W1278" i="11"/>
  <c r="W1279" i="11"/>
  <c r="W1280" i="11"/>
  <c r="W1281" i="11"/>
  <c r="W1282" i="11"/>
  <c r="W1283" i="11"/>
  <c r="W1284" i="11"/>
  <c r="W1285" i="11"/>
  <c r="W1286" i="11"/>
  <c r="W1287" i="11"/>
  <c r="W1288" i="11"/>
  <c r="W1289" i="11"/>
  <c r="W1290" i="11"/>
  <c r="W1291" i="11"/>
  <c r="W1292" i="11"/>
  <c r="W1293" i="11"/>
  <c r="W1294" i="11"/>
  <c r="W1295" i="11"/>
  <c r="W1296" i="11"/>
  <c r="W1297" i="11"/>
  <c r="W1298" i="11"/>
  <c r="W1299" i="11"/>
  <c r="W1300" i="11"/>
  <c r="W1301" i="11"/>
  <c r="W1302" i="11"/>
  <c r="W1303" i="11"/>
  <c r="W1304" i="11"/>
  <c r="W1305" i="11"/>
  <c r="W1306" i="11"/>
  <c r="W1307" i="11"/>
  <c r="W1308" i="11"/>
  <c r="W1309" i="11"/>
  <c r="W1310" i="11"/>
  <c r="W1311" i="11"/>
  <c r="W1312" i="11"/>
  <c r="W1313" i="11"/>
  <c r="W1314" i="11"/>
  <c r="W1315" i="11"/>
  <c r="W1316" i="11"/>
  <c r="W1317" i="11"/>
  <c r="W1318" i="11"/>
  <c r="W1319" i="11"/>
  <c r="W1320" i="11"/>
  <c r="W1321" i="11"/>
  <c r="W1322" i="11"/>
  <c r="W1323" i="11"/>
  <c r="W1324" i="11"/>
  <c r="W1325" i="11"/>
  <c r="W1326" i="11"/>
  <c r="W1327" i="11"/>
  <c r="W1328" i="11"/>
  <c r="W1329" i="11"/>
  <c r="W1330" i="11"/>
  <c r="W1331" i="11"/>
  <c r="W1332" i="11"/>
  <c r="W1333" i="11"/>
  <c r="W1334" i="11"/>
  <c r="W1335" i="11"/>
  <c r="W1336" i="11"/>
  <c r="W1337" i="11"/>
  <c r="W1338" i="11"/>
  <c r="W1339" i="11"/>
  <c r="W1340" i="11"/>
  <c r="W1341" i="11"/>
  <c r="W1342" i="11"/>
  <c r="W1343" i="11"/>
  <c r="W1344" i="11"/>
  <c r="W1345" i="11"/>
  <c r="W1346" i="11"/>
  <c r="W1347" i="11"/>
  <c r="W1348" i="11"/>
  <c r="W1349" i="11"/>
  <c r="W1350" i="11"/>
  <c r="W1351" i="11"/>
  <c r="W1352" i="11"/>
  <c r="W1353" i="11"/>
  <c r="W1354" i="11"/>
  <c r="W1355" i="11"/>
  <c r="W1356" i="11"/>
  <c r="W1357" i="11"/>
  <c r="W1358" i="11"/>
  <c r="W1359" i="11"/>
  <c r="W1360" i="11"/>
  <c r="W1361" i="11"/>
  <c r="W1362" i="11"/>
  <c r="W1363" i="11"/>
  <c r="W1364" i="11"/>
  <c r="W1365" i="11"/>
  <c r="W1366" i="11"/>
  <c r="W1367" i="11"/>
  <c r="W1368" i="11"/>
  <c r="W1369" i="11"/>
  <c r="W1370" i="11"/>
  <c r="W1371" i="11"/>
  <c r="W1372" i="11"/>
  <c r="W1373" i="11"/>
  <c r="W1374" i="11"/>
  <c r="W1375" i="11"/>
  <c r="W1376" i="11"/>
  <c r="W1377" i="11"/>
  <c r="W1378" i="11"/>
  <c r="W1379" i="11"/>
  <c r="W1380" i="11"/>
  <c r="W1381" i="11"/>
  <c r="W1382" i="11"/>
  <c r="W1383" i="11"/>
  <c r="W1384" i="11"/>
  <c r="W1385" i="11"/>
  <c r="W1386" i="11"/>
  <c r="W1387" i="11"/>
  <c r="W1388" i="11"/>
  <c r="W1389" i="11"/>
  <c r="W1390" i="11"/>
  <c r="W1391" i="11"/>
  <c r="W1392" i="11"/>
  <c r="W1393" i="11"/>
  <c r="W1394" i="11"/>
  <c r="W1395" i="11"/>
  <c r="W1396" i="11"/>
  <c r="W1397" i="11"/>
  <c r="W1398" i="11"/>
  <c r="W1399" i="11"/>
  <c r="W1400" i="11"/>
  <c r="W1401" i="11"/>
  <c r="W1402" i="11"/>
  <c r="W1403" i="11"/>
  <c r="W1404" i="11"/>
  <c r="W1405" i="11"/>
  <c r="W1406" i="11"/>
  <c r="W1407" i="11"/>
  <c r="W1408" i="11"/>
  <c r="W1409" i="11"/>
  <c r="W1410" i="11"/>
  <c r="W1411" i="11"/>
  <c r="W1412" i="11"/>
  <c r="W1413" i="11"/>
  <c r="W1414" i="11"/>
  <c r="W1415" i="11"/>
  <c r="W1416" i="11"/>
  <c r="W1417" i="11"/>
  <c r="W1418" i="11"/>
  <c r="W1419" i="11"/>
  <c r="W1420" i="11"/>
  <c r="W1421" i="11"/>
  <c r="W1422" i="11"/>
  <c r="W1423" i="11"/>
  <c r="W1424" i="11"/>
  <c r="W1425" i="11"/>
  <c r="W1426" i="11"/>
  <c r="W1427" i="11"/>
  <c r="W1428" i="11"/>
  <c r="W1429" i="11"/>
  <c r="W1430" i="11"/>
  <c r="W1431" i="11"/>
  <c r="W1432" i="11"/>
  <c r="W1433" i="11"/>
  <c r="W1434" i="11"/>
  <c r="W1435" i="11"/>
  <c r="W1436" i="11"/>
  <c r="W1437" i="11"/>
  <c r="W1438" i="11"/>
  <c r="W1439" i="11"/>
  <c r="W1440" i="11"/>
  <c r="W1441" i="11"/>
  <c r="W1442" i="11"/>
  <c r="W1443" i="11"/>
  <c r="W1444" i="11"/>
  <c r="W1445" i="11"/>
  <c r="W1446" i="11"/>
  <c r="W1447" i="11"/>
  <c r="W1448" i="11"/>
  <c r="W1449" i="11"/>
  <c r="W1450" i="11"/>
  <c r="W1451" i="11"/>
  <c r="W1452" i="11"/>
  <c r="W1453" i="11"/>
  <c r="W1454" i="11"/>
  <c r="W1455" i="11"/>
  <c r="W1456" i="11"/>
  <c r="W1457" i="11"/>
  <c r="W1458" i="11"/>
  <c r="W1459" i="11"/>
  <c r="W1460" i="11"/>
  <c r="W1461" i="11"/>
  <c r="W1462" i="11"/>
  <c r="W1463" i="11"/>
  <c r="W1464" i="11"/>
  <c r="W1465" i="11"/>
  <c r="W1466" i="11"/>
  <c r="W1467" i="11"/>
  <c r="W1468" i="11"/>
  <c r="W1469" i="11"/>
  <c r="W1470" i="11"/>
  <c r="W1471" i="11"/>
  <c r="W1472" i="11"/>
  <c r="W1473" i="11"/>
  <c r="W1474" i="11"/>
  <c r="W1475" i="11"/>
  <c r="W1476" i="11"/>
  <c r="W1477" i="11"/>
  <c r="W1478" i="11"/>
  <c r="W1479" i="11"/>
  <c r="W1480" i="11"/>
  <c r="W1481" i="11"/>
  <c r="W1482" i="11"/>
  <c r="W1483" i="11"/>
  <c r="W1484" i="11"/>
  <c r="W1485" i="11"/>
  <c r="W1486" i="11"/>
  <c r="W1487" i="11"/>
  <c r="W1488" i="11"/>
  <c r="W1489" i="11"/>
  <c r="W1490" i="11"/>
  <c r="W1491" i="11"/>
  <c r="W1492" i="11"/>
  <c r="W1493" i="11"/>
  <c r="W1494" i="11"/>
  <c r="W1495" i="11"/>
  <c r="W1496" i="11"/>
  <c r="W1497" i="11"/>
  <c r="W1498" i="11"/>
  <c r="W1499" i="11"/>
  <c r="W1500" i="11"/>
  <c r="W1501" i="11"/>
  <c r="W1502" i="11"/>
  <c r="W1503" i="11"/>
  <c r="W1504" i="11"/>
  <c r="W1505" i="11"/>
  <c r="W1506" i="11"/>
  <c r="W1507" i="11"/>
  <c r="W1508" i="11"/>
  <c r="W1509" i="11"/>
  <c r="W1510" i="11"/>
  <c r="W1511" i="11"/>
  <c r="W1512" i="11"/>
  <c r="W1513" i="11"/>
  <c r="W1514" i="11"/>
  <c r="W1515" i="11"/>
  <c r="W1516" i="11"/>
  <c r="W1517" i="11"/>
  <c r="W1518" i="11"/>
  <c r="W1519" i="11"/>
  <c r="W1520" i="11"/>
  <c r="W1521" i="11"/>
  <c r="W1522" i="11"/>
  <c r="W1523" i="11"/>
  <c r="W1524" i="11"/>
  <c r="W1525" i="11"/>
  <c r="W1526" i="11"/>
  <c r="W1527" i="11"/>
  <c r="W1528" i="11"/>
  <c r="W1529" i="11"/>
  <c r="W1530" i="11"/>
  <c r="W1531" i="11"/>
  <c r="W1532" i="11"/>
  <c r="W1533" i="11"/>
  <c r="W1534" i="11"/>
  <c r="W1535" i="11"/>
  <c r="W1536" i="11"/>
  <c r="W1537" i="11"/>
  <c r="W1538" i="11"/>
  <c r="W1539" i="11"/>
  <c r="W1540" i="11"/>
  <c r="W1541" i="11"/>
  <c r="W1542" i="11"/>
  <c r="W1543" i="11"/>
  <c r="W1544" i="11"/>
  <c r="W1545" i="11"/>
  <c r="W1546" i="11"/>
  <c r="W1547" i="11"/>
  <c r="W1548" i="11"/>
  <c r="W1549" i="11"/>
  <c r="W1550" i="11"/>
  <c r="W1551" i="11"/>
  <c r="W1552" i="11"/>
  <c r="W1553" i="11"/>
  <c r="W1554" i="11"/>
  <c r="W1555" i="11"/>
  <c r="W1556" i="11"/>
  <c r="W1557" i="11"/>
  <c r="W1558" i="11"/>
  <c r="W1559" i="11"/>
  <c r="W1560" i="11"/>
  <c r="W1561" i="11"/>
  <c r="W1562" i="11"/>
  <c r="W1563" i="11"/>
  <c r="W1564" i="11"/>
  <c r="W1565" i="11"/>
  <c r="W1566" i="11"/>
  <c r="W1567" i="11"/>
  <c r="W1568" i="11"/>
  <c r="W1569" i="11"/>
  <c r="W1570" i="11"/>
  <c r="W1571" i="11"/>
  <c r="W1572" i="11"/>
  <c r="W1573" i="11"/>
  <c r="W1574" i="11"/>
  <c r="W1575" i="11"/>
  <c r="W1576" i="11"/>
  <c r="W1577" i="11"/>
  <c r="W1578" i="11"/>
  <c r="W1579" i="11"/>
  <c r="W1580" i="11"/>
  <c r="W1581" i="11"/>
  <c r="W1582" i="11"/>
  <c r="W1583" i="11"/>
  <c r="W1584" i="11"/>
  <c r="W1585" i="11"/>
  <c r="W1586" i="11"/>
  <c r="W1587" i="11"/>
  <c r="W1588" i="11"/>
  <c r="W1589" i="11"/>
  <c r="W1590" i="11"/>
  <c r="W1591" i="11"/>
  <c r="W1592" i="11"/>
  <c r="W1593" i="11"/>
  <c r="W1594" i="11"/>
  <c r="W1595" i="11"/>
  <c r="W1596" i="11"/>
  <c r="W1597" i="11"/>
  <c r="W1598" i="11"/>
  <c r="W1599" i="11"/>
  <c r="W1600" i="11"/>
  <c r="W1601" i="11"/>
  <c r="W1602" i="11"/>
  <c r="W1603" i="11"/>
  <c r="W1604" i="11"/>
  <c r="W1605" i="11"/>
  <c r="W1606" i="11"/>
  <c r="W1607" i="11"/>
  <c r="W1608" i="11"/>
  <c r="W1609" i="11"/>
  <c r="W1610" i="11"/>
  <c r="W1611" i="11"/>
  <c r="W1612" i="11"/>
  <c r="W1613" i="11"/>
  <c r="W1614" i="11"/>
  <c r="W1615" i="11"/>
  <c r="W1616" i="11"/>
  <c r="W1617" i="11"/>
  <c r="W1618" i="11"/>
  <c r="W1619" i="11"/>
  <c r="W1620" i="11"/>
  <c r="W1621" i="11"/>
  <c r="W1622" i="11"/>
  <c r="W1623" i="11"/>
  <c r="W1624" i="11"/>
  <c r="W1625" i="11"/>
  <c r="W1626" i="11"/>
  <c r="W1627" i="11"/>
  <c r="W1628" i="11"/>
  <c r="W1629" i="11"/>
  <c r="W1630" i="11"/>
  <c r="W1631" i="11"/>
  <c r="W1632" i="11"/>
  <c r="W1633" i="11"/>
  <c r="W1634" i="11"/>
  <c r="W1635" i="11"/>
  <c r="W1636" i="11"/>
  <c r="W1637" i="11"/>
  <c r="W1638" i="11"/>
  <c r="W1639" i="11"/>
  <c r="W1640" i="11"/>
  <c r="W1641" i="11"/>
  <c r="W1642" i="11"/>
  <c r="W1643" i="11"/>
  <c r="W1644" i="11"/>
  <c r="W1645" i="11"/>
  <c r="W1646" i="11"/>
  <c r="W1647" i="11"/>
  <c r="W1648" i="11"/>
  <c r="W1649" i="11"/>
  <c r="W1650" i="11"/>
  <c r="W1651" i="11"/>
  <c r="W1652" i="11"/>
  <c r="W1653" i="11"/>
  <c r="W1654" i="11"/>
  <c r="W1655" i="11"/>
  <c r="W1656" i="11"/>
  <c r="W1657" i="11"/>
  <c r="W1658" i="11"/>
  <c r="W1659" i="11"/>
  <c r="W1660" i="11"/>
  <c r="W1661" i="11"/>
  <c r="W1662" i="11"/>
  <c r="W1663" i="11"/>
  <c r="W1664" i="11"/>
  <c r="W1665" i="11"/>
  <c r="W1666" i="11"/>
  <c r="W1667" i="11"/>
  <c r="W1668" i="11"/>
  <c r="W1669" i="11"/>
  <c r="W1670" i="11"/>
  <c r="W1671" i="11"/>
  <c r="W1672" i="11"/>
  <c r="W1673" i="11"/>
  <c r="W1674" i="11"/>
  <c r="W1675" i="11"/>
  <c r="W1676" i="11"/>
  <c r="W1677" i="11"/>
  <c r="W1678" i="11"/>
  <c r="W1679" i="11"/>
  <c r="W1680" i="11"/>
  <c r="W1681" i="11"/>
  <c r="W1682" i="11"/>
  <c r="W1683" i="11"/>
  <c r="W1684" i="11"/>
  <c r="W1685" i="11"/>
  <c r="W1686" i="11"/>
  <c r="W1687" i="11"/>
  <c r="W1688" i="11"/>
  <c r="W1689" i="11"/>
  <c r="W1690" i="11"/>
  <c r="W1691" i="11"/>
  <c r="W1692" i="11"/>
  <c r="W1693" i="11"/>
  <c r="W1694" i="11"/>
  <c r="W1695" i="11"/>
  <c r="W1696" i="11"/>
  <c r="W1697" i="11"/>
  <c r="W1698" i="11"/>
  <c r="W1699" i="11"/>
  <c r="W1700" i="11"/>
  <c r="W1701" i="11"/>
  <c r="W1702" i="11"/>
  <c r="W1703" i="11"/>
  <c r="W1704" i="11"/>
  <c r="W1705" i="11"/>
  <c r="W1706" i="11"/>
  <c r="W1707" i="11"/>
  <c r="W1708" i="11"/>
  <c r="W1709" i="11"/>
  <c r="W1710" i="11"/>
  <c r="W1711" i="11"/>
  <c r="W1712" i="11"/>
  <c r="W1713" i="11"/>
  <c r="W1714" i="11"/>
  <c r="W1715" i="11"/>
  <c r="W1716" i="11"/>
  <c r="W1717" i="11"/>
  <c r="W1718" i="11"/>
  <c r="W1719" i="11"/>
  <c r="W1720" i="11"/>
  <c r="W1721" i="11"/>
  <c r="W1722" i="11"/>
  <c r="W1723" i="11"/>
  <c r="W1724" i="11"/>
  <c r="W1725" i="11"/>
  <c r="W1726" i="11"/>
  <c r="W1727" i="11"/>
  <c r="W1728" i="11"/>
  <c r="W1729" i="11"/>
  <c r="W1730" i="11"/>
  <c r="W1731" i="11"/>
  <c r="W1732" i="11"/>
  <c r="W1733" i="11"/>
  <c r="W1734" i="11"/>
  <c r="W1735" i="11"/>
  <c r="W1736" i="11"/>
  <c r="W1737" i="11"/>
  <c r="W1738" i="11"/>
  <c r="W1739" i="11"/>
  <c r="W1740" i="11"/>
  <c r="W1741" i="11"/>
  <c r="W1742" i="11"/>
  <c r="W1743" i="11"/>
  <c r="W1744" i="11"/>
  <c r="W1745" i="11"/>
  <c r="W1746" i="11"/>
  <c r="W1747" i="11"/>
  <c r="W1748" i="11"/>
  <c r="W1749" i="11"/>
  <c r="W1750" i="11"/>
  <c r="W1751" i="11"/>
  <c r="W1752" i="11"/>
  <c r="W1753" i="11"/>
  <c r="W1754" i="11"/>
  <c r="W1755" i="11"/>
  <c r="W1756" i="11"/>
  <c r="W1757" i="11"/>
  <c r="W1758" i="11"/>
  <c r="W1759" i="11"/>
  <c r="W1760" i="11"/>
  <c r="W1761" i="11"/>
  <c r="W1762" i="11"/>
  <c r="W1763" i="11"/>
  <c r="W1764" i="11"/>
  <c r="W1765" i="11"/>
  <c r="W1766" i="11"/>
  <c r="W1767" i="11"/>
  <c r="W1768" i="11"/>
  <c r="W1769" i="11"/>
  <c r="W1770" i="11"/>
  <c r="W1771" i="11"/>
  <c r="W1772" i="11"/>
  <c r="W1773" i="11"/>
  <c r="W1774" i="11"/>
  <c r="W1775" i="11"/>
  <c r="W1776" i="11"/>
  <c r="W1777" i="11"/>
  <c r="W1778" i="11"/>
  <c r="W1779" i="11"/>
  <c r="W1780" i="11"/>
  <c r="W1781" i="11"/>
  <c r="W1782" i="11"/>
  <c r="W1783" i="11"/>
  <c r="W1784" i="11"/>
  <c r="W1785" i="11"/>
  <c r="W1786" i="11"/>
  <c r="W1787" i="11"/>
  <c r="W1788" i="11"/>
  <c r="W1789" i="11"/>
  <c r="W1790" i="11"/>
  <c r="W1791" i="11"/>
  <c r="W1792" i="11"/>
  <c r="W1793" i="11"/>
  <c r="W1794" i="11"/>
  <c r="W1795" i="11"/>
  <c r="W1796" i="11"/>
  <c r="W1797" i="11"/>
  <c r="W1798" i="11"/>
  <c r="W1799" i="11"/>
  <c r="W1800" i="11"/>
  <c r="W1801" i="11"/>
  <c r="W1802" i="11"/>
  <c r="W1803" i="11"/>
  <c r="W1804" i="11"/>
  <c r="W1805" i="11"/>
  <c r="W1806" i="11"/>
  <c r="W1807" i="11"/>
  <c r="W1808" i="11"/>
  <c r="W1809" i="11"/>
  <c r="W1810" i="11"/>
  <c r="W1811" i="11"/>
  <c r="W1812" i="11"/>
  <c r="W1813" i="11"/>
  <c r="W1814" i="11"/>
  <c r="W1815" i="11"/>
  <c r="W1816" i="11"/>
  <c r="W1817" i="11"/>
  <c r="W1818" i="11"/>
  <c r="W1819" i="11"/>
  <c r="W1820" i="11"/>
  <c r="W1821" i="11"/>
  <c r="W1822" i="11"/>
  <c r="W1823" i="11"/>
  <c r="W1824" i="11"/>
  <c r="W1825" i="11"/>
  <c r="W1826" i="11"/>
  <c r="W1827" i="11"/>
  <c r="W1828" i="11"/>
  <c r="W1829" i="11"/>
  <c r="W1830" i="11"/>
  <c r="W1831" i="11"/>
  <c r="W1832" i="11"/>
  <c r="W1833" i="11"/>
  <c r="W1834" i="11"/>
  <c r="W1835" i="11"/>
  <c r="W1836" i="11"/>
  <c r="W1837" i="11"/>
  <c r="W1838" i="11"/>
  <c r="W1839" i="11"/>
  <c r="W1840" i="11"/>
  <c r="W1841" i="11"/>
  <c r="W1842" i="11"/>
  <c r="W1843" i="11"/>
  <c r="W1844" i="11"/>
  <c r="W1845" i="11"/>
  <c r="W1846" i="11"/>
  <c r="W1847" i="11"/>
  <c r="W1848" i="11"/>
  <c r="W1849" i="11"/>
  <c r="W1850" i="11"/>
  <c r="W1851" i="11"/>
  <c r="W1852" i="11"/>
  <c r="W1853" i="11"/>
  <c r="W1854" i="11"/>
  <c r="W1855" i="11"/>
  <c r="W1856" i="11"/>
  <c r="W1857" i="11"/>
  <c r="W1858" i="11"/>
  <c r="W1859" i="11"/>
  <c r="W1860" i="11"/>
  <c r="W1861" i="11"/>
  <c r="W1862" i="11"/>
  <c r="W1863" i="11"/>
  <c r="W1864" i="11"/>
  <c r="W1865" i="11"/>
  <c r="W1866" i="11"/>
  <c r="W1867" i="11"/>
  <c r="W1868" i="11"/>
  <c r="W1869" i="11"/>
  <c r="W1870" i="11"/>
  <c r="W1871" i="11"/>
  <c r="W1872" i="11"/>
  <c r="W1873" i="11"/>
  <c r="W1874" i="11"/>
  <c r="W1875" i="11"/>
  <c r="W1876" i="11"/>
  <c r="W1877" i="11"/>
  <c r="W1878" i="11"/>
  <c r="W1879" i="11"/>
  <c r="W1880" i="11"/>
  <c r="W1881" i="11"/>
  <c r="W1882" i="11"/>
  <c r="W1883" i="11"/>
  <c r="W1884" i="11"/>
  <c r="W1885" i="11"/>
  <c r="W1886" i="11"/>
  <c r="W1887" i="11"/>
  <c r="W1888" i="11"/>
  <c r="W1889" i="11"/>
  <c r="W1890" i="11"/>
  <c r="W1891" i="11"/>
  <c r="W1892" i="11"/>
  <c r="W1893" i="11"/>
  <c r="W1894" i="11"/>
  <c r="W1895" i="11"/>
  <c r="W1896" i="11"/>
  <c r="W1897" i="11"/>
  <c r="W1898" i="11"/>
  <c r="W1899" i="11"/>
  <c r="W1900" i="11"/>
  <c r="W1901" i="11"/>
  <c r="W1902" i="11"/>
  <c r="W1903" i="11"/>
  <c r="W1904" i="11"/>
  <c r="W1905" i="11"/>
  <c r="W1906" i="11"/>
  <c r="W1907" i="11"/>
  <c r="W1908" i="11"/>
  <c r="W1909" i="11"/>
  <c r="W1910" i="11"/>
  <c r="W1911" i="11"/>
  <c r="W1912" i="11"/>
  <c r="W1913" i="11"/>
  <c r="W1914" i="11"/>
  <c r="W1915" i="11"/>
  <c r="W1916" i="11"/>
  <c r="W1917" i="11"/>
  <c r="W1918" i="11"/>
  <c r="W1919" i="11"/>
  <c r="W1920" i="11"/>
  <c r="W1921" i="11"/>
  <c r="W1922" i="11"/>
  <c r="W1923" i="11"/>
  <c r="W1924" i="11"/>
  <c r="W1925" i="11"/>
  <c r="W1926" i="11"/>
  <c r="W1927" i="11"/>
  <c r="W1928" i="11"/>
  <c r="W1929" i="11"/>
  <c r="W1930" i="11"/>
  <c r="W1931" i="11"/>
  <c r="W1932" i="11"/>
  <c r="W1933" i="11"/>
  <c r="W1934" i="11"/>
  <c r="W1935" i="11"/>
  <c r="W1936" i="11"/>
  <c r="W1937" i="11"/>
  <c r="W1938" i="11"/>
  <c r="W1939" i="11"/>
  <c r="W1940" i="11"/>
  <c r="W1941" i="11"/>
  <c r="W1942" i="11"/>
  <c r="W1943" i="11"/>
  <c r="W1944" i="11"/>
  <c r="W1945" i="11"/>
  <c r="W1946" i="11"/>
  <c r="W1947" i="11"/>
  <c r="W1948" i="11"/>
  <c r="W1949" i="11"/>
  <c r="W1950" i="11"/>
  <c r="W1951" i="11"/>
  <c r="W1952" i="11"/>
  <c r="W1953" i="11"/>
  <c r="W1954" i="11"/>
  <c r="W1955" i="11"/>
  <c r="W1956" i="11"/>
  <c r="W1957" i="11"/>
  <c r="W1958" i="11"/>
  <c r="W1959" i="11"/>
  <c r="W1960" i="11"/>
  <c r="W1961" i="11"/>
  <c r="W1962" i="11"/>
  <c r="W1963" i="11"/>
  <c r="W1964" i="11"/>
  <c r="W1965" i="11"/>
  <c r="W1966" i="11"/>
  <c r="W1967" i="11"/>
  <c r="W1968" i="11"/>
  <c r="W1969" i="11"/>
  <c r="W1970" i="11"/>
  <c r="W1971" i="11"/>
  <c r="W1972" i="11"/>
  <c r="W1973" i="11"/>
  <c r="W1974" i="11"/>
  <c r="W1975" i="11"/>
  <c r="W1976" i="11"/>
  <c r="W1977" i="11"/>
  <c r="W1978" i="11"/>
  <c r="W1979" i="11"/>
  <c r="W1980" i="11"/>
  <c r="W1981" i="11"/>
  <c r="W1982" i="11"/>
  <c r="W1983" i="11"/>
  <c r="W1984" i="11"/>
  <c r="W1985" i="11"/>
  <c r="W1986" i="11"/>
  <c r="W1987" i="11"/>
  <c r="W1988" i="11"/>
  <c r="W1989" i="11"/>
  <c r="W1990" i="11"/>
  <c r="W1991" i="11"/>
  <c r="W1992" i="11"/>
  <c r="W1993" i="11"/>
  <c r="W1994" i="11"/>
  <c r="W1995" i="11"/>
  <c r="W1996" i="11"/>
  <c r="W1997" i="11"/>
  <c r="W1998" i="11"/>
  <c r="W1999" i="11"/>
  <c r="W2000" i="11"/>
  <c r="W2001" i="11"/>
  <c r="W2002" i="11"/>
  <c r="W2003" i="11"/>
  <c r="W2004" i="11"/>
  <c r="W2005" i="11"/>
  <c r="W2006" i="11"/>
  <c r="W2007" i="11"/>
  <c r="W2008" i="11"/>
  <c r="W2009" i="11"/>
  <c r="W2010" i="11"/>
  <c r="W2011" i="11"/>
  <c r="W2012" i="11"/>
  <c r="W2013" i="11"/>
  <c r="W2014" i="11"/>
  <c r="W2015" i="11"/>
  <c r="W2016" i="11"/>
  <c r="W2017" i="11"/>
  <c r="W2018" i="11"/>
  <c r="W2019" i="11"/>
  <c r="W2020" i="11"/>
  <c r="W2021" i="11"/>
  <c r="W2022" i="11"/>
  <c r="W2023" i="11"/>
  <c r="W2024" i="11"/>
  <c r="W2025" i="11"/>
  <c r="W2026" i="11"/>
  <c r="W2027" i="11"/>
  <c r="W2028" i="11"/>
  <c r="W2029" i="11"/>
  <c r="W2030" i="11"/>
  <c r="W2031" i="11"/>
  <c r="W2032" i="11"/>
  <c r="W2033" i="11"/>
  <c r="W2034" i="11"/>
  <c r="W2035" i="11"/>
  <c r="W2036" i="11"/>
  <c r="W2037" i="11"/>
  <c r="W2038" i="11"/>
  <c r="W2039" i="11"/>
  <c r="W2040" i="11"/>
  <c r="W2041" i="11"/>
  <c r="W2042" i="11"/>
  <c r="W2043" i="11"/>
  <c r="W2044" i="11"/>
  <c r="W2045" i="11"/>
  <c r="W2046" i="11"/>
  <c r="W2047" i="11"/>
  <c r="W2048" i="11"/>
  <c r="W2049" i="11"/>
  <c r="W2050" i="11"/>
  <c r="W2051" i="11"/>
  <c r="W2052" i="11"/>
  <c r="W2053" i="11"/>
  <c r="W2054" i="11"/>
  <c r="W2055" i="11"/>
  <c r="W2056" i="11"/>
  <c r="W2057" i="11"/>
  <c r="W2058" i="11"/>
  <c r="W2059" i="11"/>
  <c r="W2060" i="11"/>
  <c r="W2061" i="11"/>
  <c r="W2062" i="11"/>
  <c r="W2063" i="11"/>
  <c r="W2064" i="11"/>
  <c r="W2065" i="11"/>
  <c r="W2066" i="11"/>
  <c r="W2067" i="11"/>
  <c r="W2068" i="11"/>
  <c r="W2069" i="11"/>
  <c r="W2070" i="11"/>
  <c r="W2071" i="11"/>
  <c r="W2072" i="11"/>
  <c r="W2073" i="11"/>
  <c r="W2074" i="11"/>
  <c r="W2075" i="11"/>
  <c r="W2076" i="11"/>
  <c r="W2077" i="11"/>
  <c r="W2078" i="11"/>
  <c r="W2079" i="11"/>
  <c r="W2080" i="11"/>
  <c r="W2081" i="11"/>
  <c r="W2082" i="11"/>
  <c r="W2083" i="11"/>
  <c r="W2084" i="11"/>
  <c r="W2085" i="11"/>
  <c r="W2086" i="11"/>
  <c r="W2087" i="11"/>
  <c r="W2088" i="11"/>
  <c r="W2089" i="11"/>
  <c r="W2090" i="11"/>
  <c r="W2091" i="11"/>
  <c r="W2092" i="11"/>
  <c r="W2093" i="11"/>
  <c r="W2094" i="11"/>
  <c r="W2095" i="11"/>
  <c r="W2096" i="11"/>
  <c r="W2097" i="11"/>
  <c r="W2098" i="11"/>
  <c r="W2099" i="11"/>
  <c r="W2100" i="11"/>
  <c r="W2101" i="11"/>
  <c r="W2102" i="11"/>
  <c r="W2103" i="11"/>
  <c r="W2104" i="11"/>
  <c r="W2105" i="11"/>
  <c r="W2106" i="11"/>
  <c r="W2107" i="11"/>
  <c r="W2108" i="11"/>
  <c r="W2109" i="11"/>
  <c r="W2110" i="11"/>
  <c r="W2111" i="11"/>
  <c r="W2112" i="11"/>
  <c r="W2113" i="11"/>
  <c r="W2114" i="11"/>
  <c r="W2115" i="11"/>
  <c r="W2116" i="11"/>
  <c r="W2117" i="11"/>
  <c r="W2118" i="11"/>
  <c r="W2119" i="11"/>
  <c r="W2120" i="11"/>
  <c r="W2121" i="11"/>
  <c r="W2122" i="11"/>
  <c r="W2123" i="11"/>
  <c r="W2124" i="11"/>
  <c r="W2125" i="11"/>
  <c r="W2126" i="11"/>
  <c r="W2127" i="11"/>
  <c r="W2128" i="11"/>
  <c r="W2129" i="11"/>
  <c r="W2130" i="11"/>
  <c r="W2131" i="11"/>
  <c r="W2132" i="11"/>
  <c r="W2133" i="11"/>
  <c r="W2134" i="11"/>
  <c r="W2135" i="11"/>
  <c r="W2136" i="11"/>
  <c r="W2137" i="11"/>
  <c r="W2138" i="11"/>
  <c r="W2139" i="11"/>
  <c r="W2140" i="11"/>
  <c r="W2141" i="11"/>
  <c r="W2142" i="11"/>
  <c r="W2143" i="11"/>
  <c r="W2144" i="11"/>
  <c r="W2145" i="11"/>
  <c r="W2146" i="11"/>
  <c r="W2147" i="11"/>
  <c r="W2148" i="11"/>
  <c r="W2149" i="11"/>
  <c r="W2150" i="11"/>
  <c r="W2151" i="11"/>
  <c r="W2152" i="11"/>
  <c r="W2153" i="11"/>
  <c r="W2154" i="11"/>
  <c r="W2155" i="11"/>
  <c r="W2156" i="11"/>
  <c r="W2157" i="11"/>
  <c r="W2158" i="11"/>
  <c r="W2159" i="11"/>
  <c r="W2160" i="11"/>
  <c r="W2161" i="11"/>
  <c r="W2162" i="11"/>
  <c r="W2163" i="11"/>
  <c r="W2164" i="11"/>
  <c r="W2165" i="11"/>
  <c r="W2166" i="11"/>
  <c r="W2167" i="11"/>
  <c r="W2168" i="11"/>
  <c r="W2169" i="11"/>
  <c r="W2170" i="11"/>
  <c r="W2171" i="11"/>
  <c r="W2172" i="11"/>
  <c r="W2173" i="11"/>
  <c r="W2174" i="11"/>
  <c r="W2175" i="11"/>
  <c r="W2176" i="11"/>
  <c r="W2177" i="11"/>
  <c r="W2178" i="11"/>
  <c r="W2179" i="11"/>
  <c r="W2180" i="11"/>
  <c r="W2181" i="11"/>
  <c r="W2182" i="11"/>
  <c r="W2183" i="11"/>
  <c r="W2184" i="11"/>
  <c r="W2185" i="11"/>
  <c r="W2186" i="11"/>
  <c r="W2187" i="11"/>
  <c r="W2188" i="11"/>
  <c r="W2189" i="11"/>
  <c r="W2190" i="11"/>
  <c r="W2191" i="11"/>
  <c r="W2192" i="11"/>
  <c r="W2193" i="11"/>
  <c r="W2194" i="11"/>
  <c r="W2195" i="11"/>
  <c r="W2196" i="11"/>
  <c r="W2197" i="11"/>
  <c r="W2198" i="11"/>
  <c r="W2199" i="11"/>
  <c r="W2200" i="11"/>
  <c r="W2201" i="11"/>
  <c r="W2202" i="11"/>
  <c r="W2203" i="11"/>
  <c r="W2204" i="11"/>
  <c r="W2205" i="11"/>
  <c r="W2206" i="11"/>
  <c r="W2207" i="11"/>
  <c r="W2208" i="11"/>
  <c r="W2209" i="11"/>
  <c r="W2210" i="11"/>
  <c r="W2211" i="11"/>
  <c r="W2212" i="11"/>
  <c r="W2213" i="11"/>
  <c r="W2214" i="11"/>
  <c r="W2215" i="11"/>
  <c r="W2216" i="11"/>
  <c r="W2217" i="11"/>
  <c r="W2218" i="11"/>
  <c r="W2219" i="11"/>
  <c r="W2220" i="11"/>
  <c r="W2221" i="11"/>
  <c r="W2222" i="11"/>
  <c r="W2223" i="11"/>
  <c r="W2224" i="11"/>
  <c r="W2225" i="11"/>
  <c r="W2226" i="11"/>
  <c r="W2227" i="11"/>
  <c r="W2228" i="11"/>
  <c r="W2229" i="11"/>
  <c r="W2230" i="11"/>
  <c r="W2231" i="11"/>
  <c r="W2232" i="11"/>
  <c r="W2233" i="11"/>
  <c r="W2234" i="11"/>
  <c r="W2235" i="11"/>
  <c r="W2236" i="11"/>
  <c r="W2237" i="11"/>
  <c r="W2238" i="11"/>
  <c r="W2239" i="11"/>
  <c r="W2240" i="11"/>
  <c r="W2241" i="11"/>
  <c r="W2242" i="11"/>
  <c r="W2243" i="11"/>
  <c r="W2244" i="11"/>
  <c r="W2245" i="11"/>
  <c r="W2246" i="11"/>
  <c r="W2247" i="11"/>
  <c r="W2248" i="11"/>
  <c r="W2249" i="11"/>
  <c r="W2250" i="11"/>
  <c r="W2251" i="11"/>
  <c r="W2252" i="11"/>
  <c r="W2253" i="11"/>
  <c r="W2254" i="11"/>
  <c r="W2255" i="11"/>
  <c r="W2256" i="11"/>
  <c r="W2257" i="11"/>
  <c r="W2258" i="11"/>
  <c r="W2259" i="11"/>
  <c r="W2260" i="11"/>
  <c r="W2261" i="11"/>
  <c r="W2262" i="11"/>
  <c r="W2263" i="11"/>
  <c r="W2264" i="11"/>
  <c r="W2265" i="11"/>
  <c r="W2266" i="11"/>
  <c r="W2267" i="11"/>
  <c r="W2268" i="11"/>
  <c r="W2269" i="11"/>
  <c r="W2270" i="11"/>
  <c r="W2271" i="11"/>
  <c r="W2272" i="11"/>
  <c r="W2273" i="11"/>
  <c r="W2274" i="11"/>
  <c r="W2275" i="11"/>
  <c r="W2276" i="11"/>
  <c r="W2277" i="11"/>
  <c r="W2278" i="11"/>
  <c r="W2279" i="11"/>
  <c r="W2280" i="11"/>
  <c r="W2281" i="11"/>
  <c r="W2282" i="11"/>
  <c r="W2283" i="11"/>
  <c r="W2284" i="11"/>
  <c r="W2285" i="11"/>
  <c r="W2286" i="11"/>
  <c r="W2287" i="11"/>
  <c r="W2288" i="11"/>
  <c r="W2289" i="11"/>
  <c r="W2290" i="11"/>
  <c r="W2291" i="11"/>
  <c r="W2292" i="11"/>
  <c r="W2293" i="11"/>
  <c r="W2294" i="11"/>
  <c r="W2295" i="11"/>
  <c r="W2296" i="11"/>
  <c r="W2297" i="11"/>
  <c r="W2298" i="11"/>
  <c r="W2299" i="11"/>
  <c r="W2300" i="11"/>
  <c r="W2301" i="11"/>
  <c r="W2302" i="11"/>
  <c r="W2303" i="11"/>
  <c r="W2304" i="11"/>
  <c r="W2305" i="11"/>
  <c r="W2306" i="11"/>
  <c r="W2307" i="11"/>
  <c r="W2308" i="11"/>
  <c r="W2309" i="11"/>
  <c r="W2310" i="11"/>
  <c r="W2311" i="11"/>
  <c r="W2312" i="11"/>
  <c r="W2313" i="11"/>
  <c r="W2314" i="11"/>
  <c r="W2315" i="11"/>
  <c r="W2316" i="11"/>
  <c r="W2317" i="11"/>
  <c r="W2318" i="11"/>
  <c r="W2319" i="11"/>
  <c r="W2320" i="11"/>
  <c r="W2321" i="11"/>
  <c r="W2322" i="11"/>
  <c r="W2323" i="11"/>
  <c r="W2324" i="11"/>
  <c r="W2325" i="11"/>
  <c r="W2326" i="11"/>
  <c r="W2327" i="11"/>
  <c r="W2328" i="11"/>
  <c r="W2329" i="11"/>
  <c r="W2330" i="11"/>
  <c r="W2331" i="11"/>
  <c r="W2332" i="11"/>
  <c r="W2333" i="11"/>
  <c r="W2334" i="11"/>
  <c r="W2335" i="11"/>
  <c r="W2336" i="11"/>
  <c r="W2337" i="11"/>
  <c r="W2338" i="11"/>
  <c r="W2339" i="11"/>
  <c r="W2340" i="11"/>
  <c r="W2341" i="11"/>
  <c r="W2342" i="11"/>
  <c r="W2343" i="11"/>
  <c r="W2344" i="11"/>
  <c r="W2345" i="11"/>
  <c r="W2346" i="11"/>
  <c r="W2347" i="11"/>
  <c r="W2348" i="11"/>
  <c r="W2349" i="11"/>
  <c r="W2350" i="11"/>
  <c r="W2351" i="11"/>
  <c r="W2352" i="11"/>
  <c r="W2353" i="11"/>
  <c r="W2354" i="11"/>
  <c r="W2355" i="11"/>
  <c r="W2356" i="11"/>
  <c r="W2357" i="11"/>
  <c r="W2358" i="11"/>
  <c r="W2359" i="11"/>
  <c r="W2360" i="11"/>
  <c r="W2361" i="11"/>
  <c r="W2362" i="11"/>
  <c r="W2363" i="11"/>
  <c r="W2364" i="11"/>
  <c r="W2365" i="11"/>
  <c r="W2366" i="11"/>
  <c r="W2367" i="11"/>
  <c r="W2368" i="11"/>
  <c r="W2369" i="11"/>
  <c r="W2370" i="11"/>
  <c r="W2371" i="11"/>
  <c r="W2372" i="11"/>
  <c r="W2373" i="11"/>
  <c r="W2374" i="11"/>
  <c r="W2375" i="11"/>
  <c r="W2376" i="11"/>
  <c r="W2377" i="11"/>
  <c r="W2378" i="11"/>
  <c r="W2379" i="11"/>
  <c r="W2380" i="11"/>
  <c r="W2381" i="11"/>
  <c r="W2382" i="11"/>
  <c r="W2383" i="11"/>
  <c r="W2384" i="11"/>
  <c r="W2385" i="11"/>
  <c r="W2386" i="11"/>
  <c r="W2387" i="11"/>
  <c r="W2388" i="11"/>
  <c r="W2389" i="11"/>
  <c r="W2390" i="11"/>
  <c r="W2391" i="11"/>
  <c r="W2392" i="11"/>
  <c r="W2393" i="11"/>
  <c r="W2394" i="11"/>
  <c r="W2395" i="11"/>
  <c r="W2396" i="11"/>
  <c r="W2397" i="11"/>
  <c r="W2398" i="11"/>
  <c r="W2399" i="11"/>
  <c r="W2400" i="11"/>
  <c r="W2401" i="11"/>
  <c r="W2402" i="11"/>
  <c r="W2403" i="11"/>
  <c r="W2404" i="11"/>
  <c r="W2405" i="11"/>
  <c r="W2406" i="11"/>
  <c r="W2407" i="11"/>
  <c r="W2408" i="11"/>
  <c r="W2409" i="11"/>
  <c r="W2410" i="11"/>
  <c r="W2411" i="11"/>
  <c r="W2412" i="11"/>
  <c r="W2413" i="11"/>
  <c r="W2414" i="11"/>
  <c r="W2415" i="11"/>
  <c r="W2416" i="11"/>
  <c r="W2417" i="11"/>
  <c r="W2418" i="11"/>
  <c r="W2419" i="11"/>
  <c r="W2420" i="11"/>
  <c r="W2421" i="11"/>
  <c r="W2422" i="11"/>
  <c r="W2423" i="11"/>
  <c r="W2424" i="11"/>
  <c r="W2425" i="11"/>
  <c r="W2426" i="11"/>
  <c r="W2427" i="11"/>
  <c r="W2428" i="11"/>
  <c r="W2429" i="11"/>
  <c r="W2430" i="11"/>
  <c r="W2431" i="11"/>
  <c r="W2432" i="11"/>
  <c r="W2433" i="11"/>
  <c r="W2434" i="11"/>
  <c r="W2435" i="11"/>
  <c r="W2436" i="11"/>
  <c r="W2437" i="11"/>
  <c r="W2438" i="11"/>
  <c r="W2439" i="11"/>
  <c r="W2440" i="11"/>
  <c r="W2441" i="11"/>
  <c r="W2442" i="11"/>
  <c r="W2443" i="11"/>
  <c r="W2444" i="11"/>
  <c r="W2445" i="11"/>
  <c r="W2446" i="11"/>
  <c r="W2447" i="11"/>
  <c r="W2448" i="11"/>
  <c r="W2449" i="11"/>
  <c r="W2450" i="11"/>
  <c r="W2451" i="11"/>
  <c r="W2452" i="11"/>
  <c r="W2453" i="11"/>
  <c r="W2454" i="11"/>
  <c r="W2455" i="11"/>
  <c r="W2456" i="11"/>
  <c r="W2457" i="11"/>
  <c r="W2458" i="11"/>
  <c r="W2459" i="11"/>
  <c r="W2460" i="11"/>
  <c r="W2461" i="11"/>
  <c r="W2462" i="11"/>
  <c r="W2463" i="11"/>
  <c r="W2464" i="11"/>
  <c r="W2465" i="11"/>
  <c r="W2466" i="11"/>
  <c r="W2467" i="11"/>
  <c r="W2468" i="11"/>
  <c r="W2469" i="11"/>
  <c r="W2470" i="11"/>
  <c r="W2471" i="11"/>
  <c r="W2472" i="11"/>
  <c r="W2473" i="11"/>
  <c r="W2474" i="11"/>
  <c r="W2475" i="11"/>
  <c r="W2476" i="11"/>
  <c r="W2477" i="11"/>
  <c r="W2478" i="11"/>
  <c r="W2479" i="11"/>
  <c r="W2480" i="11"/>
  <c r="W2481" i="11"/>
  <c r="W2482" i="11"/>
  <c r="W2483" i="11"/>
  <c r="W2484" i="11"/>
  <c r="W2485" i="11"/>
  <c r="W2486" i="11"/>
  <c r="W2487" i="11"/>
  <c r="W2488" i="11"/>
  <c r="W2489" i="11"/>
  <c r="W2490" i="11"/>
  <c r="W2491" i="11"/>
  <c r="W2492" i="11"/>
  <c r="W2493" i="11"/>
  <c r="W2494" i="11"/>
  <c r="W2495" i="11"/>
  <c r="W2496" i="11"/>
  <c r="W2497" i="11"/>
  <c r="W2498" i="11"/>
  <c r="W2499" i="11"/>
  <c r="W2500" i="11"/>
  <c r="W2501" i="11"/>
  <c r="W2502" i="11"/>
  <c r="W2503" i="11"/>
  <c r="W2504" i="11"/>
  <c r="W2505" i="11"/>
  <c r="W2506" i="11"/>
  <c r="W2507" i="11"/>
  <c r="W2508" i="11"/>
  <c r="W2509" i="11"/>
  <c r="W2510" i="11"/>
  <c r="W2511" i="11"/>
  <c r="W2512" i="11"/>
  <c r="W2513" i="11"/>
  <c r="W2514" i="11"/>
  <c r="W2515" i="11"/>
  <c r="W2516" i="11"/>
  <c r="W2517" i="11"/>
  <c r="W2518" i="11"/>
  <c r="W2519" i="11"/>
  <c r="W2520" i="11"/>
  <c r="W2521" i="11"/>
  <c r="W2522" i="11"/>
  <c r="W2523" i="11"/>
  <c r="W2524" i="11"/>
  <c r="W2525" i="11"/>
  <c r="W2526" i="11"/>
  <c r="W2527" i="11"/>
  <c r="W2528" i="11"/>
  <c r="W2529" i="11"/>
  <c r="W2530" i="11"/>
  <c r="W2531" i="11"/>
  <c r="W2532" i="11"/>
  <c r="W2533" i="11"/>
  <c r="W2534" i="11"/>
  <c r="W2535" i="11"/>
  <c r="W2536" i="11"/>
  <c r="W2537" i="11"/>
  <c r="W2538" i="11"/>
  <c r="W2539" i="11"/>
  <c r="W2540" i="11"/>
  <c r="W2541" i="11"/>
  <c r="W2542" i="11"/>
  <c r="W2543" i="11"/>
  <c r="W2544" i="11"/>
  <c r="W2545" i="11"/>
  <c r="W2546" i="11"/>
  <c r="W2547" i="11"/>
  <c r="W2548" i="11"/>
  <c r="W2549" i="11"/>
  <c r="W2550" i="11"/>
  <c r="W2551" i="11"/>
  <c r="W2552" i="11"/>
  <c r="W2553" i="11"/>
  <c r="W2554" i="11"/>
  <c r="W2555" i="11"/>
  <c r="W2556" i="11"/>
  <c r="W2557" i="11"/>
  <c r="W2558" i="11"/>
  <c r="W2559" i="11"/>
  <c r="W2560" i="11"/>
  <c r="W2561" i="11"/>
  <c r="W2562" i="11"/>
  <c r="W2563" i="11"/>
  <c r="W2564" i="11"/>
  <c r="W2565" i="11"/>
  <c r="W2566" i="11"/>
  <c r="W2567" i="11"/>
  <c r="W2568" i="11"/>
  <c r="W2569" i="11"/>
  <c r="W2570" i="11"/>
  <c r="W2571" i="11"/>
  <c r="W2572" i="11"/>
  <c r="W2573" i="11"/>
  <c r="W2574" i="11"/>
  <c r="W2575" i="11"/>
  <c r="W2576" i="11"/>
  <c r="W2577" i="11"/>
  <c r="W2578" i="11"/>
  <c r="W2579" i="11"/>
  <c r="W2580" i="11"/>
  <c r="W2581" i="11"/>
  <c r="W2582" i="11"/>
  <c r="W2583" i="11"/>
  <c r="W2584" i="11"/>
  <c r="W2585" i="11"/>
  <c r="W2586" i="11"/>
  <c r="W2587" i="11"/>
  <c r="W2588" i="11"/>
  <c r="W2589" i="11"/>
  <c r="W2590" i="11"/>
  <c r="W2591" i="11"/>
  <c r="W2592" i="11"/>
  <c r="W2593" i="11"/>
  <c r="W2594" i="11"/>
  <c r="W2595" i="11"/>
  <c r="W2596" i="11"/>
  <c r="W2597" i="11"/>
  <c r="W2598" i="11"/>
  <c r="W2599" i="11"/>
  <c r="W2600" i="11"/>
  <c r="W2601" i="11"/>
  <c r="W2602" i="11"/>
  <c r="W2603" i="11"/>
  <c r="W2604" i="11"/>
  <c r="W2605" i="11"/>
  <c r="W2606" i="11"/>
  <c r="W2607" i="11"/>
  <c r="W2608" i="11"/>
  <c r="W2609" i="11"/>
  <c r="W2610" i="11"/>
  <c r="W2611" i="11"/>
  <c r="W2612" i="11"/>
  <c r="W2613" i="11"/>
  <c r="W2614" i="11"/>
  <c r="W2615" i="11"/>
  <c r="W2616" i="11"/>
  <c r="W2617" i="11"/>
  <c r="W2618" i="11"/>
  <c r="W2619" i="11"/>
  <c r="W2620" i="11"/>
  <c r="W2621" i="11"/>
  <c r="W2622" i="11"/>
  <c r="W2623" i="11"/>
  <c r="W2624" i="11"/>
  <c r="W2625" i="11"/>
  <c r="W2626" i="11"/>
  <c r="W2627" i="11"/>
  <c r="W2628" i="11"/>
  <c r="W2629" i="11"/>
  <c r="W2630" i="11"/>
  <c r="W2631" i="11"/>
  <c r="W2632" i="11"/>
  <c r="W2633" i="11"/>
  <c r="W2634" i="11"/>
  <c r="W2635" i="11"/>
  <c r="W2636" i="11"/>
  <c r="W2637" i="11"/>
  <c r="W2638" i="11"/>
  <c r="W2639" i="11"/>
  <c r="W2640" i="11"/>
  <c r="W2641" i="11"/>
  <c r="W2642" i="11"/>
  <c r="W2643" i="11"/>
  <c r="W2644" i="11"/>
  <c r="W2645" i="11"/>
  <c r="W2646" i="11"/>
  <c r="W2647" i="11"/>
  <c r="W2648" i="11"/>
  <c r="W2649" i="11"/>
  <c r="W2650" i="11"/>
  <c r="W2651" i="11"/>
  <c r="W2652" i="11"/>
  <c r="W2653" i="11"/>
  <c r="W2654" i="11"/>
  <c r="W2655" i="11"/>
  <c r="W2656" i="11"/>
  <c r="W2657" i="11"/>
  <c r="W2658" i="11"/>
  <c r="W2659" i="11"/>
  <c r="W2660" i="11"/>
  <c r="W2661" i="11"/>
  <c r="W2662" i="11"/>
  <c r="W2663" i="11"/>
  <c r="W2664" i="11"/>
  <c r="W2665" i="11"/>
  <c r="W2666" i="11"/>
  <c r="W2667" i="11"/>
  <c r="W2668" i="11"/>
  <c r="W2669" i="11"/>
  <c r="W2670" i="11"/>
  <c r="W2671" i="11"/>
  <c r="W2672" i="11"/>
  <c r="W2673" i="11"/>
  <c r="W2674" i="11"/>
  <c r="W2675" i="11"/>
  <c r="W2676" i="11"/>
  <c r="W2677" i="11"/>
  <c r="W2678" i="11"/>
  <c r="W2679" i="11"/>
  <c r="W2680" i="11"/>
  <c r="W2681" i="11"/>
  <c r="W2682" i="11"/>
  <c r="W2683" i="11"/>
  <c r="W2684" i="11"/>
  <c r="W2685" i="11"/>
  <c r="W2686" i="11"/>
  <c r="W2687" i="11"/>
  <c r="W2688" i="11"/>
  <c r="W2689" i="11"/>
  <c r="W2690" i="11"/>
  <c r="W2691" i="11"/>
  <c r="W2692" i="11"/>
  <c r="W2693" i="11"/>
  <c r="W2694" i="11"/>
  <c r="W2695" i="11"/>
  <c r="W2696" i="11"/>
  <c r="W2697" i="11"/>
  <c r="W2698" i="11"/>
  <c r="W2699" i="11"/>
  <c r="W2700" i="11"/>
  <c r="W2701" i="11"/>
  <c r="W2702" i="11"/>
  <c r="W2703" i="11"/>
  <c r="W2704" i="11"/>
  <c r="W2705" i="11"/>
  <c r="W2706" i="11"/>
  <c r="W2707" i="11"/>
  <c r="W2708" i="11"/>
  <c r="W2709" i="11"/>
  <c r="W2710" i="11"/>
  <c r="W2711" i="11"/>
  <c r="W2712" i="11"/>
  <c r="W2713" i="11"/>
  <c r="W2714" i="11"/>
  <c r="W2715" i="11"/>
  <c r="W2716" i="11"/>
  <c r="W2717" i="11"/>
  <c r="W2718" i="11"/>
  <c r="W2719" i="11"/>
  <c r="W2720" i="11"/>
  <c r="W2721" i="11"/>
  <c r="W2722" i="11"/>
  <c r="W2723" i="11"/>
  <c r="W2724" i="11"/>
  <c r="W2725" i="11"/>
  <c r="W2726" i="11"/>
  <c r="W2727" i="11"/>
  <c r="W2728" i="11"/>
  <c r="W2729" i="11"/>
  <c r="W2730" i="11"/>
  <c r="W2731" i="11"/>
  <c r="W2732" i="11"/>
  <c r="W2733" i="11"/>
  <c r="W2734" i="11"/>
  <c r="W2735" i="11"/>
  <c r="W2736" i="11"/>
  <c r="W2737" i="11"/>
  <c r="W2738" i="11"/>
  <c r="W2739" i="11"/>
  <c r="W2740" i="11"/>
  <c r="W2741" i="11"/>
  <c r="W2742" i="11"/>
  <c r="W2743" i="11"/>
  <c r="W2744" i="11"/>
  <c r="W2745" i="11"/>
  <c r="W2746" i="11"/>
  <c r="W2747" i="11"/>
  <c r="W2748" i="11"/>
  <c r="W2749" i="11"/>
  <c r="W2750" i="11"/>
  <c r="W2751" i="11"/>
  <c r="W2752" i="11"/>
  <c r="W2753" i="11"/>
  <c r="W2754" i="11"/>
  <c r="W2755" i="11"/>
  <c r="W2756" i="11"/>
  <c r="W2757" i="11"/>
  <c r="W2758" i="11"/>
  <c r="W2759" i="11"/>
  <c r="W2760" i="11"/>
  <c r="W2761" i="11"/>
  <c r="W2762" i="11"/>
  <c r="W2763" i="11"/>
  <c r="W2764" i="11"/>
  <c r="W2765" i="11"/>
  <c r="W2766" i="11"/>
  <c r="W2767" i="11"/>
  <c r="W2768" i="11"/>
  <c r="W2769" i="11"/>
  <c r="W2770" i="11"/>
  <c r="W2771" i="11"/>
  <c r="W2772" i="11"/>
  <c r="W2773" i="11"/>
  <c r="W2774" i="11"/>
  <c r="W2775" i="11"/>
  <c r="W2776" i="11"/>
  <c r="W2777" i="11"/>
  <c r="W2778" i="11"/>
  <c r="W2779" i="11"/>
  <c r="W2780" i="11"/>
  <c r="W2781" i="11"/>
  <c r="W2782" i="11"/>
  <c r="W2783" i="11"/>
  <c r="W2784" i="11"/>
  <c r="W2785" i="11"/>
  <c r="W2786" i="11"/>
  <c r="W2787" i="11"/>
  <c r="W2788" i="11"/>
  <c r="W2789" i="11"/>
  <c r="W2790" i="11"/>
  <c r="W2791" i="11"/>
  <c r="W2792" i="11"/>
  <c r="W2793" i="11"/>
  <c r="W2794" i="11"/>
  <c r="W2795" i="11"/>
  <c r="W2796" i="11"/>
  <c r="W2797" i="11"/>
  <c r="W2798" i="11"/>
  <c r="W2799" i="11"/>
  <c r="W2800" i="11"/>
  <c r="W2801" i="11"/>
  <c r="W2802" i="11"/>
  <c r="W2803" i="11"/>
  <c r="W2804" i="11"/>
  <c r="W2805" i="11"/>
  <c r="W2806" i="11"/>
  <c r="W2807" i="11"/>
  <c r="W2808" i="11"/>
  <c r="W2809" i="11"/>
  <c r="W2810" i="11"/>
  <c r="W2811" i="11"/>
  <c r="W2812" i="11"/>
  <c r="W2813" i="11"/>
  <c r="W2814" i="11"/>
  <c r="W2815" i="11"/>
  <c r="W2816" i="11"/>
  <c r="W2817" i="11"/>
  <c r="W2818" i="11"/>
  <c r="W2819" i="11"/>
  <c r="W2820" i="11"/>
  <c r="W2821" i="11"/>
  <c r="W2822" i="11"/>
  <c r="W2823" i="11"/>
  <c r="W2824" i="11"/>
  <c r="W2825" i="11"/>
  <c r="W2826" i="11"/>
  <c r="W2827" i="11"/>
  <c r="W2828" i="11"/>
  <c r="W2829" i="11"/>
  <c r="W2830" i="11"/>
  <c r="W2831" i="11"/>
  <c r="W2832" i="11"/>
  <c r="W2833" i="11"/>
  <c r="W2834" i="11"/>
  <c r="W2835" i="11"/>
  <c r="W2836" i="11"/>
  <c r="W2837" i="11"/>
  <c r="W2838" i="11"/>
  <c r="W2839" i="11"/>
  <c r="W2840" i="11"/>
  <c r="W2841" i="11"/>
  <c r="W2842" i="11"/>
  <c r="W2843" i="11"/>
  <c r="W2844" i="11"/>
  <c r="W2845" i="11"/>
  <c r="W2846" i="11"/>
  <c r="W2847" i="11"/>
  <c r="W2848" i="11"/>
  <c r="W2849" i="11"/>
  <c r="W2850" i="11"/>
  <c r="W2851" i="11"/>
  <c r="W2852" i="11"/>
  <c r="W2853" i="11"/>
  <c r="W2854" i="11"/>
  <c r="W2855" i="11"/>
  <c r="W2856" i="11"/>
  <c r="W2857" i="11"/>
  <c r="W2858" i="11"/>
  <c r="W2859" i="11"/>
  <c r="W2860" i="11"/>
  <c r="W2861" i="11"/>
  <c r="W2862" i="11"/>
  <c r="W2863" i="11"/>
  <c r="W2864" i="11"/>
  <c r="W2865" i="11"/>
  <c r="W2866" i="11"/>
  <c r="W2867" i="11"/>
  <c r="W2868" i="11"/>
  <c r="W2869" i="11"/>
  <c r="W2870" i="11"/>
  <c r="W2871" i="11"/>
  <c r="W2872" i="11"/>
  <c r="W2873" i="11"/>
  <c r="W2874" i="11"/>
  <c r="W2875" i="11"/>
  <c r="W2876" i="11"/>
  <c r="W2877" i="11"/>
  <c r="W2878" i="11"/>
  <c r="W2879" i="11"/>
  <c r="W2880" i="11"/>
  <c r="W2881" i="11"/>
  <c r="W2882" i="11"/>
  <c r="W2883" i="11"/>
  <c r="W2884" i="11"/>
  <c r="W2885" i="11"/>
  <c r="W2886" i="11"/>
  <c r="W2887" i="11"/>
  <c r="W2888" i="11"/>
  <c r="W2889" i="11"/>
  <c r="W2890" i="11"/>
  <c r="W2891" i="11"/>
  <c r="W2892" i="11"/>
  <c r="W2893" i="11"/>
  <c r="W2894" i="11"/>
  <c r="W2895" i="11"/>
  <c r="W2896" i="11"/>
  <c r="W2897" i="11"/>
  <c r="W2898" i="11"/>
  <c r="W2899" i="11"/>
  <c r="W2900" i="11"/>
  <c r="W2901" i="11"/>
  <c r="W2902" i="11"/>
  <c r="W2903" i="11"/>
  <c r="W2904" i="11"/>
  <c r="W2905" i="11"/>
  <c r="W2906" i="11"/>
  <c r="W2907" i="11"/>
  <c r="W2908" i="11"/>
  <c r="W2909" i="11"/>
  <c r="W2910" i="11"/>
  <c r="W2911" i="11"/>
  <c r="W2912" i="11"/>
  <c r="W2913" i="11"/>
  <c r="W2914" i="11"/>
  <c r="W2915" i="11"/>
  <c r="W2916" i="11"/>
  <c r="W2917" i="11"/>
  <c r="W2918" i="11"/>
  <c r="W2919" i="11"/>
  <c r="W2920" i="11"/>
  <c r="W2921" i="11"/>
  <c r="W2922" i="11"/>
  <c r="W2923" i="11"/>
  <c r="W2924" i="11"/>
  <c r="W2925" i="11"/>
  <c r="W2926" i="11"/>
  <c r="W2927" i="11"/>
  <c r="W2928" i="11"/>
  <c r="W2929" i="11"/>
  <c r="W2930" i="11"/>
  <c r="W2931" i="11"/>
  <c r="W2932" i="11"/>
  <c r="W2933" i="11"/>
  <c r="W2934" i="11"/>
  <c r="W2935" i="11"/>
  <c r="W2936" i="11"/>
  <c r="W2937" i="11"/>
  <c r="W2938" i="11"/>
  <c r="W2939" i="11"/>
  <c r="W2940" i="11"/>
  <c r="W2941" i="11"/>
  <c r="W2942" i="11"/>
  <c r="W2943" i="11"/>
  <c r="W2944" i="11"/>
  <c r="W2945" i="11"/>
  <c r="W2946" i="11"/>
  <c r="W2947" i="11"/>
  <c r="W2948" i="11"/>
  <c r="W2949" i="11"/>
  <c r="W2950" i="11"/>
  <c r="W2951" i="11"/>
  <c r="W2952" i="11"/>
  <c r="W2953" i="11"/>
  <c r="W2954" i="11"/>
  <c r="W2955" i="11"/>
  <c r="W2956" i="11"/>
  <c r="W2957" i="11"/>
  <c r="W2958" i="11"/>
  <c r="W2959" i="11"/>
  <c r="W2960" i="11"/>
  <c r="W2961" i="11"/>
  <c r="W2962" i="11"/>
  <c r="W2963" i="11"/>
  <c r="W2964" i="11"/>
  <c r="W2965" i="11"/>
  <c r="W2966" i="11"/>
  <c r="W2967" i="11"/>
  <c r="W2968" i="11"/>
  <c r="W2969" i="11"/>
  <c r="W2970" i="11"/>
  <c r="W2971" i="11"/>
  <c r="W2972" i="11"/>
  <c r="W2973" i="11"/>
  <c r="W2974" i="11"/>
  <c r="W2975" i="11"/>
  <c r="W2976" i="11"/>
  <c r="W2977" i="11"/>
  <c r="W2978" i="11"/>
  <c r="W2979" i="11"/>
  <c r="W2980" i="11"/>
  <c r="W2981" i="11"/>
  <c r="W2982" i="11"/>
  <c r="W2983" i="11"/>
  <c r="W2984" i="11"/>
  <c r="W2985" i="11"/>
  <c r="W2986" i="11"/>
  <c r="W2987" i="11"/>
  <c r="W2988" i="11"/>
  <c r="W2989" i="11"/>
  <c r="W2990" i="11"/>
  <c r="W2991" i="11"/>
  <c r="W2992" i="11"/>
  <c r="W2993" i="11"/>
  <c r="W2994" i="11"/>
  <c r="W2995" i="11"/>
  <c r="W2996" i="11"/>
  <c r="W2997" i="11"/>
  <c r="W2998" i="11"/>
  <c r="W2999" i="11"/>
  <c r="W3000" i="11"/>
  <c r="W3001" i="11"/>
  <c r="W3002" i="11"/>
  <c r="W3003" i="11"/>
  <c r="W3004" i="11"/>
  <c r="W3005" i="11"/>
  <c r="W3006" i="11"/>
  <c r="W3007" i="11"/>
  <c r="W3008" i="11"/>
  <c r="W3009" i="11"/>
  <c r="W3010" i="11"/>
  <c r="W3011" i="11"/>
  <c r="W3012" i="11"/>
  <c r="W3013" i="11"/>
  <c r="W3014" i="11"/>
  <c r="W3015" i="11"/>
  <c r="W3016" i="11"/>
  <c r="W3017" i="11"/>
  <c r="W3018" i="11"/>
  <c r="W3019" i="11"/>
  <c r="W3020" i="11"/>
  <c r="W3021" i="11"/>
  <c r="W3022" i="11"/>
  <c r="W3023" i="11"/>
  <c r="W3024" i="11"/>
  <c r="W3025" i="11"/>
  <c r="W3026" i="11"/>
  <c r="W3027" i="11"/>
  <c r="W3028" i="11"/>
  <c r="W3029" i="11"/>
  <c r="W3030" i="11"/>
  <c r="W3031" i="11"/>
  <c r="W3032" i="11"/>
  <c r="W3033" i="11"/>
  <c r="W3034" i="11"/>
  <c r="W3035" i="11"/>
  <c r="W3036" i="11"/>
  <c r="W3037" i="11"/>
  <c r="W3038" i="11"/>
  <c r="W3039" i="11"/>
  <c r="W3040" i="11"/>
  <c r="W3041" i="11"/>
  <c r="W3042" i="11"/>
  <c r="W3043" i="11"/>
  <c r="W3044" i="11"/>
  <c r="W3045" i="11"/>
  <c r="W3046" i="11"/>
  <c r="W3047" i="11"/>
  <c r="W3048" i="11"/>
  <c r="W3049" i="11"/>
  <c r="W3050" i="11"/>
  <c r="W3051" i="11"/>
  <c r="W3052" i="11"/>
  <c r="W3053" i="11"/>
  <c r="W3054" i="11"/>
  <c r="W3055" i="11"/>
  <c r="W3056" i="11"/>
  <c r="W3057" i="11"/>
  <c r="W3058" i="11"/>
  <c r="W3059" i="11"/>
  <c r="W3060" i="11"/>
  <c r="W3061" i="11"/>
  <c r="W3062" i="11"/>
  <c r="W3063" i="11"/>
  <c r="W3064" i="11"/>
  <c r="W3065" i="11"/>
  <c r="W3066" i="11"/>
  <c r="W3067" i="11"/>
  <c r="W3068" i="11"/>
  <c r="W3069" i="11"/>
  <c r="W3070" i="11"/>
  <c r="W3071" i="11"/>
  <c r="W3072" i="11"/>
  <c r="W3073" i="11"/>
  <c r="W3074" i="11"/>
  <c r="W3075" i="11"/>
  <c r="W3076" i="11"/>
  <c r="W3077" i="11"/>
  <c r="W3078" i="11"/>
  <c r="W3079" i="11"/>
  <c r="W3080" i="11"/>
  <c r="W3081" i="11"/>
  <c r="W3082" i="11"/>
  <c r="W3083" i="11"/>
  <c r="W3084" i="11"/>
  <c r="W3085" i="11"/>
  <c r="W3086" i="11"/>
  <c r="W3087" i="11"/>
  <c r="W3088" i="11"/>
  <c r="W3089" i="11"/>
  <c r="W3090" i="11"/>
  <c r="W3091" i="11"/>
  <c r="W3092" i="11"/>
  <c r="W3093" i="11"/>
  <c r="W3094" i="11"/>
  <c r="W3095" i="11"/>
  <c r="W3096" i="11"/>
  <c r="W3097" i="11"/>
  <c r="W3098" i="11"/>
  <c r="W3099" i="11"/>
  <c r="W3100" i="11"/>
  <c r="W3101" i="11"/>
  <c r="W3102" i="11"/>
  <c r="W3103" i="11"/>
  <c r="W3104" i="11"/>
  <c r="W3105" i="11"/>
  <c r="W3106" i="11"/>
  <c r="W3107" i="11"/>
  <c r="W3108" i="11"/>
  <c r="W3109" i="11"/>
  <c r="W3110" i="11"/>
  <c r="W3111" i="11"/>
  <c r="W3112" i="11"/>
  <c r="W3113" i="11"/>
  <c r="W3114" i="11"/>
  <c r="W3115" i="11"/>
  <c r="W3116" i="11"/>
  <c r="W3117" i="11"/>
  <c r="W3118" i="11"/>
  <c r="W3119" i="11"/>
  <c r="W3120" i="11"/>
  <c r="W3121" i="11"/>
  <c r="W3122" i="11"/>
  <c r="W3123" i="11"/>
  <c r="W3124" i="11"/>
  <c r="W3125" i="11"/>
  <c r="W3126" i="11"/>
  <c r="W3127" i="11"/>
  <c r="W3128" i="11"/>
  <c r="W3129" i="11"/>
  <c r="W3130" i="11"/>
  <c r="W3131" i="11"/>
  <c r="W3132" i="11"/>
  <c r="W3133" i="11"/>
  <c r="W3134" i="11"/>
  <c r="W3135" i="11"/>
  <c r="W3136" i="11"/>
  <c r="W3137" i="11"/>
  <c r="W3138" i="11"/>
  <c r="W3139" i="11"/>
  <c r="W3140" i="11"/>
  <c r="W3141" i="11"/>
  <c r="W3142" i="11"/>
  <c r="W3143" i="11"/>
  <c r="W3144" i="11"/>
  <c r="W3145" i="11"/>
  <c r="W3146" i="11"/>
  <c r="W3147" i="11"/>
  <c r="W3148" i="11"/>
  <c r="W3149" i="11"/>
  <c r="W3150" i="11"/>
  <c r="W3151" i="11"/>
  <c r="W3152" i="11"/>
  <c r="W3153" i="11"/>
  <c r="W3154" i="11"/>
  <c r="W3155" i="11"/>
  <c r="W3156" i="11"/>
  <c r="W3157" i="11"/>
  <c r="W3158" i="11"/>
  <c r="W3159" i="11"/>
  <c r="W3160" i="11"/>
  <c r="W3161" i="11"/>
  <c r="W3162" i="11"/>
  <c r="W3163" i="11"/>
  <c r="W3164" i="11"/>
  <c r="W3165" i="11"/>
  <c r="W3166" i="11"/>
  <c r="W3167" i="11"/>
  <c r="W3168" i="11"/>
  <c r="W3169" i="11"/>
  <c r="W3170" i="11"/>
  <c r="W3171" i="11"/>
  <c r="W3172" i="11"/>
  <c r="W3173" i="11"/>
  <c r="W3174" i="11"/>
  <c r="W3175" i="11"/>
  <c r="W3176" i="11"/>
  <c r="W3177" i="11"/>
  <c r="W3178" i="11"/>
  <c r="W3179" i="11"/>
  <c r="W3180" i="11"/>
  <c r="W3181" i="11"/>
  <c r="W3182" i="11"/>
  <c r="W3183" i="11"/>
  <c r="W3184" i="11"/>
  <c r="W3185" i="11"/>
  <c r="W3186" i="11"/>
  <c r="W3187" i="11"/>
  <c r="W3188" i="11"/>
  <c r="W3189" i="11"/>
  <c r="W3190" i="11"/>
  <c r="W3191" i="11"/>
  <c r="W3192" i="11"/>
  <c r="W3193" i="11"/>
  <c r="W3194" i="11"/>
  <c r="W3195" i="11"/>
  <c r="W3196" i="11"/>
  <c r="W3197" i="11"/>
  <c r="W3198" i="11"/>
  <c r="W3199" i="11"/>
  <c r="W3200" i="11"/>
  <c r="W3201" i="11"/>
  <c r="W3202" i="11"/>
  <c r="W3203" i="11"/>
  <c r="W3204" i="11"/>
  <c r="W3205" i="11"/>
  <c r="W3206" i="11"/>
  <c r="W3207" i="11"/>
  <c r="W3208" i="11"/>
  <c r="W3209" i="11"/>
  <c r="W3210" i="11"/>
  <c r="W3211" i="11"/>
  <c r="W3212" i="11"/>
  <c r="W3213" i="11"/>
  <c r="W3214" i="11"/>
  <c r="W3215" i="11"/>
  <c r="W3216" i="11"/>
  <c r="W3217" i="11"/>
  <c r="W3218" i="11"/>
  <c r="W3219" i="11"/>
  <c r="W3220" i="11"/>
  <c r="W3221" i="11"/>
  <c r="W3222" i="11"/>
  <c r="W3223" i="11"/>
  <c r="W3224" i="11"/>
  <c r="W3225" i="11"/>
  <c r="W3226" i="11"/>
  <c r="W3227" i="11"/>
  <c r="W3228" i="11"/>
  <c r="W3229" i="11"/>
  <c r="W3230" i="11"/>
  <c r="W3231" i="11"/>
  <c r="W3232" i="11"/>
  <c r="W3233" i="11"/>
  <c r="W3234" i="11"/>
  <c r="W3235" i="11"/>
  <c r="W3236" i="11"/>
  <c r="W3237" i="11"/>
  <c r="W3238" i="11"/>
  <c r="W3239" i="11"/>
  <c r="W3240" i="11"/>
  <c r="W3241" i="11"/>
  <c r="W3242" i="11"/>
  <c r="W3243" i="11"/>
  <c r="W3244" i="11"/>
  <c r="W3245" i="11"/>
  <c r="W3246" i="11"/>
  <c r="W3247" i="11"/>
  <c r="W3248" i="11"/>
  <c r="W3249" i="11"/>
  <c r="W3250" i="11"/>
  <c r="W3251" i="11"/>
  <c r="W3252" i="11"/>
  <c r="W3253" i="11"/>
  <c r="W3254" i="11"/>
  <c r="W3255" i="11"/>
  <c r="W3256" i="11"/>
  <c r="W3257" i="11"/>
  <c r="W3258" i="11"/>
  <c r="W3259" i="11"/>
  <c r="W3260" i="11"/>
  <c r="W3261" i="11"/>
  <c r="W3262" i="11"/>
  <c r="W3263" i="11"/>
  <c r="W3264" i="11"/>
  <c r="W3265" i="11"/>
  <c r="W3266" i="11"/>
  <c r="W3267" i="11"/>
  <c r="W3268" i="11"/>
  <c r="W3269" i="11"/>
  <c r="W3270" i="11"/>
  <c r="W3271" i="11"/>
  <c r="W3272" i="11"/>
  <c r="W3273" i="11"/>
  <c r="W3274" i="11"/>
  <c r="W3275" i="11"/>
  <c r="W3276" i="11"/>
  <c r="W3277" i="11"/>
  <c r="W3278" i="11"/>
  <c r="W3279" i="11"/>
  <c r="W3280" i="11"/>
  <c r="W3281" i="11"/>
  <c r="W3282" i="11"/>
  <c r="W3283" i="11"/>
  <c r="W3284" i="11"/>
  <c r="W3285" i="11"/>
  <c r="W3286" i="11"/>
  <c r="W3287" i="11"/>
  <c r="W3288" i="11"/>
  <c r="W3289" i="11"/>
  <c r="W3290" i="11"/>
  <c r="W3291" i="11"/>
  <c r="W3292" i="11"/>
  <c r="W3293" i="11"/>
  <c r="W3294" i="11"/>
  <c r="W3295" i="11"/>
  <c r="W3296" i="11"/>
  <c r="W3297" i="11"/>
  <c r="W3298" i="11"/>
  <c r="W3299" i="11"/>
  <c r="W3300" i="11"/>
  <c r="W3301" i="11"/>
  <c r="W3302" i="11"/>
  <c r="W3303" i="11"/>
  <c r="W3304" i="11"/>
  <c r="W3305" i="11"/>
  <c r="W3306" i="11"/>
  <c r="W3307" i="11"/>
  <c r="W3308" i="11"/>
  <c r="W3309" i="11"/>
  <c r="W3310" i="11"/>
  <c r="W3311" i="11"/>
  <c r="W3312" i="11"/>
  <c r="W3313" i="11"/>
  <c r="W3314" i="11"/>
  <c r="W3315" i="11"/>
  <c r="W3316" i="11"/>
  <c r="W3317" i="11"/>
  <c r="W3318" i="11"/>
  <c r="W3319" i="11"/>
  <c r="W3320" i="11"/>
  <c r="W3321" i="11"/>
  <c r="W3322" i="11"/>
  <c r="W3323" i="11"/>
  <c r="W3324" i="11"/>
  <c r="W3325" i="11"/>
  <c r="W3326" i="11"/>
  <c r="W3327" i="11"/>
  <c r="W3328" i="11"/>
  <c r="W3329" i="11"/>
  <c r="W3330" i="11"/>
  <c r="W3331" i="11"/>
  <c r="W3332" i="11"/>
  <c r="W3333" i="11"/>
  <c r="W3334" i="11"/>
  <c r="W3335" i="11"/>
  <c r="W3336" i="11"/>
  <c r="W3337" i="11"/>
  <c r="W3338" i="11"/>
  <c r="W3339" i="11"/>
  <c r="W3340" i="11"/>
  <c r="W3341" i="11"/>
  <c r="W3342" i="11"/>
  <c r="W3343" i="11"/>
  <c r="W3344" i="11"/>
  <c r="W3345" i="11"/>
  <c r="W3346" i="11"/>
  <c r="W3347" i="11"/>
  <c r="W3348" i="11"/>
  <c r="W3349" i="11"/>
  <c r="W3350" i="11"/>
  <c r="W3351" i="11"/>
  <c r="W3352" i="11"/>
  <c r="W3353" i="11"/>
  <c r="W3354" i="11"/>
  <c r="W3355" i="11"/>
  <c r="W3356" i="11"/>
  <c r="W3357" i="11"/>
  <c r="W3358" i="11"/>
  <c r="W3359" i="11"/>
  <c r="W3360" i="11"/>
  <c r="W3361" i="11"/>
  <c r="W3362" i="11"/>
  <c r="W3363" i="11"/>
  <c r="W3364" i="11"/>
  <c r="W3365" i="11"/>
  <c r="W3366" i="11"/>
  <c r="W3367" i="11"/>
  <c r="W3368" i="11"/>
  <c r="W3369" i="11"/>
  <c r="W3370" i="11"/>
  <c r="W3371" i="11"/>
  <c r="W3372" i="11"/>
  <c r="W3373" i="11"/>
  <c r="W3374" i="11"/>
  <c r="W3375" i="11"/>
  <c r="W3376" i="11"/>
  <c r="W3377" i="11"/>
  <c r="W3378" i="11"/>
  <c r="W3379" i="11"/>
  <c r="W3380" i="11"/>
  <c r="W3381" i="11"/>
  <c r="W3382" i="11"/>
  <c r="W3383" i="11"/>
  <c r="W3384" i="11"/>
  <c r="W3385" i="11"/>
  <c r="W3386" i="11"/>
  <c r="W3387" i="11"/>
  <c r="W3388" i="11"/>
  <c r="W3389" i="11"/>
  <c r="W3390" i="11"/>
  <c r="W3391" i="11"/>
  <c r="W3392" i="11"/>
  <c r="W3393" i="11"/>
  <c r="W3394" i="11"/>
  <c r="W3395" i="11"/>
  <c r="W3396" i="11"/>
  <c r="W3397" i="11"/>
  <c r="W3398" i="11"/>
  <c r="W3399" i="11"/>
  <c r="W3400" i="11"/>
  <c r="W3401" i="11"/>
  <c r="W3402" i="11"/>
  <c r="W3403" i="11"/>
  <c r="W3404" i="11"/>
  <c r="W3405" i="11"/>
  <c r="W3406" i="11"/>
  <c r="W3407" i="11"/>
  <c r="W3408" i="11"/>
  <c r="W3409" i="11"/>
  <c r="W3410" i="11"/>
  <c r="W3411" i="11"/>
  <c r="W3412" i="11"/>
  <c r="W3413" i="11"/>
  <c r="W3414" i="11"/>
  <c r="W3415" i="11"/>
  <c r="W3416" i="11"/>
  <c r="W3417" i="11"/>
  <c r="W3418" i="11"/>
  <c r="W3419" i="11"/>
  <c r="W3420" i="11"/>
  <c r="W3421" i="11"/>
  <c r="W3422" i="11"/>
  <c r="W3423" i="11"/>
  <c r="W3424" i="11"/>
  <c r="W3425" i="11"/>
  <c r="W3426" i="11"/>
  <c r="W3427" i="11"/>
  <c r="W3428" i="11"/>
  <c r="W3429" i="11"/>
  <c r="W3430" i="11"/>
  <c r="W3431" i="11"/>
  <c r="W3432" i="11"/>
  <c r="W3433" i="11"/>
  <c r="W3434" i="11"/>
  <c r="W3435" i="11"/>
  <c r="W3436" i="11"/>
  <c r="W3437" i="11"/>
  <c r="W3438" i="11"/>
  <c r="W3439" i="11"/>
  <c r="W3440" i="11"/>
  <c r="W3441" i="11"/>
  <c r="W3442" i="11"/>
  <c r="W3443" i="11"/>
  <c r="W3444" i="11"/>
  <c r="W3445" i="11"/>
  <c r="W3446" i="11"/>
  <c r="W3447" i="11"/>
  <c r="W3448" i="11"/>
  <c r="W3449" i="11"/>
  <c r="W3450" i="11"/>
  <c r="W3451" i="11"/>
  <c r="W3452" i="11"/>
  <c r="W3453" i="11"/>
  <c r="W3454" i="11"/>
  <c r="W3455" i="11"/>
  <c r="W3456" i="11"/>
  <c r="W3457" i="11"/>
  <c r="W3458" i="11"/>
  <c r="W3459" i="11"/>
  <c r="W3460" i="11"/>
  <c r="W3461" i="11"/>
  <c r="W3462" i="11"/>
  <c r="W3463" i="11"/>
  <c r="W3464" i="11"/>
  <c r="W3465" i="11"/>
  <c r="W3466" i="11"/>
  <c r="W3467" i="11"/>
  <c r="W3468" i="11"/>
  <c r="W3469" i="11"/>
  <c r="W3470" i="11"/>
  <c r="W3471" i="11"/>
  <c r="W3472" i="11"/>
  <c r="W3473" i="11"/>
  <c r="W3474" i="11"/>
  <c r="W3475" i="11"/>
  <c r="W3476" i="11"/>
  <c r="W3477" i="11"/>
  <c r="W3478" i="11"/>
  <c r="W3479" i="11"/>
  <c r="W3480" i="11"/>
  <c r="W3481" i="11"/>
  <c r="W3482" i="11"/>
  <c r="W3483" i="11"/>
  <c r="W3484" i="11"/>
  <c r="W3485" i="11"/>
  <c r="W3486" i="11"/>
  <c r="W3487" i="11"/>
  <c r="W3488" i="11"/>
  <c r="W3489" i="11"/>
  <c r="W3490" i="11"/>
  <c r="W3491" i="11"/>
  <c r="W3492" i="11"/>
  <c r="W3493" i="11"/>
  <c r="W3494" i="11"/>
  <c r="W3495" i="11"/>
  <c r="W3496" i="11"/>
  <c r="W3497" i="11"/>
  <c r="W3498" i="11"/>
  <c r="W3499" i="11"/>
  <c r="W3500" i="11"/>
  <c r="W3501" i="11"/>
  <c r="W3502" i="11"/>
  <c r="W3503" i="11"/>
  <c r="W3504" i="11"/>
  <c r="W3505" i="11"/>
  <c r="W3506" i="11"/>
  <c r="W3507" i="11"/>
  <c r="W3508" i="11"/>
  <c r="W3509" i="11"/>
  <c r="W3510" i="11"/>
  <c r="W3511" i="11"/>
  <c r="W3512" i="11"/>
  <c r="W3513" i="11"/>
  <c r="W3514" i="11"/>
  <c r="W3515" i="11"/>
  <c r="W3516" i="11"/>
  <c r="W3517" i="11"/>
  <c r="W3518" i="11"/>
  <c r="W3519" i="11"/>
  <c r="W3520" i="11"/>
  <c r="W3521" i="11"/>
  <c r="W3522" i="11"/>
  <c r="W3523" i="11"/>
  <c r="W3524" i="11"/>
  <c r="W3525" i="11"/>
  <c r="W3526" i="11"/>
  <c r="W3527" i="11"/>
  <c r="W3528" i="11"/>
  <c r="W3529" i="11"/>
  <c r="W3530" i="11"/>
  <c r="W3531" i="11"/>
  <c r="W3532" i="11"/>
  <c r="W3533" i="11"/>
  <c r="W3534" i="11"/>
  <c r="W3535" i="11"/>
  <c r="W3536" i="11"/>
  <c r="W3537" i="11"/>
  <c r="W3538" i="11"/>
  <c r="W3539" i="11"/>
  <c r="W3540" i="11"/>
  <c r="W3541" i="11"/>
  <c r="W3542" i="11"/>
  <c r="W3543" i="11"/>
  <c r="W3544" i="11"/>
  <c r="W3545" i="11"/>
  <c r="W3546" i="11"/>
  <c r="W3547" i="11"/>
  <c r="W3548" i="11"/>
  <c r="W3549" i="11"/>
  <c r="W3550" i="11"/>
  <c r="W3551" i="11"/>
  <c r="W3552" i="11"/>
  <c r="W3553" i="11"/>
  <c r="W3554" i="11"/>
  <c r="W3555" i="11"/>
  <c r="W3556" i="11"/>
  <c r="W3557" i="11"/>
  <c r="W3558" i="11"/>
  <c r="W3559" i="11"/>
  <c r="W3560" i="11"/>
  <c r="W3561" i="11"/>
  <c r="W3562" i="11"/>
  <c r="W3563" i="11"/>
  <c r="W3564" i="11"/>
  <c r="W3565" i="11"/>
  <c r="W3566" i="11"/>
  <c r="W3567" i="11"/>
  <c r="W3568" i="11"/>
  <c r="W3569" i="11"/>
  <c r="W3570" i="11"/>
  <c r="W3571" i="11"/>
  <c r="W3572" i="11"/>
  <c r="W3573" i="11"/>
  <c r="W3574" i="11"/>
  <c r="W3575" i="11"/>
  <c r="W3576" i="11"/>
  <c r="W3577" i="11"/>
  <c r="W3578" i="11"/>
  <c r="W3579" i="11"/>
  <c r="W3580" i="11"/>
  <c r="W3581" i="11"/>
  <c r="W3582" i="11"/>
  <c r="W3583" i="11"/>
  <c r="W3584" i="11"/>
  <c r="W3585" i="11"/>
  <c r="W3586" i="11"/>
  <c r="W3587" i="11"/>
  <c r="W3588" i="11"/>
  <c r="W3589" i="11"/>
  <c r="W3590" i="11"/>
  <c r="W3591" i="11"/>
  <c r="W3592" i="11"/>
  <c r="W3593" i="11"/>
  <c r="W3594" i="11"/>
  <c r="W3595" i="11"/>
  <c r="W3596" i="11"/>
  <c r="W3597" i="11"/>
  <c r="W3598" i="11"/>
  <c r="W3599" i="11"/>
  <c r="W3600" i="11"/>
  <c r="W3601" i="11"/>
  <c r="W3602" i="11"/>
  <c r="W3603" i="11"/>
  <c r="W3604" i="11"/>
  <c r="W3605" i="11"/>
  <c r="W3606" i="11"/>
  <c r="W3607" i="11"/>
  <c r="W3608" i="11"/>
  <c r="W3609" i="11"/>
  <c r="W3610" i="11"/>
  <c r="W3611" i="11"/>
  <c r="W3612" i="11"/>
  <c r="W3613" i="11"/>
  <c r="W3614" i="11"/>
  <c r="W3615" i="11"/>
  <c r="W3616" i="11"/>
  <c r="W3617" i="11"/>
  <c r="W3618" i="11"/>
  <c r="W3619" i="11"/>
  <c r="W3620" i="11"/>
  <c r="W3621" i="11"/>
  <c r="W3622" i="11"/>
  <c r="W3623" i="11"/>
  <c r="W3624" i="11"/>
  <c r="W3625" i="11"/>
  <c r="W3626" i="11"/>
  <c r="W3627" i="11"/>
  <c r="W3628" i="11"/>
  <c r="W3629" i="11"/>
  <c r="W3630" i="11"/>
  <c r="W3631" i="11"/>
  <c r="W3632" i="11"/>
  <c r="W3633" i="11"/>
  <c r="W3634" i="11"/>
  <c r="W3635" i="11"/>
  <c r="W3636" i="11"/>
  <c r="W3637" i="11"/>
  <c r="W3638" i="11"/>
  <c r="W3639" i="11"/>
  <c r="W3640" i="11"/>
  <c r="W3641" i="11"/>
  <c r="W3642" i="11"/>
  <c r="W3643" i="11"/>
  <c r="W3644" i="11"/>
  <c r="W3645" i="11"/>
  <c r="W3646" i="11"/>
  <c r="W3647" i="11"/>
  <c r="W3648" i="11"/>
  <c r="W3649" i="11"/>
  <c r="W3650" i="11"/>
  <c r="W3651" i="11"/>
  <c r="W3652" i="11"/>
  <c r="W3653" i="11"/>
  <c r="W3654" i="11"/>
  <c r="W3655" i="11"/>
  <c r="W3656" i="11"/>
  <c r="W3657" i="11"/>
  <c r="W3658" i="11"/>
  <c r="W3659" i="11"/>
  <c r="W3660" i="11"/>
  <c r="W3661" i="11"/>
  <c r="W3662" i="11"/>
  <c r="W3663" i="11"/>
  <c r="W3664" i="11"/>
  <c r="W3665" i="11"/>
  <c r="W3666" i="11"/>
  <c r="W3667" i="11"/>
  <c r="W3668" i="11"/>
  <c r="W3669" i="11"/>
  <c r="W3670" i="11"/>
  <c r="W3671" i="11"/>
  <c r="W3672" i="11"/>
  <c r="W3673" i="11"/>
  <c r="W3674" i="11"/>
  <c r="W3675" i="11"/>
  <c r="W3676" i="11"/>
  <c r="W3677" i="11"/>
  <c r="W3678" i="11"/>
  <c r="W3679" i="11"/>
  <c r="W3680" i="11"/>
  <c r="W3681" i="11"/>
  <c r="W3682" i="11"/>
  <c r="W3683" i="11"/>
  <c r="W3684" i="11"/>
  <c r="W3685" i="11"/>
  <c r="W3686" i="11"/>
  <c r="W3687" i="11"/>
  <c r="W3688" i="11"/>
  <c r="W3689" i="11"/>
  <c r="W3690" i="11"/>
  <c r="W3691" i="11"/>
  <c r="W3692" i="11"/>
  <c r="W3693" i="11"/>
  <c r="W3694" i="11"/>
  <c r="W3695" i="11"/>
  <c r="W3696" i="11"/>
  <c r="W3697" i="11"/>
  <c r="W3698" i="11"/>
  <c r="W3699" i="11"/>
  <c r="W3700" i="11"/>
  <c r="W3701" i="11"/>
  <c r="W3702" i="11"/>
  <c r="W3703" i="11"/>
  <c r="W3704" i="11"/>
  <c r="W3705" i="11"/>
  <c r="W3706" i="11"/>
  <c r="W3707" i="11"/>
  <c r="W3708" i="11"/>
  <c r="W3709" i="11"/>
  <c r="W3710" i="11"/>
  <c r="W3711" i="11"/>
  <c r="W3712" i="11"/>
  <c r="W3713" i="11"/>
  <c r="W3714" i="11"/>
  <c r="W3715" i="11"/>
  <c r="W3716" i="11"/>
  <c r="W3717" i="11"/>
  <c r="W3718" i="11"/>
  <c r="W3719" i="11"/>
  <c r="W3720" i="11"/>
  <c r="W3721" i="11"/>
  <c r="W3722" i="11"/>
  <c r="W3723" i="11"/>
  <c r="W3724" i="11"/>
  <c r="W3725" i="11"/>
  <c r="W3726" i="11"/>
  <c r="W3727" i="11"/>
  <c r="W3728" i="11"/>
  <c r="W3729" i="11"/>
  <c r="W3730" i="11"/>
  <c r="W3731" i="11"/>
  <c r="W3732" i="11"/>
  <c r="W3733" i="11"/>
  <c r="W3734" i="11"/>
  <c r="W3735" i="11"/>
  <c r="W3736" i="11"/>
  <c r="W3737" i="11"/>
  <c r="W3738" i="11"/>
  <c r="W3739" i="11"/>
  <c r="W3740" i="11"/>
  <c r="W3741" i="11"/>
  <c r="W3742" i="11"/>
  <c r="W3743" i="11"/>
  <c r="W3744" i="11"/>
  <c r="W3745" i="11"/>
  <c r="W3746" i="11"/>
  <c r="W3747" i="11"/>
  <c r="W3748" i="11"/>
  <c r="W3749" i="11"/>
  <c r="W3750" i="11"/>
  <c r="W3751" i="11"/>
  <c r="W3752" i="11"/>
  <c r="W3753" i="11"/>
  <c r="W3754" i="11"/>
  <c r="W3755" i="11"/>
  <c r="W3756" i="11"/>
  <c r="W3757" i="11"/>
  <c r="W3758" i="11"/>
  <c r="W3759" i="11"/>
  <c r="W3760" i="11"/>
  <c r="W3761" i="11"/>
  <c r="W3762" i="11"/>
  <c r="W3763" i="11"/>
  <c r="W3764" i="11"/>
  <c r="W3765" i="11"/>
  <c r="W3766" i="11"/>
  <c r="W3767" i="11"/>
  <c r="W3768" i="11"/>
  <c r="W3769" i="11"/>
  <c r="W3770" i="11"/>
  <c r="W3771" i="11"/>
  <c r="W3772" i="11"/>
  <c r="W3773" i="11"/>
  <c r="W3774" i="11"/>
  <c r="W3775" i="11"/>
  <c r="W3776" i="11"/>
  <c r="W3777" i="11"/>
  <c r="W3778" i="11"/>
  <c r="W3779" i="11"/>
  <c r="W3780" i="11"/>
  <c r="W3781" i="11"/>
  <c r="W3782" i="11"/>
  <c r="W3783" i="11"/>
  <c r="W3784" i="11"/>
  <c r="W3785" i="11"/>
  <c r="W3786" i="11"/>
  <c r="W3787" i="11"/>
  <c r="W3788" i="11"/>
  <c r="W3789" i="11"/>
  <c r="W3790" i="11"/>
  <c r="W3791" i="11"/>
  <c r="W3792" i="11"/>
  <c r="W3793" i="11"/>
  <c r="W3794" i="11"/>
  <c r="W3795" i="11"/>
  <c r="W3796" i="11"/>
  <c r="W3797" i="11"/>
  <c r="W3798" i="11"/>
  <c r="W3799" i="11"/>
  <c r="W3800" i="11"/>
  <c r="W3801" i="11"/>
  <c r="W3802" i="11"/>
  <c r="W3803" i="11"/>
  <c r="W3804" i="11"/>
  <c r="W3805" i="11"/>
  <c r="W3806" i="11"/>
  <c r="W3807" i="11"/>
  <c r="W3808" i="11"/>
  <c r="W3809" i="11"/>
  <c r="W3810" i="11"/>
  <c r="W3811" i="11"/>
  <c r="W3812" i="11"/>
  <c r="W3813" i="11"/>
  <c r="W3814" i="11"/>
  <c r="W3815" i="11"/>
  <c r="W3816" i="11"/>
  <c r="W3817" i="11"/>
  <c r="W3818" i="11"/>
  <c r="W3819" i="11"/>
  <c r="W3820" i="11"/>
  <c r="W3821" i="11"/>
  <c r="W3822" i="11"/>
  <c r="W3823" i="11"/>
  <c r="W3824" i="11"/>
  <c r="W3825" i="11"/>
  <c r="W3826" i="11"/>
  <c r="W3827" i="11"/>
  <c r="W3828" i="11"/>
  <c r="W3829" i="11"/>
  <c r="W3830" i="11"/>
  <c r="W3831" i="11"/>
  <c r="W3832" i="11"/>
  <c r="W3833" i="11"/>
  <c r="W3834" i="11"/>
  <c r="W3835" i="11"/>
  <c r="W3836" i="11"/>
  <c r="W3837" i="11"/>
  <c r="W3838" i="11"/>
  <c r="W3839" i="11"/>
  <c r="W3840" i="11"/>
  <c r="W3841" i="11"/>
  <c r="W3842" i="11"/>
  <c r="W3843" i="11"/>
  <c r="W3844" i="11"/>
  <c r="W3845" i="11"/>
  <c r="W3846" i="11"/>
  <c r="W3847" i="11"/>
  <c r="W3848" i="11"/>
  <c r="W3849" i="11"/>
  <c r="W3850" i="11"/>
  <c r="W3851" i="11"/>
  <c r="W3852" i="11"/>
  <c r="W3853" i="11"/>
  <c r="W3854" i="11"/>
  <c r="W3855" i="11"/>
  <c r="W3856" i="11"/>
  <c r="W3857" i="11"/>
  <c r="W3858" i="11"/>
  <c r="W3859" i="11"/>
  <c r="W3860" i="11"/>
  <c r="W3861" i="11"/>
  <c r="W3862" i="11"/>
  <c r="W3863" i="11"/>
  <c r="W3864" i="11"/>
  <c r="W3865" i="11"/>
  <c r="W3866" i="11"/>
  <c r="W3867" i="11"/>
  <c r="W3868" i="11"/>
  <c r="W3869" i="11"/>
  <c r="W3870" i="11"/>
  <c r="W3871" i="11"/>
  <c r="W3872" i="11"/>
  <c r="W3873" i="11"/>
  <c r="W3874" i="11"/>
  <c r="W3875" i="11"/>
  <c r="W3876" i="11"/>
  <c r="W3877" i="11"/>
  <c r="W3878" i="11"/>
  <c r="W3879" i="11"/>
  <c r="W3880" i="11"/>
  <c r="W3881" i="11"/>
  <c r="W3882" i="11"/>
  <c r="W3883" i="11"/>
  <c r="W3884" i="11"/>
  <c r="W3885" i="11"/>
  <c r="W3886" i="11"/>
  <c r="W3887" i="11"/>
  <c r="W3888" i="11"/>
  <c r="W3889" i="11"/>
  <c r="W3890" i="11"/>
  <c r="W3891" i="11"/>
  <c r="W3892" i="11"/>
  <c r="W3893" i="11"/>
  <c r="W3894" i="11"/>
  <c r="W3895" i="11"/>
  <c r="W3896" i="11"/>
  <c r="W3897" i="11"/>
  <c r="W3898" i="11"/>
  <c r="W3899" i="11"/>
  <c r="W3900" i="11"/>
  <c r="W3901" i="11"/>
  <c r="W3902" i="11"/>
  <c r="W3903" i="11"/>
  <c r="W3904" i="11"/>
  <c r="W3905" i="11"/>
  <c r="W3906" i="11"/>
  <c r="W3907" i="11"/>
  <c r="W3908" i="11"/>
  <c r="W3909" i="11"/>
  <c r="W3910" i="11"/>
  <c r="W3911" i="11"/>
  <c r="W3912" i="11"/>
  <c r="W3913" i="11"/>
  <c r="W3914" i="11"/>
  <c r="W3915" i="11"/>
  <c r="W3916" i="11"/>
  <c r="W3917" i="11"/>
  <c r="W3918" i="11"/>
  <c r="W3919" i="11"/>
  <c r="W3920" i="11"/>
  <c r="W3921" i="11"/>
  <c r="W3922" i="11"/>
  <c r="W3923" i="11"/>
  <c r="W3924" i="11"/>
  <c r="W3925" i="11"/>
  <c r="W3926" i="11"/>
  <c r="W3927" i="11"/>
  <c r="W3928" i="11"/>
  <c r="W3929" i="11"/>
  <c r="W3930" i="11"/>
  <c r="W3931" i="11"/>
  <c r="W3932" i="11"/>
  <c r="W3933" i="11"/>
  <c r="W3934" i="11"/>
  <c r="W3935" i="11"/>
  <c r="W3936" i="11"/>
  <c r="W3937" i="11"/>
  <c r="W3938" i="11"/>
  <c r="W3939" i="11"/>
  <c r="W3940" i="11"/>
  <c r="W3941" i="11"/>
  <c r="W3942" i="11"/>
  <c r="W3943" i="11"/>
  <c r="W3944" i="11"/>
  <c r="W3945" i="11"/>
  <c r="W3946" i="11"/>
  <c r="W3947" i="11"/>
  <c r="W3948" i="11"/>
  <c r="W3949" i="11"/>
  <c r="W3950" i="11"/>
  <c r="W3951" i="11"/>
  <c r="W3952" i="11"/>
  <c r="W3953" i="11"/>
  <c r="W3954" i="11"/>
  <c r="W3955" i="11"/>
  <c r="W3956" i="11"/>
  <c r="W3957" i="11"/>
  <c r="W3958" i="11"/>
  <c r="W3959" i="11"/>
  <c r="W3960" i="11"/>
  <c r="W3961" i="11"/>
  <c r="W3962" i="11"/>
  <c r="W3963" i="11"/>
  <c r="W3964" i="11"/>
  <c r="W3965" i="11"/>
  <c r="W3966" i="11"/>
  <c r="W3967" i="11"/>
  <c r="W3968" i="11"/>
  <c r="W3969" i="11"/>
  <c r="W3970" i="11"/>
  <c r="W3971" i="11"/>
  <c r="W3972" i="11"/>
  <c r="W3973" i="11"/>
  <c r="W3974" i="11"/>
  <c r="W3975" i="11"/>
  <c r="W3976" i="11"/>
  <c r="W3977" i="11"/>
  <c r="W3978" i="11"/>
  <c r="W3979" i="11"/>
  <c r="W3980" i="11"/>
  <c r="W3981" i="11"/>
  <c r="W3982" i="11"/>
  <c r="W3983" i="11"/>
  <c r="W3984" i="11"/>
  <c r="W3985" i="11"/>
  <c r="W3986" i="11"/>
  <c r="W3987" i="11"/>
  <c r="W3988" i="11"/>
  <c r="W3989" i="11"/>
  <c r="W3990" i="11"/>
  <c r="W3991" i="11"/>
  <c r="W3992" i="11"/>
  <c r="W3993" i="11"/>
  <c r="W3994" i="11"/>
  <c r="W3995" i="11"/>
  <c r="W3996" i="11"/>
  <c r="W3997" i="11"/>
  <c r="W3998" i="11"/>
  <c r="W3999" i="11"/>
  <c r="W4000" i="11"/>
  <c r="W4001" i="11"/>
  <c r="W4002" i="11"/>
  <c r="W4003" i="11"/>
  <c r="W4004" i="11"/>
  <c r="W4005" i="11"/>
  <c r="W4006" i="11"/>
  <c r="W4007" i="11"/>
  <c r="W4008" i="11"/>
  <c r="W4009" i="11"/>
  <c r="W4010" i="11"/>
  <c r="W4011" i="11"/>
  <c r="W4012" i="11"/>
  <c r="W4013" i="11"/>
  <c r="W4014" i="11"/>
  <c r="W4015" i="11"/>
  <c r="W4016" i="11"/>
  <c r="W4017" i="11"/>
  <c r="W4018" i="11"/>
  <c r="W4019" i="11"/>
  <c r="W4020" i="11"/>
  <c r="W4021" i="11"/>
  <c r="W4022" i="11"/>
  <c r="W4023" i="11"/>
  <c r="W4024" i="11"/>
  <c r="W4025" i="11"/>
  <c r="W4026" i="11"/>
  <c r="W4027" i="11"/>
  <c r="W4028" i="11"/>
  <c r="W4029" i="11"/>
  <c r="W4030" i="11"/>
  <c r="W4031" i="11"/>
  <c r="W4032" i="11"/>
  <c r="W4033" i="11"/>
  <c r="W4034" i="11"/>
  <c r="W4035" i="11"/>
  <c r="W4036" i="11"/>
  <c r="W4037" i="11"/>
  <c r="W4038" i="11"/>
  <c r="W4039" i="11"/>
  <c r="W4040" i="11"/>
  <c r="W4041" i="11"/>
  <c r="W4042" i="11"/>
  <c r="W4043" i="11"/>
  <c r="W4044" i="11"/>
  <c r="W4045" i="11"/>
  <c r="W4046" i="11"/>
  <c r="W4047" i="11"/>
  <c r="W4048" i="11"/>
  <c r="W4049" i="11"/>
  <c r="W4050" i="11"/>
  <c r="W4051" i="11"/>
  <c r="W4052" i="11"/>
  <c r="W4053" i="11"/>
  <c r="W4054" i="11"/>
  <c r="W4055" i="11"/>
  <c r="W4056" i="11"/>
  <c r="W4057" i="11"/>
  <c r="W4058" i="11"/>
  <c r="W4059" i="11"/>
  <c r="W4060" i="11"/>
  <c r="W4061" i="11"/>
  <c r="W4062" i="11"/>
  <c r="W4063" i="11"/>
  <c r="W4064" i="11"/>
  <c r="W4065" i="11"/>
  <c r="W4066" i="11"/>
  <c r="W4067" i="11"/>
  <c r="W4068" i="11"/>
  <c r="W4069" i="11"/>
  <c r="W4070" i="11"/>
  <c r="W4071" i="11"/>
  <c r="W4072" i="11"/>
  <c r="W4073" i="11"/>
  <c r="W4074" i="11"/>
  <c r="W4075" i="11"/>
  <c r="W4076" i="11"/>
  <c r="W4077" i="11"/>
  <c r="W4078" i="11"/>
  <c r="W4079" i="11"/>
  <c r="W4080" i="11"/>
  <c r="W4081" i="11"/>
  <c r="W4082" i="11"/>
  <c r="W4083" i="11"/>
  <c r="W4084" i="11"/>
  <c r="W4085" i="11"/>
  <c r="W4086" i="11"/>
  <c r="W4087" i="11"/>
  <c r="W4088" i="11"/>
  <c r="W4089" i="11"/>
  <c r="W4090" i="11"/>
  <c r="W4091" i="11"/>
  <c r="W4092" i="11"/>
  <c r="W4093" i="11"/>
  <c r="W4094" i="11"/>
  <c r="W4095" i="11"/>
  <c r="W4096" i="11"/>
  <c r="W4097" i="11"/>
  <c r="W4098" i="11"/>
  <c r="W4099" i="11"/>
  <c r="W4100" i="11"/>
  <c r="W4101" i="11"/>
  <c r="W4102" i="11"/>
  <c r="W4103" i="11"/>
  <c r="W4104" i="11"/>
  <c r="W4105" i="11"/>
  <c r="W4106" i="11"/>
  <c r="W4107" i="11"/>
  <c r="W4108" i="11"/>
  <c r="W4109" i="11"/>
  <c r="W4110" i="11"/>
  <c r="W4111" i="11"/>
  <c r="W4112" i="11"/>
  <c r="W4113" i="11"/>
  <c r="W4114" i="11"/>
  <c r="W4115" i="11"/>
  <c r="W4116" i="11"/>
  <c r="W4117" i="11"/>
  <c r="W4118" i="11"/>
  <c r="W4119" i="11"/>
  <c r="W4120" i="11"/>
  <c r="W4121" i="11"/>
  <c r="W4122" i="11"/>
  <c r="W4123" i="11"/>
  <c r="W4124" i="11"/>
  <c r="W4125" i="11"/>
  <c r="W4126" i="11"/>
  <c r="W4127" i="11"/>
  <c r="W4128" i="11"/>
  <c r="W4129" i="11"/>
  <c r="W4130" i="11"/>
  <c r="W4131" i="11"/>
  <c r="W4132" i="11"/>
  <c r="W4133" i="11"/>
  <c r="W4134" i="11"/>
  <c r="W4135" i="11"/>
  <c r="W4136" i="11"/>
  <c r="W4137" i="11"/>
  <c r="W4138" i="11"/>
  <c r="W4139" i="11"/>
  <c r="W4140" i="11"/>
  <c r="W4141" i="11"/>
  <c r="W4142" i="11"/>
  <c r="W4143" i="11"/>
  <c r="W4144" i="11"/>
  <c r="W4145" i="11"/>
  <c r="W4146" i="11"/>
  <c r="W4147" i="11"/>
  <c r="W4148" i="11"/>
  <c r="W4149" i="11"/>
  <c r="W4150" i="11"/>
  <c r="W4151" i="11"/>
  <c r="W4152" i="11"/>
  <c r="W4153" i="11"/>
  <c r="W4154" i="11"/>
  <c r="W4155" i="11"/>
  <c r="W4156" i="11"/>
  <c r="W4157" i="11"/>
  <c r="W4158" i="11"/>
  <c r="W4159" i="11"/>
  <c r="W4160" i="11"/>
  <c r="W4161" i="11"/>
  <c r="W4162" i="11"/>
  <c r="W4163" i="11"/>
  <c r="W4164" i="11"/>
  <c r="W4165" i="11"/>
  <c r="W4166" i="11"/>
  <c r="W4167" i="11"/>
  <c r="W4168" i="11"/>
  <c r="W4169" i="11"/>
  <c r="W4170" i="11"/>
  <c r="W4171" i="11"/>
  <c r="W4172" i="11"/>
  <c r="W4173" i="11"/>
  <c r="W4174" i="11"/>
  <c r="W4175" i="11"/>
  <c r="W4176" i="11"/>
  <c r="W4177" i="11"/>
  <c r="W4178" i="11"/>
  <c r="W4179" i="11"/>
  <c r="W4180" i="11"/>
  <c r="W4181" i="11"/>
  <c r="W4182" i="11"/>
  <c r="W4183" i="11"/>
  <c r="W4184" i="11"/>
  <c r="W4185" i="11"/>
  <c r="W4186" i="11"/>
  <c r="W4187" i="11"/>
  <c r="W4188" i="11"/>
  <c r="W4189" i="11"/>
  <c r="W4190" i="11"/>
  <c r="W4191" i="11"/>
  <c r="W4192" i="11"/>
  <c r="W4193" i="11"/>
  <c r="W4194" i="11"/>
  <c r="W4195" i="11"/>
  <c r="W4196" i="11"/>
  <c r="W4197" i="11"/>
  <c r="W4198" i="11"/>
  <c r="W4199" i="11"/>
  <c r="W4200" i="11"/>
  <c r="W4201" i="11"/>
  <c r="W4202" i="11"/>
  <c r="W4203" i="11"/>
  <c r="W4204" i="11"/>
  <c r="W4205" i="11"/>
  <c r="W4206" i="11"/>
  <c r="W4207" i="11"/>
  <c r="W4208" i="11"/>
  <c r="W4209" i="11"/>
  <c r="W4210" i="11"/>
  <c r="W4211" i="11"/>
  <c r="W4212" i="11"/>
  <c r="W4213" i="11"/>
  <c r="W4214" i="11"/>
  <c r="W4215" i="11"/>
  <c r="W4216" i="11"/>
  <c r="W4217" i="11"/>
  <c r="W4218" i="11"/>
  <c r="W4219" i="11"/>
  <c r="W4220" i="11"/>
  <c r="W4221" i="11"/>
  <c r="W4222" i="11"/>
  <c r="W4223" i="11"/>
  <c r="W4224" i="11"/>
  <c r="W4225" i="11"/>
  <c r="W4226" i="11"/>
  <c r="W4227" i="11"/>
  <c r="W4228" i="11"/>
  <c r="W4229" i="11"/>
  <c r="W4230" i="11"/>
  <c r="W4231" i="11"/>
  <c r="W4232" i="11"/>
  <c r="W4233" i="11"/>
  <c r="W4234" i="11"/>
  <c r="W4235" i="11"/>
  <c r="W4236" i="11"/>
  <c r="W4237" i="11"/>
  <c r="W4238" i="11"/>
  <c r="W4239" i="11"/>
  <c r="W4240" i="11"/>
  <c r="W4241" i="11"/>
  <c r="W4242" i="11"/>
  <c r="W4243" i="11"/>
  <c r="W4244" i="11"/>
  <c r="W4245" i="11"/>
  <c r="W4246" i="11"/>
  <c r="W4247" i="11"/>
  <c r="W4248" i="11"/>
  <c r="W4249" i="11"/>
  <c r="W4250" i="11"/>
  <c r="W4251" i="11"/>
  <c r="W4252" i="11"/>
  <c r="W4253" i="11"/>
  <c r="W4254" i="11"/>
  <c r="W4255" i="11"/>
  <c r="W4256" i="11"/>
  <c r="W4257" i="11"/>
  <c r="W4258" i="11"/>
  <c r="W4259" i="11"/>
  <c r="W4260" i="11"/>
  <c r="W4261" i="11"/>
  <c r="W4262" i="11"/>
  <c r="W4263" i="11"/>
  <c r="W4264" i="11"/>
  <c r="W4265" i="11"/>
  <c r="W4266" i="11"/>
  <c r="W4267" i="11"/>
  <c r="W4268" i="11"/>
  <c r="W4269" i="11"/>
  <c r="W4270" i="11"/>
  <c r="W4271" i="11"/>
  <c r="W4272" i="11"/>
  <c r="W4273" i="11"/>
  <c r="W4274" i="11"/>
  <c r="W4275" i="11"/>
  <c r="W4276" i="11"/>
  <c r="W4277" i="11"/>
  <c r="W4278" i="11"/>
  <c r="W4279" i="11"/>
  <c r="W4280" i="11"/>
  <c r="W4281" i="11"/>
  <c r="W4282" i="11"/>
  <c r="W4283" i="11"/>
  <c r="W4284" i="11"/>
  <c r="W4285" i="11"/>
  <c r="W4286" i="11"/>
  <c r="W4287" i="11"/>
  <c r="W4288" i="11"/>
  <c r="W4289" i="11"/>
  <c r="W4290" i="11"/>
  <c r="W4291" i="11"/>
  <c r="W4292" i="11"/>
  <c r="W4293" i="11"/>
  <c r="W4294" i="11"/>
  <c r="W4295" i="11"/>
  <c r="W4296" i="11"/>
  <c r="W4297" i="11"/>
  <c r="W4298" i="11"/>
  <c r="W4299" i="11"/>
  <c r="W4300" i="11"/>
  <c r="W4301" i="11"/>
  <c r="W4302" i="11"/>
  <c r="W4303" i="11"/>
  <c r="W4304" i="11"/>
  <c r="W4305" i="11"/>
  <c r="W4306" i="11"/>
  <c r="W4307" i="11"/>
  <c r="W4308" i="11"/>
  <c r="W4309" i="11"/>
  <c r="W4310" i="11"/>
  <c r="W4311" i="11"/>
  <c r="W4312" i="11"/>
  <c r="W4313" i="11"/>
  <c r="W4314" i="11"/>
  <c r="W4315" i="11"/>
  <c r="W4316" i="11"/>
  <c r="W4317" i="11"/>
  <c r="W4318" i="11"/>
  <c r="W4319" i="11"/>
  <c r="W4320" i="11"/>
  <c r="W4321" i="11"/>
  <c r="W4322" i="11"/>
  <c r="W4323" i="11"/>
  <c r="W4324" i="11"/>
  <c r="W4325" i="11"/>
  <c r="W4326" i="11"/>
  <c r="W4327" i="11"/>
  <c r="W4328" i="11"/>
  <c r="W4329" i="11"/>
  <c r="W4330" i="11"/>
  <c r="W4331" i="11"/>
  <c r="W4332" i="11"/>
  <c r="W4333" i="11"/>
  <c r="W4334" i="11"/>
  <c r="W4335" i="11"/>
  <c r="W4336" i="11"/>
  <c r="W4337" i="11"/>
  <c r="W4338" i="11"/>
  <c r="W4339" i="11"/>
  <c r="W4340" i="11"/>
  <c r="W4341" i="11"/>
  <c r="W4342" i="11"/>
  <c r="W4343" i="11"/>
  <c r="W4344" i="11"/>
  <c r="W4345" i="11"/>
  <c r="W4346" i="11"/>
  <c r="W4347" i="11"/>
  <c r="W4348" i="11"/>
  <c r="W4349" i="11"/>
  <c r="W4350" i="11"/>
  <c r="W4351" i="11"/>
  <c r="W4352" i="11"/>
  <c r="W4353" i="11"/>
  <c r="W4354" i="11"/>
  <c r="W4355" i="11"/>
  <c r="W4356" i="11"/>
  <c r="W4357" i="11"/>
  <c r="W4358" i="11"/>
  <c r="W4359" i="11"/>
  <c r="W4360" i="11"/>
  <c r="W4361" i="11"/>
  <c r="W4362" i="11"/>
  <c r="W4363" i="11"/>
  <c r="W4364" i="11"/>
  <c r="W4365" i="11"/>
  <c r="W4366" i="11"/>
  <c r="W4367" i="11"/>
  <c r="W4368" i="11"/>
  <c r="W4369" i="11"/>
  <c r="W4370" i="11"/>
  <c r="W4371" i="11"/>
  <c r="W4372" i="11"/>
  <c r="W4373" i="11"/>
  <c r="W4374" i="11"/>
  <c r="W4375" i="11"/>
  <c r="W4376" i="11"/>
  <c r="W4377" i="11"/>
  <c r="W4378" i="11"/>
  <c r="W4379" i="11"/>
  <c r="W4380" i="11"/>
  <c r="W4381" i="11"/>
  <c r="W4382" i="11"/>
  <c r="W4383" i="11"/>
  <c r="W4384" i="11"/>
  <c r="W4385" i="11"/>
  <c r="W4386" i="11"/>
  <c r="W4387" i="11"/>
  <c r="W4388" i="11"/>
  <c r="W4389" i="11"/>
  <c r="W4390" i="11"/>
  <c r="W4391" i="11"/>
  <c r="W4392" i="11"/>
  <c r="W4393" i="11"/>
  <c r="W4394" i="11"/>
  <c r="W4395" i="11"/>
  <c r="W4396" i="11"/>
  <c r="W4397" i="11"/>
  <c r="W4398" i="11"/>
  <c r="W4399" i="11"/>
  <c r="W4400" i="11"/>
  <c r="W4401" i="11"/>
  <c r="W4402" i="11"/>
  <c r="W4403" i="11"/>
  <c r="W4404" i="11"/>
  <c r="W4405" i="11"/>
  <c r="W4406" i="11"/>
  <c r="W4407" i="11"/>
  <c r="W4408" i="11"/>
  <c r="W4409" i="11"/>
  <c r="W4410" i="11"/>
  <c r="W4411" i="11"/>
  <c r="W4412" i="11"/>
  <c r="W4413" i="11"/>
  <c r="W4414" i="11"/>
  <c r="W4415" i="11"/>
  <c r="W4416" i="11"/>
  <c r="W4417" i="11"/>
  <c r="W4418" i="11"/>
  <c r="W4419" i="11"/>
  <c r="W4420" i="11"/>
  <c r="W4421" i="11"/>
  <c r="W4422" i="11"/>
  <c r="W4423" i="11"/>
  <c r="W4424" i="11"/>
  <c r="W4425" i="11"/>
  <c r="W4426" i="11"/>
  <c r="W4427" i="11"/>
  <c r="W4428" i="11"/>
  <c r="W4429" i="11"/>
  <c r="W4430" i="11"/>
  <c r="W4431" i="11"/>
  <c r="W4432" i="11"/>
  <c r="W4433" i="11"/>
  <c r="W4434" i="11"/>
  <c r="W4435" i="11"/>
  <c r="W4436" i="11"/>
  <c r="W4437" i="11"/>
  <c r="W4438" i="11"/>
  <c r="W4439" i="11"/>
  <c r="W4440" i="11"/>
  <c r="W4441" i="11"/>
  <c r="W4442" i="11"/>
  <c r="W4443" i="11"/>
  <c r="W4444" i="11"/>
  <c r="W4445" i="11"/>
  <c r="W4446" i="11"/>
  <c r="W4447" i="11"/>
  <c r="W4448" i="11"/>
  <c r="W4449" i="11"/>
  <c r="W4450" i="11"/>
  <c r="W4451" i="11"/>
  <c r="W4452" i="11"/>
  <c r="W4453" i="11"/>
  <c r="W4454" i="11"/>
  <c r="W4455" i="11"/>
  <c r="W4456" i="11"/>
  <c r="W4457" i="11"/>
  <c r="W4458" i="11"/>
  <c r="W4459" i="11"/>
  <c r="W4460" i="11"/>
  <c r="W4461" i="11"/>
  <c r="W4462" i="11"/>
  <c r="W4463" i="11"/>
  <c r="W4464" i="11"/>
  <c r="W4465" i="11"/>
  <c r="W4466" i="11"/>
  <c r="W4467" i="11"/>
  <c r="W4468" i="11"/>
  <c r="W4469" i="11"/>
  <c r="W4470" i="11"/>
  <c r="W4471" i="11"/>
  <c r="W4472" i="11"/>
  <c r="W4473" i="11"/>
  <c r="W4474" i="11"/>
  <c r="W4475" i="11"/>
  <c r="W4476" i="11"/>
  <c r="W4477" i="11"/>
  <c r="W4478" i="11"/>
  <c r="W4479" i="11"/>
  <c r="W4480" i="11"/>
  <c r="W4481" i="11"/>
  <c r="W4482" i="11"/>
  <c r="W4483" i="11"/>
  <c r="W4484" i="11"/>
  <c r="W4485" i="11"/>
  <c r="W4486" i="11"/>
  <c r="W4487" i="11"/>
  <c r="W4488" i="11"/>
  <c r="W4489" i="11"/>
  <c r="W4490" i="11"/>
  <c r="W4491" i="11"/>
  <c r="W4492" i="11"/>
  <c r="W4493" i="11"/>
  <c r="W4494" i="11"/>
  <c r="W4495" i="11"/>
  <c r="W4496" i="11"/>
  <c r="W4497" i="11"/>
  <c r="W4498" i="11"/>
  <c r="W4499" i="11"/>
  <c r="W4500" i="11"/>
  <c r="W4501" i="11"/>
  <c r="W4502" i="11"/>
  <c r="W4503" i="11"/>
  <c r="W4504" i="11"/>
  <c r="W4505" i="11"/>
  <c r="W4506" i="11"/>
  <c r="W4507" i="11"/>
  <c r="W4508" i="11"/>
  <c r="W4509" i="11"/>
  <c r="W4510" i="11"/>
  <c r="W4511" i="11"/>
  <c r="W4512" i="11"/>
  <c r="W4513" i="11"/>
  <c r="W4514" i="11"/>
  <c r="W4515" i="11"/>
  <c r="W4516" i="11"/>
  <c r="W4517" i="11"/>
  <c r="W4518" i="11"/>
  <c r="W4519" i="11"/>
  <c r="W4520" i="11"/>
  <c r="W4521" i="11"/>
  <c r="W4522" i="11"/>
  <c r="W4523" i="11"/>
  <c r="W4524" i="11"/>
  <c r="W4525" i="11"/>
  <c r="W4526" i="11"/>
  <c r="W4527" i="11"/>
  <c r="W4528" i="11"/>
  <c r="W4529" i="11"/>
  <c r="W4530" i="11"/>
  <c r="W4531" i="11"/>
  <c r="W4532" i="11"/>
  <c r="W4533" i="11"/>
  <c r="W4534" i="11"/>
  <c r="W4535" i="11"/>
  <c r="W4536" i="11"/>
  <c r="W4537" i="11"/>
  <c r="W4538" i="11"/>
  <c r="W4539" i="11"/>
  <c r="W4540" i="11"/>
  <c r="W4541" i="11"/>
  <c r="W4542" i="11"/>
  <c r="W4543" i="11"/>
  <c r="W4544" i="11"/>
  <c r="W4545" i="11"/>
  <c r="W4546" i="11"/>
  <c r="W4547" i="11"/>
  <c r="W4548" i="11"/>
  <c r="W4549" i="11"/>
  <c r="W4550" i="11"/>
  <c r="W4551" i="11"/>
  <c r="W4552" i="11"/>
  <c r="W4553" i="11"/>
  <c r="W4554" i="11"/>
  <c r="W4555" i="11"/>
  <c r="W4556" i="11"/>
  <c r="W4557" i="11"/>
  <c r="W4558" i="11"/>
  <c r="W4559" i="11"/>
  <c r="W4560" i="11"/>
  <c r="W4561" i="11"/>
  <c r="W4562" i="11"/>
  <c r="W4563" i="11"/>
  <c r="W4564" i="11"/>
  <c r="W4565" i="11"/>
  <c r="W4566" i="11"/>
  <c r="W4567" i="11"/>
  <c r="W4568" i="11"/>
  <c r="W4569" i="11"/>
  <c r="W4570" i="11"/>
  <c r="W4571" i="11"/>
  <c r="W4572" i="11"/>
  <c r="W4573" i="11"/>
  <c r="W4574" i="11"/>
  <c r="W4575" i="11"/>
  <c r="W4576" i="11"/>
  <c r="W4577" i="11"/>
  <c r="W4578" i="11"/>
  <c r="W4579" i="11"/>
  <c r="W4580" i="11"/>
  <c r="W4581" i="11"/>
  <c r="W4582" i="11"/>
  <c r="W4583" i="11"/>
  <c r="W4584" i="11"/>
  <c r="W4585" i="11"/>
  <c r="W4586" i="11"/>
  <c r="W4587" i="11"/>
  <c r="W4588" i="11"/>
  <c r="W4589" i="11"/>
  <c r="W4590" i="11"/>
  <c r="W4591" i="11"/>
  <c r="W4592" i="11"/>
  <c r="W4593" i="11"/>
  <c r="W4594" i="11"/>
  <c r="W4595" i="11"/>
  <c r="W4596" i="11"/>
  <c r="W4597" i="11"/>
  <c r="W4598" i="11"/>
  <c r="W4599" i="11"/>
  <c r="W4600" i="11"/>
  <c r="W4601" i="11"/>
  <c r="W4602" i="11"/>
  <c r="W4603" i="11"/>
  <c r="W4604" i="11"/>
  <c r="W4605" i="11"/>
  <c r="W4606" i="11"/>
  <c r="W4607" i="11"/>
  <c r="W4608" i="11"/>
  <c r="W4609" i="11"/>
  <c r="W4610" i="11"/>
  <c r="W4611" i="11"/>
  <c r="W4612" i="11"/>
  <c r="W4613" i="11"/>
  <c r="W4614" i="11"/>
  <c r="W4615" i="11"/>
  <c r="W4616" i="11"/>
  <c r="W4617" i="11"/>
  <c r="W4618" i="11"/>
  <c r="W4619" i="11"/>
  <c r="W4620" i="11"/>
  <c r="W4621" i="11"/>
  <c r="W4622" i="11"/>
  <c r="W4623" i="11"/>
  <c r="W4624" i="11"/>
  <c r="W4625" i="11"/>
  <c r="W4626" i="11"/>
  <c r="W4627" i="11"/>
  <c r="W4628" i="11"/>
  <c r="W4629" i="11"/>
  <c r="W4630" i="11"/>
  <c r="W4631" i="11"/>
  <c r="W4632" i="11"/>
  <c r="W4633" i="11"/>
  <c r="W4634" i="11"/>
  <c r="W4635" i="11"/>
  <c r="W4636" i="11"/>
  <c r="W4637" i="11"/>
  <c r="W4638" i="11"/>
  <c r="W4639" i="11"/>
  <c r="W4640" i="11"/>
  <c r="W4641" i="11"/>
  <c r="W4642" i="11"/>
  <c r="W4643" i="11"/>
  <c r="W4644" i="11"/>
  <c r="W4645" i="11"/>
  <c r="W4646" i="11"/>
  <c r="W4647" i="11"/>
  <c r="W4648" i="11"/>
  <c r="W4649" i="11"/>
  <c r="W4650" i="11"/>
  <c r="W4651" i="11"/>
  <c r="W4652" i="11"/>
  <c r="W4653" i="11"/>
  <c r="W4654" i="11"/>
  <c r="W4655" i="11"/>
  <c r="W4656" i="11"/>
  <c r="W4657" i="11"/>
  <c r="W4658" i="11"/>
  <c r="W4659" i="11"/>
  <c r="W4660" i="11"/>
  <c r="W4661" i="11"/>
  <c r="W4662" i="11"/>
  <c r="W4663" i="11"/>
  <c r="W4664" i="11"/>
  <c r="W4665" i="11"/>
  <c r="W4666" i="11"/>
  <c r="W4667" i="11"/>
  <c r="W4668" i="11"/>
  <c r="W4669" i="11"/>
  <c r="W4670" i="11"/>
  <c r="W4671" i="11"/>
  <c r="W4672" i="11"/>
  <c r="W4673" i="11"/>
  <c r="W4674" i="11"/>
  <c r="W4675" i="11"/>
  <c r="W4676" i="11"/>
  <c r="W4677" i="11"/>
  <c r="W4678" i="11"/>
  <c r="W4679" i="11"/>
  <c r="W4680" i="11"/>
  <c r="W4681" i="11"/>
  <c r="W4682" i="11"/>
  <c r="W4683" i="11"/>
  <c r="W4684" i="11"/>
  <c r="W4685" i="11"/>
  <c r="W4686" i="11"/>
  <c r="W4687" i="11"/>
  <c r="W4688" i="11"/>
  <c r="W4689" i="11"/>
  <c r="W4690" i="11"/>
  <c r="W4691" i="11"/>
  <c r="W4692" i="11"/>
  <c r="W4693" i="11"/>
  <c r="W4694" i="11"/>
  <c r="W4695" i="11"/>
  <c r="W4696" i="11"/>
  <c r="W4697" i="11"/>
  <c r="W4698" i="11"/>
  <c r="W4699" i="11"/>
  <c r="W4700" i="11"/>
  <c r="W4701" i="11"/>
  <c r="W4702" i="11"/>
  <c r="W4703" i="11"/>
  <c r="W4704" i="11"/>
  <c r="W4705" i="11"/>
  <c r="W4706" i="11"/>
  <c r="W4707" i="11"/>
  <c r="W4708" i="11"/>
  <c r="W4709" i="11"/>
  <c r="W4710" i="11"/>
  <c r="W4711" i="11"/>
  <c r="W4712" i="11"/>
  <c r="W4713" i="11"/>
  <c r="W4714" i="11"/>
  <c r="W4715" i="11"/>
  <c r="W4716" i="11"/>
  <c r="W4717" i="11"/>
  <c r="W4718" i="11"/>
  <c r="W4719" i="11"/>
  <c r="W4720" i="11"/>
  <c r="W4721" i="11"/>
  <c r="W4722" i="11"/>
  <c r="W4723" i="11"/>
  <c r="W4724" i="11"/>
  <c r="W4725" i="11"/>
  <c r="W4726" i="11"/>
  <c r="W4727" i="11"/>
  <c r="W4728" i="11"/>
  <c r="W4729" i="11"/>
  <c r="W4730" i="11"/>
  <c r="W4731" i="11"/>
  <c r="W4732" i="11"/>
  <c r="W4733" i="11"/>
  <c r="W4734" i="11"/>
  <c r="W4735" i="11"/>
  <c r="W4736" i="11"/>
  <c r="W4737" i="11"/>
  <c r="W4738" i="11"/>
  <c r="W4739" i="11"/>
  <c r="W4740" i="11"/>
  <c r="W4741" i="11"/>
  <c r="W4742" i="11"/>
  <c r="W4743" i="11"/>
  <c r="W4744" i="11"/>
  <c r="W4745" i="11"/>
  <c r="W4746" i="11"/>
  <c r="W4747" i="11"/>
  <c r="W4748" i="11"/>
  <c r="W4749" i="11"/>
  <c r="W4750" i="11"/>
  <c r="W4751" i="11"/>
  <c r="W4752" i="11"/>
  <c r="W4753" i="11"/>
  <c r="W4754" i="11"/>
  <c r="W4755" i="11"/>
  <c r="W4756" i="11"/>
  <c r="W4757" i="11"/>
  <c r="W4758" i="11"/>
  <c r="W4759" i="11"/>
  <c r="W4760" i="11"/>
  <c r="W4761" i="11"/>
  <c r="W4762" i="11"/>
  <c r="W4763" i="11"/>
  <c r="W4764" i="11"/>
  <c r="W4765" i="11"/>
  <c r="W4766" i="11"/>
  <c r="W4767" i="11"/>
  <c r="W4768" i="11"/>
  <c r="W4769" i="11"/>
  <c r="W4770" i="11"/>
  <c r="W4771" i="11"/>
  <c r="W4772" i="11"/>
  <c r="W4773" i="11"/>
  <c r="W4774" i="11"/>
  <c r="W4775" i="11"/>
  <c r="W4776" i="11"/>
  <c r="W4777" i="11"/>
  <c r="W4778" i="11"/>
  <c r="W4779" i="11"/>
  <c r="W4780" i="11"/>
  <c r="W4781" i="11"/>
  <c r="W4782" i="11"/>
  <c r="W4783" i="11"/>
  <c r="W4784" i="11"/>
  <c r="W4785" i="11"/>
  <c r="W4786" i="11"/>
  <c r="W4787" i="11"/>
  <c r="W4788" i="11"/>
  <c r="W4789" i="11"/>
  <c r="W4790" i="11"/>
  <c r="W4791" i="11"/>
  <c r="W4792" i="11"/>
  <c r="W4793" i="11"/>
  <c r="W4794" i="11"/>
  <c r="W4795" i="11"/>
  <c r="W4796" i="11"/>
  <c r="W4797" i="11"/>
  <c r="W4798" i="11"/>
  <c r="W4799" i="11"/>
  <c r="W4800" i="11"/>
  <c r="W4801" i="11"/>
  <c r="W4802" i="11"/>
  <c r="W4803" i="11"/>
  <c r="W4804" i="11"/>
  <c r="W4805" i="11"/>
  <c r="W4806" i="11"/>
  <c r="W4807" i="11"/>
  <c r="W4808" i="11"/>
  <c r="W4809" i="11"/>
  <c r="W4810" i="11"/>
  <c r="W4811" i="11"/>
  <c r="W4812" i="11"/>
  <c r="W4813" i="11"/>
  <c r="W4814" i="11"/>
  <c r="W4815" i="11"/>
  <c r="W4816" i="11"/>
  <c r="W4817" i="11"/>
  <c r="W4818" i="11"/>
  <c r="W4819" i="11"/>
  <c r="W4820" i="11"/>
  <c r="W4821" i="11"/>
  <c r="W4822" i="11"/>
  <c r="W4823" i="11"/>
  <c r="W4824" i="11"/>
  <c r="W4825" i="11"/>
  <c r="W4826" i="11"/>
  <c r="W4827" i="11"/>
  <c r="W4828" i="11"/>
  <c r="W4829" i="11"/>
  <c r="W4830" i="11"/>
  <c r="W4831" i="11"/>
  <c r="W4832" i="11"/>
  <c r="W4833" i="11"/>
  <c r="W4834" i="11"/>
  <c r="W4835" i="11"/>
  <c r="W4836" i="11"/>
  <c r="W4837" i="11"/>
  <c r="W4838" i="11"/>
  <c r="W4839" i="11"/>
  <c r="W4840" i="11"/>
  <c r="W4841" i="11"/>
  <c r="W4842" i="11"/>
  <c r="W4843" i="11"/>
  <c r="W4844" i="11"/>
  <c r="W4845" i="11"/>
  <c r="W4846" i="11"/>
  <c r="W4847" i="11"/>
  <c r="W4848" i="11"/>
  <c r="W4849" i="11"/>
  <c r="W4850" i="11"/>
  <c r="W4851" i="11"/>
  <c r="W4852" i="11"/>
  <c r="W4853" i="11"/>
  <c r="W4854" i="11"/>
  <c r="W4855" i="11"/>
  <c r="W4856" i="11"/>
  <c r="W4857" i="11"/>
  <c r="W4858" i="11"/>
  <c r="W4859" i="11"/>
  <c r="W4860" i="11"/>
  <c r="W4861" i="11"/>
  <c r="W4862" i="11"/>
  <c r="W4863" i="11"/>
  <c r="W4864" i="11"/>
  <c r="W4865" i="11"/>
  <c r="W4866" i="11"/>
  <c r="W4867" i="11"/>
  <c r="W4868" i="11"/>
  <c r="W4869" i="11"/>
  <c r="W4870" i="11"/>
  <c r="W4871" i="11"/>
  <c r="W4872" i="11"/>
  <c r="W4873" i="11"/>
  <c r="W4874" i="11"/>
  <c r="W4875" i="11"/>
  <c r="W4876" i="11"/>
  <c r="W4877" i="11"/>
  <c r="W4878" i="11"/>
  <c r="W4879" i="11"/>
  <c r="W4880" i="11"/>
  <c r="W4881" i="11"/>
  <c r="W4882" i="11"/>
  <c r="W4883" i="11"/>
  <c r="W4884" i="11"/>
  <c r="W4885" i="11"/>
  <c r="W4886" i="11"/>
  <c r="W4887" i="11"/>
  <c r="W4888" i="11"/>
  <c r="W4889" i="11"/>
  <c r="W4890" i="11"/>
  <c r="W4891" i="11"/>
  <c r="W4892" i="11"/>
  <c r="W4893" i="11"/>
  <c r="W4894" i="11"/>
  <c r="W4895" i="11"/>
  <c r="W4896" i="11"/>
  <c r="W4897" i="11"/>
  <c r="W4898" i="11"/>
  <c r="W4899" i="11"/>
  <c r="W4900" i="11"/>
  <c r="W4901" i="11"/>
  <c r="W4902" i="11"/>
  <c r="W4903" i="11"/>
  <c r="W4904" i="11"/>
  <c r="W4905" i="11"/>
  <c r="W4906" i="11"/>
  <c r="W4907" i="11"/>
  <c r="W4908" i="11"/>
  <c r="W4909" i="11"/>
  <c r="W4910" i="11"/>
  <c r="W4911" i="11"/>
  <c r="W4912" i="11"/>
  <c r="W4913" i="11"/>
  <c r="W4914" i="11"/>
  <c r="W4915" i="11"/>
  <c r="W4916" i="11"/>
  <c r="W4917" i="11"/>
  <c r="W4918" i="11"/>
  <c r="W4919" i="11"/>
  <c r="W4920" i="11"/>
  <c r="W4921" i="11"/>
  <c r="W4922" i="11"/>
  <c r="W4923" i="11"/>
  <c r="W4924" i="11"/>
  <c r="W4925" i="11"/>
  <c r="W4926" i="11"/>
  <c r="W4927" i="11"/>
  <c r="W4928" i="11"/>
  <c r="W4929" i="11"/>
  <c r="W4930" i="11"/>
  <c r="W4931" i="11"/>
  <c r="W4932" i="11"/>
  <c r="W4933" i="11"/>
  <c r="W4934" i="11"/>
  <c r="W4935" i="11"/>
  <c r="W4936" i="11"/>
  <c r="W4937" i="11"/>
  <c r="W4938" i="11"/>
  <c r="W4939" i="11"/>
  <c r="W4940" i="11"/>
  <c r="W4941" i="11"/>
  <c r="W4942" i="11"/>
  <c r="W4943" i="11"/>
  <c r="W4944" i="11"/>
  <c r="W4945" i="11"/>
  <c r="W4946" i="11"/>
  <c r="W4947" i="11"/>
  <c r="W4948" i="11"/>
  <c r="W4949" i="11"/>
  <c r="W4950" i="11"/>
  <c r="W4951" i="11"/>
  <c r="W4952" i="11"/>
  <c r="W4953" i="11"/>
  <c r="W4954" i="11"/>
  <c r="W4955" i="11"/>
  <c r="W4956" i="11"/>
  <c r="W4957" i="11"/>
  <c r="W4958" i="11"/>
  <c r="W4959" i="11"/>
  <c r="W4960" i="11"/>
  <c r="W4961" i="11"/>
  <c r="W4962" i="11"/>
  <c r="W4963" i="11"/>
  <c r="W4964" i="11"/>
  <c r="W4965" i="11"/>
  <c r="W4966" i="11"/>
  <c r="W4967" i="11"/>
  <c r="W4968" i="11"/>
  <c r="W4969" i="11"/>
  <c r="W4970" i="11"/>
  <c r="W4971" i="11"/>
  <c r="W4972" i="11"/>
  <c r="W4973" i="11"/>
  <c r="W4974" i="11"/>
  <c r="W4975" i="11"/>
  <c r="W4976" i="11"/>
  <c r="W4977" i="11"/>
  <c r="W4978" i="11"/>
  <c r="W4979" i="11"/>
  <c r="W4980" i="11"/>
  <c r="W4981" i="11"/>
  <c r="W4982" i="11"/>
  <c r="W4983" i="11"/>
  <c r="W4984" i="11"/>
  <c r="W4985" i="11"/>
  <c r="W4986" i="11"/>
  <c r="W4987" i="11"/>
  <c r="W4988" i="11"/>
  <c r="W4989" i="11"/>
  <c r="W4990" i="11"/>
  <c r="W4991" i="11"/>
  <c r="W4992" i="11"/>
  <c r="W4993" i="11"/>
  <c r="W4994" i="11"/>
  <c r="W4995" i="11"/>
  <c r="W4996" i="11"/>
  <c r="W4997" i="11"/>
  <c r="W4998" i="11"/>
  <c r="W4999" i="11"/>
  <c r="W5000" i="11"/>
  <c r="V6" i="11"/>
  <c r="V7" i="11"/>
  <c r="V8" i="11"/>
  <c r="V9" i="11"/>
  <c r="V10" i="11"/>
  <c r="V11" i="11"/>
  <c r="V12" i="11"/>
  <c r="V13" i="11"/>
  <c r="V14" i="11"/>
  <c r="V15" i="11"/>
  <c r="V16" i="11"/>
  <c r="V17" i="11"/>
  <c r="V18" i="11"/>
  <c r="V19" i="11"/>
  <c r="V20" i="1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48" i="11"/>
  <c r="V49" i="11"/>
  <c r="V50" i="11"/>
  <c r="V51" i="11"/>
  <c r="V52" i="11"/>
  <c r="V53" i="11"/>
  <c r="V54" i="11"/>
  <c r="V55" i="11"/>
  <c r="V56" i="11"/>
  <c r="V57" i="11"/>
  <c r="V58" i="11"/>
  <c r="V59" i="11"/>
  <c r="V60" i="11"/>
  <c r="V61" i="11"/>
  <c r="V62" i="11"/>
  <c r="V63" i="11"/>
  <c r="V64" i="11"/>
  <c r="V65" i="11"/>
  <c r="V66" i="11"/>
  <c r="V67" i="11"/>
  <c r="V68" i="11"/>
  <c r="V69" i="11"/>
  <c r="V70" i="11"/>
  <c r="V71" i="11"/>
  <c r="V72" i="11"/>
  <c r="V73" i="11"/>
  <c r="V74" i="11"/>
  <c r="V75" i="11"/>
  <c r="V76" i="11"/>
  <c r="V77" i="11"/>
  <c r="V78" i="11"/>
  <c r="V79" i="11"/>
  <c r="V80" i="11"/>
  <c r="V81" i="11"/>
  <c r="V82" i="11"/>
  <c r="V83" i="11"/>
  <c r="V84" i="11"/>
  <c r="V85" i="11"/>
  <c r="V86" i="11"/>
  <c r="V87" i="11"/>
  <c r="V88" i="11"/>
  <c r="V89" i="11"/>
  <c r="V90" i="11"/>
  <c r="V91" i="11"/>
  <c r="V92" i="11"/>
  <c r="V93" i="11"/>
  <c r="V94" i="11"/>
  <c r="V95" i="11"/>
  <c r="V96" i="11"/>
  <c r="V97" i="11"/>
  <c r="V98" i="11"/>
  <c r="V99" i="11"/>
  <c r="V100" i="11"/>
  <c r="V101" i="11"/>
  <c r="V102" i="11"/>
  <c r="V103" i="11"/>
  <c r="V104" i="11"/>
  <c r="V105" i="11"/>
  <c r="V106" i="11"/>
  <c r="V107" i="11"/>
  <c r="V108" i="11"/>
  <c r="V109" i="11"/>
  <c r="V110" i="11"/>
  <c r="V111" i="11"/>
  <c r="V112" i="11"/>
  <c r="V113" i="11"/>
  <c r="V114" i="11"/>
  <c r="V115" i="11"/>
  <c r="V116" i="11"/>
  <c r="V117" i="11"/>
  <c r="V118" i="11"/>
  <c r="V119" i="11"/>
  <c r="V120" i="11"/>
  <c r="V121" i="11"/>
  <c r="V122" i="11"/>
  <c r="V123" i="11"/>
  <c r="V124" i="11"/>
  <c r="V125" i="11"/>
  <c r="V126" i="11"/>
  <c r="V127" i="11"/>
  <c r="V128" i="11"/>
  <c r="V129" i="11"/>
  <c r="V130" i="11"/>
  <c r="V131" i="11"/>
  <c r="V132" i="11"/>
  <c r="V133" i="11"/>
  <c r="V134" i="11"/>
  <c r="V135" i="11"/>
  <c r="V136" i="11"/>
  <c r="V137" i="11"/>
  <c r="V138" i="11"/>
  <c r="V139" i="11"/>
  <c r="V140" i="11"/>
  <c r="V141" i="11"/>
  <c r="V142" i="11"/>
  <c r="V143" i="11"/>
  <c r="V144" i="11"/>
  <c r="V145" i="11"/>
  <c r="V146" i="11"/>
  <c r="V147" i="11"/>
  <c r="V148" i="11"/>
  <c r="V149" i="11"/>
  <c r="V150" i="11"/>
  <c r="V151" i="11"/>
  <c r="V152" i="11"/>
  <c r="V153" i="11"/>
  <c r="V154" i="11"/>
  <c r="V155" i="11"/>
  <c r="V156" i="11"/>
  <c r="V157" i="11"/>
  <c r="V158" i="11"/>
  <c r="V159" i="11"/>
  <c r="V160" i="11"/>
  <c r="V161" i="11"/>
  <c r="V162" i="11"/>
  <c r="V163" i="11"/>
  <c r="V164" i="11"/>
  <c r="V165" i="11"/>
  <c r="V166" i="11"/>
  <c r="V167" i="11"/>
  <c r="V168" i="11"/>
  <c r="V169" i="11"/>
  <c r="V170" i="11"/>
  <c r="V171" i="11"/>
  <c r="V172" i="11"/>
  <c r="V173" i="11"/>
  <c r="V174" i="11"/>
  <c r="V175" i="11"/>
  <c r="V176" i="11"/>
  <c r="V177" i="11"/>
  <c r="V178" i="11"/>
  <c r="V179" i="11"/>
  <c r="V180" i="11"/>
  <c r="V181" i="11"/>
  <c r="V182" i="11"/>
  <c r="V183" i="11"/>
  <c r="V184" i="11"/>
  <c r="V185" i="11"/>
  <c r="V186" i="11"/>
  <c r="V187" i="11"/>
  <c r="V188" i="11"/>
  <c r="V189" i="11"/>
  <c r="V190" i="11"/>
  <c r="V191" i="11"/>
  <c r="V192" i="11"/>
  <c r="V193" i="11"/>
  <c r="V194" i="11"/>
  <c r="V195" i="11"/>
  <c r="V196" i="11"/>
  <c r="V197" i="11"/>
  <c r="V198" i="11"/>
  <c r="V199" i="11"/>
  <c r="V200" i="11"/>
  <c r="V201" i="11"/>
  <c r="V202" i="11"/>
  <c r="V203" i="11"/>
  <c r="V204" i="11"/>
  <c r="V205" i="11"/>
  <c r="V206" i="11"/>
  <c r="V207" i="11"/>
  <c r="V208" i="11"/>
  <c r="V209" i="11"/>
  <c r="V210" i="11"/>
  <c r="V211" i="11"/>
  <c r="V212" i="11"/>
  <c r="V213" i="11"/>
  <c r="V214" i="11"/>
  <c r="V215" i="11"/>
  <c r="V216" i="11"/>
  <c r="V217" i="11"/>
  <c r="V218" i="11"/>
  <c r="V219" i="11"/>
  <c r="V220" i="11"/>
  <c r="V221" i="11"/>
  <c r="V222" i="11"/>
  <c r="V223" i="11"/>
  <c r="V224" i="11"/>
  <c r="V225" i="11"/>
  <c r="V226" i="11"/>
  <c r="V227" i="11"/>
  <c r="V228" i="11"/>
  <c r="V229" i="11"/>
  <c r="V230" i="11"/>
  <c r="V231" i="11"/>
  <c r="V232" i="11"/>
  <c r="V233" i="11"/>
  <c r="V234" i="11"/>
  <c r="V235" i="11"/>
  <c r="V236" i="11"/>
  <c r="V237" i="11"/>
  <c r="V238" i="11"/>
  <c r="V239" i="11"/>
  <c r="V240" i="11"/>
  <c r="V241" i="11"/>
  <c r="V242" i="11"/>
  <c r="V243" i="11"/>
  <c r="V244" i="11"/>
  <c r="V245" i="11"/>
  <c r="V246" i="11"/>
  <c r="V247" i="11"/>
  <c r="V248" i="11"/>
  <c r="V249" i="11"/>
  <c r="V250" i="11"/>
  <c r="V251" i="11"/>
  <c r="V252" i="11"/>
  <c r="V253" i="11"/>
  <c r="V254" i="11"/>
  <c r="V255" i="11"/>
  <c r="V256" i="11"/>
  <c r="V257" i="11"/>
  <c r="V258" i="11"/>
  <c r="V259" i="11"/>
  <c r="V260" i="11"/>
  <c r="V261" i="11"/>
  <c r="V262" i="11"/>
  <c r="V263" i="11"/>
  <c r="V264" i="11"/>
  <c r="V265" i="11"/>
  <c r="V266" i="11"/>
  <c r="V267" i="11"/>
  <c r="V268" i="11"/>
  <c r="V269" i="11"/>
  <c r="V270" i="11"/>
  <c r="V271" i="11"/>
  <c r="V272" i="11"/>
  <c r="V273" i="11"/>
  <c r="V274" i="11"/>
  <c r="V275" i="11"/>
  <c r="V276" i="11"/>
  <c r="V277" i="11"/>
  <c r="V278" i="11"/>
  <c r="V279" i="11"/>
  <c r="V280" i="11"/>
  <c r="V281" i="11"/>
  <c r="V282" i="11"/>
  <c r="V283" i="11"/>
  <c r="V284" i="11"/>
  <c r="V285" i="11"/>
  <c r="V286" i="11"/>
  <c r="V287" i="11"/>
  <c r="V288" i="11"/>
  <c r="V289" i="11"/>
  <c r="V290" i="11"/>
  <c r="V291" i="11"/>
  <c r="V292" i="11"/>
  <c r="V293" i="11"/>
  <c r="V294" i="11"/>
  <c r="V295" i="11"/>
  <c r="V296" i="11"/>
  <c r="V297" i="11"/>
  <c r="V298" i="11"/>
  <c r="V299" i="11"/>
  <c r="V300" i="11"/>
  <c r="V301" i="11"/>
  <c r="V302" i="11"/>
  <c r="V303" i="11"/>
  <c r="V304" i="11"/>
  <c r="V305" i="11"/>
  <c r="V306" i="11"/>
  <c r="V307" i="11"/>
  <c r="V308" i="11"/>
  <c r="V309" i="11"/>
  <c r="V310" i="11"/>
  <c r="V311" i="11"/>
  <c r="V312" i="11"/>
  <c r="V313" i="11"/>
  <c r="V314" i="11"/>
  <c r="V315" i="11"/>
  <c r="V316" i="11"/>
  <c r="V317" i="11"/>
  <c r="V318" i="11"/>
  <c r="V319" i="11"/>
  <c r="V320" i="11"/>
  <c r="V321" i="11"/>
  <c r="V322" i="11"/>
  <c r="V323" i="11"/>
  <c r="V324" i="11"/>
  <c r="V325" i="11"/>
  <c r="V326" i="11"/>
  <c r="V327" i="11"/>
  <c r="V328" i="11"/>
  <c r="V329" i="11"/>
  <c r="V330" i="11"/>
  <c r="V331" i="11"/>
  <c r="V332" i="11"/>
  <c r="V333" i="11"/>
  <c r="V334" i="11"/>
  <c r="V335" i="11"/>
  <c r="V336" i="11"/>
  <c r="V337" i="11"/>
  <c r="V338" i="11"/>
  <c r="V339" i="11"/>
  <c r="V340" i="11"/>
  <c r="V341" i="11"/>
  <c r="V342" i="11"/>
  <c r="V343" i="11"/>
  <c r="V344" i="11"/>
  <c r="V345" i="11"/>
  <c r="V346" i="11"/>
  <c r="V347" i="11"/>
  <c r="V348" i="11"/>
  <c r="V349" i="11"/>
  <c r="V350" i="11"/>
  <c r="V351" i="11"/>
  <c r="V352" i="11"/>
  <c r="V353" i="11"/>
  <c r="V354" i="11"/>
  <c r="V355" i="11"/>
  <c r="V356" i="11"/>
  <c r="V357" i="11"/>
  <c r="V358" i="11"/>
  <c r="V359" i="11"/>
  <c r="V360" i="11"/>
  <c r="V361" i="11"/>
  <c r="V362" i="11"/>
  <c r="V363" i="11"/>
  <c r="V364" i="11"/>
  <c r="V365" i="11"/>
  <c r="V366" i="11"/>
  <c r="V367" i="11"/>
  <c r="V368" i="11"/>
  <c r="V369" i="11"/>
  <c r="V370" i="11"/>
  <c r="V371" i="11"/>
  <c r="V372" i="11"/>
  <c r="V373" i="11"/>
  <c r="V374" i="11"/>
  <c r="V375" i="11"/>
  <c r="V376" i="11"/>
  <c r="V377" i="11"/>
  <c r="V378" i="11"/>
  <c r="V379" i="11"/>
  <c r="V380" i="11"/>
  <c r="V381" i="11"/>
  <c r="V382" i="11"/>
  <c r="V383" i="11"/>
  <c r="V384" i="11"/>
  <c r="V385" i="11"/>
  <c r="V386" i="11"/>
  <c r="V387" i="11"/>
  <c r="V388" i="11"/>
  <c r="V389" i="11"/>
  <c r="V390" i="11"/>
  <c r="V391" i="11"/>
  <c r="V392" i="11"/>
  <c r="V393" i="11"/>
  <c r="V394" i="11"/>
  <c r="V395" i="11"/>
  <c r="V396" i="11"/>
  <c r="V397" i="11"/>
  <c r="V398" i="11"/>
  <c r="V399" i="11"/>
  <c r="V400" i="11"/>
  <c r="V401" i="11"/>
  <c r="V402" i="11"/>
  <c r="V403" i="11"/>
  <c r="V404" i="11"/>
  <c r="V405" i="11"/>
  <c r="V406" i="11"/>
  <c r="V407" i="11"/>
  <c r="V408" i="11"/>
  <c r="V409" i="11"/>
  <c r="V410" i="11"/>
  <c r="V411" i="11"/>
  <c r="V412" i="11"/>
  <c r="V413" i="11"/>
  <c r="V414" i="11"/>
  <c r="V415" i="11"/>
  <c r="V416" i="11"/>
  <c r="V417" i="11"/>
  <c r="V418" i="11"/>
  <c r="V419" i="11"/>
  <c r="V420" i="11"/>
  <c r="V421" i="11"/>
  <c r="V422" i="11"/>
  <c r="V423" i="11"/>
  <c r="V424" i="11"/>
  <c r="V425" i="11"/>
  <c r="V426" i="11"/>
  <c r="V427" i="11"/>
  <c r="V428" i="11"/>
  <c r="V429" i="11"/>
  <c r="V430" i="11"/>
  <c r="V431" i="11"/>
  <c r="V432" i="11"/>
  <c r="V433" i="11"/>
  <c r="V434" i="11"/>
  <c r="V435" i="11"/>
  <c r="V436" i="11"/>
  <c r="V437" i="11"/>
  <c r="V438" i="11"/>
  <c r="V439" i="11"/>
  <c r="V440" i="11"/>
  <c r="V441" i="11"/>
  <c r="V442" i="11"/>
  <c r="V443" i="11"/>
  <c r="V444" i="11"/>
  <c r="V445" i="11"/>
  <c r="V446" i="11"/>
  <c r="V447" i="11"/>
  <c r="V448" i="11"/>
  <c r="V449" i="11"/>
  <c r="V450" i="11"/>
  <c r="V451" i="11"/>
  <c r="V452" i="11"/>
  <c r="V453" i="11"/>
  <c r="V454" i="11"/>
  <c r="V455" i="11"/>
  <c r="V456" i="11"/>
  <c r="V457" i="11"/>
  <c r="V458" i="11"/>
  <c r="V459" i="11"/>
  <c r="V460" i="11"/>
  <c r="V461" i="11"/>
  <c r="V462" i="11"/>
  <c r="V463" i="11"/>
  <c r="V464" i="11"/>
  <c r="V465" i="11"/>
  <c r="V466" i="11"/>
  <c r="V467" i="11"/>
  <c r="V468" i="11"/>
  <c r="V469" i="11"/>
  <c r="V470" i="11"/>
  <c r="V471" i="11"/>
  <c r="V472" i="11"/>
  <c r="V473" i="11"/>
  <c r="V474" i="11"/>
  <c r="V475" i="11"/>
  <c r="V476" i="11"/>
  <c r="V477" i="11"/>
  <c r="V478" i="11"/>
  <c r="V479" i="11"/>
  <c r="V480" i="11"/>
  <c r="V481" i="11"/>
  <c r="V482" i="11"/>
  <c r="V483" i="11"/>
  <c r="V484" i="11"/>
  <c r="V485" i="11"/>
  <c r="V486" i="11"/>
  <c r="V487" i="11"/>
  <c r="V488" i="11"/>
  <c r="V489" i="11"/>
  <c r="V490" i="11"/>
  <c r="V491" i="11"/>
  <c r="V492" i="11"/>
  <c r="V493" i="11"/>
  <c r="V494" i="11"/>
  <c r="V495" i="11"/>
  <c r="V496" i="11"/>
  <c r="V497" i="11"/>
  <c r="V498" i="11"/>
  <c r="V499" i="11"/>
  <c r="V500" i="11"/>
  <c r="V501" i="11"/>
  <c r="V502" i="11"/>
  <c r="V503" i="11"/>
  <c r="V504" i="11"/>
  <c r="V505" i="11"/>
  <c r="V506" i="11"/>
  <c r="V507" i="11"/>
  <c r="V508" i="11"/>
  <c r="V509" i="11"/>
  <c r="V510" i="11"/>
  <c r="V511" i="11"/>
  <c r="V512" i="11"/>
  <c r="V513" i="11"/>
  <c r="V514" i="11"/>
  <c r="V515" i="11"/>
  <c r="V516" i="11"/>
  <c r="V517" i="11"/>
  <c r="V518" i="11"/>
  <c r="V519" i="11"/>
  <c r="V520" i="11"/>
  <c r="V521" i="11"/>
  <c r="V522" i="11"/>
  <c r="V523" i="11"/>
  <c r="V524" i="11"/>
  <c r="V525" i="11"/>
  <c r="V526" i="11"/>
  <c r="V527" i="11"/>
  <c r="V528" i="11"/>
  <c r="V529" i="11"/>
  <c r="V530" i="11"/>
  <c r="V531" i="11"/>
  <c r="V532" i="11"/>
  <c r="V533" i="11"/>
  <c r="V534" i="11"/>
  <c r="V535" i="11"/>
  <c r="V536" i="11"/>
  <c r="V537" i="11"/>
  <c r="V538" i="11"/>
  <c r="V539" i="11"/>
  <c r="V540" i="11"/>
  <c r="V541" i="11"/>
  <c r="V542" i="11"/>
  <c r="V543" i="11"/>
  <c r="V544" i="11"/>
  <c r="V545" i="11"/>
  <c r="V546" i="11"/>
  <c r="V547" i="11"/>
  <c r="V548" i="11"/>
  <c r="V549" i="11"/>
  <c r="V550" i="11"/>
  <c r="V551" i="11"/>
  <c r="V552" i="11"/>
  <c r="V553" i="11"/>
  <c r="V554" i="11"/>
  <c r="V555" i="11"/>
  <c r="V556" i="11"/>
  <c r="V557" i="11"/>
  <c r="V558" i="11"/>
  <c r="V559" i="11"/>
  <c r="V560" i="11"/>
  <c r="V561" i="11"/>
  <c r="V562" i="11"/>
  <c r="V563" i="11"/>
  <c r="V564" i="11"/>
  <c r="V565" i="11"/>
  <c r="V566" i="11"/>
  <c r="V567" i="11"/>
  <c r="V568" i="11"/>
  <c r="V569" i="11"/>
  <c r="V570" i="11"/>
  <c r="V571" i="11"/>
  <c r="V572" i="11"/>
  <c r="V573" i="11"/>
  <c r="V574" i="11"/>
  <c r="V575" i="11"/>
  <c r="V576" i="11"/>
  <c r="V577" i="11"/>
  <c r="V578" i="11"/>
  <c r="V579" i="11"/>
  <c r="V580" i="11"/>
  <c r="V581" i="11"/>
  <c r="V582" i="11"/>
  <c r="V583" i="11"/>
  <c r="V584" i="11"/>
  <c r="V585" i="11"/>
  <c r="V586" i="11"/>
  <c r="V587" i="11"/>
  <c r="V588" i="11"/>
  <c r="V589" i="11"/>
  <c r="V590" i="11"/>
  <c r="V591" i="11"/>
  <c r="V592" i="11"/>
  <c r="V593" i="11"/>
  <c r="V594" i="11"/>
  <c r="V595" i="11"/>
  <c r="V596" i="11"/>
  <c r="V597" i="11"/>
  <c r="V598" i="11"/>
  <c r="V599" i="11"/>
  <c r="V600" i="11"/>
  <c r="V601" i="11"/>
  <c r="V602" i="11"/>
  <c r="V603" i="11"/>
  <c r="V604" i="11"/>
  <c r="V605" i="11"/>
  <c r="V606" i="11"/>
  <c r="V607" i="11"/>
  <c r="V608" i="11"/>
  <c r="V609" i="11"/>
  <c r="V610" i="11"/>
  <c r="V611" i="11"/>
  <c r="V612" i="11"/>
  <c r="V613" i="11"/>
  <c r="V614" i="11"/>
  <c r="V615" i="11"/>
  <c r="V616" i="11"/>
  <c r="V617" i="11"/>
  <c r="V618" i="11"/>
  <c r="V619" i="11"/>
  <c r="V620" i="11"/>
  <c r="V621" i="11"/>
  <c r="V622" i="11"/>
  <c r="V623" i="11"/>
  <c r="V624" i="11"/>
  <c r="V625" i="11"/>
  <c r="V626" i="11"/>
  <c r="V627" i="11"/>
  <c r="V628" i="11"/>
  <c r="V629" i="11"/>
  <c r="V630" i="11"/>
  <c r="V631" i="11"/>
  <c r="V632" i="11"/>
  <c r="V633" i="11"/>
  <c r="V634" i="11"/>
  <c r="V635" i="11"/>
  <c r="V636" i="11"/>
  <c r="V637" i="11"/>
  <c r="V638" i="11"/>
  <c r="V639" i="11"/>
  <c r="V640" i="11"/>
  <c r="V641" i="11"/>
  <c r="V642" i="11"/>
  <c r="V643" i="11"/>
  <c r="V644" i="11"/>
  <c r="V645" i="11"/>
  <c r="V646" i="11"/>
  <c r="V647" i="11"/>
  <c r="V648" i="11"/>
  <c r="V649" i="11"/>
  <c r="V650" i="11"/>
  <c r="V651" i="11"/>
  <c r="V652" i="11"/>
  <c r="V653" i="11"/>
  <c r="V654" i="11"/>
  <c r="V655" i="11"/>
  <c r="V656" i="11"/>
  <c r="V657" i="11"/>
  <c r="V658" i="11"/>
  <c r="V659" i="11"/>
  <c r="V660" i="11"/>
  <c r="V661" i="11"/>
  <c r="V662" i="11"/>
  <c r="V663" i="11"/>
  <c r="V664" i="11"/>
  <c r="V665" i="11"/>
  <c r="V666" i="11"/>
  <c r="V667" i="11"/>
  <c r="V668" i="11"/>
  <c r="V669" i="11"/>
  <c r="V670" i="11"/>
  <c r="V671" i="11"/>
  <c r="V672" i="11"/>
  <c r="V673" i="11"/>
  <c r="V674" i="11"/>
  <c r="V675" i="11"/>
  <c r="V676" i="11"/>
  <c r="V677" i="11"/>
  <c r="V678" i="11"/>
  <c r="V679" i="11"/>
  <c r="V680" i="11"/>
  <c r="V681" i="11"/>
  <c r="V682" i="11"/>
  <c r="V683" i="11"/>
  <c r="V684" i="11"/>
  <c r="V685" i="11"/>
  <c r="V686" i="11"/>
  <c r="V687" i="11"/>
  <c r="V688" i="11"/>
  <c r="V689" i="11"/>
  <c r="V690" i="11"/>
  <c r="V691" i="11"/>
  <c r="V692" i="11"/>
  <c r="V693" i="11"/>
  <c r="V694" i="11"/>
  <c r="V695" i="11"/>
  <c r="V696" i="11"/>
  <c r="V697" i="11"/>
  <c r="V698" i="11"/>
  <c r="V699" i="11"/>
  <c r="V700" i="11"/>
  <c r="V701" i="11"/>
  <c r="V702" i="11"/>
  <c r="V703" i="11"/>
  <c r="V704" i="11"/>
  <c r="V705" i="11"/>
  <c r="V706" i="11"/>
  <c r="V707" i="11"/>
  <c r="V708" i="11"/>
  <c r="V709" i="11"/>
  <c r="V710" i="11"/>
  <c r="V711" i="11"/>
  <c r="V712" i="11"/>
  <c r="V713" i="11"/>
  <c r="V714" i="11"/>
  <c r="V715" i="11"/>
  <c r="V716" i="11"/>
  <c r="V717" i="11"/>
  <c r="V718" i="11"/>
  <c r="V719" i="11"/>
  <c r="V720" i="11"/>
  <c r="V721" i="11"/>
  <c r="V722" i="11"/>
  <c r="V723" i="11"/>
  <c r="V724" i="11"/>
  <c r="V725" i="11"/>
  <c r="V726" i="11"/>
  <c r="V727" i="11"/>
  <c r="V728" i="11"/>
  <c r="V729" i="11"/>
  <c r="V730" i="11"/>
  <c r="V731" i="11"/>
  <c r="V732" i="11"/>
  <c r="V733" i="11"/>
  <c r="V734" i="11"/>
  <c r="V735" i="11"/>
  <c r="V736" i="11"/>
  <c r="V737" i="11"/>
  <c r="V738" i="11"/>
  <c r="V739" i="11"/>
  <c r="V740" i="11"/>
  <c r="V741" i="11"/>
  <c r="V742" i="11"/>
  <c r="V743" i="11"/>
  <c r="V744" i="11"/>
  <c r="V745" i="11"/>
  <c r="V746" i="11"/>
  <c r="V747" i="11"/>
  <c r="V748" i="11"/>
  <c r="V749" i="11"/>
  <c r="V750" i="11"/>
  <c r="V751" i="11"/>
  <c r="V752" i="11"/>
  <c r="V753" i="11"/>
  <c r="V754" i="11"/>
  <c r="V755" i="11"/>
  <c r="V756" i="11"/>
  <c r="V757" i="11"/>
  <c r="V758" i="11"/>
  <c r="V759" i="11"/>
  <c r="V760" i="11"/>
  <c r="V761" i="11"/>
  <c r="V762" i="11"/>
  <c r="V763" i="11"/>
  <c r="V764" i="11"/>
  <c r="V765" i="11"/>
  <c r="V766" i="11"/>
  <c r="V767" i="11"/>
  <c r="V768" i="11"/>
  <c r="V769" i="11"/>
  <c r="V770" i="11"/>
  <c r="V771" i="11"/>
  <c r="V772" i="11"/>
  <c r="V773" i="11"/>
  <c r="V774" i="11"/>
  <c r="V775" i="11"/>
  <c r="V776" i="11"/>
  <c r="V777" i="11"/>
  <c r="V778" i="11"/>
  <c r="V779" i="11"/>
  <c r="V780" i="11"/>
  <c r="V781" i="11"/>
  <c r="V782" i="11"/>
  <c r="V783" i="11"/>
  <c r="V784" i="11"/>
  <c r="V785" i="11"/>
  <c r="V786" i="11"/>
  <c r="V787" i="11"/>
  <c r="V788" i="11"/>
  <c r="V789" i="11"/>
  <c r="V790" i="11"/>
  <c r="V791" i="11"/>
  <c r="V792" i="11"/>
  <c r="V793" i="11"/>
  <c r="V794" i="11"/>
  <c r="V795" i="11"/>
  <c r="V796" i="11"/>
  <c r="V797" i="11"/>
  <c r="V798" i="11"/>
  <c r="V799" i="11"/>
  <c r="V800" i="11"/>
  <c r="V801" i="11"/>
  <c r="V802" i="11"/>
  <c r="V803" i="11"/>
  <c r="V804" i="11"/>
  <c r="V805" i="11"/>
  <c r="V806" i="11"/>
  <c r="V807" i="11"/>
  <c r="V808" i="11"/>
  <c r="V809" i="11"/>
  <c r="V810" i="11"/>
  <c r="V811" i="11"/>
  <c r="V812" i="11"/>
  <c r="V813" i="11"/>
  <c r="V814" i="11"/>
  <c r="V815" i="11"/>
  <c r="V816" i="11"/>
  <c r="V817" i="11"/>
  <c r="V818" i="11"/>
  <c r="V819" i="11"/>
  <c r="V820" i="11"/>
  <c r="V821" i="11"/>
  <c r="V822" i="11"/>
  <c r="V823" i="11"/>
  <c r="V824" i="11"/>
  <c r="V825" i="11"/>
  <c r="V826" i="11"/>
  <c r="V827" i="11"/>
  <c r="V828" i="11"/>
  <c r="V829" i="11"/>
  <c r="V830" i="11"/>
  <c r="V831" i="11"/>
  <c r="V832" i="11"/>
  <c r="V833" i="11"/>
  <c r="V834" i="11"/>
  <c r="V835" i="11"/>
  <c r="V836" i="11"/>
  <c r="V837" i="11"/>
  <c r="V838" i="11"/>
  <c r="V839" i="11"/>
  <c r="V840" i="11"/>
  <c r="V841" i="11"/>
  <c r="V842" i="11"/>
  <c r="V843" i="11"/>
  <c r="V844" i="11"/>
  <c r="V845" i="11"/>
  <c r="V846" i="11"/>
  <c r="V847" i="11"/>
  <c r="V848" i="11"/>
  <c r="V849" i="11"/>
  <c r="V850" i="11"/>
  <c r="V851" i="11"/>
  <c r="V852" i="11"/>
  <c r="V853" i="11"/>
  <c r="V854" i="11"/>
  <c r="V855" i="11"/>
  <c r="V856" i="11"/>
  <c r="V857" i="11"/>
  <c r="V858" i="11"/>
  <c r="V859" i="11"/>
  <c r="V860" i="11"/>
  <c r="V861" i="11"/>
  <c r="V862" i="11"/>
  <c r="V863" i="11"/>
  <c r="V864" i="11"/>
  <c r="V865" i="11"/>
  <c r="V866" i="11"/>
  <c r="V867" i="11"/>
  <c r="V868" i="11"/>
  <c r="V869" i="11"/>
  <c r="V870" i="11"/>
  <c r="V871" i="11"/>
  <c r="V872" i="11"/>
  <c r="V873" i="11"/>
  <c r="V874" i="11"/>
  <c r="V875" i="11"/>
  <c r="V876" i="11"/>
  <c r="V877" i="11"/>
  <c r="V878" i="11"/>
  <c r="V879" i="11"/>
  <c r="V880" i="11"/>
  <c r="V881" i="11"/>
  <c r="V882" i="11"/>
  <c r="V883" i="11"/>
  <c r="V884" i="11"/>
  <c r="V885" i="11"/>
  <c r="V886" i="11"/>
  <c r="V887" i="11"/>
  <c r="V888" i="11"/>
  <c r="V889" i="11"/>
  <c r="V890" i="11"/>
  <c r="V891" i="11"/>
  <c r="V892" i="11"/>
  <c r="V893" i="11"/>
  <c r="V894" i="11"/>
  <c r="V895" i="11"/>
  <c r="V896" i="11"/>
  <c r="V897" i="11"/>
  <c r="V898" i="11"/>
  <c r="V899" i="11"/>
  <c r="V900" i="11"/>
  <c r="V901" i="11"/>
  <c r="V902" i="11"/>
  <c r="V903" i="11"/>
  <c r="V904" i="11"/>
  <c r="V905" i="11"/>
  <c r="V906" i="11"/>
  <c r="V907" i="11"/>
  <c r="V908" i="11"/>
  <c r="V909" i="11"/>
  <c r="V910" i="11"/>
  <c r="V911" i="11"/>
  <c r="V912" i="11"/>
  <c r="V913" i="11"/>
  <c r="V914" i="11"/>
  <c r="V915" i="11"/>
  <c r="V916" i="11"/>
  <c r="V917" i="11"/>
  <c r="V918" i="11"/>
  <c r="V919" i="11"/>
  <c r="V920" i="11"/>
  <c r="V921" i="11"/>
  <c r="V922" i="11"/>
  <c r="V923" i="11"/>
  <c r="V924" i="11"/>
  <c r="V925" i="11"/>
  <c r="V926" i="11"/>
  <c r="V927" i="11"/>
  <c r="V928" i="11"/>
  <c r="V929" i="11"/>
  <c r="V930" i="11"/>
  <c r="V931" i="11"/>
  <c r="V932" i="11"/>
  <c r="V933" i="11"/>
  <c r="V934" i="11"/>
  <c r="V935" i="11"/>
  <c r="V936" i="11"/>
  <c r="V937" i="11"/>
  <c r="V938" i="11"/>
  <c r="V939" i="11"/>
  <c r="V940" i="11"/>
  <c r="V941" i="11"/>
  <c r="V942" i="11"/>
  <c r="V943" i="11"/>
  <c r="V944" i="11"/>
  <c r="V945" i="11"/>
  <c r="V946" i="11"/>
  <c r="V947" i="11"/>
  <c r="V948" i="11"/>
  <c r="V949" i="11"/>
  <c r="V950" i="11"/>
  <c r="V951" i="11"/>
  <c r="V952" i="11"/>
  <c r="V953" i="11"/>
  <c r="V954" i="11"/>
  <c r="V955" i="11"/>
  <c r="V956" i="11"/>
  <c r="V957" i="11"/>
  <c r="V958" i="11"/>
  <c r="V959" i="11"/>
  <c r="V960" i="11"/>
  <c r="V961" i="11"/>
  <c r="V962" i="11"/>
  <c r="V963" i="11"/>
  <c r="V964" i="11"/>
  <c r="V965" i="11"/>
  <c r="V966" i="11"/>
  <c r="V967" i="11"/>
  <c r="V968" i="11"/>
  <c r="V969" i="11"/>
  <c r="V970" i="11"/>
  <c r="V971" i="11"/>
  <c r="V972" i="11"/>
  <c r="V973" i="11"/>
  <c r="V974" i="11"/>
  <c r="V975" i="11"/>
  <c r="V976" i="11"/>
  <c r="V977" i="11"/>
  <c r="V978" i="11"/>
  <c r="V979" i="11"/>
  <c r="V980" i="11"/>
  <c r="V981" i="11"/>
  <c r="V982" i="11"/>
  <c r="V983" i="11"/>
  <c r="V984" i="11"/>
  <c r="V985" i="11"/>
  <c r="V986" i="11"/>
  <c r="V987" i="11"/>
  <c r="V988" i="11"/>
  <c r="V989" i="11"/>
  <c r="V990" i="11"/>
  <c r="V991" i="11"/>
  <c r="V992" i="11"/>
  <c r="V993" i="11"/>
  <c r="V994" i="11"/>
  <c r="V995" i="11"/>
  <c r="V996" i="11"/>
  <c r="V997" i="11"/>
  <c r="V998" i="11"/>
  <c r="V999" i="11"/>
  <c r="V1000" i="11"/>
  <c r="V1001" i="11"/>
  <c r="V1002" i="11"/>
  <c r="V1003" i="11"/>
  <c r="V1004" i="11"/>
  <c r="V1005" i="11"/>
  <c r="V1006" i="11"/>
  <c r="V1007" i="11"/>
  <c r="V1008" i="11"/>
  <c r="V1009" i="11"/>
  <c r="V1010" i="11"/>
  <c r="V1011" i="11"/>
  <c r="V1012" i="11"/>
  <c r="V1013" i="11"/>
  <c r="V1014" i="11"/>
  <c r="V1015" i="11"/>
  <c r="V1016" i="11"/>
  <c r="V1017" i="11"/>
  <c r="V1018" i="11"/>
  <c r="V1019" i="11"/>
  <c r="V1020" i="11"/>
  <c r="V1021" i="11"/>
  <c r="V1022" i="11"/>
  <c r="V1023" i="11"/>
  <c r="V1024" i="11"/>
  <c r="V1025" i="11"/>
  <c r="V1026" i="11"/>
  <c r="V1027" i="11"/>
  <c r="V1028" i="11"/>
  <c r="V1029" i="11"/>
  <c r="V1030" i="11"/>
  <c r="V1031" i="11"/>
  <c r="V1032" i="11"/>
  <c r="V1033" i="11"/>
  <c r="V1034" i="11"/>
  <c r="V1035" i="11"/>
  <c r="V1036" i="11"/>
  <c r="V1037" i="11"/>
  <c r="V1038" i="11"/>
  <c r="V1039" i="11"/>
  <c r="V1040" i="11"/>
  <c r="V1041" i="11"/>
  <c r="V1042" i="11"/>
  <c r="V1043" i="11"/>
  <c r="V1044" i="11"/>
  <c r="V1045" i="11"/>
  <c r="V1046" i="11"/>
  <c r="V1047" i="11"/>
  <c r="V1048" i="11"/>
  <c r="V1049" i="11"/>
  <c r="V1050" i="11"/>
  <c r="V1051" i="11"/>
  <c r="V1052" i="11"/>
  <c r="V1053" i="11"/>
  <c r="V1054" i="11"/>
  <c r="V1055" i="11"/>
  <c r="V1056" i="11"/>
  <c r="V1057" i="11"/>
  <c r="V1058" i="11"/>
  <c r="V1059" i="11"/>
  <c r="V1060" i="11"/>
  <c r="V1061" i="11"/>
  <c r="V1062" i="11"/>
  <c r="V1063" i="11"/>
  <c r="V1064" i="11"/>
  <c r="V1065" i="11"/>
  <c r="V1066" i="11"/>
  <c r="V1067" i="11"/>
  <c r="V1068" i="11"/>
  <c r="V1069" i="11"/>
  <c r="V1070" i="11"/>
  <c r="V1071" i="11"/>
  <c r="V1072" i="11"/>
  <c r="V1073" i="11"/>
  <c r="V1074" i="11"/>
  <c r="V1075" i="11"/>
  <c r="V1076" i="11"/>
  <c r="V1077" i="11"/>
  <c r="V1078" i="11"/>
  <c r="V1079" i="11"/>
  <c r="V1080" i="11"/>
  <c r="V1081" i="11"/>
  <c r="V1082" i="11"/>
  <c r="V1083" i="11"/>
  <c r="V1084" i="11"/>
  <c r="V1085" i="11"/>
  <c r="V1086" i="11"/>
  <c r="V1087" i="11"/>
  <c r="V1088" i="11"/>
  <c r="V1089" i="11"/>
  <c r="V1090" i="11"/>
  <c r="V1091" i="11"/>
  <c r="V1092" i="11"/>
  <c r="V1093" i="11"/>
  <c r="V1094" i="11"/>
  <c r="V1095" i="11"/>
  <c r="V1096" i="11"/>
  <c r="V1097" i="11"/>
  <c r="V1098" i="11"/>
  <c r="V1099" i="11"/>
  <c r="V1100" i="11"/>
  <c r="V1101" i="11"/>
  <c r="V1102" i="11"/>
  <c r="V1103" i="11"/>
  <c r="V1104" i="11"/>
  <c r="V1105" i="11"/>
  <c r="V1106" i="11"/>
  <c r="V1107" i="11"/>
  <c r="V1108" i="11"/>
  <c r="V1109" i="11"/>
  <c r="V1110" i="11"/>
  <c r="V1111" i="11"/>
  <c r="V1112" i="11"/>
  <c r="V1113" i="11"/>
  <c r="V1114" i="11"/>
  <c r="V1115" i="11"/>
  <c r="V1116" i="11"/>
  <c r="V1117" i="11"/>
  <c r="V1118" i="11"/>
  <c r="V1119" i="11"/>
  <c r="V1120" i="11"/>
  <c r="V1121" i="11"/>
  <c r="V1122" i="11"/>
  <c r="V1123" i="11"/>
  <c r="V1124" i="11"/>
  <c r="V1125" i="11"/>
  <c r="V1126" i="11"/>
  <c r="V1127" i="11"/>
  <c r="V1128" i="11"/>
  <c r="V1129" i="11"/>
  <c r="V1130" i="11"/>
  <c r="V1131" i="11"/>
  <c r="V1132" i="11"/>
  <c r="V1133" i="11"/>
  <c r="V1134" i="11"/>
  <c r="V1135" i="11"/>
  <c r="V1136" i="11"/>
  <c r="V1137" i="11"/>
  <c r="V1138" i="11"/>
  <c r="V1139" i="11"/>
  <c r="V1140" i="11"/>
  <c r="V1141" i="11"/>
  <c r="V1142" i="11"/>
  <c r="V1143" i="11"/>
  <c r="V1144" i="11"/>
  <c r="V1145" i="11"/>
  <c r="V1146" i="11"/>
  <c r="V1147" i="11"/>
  <c r="V1148" i="11"/>
  <c r="V1149" i="11"/>
  <c r="V1150" i="11"/>
  <c r="V1151" i="11"/>
  <c r="V1152" i="11"/>
  <c r="V1153" i="11"/>
  <c r="V1154" i="11"/>
  <c r="V1155" i="11"/>
  <c r="V1156" i="11"/>
  <c r="V1157" i="11"/>
  <c r="V1158" i="11"/>
  <c r="V1159" i="11"/>
  <c r="V1160" i="11"/>
  <c r="V1161" i="11"/>
  <c r="V1162" i="11"/>
  <c r="V1163" i="11"/>
  <c r="V1164" i="11"/>
  <c r="V1165" i="11"/>
  <c r="V1166" i="11"/>
  <c r="V1167" i="11"/>
  <c r="V1168" i="11"/>
  <c r="V1169" i="11"/>
  <c r="V1170" i="11"/>
  <c r="V1171" i="11"/>
  <c r="V1172" i="11"/>
  <c r="V1173" i="11"/>
  <c r="V1174" i="11"/>
  <c r="V1175" i="11"/>
  <c r="V1176" i="11"/>
  <c r="V1177" i="11"/>
  <c r="V1178" i="11"/>
  <c r="V1179" i="11"/>
  <c r="V1180" i="11"/>
  <c r="V1181" i="11"/>
  <c r="V1182" i="11"/>
  <c r="V1183" i="11"/>
  <c r="V1184" i="11"/>
  <c r="V1185" i="11"/>
  <c r="V1186" i="11"/>
  <c r="V1187" i="11"/>
  <c r="V1188" i="11"/>
  <c r="V1189" i="11"/>
  <c r="V1190" i="11"/>
  <c r="V1191" i="11"/>
  <c r="V1192" i="11"/>
  <c r="V1193" i="11"/>
  <c r="V1194" i="11"/>
  <c r="V1195" i="11"/>
  <c r="V1196" i="11"/>
  <c r="V1197" i="11"/>
  <c r="V1198" i="11"/>
  <c r="V1199" i="11"/>
  <c r="V1200" i="11"/>
  <c r="V1201" i="11"/>
  <c r="V1202" i="11"/>
  <c r="V1203" i="11"/>
  <c r="V1204" i="11"/>
  <c r="V1205" i="11"/>
  <c r="V1206" i="11"/>
  <c r="V1207" i="11"/>
  <c r="V1208" i="11"/>
  <c r="V1209" i="11"/>
  <c r="V1210" i="11"/>
  <c r="V1211" i="11"/>
  <c r="V1212" i="11"/>
  <c r="V1213" i="11"/>
  <c r="V1214" i="11"/>
  <c r="V1215" i="11"/>
  <c r="V1216" i="11"/>
  <c r="V1217" i="11"/>
  <c r="V1218" i="11"/>
  <c r="V1219" i="11"/>
  <c r="V1220" i="11"/>
  <c r="V1221" i="11"/>
  <c r="V1222" i="11"/>
  <c r="V1223" i="11"/>
  <c r="V1224" i="11"/>
  <c r="V1225" i="11"/>
  <c r="V1226" i="11"/>
  <c r="V1227" i="11"/>
  <c r="V1228" i="11"/>
  <c r="V1229" i="11"/>
  <c r="V1230" i="11"/>
  <c r="V1231" i="11"/>
  <c r="V1232" i="11"/>
  <c r="V1233" i="11"/>
  <c r="V1234" i="11"/>
  <c r="V1235" i="11"/>
  <c r="V1236" i="11"/>
  <c r="V1237" i="11"/>
  <c r="V1238" i="11"/>
  <c r="V1239" i="11"/>
  <c r="V1240" i="11"/>
  <c r="V1241" i="11"/>
  <c r="V1242" i="11"/>
  <c r="V1243" i="11"/>
  <c r="V1244" i="11"/>
  <c r="V1245" i="11"/>
  <c r="V1246" i="11"/>
  <c r="V1247" i="11"/>
  <c r="V1248" i="11"/>
  <c r="V1249" i="11"/>
  <c r="V1250" i="11"/>
  <c r="V1251" i="11"/>
  <c r="V1252" i="11"/>
  <c r="V1253" i="11"/>
  <c r="V1254" i="11"/>
  <c r="V1255" i="11"/>
  <c r="V1256" i="11"/>
  <c r="V1257" i="11"/>
  <c r="V1258" i="11"/>
  <c r="V1259" i="11"/>
  <c r="V1260" i="11"/>
  <c r="V1261" i="11"/>
  <c r="V1262" i="11"/>
  <c r="V1263" i="11"/>
  <c r="V1264" i="11"/>
  <c r="V1265" i="11"/>
  <c r="V1266" i="11"/>
  <c r="V1267" i="11"/>
  <c r="V1268" i="11"/>
  <c r="V1269" i="11"/>
  <c r="V1270" i="11"/>
  <c r="V1271" i="11"/>
  <c r="V1272" i="11"/>
  <c r="V1273" i="11"/>
  <c r="V1274" i="11"/>
  <c r="V1275" i="11"/>
  <c r="V1276" i="11"/>
  <c r="V1277" i="11"/>
  <c r="V1278" i="11"/>
  <c r="V1279" i="11"/>
  <c r="V1280" i="11"/>
  <c r="V1281" i="11"/>
  <c r="V1282" i="11"/>
  <c r="V1283" i="11"/>
  <c r="V1284" i="11"/>
  <c r="V1285" i="11"/>
  <c r="V1286" i="11"/>
  <c r="V1287" i="11"/>
  <c r="V1288" i="11"/>
  <c r="V1289" i="11"/>
  <c r="V1290" i="11"/>
  <c r="V1291" i="11"/>
  <c r="V1292" i="11"/>
  <c r="V1293" i="11"/>
  <c r="V1294" i="11"/>
  <c r="V1295" i="11"/>
  <c r="V1296" i="11"/>
  <c r="V1297" i="11"/>
  <c r="V1298" i="11"/>
  <c r="V1299" i="11"/>
  <c r="V1300" i="11"/>
  <c r="V1301" i="11"/>
  <c r="V1302" i="11"/>
  <c r="V1303" i="11"/>
  <c r="V1304" i="11"/>
  <c r="V1305" i="11"/>
  <c r="V1306" i="11"/>
  <c r="V1307" i="11"/>
  <c r="V1308" i="11"/>
  <c r="V1309" i="11"/>
  <c r="V1310" i="11"/>
  <c r="V1311" i="11"/>
  <c r="V1312" i="11"/>
  <c r="V1313" i="11"/>
  <c r="V1314" i="11"/>
  <c r="V1315" i="11"/>
  <c r="V1316" i="11"/>
  <c r="V1317" i="11"/>
  <c r="V1318" i="11"/>
  <c r="V1319" i="11"/>
  <c r="V1320" i="11"/>
  <c r="V1321" i="11"/>
  <c r="V1322" i="11"/>
  <c r="V1323" i="11"/>
  <c r="V1324" i="11"/>
  <c r="V1325" i="11"/>
  <c r="V1326" i="11"/>
  <c r="V1327" i="11"/>
  <c r="V1328" i="11"/>
  <c r="V1329" i="11"/>
  <c r="V1330" i="11"/>
  <c r="V1331" i="11"/>
  <c r="V1332" i="11"/>
  <c r="V1333" i="11"/>
  <c r="V1334" i="11"/>
  <c r="V1335" i="11"/>
  <c r="V1336" i="11"/>
  <c r="V1337" i="11"/>
  <c r="V1338" i="11"/>
  <c r="V1339" i="11"/>
  <c r="V1340" i="11"/>
  <c r="V1341" i="11"/>
  <c r="V1342" i="11"/>
  <c r="V1343" i="11"/>
  <c r="V1344" i="11"/>
  <c r="V1345" i="11"/>
  <c r="V1346" i="11"/>
  <c r="V1347" i="11"/>
  <c r="V1348" i="11"/>
  <c r="V1349" i="11"/>
  <c r="V1350" i="11"/>
  <c r="V1351" i="11"/>
  <c r="V1352" i="11"/>
  <c r="V1353" i="11"/>
  <c r="V1354" i="11"/>
  <c r="V1355" i="11"/>
  <c r="V1356" i="11"/>
  <c r="V1357" i="11"/>
  <c r="V1358" i="11"/>
  <c r="V1359" i="11"/>
  <c r="V1360" i="11"/>
  <c r="V1361" i="11"/>
  <c r="V1362" i="11"/>
  <c r="V1363" i="11"/>
  <c r="V1364" i="11"/>
  <c r="V1365" i="11"/>
  <c r="V1366" i="11"/>
  <c r="V1367" i="11"/>
  <c r="V1368" i="11"/>
  <c r="V1369" i="11"/>
  <c r="V1370" i="11"/>
  <c r="V1371" i="11"/>
  <c r="V1372" i="11"/>
  <c r="V1373" i="11"/>
  <c r="V1374" i="11"/>
  <c r="V1375" i="11"/>
  <c r="V1376" i="11"/>
  <c r="V1377" i="11"/>
  <c r="V1378" i="11"/>
  <c r="V1379" i="11"/>
  <c r="V1380" i="11"/>
  <c r="V1381" i="11"/>
  <c r="V1382" i="11"/>
  <c r="V1383" i="11"/>
  <c r="V1384" i="11"/>
  <c r="V1385" i="11"/>
  <c r="V1386" i="11"/>
  <c r="V1387" i="11"/>
  <c r="V1388" i="11"/>
  <c r="V1389" i="11"/>
  <c r="V1390" i="11"/>
  <c r="V1391" i="11"/>
  <c r="V1392" i="11"/>
  <c r="V1393" i="11"/>
  <c r="V1394" i="11"/>
  <c r="V1395" i="11"/>
  <c r="V1396" i="11"/>
  <c r="V1397" i="11"/>
  <c r="V1398" i="11"/>
  <c r="V1399" i="11"/>
  <c r="V1400" i="11"/>
  <c r="V1401" i="11"/>
  <c r="V1402" i="11"/>
  <c r="V1403" i="11"/>
  <c r="V1404" i="11"/>
  <c r="V1405" i="11"/>
  <c r="V1406" i="11"/>
  <c r="V1407" i="11"/>
  <c r="V1408" i="11"/>
  <c r="V1409" i="11"/>
  <c r="V1410" i="11"/>
  <c r="V1411" i="11"/>
  <c r="V1412" i="11"/>
  <c r="V1413" i="11"/>
  <c r="V1414" i="11"/>
  <c r="V1415" i="11"/>
  <c r="V1416" i="11"/>
  <c r="V1417" i="11"/>
  <c r="V1418" i="11"/>
  <c r="V1419" i="11"/>
  <c r="V1420" i="11"/>
  <c r="V1421" i="11"/>
  <c r="V1422" i="11"/>
  <c r="V1423" i="11"/>
  <c r="V1424" i="11"/>
  <c r="V1425" i="11"/>
  <c r="V1426" i="11"/>
  <c r="V1427" i="11"/>
  <c r="V1428" i="11"/>
  <c r="V1429" i="11"/>
  <c r="V1430" i="11"/>
  <c r="V1431" i="11"/>
  <c r="V1432" i="11"/>
  <c r="V1433" i="11"/>
  <c r="V1434" i="11"/>
  <c r="V1435" i="11"/>
  <c r="V1436" i="11"/>
  <c r="V1437" i="11"/>
  <c r="V1438" i="11"/>
  <c r="V1439" i="11"/>
  <c r="V1440" i="11"/>
  <c r="V1441" i="11"/>
  <c r="V1442" i="11"/>
  <c r="V1443" i="11"/>
  <c r="V1444" i="11"/>
  <c r="V1445" i="11"/>
  <c r="V1446" i="11"/>
  <c r="V1447" i="11"/>
  <c r="V1448" i="11"/>
  <c r="V1449" i="11"/>
  <c r="V1450" i="11"/>
  <c r="V1451" i="11"/>
  <c r="V1452" i="11"/>
  <c r="V1453" i="11"/>
  <c r="V1454" i="11"/>
  <c r="V1455" i="11"/>
  <c r="V1456" i="11"/>
  <c r="V1457" i="11"/>
  <c r="V1458" i="11"/>
  <c r="V1459" i="11"/>
  <c r="V1460" i="11"/>
  <c r="V1461" i="11"/>
  <c r="V1462" i="11"/>
  <c r="V1463" i="11"/>
  <c r="V1464" i="11"/>
  <c r="V1465" i="11"/>
  <c r="V1466" i="11"/>
  <c r="V1467" i="11"/>
  <c r="V1468" i="11"/>
  <c r="V1469" i="11"/>
  <c r="V1470" i="11"/>
  <c r="V1471" i="11"/>
  <c r="V1472" i="11"/>
  <c r="V1473" i="11"/>
  <c r="V1474" i="11"/>
  <c r="V1475" i="11"/>
  <c r="V1476" i="11"/>
  <c r="V1477" i="11"/>
  <c r="V1478" i="11"/>
  <c r="V1479" i="11"/>
  <c r="V1480" i="11"/>
  <c r="V1481" i="11"/>
  <c r="V1482" i="11"/>
  <c r="V1483" i="11"/>
  <c r="V1484" i="11"/>
  <c r="V1485" i="11"/>
  <c r="V1486" i="11"/>
  <c r="V1487" i="11"/>
  <c r="V1488" i="11"/>
  <c r="V1489" i="11"/>
  <c r="V1490" i="11"/>
  <c r="V1491" i="11"/>
  <c r="V1492" i="11"/>
  <c r="V1493" i="11"/>
  <c r="V1494" i="11"/>
  <c r="V1495" i="11"/>
  <c r="V1496" i="11"/>
  <c r="V1497" i="11"/>
  <c r="V1498" i="11"/>
  <c r="V1499" i="11"/>
  <c r="V1500" i="11"/>
  <c r="V1501" i="11"/>
  <c r="V1502" i="11"/>
  <c r="V1503" i="11"/>
  <c r="V1504" i="11"/>
  <c r="V1505" i="11"/>
  <c r="V1506" i="11"/>
  <c r="V1507" i="11"/>
  <c r="V1508" i="11"/>
  <c r="V1509" i="11"/>
  <c r="V1510" i="11"/>
  <c r="V1511" i="11"/>
  <c r="V1512" i="11"/>
  <c r="V1513" i="11"/>
  <c r="V1514" i="11"/>
  <c r="V1515" i="11"/>
  <c r="V1516" i="11"/>
  <c r="V1517" i="11"/>
  <c r="V1518" i="11"/>
  <c r="V1519" i="11"/>
  <c r="V1520" i="11"/>
  <c r="V1521" i="11"/>
  <c r="V1522" i="11"/>
  <c r="V1523" i="11"/>
  <c r="V1524" i="11"/>
  <c r="V1525" i="11"/>
  <c r="V1526" i="11"/>
  <c r="V1527" i="11"/>
  <c r="V1528" i="11"/>
  <c r="V1529" i="11"/>
  <c r="V1530" i="11"/>
  <c r="V1531" i="11"/>
  <c r="V1532" i="11"/>
  <c r="V1533" i="11"/>
  <c r="V1534" i="11"/>
  <c r="V1535" i="11"/>
  <c r="V1536" i="11"/>
  <c r="V1537" i="11"/>
  <c r="V1538" i="11"/>
  <c r="V1539" i="11"/>
  <c r="V1540" i="11"/>
  <c r="V1541" i="11"/>
  <c r="V1542" i="11"/>
  <c r="V1543" i="11"/>
  <c r="V1544" i="11"/>
  <c r="V1545" i="11"/>
  <c r="V1546" i="11"/>
  <c r="V1547" i="11"/>
  <c r="V1548" i="11"/>
  <c r="V1549" i="11"/>
  <c r="V1550" i="11"/>
  <c r="V1551" i="11"/>
  <c r="V1552" i="11"/>
  <c r="V1553" i="11"/>
  <c r="V1554" i="11"/>
  <c r="V1555" i="11"/>
  <c r="V1556" i="11"/>
  <c r="V1557" i="11"/>
  <c r="V1558" i="11"/>
  <c r="V1559" i="11"/>
  <c r="V1560" i="11"/>
  <c r="V1561" i="11"/>
  <c r="V1562" i="11"/>
  <c r="V1563" i="11"/>
  <c r="V1564" i="11"/>
  <c r="V1565" i="11"/>
  <c r="V1566" i="11"/>
  <c r="V1567" i="11"/>
  <c r="V1568" i="11"/>
  <c r="V1569" i="11"/>
  <c r="V1570" i="11"/>
  <c r="V1571" i="11"/>
  <c r="V1572" i="11"/>
  <c r="V1573" i="11"/>
  <c r="V1574" i="11"/>
  <c r="V1575" i="11"/>
  <c r="V1576" i="11"/>
  <c r="V1577" i="11"/>
  <c r="V1578" i="11"/>
  <c r="V1579" i="11"/>
  <c r="V1580" i="11"/>
  <c r="V1581" i="11"/>
  <c r="V1582" i="11"/>
  <c r="V1583" i="11"/>
  <c r="V1584" i="11"/>
  <c r="V1585" i="11"/>
  <c r="V1586" i="11"/>
  <c r="V1587" i="11"/>
  <c r="V1588" i="11"/>
  <c r="V1589" i="11"/>
  <c r="V1590" i="11"/>
  <c r="V1591" i="11"/>
  <c r="V1592" i="11"/>
  <c r="V1593" i="11"/>
  <c r="V1594" i="11"/>
  <c r="V1595" i="11"/>
  <c r="V1596" i="11"/>
  <c r="V1597" i="11"/>
  <c r="V1598" i="11"/>
  <c r="V1599" i="11"/>
  <c r="V1600" i="11"/>
  <c r="V1601" i="11"/>
  <c r="V1602" i="11"/>
  <c r="V1603" i="11"/>
  <c r="V1604" i="11"/>
  <c r="V1605" i="11"/>
  <c r="V1606" i="11"/>
  <c r="V1607" i="11"/>
  <c r="V1608" i="11"/>
  <c r="V1609" i="11"/>
  <c r="V1610" i="11"/>
  <c r="V1611" i="11"/>
  <c r="V1612" i="11"/>
  <c r="V1613" i="11"/>
  <c r="V1614" i="11"/>
  <c r="V1615" i="11"/>
  <c r="V1616" i="11"/>
  <c r="V1617" i="11"/>
  <c r="V1618" i="11"/>
  <c r="V1619" i="11"/>
  <c r="V1620" i="11"/>
  <c r="V1621" i="11"/>
  <c r="V1622" i="11"/>
  <c r="V1623" i="11"/>
  <c r="V1624" i="11"/>
  <c r="V1625" i="11"/>
  <c r="V1626" i="11"/>
  <c r="V1627" i="11"/>
  <c r="V1628" i="11"/>
  <c r="V1629" i="11"/>
  <c r="V1630" i="11"/>
  <c r="V1631" i="11"/>
  <c r="V1632" i="11"/>
  <c r="V1633" i="11"/>
  <c r="V1634" i="11"/>
  <c r="V1635" i="11"/>
  <c r="V1636" i="11"/>
  <c r="V1637" i="11"/>
  <c r="V1638" i="11"/>
  <c r="V1639" i="11"/>
  <c r="V1640" i="11"/>
  <c r="V1641" i="11"/>
  <c r="V1642" i="11"/>
  <c r="V1643" i="11"/>
  <c r="V1644" i="11"/>
  <c r="V1645" i="11"/>
  <c r="V1646" i="11"/>
  <c r="V1647" i="11"/>
  <c r="V1648" i="11"/>
  <c r="V1649" i="11"/>
  <c r="V1650" i="11"/>
  <c r="V1651" i="11"/>
  <c r="V1652" i="11"/>
  <c r="V1653" i="11"/>
  <c r="V1654" i="11"/>
  <c r="V1655" i="11"/>
  <c r="V1656" i="11"/>
  <c r="V1657" i="11"/>
  <c r="V1658" i="11"/>
  <c r="V1659" i="11"/>
  <c r="V1660" i="11"/>
  <c r="V1661" i="11"/>
  <c r="V1662" i="11"/>
  <c r="V1663" i="11"/>
  <c r="V1664" i="11"/>
  <c r="V1665" i="11"/>
  <c r="V1666" i="11"/>
  <c r="V1667" i="11"/>
  <c r="V1668" i="11"/>
  <c r="V1669" i="11"/>
  <c r="V1670" i="11"/>
  <c r="V1671" i="11"/>
  <c r="V1672" i="11"/>
  <c r="V1673" i="11"/>
  <c r="V1674" i="11"/>
  <c r="V1675" i="11"/>
  <c r="V1676" i="11"/>
  <c r="V1677" i="11"/>
  <c r="V1678" i="11"/>
  <c r="V1679" i="11"/>
  <c r="V1680" i="11"/>
  <c r="V1681" i="11"/>
  <c r="V1682" i="11"/>
  <c r="V1683" i="11"/>
  <c r="V1684" i="11"/>
  <c r="V1685" i="11"/>
  <c r="V1686" i="11"/>
  <c r="V1687" i="11"/>
  <c r="V1688" i="11"/>
  <c r="V1689" i="11"/>
  <c r="V1690" i="11"/>
  <c r="V1691" i="11"/>
  <c r="V1692" i="11"/>
  <c r="V1693" i="11"/>
  <c r="V1694" i="11"/>
  <c r="V1695" i="11"/>
  <c r="V1696" i="11"/>
  <c r="V1697" i="11"/>
  <c r="V1698" i="11"/>
  <c r="V1699" i="11"/>
  <c r="V1700" i="11"/>
  <c r="V1701" i="11"/>
  <c r="V1702" i="11"/>
  <c r="V1703" i="11"/>
  <c r="V1704" i="11"/>
  <c r="V1705" i="11"/>
  <c r="V1706" i="11"/>
  <c r="V1707" i="11"/>
  <c r="V1708" i="11"/>
  <c r="V1709" i="11"/>
  <c r="V1710" i="11"/>
  <c r="V1711" i="11"/>
  <c r="V1712" i="11"/>
  <c r="V1713" i="11"/>
  <c r="V1714" i="11"/>
  <c r="V1715" i="11"/>
  <c r="V1716" i="11"/>
  <c r="V1717" i="11"/>
  <c r="V1718" i="11"/>
  <c r="V1719" i="11"/>
  <c r="V1720" i="11"/>
  <c r="V1721" i="11"/>
  <c r="V1722" i="11"/>
  <c r="V1723" i="11"/>
  <c r="V1724" i="11"/>
  <c r="V1725" i="11"/>
  <c r="V1726" i="11"/>
  <c r="V1727" i="11"/>
  <c r="V1728" i="11"/>
  <c r="V1729" i="11"/>
  <c r="V1730" i="11"/>
  <c r="V1731" i="11"/>
  <c r="V1732" i="11"/>
  <c r="V1733" i="11"/>
  <c r="V1734" i="11"/>
  <c r="V1735" i="11"/>
  <c r="V1736" i="11"/>
  <c r="V1737" i="11"/>
  <c r="V1738" i="11"/>
  <c r="V1739" i="11"/>
  <c r="V1740" i="11"/>
  <c r="V1741" i="11"/>
  <c r="V1742" i="11"/>
  <c r="V1743" i="11"/>
  <c r="V1744" i="11"/>
  <c r="V1745" i="11"/>
  <c r="V1746" i="11"/>
  <c r="V1747" i="11"/>
  <c r="V1748" i="11"/>
  <c r="V1749" i="11"/>
  <c r="V1750" i="11"/>
  <c r="V1751" i="11"/>
  <c r="V1752" i="11"/>
  <c r="V1753" i="11"/>
  <c r="V1754" i="11"/>
  <c r="V1755" i="11"/>
  <c r="V1756" i="11"/>
  <c r="V1757" i="11"/>
  <c r="V1758" i="11"/>
  <c r="V1759" i="11"/>
  <c r="V1760" i="11"/>
  <c r="V1761" i="11"/>
  <c r="V1762" i="11"/>
  <c r="V1763" i="11"/>
  <c r="V1764" i="11"/>
  <c r="V1765" i="11"/>
  <c r="V1766" i="11"/>
  <c r="V1767" i="11"/>
  <c r="V1768" i="11"/>
  <c r="V1769" i="11"/>
  <c r="V1770" i="11"/>
  <c r="V1771" i="11"/>
  <c r="V1772" i="11"/>
  <c r="V1773" i="11"/>
  <c r="V1774" i="11"/>
  <c r="V1775" i="11"/>
  <c r="V1776" i="11"/>
  <c r="V1777" i="11"/>
  <c r="V1778" i="11"/>
  <c r="V1779" i="11"/>
  <c r="V1780" i="11"/>
  <c r="V1781" i="11"/>
  <c r="V1782" i="11"/>
  <c r="V1783" i="11"/>
  <c r="V1784" i="11"/>
  <c r="V1785" i="11"/>
  <c r="V1786" i="11"/>
  <c r="V1787" i="11"/>
  <c r="V1788" i="11"/>
  <c r="V1789" i="11"/>
  <c r="V1790" i="11"/>
  <c r="V1791" i="11"/>
  <c r="V1792" i="11"/>
  <c r="V1793" i="11"/>
  <c r="V1794" i="11"/>
  <c r="V1795" i="11"/>
  <c r="V1796" i="11"/>
  <c r="V1797" i="11"/>
  <c r="V1798" i="11"/>
  <c r="V1799" i="11"/>
  <c r="V1800" i="11"/>
  <c r="V1801" i="11"/>
  <c r="V1802" i="11"/>
  <c r="V1803" i="11"/>
  <c r="V1804" i="11"/>
  <c r="V1805" i="11"/>
  <c r="V1806" i="11"/>
  <c r="V1807" i="11"/>
  <c r="V1808" i="11"/>
  <c r="V1809" i="11"/>
  <c r="V1810" i="11"/>
  <c r="V1811" i="11"/>
  <c r="V1812" i="11"/>
  <c r="V1813" i="11"/>
  <c r="V1814" i="11"/>
  <c r="V1815" i="11"/>
  <c r="V1816" i="11"/>
  <c r="V1817" i="11"/>
  <c r="V1818" i="11"/>
  <c r="V1819" i="11"/>
  <c r="V1820" i="11"/>
  <c r="V1821" i="11"/>
  <c r="V1822" i="11"/>
  <c r="V1823" i="11"/>
  <c r="V1824" i="11"/>
  <c r="V1825" i="11"/>
  <c r="V1826" i="11"/>
  <c r="V1827" i="11"/>
  <c r="V1828" i="11"/>
  <c r="V1829" i="11"/>
  <c r="V1830" i="11"/>
  <c r="V1831" i="11"/>
  <c r="V1832" i="11"/>
  <c r="V1833" i="11"/>
  <c r="V1834" i="11"/>
  <c r="V1835" i="11"/>
  <c r="V1836" i="11"/>
  <c r="V1837" i="11"/>
  <c r="V1838" i="11"/>
  <c r="V1839" i="11"/>
  <c r="V1840" i="11"/>
  <c r="V1841" i="11"/>
  <c r="V1842" i="11"/>
  <c r="V1843" i="11"/>
  <c r="V1844" i="11"/>
  <c r="V1845" i="11"/>
  <c r="V1846" i="11"/>
  <c r="V1847" i="11"/>
  <c r="V1848" i="11"/>
  <c r="V1849" i="11"/>
  <c r="V1850" i="11"/>
  <c r="V1851" i="11"/>
  <c r="V1852" i="11"/>
  <c r="V1853" i="11"/>
  <c r="V1854" i="11"/>
  <c r="V1855" i="11"/>
  <c r="V1856" i="11"/>
  <c r="V1857" i="11"/>
  <c r="V1858" i="11"/>
  <c r="V1859" i="11"/>
  <c r="V1860" i="11"/>
  <c r="V1861" i="11"/>
  <c r="V1862" i="11"/>
  <c r="V1863" i="11"/>
  <c r="V1864" i="11"/>
  <c r="V1865" i="11"/>
  <c r="V1866" i="11"/>
  <c r="V1867" i="11"/>
  <c r="V1868" i="11"/>
  <c r="V1869" i="11"/>
  <c r="V1870" i="11"/>
  <c r="V1871" i="11"/>
  <c r="V1872" i="11"/>
  <c r="V1873" i="11"/>
  <c r="V1874" i="11"/>
  <c r="V1875" i="11"/>
  <c r="V1876" i="11"/>
  <c r="V1877" i="11"/>
  <c r="V1878" i="11"/>
  <c r="V1879" i="11"/>
  <c r="V1880" i="11"/>
  <c r="V1881" i="11"/>
  <c r="V1882" i="11"/>
  <c r="V1883" i="11"/>
  <c r="V1884" i="11"/>
  <c r="V1885" i="11"/>
  <c r="V1886" i="11"/>
  <c r="V1887" i="11"/>
  <c r="V1888" i="11"/>
  <c r="V1889" i="11"/>
  <c r="V1890" i="11"/>
  <c r="V1891" i="11"/>
  <c r="V1892" i="11"/>
  <c r="V1893" i="11"/>
  <c r="V1894" i="11"/>
  <c r="V1895" i="11"/>
  <c r="V1896" i="11"/>
  <c r="V1897" i="11"/>
  <c r="V1898" i="11"/>
  <c r="V1899" i="11"/>
  <c r="V1900" i="11"/>
  <c r="V1901" i="11"/>
  <c r="V1902" i="11"/>
  <c r="V1903" i="11"/>
  <c r="V1904" i="11"/>
  <c r="V1905" i="11"/>
  <c r="V1906" i="11"/>
  <c r="V1907" i="11"/>
  <c r="V1908" i="11"/>
  <c r="V1909" i="11"/>
  <c r="V1910" i="11"/>
  <c r="V1911" i="11"/>
  <c r="V1912" i="11"/>
  <c r="V1913" i="11"/>
  <c r="V1914" i="11"/>
  <c r="V1915" i="11"/>
  <c r="V1916" i="11"/>
  <c r="V1917" i="11"/>
  <c r="V1918" i="11"/>
  <c r="V1919" i="11"/>
  <c r="V1920" i="11"/>
  <c r="V1921" i="11"/>
  <c r="V1922" i="11"/>
  <c r="V1923" i="11"/>
  <c r="V1924" i="11"/>
  <c r="V1925" i="11"/>
  <c r="V1926" i="11"/>
  <c r="V1927" i="11"/>
  <c r="V1928" i="11"/>
  <c r="V1929" i="11"/>
  <c r="V1930" i="11"/>
  <c r="V1931" i="11"/>
  <c r="V1932" i="11"/>
  <c r="V1933" i="11"/>
  <c r="V1934" i="11"/>
  <c r="V1935" i="11"/>
  <c r="V1936" i="11"/>
  <c r="V1937" i="11"/>
  <c r="V1938" i="11"/>
  <c r="V1939" i="11"/>
  <c r="V1940" i="11"/>
  <c r="V1941" i="11"/>
  <c r="V1942" i="11"/>
  <c r="V1943" i="11"/>
  <c r="V1944" i="11"/>
  <c r="V1945" i="11"/>
  <c r="V1946" i="11"/>
  <c r="V1947" i="11"/>
  <c r="V1948" i="11"/>
  <c r="V1949" i="11"/>
  <c r="V1950" i="11"/>
  <c r="V1951" i="11"/>
  <c r="V1952" i="11"/>
  <c r="V1953" i="11"/>
  <c r="V1954" i="11"/>
  <c r="V1955" i="11"/>
  <c r="V1956" i="11"/>
  <c r="V1957" i="11"/>
  <c r="V1958" i="11"/>
  <c r="V1959" i="11"/>
  <c r="V1960" i="11"/>
  <c r="V1961" i="11"/>
  <c r="V1962" i="11"/>
  <c r="V1963" i="11"/>
  <c r="V1964" i="11"/>
  <c r="V1965" i="11"/>
  <c r="V1966" i="11"/>
  <c r="V1967" i="11"/>
  <c r="V1968" i="11"/>
  <c r="V1969" i="11"/>
  <c r="V1970" i="11"/>
  <c r="V1971" i="11"/>
  <c r="V1972" i="11"/>
  <c r="V1973" i="11"/>
  <c r="V1974" i="11"/>
  <c r="V1975" i="11"/>
  <c r="V1976" i="11"/>
  <c r="V1977" i="11"/>
  <c r="V1978" i="11"/>
  <c r="V1979" i="11"/>
  <c r="V1980" i="11"/>
  <c r="V1981" i="11"/>
  <c r="V1982" i="11"/>
  <c r="V1983" i="11"/>
  <c r="V1984" i="11"/>
  <c r="V1985" i="11"/>
  <c r="V1986" i="11"/>
  <c r="V1987" i="11"/>
  <c r="V1988" i="11"/>
  <c r="V1989" i="11"/>
  <c r="V1990" i="11"/>
  <c r="V1991" i="11"/>
  <c r="V1992" i="11"/>
  <c r="V1993" i="11"/>
  <c r="V1994" i="11"/>
  <c r="V1995" i="11"/>
  <c r="V1996" i="11"/>
  <c r="V1997" i="11"/>
  <c r="V1998" i="11"/>
  <c r="V1999" i="11"/>
  <c r="V2000" i="11"/>
  <c r="V2001" i="11"/>
  <c r="V2002" i="11"/>
  <c r="V2003" i="11"/>
  <c r="V2004" i="11"/>
  <c r="V2005" i="11"/>
  <c r="V2006" i="11"/>
  <c r="V2007" i="11"/>
  <c r="V2008" i="11"/>
  <c r="V2009" i="11"/>
  <c r="V2010" i="11"/>
  <c r="V2011" i="11"/>
  <c r="V2012" i="11"/>
  <c r="V2013" i="11"/>
  <c r="V2014" i="11"/>
  <c r="V2015" i="11"/>
  <c r="V2016" i="11"/>
  <c r="V2017" i="11"/>
  <c r="V2018" i="11"/>
  <c r="V2019" i="11"/>
  <c r="V2020" i="11"/>
  <c r="V2021" i="11"/>
  <c r="V2022" i="11"/>
  <c r="V2023" i="11"/>
  <c r="V2024" i="11"/>
  <c r="V2025" i="11"/>
  <c r="V2026" i="11"/>
  <c r="V2027" i="11"/>
  <c r="V2028" i="11"/>
  <c r="V2029" i="11"/>
  <c r="V2030" i="11"/>
  <c r="V2031" i="11"/>
  <c r="V2032" i="11"/>
  <c r="V2033" i="11"/>
  <c r="V2034" i="11"/>
  <c r="V2035" i="11"/>
  <c r="V2036" i="11"/>
  <c r="V2037" i="11"/>
  <c r="V2038" i="11"/>
  <c r="V2039" i="11"/>
  <c r="V2040" i="11"/>
  <c r="V2041" i="11"/>
  <c r="V2042" i="11"/>
  <c r="V2043" i="11"/>
  <c r="V2044" i="11"/>
  <c r="V2045" i="11"/>
  <c r="V2046" i="11"/>
  <c r="V2047" i="11"/>
  <c r="V2048" i="11"/>
  <c r="V2049" i="11"/>
  <c r="V2050" i="11"/>
  <c r="V2051" i="11"/>
  <c r="V2052" i="11"/>
  <c r="V2053" i="11"/>
  <c r="V2054" i="11"/>
  <c r="V2055" i="11"/>
  <c r="V2056" i="11"/>
  <c r="V2057" i="11"/>
  <c r="V2058" i="11"/>
  <c r="V2059" i="11"/>
  <c r="V2060" i="11"/>
  <c r="V2061" i="11"/>
  <c r="V2062" i="11"/>
  <c r="V2063" i="11"/>
  <c r="V2064" i="11"/>
  <c r="V2065" i="11"/>
  <c r="V2066" i="11"/>
  <c r="V2067" i="11"/>
  <c r="V2068" i="11"/>
  <c r="V2069" i="11"/>
  <c r="V2070" i="11"/>
  <c r="V2071" i="11"/>
  <c r="V2072" i="11"/>
  <c r="V2073" i="11"/>
  <c r="V2074" i="11"/>
  <c r="V2075" i="11"/>
  <c r="V2076" i="11"/>
  <c r="V2077" i="11"/>
  <c r="V2078" i="11"/>
  <c r="V2079" i="11"/>
  <c r="V2080" i="11"/>
  <c r="V2081" i="11"/>
  <c r="V2082" i="11"/>
  <c r="V2083" i="11"/>
  <c r="V2084" i="11"/>
  <c r="V2085" i="11"/>
  <c r="V2086" i="11"/>
  <c r="V2087" i="11"/>
  <c r="V2088" i="11"/>
  <c r="V2089" i="11"/>
  <c r="V2090" i="11"/>
  <c r="V2091" i="11"/>
  <c r="V2092" i="11"/>
  <c r="V2093" i="11"/>
  <c r="V2094" i="11"/>
  <c r="V2095" i="11"/>
  <c r="V2096" i="11"/>
  <c r="V2097" i="11"/>
  <c r="V2098" i="11"/>
  <c r="V2099" i="11"/>
  <c r="V2100" i="11"/>
  <c r="V2101" i="11"/>
  <c r="V2102" i="11"/>
  <c r="V2103" i="11"/>
  <c r="V2104" i="11"/>
  <c r="V2105" i="11"/>
  <c r="V2106" i="11"/>
  <c r="V2107" i="11"/>
  <c r="V2108" i="11"/>
  <c r="V2109" i="11"/>
  <c r="V2110" i="11"/>
  <c r="V2111" i="11"/>
  <c r="V2112" i="11"/>
  <c r="V2113" i="11"/>
  <c r="V2114" i="11"/>
  <c r="V2115" i="11"/>
  <c r="V2116" i="11"/>
  <c r="V2117" i="11"/>
  <c r="V2118" i="11"/>
  <c r="V2119" i="11"/>
  <c r="V2120" i="11"/>
  <c r="V2121" i="11"/>
  <c r="V2122" i="11"/>
  <c r="V2123" i="11"/>
  <c r="V2124" i="11"/>
  <c r="V2125" i="11"/>
  <c r="V2126" i="11"/>
  <c r="V2127" i="11"/>
  <c r="V2128" i="11"/>
  <c r="V2129" i="11"/>
  <c r="V2130" i="11"/>
  <c r="V2131" i="11"/>
  <c r="V2132" i="11"/>
  <c r="V2133" i="11"/>
  <c r="V2134" i="11"/>
  <c r="V2135" i="11"/>
  <c r="V2136" i="11"/>
  <c r="V2137" i="11"/>
  <c r="V2138" i="11"/>
  <c r="V2139" i="11"/>
  <c r="V2140" i="11"/>
  <c r="V2141" i="11"/>
  <c r="V2142" i="11"/>
  <c r="V2143" i="11"/>
  <c r="V2144" i="11"/>
  <c r="V2145" i="11"/>
  <c r="V2146" i="11"/>
  <c r="V2147" i="11"/>
  <c r="V2148" i="11"/>
  <c r="V2149" i="11"/>
  <c r="V2150" i="11"/>
  <c r="V2151" i="11"/>
  <c r="V2152" i="11"/>
  <c r="V2153" i="11"/>
  <c r="V2154" i="11"/>
  <c r="V2155" i="11"/>
  <c r="V2156" i="11"/>
  <c r="V2157" i="11"/>
  <c r="V2158" i="11"/>
  <c r="V2159" i="11"/>
  <c r="V2160" i="11"/>
  <c r="V2161" i="11"/>
  <c r="V2162" i="11"/>
  <c r="V2163" i="11"/>
  <c r="V2164" i="11"/>
  <c r="V2165" i="11"/>
  <c r="V2166" i="11"/>
  <c r="V2167" i="11"/>
  <c r="V2168" i="11"/>
  <c r="V2169" i="11"/>
  <c r="V2170" i="11"/>
  <c r="V2171" i="11"/>
  <c r="V2172" i="11"/>
  <c r="V2173" i="11"/>
  <c r="V2174" i="11"/>
  <c r="V2175" i="11"/>
  <c r="V2176" i="11"/>
  <c r="V2177" i="11"/>
  <c r="V2178" i="11"/>
  <c r="V2179" i="11"/>
  <c r="V2180" i="11"/>
  <c r="V2181" i="11"/>
  <c r="V2182" i="11"/>
  <c r="V2183" i="11"/>
  <c r="V2184" i="11"/>
  <c r="V2185" i="11"/>
  <c r="V2186" i="11"/>
  <c r="V2187" i="11"/>
  <c r="V2188" i="11"/>
  <c r="V2189" i="11"/>
  <c r="V2190" i="11"/>
  <c r="V2191" i="11"/>
  <c r="V2192" i="11"/>
  <c r="V2193" i="11"/>
  <c r="V2194" i="11"/>
  <c r="V2195" i="11"/>
  <c r="V2196" i="11"/>
  <c r="V2197" i="11"/>
  <c r="V2198" i="11"/>
  <c r="V2199" i="11"/>
  <c r="V2200" i="11"/>
  <c r="V2201" i="11"/>
  <c r="V2202" i="11"/>
  <c r="V2203" i="11"/>
  <c r="V2204" i="11"/>
  <c r="V2205" i="11"/>
  <c r="V2206" i="11"/>
  <c r="V2207" i="11"/>
  <c r="V2208" i="11"/>
  <c r="V2209" i="11"/>
  <c r="V2210" i="11"/>
  <c r="V2211" i="11"/>
  <c r="V2212" i="11"/>
  <c r="V2213" i="11"/>
  <c r="V2214" i="11"/>
  <c r="V2215" i="11"/>
  <c r="V2216" i="11"/>
  <c r="V2217" i="11"/>
  <c r="V2218" i="11"/>
  <c r="V2219" i="11"/>
  <c r="V2220" i="11"/>
  <c r="V2221" i="11"/>
  <c r="V2222" i="11"/>
  <c r="V2223" i="11"/>
  <c r="V2224" i="11"/>
  <c r="V2225" i="11"/>
  <c r="V2226" i="11"/>
  <c r="V2227" i="11"/>
  <c r="V2228" i="11"/>
  <c r="V2229" i="11"/>
  <c r="V2230" i="11"/>
  <c r="V2231" i="11"/>
  <c r="V2232" i="11"/>
  <c r="V2233" i="11"/>
  <c r="V2234" i="11"/>
  <c r="V2235" i="11"/>
  <c r="V2236" i="11"/>
  <c r="V2237" i="11"/>
  <c r="V2238" i="11"/>
  <c r="V2239" i="11"/>
  <c r="V2240" i="11"/>
  <c r="V2241" i="11"/>
  <c r="V2242" i="11"/>
  <c r="V2243" i="11"/>
  <c r="V2244" i="11"/>
  <c r="V2245" i="11"/>
  <c r="V2246" i="11"/>
  <c r="V2247" i="11"/>
  <c r="V2248" i="11"/>
  <c r="V2249" i="11"/>
  <c r="V2250" i="11"/>
  <c r="V2251" i="11"/>
  <c r="V2252" i="11"/>
  <c r="V2253" i="11"/>
  <c r="V2254" i="11"/>
  <c r="V2255" i="11"/>
  <c r="V2256" i="11"/>
  <c r="V2257" i="11"/>
  <c r="V2258" i="11"/>
  <c r="V2259" i="11"/>
  <c r="V2260" i="11"/>
  <c r="V2261" i="11"/>
  <c r="V2262" i="11"/>
  <c r="V2263" i="11"/>
  <c r="V2264" i="11"/>
  <c r="V2265" i="11"/>
  <c r="V2266" i="11"/>
  <c r="V2267" i="11"/>
  <c r="V2268" i="11"/>
  <c r="V2269" i="11"/>
  <c r="V2270" i="11"/>
  <c r="V2271" i="11"/>
  <c r="V2272" i="11"/>
  <c r="V2273" i="11"/>
  <c r="V2274" i="11"/>
  <c r="V2275" i="11"/>
  <c r="V2276" i="11"/>
  <c r="V2277" i="11"/>
  <c r="V2278" i="11"/>
  <c r="V2279" i="11"/>
  <c r="V2280" i="11"/>
  <c r="V2281" i="11"/>
  <c r="V2282" i="11"/>
  <c r="V2283" i="11"/>
  <c r="V2284" i="11"/>
  <c r="V2285" i="11"/>
  <c r="V2286" i="11"/>
  <c r="V2287" i="11"/>
  <c r="V2288" i="11"/>
  <c r="V2289" i="11"/>
  <c r="V2290" i="11"/>
  <c r="V2291" i="11"/>
  <c r="V2292" i="11"/>
  <c r="V2293" i="11"/>
  <c r="V2294" i="11"/>
  <c r="V2295" i="11"/>
  <c r="V2296" i="11"/>
  <c r="V2297" i="11"/>
  <c r="V2298" i="11"/>
  <c r="V2299" i="11"/>
  <c r="V2300" i="11"/>
  <c r="V2301" i="11"/>
  <c r="V2302" i="11"/>
  <c r="V2303" i="11"/>
  <c r="V2304" i="11"/>
  <c r="V2305" i="11"/>
  <c r="V2306" i="11"/>
  <c r="V2307" i="11"/>
  <c r="V2308" i="11"/>
  <c r="V2309" i="11"/>
  <c r="V2310" i="11"/>
  <c r="V2311" i="11"/>
  <c r="V2312" i="11"/>
  <c r="V2313" i="11"/>
  <c r="V2314" i="11"/>
  <c r="V2315" i="11"/>
  <c r="V2316" i="11"/>
  <c r="V2317" i="11"/>
  <c r="V2318" i="11"/>
  <c r="V2319" i="11"/>
  <c r="V2320" i="11"/>
  <c r="V2321" i="11"/>
  <c r="V2322" i="11"/>
  <c r="V2323" i="11"/>
  <c r="V2324" i="11"/>
  <c r="V2325" i="11"/>
  <c r="V2326" i="11"/>
  <c r="V2327" i="11"/>
  <c r="V2328" i="11"/>
  <c r="V2329" i="11"/>
  <c r="V2330" i="11"/>
  <c r="V2331" i="11"/>
  <c r="V2332" i="11"/>
  <c r="V2333" i="11"/>
  <c r="V2334" i="11"/>
  <c r="V2335" i="11"/>
  <c r="V2336" i="11"/>
  <c r="V2337" i="11"/>
  <c r="V2338" i="11"/>
  <c r="V2339" i="11"/>
  <c r="V2340" i="11"/>
  <c r="V2341" i="11"/>
  <c r="V2342" i="11"/>
  <c r="V2343" i="11"/>
  <c r="V2344" i="11"/>
  <c r="V2345" i="11"/>
  <c r="V2346" i="11"/>
  <c r="V2347" i="11"/>
  <c r="V2348" i="11"/>
  <c r="V2349" i="11"/>
  <c r="V2350" i="11"/>
  <c r="V2351" i="11"/>
  <c r="V2352" i="11"/>
  <c r="V2353" i="11"/>
  <c r="V2354" i="11"/>
  <c r="V2355" i="11"/>
  <c r="V2356" i="11"/>
  <c r="V2357" i="11"/>
  <c r="V2358" i="11"/>
  <c r="V2359" i="11"/>
  <c r="V2360" i="11"/>
  <c r="V2361" i="11"/>
  <c r="V2362" i="11"/>
  <c r="V2363" i="11"/>
  <c r="V2364" i="11"/>
  <c r="V2365" i="11"/>
  <c r="V2366" i="11"/>
  <c r="V2367" i="11"/>
  <c r="V2368" i="11"/>
  <c r="V2369" i="11"/>
  <c r="V2370" i="11"/>
  <c r="V2371" i="11"/>
  <c r="V2372" i="11"/>
  <c r="V2373" i="11"/>
  <c r="V2374" i="11"/>
  <c r="V2375" i="11"/>
  <c r="V2376" i="11"/>
  <c r="V2377" i="11"/>
  <c r="V2378" i="11"/>
  <c r="V2379" i="11"/>
  <c r="V2380" i="11"/>
  <c r="V2381" i="11"/>
  <c r="V2382" i="11"/>
  <c r="V2383" i="11"/>
  <c r="V2384" i="11"/>
  <c r="V2385" i="11"/>
  <c r="V2386" i="11"/>
  <c r="V2387" i="11"/>
  <c r="V2388" i="11"/>
  <c r="V2389" i="11"/>
  <c r="V2390" i="11"/>
  <c r="V2391" i="11"/>
  <c r="V2392" i="11"/>
  <c r="V2393" i="11"/>
  <c r="V2394" i="11"/>
  <c r="V2395" i="11"/>
  <c r="V2396" i="11"/>
  <c r="V2397" i="11"/>
  <c r="V2398" i="11"/>
  <c r="V2399" i="11"/>
  <c r="V2400" i="11"/>
  <c r="V2401" i="11"/>
  <c r="V2402" i="11"/>
  <c r="V2403" i="11"/>
  <c r="V2404" i="11"/>
  <c r="V2405" i="11"/>
  <c r="V2406" i="11"/>
  <c r="V2407" i="11"/>
  <c r="V2408" i="11"/>
  <c r="V2409" i="11"/>
  <c r="V2410" i="11"/>
  <c r="V2411" i="11"/>
  <c r="V2412" i="11"/>
  <c r="V2413" i="11"/>
  <c r="V2414" i="11"/>
  <c r="V2415" i="11"/>
  <c r="V2416" i="11"/>
  <c r="V2417" i="11"/>
  <c r="V2418" i="11"/>
  <c r="V2419" i="11"/>
  <c r="V2420" i="11"/>
  <c r="V2421" i="11"/>
  <c r="V2422" i="11"/>
  <c r="V2423" i="11"/>
  <c r="V2424" i="11"/>
  <c r="V2425" i="11"/>
  <c r="V2426" i="11"/>
  <c r="V2427" i="11"/>
  <c r="V2428" i="11"/>
  <c r="V2429" i="11"/>
  <c r="V2430" i="11"/>
  <c r="V2431" i="11"/>
  <c r="V2432" i="11"/>
  <c r="V2433" i="11"/>
  <c r="V2434" i="11"/>
  <c r="V2435" i="11"/>
  <c r="V2436" i="11"/>
  <c r="V2437" i="11"/>
  <c r="V2438" i="11"/>
  <c r="V2439" i="11"/>
  <c r="V2440" i="11"/>
  <c r="V2441" i="11"/>
  <c r="V2442" i="11"/>
  <c r="V2443" i="11"/>
  <c r="V2444" i="11"/>
  <c r="V2445" i="11"/>
  <c r="V2446" i="11"/>
  <c r="V2447" i="11"/>
  <c r="V2448" i="11"/>
  <c r="V2449" i="11"/>
  <c r="V2450" i="11"/>
  <c r="V2451" i="11"/>
  <c r="V2452" i="11"/>
  <c r="V2453" i="11"/>
  <c r="V2454" i="11"/>
  <c r="V2455" i="11"/>
  <c r="V2456" i="11"/>
  <c r="V2457" i="11"/>
  <c r="V2458" i="11"/>
  <c r="V2459" i="11"/>
  <c r="V2460" i="11"/>
  <c r="V2461" i="11"/>
  <c r="V2462" i="11"/>
  <c r="V2463" i="11"/>
  <c r="V2464" i="11"/>
  <c r="V2465" i="11"/>
  <c r="V2466" i="11"/>
  <c r="V2467" i="11"/>
  <c r="V2468" i="11"/>
  <c r="V2469" i="11"/>
  <c r="V2470" i="11"/>
  <c r="V2471" i="11"/>
  <c r="V2472" i="11"/>
  <c r="V2473" i="11"/>
  <c r="V2474" i="11"/>
  <c r="V2475" i="11"/>
  <c r="V2476" i="11"/>
  <c r="V2477" i="11"/>
  <c r="V2478" i="11"/>
  <c r="V2479" i="11"/>
  <c r="V2480" i="11"/>
  <c r="V2481" i="11"/>
  <c r="V2482" i="11"/>
  <c r="V2483" i="11"/>
  <c r="V2484" i="11"/>
  <c r="V2485" i="11"/>
  <c r="V2486" i="11"/>
  <c r="V2487" i="11"/>
  <c r="V2488" i="11"/>
  <c r="V2489" i="11"/>
  <c r="V2490" i="11"/>
  <c r="V2491" i="11"/>
  <c r="V2492" i="11"/>
  <c r="V2493" i="11"/>
  <c r="V2494" i="11"/>
  <c r="V2495" i="11"/>
  <c r="V2496" i="11"/>
  <c r="V2497" i="11"/>
  <c r="V2498" i="11"/>
  <c r="V2499" i="11"/>
  <c r="V2500" i="11"/>
  <c r="V2501" i="11"/>
  <c r="V2502" i="11"/>
  <c r="V2503" i="11"/>
  <c r="V2504" i="11"/>
  <c r="V2505" i="11"/>
  <c r="V2506" i="11"/>
  <c r="V2507" i="11"/>
  <c r="V2508" i="11"/>
  <c r="V2509" i="11"/>
  <c r="V2510" i="11"/>
  <c r="V2511" i="11"/>
  <c r="V2512" i="11"/>
  <c r="V2513" i="11"/>
  <c r="V2514" i="11"/>
  <c r="V2515" i="11"/>
  <c r="V2516" i="11"/>
  <c r="V2517" i="11"/>
  <c r="V2518" i="11"/>
  <c r="V2519" i="11"/>
  <c r="V2520" i="11"/>
  <c r="V2521" i="11"/>
  <c r="V2522" i="11"/>
  <c r="V2523" i="11"/>
  <c r="V2524" i="11"/>
  <c r="V2525" i="11"/>
  <c r="V2526" i="11"/>
  <c r="V2527" i="11"/>
  <c r="V2528" i="11"/>
  <c r="V2529" i="11"/>
  <c r="V2530" i="11"/>
  <c r="V2531" i="11"/>
  <c r="V2532" i="11"/>
  <c r="V2533" i="11"/>
  <c r="V2534" i="11"/>
  <c r="V2535" i="11"/>
  <c r="V2536" i="11"/>
  <c r="V2537" i="11"/>
  <c r="V2538" i="11"/>
  <c r="V2539" i="11"/>
  <c r="V2540" i="11"/>
  <c r="V2541" i="11"/>
  <c r="V2542" i="11"/>
  <c r="V2543" i="11"/>
  <c r="V2544" i="11"/>
  <c r="V2545" i="11"/>
  <c r="V2546" i="11"/>
  <c r="V2547" i="11"/>
  <c r="V2548" i="11"/>
  <c r="V2549" i="11"/>
  <c r="V2550" i="11"/>
  <c r="V2551" i="11"/>
  <c r="V2552" i="11"/>
  <c r="V2553" i="11"/>
  <c r="V2554" i="11"/>
  <c r="V2555" i="11"/>
  <c r="V2556" i="11"/>
  <c r="V2557" i="11"/>
  <c r="V2558" i="11"/>
  <c r="V2559" i="11"/>
  <c r="V2560" i="11"/>
  <c r="V2561" i="11"/>
  <c r="V2562" i="11"/>
  <c r="V2563" i="11"/>
  <c r="V2564" i="11"/>
  <c r="V2565" i="11"/>
  <c r="V2566" i="11"/>
  <c r="V2567" i="11"/>
  <c r="V2568" i="11"/>
  <c r="V2569" i="11"/>
  <c r="V2570" i="11"/>
  <c r="V2571" i="11"/>
  <c r="V2572" i="11"/>
  <c r="V2573" i="11"/>
  <c r="V2574" i="11"/>
  <c r="V2575" i="11"/>
  <c r="V2576" i="11"/>
  <c r="V2577" i="11"/>
  <c r="V2578" i="11"/>
  <c r="V2579" i="11"/>
  <c r="V2580" i="11"/>
  <c r="V2581" i="11"/>
  <c r="V2582" i="11"/>
  <c r="V2583" i="11"/>
  <c r="V2584" i="11"/>
  <c r="V2585" i="11"/>
  <c r="V2586" i="11"/>
  <c r="V2587" i="11"/>
  <c r="V2588" i="11"/>
  <c r="V2589" i="11"/>
  <c r="V2590" i="11"/>
  <c r="V2591" i="11"/>
  <c r="V2592" i="11"/>
  <c r="V2593" i="11"/>
  <c r="V2594" i="11"/>
  <c r="V2595" i="11"/>
  <c r="V2596" i="11"/>
  <c r="V2597" i="11"/>
  <c r="V2598" i="11"/>
  <c r="V2599" i="11"/>
  <c r="V2600" i="11"/>
  <c r="V2601" i="11"/>
  <c r="V2602" i="11"/>
  <c r="V2603" i="11"/>
  <c r="V2604" i="11"/>
  <c r="V2605" i="11"/>
  <c r="V2606" i="11"/>
  <c r="V2607" i="11"/>
  <c r="V2608" i="11"/>
  <c r="V2609" i="11"/>
  <c r="V2610" i="11"/>
  <c r="V2611" i="11"/>
  <c r="V2612" i="11"/>
  <c r="V2613" i="11"/>
  <c r="V2614" i="11"/>
  <c r="V2615" i="11"/>
  <c r="V2616" i="11"/>
  <c r="V2617" i="11"/>
  <c r="V2618" i="11"/>
  <c r="V2619" i="11"/>
  <c r="V2620" i="11"/>
  <c r="V2621" i="11"/>
  <c r="V2622" i="11"/>
  <c r="V2623" i="11"/>
  <c r="V2624" i="11"/>
  <c r="V2625" i="11"/>
  <c r="V2626" i="11"/>
  <c r="V2627" i="11"/>
  <c r="V2628" i="11"/>
  <c r="V2629" i="11"/>
  <c r="V2630" i="11"/>
  <c r="V2631" i="11"/>
  <c r="V2632" i="11"/>
  <c r="V2633" i="11"/>
  <c r="V2634" i="11"/>
  <c r="V2635" i="11"/>
  <c r="V2636" i="11"/>
  <c r="V2637" i="11"/>
  <c r="V2638" i="11"/>
  <c r="V2639" i="11"/>
  <c r="V2640" i="11"/>
  <c r="V2641" i="11"/>
  <c r="V2642" i="11"/>
  <c r="V2643" i="11"/>
  <c r="V2644" i="11"/>
  <c r="V2645" i="11"/>
  <c r="V2646" i="11"/>
  <c r="V2647" i="11"/>
  <c r="V2648" i="11"/>
  <c r="V2649" i="11"/>
  <c r="V2650" i="11"/>
  <c r="V2651" i="11"/>
  <c r="V2652" i="11"/>
  <c r="V2653" i="11"/>
  <c r="V2654" i="11"/>
  <c r="V2655" i="11"/>
  <c r="V2656" i="11"/>
  <c r="V2657" i="11"/>
  <c r="V2658" i="11"/>
  <c r="V2659" i="11"/>
  <c r="V2660" i="11"/>
  <c r="V2661" i="11"/>
  <c r="V2662" i="11"/>
  <c r="V2663" i="11"/>
  <c r="V2664" i="11"/>
  <c r="V2665" i="11"/>
  <c r="V2666" i="11"/>
  <c r="V2667" i="11"/>
  <c r="V2668" i="11"/>
  <c r="V2669" i="11"/>
  <c r="V2670" i="11"/>
  <c r="V2671" i="11"/>
  <c r="V2672" i="11"/>
  <c r="V2673" i="11"/>
  <c r="V2674" i="11"/>
  <c r="V2675" i="11"/>
  <c r="V2676" i="11"/>
  <c r="V2677" i="11"/>
  <c r="V2678" i="11"/>
  <c r="V2679" i="11"/>
  <c r="V2680" i="11"/>
  <c r="V2681" i="11"/>
  <c r="V2682" i="11"/>
  <c r="V2683" i="11"/>
  <c r="V2684" i="11"/>
  <c r="V2685" i="11"/>
  <c r="V2686" i="11"/>
  <c r="V2687" i="11"/>
  <c r="V2688" i="11"/>
  <c r="V2689" i="11"/>
  <c r="V2690" i="11"/>
  <c r="V2691" i="11"/>
  <c r="V2692" i="11"/>
  <c r="V2693" i="11"/>
  <c r="V2694" i="11"/>
  <c r="V2695" i="11"/>
  <c r="V2696" i="11"/>
  <c r="V2697" i="11"/>
  <c r="V2698" i="11"/>
  <c r="V2699" i="11"/>
  <c r="V2700" i="11"/>
  <c r="V2701" i="11"/>
  <c r="V2702" i="11"/>
  <c r="V2703" i="11"/>
  <c r="V2704" i="11"/>
  <c r="V2705" i="11"/>
  <c r="V2706" i="11"/>
  <c r="V2707" i="11"/>
  <c r="V2708" i="11"/>
  <c r="V2709" i="11"/>
  <c r="V2710" i="11"/>
  <c r="V2711" i="11"/>
  <c r="V2712" i="11"/>
  <c r="V2713" i="11"/>
  <c r="V2714" i="11"/>
  <c r="V2715" i="11"/>
  <c r="V2716" i="11"/>
  <c r="V2717" i="11"/>
  <c r="V2718" i="11"/>
  <c r="V2719" i="11"/>
  <c r="V2720" i="11"/>
  <c r="V2721" i="11"/>
  <c r="V2722" i="11"/>
  <c r="V2723" i="11"/>
  <c r="V2724" i="11"/>
  <c r="V2725" i="11"/>
  <c r="V2726" i="11"/>
  <c r="V2727" i="11"/>
  <c r="V2728" i="11"/>
  <c r="V2729" i="11"/>
  <c r="V2730" i="11"/>
  <c r="V2731" i="11"/>
  <c r="V2732" i="11"/>
  <c r="V2733" i="11"/>
  <c r="V2734" i="11"/>
  <c r="V2735" i="11"/>
  <c r="V2736" i="11"/>
  <c r="V2737" i="11"/>
  <c r="V2738" i="11"/>
  <c r="V2739" i="11"/>
  <c r="V2740" i="11"/>
  <c r="V2741" i="11"/>
  <c r="V2742" i="11"/>
  <c r="V2743" i="11"/>
  <c r="V2744" i="11"/>
  <c r="V2745" i="11"/>
  <c r="V2746" i="11"/>
  <c r="V2747" i="11"/>
  <c r="V2748" i="11"/>
  <c r="V2749" i="11"/>
  <c r="V2750" i="11"/>
  <c r="V2751" i="11"/>
  <c r="V2752" i="11"/>
  <c r="V2753" i="11"/>
  <c r="V2754" i="11"/>
  <c r="V2755" i="11"/>
  <c r="V2756" i="11"/>
  <c r="V2757" i="11"/>
  <c r="V2758" i="11"/>
  <c r="V2759" i="11"/>
  <c r="V2760" i="11"/>
  <c r="V2761" i="11"/>
  <c r="V2762" i="11"/>
  <c r="V2763" i="11"/>
  <c r="V2764" i="11"/>
  <c r="V2765" i="11"/>
  <c r="V2766" i="11"/>
  <c r="V2767" i="11"/>
  <c r="V2768" i="11"/>
  <c r="V2769" i="11"/>
  <c r="V2770" i="11"/>
  <c r="V2771" i="11"/>
  <c r="V2772" i="11"/>
  <c r="V2773" i="11"/>
  <c r="V2774" i="11"/>
  <c r="V2775" i="11"/>
  <c r="V2776" i="11"/>
  <c r="V2777" i="11"/>
  <c r="V2778" i="11"/>
  <c r="V2779" i="11"/>
  <c r="V2780" i="11"/>
  <c r="V2781" i="11"/>
  <c r="V2782" i="11"/>
  <c r="V2783" i="11"/>
  <c r="V2784" i="11"/>
  <c r="V2785" i="11"/>
  <c r="V2786" i="11"/>
  <c r="V2787" i="11"/>
  <c r="V2788" i="11"/>
  <c r="V2789" i="11"/>
  <c r="V2790" i="11"/>
  <c r="V2791" i="11"/>
  <c r="V2792" i="11"/>
  <c r="V2793" i="11"/>
  <c r="V2794" i="11"/>
  <c r="V2795" i="11"/>
  <c r="V2796" i="11"/>
  <c r="V2797" i="11"/>
  <c r="V2798" i="11"/>
  <c r="V2799" i="11"/>
  <c r="V2800" i="11"/>
  <c r="V2801" i="11"/>
  <c r="V2802" i="11"/>
  <c r="V2803" i="11"/>
  <c r="V2804" i="11"/>
  <c r="V2805" i="11"/>
  <c r="V2806" i="11"/>
  <c r="V2807" i="11"/>
  <c r="V2808" i="11"/>
  <c r="V2809" i="11"/>
  <c r="V2810" i="11"/>
  <c r="V2811" i="11"/>
  <c r="V2812" i="11"/>
  <c r="V2813" i="11"/>
  <c r="V2814" i="11"/>
  <c r="V2815" i="11"/>
  <c r="V2816" i="11"/>
  <c r="V2817" i="11"/>
  <c r="V2818" i="11"/>
  <c r="V2819" i="11"/>
  <c r="V2820" i="11"/>
  <c r="V2821" i="11"/>
  <c r="V2822" i="11"/>
  <c r="V2823" i="11"/>
  <c r="V2824" i="11"/>
  <c r="V2825" i="11"/>
  <c r="V2826" i="11"/>
  <c r="V2827" i="11"/>
  <c r="V2828" i="11"/>
  <c r="V2829" i="11"/>
  <c r="V2830" i="11"/>
  <c r="V2831" i="11"/>
  <c r="V2832" i="11"/>
  <c r="V2833" i="11"/>
  <c r="V2834" i="11"/>
  <c r="V2835" i="11"/>
  <c r="V2836" i="11"/>
  <c r="V2837" i="11"/>
  <c r="V2838" i="11"/>
  <c r="V2839" i="11"/>
  <c r="V2840" i="11"/>
  <c r="V2841" i="11"/>
  <c r="V2842" i="11"/>
  <c r="V2843" i="11"/>
  <c r="V2844" i="11"/>
  <c r="V2845" i="11"/>
  <c r="V2846" i="11"/>
  <c r="V2847" i="11"/>
  <c r="V2848" i="11"/>
  <c r="V2849" i="11"/>
  <c r="V2850" i="11"/>
  <c r="V2851" i="11"/>
  <c r="V2852" i="11"/>
  <c r="V2853" i="11"/>
  <c r="V2854" i="11"/>
  <c r="V2855" i="11"/>
  <c r="V2856" i="11"/>
  <c r="V2857" i="11"/>
  <c r="V2858" i="11"/>
  <c r="V2859" i="11"/>
  <c r="V2860" i="11"/>
  <c r="V2861" i="11"/>
  <c r="V2862" i="11"/>
  <c r="V2863" i="11"/>
  <c r="V2864" i="11"/>
  <c r="V2865" i="11"/>
  <c r="V2866" i="11"/>
  <c r="V2867" i="11"/>
  <c r="V2868" i="11"/>
  <c r="V2869" i="11"/>
  <c r="V2870" i="11"/>
  <c r="V2871" i="11"/>
  <c r="V2872" i="11"/>
  <c r="V2873" i="11"/>
  <c r="V2874" i="11"/>
  <c r="V2875" i="11"/>
  <c r="V2876" i="11"/>
  <c r="V2877" i="11"/>
  <c r="V2878" i="11"/>
  <c r="V2879" i="11"/>
  <c r="V2880" i="11"/>
  <c r="V2881" i="11"/>
  <c r="V2882" i="11"/>
  <c r="V2883" i="11"/>
  <c r="V2884" i="11"/>
  <c r="V2885" i="11"/>
  <c r="V2886" i="11"/>
  <c r="V2887" i="11"/>
  <c r="V2888" i="11"/>
  <c r="V2889" i="11"/>
  <c r="V2890" i="11"/>
  <c r="V2891" i="11"/>
  <c r="V2892" i="11"/>
  <c r="V2893" i="11"/>
  <c r="V2894" i="11"/>
  <c r="V2895" i="11"/>
  <c r="V2896" i="11"/>
  <c r="V2897" i="11"/>
  <c r="V2898" i="11"/>
  <c r="V2899" i="11"/>
  <c r="V2900" i="11"/>
  <c r="V2901" i="11"/>
  <c r="V2902" i="11"/>
  <c r="V2903" i="11"/>
  <c r="V2904" i="11"/>
  <c r="V2905" i="11"/>
  <c r="V2906" i="11"/>
  <c r="V2907" i="11"/>
  <c r="V2908" i="11"/>
  <c r="V2909" i="11"/>
  <c r="V2910" i="11"/>
  <c r="V2911" i="11"/>
  <c r="V2912" i="11"/>
  <c r="V2913" i="11"/>
  <c r="V2914" i="11"/>
  <c r="V2915" i="11"/>
  <c r="V2916" i="11"/>
  <c r="V2917" i="11"/>
  <c r="V2918" i="11"/>
  <c r="V2919" i="11"/>
  <c r="V2920" i="11"/>
  <c r="V2921" i="11"/>
  <c r="V2922" i="11"/>
  <c r="V2923" i="11"/>
  <c r="V2924" i="11"/>
  <c r="V2925" i="11"/>
  <c r="V2926" i="11"/>
  <c r="V2927" i="11"/>
  <c r="V2928" i="11"/>
  <c r="V2929" i="11"/>
  <c r="V2930" i="11"/>
  <c r="V2931" i="11"/>
  <c r="V2932" i="11"/>
  <c r="V2933" i="11"/>
  <c r="V2934" i="11"/>
  <c r="V2935" i="11"/>
  <c r="V2936" i="11"/>
  <c r="V2937" i="11"/>
  <c r="V2938" i="11"/>
  <c r="V2939" i="11"/>
  <c r="V2940" i="11"/>
  <c r="V2941" i="11"/>
  <c r="V2942" i="11"/>
  <c r="V2943" i="11"/>
  <c r="V2944" i="11"/>
  <c r="V2945" i="11"/>
  <c r="V2946" i="11"/>
  <c r="V2947" i="11"/>
  <c r="V2948" i="11"/>
  <c r="V2949" i="11"/>
  <c r="V2950" i="11"/>
  <c r="V2951" i="11"/>
  <c r="V2952" i="11"/>
  <c r="V2953" i="11"/>
  <c r="V2954" i="11"/>
  <c r="V2955" i="11"/>
  <c r="V2956" i="11"/>
  <c r="V2957" i="11"/>
  <c r="V2958" i="11"/>
  <c r="V2959" i="11"/>
  <c r="V2960" i="11"/>
  <c r="V2961" i="11"/>
  <c r="V2962" i="11"/>
  <c r="V2963" i="11"/>
  <c r="V2964" i="11"/>
  <c r="V2965" i="11"/>
  <c r="V2966" i="11"/>
  <c r="V2967" i="11"/>
  <c r="V2968" i="11"/>
  <c r="V2969" i="11"/>
  <c r="V2970" i="11"/>
  <c r="V2971" i="11"/>
  <c r="V2972" i="11"/>
  <c r="V2973" i="11"/>
  <c r="V2974" i="11"/>
  <c r="V2975" i="11"/>
  <c r="V2976" i="11"/>
  <c r="V2977" i="11"/>
  <c r="V2978" i="11"/>
  <c r="V2979" i="11"/>
  <c r="V2980" i="11"/>
  <c r="V2981" i="11"/>
  <c r="V2982" i="11"/>
  <c r="V2983" i="11"/>
  <c r="V2984" i="11"/>
  <c r="V2985" i="11"/>
  <c r="V2986" i="11"/>
  <c r="V2987" i="11"/>
  <c r="V2988" i="11"/>
  <c r="V2989" i="11"/>
  <c r="V2990" i="11"/>
  <c r="V2991" i="11"/>
  <c r="V2992" i="11"/>
  <c r="V2993" i="11"/>
  <c r="V2994" i="11"/>
  <c r="V2995" i="11"/>
  <c r="V2996" i="11"/>
  <c r="V2997" i="11"/>
  <c r="V2998" i="11"/>
  <c r="V2999" i="11"/>
  <c r="V3000" i="11"/>
  <c r="V3001" i="11"/>
  <c r="V3002" i="11"/>
  <c r="V3003" i="11"/>
  <c r="V3004" i="11"/>
  <c r="V3005" i="11"/>
  <c r="V3006" i="11"/>
  <c r="V3007" i="11"/>
  <c r="V3008" i="11"/>
  <c r="V3009" i="11"/>
  <c r="V3010" i="11"/>
  <c r="V3011" i="11"/>
  <c r="V3012" i="11"/>
  <c r="V3013" i="11"/>
  <c r="V3014" i="11"/>
  <c r="V3015" i="11"/>
  <c r="V3016" i="11"/>
  <c r="V3017" i="11"/>
  <c r="V3018" i="11"/>
  <c r="V3019" i="11"/>
  <c r="V3020" i="11"/>
  <c r="V3021" i="11"/>
  <c r="V3022" i="11"/>
  <c r="V3023" i="11"/>
  <c r="V3024" i="11"/>
  <c r="V3025" i="11"/>
  <c r="V3026" i="11"/>
  <c r="V3027" i="11"/>
  <c r="V3028" i="11"/>
  <c r="V3029" i="11"/>
  <c r="V3030" i="11"/>
  <c r="V3031" i="11"/>
  <c r="V3032" i="11"/>
  <c r="V3033" i="11"/>
  <c r="V3034" i="11"/>
  <c r="V3035" i="11"/>
  <c r="V3036" i="11"/>
  <c r="V3037" i="11"/>
  <c r="V3038" i="11"/>
  <c r="V3039" i="11"/>
  <c r="V3040" i="11"/>
  <c r="V3041" i="11"/>
  <c r="V3042" i="11"/>
  <c r="V3043" i="11"/>
  <c r="V3044" i="11"/>
  <c r="V3045" i="11"/>
  <c r="V3046" i="11"/>
  <c r="V3047" i="11"/>
  <c r="V3048" i="11"/>
  <c r="V3049" i="11"/>
  <c r="V3050" i="11"/>
  <c r="V3051" i="11"/>
  <c r="V3052" i="11"/>
  <c r="V3053" i="11"/>
  <c r="V3054" i="11"/>
  <c r="V3055" i="11"/>
  <c r="V3056" i="11"/>
  <c r="V3057" i="11"/>
  <c r="V3058" i="11"/>
  <c r="V3059" i="11"/>
  <c r="V3060" i="11"/>
  <c r="V3061" i="11"/>
  <c r="V3062" i="11"/>
  <c r="V3063" i="11"/>
  <c r="V3064" i="11"/>
  <c r="V3065" i="11"/>
  <c r="V3066" i="11"/>
  <c r="V3067" i="11"/>
  <c r="V3068" i="11"/>
  <c r="V3069" i="11"/>
  <c r="V3070" i="11"/>
  <c r="V3071" i="11"/>
  <c r="V3072" i="11"/>
  <c r="V3073" i="11"/>
  <c r="V3074" i="11"/>
  <c r="V3075" i="11"/>
  <c r="V3076" i="11"/>
  <c r="V3077" i="11"/>
  <c r="V3078" i="11"/>
  <c r="V3079" i="11"/>
  <c r="V3080" i="11"/>
  <c r="V3081" i="11"/>
  <c r="V3082" i="11"/>
  <c r="V3083" i="11"/>
  <c r="V3084" i="11"/>
  <c r="V3085" i="11"/>
  <c r="V3086" i="11"/>
  <c r="V3087" i="11"/>
  <c r="V3088" i="11"/>
  <c r="V3089" i="11"/>
  <c r="V3090" i="11"/>
  <c r="V3091" i="11"/>
  <c r="V3092" i="11"/>
  <c r="V3093" i="11"/>
  <c r="V3094" i="11"/>
  <c r="V3095" i="11"/>
  <c r="V3096" i="11"/>
  <c r="V3097" i="11"/>
  <c r="V3098" i="11"/>
  <c r="V3099" i="11"/>
  <c r="V3100" i="11"/>
  <c r="V3101" i="11"/>
  <c r="V3102" i="11"/>
  <c r="V3103" i="11"/>
  <c r="V3104" i="11"/>
  <c r="V3105" i="11"/>
  <c r="V3106" i="11"/>
  <c r="V3107" i="11"/>
  <c r="V3108" i="11"/>
  <c r="V3109" i="11"/>
  <c r="V3110" i="11"/>
  <c r="V3111" i="11"/>
  <c r="V3112" i="11"/>
  <c r="V3113" i="11"/>
  <c r="V3114" i="11"/>
  <c r="V3115" i="11"/>
  <c r="V3116" i="11"/>
  <c r="V3117" i="11"/>
  <c r="V3118" i="11"/>
  <c r="V3119" i="11"/>
  <c r="V3120" i="11"/>
  <c r="V3121" i="11"/>
  <c r="V3122" i="11"/>
  <c r="V3123" i="11"/>
  <c r="V3124" i="11"/>
  <c r="V3125" i="11"/>
  <c r="V3126" i="11"/>
  <c r="V3127" i="11"/>
  <c r="V3128" i="11"/>
  <c r="V3129" i="11"/>
  <c r="V3130" i="11"/>
  <c r="V3131" i="11"/>
  <c r="V3132" i="11"/>
  <c r="V3133" i="11"/>
  <c r="V3134" i="11"/>
  <c r="V3135" i="11"/>
  <c r="V3136" i="11"/>
  <c r="V3137" i="11"/>
  <c r="V3138" i="11"/>
  <c r="V3139" i="11"/>
  <c r="V3140" i="11"/>
  <c r="V3141" i="11"/>
  <c r="V3142" i="11"/>
  <c r="V3143" i="11"/>
  <c r="V3144" i="11"/>
  <c r="V3145" i="11"/>
  <c r="V3146" i="11"/>
  <c r="V3147" i="11"/>
  <c r="V3148" i="11"/>
  <c r="V3149" i="11"/>
  <c r="V3150" i="11"/>
  <c r="V3151" i="11"/>
  <c r="V3152" i="11"/>
  <c r="V3153" i="11"/>
  <c r="V3154" i="11"/>
  <c r="V3155" i="11"/>
  <c r="V3156" i="11"/>
  <c r="V3157" i="11"/>
  <c r="V3158" i="11"/>
  <c r="V3159" i="11"/>
  <c r="V3160" i="11"/>
  <c r="V3161" i="11"/>
  <c r="V3162" i="11"/>
  <c r="V3163" i="11"/>
  <c r="V3164" i="11"/>
  <c r="V3165" i="11"/>
  <c r="V3166" i="11"/>
  <c r="V3167" i="11"/>
  <c r="V3168" i="11"/>
  <c r="V3169" i="11"/>
  <c r="V3170" i="11"/>
  <c r="V3171" i="11"/>
  <c r="V3172" i="11"/>
  <c r="V3173" i="11"/>
  <c r="V3174" i="11"/>
  <c r="V3175" i="11"/>
  <c r="V3176" i="11"/>
  <c r="V3177" i="11"/>
  <c r="V3178" i="11"/>
  <c r="V3179" i="11"/>
  <c r="V3180" i="11"/>
  <c r="V3181" i="11"/>
  <c r="V3182" i="11"/>
  <c r="V3183" i="11"/>
  <c r="V3184" i="11"/>
  <c r="V3185" i="11"/>
  <c r="V3186" i="11"/>
  <c r="V3187" i="11"/>
  <c r="V3188" i="11"/>
  <c r="V3189" i="11"/>
  <c r="V3190" i="11"/>
  <c r="V3191" i="11"/>
  <c r="V3192" i="11"/>
  <c r="V3193" i="11"/>
  <c r="V3194" i="11"/>
  <c r="V3195" i="11"/>
  <c r="V3196" i="11"/>
  <c r="V3197" i="11"/>
  <c r="V3198" i="11"/>
  <c r="V3199" i="11"/>
  <c r="V3200" i="11"/>
  <c r="V3201" i="11"/>
  <c r="V3202" i="11"/>
  <c r="V3203" i="11"/>
  <c r="V3204" i="11"/>
  <c r="V3205" i="11"/>
  <c r="V3206" i="11"/>
  <c r="V3207" i="11"/>
  <c r="V3208" i="11"/>
  <c r="V3209" i="11"/>
  <c r="V3210" i="11"/>
  <c r="V3211" i="11"/>
  <c r="V3212" i="11"/>
  <c r="V3213" i="11"/>
  <c r="V3214" i="11"/>
  <c r="V3215" i="11"/>
  <c r="V3216" i="11"/>
  <c r="V3217" i="11"/>
  <c r="V3218" i="11"/>
  <c r="V3219" i="11"/>
  <c r="V3220" i="11"/>
  <c r="V3221" i="11"/>
  <c r="V3222" i="11"/>
  <c r="V3223" i="11"/>
  <c r="V3224" i="11"/>
  <c r="V3225" i="11"/>
  <c r="V3226" i="11"/>
  <c r="V3227" i="11"/>
  <c r="V3228" i="11"/>
  <c r="V3229" i="11"/>
  <c r="V3230" i="11"/>
  <c r="V3231" i="11"/>
  <c r="V3232" i="11"/>
  <c r="V3233" i="11"/>
  <c r="V3234" i="11"/>
  <c r="V3235" i="11"/>
  <c r="V3236" i="11"/>
  <c r="V3237" i="11"/>
  <c r="V3238" i="11"/>
  <c r="V3239" i="11"/>
  <c r="V3240" i="11"/>
  <c r="V3241" i="11"/>
  <c r="V3242" i="11"/>
  <c r="V3243" i="11"/>
  <c r="V3244" i="11"/>
  <c r="V3245" i="11"/>
  <c r="V3246" i="11"/>
  <c r="V3247" i="11"/>
  <c r="V3248" i="11"/>
  <c r="V3249" i="11"/>
  <c r="V3250" i="11"/>
  <c r="V3251" i="11"/>
  <c r="V3252" i="11"/>
  <c r="V3253" i="11"/>
  <c r="V3254" i="11"/>
  <c r="V3255" i="11"/>
  <c r="V3256" i="11"/>
  <c r="V3257" i="11"/>
  <c r="V3258" i="11"/>
  <c r="V3259" i="11"/>
  <c r="V3260" i="11"/>
  <c r="V3261" i="11"/>
  <c r="V3262" i="11"/>
  <c r="V3263" i="11"/>
  <c r="V3264" i="11"/>
  <c r="V3265" i="11"/>
  <c r="V3266" i="11"/>
  <c r="V3267" i="11"/>
  <c r="V3268" i="11"/>
  <c r="V3269" i="11"/>
  <c r="V3270" i="11"/>
  <c r="V3271" i="11"/>
  <c r="V3272" i="11"/>
  <c r="V3273" i="11"/>
  <c r="V3274" i="11"/>
  <c r="V3275" i="11"/>
  <c r="V3276" i="11"/>
  <c r="V3277" i="11"/>
  <c r="V3278" i="11"/>
  <c r="V3279" i="11"/>
  <c r="V3280" i="11"/>
  <c r="V3281" i="11"/>
  <c r="V3282" i="11"/>
  <c r="V3283" i="11"/>
  <c r="V3284" i="11"/>
  <c r="V3285" i="11"/>
  <c r="V3286" i="11"/>
  <c r="V3287" i="11"/>
  <c r="V3288" i="11"/>
  <c r="V3289" i="11"/>
  <c r="V3290" i="11"/>
  <c r="V3291" i="11"/>
  <c r="V3292" i="11"/>
  <c r="V3293" i="11"/>
  <c r="V3294" i="11"/>
  <c r="V3295" i="11"/>
  <c r="V3296" i="11"/>
  <c r="V3297" i="11"/>
  <c r="V3298" i="11"/>
  <c r="V3299" i="11"/>
  <c r="V3300" i="11"/>
  <c r="V3301" i="11"/>
  <c r="V3302" i="11"/>
  <c r="V3303" i="11"/>
  <c r="V3304" i="11"/>
  <c r="V3305" i="11"/>
  <c r="V3306" i="11"/>
  <c r="V3307" i="11"/>
  <c r="V3308" i="11"/>
  <c r="V3309" i="11"/>
  <c r="V3310" i="11"/>
  <c r="V3311" i="11"/>
  <c r="V3312" i="11"/>
  <c r="V3313" i="11"/>
  <c r="V3314" i="11"/>
  <c r="V3315" i="11"/>
  <c r="V3316" i="11"/>
  <c r="V3317" i="11"/>
  <c r="V3318" i="11"/>
  <c r="V3319" i="11"/>
  <c r="V3320" i="11"/>
  <c r="V3321" i="11"/>
  <c r="V3322" i="11"/>
  <c r="V3323" i="11"/>
  <c r="V3324" i="11"/>
  <c r="V3325" i="11"/>
  <c r="V3326" i="11"/>
  <c r="V3327" i="11"/>
  <c r="V3328" i="11"/>
  <c r="V3329" i="11"/>
  <c r="V3330" i="11"/>
  <c r="V3331" i="11"/>
  <c r="V3332" i="11"/>
  <c r="V3333" i="11"/>
  <c r="V3334" i="11"/>
  <c r="V3335" i="11"/>
  <c r="V3336" i="11"/>
  <c r="V3337" i="11"/>
  <c r="V3338" i="11"/>
  <c r="V3339" i="11"/>
  <c r="V3340" i="11"/>
  <c r="V3341" i="11"/>
  <c r="V3342" i="11"/>
  <c r="V3343" i="11"/>
  <c r="V3344" i="11"/>
  <c r="V3345" i="11"/>
  <c r="V3346" i="11"/>
  <c r="V3347" i="11"/>
  <c r="V3348" i="11"/>
  <c r="V3349" i="11"/>
  <c r="V3350" i="11"/>
  <c r="V3351" i="11"/>
  <c r="V3352" i="11"/>
  <c r="V3353" i="11"/>
  <c r="V3354" i="11"/>
  <c r="V3355" i="11"/>
  <c r="V3356" i="11"/>
  <c r="V3357" i="11"/>
  <c r="V3358" i="11"/>
  <c r="V3359" i="11"/>
  <c r="V3360" i="11"/>
  <c r="V3361" i="11"/>
  <c r="V3362" i="11"/>
  <c r="V3363" i="11"/>
  <c r="V3364" i="11"/>
  <c r="V3365" i="11"/>
  <c r="V3366" i="11"/>
  <c r="V3367" i="11"/>
  <c r="V3368" i="11"/>
  <c r="V3369" i="11"/>
  <c r="V3370" i="11"/>
  <c r="V3371" i="11"/>
  <c r="V3372" i="11"/>
  <c r="V3373" i="11"/>
  <c r="V3374" i="11"/>
  <c r="V3375" i="11"/>
  <c r="V3376" i="11"/>
  <c r="V3377" i="11"/>
  <c r="V3378" i="11"/>
  <c r="V3379" i="11"/>
  <c r="V3380" i="11"/>
  <c r="V3381" i="11"/>
  <c r="V3382" i="11"/>
  <c r="V3383" i="11"/>
  <c r="V3384" i="11"/>
  <c r="V3385" i="11"/>
  <c r="V3386" i="11"/>
  <c r="V3387" i="11"/>
  <c r="V3388" i="11"/>
  <c r="V3389" i="11"/>
  <c r="V3390" i="11"/>
  <c r="V3391" i="11"/>
  <c r="V3392" i="11"/>
  <c r="V3393" i="11"/>
  <c r="V3394" i="11"/>
  <c r="V3395" i="11"/>
  <c r="V3396" i="11"/>
  <c r="V3397" i="11"/>
  <c r="V3398" i="11"/>
  <c r="V3399" i="11"/>
  <c r="V3400" i="11"/>
  <c r="V3401" i="11"/>
  <c r="V3402" i="11"/>
  <c r="V3403" i="11"/>
  <c r="V3404" i="11"/>
  <c r="V3405" i="11"/>
  <c r="V3406" i="11"/>
  <c r="V3407" i="11"/>
  <c r="V3408" i="11"/>
  <c r="V3409" i="11"/>
  <c r="V3410" i="11"/>
  <c r="V3411" i="11"/>
  <c r="V3412" i="11"/>
  <c r="V3413" i="11"/>
  <c r="V3414" i="11"/>
  <c r="V3415" i="11"/>
  <c r="V3416" i="11"/>
  <c r="V3417" i="11"/>
  <c r="V3418" i="11"/>
  <c r="V3419" i="11"/>
  <c r="V3420" i="11"/>
  <c r="V3421" i="11"/>
  <c r="V3422" i="11"/>
  <c r="V3423" i="11"/>
  <c r="V3424" i="11"/>
  <c r="V3425" i="11"/>
  <c r="V3426" i="11"/>
  <c r="V3427" i="11"/>
  <c r="V3428" i="11"/>
  <c r="V3429" i="11"/>
  <c r="V3430" i="11"/>
  <c r="V3431" i="11"/>
  <c r="V3432" i="11"/>
  <c r="V3433" i="11"/>
  <c r="V3434" i="11"/>
  <c r="V3435" i="11"/>
  <c r="V3436" i="11"/>
  <c r="V3437" i="11"/>
  <c r="V3438" i="11"/>
  <c r="V3439" i="11"/>
  <c r="V3440" i="11"/>
  <c r="V3441" i="11"/>
  <c r="V3442" i="11"/>
  <c r="V3443" i="11"/>
  <c r="V3444" i="11"/>
  <c r="V3445" i="11"/>
  <c r="V3446" i="11"/>
  <c r="V3447" i="11"/>
  <c r="V3448" i="11"/>
  <c r="V3449" i="11"/>
  <c r="V3450" i="11"/>
  <c r="V3451" i="11"/>
  <c r="V3452" i="11"/>
  <c r="V3453" i="11"/>
  <c r="V3454" i="11"/>
  <c r="V3455" i="11"/>
  <c r="V3456" i="11"/>
  <c r="V3457" i="11"/>
  <c r="V3458" i="11"/>
  <c r="V3459" i="11"/>
  <c r="V3460" i="11"/>
  <c r="V3461" i="11"/>
  <c r="V3462" i="11"/>
  <c r="V3463" i="11"/>
  <c r="V3464" i="11"/>
  <c r="V3465" i="11"/>
  <c r="V3466" i="11"/>
  <c r="V3467" i="11"/>
  <c r="V3468" i="11"/>
  <c r="V3469" i="11"/>
  <c r="V3470" i="11"/>
  <c r="V3471" i="11"/>
  <c r="V3472" i="11"/>
  <c r="V3473" i="11"/>
  <c r="V3474" i="11"/>
  <c r="V3475" i="11"/>
  <c r="V3476" i="11"/>
  <c r="V3477" i="11"/>
  <c r="V3478" i="11"/>
  <c r="V3479" i="11"/>
  <c r="V3480" i="11"/>
  <c r="V3481" i="11"/>
  <c r="V3482" i="11"/>
  <c r="V3483" i="11"/>
  <c r="V3484" i="11"/>
  <c r="V3485" i="11"/>
  <c r="V3486" i="11"/>
  <c r="V3487" i="11"/>
  <c r="V3488" i="11"/>
  <c r="V3489" i="11"/>
  <c r="V3490" i="11"/>
  <c r="V3491" i="11"/>
  <c r="V3492" i="11"/>
  <c r="V3493" i="11"/>
  <c r="V3494" i="11"/>
  <c r="V3495" i="11"/>
  <c r="V3496" i="11"/>
  <c r="V3497" i="11"/>
  <c r="V3498" i="11"/>
  <c r="V3499" i="11"/>
  <c r="V3500" i="11"/>
  <c r="V3501" i="11"/>
  <c r="V3502" i="11"/>
  <c r="V3503" i="11"/>
  <c r="V3504" i="11"/>
  <c r="V3505" i="11"/>
  <c r="V3506" i="11"/>
  <c r="V3507" i="11"/>
  <c r="V3508" i="11"/>
  <c r="V3509" i="11"/>
  <c r="V3510" i="11"/>
  <c r="V3511" i="11"/>
  <c r="V3512" i="11"/>
  <c r="V3513" i="11"/>
  <c r="V3514" i="11"/>
  <c r="V3515" i="11"/>
  <c r="V3516" i="11"/>
  <c r="V3517" i="11"/>
  <c r="V3518" i="11"/>
  <c r="V3519" i="11"/>
  <c r="V3520" i="11"/>
  <c r="V3521" i="11"/>
  <c r="V3522" i="11"/>
  <c r="V3523" i="11"/>
  <c r="V3524" i="11"/>
  <c r="V3525" i="11"/>
  <c r="V3526" i="11"/>
  <c r="V3527" i="11"/>
  <c r="V3528" i="11"/>
  <c r="V3529" i="11"/>
  <c r="V3530" i="11"/>
  <c r="V3531" i="11"/>
  <c r="V3532" i="11"/>
  <c r="V3533" i="11"/>
  <c r="V3534" i="11"/>
  <c r="V3535" i="11"/>
  <c r="V3536" i="11"/>
  <c r="V3537" i="11"/>
  <c r="V3538" i="11"/>
  <c r="V3539" i="11"/>
  <c r="V3540" i="11"/>
  <c r="V3541" i="11"/>
  <c r="V3542" i="11"/>
  <c r="V3543" i="11"/>
  <c r="V3544" i="11"/>
  <c r="V3545" i="11"/>
  <c r="V3546" i="11"/>
  <c r="V3547" i="11"/>
  <c r="V3548" i="11"/>
  <c r="V3549" i="11"/>
  <c r="V3550" i="11"/>
  <c r="V3551" i="11"/>
  <c r="V3552" i="11"/>
  <c r="V3553" i="11"/>
  <c r="V3554" i="11"/>
  <c r="V3555" i="11"/>
  <c r="V3556" i="11"/>
  <c r="V3557" i="11"/>
  <c r="V3558" i="11"/>
  <c r="V3559" i="11"/>
  <c r="V3560" i="11"/>
  <c r="V3561" i="11"/>
  <c r="V3562" i="11"/>
  <c r="V3563" i="11"/>
  <c r="V3564" i="11"/>
  <c r="V3565" i="11"/>
  <c r="V3566" i="11"/>
  <c r="V3567" i="11"/>
  <c r="V3568" i="11"/>
  <c r="V3569" i="11"/>
  <c r="V3570" i="11"/>
  <c r="V3571" i="11"/>
  <c r="V3572" i="11"/>
  <c r="V3573" i="11"/>
  <c r="V3574" i="11"/>
  <c r="V3575" i="11"/>
  <c r="V3576" i="11"/>
  <c r="V3577" i="11"/>
  <c r="V3578" i="11"/>
  <c r="V3579" i="11"/>
  <c r="V3580" i="11"/>
  <c r="V3581" i="11"/>
  <c r="V3582" i="11"/>
  <c r="V3583" i="11"/>
  <c r="V3584" i="11"/>
  <c r="V3585" i="11"/>
  <c r="V3586" i="11"/>
  <c r="V3587" i="11"/>
  <c r="V3588" i="11"/>
  <c r="V3589" i="11"/>
  <c r="V3590" i="11"/>
  <c r="V3591" i="11"/>
  <c r="V3592" i="11"/>
  <c r="V3593" i="11"/>
  <c r="V3594" i="11"/>
  <c r="V3595" i="11"/>
  <c r="V3596" i="11"/>
  <c r="V3597" i="11"/>
  <c r="V3598" i="11"/>
  <c r="V3599" i="11"/>
  <c r="V3600" i="11"/>
  <c r="V3601" i="11"/>
  <c r="V3602" i="11"/>
  <c r="V3603" i="11"/>
  <c r="V3604" i="11"/>
  <c r="V3605" i="11"/>
  <c r="V3606" i="11"/>
  <c r="V3607" i="11"/>
  <c r="V3608" i="11"/>
  <c r="V3609" i="11"/>
  <c r="V3610" i="11"/>
  <c r="V3611" i="11"/>
  <c r="V3612" i="11"/>
  <c r="V3613" i="11"/>
  <c r="V3614" i="11"/>
  <c r="V3615" i="11"/>
  <c r="V3616" i="11"/>
  <c r="V3617" i="11"/>
  <c r="V3618" i="11"/>
  <c r="V3619" i="11"/>
  <c r="V3620" i="11"/>
  <c r="V3621" i="11"/>
  <c r="V3622" i="11"/>
  <c r="V3623" i="11"/>
  <c r="V3624" i="11"/>
  <c r="V3625" i="11"/>
  <c r="V3626" i="11"/>
  <c r="V3627" i="11"/>
  <c r="V3628" i="11"/>
  <c r="V3629" i="11"/>
  <c r="V3630" i="11"/>
  <c r="V3631" i="11"/>
  <c r="V3632" i="11"/>
  <c r="V3633" i="11"/>
  <c r="V3634" i="11"/>
  <c r="V3635" i="11"/>
  <c r="V3636" i="11"/>
  <c r="V3637" i="11"/>
  <c r="V3638" i="11"/>
  <c r="V3639" i="11"/>
  <c r="V3640" i="11"/>
  <c r="V3641" i="11"/>
  <c r="V3642" i="11"/>
  <c r="V3643" i="11"/>
  <c r="V3644" i="11"/>
  <c r="V3645" i="11"/>
  <c r="V3646" i="11"/>
  <c r="V3647" i="11"/>
  <c r="V3648" i="11"/>
  <c r="V3649" i="11"/>
  <c r="V3650" i="11"/>
  <c r="V3651" i="11"/>
  <c r="V3652" i="11"/>
  <c r="V3653" i="11"/>
  <c r="V3654" i="11"/>
  <c r="V3655" i="11"/>
  <c r="V3656" i="11"/>
  <c r="V3657" i="11"/>
  <c r="V3658" i="11"/>
  <c r="V3659" i="11"/>
  <c r="V3660" i="11"/>
  <c r="V3661" i="11"/>
  <c r="V3662" i="11"/>
  <c r="V3663" i="11"/>
  <c r="V3664" i="11"/>
  <c r="V3665" i="11"/>
  <c r="V3666" i="11"/>
  <c r="V3667" i="11"/>
  <c r="V3668" i="11"/>
  <c r="V3669" i="11"/>
  <c r="V3670" i="11"/>
  <c r="V3671" i="11"/>
  <c r="V3672" i="11"/>
  <c r="V3673" i="11"/>
  <c r="V3674" i="11"/>
  <c r="V3675" i="11"/>
  <c r="V3676" i="11"/>
  <c r="V3677" i="11"/>
  <c r="V3678" i="11"/>
  <c r="V3679" i="11"/>
  <c r="V3680" i="11"/>
  <c r="V3681" i="11"/>
  <c r="V3682" i="11"/>
  <c r="V3683" i="11"/>
  <c r="V3684" i="11"/>
  <c r="V3685" i="11"/>
  <c r="V3686" i="11"/>
  <c r="V3687" i="11"/>
  <c r="V3688" i="11"/>
  <c r="V3689" i="11"/>
  <c r="V3690" i="11"/>
  <c r="V3691" i="11"/>
  <c r="V3692" i="11"/>
  <c r="V3693" i="11"/>
  <c r="V3694" i="11"/>
  <c r="V3695" i="11"/>
  <c r="V3696" i="11"/>
  <c r="V3697" i="11"/>
  <c r="V3698" i="11"/>
  <c r="V3699" i="11"/>
  <c r="V3700" i="11"/>
  <c r="V3701" i="11"/>
  <c r="V3702" i="11"/>
  <c r="V3703" i="11"/>
  <c r="V3704" i="11"/>
  <c r="V3705" i="11"/>
  <c r="V3706" i="11"/>
  <c r="V3707" i="11"/>
  <c r="V3708" i="11"/>
  <c r="V3709" i="11"/>
  <c r="V3710" i="11"/>
  <c r="V3711" i="11"/>
  <c r="V3712" i="11"/>
  <c r="V3713" i="11"/>
  <c r="V3714" i="11"/>
  <c r="V3715" i="11"/>
  <c r="V3716" i="11"/>
  <c r="V3717" i="11"/>
  <c r="V3718" i="11"/>
  <c r="V3719" i="11"/>
  <c r="V3720" i="11"/>
  <c r="V3721" i="11"/>
  <c r="V3722" i="11"/>
  <c r="V3723" i="11"/>
  <c r="V3724" i="11"/>
  <c r="V3725" i="11"/>
  <c r="V3726" i="11"/>
  <c r="V3727" i="11"/>
  <c r="V3728" i="11"/>
  <c r="V3729" i="11"/>
  <c r="V3730" i="11"/>
  <c r="V3731" i="11"/>
  <c r="V3732" i="11"/>
  <c r="V3733" i="11"/>
  <c r="V3734" i="11"/>
  <c r="V3735" i="11"/>
  <c r="V3736" i="11"/>
  <c r="V3737" i="11"/>
  <c r="V3738" i="11"/>
  <c r="V3739" i="11"/>
  <c r="V3740" i="11"/>
  <c r="V3741" i="11"/>
  <c r="V3742" i="11"/>
  <c r="V3743" i="11"/>
  <c r="V3744" i="11"/>
  <c r="V3745" i="11"/>
  <c r="V3746" i="11"/>
  <c r="V3747" i="11"/>
  <c r="V3748" i="11"/>
  <c r="V3749" i="11"/>
  <c r="V3750" i="11"/>
  <c r="V3751" i="11"/>
  <c r="V3752" i="11"/>
  <c r="V3753" i="11"/>
  <c r="V3754" i="11"/>
  <c r="V3755" i="11"/>
  <c r="V3756" i="11"/>
  <c r="V3757" i="11"/>
  <c r="V3758" i="11"/>
  <c r="V3759" i="11"/>
  <c r="V3760" i="11"/>
  <c r="V3761" i="11"/>
  <c r="V3762" i="11"/>
  <c r="V3763" i="11"/>
  <c r="V3764" i="11"/>
  <c r="V3765" i="11"/>
  <c r="V3766" i="11"/>
  <c r="V3767" i="11"/>
  <c r="V3768" i="11"/>
  <c r="V3769" i="11"/>
  <c r="V3770" i="11"/>
  <c r="V3771" i="11"/>
  <c r="V3772" i="11"/>
  <c r="V3773" i="11"/>
  <c r="V3774" i="11"/>
  <c r="V3775" i="11"/>
  <c r="V3776" i="11"/>
  <c r="V3777" i="11"/>
  <c r="V3778" i="11"/>
  <c r="V3779" i="11"/>
  <c r="V3780" i="11"/>
  <c r="V3781" i="11"/>
  <c r="V3782" i="11"/>
  <c r="V3783" i="11"/>
  <c r="V3784" i="11"/>
  <c r="V3785" i="11"/>
  <c r="V3786" i="11"/>
  <c r="V3787" i="11"/>
  <c r="V3788" i="11"/>
  <c r="V3789" i="11"/>
  <c r="V3790" i="11"/>
  <c r="V3791" i="11"/>
  <c r="V3792" i="11"/>
  <c r="V3793" i="11"/>
  <c r="V3794" i="11"/>
  <c r="V3795" i="11"/>
  <c r="V3796" i="11"/>
  <c r="V3797" i="11"/>
  <c r="V3798" i="11"/>
  <c r="V3799" i="11"/>
  <c r="V3800" i="11"/>
  <c r="V3801" i="11"/>
  <c r="V3802" i="11"/>
  <c r="V3803" i="11"/>
  <c r="V3804" i="11"/>
  <c r="V3805" i="11"/>
  <c r="V3806" i="11"/>
  <c r="V3807" i="11"/>
  <c r="V3808" i="11"/>
  <c r="V3809" i="11"/>
  <c r="V3810" i="11"/>
  <c r="V3811" i="11"/>
  <c r="V3812" i="11"/>
  <c r="V3813" i="11"/>
  <c r="V3814" i="11"/>
  <c r="V3815" i="11"/>
  <c r="V3816" i="11"/>
  <c r="V3817" i="11"/>
  <c r="V3818" i="11"/>
  <c r="V3819" i="11"/>
  <c r="V3820" i="11"/>
  <c r="V3821" i="11"/>
  <c r="V3822" i="11"/>
  <c r="V3823" i="11"/>
  <c r="V3824" i="11"/>
  <c r="V3825" i="11"/>
  <c r="V3826" i="11"/>
  <c r="V3827" i="11"/>
  <c r="V3828" i="11"/>
  <c r="V3829" i="11"/>
  <c r="V3830" i="11"/>
  <c r="V3831" i="11"/>
  <c r="V3832" i="11"/>
  <c r="V3833" i="11"/>
  <c r="V3834" i="11"/>
  <c r="V3835" i="11"/>
  <c r="V3836" i="11"/>
  <c r="V3837" i="11"/>
  <c r="V3838" i="11"/>
  <c r="V3839" i="11"/>
  <c r="V3840" i="11"/>
  <c r="V3841" i="11"/>
  <c r="V3842" i="11"/>
  <c r="V3843" i="11"/>
  <c r="V3844" i="11"/>
  <c r="V3845" i="11"/>
  <c r="V3846" i="11"/>
  <c r="V3847" i="11"/>
  <c r="V3848" i="11"/>
  <c r="V3849" i="11"/>
  <c r="V3850" i="11"/>
  <c r="V3851" i="11"/>
  <c r="V3852" i="11"/>
  <c r="V3853" i="11"/>
  <c r="V3854" i="11"/>
  <c r="V3855" i="11"/>
  <c r="V3856" i="11"/>
  <c r="V3857" i="11"/>
  <c r="V3858" i="11"/>
  <c r="V3859" i="11"/>
  <c r="V3860" i="11"/>
  <c r="V3861" i="11"/>
  <c r="V3862" i="11"/>
  <c r="V3863" i="11"/>
  <c r="V3864" i="11"/>
  <c r="V3865" i="11"/>
  <c r="V3866" i="11"/>
  <c r="V3867" i="11"/>
  <c r="V3868" i="11"/>
  <c r="V3869" i="11"/>
  <c r="V3870" i="11"/>
  <c r="V3871" i="11"/>
  <c r="V3872" i="11"/>
  <c r="V3873" i="11"/>
  <c r="V3874" i="11"/>
  <c r="V3875" i="11"/>
  <c r="V3876" i="11"/>
  <c r="V3877" i="11"/>
  <c r="V3878" i="11"/>
  <c r="V3879" i="11"/>
  <c r="V3880" i="11"/>
  <c r="V3881" i="11"/>
  <c r="V3882" i="11"/>
  <c r="V3883" i="11"/>
  <c r="V3884" i="11"/>
  <c r="V3885" i="11"/>
  <c r="V3886" i="11"/>
  <c r="V3887" i="11"/>
  <c r="V3888" i="11"/>
  <c r="V3889" i="11"/>
  <c r="V3890" i="11"/>
  <c r="V3891" i="11"/>
  <c r="V3892" i="11"/>
  <c r="V3893" i="11"/>
  <c r="V3894" i="11"/>
  <c r="V3895" i="11"/>
  <c r="V3896" i="11"/>
  <c r="V3897" i="11"/>
  <c r="V3898" i="11"/>
  <c r="V3899" i="11"/>
  <c r="V3900" i="11"/>
  <c r="V3901" i="11"/>
  <c r="V3902" i="11"/>
  <c r="V3903" i="11"/>
  <c r="V3904" i="11"/>
  <c r="V3905" i="11"/>
  <c r="V3906" i="11"/>
  <c r="V3907" i="11"/>
  <c r="V3908" i="11"/>
  <c r="V3909" i="11"/>
  <c r="V3910" i="11"/>
  <c r="V3911" i="11"/>
  <c r="V3912" i="11"/>
  <c r="V3913" i="11"/>
  <c r="V3914" i="11"/>
  <c r="V3915" i="11"/>
  <c r="V3916" i="11"/>
  <c r="V3917" i="11"/>
  <c r="V3918" i="11"/>
  <c r="V3919" i="11"/>
  <c r="V3920" i="11"/>
  <c r="V3921" i="11"/>
  <c r="V3922" i="11"/>
  <c r="V3923" i="11"/>
  <c r="V3924" i="11"/>
  <c r="V3925" i="11"/>
  <c r="V3926" i="11"/>
  <c r="V3927" i="11"/>
  <c r="V3928" i="11"/>
  <c r="V3929" i="11"/>
  <c r="V3930" i="11"/>
  <c r="V3931" i="11"/>
  <c r="V3932" i="11"/>
  <c r="V3933" i="11"/>
  <c r="V3934" i="11"/>
  <c r="V3935" i="11"/>
  <c r="V3936" i="11"/>
  <c r="V3937" i="11"/>
  <c r="V3938" i="11"/>
  <c r="V3939" i="11"/>
  <c r="V3940" i="11"/>
  <c r="V3941" i="11"/>
  <c r="V3942" i="11"/>
  <c r="V3943" i="11"/>
  <c r="V3944" i="11"/>
  <c r="V3945" i="11"/>
  <c r="V3946" i="11"/>
  <c r="V3947" i="11"/>
  <c r="V3948" i="11"/>
  <c r="V3949" i="11"/>
  <c r="V3950" i="11"/>
  <c r="V3951" i="11"/>
  <c r="V3952" i="11"/>
  <c r="V3953" i="11"/>
  <c r="V3954" i="11"/>
  <c r="V3955" i="11"/>
  <c r="V3956" i="11"/>
  <c r="V3957" i="11"/>
  <c r="V3958" i="11"/>
  <c r="V3959" i="11"/>
  <c r="V3960" i="11"/>
  <c r="V3961" i="11"/>
  <c r="V3962" i="11"/>
  <c r="V3963" i="11"/>
  <c r="V3964" i="11"/>
  <c r="V3965" i="11"/>
  <c r="V3966" i="11"/>
  <c r="V3967" i="11"/>
  <c r="V3968" i="11"/>
  <c r="V3969" i="11"/>
  <c r="V3970" i="11"/>
  <c r="V3971" i="11"/>
  <c r="V3972" i="11"/>
  <c r="V3973" i="11"/>
  <c r="V3974" i="11"/>
  <c r="V3975" i="11"/>
  <c r="V3976" i="11"/>
  <c r="V3977" i="11"/>
  <c r="V3978" i="11"/>
  <c r="V3979" i="11"/>
  <c r="V3980" i="11"/>
  <c r="V3981" i="11"/>
  <c r="V3982" i="11"/>
  <c r="V3983" i="11"/>
  <c r="V3984" i="11"/>
  <c r="V3985" i="11"/>
  <c r="V3986" i="11"/>
  <c r="V3987" i="11"/>
  <c r="V3988" i="11"/>
  <c r="V3989" i="11"/>
  <c r="V3990" i="11"/>
  <c r="V3991" i="11"/>
  <c r="V3992" i="11"/>
  <c r="V3993" i="11"/>
  <c r="V3994" i="11"/>
  <c r="V3995" i="11"/>
  <c r="V3996" i="11"/>
  <c r="V3997" i="11"/>
  <c r="V3998" i="11"/>
  <c r="V3999" i="11"/>
  <c r="V4000" i="11"/>
  <c r="V4001" i="11"/>
  <c r="V4002" i="11"/>
  <c r="V4003" i="11"/>
  <c r="V4004" i="11"/>
  <c r="V4005" i="11"/>
  <c r="V4006" i="11"/>
  <c r="V4007" i="11"/>
  <c r="V4008" i="11"/>
  <c r="V4009" i="11"/>
  <c r="V4010" i="11"/>
  <c r="V4011" i="11"/>
  <c r="V4012" i="11"/>
  <c r="V4013" i="11"/>
  <c r="V4014" i="11"/>
  <c r="V4015" i="11"/>
  <c r="V4016" i="11"/>
  <c r="V4017" i="11"/>
  <c r="V4018" i="11"/>
  <c r="V4019" i="11"/>
  <c r="V4020" i="11"/>
  <c r="V4021" i="11"/>
  <c r="V4022" i="11"/>
  <c r="V4023" i="11"/>
  <c r="V4024" i="11"/>
  <c r="V4025" i="11"/>
  <c r="V4026" i="11"/>
  <c r="V4027" i="11"/>
  <c r="V4028" i="11"/>
  <c r="V4029" i="11"/>
  <c r="V4030" i="11"/>
  <c r="V4031" i="11"/>
  <c r="V4032" i="11"/>
  <c r="V4033" i="11"/>
  <c r="V4034" i="11"/>
  <c r="V4035" i="11"/>
  <c r="V4036" i="11"/>
  <c r="V4037" i="11"/>
  <c r="V4038" i="11"/>
  <c r="V4039" i="11"/>
  <c r="V4040" i="11"/>
  <c r="V4041" i="11"/>
  <c r="V4042" i="11"/>
  <c r="V4043" i="11"/>
  <c r="V4044" i="11"/>
  <c r="V4045" i="11"/>
  <c r="V4046" i="11"/>
  <c r="V4047" i="11"/>
  <c r="V4048" i="11"/>
  <c r="V4049" i="11"/>
  <c r="V4050" i="11"/>
  <c r="V4051" i="11"/>
  <c r="V4052" i="11"/>
  <c r="V4053" i="11"/>
  <c r="V4054" i="11"/>
  <c r="V4055" i="11"/>
  <c r="V4056" i="11"/>
  <c r="V4057" i="11"/>
  <c r="V4058" i="11"/>
  <c r="V4059" i="11"/>
  <c r="V4060" i="11"/>
  <c r="V4061" i="11"/>
  <c r="V4062" i="11"/>
  <c r="V4063" i="11"/>
  <c r="V4064" i="11"/>
  <c r="V4065" i="11"/>
  <c r="V4066" i="11"/>
  <c r="V4067" i="11"/>
  <c r="V4068" i="11"/>
  <c r="V4069" i="11"/>
  <c r="V4070" i="11"/>
  <c r="V4071" i="11"/>
  <c r="V4072" i="11"/>
  <c r="V4073" i="11"/>
  <c r="V4074" i="11"/>
  <c r="V4075" i="11"/>
  <c r="V4076" i="11"/>
  <c r="V4077" i="11"/>
  <c r="V4078" i="11"/>
  <c r="V4079" i="11"/>
  <c r="V4080" i="11"/>
  <c r="V4081" i="11"/>
  <c r="V4082" i="11"/>
  <c r="V4083" i="11"/>
  <c r="V4084" i="11"/>
  <c r="V4085" i="11"/>
  <c r="V4086" i="11"/>
  <c r="V4087" i="11"/>
  <c r="V4088" i="11"/>
  <c r="V4089" i="11"/>
  <c r="V4090" i="11"/>
  <c r="V4091" i="11"/>
  <c r="V4092" i="11"/>
  <c r="V4093" i="11"/>
  <c r="V4094" i="11"/>
  <c r="V4095" i="11"/>
  <c r="V4096" i="11"/>
  <c r="V4097" i="11"/>
  <c r="V4098" i="11"/>
  <c r="V4099" i="11"/>
  <c r="V4100" i="11"/>
  <c r="V4101" i="11"/>
  <c r="V4102" i="11"/>
  <c r="V4103" i="11"/>
  <c r="V4104" i="11"/>
  <c r="V4105" i="11"/>
  <c r="V4106" i="11"/>
  <c r="V4107" i="11"/>
  <c r="V4108" i="11"/>
  <c r="V4109" i="11"/>
  <c r="V4110" i="11"/>
  <c r="V4111" i="11"/>
  <c r="V4112" i="11"/>
  <c r="V4113" i="11"/>
  <c r="V4114" i="11"/>
  <c r="V4115" i="11"/>
  <c r="V4116" i="11"/>
  <c r="V4117" i="11"/>
  <c r="V4118" i="11"/>
  <c r="V4119" i="11"/>
  <c r="V4120" i="11"/>
  <c r="V4121" i="11"/>
  <c r="V4122" i="11"/>
  <c r="V4123" i="11"/>
  <c r="V4124" i="11"/>
  <c r="V4125" i="11"/>
  <c r="V4126" i="11"/>
  <c r="V4127" i="11"/>
  <c r="V4128" i="11"/>
  <c r="V4129" i="11"/>
  <c r="V4130" i="11"/>
  <c r="V4131" i="11"/>
  <c r="V4132" i="11"/>
  <c r="V4133" i="11"/>
  <c r="V4134" i="11"/>
  <c r="V4135" i="11"/>
  <c r="V4136" i="11"/>
  <c r="V4137" i="11"/>
  <c r="V4138" i="11"/>
  <c r="V4139" i="11"/>
  <c r="V4140" i="11"/>
  <c r="V4141" i="11"/>
  <c r="V4142" i="11"/>
  <c r="V4143" i="11"/>
  <c r="V4144" i="11"/>
  <c r="V4145" i="11"/>
  <c r="V4146" i="11"/>
  <c r="V4147" i="11"/>
  <c r="V4148" i="11"/>
  <c r="V4149" i="11"/>
  <c r="V4150" i="11"/>
  <c r="V4151" i="11"/>
  <c r="V4152" i="11"/>
  <c r="V4153" i="11"/>
  <c r="V4154" i="11"/>
  <c r="V4155" i="11"/>
  <c r="V4156" i="11"/>
  <c r="V4157" i="11"/>
  <c r="V4158" i="11"/>
  <c r="V4159" i="11"/>
  <c r="V4160" i="11"/>
  <c r="V4161" i="11"/>
  <c r="V4162" i="11"/>
  <c r="V4163" i="11"/>
  <c r="V4164" i="11"/>
  <c r="V4165" i="11"/>
  <c r="V4166" i="11"/>
  <c r="V4167" i="11"/>
  <c r="V4168" i="11"/>
  <c r="V4169" i="11"/>
  <c r="V4170" i="11"/>
  <c r="V4171" i="11"/>
  <c r="V4172" i="11"/>
  <c r="V4173" i="11"/>
  <c r="V4174" i="11"/>
  <c r="V4175" i="11"/>
  <c r="V4176" i="11"/>
  <c r="V4177" i="11"/>
  <c r="V4178" i="11"/>
  <c r="V4179" i="11"/>
  <c r="V4180" i="11"/>
  <c r="V4181" i="11"/>
  <c r="V4182" i="11"/>
  <c r="V4183" i="11"/>
  <c r="V4184" i="11"/>
  <c r="V4185" i="11"/>
  <c r="V4186" i="11"/>
  <c r="V4187" i="11"/>
  <c r="V4188" i="11"/>
  <c r="V4189" i="11"/>
  <c r="V4190" i="11"/>
  <c r="V4191" i="11"/>
  <c r="V4192" i="11"/>
  <c r="V4193" i="11"/>
  <c r="V4194" i="11"/>
  <c r="V4195" i="11"/>
  <c r="V4196" i="11"/>
  <c r="V4197" i="11"/>
  <c r="V4198" i="11"/>
  <c r="V4199" i="11"/>
  <c r="V4200" i="11"/>
  <c r="V4201" i="11"/>
  <c r="V4202" i="11"/>
  <c r="V4203" i="11"/>
  <c r="V4204" i="11"/>
  <c r="V4205" i="11"/>
  <c r="V4206" i="11"/>
  <c r="V4207" i="11"/>
  <c r="V4208" i="11"/>
  <c r="V4209" i="11"/>
  <c r="V4210" i="11"/>
  <c r="V4211" i="11"/>
  <c r="V4212" i="11"/>
  <c r="V4213" i="11"/>
  <c r="V4214" i="11"/>
  <c r="V4215" i="11"/>
  <c r="V4216" i="11"/>
  <c r="V4217" i="11"/>
  <c r="V4218" i="11"/>
  <c r="V4219" i="11"/>
  <c r="V4220" i="11"/>
  <c r="V4221" i="11"/>
  <c r="V4222" i="11"/>
  <c r="V4223" i="11"/>
  <c r="V4224" i="11"/>
  <c r="V4225" i="11"/>
  <c r="V4226" i="11"/>
  <c r="V4227" i="11"/>
  <c r="V4228" i="11"/>
  <c r="V4229" i="11"/>
  <c r="V4230" i="11"/>
  <c r="V4231" i="11"/>
  <c r="V4232" i="11"/>
  <c r="V4233" i="11"/>
  <c r="V4234" i="11"/>
  <c r="V4235" i="11"/>
  <c r="V4236" i="11"/>
  <c r="V4237" i="11"/>
  <c r="V4238" i="11"/>
  <c r="V4239" i="11"/>
  <c r="V4240" i="11"/>
  <c r="V4241" i="11"/>
  <c r="V4242" i="11"/>
  <c r="V4243" i="11"/>
  <c r="V4244" i="11"/>
  <c r="V4245" i="11"/>
  <c r="V4246" i="11"/>
  <c r="V4247" i="11"/>
  <c r="V4248" i="11"/>
  <c r="V4249" i="11"/>
  <c r="V4250" i="11"/>
  <c r="V4251" i="11"/>
  <c r="V4252" i="11"/>
  <c r="V4253" i="11"/>
  <c r="V4254" i="11"/>
  <c r="V4255" i="11"/>
  <c r="V4256" i="11"/>
  <c r="V4257" i="11"/>
  <c r="V4258" i="11"/>
  <c r="V4259" i="11"/>
  <c r="V4260" i="11"/>
  <c r="V4261" i="11"/>
  <c r="V4262" i="11"/>
  <c r="V4263" i="11"/>
  <c r="V4264" i="11"/>
  <c r="V4265" i="11"/>
  <c r="V4266" i="11"/>
  <c r="V4267" i="11"/>
  <c r="V4268" i="11"/>
  <c r="V4269" i="11"/>
  <c r="V4270" i="11"/>
  <c r="V4271" i="11"/>
  <c r="V4272" i="11"/>
  <c r="V4273" i="11"/>
  <c r="V4274" i="11"/>
  <c r="V4275" i="11"/>
  <c r="V4276" i="11"/>
  <c r="V4277" i="11"/>
  <c r="V4278" i="11"/>
  <c r="V4279" i="11"/>
  <c r="V4280" i="11"/>
  <c r="V4281" i="11"/>
  <c r="V4282" i="11"/>
  <c r="V4283" i="11"/>
  <c r="V4284" i="11"/>
  <c r="V4285" i="11"/>
  <c r="V4286" i="11"/>
  <c r="V4287" i="11"/>
  <c r="V4288" i="11"/>
  <c r="V4289" i="11"/>
  <c r="V4290" i="11"/>
  <c r="V4291" i="11"/>
  <c r="V4292" i="11"/>
  <c r="V4293" i="11"/>
  <c r="V4294" i="11"/>
  <c r="V4295" i="11"/>
  <c r="V4296" i="11"/>
  <c r="V4297" i="11"/>
  <c r="V4298" i="11"/>
  <c r="V4299" i="11"/>
  <c r="V4300" i="11"/>
  <c r="V4301" i="11"/>
  <c r="V4302" i="11"/>
  <c r="V4303" i="11"/>
  <c r="V4304" i="11"/>
  <c r="V4305" i="11"/>
  <c r="V4306" i="11"/>
  <c r="V4307" i="11"/>
  <c r="V4308" i="11"/>
  <c r="V4309" i="11"/>
  <c r="V4310" i="11"/>
  <c r="V4311" i="11"/>
  <c r="V4312" i="11"/>
  <c r="V4313" i="11"/>
  <c r="V4314" i="11"/>
  <c r="V4315" i="11"/>
  <c r="V4316" i="11"/>
  <c r="V4317" i="11"/>
  <c r="V4318" i="11"/>
  <c r="V4319" i="11"/>
  <c r="V4320" i="11"/>
  <c r="V4321" i="11"/>
  <c r="V4322" i="11"/>
  <c r="V4323" i="11"/>
  <c r="V4324" i="11"/>
  <c r="V4325" i="11"/>
  <c r="V4326" i="11"/>
  <c r="V4327" i="11"/>
  <c r="V4328" i="11"/>
  <c r="V4329" i="11"/>
  <c r="V4330" i="11"/>
  <c r="V4331" i="11"/>
  <c r="V4332" i="11"/>
  <c r="V4333" i="11"/>
  <c r="V4334" i="11"/>
  <c r="V4335" i="11"/>
  <c r="V4336" i="11"/>
  <c r="V4337" i="11"/>
  <c r="V4338" i="11"/>
  <c r="V4339" i="11"/>
  <c r="V4340" i="11"/>
  <c r="V4341" i="11"/>
  <c r="V4342" i="11"/>
  <c r="V4343" i="11"/>
  <c r="V4344" i="11"/>
  <c r="V4345" i="11"/>
  <c r="V4346" i="11"/>
  <c r="V4347" i="11"/>
  <c r="V4348" i="11"/>
  <c r="V4349" i="11"/>
  <c r="V4350" i="11"/>
  <c r="V4351" i="11"/>
  <c r="V4352" i="11"/>
  <c r="V4353" i="11"/>
  <c r="V4354" i="11"/>
  <c r="V4355" i="11"/>
  <c r="V4356" i="11"/>
  <c r="V4357" i="11"/>
  <c r="V4358" i="11"/>
  <c r="V4359" i="11"/>
  <c r="V4360" i="11"/>
  <c r="V4361" i="11"/>
  <c r="V4362" i="11"/>
  <c r="V4363" i="11"/>
  <c r="V4364" i="11"/>
  <c r="V4365" i="11"/>
  <c r="V4366" i="11"/>
  <c r="V4367" i="11"/>
  <c r="V4368" i="11"/>
  <c r="V4369" i="11"/>
  <c r="V4370" i="11"/>
  <c r="V4371" i="11"/>
  <c r="V4372" i="11"/>
  <c r="V4373" i="11"/>
  <c r="V4374" i="11"/>
  <c r="V4375" i="11"/>
  <c r="V4376" i="11"/>
  <c r="V4377" i="11"/>
  <c r="V4378" i="11"/>
  <c r="V4379" i="11"/>
  <c r="V4380" i="11"/>
  <c r="V4381" i="11"/>
  <c r="V4382" i="11"/>
  <c r="V4383" i="11"/>
  <c r="V4384" i="11"/>
  <c r="V4385" i="11"/>
  <c r="V4386" i="11"/>
  <c r="V4387" i="11"/>
  <c r="V4388" i="11"/>
  <c r="V4389" i="11"/>
  <c r="V4390" i="11"/>
  <c r="V4391" i="11"/>
  <c r="V4392" i="11"/>
  <c r="V4393" i="11"/>
  <c r="V4394" i="11"/>
  <c r="V4395" i="11"/>
  <c r="V4396" i="11"/>
  <c r="V4397" i="11"/>
  <c r="V4398" i="11"/>
  <c r="V4399" i="11"/>
  <c r="V4400" i="11"/>
  <c r="V4401" i="11"/>
  <c r="V4402" i="11"/>
  <c r="V4403" i="11"/>
  <c r="V4404" i="11"/>
  <c r="V4405" i="11"/>
  <c r="V4406" i="11"/>
  <c r="V4407" i="11"/>
  <c r="V4408" i="11"/>
  <c r="V4409" i="11"/>
  <c r="V4410" i="11"/>
  <c r="V4411" i="11"/>
  <c r="V4412" i="11"/>
  <c r="V4413" i="11"/>
  <c r="V4414" i="11"/>
  <c r="V4415" i="11"/>
  <c r="V4416" i="11"/>
  <c r="V4417" i="11"/>
  <c r="V4418" i="11"/>
  <c r="V4419" i="11"/>
  <c r="V4420" i="11"/>
  <c r="V4421" i="11"/>
  <c r="V4422" i="11"/>
  <c r="V4423" i="11"/>
  <c r="V4424" i="11"/>
  <c r="V4425" i="11"/>
  <c r="V4426" i="11"/>
  <c r="V4427" i="11"/>
  <c r="V4428" i="11"/>
  <c r="V4429" i="11"/>
  <c r="V4430" i="11"/>
  <c r="V4431" i="11"/>
  <c r="V4432" i="11"/>
  <c r="V4433" i="11"/>
  <c r="V4434" i="11"/>
  <c r="V4435" i="11"/>
  <c r="V4436" i="11"/>
  <c r="V4437" i="11"/>
  <c r="V4438" i="11"/>
  <c r="V4439" i="11"/>
  <c r="V4440" i="11"/>
  <c r="V4441" i="11"/>
  <c r="V4442" i="11"/>
  <c r="V4443" i="11"/>
  <c r="V4444" i="11"/>
  <c r="V4445" i="11"/>
  <c r="V4446" i="11"/>
  <c r="V4447" i="11"/>
  <c r="V4448" i="11"/>
  <c r="V4449" i="11"/>
  <c r="V4450" i="11"/>
  <c r="V4451" i="11"/>
  <c r="V4452" i="11"/>
  <c r="V4453" i="11"/>
  <c r="V4454" i="11"/>
  <c r="V4455" i="11"/>
  <c r="V4456" i="11"/>
  <c r="V4457" i="11"/>
  <c r="V4458" i="11"/>
  <c r="V4459" i="11"/>
  <c r="V4460" i="11"/>
  <c r="V4461" i="11"/>
  <c r="V4462" i="11"/>
  <c r="V4463" i="11"/>
  <c r="V4464" i="11"/>
  <c r="V4465" i="11"/>
  <c r="V4466" i="11"/>
  <c r="V4467" i="11"/>
  <c r="V4468" i="11"/>
  <c r="V4469" i="11"/>
  <c r="V4470" i="11"/>
  <c r="V4471" i="11"/>
  <c r="V4472" i="11"/>
  <c r="V4473" i="11"/>
  <c r="V4474" i="11"/>
  <c r="V4475" i="11"/>
  <c r="V4476" i="11"/>
  <c r="V4477" i="11"/>
  <c r="V4478" i="11"/>
  <c r="V4479" i="11"/>
  <c r="V4480" i="11"/>
  <c r="V4481" i="11"/>
  <c r="V4482" i="11"/>
  <c r="V4483" i="11"/>
  <c r="V4484" i="11"/>
  <c r="V4485" i="11"/>
  <c r="V4486" i="11"/>
  <c r="V4487" i="11"/>
  <c r="V4488" i="11"/>
  <c r="V4489" i="11"/>
  <c r="V4490" i="11"/>
  <c r="V4491" i="11"/>
  <c r="V4492" i="11"/>
  <c r="V4493" i="11"/>
  <c r="V4494" i="11"/>
  <c r="V4495" i="11"/>
  <c r="V4496" i="11"/>
  <c r="V4497" i="11"/>
  <c r="V4498" i="11"/>
  <c r="V4499" i="11"/>
  <c r="V4500" i="11"/>
  <c r="V4501" i="11"/>
  <c r="V4502" i="11"/>
  <c r="V4503" i="11"/>
  <c r="V4504" i="11"/>
  <c r="V4505" i="11"/>
  <c r="V4506" i="11"/>
  <c r="V4507" i="11"/>
  <c r="V4508" i="11"/>
  <c r="V4509" i="11"/>
  <c r="V4510" i="11"/>
  <c r="V4511" i="11"/>
  <c r="V4512" i="11"/>
  <c r="V4513" i="11"/>
  <c r="V4514" i="11"/>
  <c r="V4515" i="11"/>
  <c r="V4516" i="11"/>
  <c r="V4517" i="11"/>
  <c r="V4518" i="11"/>
  <c r="V4519" i="11"/>
  <c r="V4520" i="11"/>
  <c r="V4521" i="11"/>
  <c r="V4522" i="11"/>
  <c r="V4523" i="11"/>
  <c r="V4524" i="11"/>
  <c r="V4525" i="11"/>
  <c r="V4526" i="11"/>
  <c r="V4527" i="11"/>
  <c r="V4528" i="11"/>
  <c r="V4529" i="11"/>
  <c r="V4530" i="11"/>
  <c r="V4531" i="11"/>
  <c r="V4532" i="11"/>
  <c r="V4533" i="11"/>
  <c r="V4534" i="11"/>
  <c r="V4535" i="11"/>
  <c r="V4536" i="11"/>
  <c r="V4537" i="11"/>
  <c r="V4538" i="11"/>
  <c r="V4539" i="11"/>
  <c r="V4540" i="11"/>
  <c r="V4541" i="11"/>
  <c r="V4542" i="11"/>
  <c r="V4543" i="11"/>
  <c r="V4544" i="11"/>
  <c r="V4545" i="11"/>
  <c r="V4546" i="11"/>
  <c r="V4547" i="11"/>
  <c r="V4548" i="11"/>
  <c r="V4549" i="11"/>
  <c r="V4550" i="11"/>
  <c r="V4551" i="11"/>
  <c r="V4552" i="11"/>
  <c r="V4553" i="11"/>
  <c r="V4554" i="11"/>
  <c r="V4555" i="11"/>
  <c r="V4556" i="11"/>
  <c r="V4557" i="11"/>
  <c r="V4558" i="11"/>
  <c r="V4559" i="11"/>
  <c r="V4560" i="11"/>
  <c r="V4561" i="11"/>
  <c r="V4562" i="11"/>
  <c r="V4563" i="11"/>
  <c r="V4564" i="11"/>
  <c r="V4565" i="11"/>
  <c r="V4566" i="11"/>
  <c r="V4567" i="11"/>
  <c r="V4568" i="11"/>
  <c r="V4569" i="11"/>
  <c r="V4570" i="11"/>
  <c r="V4571" i="11"/>
  <c r="V4572" i="11"/>
  <c r="V4573" i="11"/>
  <c r="V4574" i="11"/>
  <c r="V4575" i="11"/>
  <c r="V4576" i="11"/>
  <c r="V4577" i="11"/>
  <c r="V4578" i="11"/>
  <c r="V4579" i="11"/>
  <c r="V4580" i="11"/>
  <c r="V4581" i="11"/>
  <c r="V4582" i="11"/>
  <c r="V4583" i="11"/>
  <c r="V4584" i="11"/>
  <c r="V4585" i="11"/>
  <c r="V4586" i="11"/>
  <c r="V4587" i="11"/>
  <c r="V4588" i="11"/>
  <c r="V4589" i="11"/>
  <c r="V4590" i="11"/>
  <c r="V4591" i="11"/>
  <c r="V4592" i="11"/>
  <c r="V4593" i="11"/>
  <c r="V4594" i="11"/>
  <c r="V4595" i="11"/>
  <c r="V4596" i="11"/>
  <c r="V4597" i="11"/>
  <c r="V4598" i="11"/>
  <c r="V4599" i="11"/>
  <c r="V4600" i="11"/>
  <c r="V4601" i="11"/>
  <c r="V4602" i="11"/>
  <c r="V4603" i="11"/>
  <c r="V4604" i="11"/>
  <c r="V4605" i="11"/>
  <c r="V4606" i="11"/>
  <c r="V4607" i="11"/>
  <c r="V4608" i="11"/>
  <c r="V4609" i="11"/>
  <c r="V4610" i="11"/>
  <c r="V4611" i="11"/>
  <c r="V4612" i="11"/>
  <c r="V4613" i="11"/>
  <c r="V4614" i="11"/>
  <c r="V4615" i="11"/>
  <c r="V4616" i="11"/>
  <c r="V4617" i="11"/>
  <c r="V4618" i="11"/>
  <c r="V4619" i="11"/>
  <c r="V4620" i="11"/>
  <c r="V4621" i="11"/>
  <c r="V4622" i="11"/>
  <c r="V4623" i="11"/>
  <c r="V4624" i="11"/>
  <c r="V4625" i="11"/>
  <c r="V4626" i="11"/>
  <c r="V4627" i="11"/>
  <c r="V4628" i="11"/>
  <c r="V4629" i="11"/>
  <c r="V4630" i="11"/>
  <c r="V4631" i="11"/>
  <c r="V4632" i="11"/>
  <c r="V4633" i="11"/>
  <c r="V4634" i="11"/>
  <c r="V4635" i="11"/>
  <c r="V4636" i="11"/>
  <c r="V4637" i="11"/>
  <c r="V4638" i="11"/>
  <c r="V4639" i="11"/>
  <c r="V4640" i="11"/>
  <c r="V4641" i="11"/>
  <c r="V4642" i="11"/>
  <c r="V4643" i="11"/>
  <c r="V4644" i="11"/>
  <c r="V4645" i="11"/>
  <c r="V4646" i="11"/>
  <c r="V4647" i="11"/>
  <c r="V4648" i="11"/>
  <c r="V4649" i="11"/>
  <c r="V4650" i="11"/>
  <c r="V4651" i="11"/>
  <c r="V4652" i="11"/>
  <c r="V4653" i="11"/>
  <c r="V4654" i="11"/>
  <c r="V4655" i="11"/>
  <c r="V4656" i="11"/>
  <c r="V4657" i="11"/>
  <c r="V4658" i="11"/>
  <c r="V4659" i="11"/>
  <c r="V4660" i="11"/>
  <c r="V4661" i="11"/>
  <c r="V4662" i="11"/>
  <c r="V4663" i="11"/>
  <c r="V4664" i="11"/>
  <c r="V4665" i="11"/>
  <c r="V4666" i="11"/>
  <c r="V4667" i="11"/>
  <c r="V4668" i="11"/>
  <c r="V4669" i="11"/>
  <c r="V4670" i="11"/>
  <c r="V4671" i="11"/>
  <c r="V4672" i="11"/>
  <c r="V4673" i="11"/>
  <c r="V4674" i="11"/>
  <c r="V4675" i="11"/>
  <c r="V4676" i="11"/>
  <c r="V4677" i="11"/>
  <c r="V4678" i="11"/>
  <c r="V4679" i="11"/>
  <c r="V4680" i="11"/>
  <c r="V4681" i="11"/>
  <c r="V4682" i="11"/>
  <c r="V4683" i="11"/>
  <c r="V4684" i="11"/>
  <c r="V4685" i="11"/>
  <c r="V4686" i="11"/>
  <c r="V4687" i="11"/>
  <c r="V4688" i="11"/>
  <c r="V4689" i="11"/>
  <c r="V4690" i="11"/>
  <c r="V4691" i="11"/>
  <c r="V4692" i="11"/>
  <c r="V4693" i="11"/>
  <c r="V4694" i="11"/>
  <c r="V4695" i="11"/>
  <c r="V4696" i="11"/>
  <c r="V4697" i="11"/>
  <c r="V4698" i="11"/>
  <c r="V4699" i="11"/>
  <c r="V4700" i="11"/>
  <c r="V4701" i="11"/>
  <c r="V4702" i="11"/>
  <c r="V4703" i="11"/>
  <c r="V4704" i="11"/>
  <c r="V4705" i="11"/>
  <c r="V4706" i="11"/>
  <c r="V4707" i="11"/>
  <c r="V4708" i="11"/>
  <c r="V4709" i="11"/>
  <c r="V4710" i="11"/>
  <c r="V4711" i="11"/>
  <c r="V4712" i="11"/>
  <c r="V4713" i="11"/>
  <c r="V4714" i="11"/>
  <c r="V4715" i="11"/>
  <c r="V4716" i="11"/>
  <c r="V4717" i="11"/>
  <c r="V4718" i="11"/>
  <c r="V4719" i="11"/>
  <c r="V4720" i="11"/>
  <c r="V4721" i="11"/>
  <c r="V4722" i="11"/>
  <c r="V4723" i="11"/>
  <c r="V4724" i="11"/>
  <c r="V4725" i="11"/>
  <c r="V4726" i="11"/>
  <c r="V4727" i="11"/>
  <c r="V4728" i="11"/>
  <c r="V4729" i="11"/>
  <c r="V4730" i="11"/>
  <c r="V4731" i="11"/>
  <c r="V4732" i="11"/>
  <c r="V4733" i="11"/>
  <c r="V4734" i="11"/>
  <c r="V4735" i="11"/>
  <c r="V4736" i="11"/>
  <c r="V4737" i="11"/>
  <c r="V4738" i="11"/>
  <c r="V4739" i="11"/>
  <c r="V4740" i="11"/>
  <c r="V4741" i="11"/>
  <c r="V4742" i="11"/>
  <c r="V4743" i="11"/>
  <c r="V4744" i="11"/>
  <c r="V4745" i="11"/>
  <c r="V4746" i="11"/>
  <c r="V4747" i="11"/>
  <c r="V4748" i="11"/>
  <c r="V4749" i="11"/>
  <c r="V4750" i="11"/>
  <c r="V4751" i="11"/>
  <c r="V4752" i="11"/>
  <c r="V4753" i="11"/>
  <c r="V4754" i="11"/>
  <c r="V4755" i="11"/>
  <c r="V4756" i="11"/>
  <c r="V4757" i="11"/>
  <c r="V4758" i="11"/>
  <c r="V4759" i="11"/>
  <c r="V4760" i="11"/>
  <c r="V4761" i="11"/>
  <c r="V4762" i="11"/>
  <c r="V4763" i="11"/>
  <c r="V4764" i="11"/>
  <c r="V4765" i="11"/>
  <c r="V4766" i="11"/>
  <c r="V4767" i="11"/>
  <c r="V4768" i="11"/>
  <c r="V4769" i="11"/>
  <c r="V4770" i="11"/>
  <c r="V4771" i="11"/>
  <c r="V4772" i="11"/>
  <c r="V4773" i="11"/>
  <c r="V4774" i="11"/>
  <c r="V4775" i="11"/>
  <c r="V4776" i="11"/>
  <c r="V4777" i="11"/>
  <c r="V4778" i="11"/>
  <c r="V4779" i="11"/>
  <c r="V4780" i="11"/>
  <c r="V4781" i="11"/>
  <c r="V4782" i="11"/>
  <c r="V4783" i="11"/>
  <c r="V4784" i="11"/>
  <c r="V4785" i="11"/>
  <c r="V4786" i="11"/>
  <c r="V4787" i="11"/>
  <c r="V4788" i="11"/>
  <c r="V4789" i="11"/>
  <c r="V4790" i="11"/>
  <c r="V4791" i="11"/>
  <c r="V4792" i="11"/>
  <c r="V4793" i="11"/>
  <c r="V4794" i="11"/>
  <c r="V4795" i="11"/>
  <c r="V4796" i="11"/>
  <c r="V4797" i="11"/>
  <c r="V4798" i="11"/>
  <c r="V4799" i="11"/>
  <c r="V4800" i="11"/>
  <c r="V4801" i="11"/>
  <c r="V4802" i="11"/>
  <c r="V4803" i="11"/>
  <c r="V4804" i="11"/>
  <c r="V4805" i="11"/>
  <c r="V4806" i="11"/>
  <c r="V4807" i="11"/>
  <c r="V4808" i="11"/>
  <c r="V4809" i="11"/>
  <c r="V4810" i="11"/>
  <c r="V4811" i="11"/>
  <c r="V4812" i="11"/>
  <c r="V4813" i="11"/>
  <c r="V4814" i="11"/>
  <c r="V4815" i="11"/>
  <c r="V4816" i="11"/>
  <c r="V4817" i="11"/>
  <c r="V4818" i="11"/>
  <c r="V4819" i="11"/>
  <c r="V4820" i="11"/>
  <c r="V4821" i="11"/>
  <c r="V4822" i="11"/>
  <c r="V4823" i="11"/>
  <c r="V4824" i="11"/>
  <c r="V4825" i="11"/>
  <c r="V4826" i="11"/>
  <c r="V4827" i="11"/>
  <c r="V4828" i="11"/>
  <c r="V4829" i="11"/>
  <c r="V4830" i="11"/>
  <c r="V4831" i="11"/>
  <c r="V4832" i="11"/>
  <c r="V4833" i="11"/>
  <c r="V4834" i="11"/>
  <c r="V4835" i="11"/>
  <c r="V4836" i="11"/>
  <c r="V4837" i="11"/>
  <c r="V4838" i="11"/>
  <c r="V4839" i="11"/>
  <c r="V4840" i="11"/>
  <c r="V4841" i="11"/>
  <c r="V4842" i="11"/>
  <c r="V4843" i="11"/>
  <c r="V4844" i="11"/>
  <c r="V4845" i="11"/>
  <c r="V4846" i="11"/>
  <c r="V4847" i="11"/>
  <c r="V4848" i="11"/>
  <c r="V4849" i="11"/>
  <c r="V4850" i="11"/>
  <c r="V4851" i="11"/>
  <c r="V4852" i="11"/>
  <c r="V4853" i="11"/>
  <c r="V4854" i="11"/>
  <c r="V4855" i="11"/>
  <c r="V4856" i="11"/>
  <c r="V4857" i="11"/>
  <c r="V4858" i="11"/>
  <c r="V4859" i="11"/>
  <c r="V4860" i="11"/>
  <c r="V4861" i="11"/>
  <c r="V4862" i="11"/>
  <c r="V4863" i="11"/>
  <c r="V4864" i="11"/>
  <c r="V4865" i="11"/>
  <c r="V4866" i="11"/>
  <c r="V4867" i="11"/>
  <c r="V4868" i="11"/>
  <c r="V4869" i="11"/>
  <c r="V4870" i="11"/>
  <c r="V4871" i="11"/>
  <c r="V4872" i="11"/>
  <c r="V4873" i="11"/>
  <c r="V4874" i="11"/>
  <c r="V4875" i="11"/>
  <c r="V4876" i="11"/>
  <c r="V4877" i="11"/>
  <c r="V4878" i="11"/>
  <c r="V4879" i="11"/>
  <c r="V4880" i="11"/>
  <c r="V4881" i="11"/>
  <c r="V4882" i="11"/>
  <c r="V4883" i="11"/>
  <c r="V4884" i="11"/>
  <c r="V4885" i="11"/>
  <c r="V4886" i="11"/>
  <c r="V4887" i="11"/>
  <c r="V4888" i="11"/>
  <c r="V4889" i="11"/>
  <c r="V4890" i="11"/>
  <c r="V4891" i="11"/>
  <c r="V4892" i="11"/>
  <c r="V4893" i="11"/>
  <c r="V4894" i="11"/>
  <c r="V4895" i="11"/>
  <c r="V4896" i="11"/>
  <c r="V4897" i="11"/>
  <c r="V4898" i="11"/>
  <c r="V4899" i="11"/>
  <c r="V4900" i="11"/>
  <c r="V4901" i="11"/>
  <c r="V4902" i="11"/>
  <c r="V4903" i="11"/>
  <c r="V4904" i="11"/>
  <c r="V4905" i="11"/>
  <c r="V4906" i="11"/>
  <c r="V4907" i="11"/>
  <c r="V4908" i="11"/>
  <c r="V4909" i="11"/>
  <c r="V4910" i="11"/>
  <c r="V4911" i="11"/>
  <c r="V4912" i="11"/>
  <c r="V4913" i="11"/>
  <c r="V4914" i="11"/>
  <c r="V4915" i="11"/>
  <c r="V4916" i="11"/>
  <c r="V4917" i="11"/>
  <c r="V4918" i="11"/>
  <c r="V4919" i="11"/>
  <c r="V4920" i="11"/>
  <c r="V4921" i="11"/>
  <c r="V4922" i="11"/>
  <c r="V4923" i="11"/>
  <c r="V4924" i="11"/>
  <c r="V4925" i="11"/>
  <c r="V4926" i="11"/>
  <c r="V4927" i="11"/>
  <c r="V4928" i="11"/>
  <c r="V4929" i="11"/>
  <c r="V4930" i="11"/>
  <c r="V4931" i="11"/>
  <c r="V4932" i="11"/>
  <c r="V4933" i="11"/>
  <c r="V4934" i="11"/>
  <c r="V4935" i="11"/>
  <c r="V4936" i="11"/>
  <c r="V4937" i="11"/>
  <c r="V4938" i="11"/>
  <c r="V4939" i="11"/>
  <c r="V4940" i="11"/>
  <c r="V4941" i="11"/>
  <c r="V4942" i="11"/>
  <c r="V4943" i="11"/>
  <c r="V4944" i="11"/>
  <c r="V4945" i="11"/>
  <c r="V4946" i="11"/>
  <c r="V4947" i="11"/>
  <c r="V4948" i="11"/>
  <c r="V4949" i="11"/>
  <c r="V4950" i="11"/>
  <c r="V4951" i="11"/>
  <c r="V4952" i="11"/>
  <c r="V4953" i="11"/>
  <c r="V4954" i="11"/>
  <c r="V4955" i="11"/>
  <c r="V4956" i="11"/>
  <c r="V4957" i="11"/>
  <c r="V4958" i="11"/>
  <c r="V4959" i="11"/>
  <c r="V4960" i="11"/>
  <c r="V4961" i="11"/>
  <c r="V4962" i="11"/>
  <c r="V4963" i="11"/>
  <c r="V4964" i="11"/>
  <c r="V4965" i="11"/>
  <c r="V4966" i="11"/>
  <c r="V4967" i="11"/>
  <c r="V4968" i="11"/>
  <c r="V4969" i="11"/>
  <c r="V4970" i="11"/>
  <c r="V4971" i="11"/>
  <c r="V4972" i="11"/>
  <c r="V4973" i="11"/>
  <c r="V4974" i="11"/>
  <c r="V4975" i="11"/>
  <c r="V4976" i="11"/>
  <c r="V4977" i="11"/>
  <c r="V4978" i="11"/>
  <c r="V4979" i="11"/>
  <c r="V4980" i="11"/>
  <c r="V4981" i="11"/>
  <c r="V4982" i="11"/>
  <c r="V4983" i="11"/>
  <c r="V4984" i="11"/>
  <c r="V4985" i="11"/>
  <c r="V4986" i="11"/>
  <c r="V4987" i="11"/>
  <c r="V4988" i="11"/>
  <c r="V4989" i="11"/>
  <c r="V4990" i="11"/>
  <c r="V4991" i="11"/>
  <c r="V4992" i="11"/>
  <c r="V4993" i="11"/>
  <c r="V4994" i="11"/>
  <c r="V4995" i="11"/>
  <c r="V4996" i="11"/>
  <c r="V4997" i="11"/>
  <c r="V4998" i="11"/>
  <c r="V4999" i="11"/>
  <c r="V5000" i="11"/>
  <c r="U6" i="11"/>
  <c r="U7" i="11"/>
  <c r="U8" i="11"/>
  <c r="U9" i="11"/>
  <c r="U10" i="11"/>
  <c r="U11" i="11"/>
  <c r="U12" i="11"/>
  <c r="U13" i="11"/>
  <c r="U14" i="11"/>
  <c r="U15" i="11"/>
  <c r="U16" i="11"/>
  <c r="U17" i="11"/>
  <c r="U18" i="11"/>
  <c r="U19" i="11"/>
  <c r="U20" i="11"/>
  <c r="U21" i="11"/>
  <c r="U22" i="11"/>
  <c r="U23" i="11"/>
  <c r="U24" i="11"/>
  <c r="U25" i="11"/>
  <c r="U26" i="11"/>
  <c r="U27" i="11"/>
  <c r="U28" i="11"/>
  <c r="U29" i="11"/>
  <c r="U30" i="11"/>
  <c r="U31" i="11"/>
  <c r="U32" i="11"/>
  <c r="U33" i="11"/>
  <c r="U34" i="11"/>
  <c r="U35" i="11"/>
  <c r="U36" i="11"/>
  <c r="U37" i="11"/>
  <c r="U38" i="11"/>
  <c r="U39" i="11"/>
  <c r="U40" i="11"/>
  <c r="U41" i="11"/>
  <c r="U42" i="11"/>
  <c r="U43" i="11"/>
  <c r="U44" i="11"/>
  <c r="U45" i="11"/>
  <c r="U46" i="11"/>
  <c r="U47" i="11"/>
  <c r="U48" i="11"/>
  <c r="U49" i="11"/>
  <c r="U50" i="11"/>
  <c r="U51" i="11"/>
  <c r="U52" i="11"/>
  <c r="U53" i="11"/>
  <c r="U54" i="11"/>
  <c r="U55" i="11"/>
  <c r="U56" i="11"/>
  <c r="U57" i="11"/>
  <c r="U58" i="11"/>
  <c r="U59" i="11"/>
  <c r="U60" i="11"/>
  <c r="U61" i="11"/>
  <c r="U62" i="11"/>
  <c r="U63" i="11"/>
  <c r="U64" i="11"/>
  <c r="U65" i="11"/>
  <c r="U66" i="11"/>
  <c r="U67" i="11"/>
  <c r="U68" i="11"/>
  <c r="U69" i="11"/>
  <c r="U70" i="11"/>
  <c r="U71" i="11"/>
  <c r="U72" i="11"/>
  <c r="U73" i="11"/>
  <c r="U74" i="11"/>
  <c r="U75" i="11"/>
  <c r="U76" i="11"/>
  <c r="U77" i="11"/>
  <c r="U78" i="11"/>
  <c r="U79" i="11"/>
  <c r="U80" i="11"/>
  <c r="U81" i="11"/>
  <c r="U82" i="11"/>
  <c r="U83" i="11"/>
  <c r="U84" i="11"/>
  <c r="U85" i="11"/>
  <c r="U86" i="11"/>
  <c r="U87" i="11"/>
  <c r="U88" i="11"/>
  <c r="U89" i="11"/>
  <c r="U90" i="11"/>
  <c r="U91" i="11"/>
  <c r="U92" i="11"/>
  <c r="U93" i="11"/>
  <c r="U94" i="11"/>
  <c r="U95" i="11"/>
  <c r="U96" i="11"/>
  <c r="U97" i="11"/>
  <c r="U98" i="11"/>
  <c r="U99" i="11"/>
  <c r="U100" i="11"/>
  <c r="U101" i="11"/>
  <c r="U102" i="11"/>
  <c r="U103" i="11"/>
  <c r="U104" i="11"/>
  <c r="U105" i="11"/>
  <c r="U106" i="11"/>
  <c r="U107" i="11"/>
  <c r="U108" i="11"/>
  <c r="U109" i="11"/>
  <c r="U110" i="11"/>
  <c r="U111" i="11"/>
  <c r="U112" i="11"/>
  <c r="U113" i="11"/>
  <c r="U114" i="11"/>
  <c r="U115" i="11"/>
  <c r="U116" i="11"/>
  <c r="U117" i="11"/>
  <c r="U118" i="11"/>
  <c r="U119" i="11"/>
  <c r="U120" i="11"/>
  <c r="U121" i="11"/>
  <c r="U122" i="11"/>
  <c r="U123" i="11"/>
  <c r="U124" i="11"/>
  <c r="U125" i="11"/>
  <c r="U126" i="11"/>
  <c r="U127" i="11"/>
  <c r="U128" i="11"/>
  <c r="U129" i="11"/>
  <c r="U130" i="11"/>
  <c r="U131" i="11"/>
  <c r="U132" i="11"/>
  <c r="U133" i="11"/>
  <c r="U134" i="11"/>
  <c r="U135" i="11"/>
  <c r="U136" i="11"/>
  <c r="U137" i="11"/>
  <c r="U138" i="11"/>
  <c r="U139" i="11"/>
  <c r="U140" i="11"/>
  <c r="U141" i="11"/>
  <c r="U142" i="11"/>
  <c r="U143" i="11"/>
  <c r="U144" i="11"/>
  <c r="U145" i="11"/>
  <c r="U146" i="11"/>
  <c r="U147" i="11"/>
  <c r="U148" i="11"/>
  <c r="U149" i="11"/>
  <c r="U150" i="11"/>
  <c r="U151" i="11"/>
  <c r="U152" i="11"/>
  <c r="U153" i="11"/>
  <c r="U154" i="11"/>
  <c r="U155" i="11"/>
  <c r="U156" i="11"/>
  <c r="U157" i="11"/>
  <c r="U158" i="11"/>
  <c r="U159" i="11"/>
  <c r="U160" i="11"/>
  <c r="U161" i="11"/>
  <c r="U162" i="11"/>
  <c r="U163" i="11"/>
  <c r="U164" i="11"/>
  <c r="U165" i="11"/>
  <c r="U166" i="11"/>
  <c r="U167" i="11"/>
  <c r="U168" i="11"/>
  <c r="U169" i="11"/>
  <c r="U170" i="11"/>
  <c r="U171" i="11"/>
  <c r="U172" i="11"/>
  <c r="U173" i="11"/>
  <c r="U174" i="11"/>
  <c r="U175" i="11"/>
  <c r="U176" i="11"/>
  <c r="U177" i="11"/>
  <c r="U178" i="11"/>
  <c r="U179" i="11"/>
  <c r="U180" i="11"/>
  <c r="U181" i="11"/>
  <c r="U182" i="11"/>
  <c r="U183" i="11"/>
  <c r="U184" i="11"/>
  <c r="U185" i="11"/>
  <c r="U186" i="11"/>
  <c r="U187" i="11"/>
  <c r="U188" i="11"/>
  <c r="U189" i="11"/>
  <c r="U190" i="11"/>
  <c r="U191" i="11"/>
  <c r="U192" i="11"/>
  <c r="U193" i="11"/>
  <c r="U194" i="11"/>
  <c r="U195" i="11"/>
  <c r="U196" i="11"/>
  <c r="U197" i="11"/>
  <c r="U198" i="11"/>
  <c r="U199" i="11"/>
  <c r="U200" i="11"/>
  <c r="U201" i="11"/>
  <c r="U202" i="11"/>
  <c r="U203" i="11"/>
  <c r="U204" i="11"/>
  <c r="U205" i="11"/>
  <c r="U206" i="11"/>
  <c r="U207" i="11"/>
  <c r="U208" i="11"/>
  <c r="U209" i="11"/>
  <c r="U210" i="11"/>
  <c r="U211" i="11"/>
  <c r="U212" i="11"/>
  <c r="U213" i="11"/>
  <c r="U214" i="11"/>
  <c r="U215" i="11"/>
  <c r="U216" i="11"/>
  <c r="U217" i="11"/>
  <c r="U218" i="11"/>
  <c r="U219" i="11"/>
  <c r="U220" i="11"/>
  <c r="U221" i="11"/>
  <c r="U222" i="11"/>
  <c r="U223" i="11"/>
  <c r="U224" i="11"/>
  <c r="U225" i="11"/>
  <c r="U226" i="11"/>
  <c r="U227" i="11"/>
  <c r="U228" i="11"/>
  <c r="U229" i="11"/>
  <c r="U230" i="11"/>
  <c r="U231" i="11"/>
  <c r="U232" i="11"/>
  <c r="U233" i="11"/>
  <c r="U234" i="11"/>
  <c r="U235" i="11"/>
  <c r="U236" i="11"/>
  <c r="U237" i="11"/>
  <c r="U238" i="11"/>
  <c r="U239" i="11"/>
  <c r="U240" i="11"/>
  <c r="U241" i="11"/>
  <c r="U242" i="11"/>
  <c r="U243" i="11"/>
  <c r="U244" i="11"/>
  <c r="U245" i="11"/>
  <c r="U246" i="11"/>
  <c r="U247" i="11"/>
  <c r="U248" i="11"/>
  <c r="U249" i="11"/>
  <c r="U250" i="11"/>
  <c r="U251" i="11"/>
  <c r="U252" i="11"/>
  <c r="U253" i="11"/>
  <c r="U254" i="11"/>
  <c r="U255" i="11"/>
  <c r="U256" i="11"/>
  <c r="U257" i="11"/>
  <c r="U258" i="11"/>
  <c r="U259" i="11"/>
  <c r="U260" i="11"/>
  <c r="U261" i="11"/>
  <c r="U262" i="11"/>
  <c r="U263" i="11"/>
  <c r="U264" i="11"/>
  <c r="U265" i="11"/>
  <c r="U266" i="11"/>
  <c r="U267" i="11"/>
  <c r="U268" i="11"/>
  <c r="U269" i="11"/>
  <c r="U270" i="11"/>
  <c r="U271" i="11"/>
  <c r="U272" i="11"/>
  <c r="U273" i="11"/>
  <c r="U274" i="11"/>
  <c r="U275" i="11"/>
  <c r="U276" i="11"/>
  <c r="U277" i="11"/>
  <c r="U278" i="11"/>
  <c r="U279" i="11"/>
  <c r="U280" i="11"/>
  <c r="U281" i="11"/>
  <c r="U282" i="11"/>
  <c r="U283" i="11"/>
  <c r="U284" i="11"/>
  <c r="U285" i="11"/>
  <c r="U286" i="11"/>
  <c r="U287" i="11"/>
  <c r="U288" i="11"/>
  <c r="U289" i="11"/>
  <c r="U290" i="11"/>
  <c r="U291" i="11"/>
  <c r="U292" i="11"/>
  <c r="U293" i="11"/>
  <c r="U294" i="11"/>
  <c r="U295" i="11"/>
  <c r="U296" i="11"/>
  <c r="U297" i="11"/>
  <c r="U298" i="11"/>
  <c r="U299" i="11"/>
  <c r="U300" i="11"/>
  <c r="U301" i="11"/>
  <c r="U302" i="11"/>
  <c r="U303" i="11"/>
  <c r="U304" i="11"/>
  <c r="U305" i="11"/>
  <c r="U306" i="11"/>
  <c r="U307" i="11"/>
  <c r="U308" i="11"/>
  <c r="U309" i="11"/>
  <c r="U310" i="11"/>
  <c r="U311" i="11"/>
  <c r="U312" i="11"/>
  <c r="U313" i="11"/>
  <c r="U314" i="11"/>
  <c r="U315" i="11"/>
  <c r="U316" i="11"/>
  <c r="U317" i="11"/>
  <c r="U318" i="11"/>
  <c r="U319" i="11"/>
  <c r="U320" i="11"/>
  <c r="U321" i="11"/>
  <c r="U322" i="11"/>
  <c r="U323" i="11"/>
  <c r="U324" i="11"/>
  <c r="U325" i="11"/>
  <c r="U326" i="11"/>
  <c r="U327" i="11"/>
  <c r="U328" i="11"/>
  <c r="U329" i="11"/>
  <c r="U330" i="11"/>
  <c r="U331" i="11"/>
  <c r="U332" i="11"/>
  <c r="U333" i="11"/>
  <c r="U334" i="11"/>
  <c r="U335" i="11"/>
  <c r="U336" i="11"/>
  <c r="U337" i="11"/>
  <c r="U338" i="11"/>
  <c r="U339" i="11"/>
  <c r="U340" i="11"/>
  <c r="U341" i="11"/>
  <c r="U342" i="11"/>
  <c r="U343" i="11"/>
  <c r="U344" i="11"/>
  <c r="U345" i="11"/>
  <c r="U346" i="11"/>
  <c r="U347" i="11"/>
  <c r="U348" i="11"/>
  <c r="U349" i="11"/>
  <c r="U350" i="11"/>
  <c r="U351" i="11"/>
  <c r="U352" i="11"/>
  <c r="U353" i="11"/>
  <c r="U354" i="11"/>
  <c r="U355" i="11"/>
  <c r="U356" i="11"/>
  <c r="U357" i="11"/>
  <c r="U358" i="11"/>
  <c r="U359" i="11"/>
  <c r="U360" i="11"/>
  <c r="U361" i="11"/>
  <c r="U362" i="11"/>
  <c r="U363" i="11"/>
  <c r="U364" i="11"/>
  <c r="U365" i="11"/>
  <c r="U366" i="11"/>
  <c r="U367" i="11"/>
  <c r="U368" i="11"/>
  <c r="U369" i="11"/>
  <c r="U370" i="11"/>
  <c r="U371" i="11"/>
  <c r="U372" i="11"/>
  <c r="U373" i="11"/>
  <c r="U374" i="11"/>
  <c r="U375" i="11"/>
  <c r="U376" i="11"/>
  <c r="U377" i="11"/>
  <c r="U378" i="11"/>
  <c r="U379" i="11"/>
  <c r="U380" i="11"/>
  <c r="U381" i="11"/>
  <c r="U382" i="11"/>
  <c r="U383" i="11"/>
  <c r="U384" i="11"/>
  <c r="U385" i="11"/>
  <c r="U386" i="11"/>
  <c r="U387" i="11"/>
  <c r="U388" i="11"/>
  <c r="U389" i="11"/>
  <c r="U390" i="11"/>
  <c r="U391" i="11"/>
  <c r="U392" i="11"/>
  <c r="U393" i="11"/>
  <c r="U394" i="11"/>
  <c r="U395" i="11"/>
  <c r="U396" i="11"/>
  <c r="U397" i="11"/>
  <c r="U398" i="11"/>
  <c r="U399" i="11"/>
  <c r="U400" i="11"/>
  <c r="U401" i="11"/>
  <c r="U402" i="11"/>
  <c r="U403" i="11"/>
  <c r="U404" i="11"/>
  <c r="U405" i="11"/>
  <c r="U406" i="11"/>
  <c r="U407" i="11"/>
  <c r="U408" i="11"/>
  <c r="U409" i="11"/>
  <c r="U410" i="11"/>
  <c r="U411" i="11"/>
  <c r="U412" i="11"/>
  <c r="U413" i="11"/>
  <c r="U414" i="11"/>
  <c r="U415" i="11"/>
  <c r="U416" i="11"/>
  <c r="U417" i="11"/>
  <c r="U418" i="11"/>
  <c r="U419" i="11"/>
  <c r="U420" i="11"/>
  <c r="U421" i="11"/>
  <c r="U422" i="11"/>
  <c r="U423" i="11"/>
  <c r="U424" i="11"/>
  <c r="U425" i="11"/>
  <c r="U426" i="11"/>
  <c r="U427" i="11"/>
  <c r="U428" i="11"/>
  <c r="U429" i="11"/>
  <c r="U430" i="11"/>
  <c r="U431" i="11"/>
  <c r="U432" i="11"/>
  <c r="U433" i="11"/>
  <c r="U434" i="11"/>
  <c r="U435" i="11"/>
  <c r="U436" i="11"/>
  <c r="U437" i="11"/>
  <c r="U438" i="11"/>
  <c r="U439" i="11"/>
  <c r="U440" i="11"/>
  <c r="U441" i="11"/>
  <c r="U442" i="11"/>
  <c r="U443" i="11"/>
  <c r="U444" i="11"/>
  <c r="U445" i="11"/>
  <c r="U446" i="11"/>
  <c r="U447" i="11"/>
  <c r="U448" i="11"/>
  <c r="U449" i="11"/>
  <c r="U450" i="11"/>
  <c r="U451" i="11"/>
  <c r="U452" i="11"/>
  <c r="U453" i="11"/>
  <c r="U454" i="11"/>
  <c r="U455" i="11"/>
  <c r="U456" i="11"/>
  <c r="U457" i="11"/>
  <c r="U458" i="11"/>
  <c r="U459" i="11"/>
  <c r="U460" i="11"/>
  <c r="U461" i="11"/>
  <c r="U462" i="11"/>
  <c r="U463" i="11"/>
  <c r="U464" i="11"/>
  <c r="U465" i="11"/>
  <c r="U466" i="11"/>
  <c r="U467" i="11"/>
  <c r="U468" i="11"/>
  <c r="U469" i="11"/>
  <c r="U470" i="11"/>
  <c r="U471" i="11"/>
  <c r="U472" i="11"/>
  <c r="U473" i="11"/>
  <c r="U474" i="11"/>
  <c r="U475" i="11"/>
  <c r="U476" i="11"/>
  <c r="U477" i="11"/>
  <c r="U478" i="11"/>
  <c r="U479" i="11"/>
  <c r="U480" i="11"/>
  <c r="U481" i="11"/>
  <c r="U482" i="11"/>
  <c r="U483" i="11"/>
  <c r="U484" i="11"/>
  <c r="U485" i="11"/>
  <c r="U486" i="11"/>
  <c r="U487" i="11"/>
  <c r="U488" i="11"/>
  <c r="U489" i="11"/>
  <c r="U490" i="11"/>
  <c r="U491" i="11"/>
  <c r="U492" i="11"/>
  <c r="U493" i="11"/>
  <c r="U494" i="11"/>
  <c r="U495" i="11"/>
  <c r="U496" i="11"/>
  <c r="U497" i="11"/>
  <c r="U498" i="11"/>
  <c r="U499" i="11"/>
  <c r="U500" i="11"/>
  <c r="U501" i="11"/>
  <c r="U502" i="11"/>
  <c r="U503" i="11"/>
  <c r="U504" i="11"/>
  <c r="U505" i="11"/>
  <c r="U506" i="11"/>
  <c r="U507" i="11"/>
  <c r="U508" i="11"/>
  <c r="U509" i="11"/>
  <c r="U510" i="11"/>
  <c r="U511" i="11"/>
  <c r="U512" i="11"/>
  <c r="U513" i="11"/>
  <c r="U514" i="11"/>
  <c r="U515" i="11"/>
  <c r="U516" i="11"/>
  <c r="U517" i="11"/>
  <c r="U518" i="11"/>
  <c r="U519" i="11"/>
  <c r="U520" i="11"/>
  <c r="U521" i="11"/>
  <c r="U522" i="11"/>
  <c r="U523" i="11"/>
  <c r="U524" i="11"/>
  <c r="U525" i="11"/>
  <c r="U526" i="11"/>
  <c r="U527" i="11"/>
  <c r="U528" i="11"/>
  <c r="U529" i="11"/>
  <c r="U530" i="11"/>
  <c r="U531" i="11"/>
  <c r="U532" i="11"/>
  <c r="U533" i="11"/>
  <c r="U534" i="11"/>
  <c r="U535" i="11"/>
  <c r="U536" i="11"/>
  <c r="U537" i="11"/>
  <c r="U538" i="11"/>
  <c r="U539" i="11"/>
  <c r="U540" i="11"/>
  <c r="U541" i="11"/>
  <c r="U542" i="11"/>
  <c r="U543" i="11"/>
  <c r="U544" i="11"/>
  <c r="U545" i="11"/>
  <c r="U546" i="11"/>
  <c r="U547" i="11"/>
  <c r="U548" i="11"/>
  <c r="U549" i="11"/>
  <c r="U550" i="11"/>
  <c r="U551" i="11"/>
  <c r="U552" i="11"/>
  <c r="U553" i="11"/>
  <c r="U554" i="11"/>
  <c r="U555" i="11"/>
  <c r="U556" i="11"/>
  <c r="U557" i="11"/>
  <c r="U558" i="11"/>
  <c r="U559" i="11"/>
  <c r="U560" i="11"/>
  <c r="U561" i="11"/>
  <c r="U562" i="11"/>
  <c r="U563" i="11"/>
  <c r="U564" i="11"/>
  <c r="U565" i="11"/>
  <c r="U566" i="11"/>
  <c r="U567" i="11"/>
  <c r="U568" i="11"/>
  <c r="U569" i="11"/>
  <c r="U570" i="11"/>
  <c r="U571" i="11"/>
  <c r="U572" i="11"/>
  <c r="U573" i="11"/>
  <c r="U574" i="11"/>
  <c r="U575" i="11"/>
  <c r="U576" i="11"/>
  <c r="U577" i="11"/>
  <c r="U578" i="11"/>
  <c r="U579" i="11"/>
  <c r="U580" i="11"/>
  <c r="U581" i="11"/>
  <c r="U582" i="11"/>
  <c r="U583" i="11"/>
  <c r="U584" i="11"/>
  <c r="U585" i="11"/>
  <c r="U586" i="11"/>
  <c r="U587" i="11"/>
  <c r="U588" i="11"/>
  <c r="U589" i="11"/>
  <c r="U590" i="11"/>
  <c r="U591" i="11"/>
  <c r="U592" i="11"/>
  <c r="U593" i="11"/>
  <c r="U594" i="11"/>
  <c r="U595" i="11"/>
  <c r="U596" i="11"/>
  <c r="U597" i="11"/>
  <c r="U598" i="11"/>
  <c r="U599" i="11"/>
  <c r="U600" i="11"/>
  <c r="U601" i="11"/>
  <c r="U602" i="11"/>
  <c r="U603" i="11"/>
  <c r="U604" i="11"/>
  <c r="U605" i="11"/>
  <c r="U606" i="11"/>
  <c r="U607" i="11"/>
  <c r="U608" i="11"/>
  <c r="U609" i="11"/>
  <c r="U610" i="11"/>
  <c r="U611" i="11"/>
  <c r="U612" i="11"/>
  <c r="U613" i="11"/>
  <c r="U614" i="11"/>
  <c r="U615" i="11"/>
  <c r="U616" i="11"/>
  <c r="U617" i="11"/>
  <c r="U618" i="11"/>
  <c r="U619" i="11"/>
  <c r="U620" i="11"/>
  <c r="U621" i="11"/>
  <c r="U622" i="11"/>
  <c r="U623" i="11"/>
  <c r="U624" i="11"/>
  <c r="U625" i="11"/>
  <c r="U626" i="11"/>
  <c r="U627" i="11"/>
  <c r="U628" i="11"/>
  <c r="U629" i="11"/>
  <c r="U630" i="11"/>
  <c r="U631" i="11"/>
  <c r="U632" i="11"/>
  <c r="U633" i="11"/>
  <c r="U634" i="11"/>
  <c r="U635" i="11"/>
  <c r="U636" i="11"/>
  <c r="U637" i="11"/>
  <c r="U638" i="11"/>
  <c r="U639" i="11"/>
  <c r="U640" i="11"/>
  <c r="U641" i="11"/>
  <c r="U642" i="11"/>
  <c r="U643" i="11"/>
  <c r="U644" i="11"/>
  <c r="U645" i="11"/>
  <c r="U646" i="11"/>
  <c r="U647" i="11"/>
  <c r="U648" i="11"/>
  <c r="U649" i="11"/>
  <c r="U650" i="11"/>
  <c r="U651" i="11"/>
  <c r="U652" i="11"/>
  <c r="U653" i="11"/>
  <c r="U654" i="11"/>
  <c r="U655" i="11"/>
  <c r="U656" i="11"/>
  <c r="U657" i="11"/>
  <c r="U658" i="11"/>
  <c r="U659" i="11"/>
  <c r="U660" i="11"/>
  <c r="U661" i="11"/>
  <c r="U662" i="11"/>
  <c r="U663" i="11"/>
  <c r="U664" i="11"/>
  <c r="U665" i="11"/>
  <c r="U666" i="11"/>
  <c r="U667" i="11"/>
  <c r="U668" i="11"/>
  <c r="U669" i="11"/>
  <c r="U670" i="11"/>
  <c r="U671" i="11"/>
  <c r="U672" i="11"/>
  <c r="U673" i="11"/>
  <c r="U674" i="11"/>
  <c r="U675" i="11"/>
  <c r="U676" i="11"/>
  <c r="U677" i="11"/>
  <c r="U678" i="11"/>
  <c r="U679" i="11"/>
  <c r="U680" i="11"/>
  <c r="U681" i="11"/>
  <c r="U682" i="11"/>
  <c r="U683" i="11"/>
  <c r="U684" i="11"/>
  <c r="U685" i="11"/>
  <c r="U686" i="11"/>
  <c r="U687" i="11"/>
  <c r="U688" i="11"/>
  <c r="U689" i="11"/>
  <c r="U690" i="11"/>
  <c r="U691" i="11"/>
  <c r="U692" i="11"/>
  <c r="U693" i="11"/>
  <c r="U694" i="11"/>
  <c r="U695" i="11"/>
  <c r="U696" i="11"/>
  <c r="U697" i="11"/>
  <c r="U698" i="11"/>
  <c r="U699" i="11"/>
  <c r="U700" i="11"/>
  <c r="U701" i="11"/>
  <c r="U702" i="11"/>
  <c r="U703" i="11"/>
  <c r="U704" i="11"/>
  <c r="U705" i="11"/>
  <c r="U706" i="11"/>
  <c r="U707" i="11"/>
  <c r="U708" i="11"/>
  <c r="U709" i="11"/>
  <c r="U710" i="11"/>
  <c r="U711" i="11"/>
  <c r="U712" i="11"/>
  <c r="U713" i="11"/>
  <c r="U714" i="11"/>
  <c r="U715" i="11"/>
  <c r="U716" i="11"/>
  <c r="U717" i="11"/>
  <c r="U718" i="11"/>
  <c r="U719" i="11"/>
  <c r="U720" i="11"/>
  <c r="U721" i="11"/>
  <c r="U722" i="11"/>
  <c r="U723" i="11"/>
  <c r="U724" i="11"/>
  <c r="U725" i="11"/>
  <c r="U726" i="11"/>
  <c r="U727" i="11"/>
  <c r="U728" i="11"/>
  <c r="U729" i="11"/>
  <c r="U730" i="11"/>
  <c r="U731" i="11"/>
  <c r="U732" i="11"/>
  <c r="U733" i="11"/>
  <c r="U734" i="11"/>
  <c r="U735" i="11"/>
  <c r="U736" i="11"/>
  <c r="U737" i="11"/>
  <c r="U738" i="11"/>
  <c r="U739" i="11"/>
  <c r="U740" i="11"/>
  <c r="U741" i="11"/>
  <c r="U742" i="11"/>
  <c r="U743" i="11"/>
  <c r="U744" i="11"/>
  <c r="U745" i="11"/>
  <c r="U746" i="11"/>
  <c r="U747" i="11"/>
  <c r="U748" i="11"/>
  <c r="U749" i="11"/>
  <c r="U750" i="11"/>
  <c r="U751" i="11"/>
  <c r="U752" i="11"/>
  <c r="U753" i="11"/>
  <c r="U754" i="11"/>
  <c r="U755" i="11"/>
  <c r="U756" i="11"/>
  <c r="U757" i="11"/>
  <c r="U758" i="11"/>
  <c r="U759" i="11"/>
  <c r="U760" i="11"/>
  <c r="U761" i="11"/>
  <c r="U762" i="11"/>
  <c r="U763" i="11"/>
  <c r="U764" i="11"/>
  <c r="U765" i="11"/>
  <c r="U766" i="11"/>
  <c r="U767" i="11"/>
  <c r="U768" i="11"/>
  <c r="U769" i="11"/>
  <c r="U770" i="11"/>
  <c r="U771" i="11"/>
  <c r="U772" i="11"/>
  <c r="U773" i="11"/>
  <c r="U774" i="11"/>
  <c r="U775" i="11"/>
  <c r="U776" i="11"/>
  <c r="U777" i="11"/>
  <c r="U778" i="11"/>
  <c r="U779" i="11"/>
  <c r="U780" i="11"/>
  <c r="U781" i="11"/>
  <c r="U782" i="11"/>
  <c r="U783" i="11"/>
  <c r="U784" i="11"/>
  <c r="U785" i="11"/>
  <c r="U786" i="11"/>
  <c r="U787" i="11"/>
  <c r="U788" i="11"/>
  <c r="U789" i="11"/>
  <c r="U790" i="11"/>
  <c r="U791" i="11"/>
  <c r="U792" i="11"/>
  <c r="U793" i="11"/>
  <c r="U794" i="11"/>
  <c r="U795" i="11"/>
  <c r="U796" i="11"/>
  <c r="U797" i="11"/>
  <c r="U798" i="11"/>
  <c r="U799" i="11"/>
  <c r="U800" i="11"/>
  <c r="U801" i="11"/>
  <c r="U802" i="11"/>
  <c r="U803" i="11"/>
  <c r="U804" i="11"/>
  <c r="U805" i="11"/>
  <c r="U806" i="11"/>
  <c r="U807" i="11"/>
  <c r="U808" i="11"/>
  <c r="U809" i="11"/>
  <c r="U810" i="11"/>
  <c r="U811" i="11"/>
  <c r="U812" i="11"/>
  <c r="U813" i="11"/>
  <c r="U814" i="11"/>
  <c r="U815" i="11"/>
  <c r="U816" i="11"/>
  <c r="U817" i="11"/>
  <c r="U818" i="11"/>
  <c r="U819" i="11"/>
  <c r="U820" i="11"/>
  <c r="U821" i="11"/>
  <c r="U822" i="11"/>
  <c r="U823" i="11"/>
  <c r="U824" i="11"/>
  <c r="U825" i="11"/>
  <c r="U826" i="11"/>
  <c r="U827" i="11"/>
  <c r="U828" i="11"/>
  <c r="U829" i="11"/>
  <c r="U830" i="11"/>
  <c r="U831" i="11"/>
  <c r="U832" i="11"/>
  <c r="U833" i="11"/>
  <c r="U834" i="11"/>
  <c r="U835" i="11"/>
  <c r="U836" i="11"/>
  <c r="U837" i="11"/>
  <c r="U838" i="11"/>
  <c r="U839" i="11"/>
  <c r="U840" i="11"/>
  <c r="U841" i="11"/>
  <c r="U842" i="11"/>
  <c r="U843" i="11"/>
  <c r="U844" i="11"/>
  <c r="U845" i="11"/>
  <c r="U846" i="11"/>
  <c r="U847" i="11"/>
  <c r="U848" i="11"/>
  <c r="U849" i="11"/>
  <c r="U850" i="11"/>
  <c r="U851" i="11"/>
  <c r="U852" i="11"/>
  <c r="U853" i="11"/>
  <c r="U854" i="11"/>
  <c r="U855" i="11"/>
  <c r="U856" i="11"/>
  <c r="U857" i="11"/>
  <c r="U858" i="11"/>
  <c r="U859" i="11"/>
  <c r="U860" i="11"/>
  <c r="U861" i="11"/>
  <c r="U862" i="11"/>
  <c r="U863" i="11"/>
  <c r="U864" i="11"/>
  <c r="U865" i="11"/>
  <c r="U866" i="11"/>
  <c r="U867" i="11"/>
  <c r="U868" i="11"/>
  <c r="U869" i="11"/>
  <c r="U870" i="11"/>
  <c r="U871" i="11"/>
  <c r="U872" i="11"/>
  <c r="U873" i="11"/>
  <c r="U874" i="11"/>
  <c r="U875" i="11"/>
  <c r="U876" i="11"/>
  <c r="U877" i="11"/>
  <c r="U878" i="11"/>
  <c r="U879" i="11"/>
  <c r="U880" i="11"/>
  <c r="U881" i="11"/>
  <c r="U882" i="11"/>
  <c r="U883" i="11"/>
  <c r="U884" i="11"/>
  <c r="U885" i="11"/>
  <c r="U886" i="11"/>
  <c r="U887" i="11"/>
  <c r="U888" i="11"/>
  <c r="U889" i="11"/>
  <c r="U890" i="11"/>
  <c r="U891" i="11"/>
  <c r="U892" i="11"/>
  <c r="U893" i="11"/>
  <c r="U894" i="11"/>
  <c r="U895" i="11"/>
  <c r="U896" i="11"/>
  <c r="U897" i="11"/>
  <c r="U898" i="11"/>
  <c r="U899" i="11"/>
  <c r="U900" i="11"/>
  <c r="U901" i="11"/>
  <c r="U902" i="11"/>
  <c r="U903" i="11"/>
  <c r="U904" i="11"/>
  <c r="U905" i="11"/>
  <c r="U906" i="11"/>
  <c r="U907" i="11"/>
  <c r="U908" i="11"/>
  <c r="U909" i="11"/>
  <c r="U910" i="11"/>
  <c r="U911" i="11"/>
  <c r="U912" i="11"/>
  <c r="U913" i="11"/>
  <c r="U914" i="11"/>
  <c r="U915" i="11"/>
  <c r="U916" i="11"/>
  <c r="U917" i="11"/>
  <c r="U918" i="11"/>
  <c r="U919" i="11"/>
  <c r="U920" i="11"/>
  <c r="U921" i="11"/>
  <c r="U922" i="11"/>
  <c r="U923" i="11"/>
  <c r="U924" i="11"/>
  <c r="U925" i="11"/>
  <c r="U926" i="11"/>
  <c r="U927" i="11"/>
  <c r="U928" i="11"/>
  <c r="U929" i="11"/>
  <c r="U930" i="11"/>
  <c r="U931" i="11"/>
  <c r="U932" i="11"/>
  <c r="U933" i="11"/>
  <c r="U934" i="11"/>
  <c r="U935" i="11"/>
  <c r="U936" i="11"/>
  <c r="U937" i="11"/>
  <c r="U938" i="11"/>
  <c r="U939" i="11"/>
  <c r="U940" i="11"/>
  <c r="U941" i="11"/>
  <c r="U942" i="11"/>
  <c r="U943" i="11"/>
  <c r="U944" i="11"/>
  <c r="U945" i="11"/>
  <c r="U946" i="11"/>
  <c r="U947" i="11"/>
  <c r="U948" i="11"/>
  <c r="U949" i="11"/>
  <c r="U950" i="11"/>
  <c r="U951" i="11"/>
  <c r="U952" i="11"/>
  <c r="U953" i="11"/>
  <c r="U954" i="11"/>
  <c r="U955" i="11"/>
  <c r="U956" i="11"/>
  <c r="U957" i="11"/>
  <c r="U958" i="11"/>
  <c r="U959" i="11"/>
  <c r="U960" i="11"/>
  <c r="U961" i="11"/>
  <c r="U962" i="11"/>
  <c r="U963" i="11"/>
  <c r="U964" i="11"/>
  <c r="U965" i="11"/>
  <c r="U966" i="11"/>
  <c r="U967" i="11"/>
  <c r="U968" i="11"/>
  <c r="U969" i="11"/>
  <c r="U970" i="11"/>
  <c r="U971" i="11"/>
  <c r="U972" i="11"/>
  <c r="U973" i="11"/>
  <c r="U974" i="11"/>
  <c r="U975" i="11"/>
  <c r="U976" i="11"/>
  <c r="U977" i="11"/>
  <c r="U978" i="11"/>
  <c r="U979" i="11"/>
  <c r="U980" i="11"/>
  <c r="U981" i="11"/>
  <c r="U982" i="11"/>
  <c r="U983" i="11"/>
  <c r="U984" i="11"/>
  <c r="U985" i="11"/>
  <c r="U986" i="11"/>
  <c r="U987" i="11"/>
  <c r="U988" i="11"/>
  <c r="U989" i="11"/>
  <c r="U990" i="11"/>
  <c r="U991" i="11"/>
  <c r="U992" i="11"/>
  <c r="U993" i="11"/>
  <c r="U994" i="11"/>
  <c r="U995" i="11"/>
  <c r="U996" i="11"/>
  <c r="U997" i="11"/>
  <c r="U998" i="11"/>
  <c r="U999" i="11"/>
  <c r="U1000" i="11"/>
  <c r="U1001" i="11"/>
  <c r="U1002" i="11"/>
  <c r="U1003" i="11"/>
  <c r="U1004" i="11"/>
  <c r="U1005" i="11"/>
  <c r="U1006" i="11"/>
  <c r="U1007" i="11"/>
  <c r="U1008" i="11"/>
  <c r="U1009" i="11"/>
  <c r="U1010" i="11"/>
  <c r="U1011" i="11"/>
  <c r="U1012" i="11"/>
  <c r="U1013" i="11"/>
  <c r="U1014" i="11"/>
  <c r="U1015" i="11"/>
  <c r="U1016" i="11"/>
  <c r="U1017" i="11"/>
  <c r="U1018" i="11"/>
  <c r="U1019" i="11"/>
  <c r="U1020" i="11"/>
  <c r="U1021" i="11"/>
  <c r="U1022" i="11"/>
  <c r="U1023" i="11"/>
  <c r="U1024" i="11"/>
  <c r="U1025" i="11"/>
  <c r="U1026" i="11"/>
  <c r="U1027" i="11"/>
  <c r="U1028" i="11"/>
  <c r="U1029" i="11"/>
  <c r="U1030" i="11"/>
  <c r="U1031" i="11"/>
  <c r="U1032" i="11"/>
  <c r="U1033" i="11"/>
  <c r="U1034" i="11"/>
  <c r="U1035" i="11"/>
  <c r="U1036" i="11"/>
  <c r="U1037" i="11"/>
  <c r="U1038" i="11"/>
  <c r="U1039" i="11"/>
  <c r="U1040" i="11"/>
  <c r="U1041" i="11"/>
  <c r="U1042" i="11"/>
  <c r="U1043" i="11"/>
  <c r="U1044" i="11"/>
  <c r="U1045" i="11"/>
  <c r="U1046" i="11"/>
  <c r="U1047" i="11"/>
  <c r="U1048" i="11"/>
  <c r="U1049" i="11"/>
  <c r="U1050" i="11"/>
  <c r="U1051" i="11"/>
  <c r="U1052" i="11"/>
  <c r="U1053" i="11"/>
  <c r="U1054" i="11"/>
  <c r="U1055" i="11"/>
  <c r="U1056" i="11"/>
  <c r="U1057" i="11"/>
  <c r="U1058" i="11"/>
  <c r="U1059" i="11"/>
  <c r="U1060" i="11"/>
  <c r="U1061" i="11"/>
  <c r="U1062" i="11"/>
  <c r="U1063" i="11"/>
  <c r="U1064" i="11"/>
  <c r="U1065" i="11"/>
  <c r="U1066" i="11"/>
  <c r="U1067" i="11"/>
  <c r="U1068" i="11"/>
  <c r="U1069" i="11"/>
  <c r="U1070" i="11"/>
  <c r="U1071" i="11"/>
  <c r="U1072" i="11"/>
  <c r="U1073" i="11"/>
  <c r="U1074" i="11"/>
  <c r="U1075" i="11"/>
  <c r="U1076" i="11"/>
  <c r="U1077" i="11"/>
  <c r="U1078" i="11"/>
  <c r="U1079" i="11"/>
  <c r="U1080" i="11"/>
  <c r="U1081" i="11"/>
  <c r="U1082" i="11"/>
  <c r="U1083" i="11"/>
  <c r="U1084" i="11"/>
  <c r="U1085" i="11"/>
  <c r="U1086" i="11"/>
  <c r="U1087" i="11"/>
  <c r="U1088" i="11"/>
  <c r="U1089" i="11"/>
  <c r="U1090" i="11"/>
  <c r="U1091" i="11"/>
  <c r="U1092" i="11"/>
  <c r="U1093" i="11"/>
  <c r="U1094" i="11"/>
  <c r="U1095" i="11"/>
  <c r="U1096" i="11"/>
  <c r="U1097" i="11"/>
  <c r="U1098" i="11"/>
  <c r="U1099" i="11"/>
  <c r="U1100" i="11"/>
  <c r="U1101" i="11"/>
  <c r="U1102" i="11"/>
  <c r="U1103" i="11"/>
  <c r="U1104" i="11"/>
  <c r="U1105" i="11"/>
  <c r="U1106" i="11"/>
  <c r="U1107" i="11"/>
  <c r="U1108" i="11"/>
  <c r="U1109" i="11"/>
  <c r="U1110" i="11"/>
  <c r="U1111" i="11"/>
  <c r="U1112" i="11"/>
  <c r="U1113" i="11"/>
  <c r="U1114" i="11"/>
  <c r="U1115" i="11"/>
  <c r="U1116" i="11"/>
  <c r="U1117" i="11"/>
  <c r="U1118" i="11"/>
  <c r="U1119" i="11"/>
  <c r="U1120" i="11"/>
  <c r="U1121" i="11"/>
  <c r="U1122" i="11"/>
  <c r="U1123" i="11"/>
  <c r="U1124" i="11"/>
  <c r="U1125" i="11"/>
  <c r="U1126" i="11"/>
  <c r="U1127" i="11"/>
  <c r="U1128" i="11"/>
  <c r="U1129" i="11"/>
  <c r="U1130" i="11"/>
  <c r="U1131" i="11"/>
  <c r="U1132" i="11"/>
  <c r="U1133" i="11"/>
  <c r="U1134" i="11"/>
  <c r="U1135" i="11"/>
  <c r="U1136" i="11"/>
  <c r="U1137" i="11"/>
  <c r="U1138" i="11"/>
  <c r="U1139" i="11"/>
  <c r="U1140" i="11"/>
  <c r="U1141" i="11"/>
  <c r="U1142" i="11"/>
  <c r="U1143" i="11"/>
  <c r="U1144" i="11"/>
  <c r="U1145" i="11"/>
  <c r="U1146" i="11"/>
  <c r="U1147" i="11"/>
  <c r="U1148" i="11"/>
  <c r="U1149" i="11"/>
  <c r="U1150" i="11"/>
  <c r="U1151" i="11"/>
  <c r="U1152" i="11"/>
  <c r="U1153" i="11"/>
  <c r="U1154" i="11"/>
  <c r="U1155" i="11"/>
  <c r="U1156" i="11"/>
  <c r="U1157" i="11"/>
  <c r="U1158" i="11"/>
  <c r="U1159" i="11"/>
  <c r="U1160" i="11"/>
  <c r="U1161" i="11"/>
  <c r="U1162" i="11"/>
  <c r="U1163" i="11"/>
  <c r="U1164" i="11"/>
  <c r="U1165" i="11"/>
  <c r="U1166" i="11"/>
  <c r="U1167" i="11"/>
  <c r="U1168" i="11"/>
  <c r="U1169" i="11"/>
  <c r="U1170" i="11"/>
  <c r="U1171" i="11"/>
  <c r="U1172" i="11"/>
  <c r="U1173" i="11"/>
  <c r="U1174" i="11"/>
  <c r="U1175" i="11"/>
  <c r="U1176" i="11"/>
  <c r="U1177" i="11"/>
  <c r="U1178" i="11"/>
  <c r="U1179" i="11"/>
  <c r="U1180" i="11"/>
  <c r="U1181" i="11"/>
  <c r="U1182" i="11"/>
  <c r="U1183" i="11"/>
  <c r="U1184" i="11"/>
  <c r="U1185" i="11"/>
  <c r="U1186" i="11"/>
  <c r="U1187" i="11"/>
  <c r="U1188" i="11"/>
  <c r="U1189" i="11"/>
  <c r="U1190" i="11"/>
  <c r="U1191" i="11"/>
  <c r="U1192" i="11"/>
  <c r="U1193" i="11"/>
  <c r="U1194" i="11"/>
  <c r="U1195" i="11"/>
  <c r="U1196" i="11"/>
  <c r="U1197" i="11"/>
  <c r="U1198" i="11"/>
  <c r="U1199" i="11"/>
  <c r="U1200" i="11"/>
  <c r="U1201" i="11"/>
  <c r="U1202" i="11"/>
  <c r="U1203" i="11"/>
  <c r="U1204" i="11"/>
  <c r="U1205" i="11"/>
  <c r="U1206" i="11"/>
  <c r="U1207" i="11"/>
  <c r="U1208" i="11"/>
  <c r="U1209" i="11"/>
  <c r="U1210" i="11"/>
  <c r="U1211" i="11"/>
  <c r="U1212" i="11"/>
  <c r="U1213" i="11"/>
  <c r="U1214" i="11"/>
  <c r="U1215" i="11"/>
  <c r="U1216" i="11"/>
  <c r="U1217" i="11"/>
  <c r="U1218" i="11"/>
  <c r="U1219" i="11"/>
  <c r="U1220" i="11"/>
  <c r="U1221" i="11"/>
  <c r="U1222" i="11"/>
  <c r="U1223" i="11"/>
  <c r="U1224" i="11"/>
  <c r="U1225" i="11"/>
  <c r="U1226" i="11"/>
  <c r="U1227" i="11"/>
  <c r="U1228" i="11"/>
  <c r="U1229" i="11"/>
  <c r="U1230" i="11"/>
  <c r="U1231" i="11"/>
  <c r="U1232" i="11"/>
  <c r="U1233" i="11"/>
  <c r="U1234" i="11"/>
  <c r="U1235" i="11"/>
  <c r="U1236" i="11"/>
  <c r="U1237" i="11"/>
  <c r="U1238" i="11"/>
  <c r="U1239" i="11"/>
  <c r="U1240" i="11"/>
  <c r="U1241" i="11"/>
  <c r="U1242" i="11"/>
  <c r="U1243" i="11"/>
  <c r="U1244" i="11"/>
  <c r="U1245" i="11"/>
  <c r="U1246" i="11"/>
  <c r="U1247" i="11"/>
  <c r="U1248" i="11"/>
  <c r="U1249" i="11"/>
  <c r="U1250" i="11"/>
  <c r="U1251" i="11"/>
  <c r="U1252" i="11"/>
  <c r="U1253" i="11"/>
  <c r="U1254" i="11"/>
  <c r="U1255" i="11"/>
  <c r="U1256" i="11"/>
  <c r="U1257" i="11"/>
  <c r="U1258" i="11"/>
  <c r="U1259" i="11"/>
  <c r="U1260" i="11"/>
  <c r="U1261" i="11"/>
  <c r="U1262" i="11"/>
  <c r="U1263" i="11"/>
  <c r="U1264" i="11"/>
  <c r="U1265" i="11"/>
  <c r="U1266" i="11"/>
  <c r="U1267" i="11"/>
  <c r="U1268" i="11"/>
  <c r="U1269" i="11"/>
  <c r="U1270" i="11"/>
  <c r="U1271" i="11"/>
  <c r="U1272" i="11"/>
  <c r="U1273" i="11"/>
  <c r="U1274" i="11"/>
  <c r="U1275" i="11"/>
  <c r="U1276" i="11"/>
  <c r="U1277" i="11"/>
  <c r="U1278" i="11"/>
  <c r="U1279" i="11"/>
  <c r="U1280" i="11"/>
  <c r="U1281" i="11"/>
  <c r="U1282" i="11"/>
  <c r="U1283" i="11"/>
  <c r="U1284" i="11"/>
  <c r="U1285" i="11"/>
  <c r="U1286" i="11"/>
  <c r="U1287" i="11"/>
  <c r="U1288" i="11"/>
  <c r="U1289" i="11"/>
  <c r="U1290" i="11"/>
  <c r="U1291" i="11"/>
  <c r="U1292" i="11"/>
  <c r="U1293" i="11"/>
  <c r="U1294" i="11"/>
  <c r="U1295" i="11"/>
  <c r="U1296" i="11"/>
  <c r="U1297" i="11"/>
  <c r="U1298" i="11"/>
  <c r="U1299" i="11"/>
  <c r="U1300" i="11"/>
  <c r="U1301" i="11"/>
  <c r="U1302" i="11"/>
  <c r="U1303" i="11"/>
  <c r="U1304" i="11"/>
  <c r="U1305" i="11"/>
  <c r="U1306" i="11"/>
  <c r="U1307" i="11"/>
  <c r="U1308" i="11"/>
  <c r="U1309" i="11"/>
  <c r="U1310" i="11"/>
  <c r="U1311" i="11"/>
  <c r="U1312" i="11"/>
  <c r="U1313" i="11"/>
  <c r="U1314" i="11"/>
  <c r="U1315" i="11"/>
  <c r="U1316" i="11"/>
  <c r="U1317" i="11"/>
  <c r="U1318" i="11"/>
  <c r="U1319" i="11"/>
  <c r="U1320" i="11"/>
  <c r="U1321" i="11"/>
  <c r="U1322" i="11"/>
  <c r="U1323" i="11"/>
  <c r="U1324" i="11"/>
  <c r="U1325" i="11"/>
  <c r="U1326" i="11"/>
  <c r="U1327" i="11"/>
  <c r="U1328" i="11"/>
  <c r="U1329" i="11"/>
  <c r="U1330" i="11"/>
  <c r="U1331" i="11"/>
  <c r="U1332" i="11"/>
  <c r="U1333" i="11"/>
  <c r="U1334" i="11"/>
  <c r="U1335" i="11"/>
  <c r="U1336" i="11"/>
  <c r="U1337" i="11"/>
  <c r="U1338" i="11"/>
  <c r="U1339" i="11"/>
  <c r="U1340" i="11"/>
  <c r="U1341" i="11"/>
  <c r="U1342" i="11"/>
  <c r="U1343" i="11"/>
  <c r="U1344" i="11"/>
  <c r="U1345" i="11"/>
  <c r="U1346" i="11"/>
  <c r="U1347" i="11"/>
  <c r="U1348" i="11"/>
  <c r="U1349" i="11"/>
  <c r="U1350" i="11"/>
  <c r="U1351" i="11"/>
  <c r="U1352" i="11"/>
  <c r="U1353" i="11"/>
  <c r="U1354" i="11"/>
  <c r="U1355" i="11"/>
  <c r="U1356" i="11"/>
  <c r="U1357" i="11"/>
  <c r="U1358" i="11"/>
  <c r="U1359" i="11"/>
  <c r="U1360" i="11"/>
  <c r="U1361" i="11"/>
  <c r="U1362" i="11"/>
  <c r="U1363" i="11"/>
  <c r="U1364" i="11"/>
  <c r="U1365" i="11"/>
  <c r="U1366" i="11"/>
  <c r="U1367" i="11"/>
  <c r="U1368" i="11"/>
  <c r="U1369" i="11"/>
  <c r="U1370" i="11"/>
  <c r="U1371" i="11"/>
  <c r="U1372" i="11"/>
  <c r="U1373" i="11"/>
  <c r="U1374" i="11"/>
  <c r="U1375" i="11"/>
  <c r="U1376" i="11"/>
  <c r="U1377" i="11"/>
  <c r="U1378" i="11"/>
  <c r="U1379" i="11"/>
  <c r="U1380" i="11"/>
  <c r="U1381" i="11"/>
  <c r="U1382" i="11"/>
  <c r="U1383" i="11"/>
  <c r="U1384" i="11"/>
  <c r="U1385" i="11"/>
  <c r="U1386" i="11"/>
  <c r="U1387" i="11"/>
  <c r="U1388" i="11"/>
  <c r="U1389" i="11"/>
  <c r="U1390" i="11"/>
  <c r="U1391" i="11"/>
  <c r="U1392" i="11"/>
  <c r="U1393" i="11"/>
  <c r="U1394" i="11"/>
  <c r="U1395" i="11"/>
  <c r="U1396" i="11"/>
  <c r="U1397" i="11"/>
  <c r="U1398" i="11"/>
  <c r="U1399" i="11"/>
  <c r="U1400" i="11"/>
  <c r="U1401" i="11"/>
  <c r="U1402" i="11"/>
  <c r="U1403" i="11"/>
  <c r="U1404" i="11"/>
  <c r="U1405" i="11"/>
  <c r="U1406" i="11"/>
  <c r="U1407" i="11"/>
  <c r="U1408" i="11"/>
  <c r="U1409" i="11"/>
  <c r="U1410" i="11"/>
  <c r="U1411" i="11"/>
  <c r="U1412" i="11"/>
  <c r="U1413" i="11"/>
  <c r="U1414" i="11"/>
  <c r="U1415" i="11"/>
  <c r="U1416" i="11"/>
  <c r="U1417" i="11"/>
  <c r="U1418" i="11"/>
  <c r="U1419" i="11"/>
  <c r="U1420" i="11"/>
  <c r="U1421" i="11"/>
  <c r="U1422" i="11"/>
  <c r="U1423" i="11"/>
  <c r="U1424" i="11"/>
  <c r="U1425" i="11"/>
  <c r="U1426" i="11"/>
  <c r="U1427" i="11"/>
  <c r="U1428" i="11"/>
  <c r="U1429" i="11"/>
  <c r="U1430" i="11"/>
  <c r="U1431" i="11"/>
  <c r="U1432" i="11"/>
  <c r="U1433" i="11"/>
  <c r="U1434" i="11"/>
  <c r="U1435" i="11"/>
  <c r="U1436" i="11"/>
  <c r="U1437" i="11"/>
  <c r="U1438" i="11"/>
  <c r="U1439" i="11"/>
  <c r="U1440" i="11"/>
  <c r="U1441" i="11"/>
  <c r="U1442" i="11"/>
  <c r="U1443" i="11"/>
  <c r="U1444" i="11"/>
  <c r="U1445" i="11"/>
  <c r="U1446" i="11"/>
  <c r="U1447" i="11"/>
  <c r="U1448" i="11"/>
  <c r="U1449" i="11"/>
  <c r="U1450" i="11"/>
  <c r="U1451" i="11"/>
  <c r="U1452" i="11"/>
  <c r="U1453" i="11"/>
  <c r="U1454" i="11"/>
  <c r="U1455" i="11"/>
  <c r="U1456" i="11"/>
  <c r="U1457" i="11"/>
  <c r="U1458" i="11"/>
  <c r="U1459" i="11"/>
  <c r="U1460" i="11"/>
  <c r="U1461" i="11"/>
  <c r="U1462" i="11"/>
  <c r="U1463" i="11"/>
  <c r="U1464" i="11"/>
  <c r="U1465" i="11"/>
  <c r="U1466" i="11"/>
  <c r="U1467" i="11"/>
  <c r="U1468" i="11"/>
  <c r="U1469" i="11"/>
  <c r="U1470" i="11"/>
  <c r="U1471" i="11"/>
  <c r="U1472" i="11"/>
  <c r="U1473" i="11"/>
  <c r="U1474" i="11"/>
  <c r="U1475" i="11"/>
  <c r="U1476" i="11"/>
  <c r="U1477" i="11"/>
  <c r="U1478" i="11"/>
  <c r="U1479" i="11"/>
  <c r="U1480" i="11"/>
  <c r="U1481" i="11"/>
  <c r="U1482" i="11"/>
  <c r="U1483" i="11"/>
  <c r="U1484" i="11"/>
  <c r="U1485" i="11"/>
  <c r="U1486" i="11"/>
  <c r="U1487" i="11"/>
  <c r="U1488" i="11"/>
  <c r="U1489" i="11"/>
  <c r="U1490" i="11"/>
  <c r="U1491" i="11"/>
  <c r="U1492" i="11"/>
  <c r="U1493" i="11"/>
  <c r="U1494" i="11"/>
  <c r="U1495" i="11"/>
  <c r="U1496" i="11"/>
  <c r="U1497" i="11"/>
  <c r="U1498" i="11"/>
  <c r="U1499" i="11"/>
  <c r="U1500" i="11"/>
  <c r="U1501" i="11"/>
  <c r="U1502" i="11"/>
  <c r="U1503" i="11"/>
  <c r="U1504" i="11"/>
  <c r="U1505" i="11"/>
  <c r="U1506" i="11"/>
  <c r="U1507" i="11"/>
  <c r="U1508" i="11"/>
  <c r="U1509" i="11"/>
  <c r="U1510" i="11"/>
  <c r="U1511" i="11"/>
  <c r="U1512" i="11"/>
  <c r="U1513" i="11"/>
  <c r="U1514" i="11"/>
  <c r="U1515" i="11"/>
  <c r="U1516" i="11"/>
  <c r="U1517" i="11"/>
  <c r="U1518" i="11"/>
  <c r="U1519" i="11"/>
  <c r="U1520" i="11"/>
  <c r="U1521" i="11"/>
  <c r="U1522" i="11"/>
  <c r="U1523" i="11"/>
  <c r="U1524" i="11"/>
  <c r="U1525" i="11"/>
  <c r="U1526" i="11"/>
  <c r="U1527" i="11"/>
  <c r="U1528" i="11"/>
  <c r="U1529" i="11"/>
  <c r="U1530" i="11"/>
  <c r="U1531" i="11"/>
  <c r="U1532" i="11"/>
  <c r="U1533" i="11"/>
  <c r="U1534" i="11"/>
  <c r="U1535" i="11"/>
  <c r="U1536" i="11"/>
  <c r="U1537" i="11"/>
  <c r="U1538" i="11"/>
  <c r="U1539" i="11"/>
  <c r="U1540" i="11"/>
  <c r="U1541" i="11"/>
  <c r="U1542" i="11"/>
  <c r="U1543" i="11"/>
  <c r="U1544" i="11"/>
  <c r="U1545" i="11"/>
  <c r="U1546" i="11"/>
  <c r="U1547" i="11"/>
  <c r="U1548" i="11"/>
  <c r="U1549" i="11"/>
  <c r="U1550" i="11"/>
  <c r="U1551" i="11"/>
  <c r="U1552" i="11"/>
  <c r="U1553" i="11"/>
  <c r="U1554" i="11"/>
  <c r="U1555" i="11"/>
  <c r="U1556" i="11"/>
  <c r="U1557" i="11"/>
  <c r="U1558" i="11"/>
  <c r="U1559" i="11"/>
  <c r="U1560" i="11"/>
  <c r="U1561" i="11"/>
  <c r="U1562" i="11"/>
  <c r="U1563" i="11"/>
  <c r="U1564" i="11"/>
  <c r="U1565" i="11"/>
  <c r="U1566" i="11"/>
  <c r="U1567" i="11"/>
  <c r="U1568" i="11"/>
  <c r="U1569" i="11"/>
  <c r="U1570" i="11"/>
  <c r="U1571" i="11"/>
  <c r="U1572" i="11"/>
  <c r="U1573" i="11"/>
  <c r="U1574" i="11"/>
  <c r="U1575" i="11"/>
  <c r="U1576" i="11"/>
  <c r="U1577" i="11"/>
  <c r="U1578" i="11"/>
  <c r="U1579" i="11"/>
  <c r="U1580" i="11"/>
  <c r="U1581" i="11"/>
  <c r="U1582" i="11"/>
  <c r="U1583" i="11"/>
  <c r="U1584" i="11"/>
  <c r="U1585" i="11"/>
  <c r="U1586" i="11"/>
  <c r="U1587" i="11"/>
  <c r="U1588" i="11"/>
  <c r="U1589" i="11"/>
  <c r="U1590" i="11"/>
  <c r="U1591" i="11"/>
  <c r="U1592" i="11"/>
  <c r="U1593" i="11"/>
  <c r="U1594" i="11"/>
  <c r="U1595" i="11"/>
  <c r="U1596" i="11"/>
  <c r="U1597" i="11"/>
  <c r="U1598" i="11"/>
  <c r="U1599" i="11"/>
  <c r="U1600" i="11"/>
  <c r="U1601" i="11"/>
  <c r="U1602" i="11"/>
  <c r="U1603" i="11"/>
  <c r="U1604" i="11"/>
  <c r="U1605" i="11"/>
  <c r="U1606" i="11"/>
  <c r="U1607" i="11"/>
  <c r="U1608" i="11"/>
  <c r="U1609" i="11"/>
  <c r="U1610" i="11"/>
  <c r="U1611" i="11"/>
  <c r="U1612" i="11"/>
  <c r="U1613" i="11"/>
  <c r="U1614" i="11"/>
  <c r="U1615" i="11"/>
  <c r="U1616" i="11"/>
  <c r="U1617" i="11"/>
  <c r="U1618" i="11"/>
  <c r="U1619" i="11"/>
  <c r="U1620" i="11"/>
  <c r="U1621" i="11"/>
  <c r="U1622" i="11"/>
  <c r="U1623" i="11"/>
  <c r="U1624" i="11"/>
  <c r="U1625" i="11"/>
  <c r="U1626" i="11"/>
  <c r="U1627" i="11"/>
  <c r="U1628" i="11"/>
  <c r="U1629" i="11"/>
  <c r="U1630" i="11"/>
  <c r="U1631" i="11"/>
  <c r="U1632" i="11"/>
  <c r="U1633" i="11"/>
  <c r="U1634" i="11"/>
  <c r="U1635" i="11"/>
  <c r="U1636" i="11"/>
  <c r="U1637" i="11"/>
  <c r="U1638" i="11"/>
  <c r="U1639" i="11"/>
  <c r="U1640" i="11"/>
  <c r="U1641" i="11"/>
  <c r="U1642" i="11"/>
  <c r="U1643" i="11"/>
  <c r="U1644" i="11"/>
  <c r="U1645" i="11"/>
  <c r="U1646" i="11"/>
  <c r="U1647" i="11"/>
  <c r="U1648" i="11"/>
  <c r="U1649" i="11"/>
  <c r="U1650" i="11"/>
  <c r="U1651" i="11"/>
  <c r="U1652" i="11"/>
  <c r="U1653" i="11"/>
  <c r="U1654" i="11"/>
  <c r="U1655" i="11"/>
  <c r="U1656" i="11"/>
  <c r="U1657" i="11"/>
  <c r="U1658" i="11"/>
  <c r="U1659" i="11"/>
  <c r="U1660" i="11"/>
  <c r="U1661" i="11"/>
  <c r="U1662" i="11"/>
  <c r="U1663" i="11"/>
  <c r="U1664" i="11"/>
  <c r="U1665" i="11"/>
  <c r="U1666" i="11"/>
  <c r="U1667" i="11"/>
  <c r="U1668" i="11"/>
  <c r="U1669" i="11"/>
  <c r="U1670" i="11"/>
  <c r="U1671" i="11"/>
  <c r="U1672" i="11"/>
  <c r="U1673" i="11"/>
  <c r="U1674" i="11"/>
  <c r="U1675" i="11"/>
  <c r="U1676" i="11"/>
  <c r="U1677" i="11"/>
  <c r="U1678" i="11"/>
  <c r="U1679" i="11"/>
  <c r="U1680" i="11"/>
  <c r="U1681" i="11"/>
  <c r="U1682" i="11"/>
  <c r="U1683" i="11"/>
  <c r="U1684" i="11"/>
  <c r="U1685" i="11"/>
  <c r="U1686" i="11"/>
  <c r="U1687" i="11"/>
  <c r="U1688" i="11"/>
  <c r="U1689" i="11"/>
  <c r="U1690" i="11"/>
  <c r="U1691" i="11"/>
  <c r="U1692" i="11"/>
  <c r="U1693" i="11"/>
  <c r="U1694" i="11"/>
  <c r="U1695" i="11"/>
  <c r="U1696" i="11"/>
  <c r="U1697" i="11"/>
  <c r="U1698" i="11"/>
  <c r="U1699" i="11"/>
  <c r="U1700" i="11"/>
  <c r="U1701" i="11"/>
  <c r="U1702" i="11"/>
  <c r="U1703" i="11"/>
  <c r="U1704" i="11"/>
  <c r="U1705" i="11"/>
  <c r="U1706" i="11"/>
  <c r="U1707" i="11"/>
  <c r="U1708" i="11"/>
  <c r="U1709" i="11"/>
  <c r="U1710" i="11"/>
  <c r="U1711" i="11"/>
  <c r="U1712" i="11"/>
  <c r="U1713" i="11"/>
  <c r="U1714" i="11"/>
  <c r="U1715" i="11"/>
  <c r="U1716" i="11"/>
  <c r="U1717" i="11"/>
  <c r="U1718" i="11"/>
  <c r="U1719" i="11"/>
  <c r="U1720" i="11"/>
  <c r="U1721" i="11"/>
  <c r="U1722" i="11"/>
  <c r="U1723" i="11"/>
  <c r="U1724" i="11"/>
  <c r="U1725" i="11"/>
  <c r="U1726" i="11"/>
  <c r="U1727" i="11"/>
  <c r="U1728" i="11"/>
  <c r="U1729" i="11"/>
  <c r="U1730" i="11"/>
  <c r="U1731" i="11"/>
  <c r="U1732" i="11"/>
  <c r="U1733" i="11"/>
  <c r="U1734" i="11"/>
  <c r="U1735" i="11"/>
  <c r="U1736" i="11"/>
  <c r="U1737" i="11"/>
  <c r="U1738" i="11"/>
  <c r="U1739" i="11"/>
  <c r="U1740" i="11"/>
  <c r="U1741" i="11"/>
  <c r="U1742" i="11"/>
  <c r="U1743" i="11"/>
  <c r="U1744" i="11"/>
  <c r="U1745" i="11"/>
  <c r="U1746" i="11"/>
  <c r="U1747" i="11"/>
  <c r="U1748" i="11"/>
  <c r="U1749" i="11"/>
  <c r="U1750" i="11"/>
  <c r="U1751" i="11"/>
  <c r="U1752" i="11"/>
  <c r="U1753" i="11"/>
  <c r="U1754" i="11"/>
  <c r="U1755" i="11"/>
  <c r="U1756" i="11"/>
  <c r="U1757" i="11"/>
  <c r="U1758" i="11"/>
  <c r="U1759" i="11"/>
  <c r="U1760" i="11"/>
  <c r="U1761" i="11"/>
  <c r="U1762" i="11"/>
  <c r="U1763" i="11"/>
  <c r="U1764" i="11"/>
  <c r="U1765" i="11"/>
  <c r="U1766" i="11"/>
  <c r="U1767" i="11"/>
  <c r="U1768" i="11"/>
  <c r="U1769" i="11"/>
  <c r="U1770" i="11"/>
  <c r="U1771" i="11"/>
  <c r="U1772" i="11"/>
  <c r="U1773" i="11"/>
  <c r="U1774" i="11"/>
  <c r="U1775" i="11"/>
  <c r="U1776" i="11"/>
  <c r="U1777" i="11"/>
  <c r="U1778" i="11"/>
  <c r="U1779" i="11"/>
  <c r="U1780" i="11"/>
  <c r="U1781" i="11"/>
  <c r="U1782" i="11"/>
  <c r="U1783" i="11"/>
  <c r="U1784" i="11"/>
  <c r="U1785" i="11"/>
  <c r="U1786" i="11"/>
  <c r="U1787" i="11"/>
  <c r="U1788" i="11"/>
  <c r="U1789" i="11"/>
  <c r="U1790" i="11"/>
  <c r="U1791" i="11"/>
  <c r="U1792" i="11"/>
  <c r="U1793" i="11"/>
  <c r="U1794" i="11"/>
  <c r="U1795" i="11"/>
  <c r="U1796" i="11"/>
  <c r="U1797" i="11"/>
  <c r="U1798" i="11"/>
  <c r="U1799" i="11"/>
  <c r="U1800" i="11"/>
  <c r="U1801" i="11"/>
  <c r="U1802" i="11"/>
  <c r="U1803" i="11"/>
  <c r="U1804" i="11"/>
  <c r="U1805" i="11"/>
  <c r="U1806" i="11"/>
  <c r="U1807" i="11"/>
  <c r="U1808" i="11"/>
  <c r="U1809" i="11"/>
  <c r="U1810" i="11"/>
  <c r="U1811" i="11"/>
  <c r="U1812" i="11"/>
  <c r="U1813" i="11"/>
  <c r="U1814" i="11"/>
  <c r="U1815" i="11"/>
  <c r="U1816" i="11"/>
  <c r="U1817" i="11"/>
  <c r="U1818" i="11"/>
  <c r="U1819" i="11"/>
  <c r="U1820" i="11"/>
  <c r="U1821" i="11"/>
  <c r="U1822" i="11"/>
  <c r="U1823" i="11"/>
  <c r="U1824" i="11"/>
  <c r="U1825" i="11"/>
  <c r="U1826" i="11"/>
  <c r="U1827" i="11"/>
  <c r="U1828" i="11"/>
  <c r="U1829" i="11"/>
  <c r="U1830" i="11"/>
  <c r="U1831" i="11"/>
  <c r="U1832" i="11"/>
  <c r="U1833" i="11"/>
  <c r="U1834" i="11"/>
  <c r="U1835" i="11"/>
  <c r="U1836" i="11"/>
  <c r="U1837" i="11"/>
  <c r="U1838" i="11"/>
  <c r="U1839" i="11"/>
  <c r="U1840" i="11"/>
  <c r="U1841" i="11"/>
  <c r="U1842" i="11"/>
  <c r="U1843" i="11"/>
  <c r="U1844" i="11"/>
  <c r="U1845" i="11"/>
  <c r="U1846" i="11"/>
  <c r="U1847" i="11"/>
  <c r="U1848" i="11"/>
  <c r="U1849" i="11"/>
  <c r="U1850" i="11"/>
  <c r="U1851" i="11"/>
  <c r="U1852" i="11"/>
  <c r="U1853" i="11"/>
  <c r="U1854" i="11"/>
  <c r="U1855" i="11"/>
  <c r="U1856" i="11"/>
  <c r="U1857" i="11"/>
  <c r="U1858" i="11"/>
  <c r="U1859" i="11"/>
  <c r="U1860" i="11"/>
  <c r="U1861" i="11"/>
  <c r="U1862" i="11"/>
  <c r="U1863" i="11"/>
  <c r="U1864" i="11"/>
  <c r="U1865" i="11"/>
  <c r="U1866" i="11"/>
  <c r="U1867" i="11"/>
  <c r="U1868" i="11"/>
  <c r="U1869" i="11"/>
  <c r="U1870" i="11"/>
  <c r="U1871" i="11"/>
  <c r="U1872" i="11"/>
  <c r="U1873" i="11"/>
  <c r="U1874" i="11"/>
  <c r="U1875" i="11"/>
  <c r="U1876" i="11"/>
  <c r="U1877" i="11"/>
  <c r="U1878" i="11"/>
  <c r="U1879" i="11"/>
  <c r="U1880" i="11"/>
  <c r="U1881" i="11"/>
  <c r="U1882" i="11"/>
  <c r="U1883" i="11"/>
  <c r="U1884" i="11"/>
  <c r="U1885" i="11"/>
  <c r="U1886" i="11"/>
  <c r="U1887" i="11"/>
  <c r="U1888" i="11"/>
  <c r="U1889" i="11"/>
  <c r="U1890" i="11"/>
  <c r="U1891" i="11"/>
  <c r="U1892" i="11"/>
  <c r="U1893" i="11"/>
  <c r="U1894" i="11"/>
  <c r="U1895" i="11"/>
  <c r="U1896" i="11"/>
  <c r="U1897" i="11"/>
  <c r="U1898" i="11"/>
  <c r="U1899" i="11"/>
  <c r="U1900" i="11"/>
  <c r="U1901" i="11"/>
  <c r="U1902" i="11"/>
  <c r="U1903" i="11"/>
  <c r="U1904" i="11"/>
  <c r="U1905" i="11"/>
  <c r="U1906" i="11"/>
  <c r="U1907" i="11"/>
  <c r="U1908" i="11"/>
  <c r="U1909" i="11"/>
  <c r="U1910" i="11"/>
  <c r="U1911" i="11"/>
  <c r="U1912" i="11"/>
  <c r="U1913" i="11"/>
  <c r="U1914" i="11"/>
  <c r="U1915" i="11"/>
  <c r="U1916" i="11"/>
  <c r="U1917" i="11"/>
  <c r="U1918" i="11"/>
  <c r="U1919" i="11"/>
  <c r="U1920" i="11"/>
  <c r="U1921" i="11"/>
  <c r="U1922" i="11"/>
  <c r="U1923" i="11"/>
  <c r="U1924" i="11"/>
  <c r="U1925" i="11"/>
  <c r="U1926" i="11"/>
  <c r="U1927" i="11"/>
  <c r="U1928" i="11"/>
  <c r="U1929" i="11"/>
  <c r="U1930" i="11"/>
  <c r="U1931" i="11"/>
  <c r="U1932" i="11"/>
  <c r="U1933" i="11"/>
  <c r="U1934" i="11"/>
  <c r="U1935" i="11"/>
  <c r="U1936" i="11"/>
  <c r="U1937" i="11"/>
  <c r="U1938" i="11"/>
  <c r="U1939" i="11"/>
  <c r="U1940" i="11"/>
  <c r="U1941" i="11"/>
  <c r="U1942" i="11"/>
  <c r="U1943" i="11"/>
  <c r="U1944" i="11"/>
  <c r="U1945" i="11"/>
  <c r="U1946" i="11"/>
  <c r="U1947" i="11"/>
  <c r="U1948" i="11"/>
  <c r="U1949" i="11"/>
  <c r="U1950" i="11"/>
  <c r="U1951" i="11"/>
  <c r="U1952" i="11"/>
  <c r="U1953" i="11"/>
  <c r="U1954" i="11"/>
  <c r="U1955" i="11"/>
  <c r="U1956" i="11"/>
  <c r="U1957" i="11"/>
  <c r="U1958" i="11"/>
  <c r="U1959" i="11"/>
  <c r="U1960" i="11"/>
  <c r="U1961" i="11"/>
  <c r="U1962" i="11"/>
  <c r="U1963" i="11"/>
  <c r="U1964" i="11"/>
  <c r="U1965" i="11"/>
  <c r="U1966" i="11"/>
  <c r="U1967" i="11"/>
  <c r="U1968" i="11"/>
  <c r="U1969" i="11"/>
  <c r="U1970" i="11"/>
  <c r="U1971" i="11"/>
  <c r="U1972" i="11"/>
  <c r="U1973" i="11"/>
  <c r="U1974" i="11"/>
  <c r="U1975" i="11"/>
  <c r="U1976" i="11"/>
  <c r="U1977" i="11"/>
  <c r="U1978" i="11"/>
  <c r="U1979" i="11"/>
  <c r="U1980" i="11"/>
  <c r="U1981" i="11"/>
  <c r="U1982" i="11"/>
  <c r="U1983" i="11"/>
  <c r="U1984" i="11"/>
  <c r="U1985" i="11"/>
  <c r="U1986" i="11"/>
  <c r="U1987" i="11"/>
  <c r="U1988" i="11"/>
  <c r="U1989" i="11"/>
  <c r="U1990" i="11"/>
  <c r="U1991" i="11"/>
  <c r="U1992" i="11"/>
  <c r="U1993" i="11"/>
  <c r="U1994" i="11"/>
  <c r="U1995" i="11"/>
  <c r="U1996" i="11"/>
  <c r="U1997" i="11"/>
  <c r="U1998" i="11"/>
  <c r="U1999" i="11"/>
  <c r="U2000" i="11"/>
  <c r="U2001" i="11"/>
  <c r="U2002" i="11"/>
  <c r="U2003" i="11"/>
  <c r="U2004" i="11"/>
  <c r="U2005" i="11"/>
  <c r="U2006" i="11"/>
  <c r="U2007" i="11"/>
  <c r="U2008" i="11"/>
  <c r="U2009" i="11"/>
  <c r="U2010" i="11"/>
  <c r="U2011" i="11"/>
  <c r="U2012" i="11"/>
  <c r="U2013" i="11"/>
  <c r="U2014" i="11"/>
  <c r="U2015" i="11"/>
  <c r="U2016" i="11"/>
  <c r="U2017" i="11"/>
  <c r="U2018" i="11"/>
  <c r="U2019" i="11"/>
  <c r="U2020" i="11"/>
  <c r="U2021" i="11"/>
  <c r="U2022" i="11"/>
  <c r="U2023" i="11"/>
  <c r="U2024" i="11"/>
  <c r="U2025" i="11"/>
  <c r="U2026" i="11"/>
  <c r="U2027" i="11"/>
  <c r="U2028" i="11"/>
  <c r="U2029" i="11"/>
  <c r="U2030" i="11"/>
  <c r="U2031" i="11"/>
  <c r="U2032" i="11"/>
  <c r="U2033" i="11"/>
  <c r="U2034" i="11"/>
  <c r="U2035" i="11"/>
  <c r="U2036" i="11"/>
  <c r="U2037" i="11"/>
  <c r="U2038" i="11"/>
  <c r="U2039" i="11"/>
  <c r="U2040" i="11"/>
  <c r="U2041" i="11"/>
  <c r="U2042" i="11"/>
  <c r="U2043" i="11"/>
  <c r="U2044" i="11"/>
  <c r="U2045" i="11"/>
  <c r="U2046" i="11"/>
  <c r="U2047" i="11"/>
  <c r="U2048" i="11"/>
  <c r="U2049" i="11"/>
  <c r="U2050" i="11"/>
  <c r="U2051" i="11"/>
  <c r="U2052" i="11"/>
  <c r="U2053" i="11"/>
  <c r="U2054" i="11"/>
  <c r="U2055" i="11"/>
  <c r="U2056" i="11"/>
  <c r="U2057" i="11"/>
  <c r="U2058" i="11"/>
  <c r="U2059" i="11"/>
  <c r="U2060" i="11"/>
  <c r="U2061" i="11"/>
  <c r="U2062" i="11"/>
  <c r="U2063" i="11"/>
  <c r="U2064" i="11"/>
  <c r="U2065" i="11"/>
  <c r="U2066" i="11"/>
  <c r="U2067" i="11"/>
  <c r="U2068" i="11"/>
  <c r="U2069" i="11"/>
  <c r="U2070" i="11"/>
  <c r="U2071" i="11"/>
  <c r="U2072" i="11"/>
  <c r="U2073" i="11"/>
  <c r="U2074" i="11"/>
  <c r="U2075" i="11"/>
  <c r="U2076" i="11"/>
  <c r="U2077" i="11"/>
  <c r="U2078" i="11"/>
  <c r="U2079" i="11"/>
  <c r="U2080" i="11"/>
  <c r="U2081" i="11"/>
  <c r="U2082" i="11"/>
  <c r="U2083" i="11"/>
  <c r="U2084" i="11"/>
  <c r="U2085" i="11"/>
  <c r="U2086" i="11"/>
  <c r="U2087" i="11"/>
  <c r="U2088" i="11"/>
  <c r="U2089" i="11"/>
  <c r="U2090" i="11"/>
  <c r="U2091" i="11"/>
  <c r="U2092" i="11"/>
  <c r="U2093" i="11"/>
  <c r="U2094" i="11"/>
  <c r="U2095" i="11"/>
  <c r="U2096" i="11"/>
  <c r="U2097" i="11"/>
  <c r="U2098" i="11"/>
  <c r="U2099" i="11"/>
  <c r="U2100" i="11"/>
  <c r="U2101" i="11"/>
  <c r="U2102" i="11"/>
  <c r="U2103" i="11"/>
  <c r="U2104" i="11"/>
  <c r="U2105" i="11"/>
  <c r="U2106" i="11"/>
  <c r="U2107" i="11"/>
  <c r="U2108" i="11"/>
  <c r="U2109" i="11"/>
  <c r="U2110" i="11"/>
  <c r="U2111" i="11"/>
  <c r="U2112" i="11"/>
  <c r="U2113" i="11"/>
  <c r="U2114" i="11"/>
  <c r="U2115" i="11"/>
  <c r="U2116" i="11"/>
  <c r="U2117" i="11"/>
  <c r="U2118" i="11"/>
  <c r="U2119" i="11"/>
  <c r="U2120" i="11"/>
  <c r="U2121" i="11"/>
  <c r="U2122" i="11"/>
  <c r="U2123" i="11"/>
  <c r="U2124" i="11"/>
  <c r="U2125" i="11"/>
  <c r="U2126" i="11"/>
  <c r="U2127" i="11"/>
  <c r="U2128" i="11"/>
  <c r="U2129" i="11"/>
  <c r="U2130" i="11"/>
  <c r="U2131" i="11"/>
  <c r="U2132" i="11"/>
  <c r="U2133" i="11"/>
  <c r="U2134" i="11"/>
  <c r="U2135" i="11"/>
  <c r="U2136" i="11"/>
  <c r="U2137" i="11"/>
  <c r="U2138" i="11"/>
  <c r="U2139" i="11"/>
  <c r="U2140" i="11"/>
  <c r="U2141" i="11"/>
  <c r="U2142" i="11"/>
  <c r="U2143" i="11"/>
  <c r="U2144" i="11"/>
  <c r="U2145" i="11"/>
  <c r="U2146" i="11"/>
  <c r="U2147" i="11"/>
  <c r="U2148" i="11"/>
  <c r="U2149" i="11"/>
  <c r="U2150" i="11"/>
  <c r="U2151" i="11"/>
  <c r="U2152" i="11"/>
  <c r="U2153" i="11"/>
  <c r="U2154" i="11"/>
  <c r="U2155" i="11"/>
  <c r="U2156" i="11"/>
  <c r="U2157" i="11"/>
  <c r="U2158" i="11"/>
  <c r="U2159" i="11"/>
  <c r="U2160" i="11"/>
  <c r="U2161" i="11"/>
  <c r="U2162" i="11"/>
  <c r="U2163" i="11"/>
  <c r="U2164" i="11"/>
  <c r="U2165" i="11"/>
  <c r="U2166" i="11"/>
  <c r="U2167" i="11"/>
  <c r="U2168" i="11"/>
  <c r="U2169" i="11"/>
  <c r="U2170" i="11"/>
  <c r="U2171" i="11"/>
  <c r="U2172" i="11"/>
  <c r="U2173" i="11"/>
  <c r="U2174" i="11"/>
  <c r="U2175" i="11"/>
  <c r="U2176" i="11"/>
  <c r="U2177" i="11"/>
  <c r="U2178" i="11"/>
  <c r="U2179" i="11"/>
  <c r="U2180" i="11"/>
  <c r="U2181" i="11"/>
  <c r="U2182" i="11"/>
  <c r="U2183" i="11"/>
  <c r="U2184" i="11"/>
  <c r="U2185" i="11"/>
  <c r="U2186" i="11"/>
  <c r="U2187" i="11"/>
  <c r="U2188" i="11"/>
  <c r="U2189" i="11"/>
  <c r="U2190" i="11"/>
  <c r="U2191" i="11"/>
  <c r="U2192" i="11"/>
  <c r="U2193" i="11"/>
  <c r="U2194" i="11"/>
  <c r="U2195" i="11"/>
  <c r="U2196" i="11"/>
  <c r="U2197" i="11"/>
  <c r="U2198" i="11"/>
  <c r="U2199" i="11"/>
  <c r="U2200" i="11"/>
  <c r="U2201" i="11"/>
  <c r="U2202" i="11"/>
  <c r="U2203" i="11"/>
  <c r="U2204" i="11"/>
  <c r="U2205" i="11"/>
  <c r="U2206" i="11"/>
  <c r="U2207" i="11"/>
  <c r="U2208" i="11"/>
  <c r="U2209" i="11"/>
  <c r="U2210" i="11"/>
  <c r="U2211" i="11"/>
  <c r="U2212" i="11"/>
  <c r="U2213" i="11"/>
  <c r="U2214" i="11"/>
  <c r="U2215" i="11"/>
  <c r="U2216" i="11"/>
  <c r="U2217" i="11"/>
  <c r="U2218" i="11"/>
  <c r="U2219" i="11"/>
  <c r="U2220" i="11"/>
  <c r="U2221" i="11"/>
  <c r="U2222" i="11"/>
  <c r="U2223" i="11"/>
  <c r="U2224" i="11"/>
  <c r="U2225" i="11"/>
  <c r="U2226" i="11"/>
  <c r="U2227" i="11"/>
  <c r="U2228" i="11"/>
  <c r="U2229" i="11"/>
  <c r="U2230" i="11"/>
  <c r="U2231" i="11"/>
  <c r="U2232" i="11"/>
  <c r="U2233" i="11"/>
  <c r="U2234" i="11"/>
  <c r="U2235" i="11"/>
  <c r="U2236" i="11"/>
  <c r="U2237" i="11"/>
  <c r="U2238" i="11"/>
  <c r="U2239" i="11"/>
  <c r="U2240" i="11"/>
  <c r="U2241" i="11"/>
  <c r="U2242" i="11"/>
  <c r="U2243" i="11"/>
  <c r="U2244" i="11"/>
  <c r="U2245" i="11"/>
  <c r="U2246" i="11"/>
  <c r="U2247" i="11"/>
  <c r="U2248" i="11"/>
  <c r="U2249" i="11"/>
  <c r="U2250" i="11"/>
  <c r="U2251" i="11"/>
  <c r="U2252" i="11"/>
  <c r="U2253" i="11"/>
  <c r="U2254" i="11"/>
  <c r="U2255" i="11"/>
  <c r="U2256" i="11"/>
  <c r="U2257" i="11"/>
  <c r="U2258" i="11"/>
  <c r="U2259" i="11"/>
  <c r="U2260" i="11"/>
  <c r="U2261" i="11"/>
  <c r="U2262" i="11"/>
  <c r="U2263" i="11"/>
  <c r="U2264" i="11"/>
  <c r="U2265" i="11"/>
  <c r="U2266" i="11"/>
  <c r="U2267" i="11"/>
  <c r="U2268" i="11"/>
  <c r="U2269" i="11"/>
  <c r="U2270" i="11"/>
  <c r="U2271" i="11"/>
  <c r="U2272" i="11"/>
  <c r="U2273" i="11"/>
  <c r="U2274" i="11"/>
  <c r="U2275" i="11"/>
  <c r="U2276" i="11"/>
  <c r="U2277" i="11"/>
  <c r="U2278" i="11"/>
  <c r="U2279" i="11"/>
  <c r="U2280" i="11"/>
  <c r="U2281" i="11"/>
  <c r="U2282" i="11"/>
  <c r="U2283" i="11"/>
  <c r="U2284" i="11"/>
  <c r="U2285" i="11"/>
  <c r="U2286" i="11"/>
  <c r="U2287" i="11"/>
  <c r="U2288" i="11"/>
  <c r="U2289" i="11"/>
  <c r="U2290" i="11"/>
  <c r="U2291" i="11"/>
  <c r="U2292" i="11"/>
  <c r="U2293" i="11"/>
  <c r="U2294" i="11"/>
  <c r="U2295" i="11"/>
  <c r="U2296" i="11"/>
  <c r="U2297" i="11"/>
  <c r="U2298" i="11"/>
  <c r="U2299" i="11"/>
  <c r="U2300" i="11"/>
  <c r="U2301" i="11"/>
  <c r="U2302" i="11"/>
  <c r="U2303" i="11"/>
  <c r="U2304" i="11"/>
  <c r="U2305" i="11"/>
  <c r="U2306" i="11"/>
  <c r="U2307" i="11"/>
  <c r="U2308" i="11"/>
  <c r="U2309" i="11"/>
  <c r="U2310" i="11"/>
  <c r="U2311" i="11"/>
  <c r="U2312" i="11"/>
  <c r="U2313" i="11"/>
  <c r="U2314" i="11"/>
  <c r="U2315" i="11"/>
  <c r="U2316" i="11"/>
  <c r="U2317" i="11"/>
  <c r="U2318" i="11"/>
  <c r="U2319" i="11"/>
  <c r="U2320" i="11"/>
  <c r="U2321" i="11"/>
  <c r="U2322" i="11"/>
  <c r="U2323" i="11"/>
  <c r="U2324" i="11"/>
  <c r="U2325" i="11"/>
  <c r="U2326" i="11"/>
  <c r="U2327" i="11"/>
  <c r="U2328" i="11"/>
  <c r="U2329" i="11"/>
  <c r="U2330" i="11"/>
  <c r="U2331" i="11"/>
  <c r="U2332" i="11"/>
  <c r="U2333" i="11"/>
  <c r="U2334" i="11"/>
  <c r="U2335" i="11"/>
  <c r="U2336" i="11"/>
  <c r="U2337" i="11"/>
  <c r="U2338" i="11"/>
  <c r="U2339" i="11"/>
  <c r="U2340" i="11"/>
  <c r="U2341" i="11"/>
  <c r="U2342" i="11"/>
  <c r="U2343" i="11"/>
  <c r="U2344" i="11"/>
  <c r="U2345" i="11"/>
  <c r="U2346" i="11"/>
  <c r="U2347" i="11"/>
  <c r="U2348" i="11"/>
  <c r="U2349" i="11"/>
  <c r="U2350" i="11"/>
  <c r="U2351" i="11"/>
  <c r="U2352" i="11"/>
  <c r="U2353" i="11"/>
  <c r="U2354" i="11"/>
  <c r="U2355" i="11"/>
  <c r="U2356" i="11"/>
  <c r="U2357" i="11"/>
  <c r="U2358" i="11"/>
  <c r="U2359" i="11"/>
  <c r="U2360" i="11"/>
  <c r="U2361" i="11"/>
  <c r="U2362" i="11"/>
  <c r="U2363" i="11"/>
  <c r="U2364" i="11"/>
  <c r="U2365" i="11"/>
  <c r="U2366" i="11"/>
  <c r="U2367" i="11"/>
  <c r="U2368" i="11"/>
  <c r="U2369" i="11"/>
  <c r="U2370" i="11"/>
  <c r="U2371" i="11"/>
  <c r="U2372" i="11"/>
  <c r="U2373" i="11"/>
  <c r="U2374" i="11"/>
  <c r="U2375" i="11"/>
  <c r="U2376" i="11"/>
  <c r="U2377" i="11"/>
  <c r="U2378" i="11"/>
  <c r="U2379" i="11"/>
  <c r="U2380" i="11"/>
  <c r="U2381" i="11"/>
  <c r="U2382" i="11"/>
  <c r="U2383" i="11"/>
  <c r="U2384" i="11"/>
  <c r="U2385" i="11"/>
  <c r="U2386" i="11"/>
  <c r="U2387" i="11"/>
  <c r="U2388" i="11"/>
  <c r="U2389" i="11"/>
  <c r="U2390" i="11"/>
  <c r="U2391" i="11"/>
  <c r="U2392" i="11"/>
  <c r="U2393" i="11"/>
  <c r="U2394" i="11"/>
  <c r="U2395" i="11"/>
  <c r="U2396" i="11"/>
  <c r="U2397" i="11"/>
  <c r="U2398" i="11"/>
  <c r="U2399" i="11"/>
  <c r="U2400" i="11"/>
  <c r="U2401" i="11"/>
  <c r="U2402" i="11"/>
  <c r="U2403" i="11"/>
  <c r="U2404" i="11"/>
  <c r="U2405" i="11"/>
  <c r="U2406" i="11"/>
  <c r="U2407" i="11"/>
  <c r="U2408" i="11"/>
  <c r="U2409" i="11"/>
  <c r="U2410" i="11"/>
  <c r="U2411" i="11"/>
  <c r="U2412" i="11"/>
  <c r="U2413" i="11"/>
  <c r="U2414" i="11"/>
  <c r="U2415" i="11"/>
  <c r="U2416" i="11"/>
  <c r="U2417" i="11"/>
  <c r="U2418" i="11"/>
  <c r="U2419" i="11"/>
  <c r="U2420" i="11"/>
  <c r="U2421" i="11"/>
  <c r="U2422" i="11"/>
  <c r="U2423" i="11"/>
  <c r="U2424" i="11"/>
  <c r="U2425" i="11"/>
  <c r="U2426" i="11"/>
  <c r="U2427" i="11"/>
  <c r="U2428" i="11"/>
  <c r="U2429" i="11"/>
  <c r="U2430" i="11"/>
  <c r="U2431" i="11"/>
  <c r="U2432" i="11"/>
  <c r="U2433" i="11"/>
  <c r="U2434" i="11"/>
  <c r="U2435" i="11"/>
  <c r="U2436" i="11"/>
  <c r="U2437" i="11"/>
  <c r="U2438" i="11"/>
  <c r="U2439" i="11"/>
  <c r="U2440" i="11"/>
  <c r="U2441" i="11"/>
  <c r="U2442" i="11"/>
  <c r="U2443" i="11"/>
  <c r="U2444" i="11"/>
  <c r="U2445" i="11"/>
  <c r="U2446" i="11"/>
  <c r="U2447" i="11"/>
  <c r="U2448" i="11"/>
  <c r="U2449" i="11"/>
  <c r="U2450" i="11"/>
  <c r="U2451" i="11"/>
  <c r="U2452" i="11"/>
  <c r="U2453" i="11"/>
  <c r="U2454" i="11"/>
  <c r="U2455" i="11"/>
  <c r="U2456" i="11"/>
  <c r="U2457" i="11"/>
  <c r="U2458" i="11"/>
  <c r="U2459" i="11"/>
  <c r="U2460" i="11"/>
  <c r="U2461" i="11"/>
  <c r="U2462" i="11"/>
  <c r="U2463" i="11"/>
  <c r="U2464" i="11"/>
  <c r="U2465" i="11"/>
  <c r="U2466" i="11"/>
  <c r="U2467" i="11"/>
  <c r="U2468" i="11"/>
  <c r="U2469" i="11"/>
  <c r="U2470" i="11"/>
  <c r="U2471" i="11"/>
  <c r="U2472" i="11"/>
  <c r="U2473" i="11"/>
  <c r="U2474" i="11"/>
  <c r="U2475" i="11"/>
  <c r="U2476" i="11"/>
  <c r="U2477" i="11"/>
  <c r="U2478" i="11"/>
  <c r="U2479" i="11"/>
  <c r="U2480" i="11"/>
  <c r="U2481" i="11"/>
  <c r="U2482" i="11"/>
  <c r="U2483" i="11"/>
  <c r="U2484" i="11"/>
  <c r="U2485" i="11"/>
  <c r="U2486" i="11"/>
  <c r="U2487" i="11"/>
  <c r="U2488" i="11"/>
  <c r="U2489" i="11"/>
  <c r="U2490" i="11"/>
  <c r="U2491" i="11"/>
  <c r="U2492" i="11"/>
  <c r="U2493" i="11"/>
  <c r="U2494" i="11"/>
  <c r="U2495" i="11"/>
  <c r="U2496" i="11"/>
  <c r="U2497" i="11"/>
  <c r="U2498" i="11"/>
  <c r="U2499" i="11"/>
  <c r="U2500" i="11"/>
  <c r="U2501" i="11"/>
  <c r="U2502" i="11"/>
  <c r="U2503" i="11"/>
  <c r="U2504" i="11"/>
  <c r="U2505" i="11"/>
  <c r="U2506" i="11"/>
  <c r="U2507" i="11"/>
  <c r="U2508" i="11"/>
  <c r="U2509" i="11"/>
  <c r="U2510" i="11"/>
  <c r="U2511" i="11"/>
  <c r="U2512" i="11"/>
  <c r="U2513" i="11"/>
  <c r="U2514" i="11"/>
  <c r="U2515" i="11"/>
  <c r="U2516" i="11"/>
  <c r="U2517" i="11"/>
  <c r="U2518" i="11"/>
  <c r="U2519" i="11"/>
  <c r="U2520" i="11"/>
  <c r="U2521" i="11"/>
  <c r="U2522" i="11"/>
  <c r="U2523" i="11"/>
  <c r="U2524" i="11"/>
  <c r="U2525" i="11"/>
  <c r="U2526" i="11"/>
  <c r="U2527" i="11"/>
  <c r="U2528" i="11"/>
  <c r="U2529" i="11"/>
  <c r="U2530" i="11"/>
  <c r="U2531" i="11"/>
  <c r="U2532" i="11"/>
  <c r="U2533" i="11"/>
  <c r="U2534" i="11"/>
  <c r="U2535" i="11"/>
  <c r="U2536" i="11"/>
  <c r="U2537" i="11"/>
  <c r="U2538" i="11"/>
  <c r="U2539" i="11"/>
  <c r="U2540" i="11"/>
  <c r="U2541" i="11"/>
  <c r="U2542" i="11"/>
  <c r="U2543" i="11"/>
  <c r="U2544" i="11"/>
  <c r="U2545" i="11"/>
  <c r="U2546" i="11"/>
  <c r="U2547" i="11"/>
  <c r="U2548" i="11"/>
  <c r="U2549" i="11"/>
  <c r="U2550" i="11"/>
  <c r="U2551" i="11"/>
  <c r="U2552" i="11"/>
  <c r="U2553" i="11"/>
  <c r="U2554" i="11"/>
  <c r="U2555" i="11"/>
  <c r="U2556" i="11"/>
  <c r="U2557" i="11"/>
  <c r="U2558" i="11"/>
  <c r="U2559" i="11"/>
  <c r="U2560" i="11"/>
  <c r="U2561" i="11"/>
  <c r="U2562" i="11"/>
  <c r="U2563" i="11"/>
  <c r="U2564" i="11"/>
  <c r="U2565" i="11"/>
  <c r="U2566" i="11"/>
  <c r="U2567" i="11"/>
  <c r="U2568" i="11"/>
  <c r="U2569" i="11"/>
  <c r="U2570" i="11"/>
  <c r="U2571" i="11"/>
  <c r="U2572" i="11"/>
  <c r="U2573" i="11"/>
  <c r="U2574" i="11"/>
  <c r="U2575" i="11"/>
  <c r="U2576" i="11"/>
  <c r="U2577" i="11"/>
  <c r="U2578" i="11"/>
  <c r="U2579" i="11"/>
  <c r="U2580" i="11"/>
  <c r="U2581" i="11"/>
  <c r="U2582" i="11"/>
  <c r="U2583" i="11"/>
  <c r="U2584" i="11"/>
  <c r="U2585" i="11"/>
  <c r="U2586" i="11"/>
  <c r="U2587" i="11"/>
  <c r="U2588" i="11"/>
  <c r="U2589" i="11"/>
  <c r="U2590" i="11"/>
  <c r="U2591" i="11"/>
  <c r="U2592" i="11"/>
  <c r="U2593" i="11"/>
  <c r="U2594" i="11"/>
  <c r="U2595" i="11"/>
  <c r="U2596" i="11"/>
  <c r="U2597" i="11"/>
  <c r="U2598" i="11"/>
  <c r="U2599" i="11"/>
  <c r="U2600" i="11"/>
  <c r="U2601" i="11"/>
  <c r="U2602" i="11"/>
  <c r="U2603" i="11"/>
  <c r="U2604" i="11"/>
  <c r="U2605" i="11"/>
  <c r="U2606" i="11"/>
  <c r="U2607" i="11"/>
  <c r="U2608" i="11"/>
  <c r="U2609" i="11"/>
  <c r="U2610" i="11"/>
  <c r="U2611" i="11"/>
  <c r="U2612" i="11"/>
  <c r="U2613" i="11"/>
  <c r="U2614" i="11"/>
  <c r="U2615" i="11"/>
  <c r="U2616" i="11"/>
  <c r="U2617" i="11"/>
  <c r="U2618" i="11"/>
  <c r="U2619" i="11"/>
  <c r="U2620" i="11"/>
  <c r="U2621" i="11"/>
  <c r="U2622" i="11"/>
  <c r="U2623" i="11"/>
  <c r="U2624" i="11"/>
  <c r="U2625" i="11"/>
  <c r="U2626" i="11"/>
  <c r="U2627" i="11"/>
  <c r="U2628" i="11"/>
  <c r="U2629" i="11"/>
  <c r="U2630" i="11"/>
  <c r="U2631" i="11"/>
  <c r="U2632" i="11"/>
  <c r="U2633" i="11"/>
  <c r="U2634" i="11"/>
  <c r="U2635" i="11"/>
  <c r="U2636" i="11"/>
  <c r="U2637" i="11"/>
  <c r="U2638" i="11"/>
  <c r="U2639" i="11"/>
  <c r="U2640" i="11"/>
  <c r="U2641" i="11"/>
  <c r="U2642" i="11"/>
  <c r="U2643" i="11"/>
  <c r="U2644" i="11"/>
  <c r="U2645" i="11"/>
  <c r="U2646" i="11"/>
  <c r="U2647" i="11"/>
  <c r="U2648" i="11"/>
  <c r="U2649" i="11"/>
  <c r="U2650" i="11"/>
  <c r="U2651" i="11"/>
  <c r="U2652" i="11"/>
  <c r="U2653" i="11"/>
  <c r="U2654" i="11"/>
  <c r="U2655" i="11"/>
  <c r="U2656" i="11"/>
  <c r="U2657" i="11"/>
  <c r="U2658" i="11"/>
  <c r="U2659" i="11"/>
  <c r="U2660" i="11"/>
  <c r="U2661" i="11"/>
  <c r="U2662" i="11"/>
  <c r="U2663" i="11"/>
  <c r="U2664" i="11"/>
  <c r="U2665" i="11"/>
  <c r="U2666" i="11"/>
  <c r="U2667" i="11"/>
  <c r="U2668" i="11"/>
  <c r="U2669" i="11"/>
  <c r="U2670" i="11"/>
  <c r="U2671" i="11"/>
  <c r="U2672" i="11"/>
  <c r="U2673" i="11"/>
  <c r="U2674" i="11"/>
  <c r="U2675" i="11"/>
  <c r="U2676" i="11"/>
  <c r="U2677" i="11"/>
  <c r="U2678" i="11"/>
  <c r="U2679" i="11"/>
  <c r="U2680" i="11"/>
  <c r="U2681" i="11"/>
  <c r="U2682" i="11"/>
  <c r="U2683" i="11"/>
  <c r="U2684" i="11"/>
  <c r="U2685" i="11"/>
  <c r="U2686" i="11"/>
  <c r="U2687" i="11"/>
  <c r="U2688" i="11"/>
  <c r="U2689" i="11"/>
  <c r="U2690" i="11"/>
  <c r="U2691" i="11"/>
  <c r="U2692" i="11"/>
  <c r="U2693" i="11"/>
  <c r="U2694" i="11"/>
  <c r="U2695" i="11"/>
  <c r="U2696" i="11"/>
  <c r="U2697" i="11"/>
  <c r="U2698" i="11"/>
  <c r="U2699" i="11"/>
  <c r="U2700" i="11"/>
  <c r="U2701" i="11"/>
  <c r="U2702" i="11"/>
  <c r="U2703" i="11"/>
  <c r="U2704" i="11"/>
  <c r="U2705" i="11"/>
  <c r="U2706" i="11"/>
  <c r="U2707" i="11"/>
  <c r="U2708" i="11"/>
  <c r="U2709" i="11"/>
  <c r="U2710" i="11"/>
  <c r="U2711" i="11"/>
  <c r="U2712" i="11"/>
  <c r="U2713" i="11"/>
  <c r="U2714" i="11"/>
  <c r="U2715" i="11"/>
  <c r="U2716" i="11"/>
  <c r="U2717" i="11"/>
  <c r="U2718" i="11"/>
  <c r="U2719" i="11"/>
  <c r="U2720" i="11"/>
  <c r="U2721" i="11"/>
  <c r="U2722" i="11"/>
  <c r="U2723" i="11"/>
  <c r="U2724" i="11"/>
  <c r="U2725" i="11"/>
  <c r="U2726" i="11"/>
  <c r="U2727" i="11"/>
  <c r="U2728" i="11"/>
  <c r="U2729" i="11"/>
  <c r="U2730" i="11"/>
  <c r="U2731" i="11"/>
  <c r="U2732" i="11"/>
  <c r="U2733" i="11"/>
  <c r="U2734" i="11"/>
  <c r="U2735" i="11"/>
  <c r="U2736" i="11"/>
  <c r="U2737" i="11"/>
  <c r="U2738" i="11"/>
  <c r="U2739" i="11"/>
  <c r="U2740" i="11"/>
  <c r="U2741" i="11"/>
  <c r="U2742" i="11"/>
  <c r="U2743" i="11"/>
  <c r="U2744" i="11"/>
  <c r="U2745" i="11"/>
  <c r="U2746" i="11"/>
  <c r="U2747" i="11"/>
  <c r="U2748" i="11"/>
  <c r="U2749" i="11"/>
  <c r="U2750" i="11"/>
  <c r="U2751" i="11"/>
  <c r="U2752" i="11"/>
  <c r="U2753" i="11"/>
  <c r="U2754" i="11"/>
  <c r="U2755" i="11"/>
  <c r="U2756" i="11"/>
  <c r="U2757" i="11"/>
  <c r="U2758" i="11"/>
  <c r="U2759" i="11"/>
  <c r="U2760" i="11"/>
  <c r="U2761" i="11"/>
  <c r="U2762" i="11"/>
  <c r="U2763" i="11"/>
  <c r="U2764" i="11"/>
  <c r="U2765" i="11"/>
  <c r="U2766" i="11"/>
  <c r="U2767" i="11"/>
  <c r="U2768" i="11"/>
  <c r="U2769" i="11"/>
  <c r="U2770" i="11"/>
  <c r="U2771" i="11"/>
  <c r="U2772" i="11"/>
  <c r="U2773" i="11"/>
  <c r="U2774" i="11"/>
  <c r="U2775" i="11"/>
  <c r="U2776" i="11"/>
  <c r="U2777" i="11"/>
  <c r="U2778" i="11"/>
  <c r="U2779" i="11"/>
  <c r="U2780" i="11"/>
  <c r="U2781" i="11"/>
  <c r="U2782" i="11"/>
  <c r="U2783" i="11"/>
  <c r="U2784" i="11"/>
  <c r="U2785" i="11"/>
  <c r="U2786" i="11"/>
  <c r="U2787" i="11"/>
  <c r="U2788" i="11"/>
  <c r="U2789" i="11"/>
  <c r="U2790" i="11"/>
  <c r="U2791" i="11"/>
  <c r="U2792" i="11"/>
  <c r="U2793" i="11"/>
  <c r="U2794" i="11"/>
  <c r="U2795" i="11"/>
  <c r="U2796" i="11"/>
  <c r="U2797" i="11"/>
  <c r="U2798" i="11"/>
  <c r="U2799" i="11"/>
  <c r="U2800" i="11"/>
  <c r="U2801" i="11"/>
  <c r="U2802" i="11"/>
  <c r="U2803" i="11"/>
  <c r="U2804" i="11"/>
  <c r="U2805" i="11"/>
  <c r="U2806" i="11"/>
  <c r="U2807" i="11"/>
  <c r="U2808" i="11"/>
  <c r="U2809" i="11"/>
  <c r="U2810" i="11"/>
  <c r="U2811" i="11"/>
  <c r="U2812" i="11"/>
  <c r="U2813" i="11"/>
  <c r="U2814" i="11"/>
  <c r="U2815" i="11"/>
  <c r="U2816" i="11"/>
  <c r="U2817" i="11"/>
  <c r="U2818" i="11"/>
  <c r="U2819" i="11"/>
  <c r="U2820" i="11"/>
  <c r="U2821" i="11"/>
  <c r="U2822" i="11"/>
  <c r="U2823" i="11"/>
  <c r="U2824" i="11"/>
  <c r="U2825" i="11"/>
  <c r="U2826" i="11"/>
  <c r="U2827" i="11"/>
  <c r="U2828" i="11"/>
  <c r="U2829" i="11"/>
  <c r="U2830" i="11"/>
  <c r="U2831" i="11"/>
  <c r="U2832" i="11"/>
  <c r="U2833" i="11"/>
  <c r="U2834" i="11"/>
  <c r="U2835" i="11"/>
  <c r="U2836" i="11"/>
  <c r="U2837" i="11"/>
  <c r="U2838" i="11"/>
  <c r="U2839" i="11"/>
  <c r="U2840" i="11"/>
  <c r="U2841" i="11"/>
  <c r="U2842" i="11"/>
  <c r="U2843" i="11"/>
  <c r="U2844" i="11"/>
  <c r="U2845" i="11"/>
  <c r="U2846" i="11"/>
  <c r="U2847" i="11"/>
  <c r="U2848" i="11"/>
  <c r="U2849" i="11"/>
  <c r="U2850" i="11"/>
  <c r="U2851" i="11"/>
  <c r="U2852" i="11"/>
  <c r="U2853" i="11"/>
  <c r="U2854" i="11"/>
  <c r="U2855" i="11"/>
  <c r="U2856" i="11"/>
  <c r="U2857" i="11"/>
  <c r="U2858" i="11"/>
  <c r="U2859" i="11"/>
  <c r="U2860" i="11"/>
  <c r="U2861" i="11"/>
  <c r="U2862" i="11"/>
  <c r="U2863" i="11"/>
  <c r="U2864" i="11"/>
  <c r="U2865" i="11"/>
  <c r="U2866" i="11"/>
  <c r="U2867" i="11"/>
  <c r="U2868" i="11"/>
  <c r="U2869" i="11"/>
  <c r="U2870" i="11"/>
  <c r="U2871" i="11"/>
  <c r="U2872" i="11"/>
  <c r="U2873" i="11"/>
  <c r="U2874" i="11"/>
  <c r="U2875" i="11"/>
  <c r="U2876" i="11"/>
  <c r="U2877" i="11"/>
  <c r="U2878" i="11"/>
  <c r="U2879" i="11"/>
  <c r="U2880" i="11"/>
  <c r="U2881" i="11"/>
  <c r="U2882" i="11"/>
  <c r="U2883" i="11"/>
  <c r="U2884" i="11"/>
  <c r="U2885" i="11"/>
  <c r="U2886" i="11"/>
  <c r="U2887" i="11"/>
  <c r="U2888" i="11"/>
  <c r="U2889" i="11"/>
  <c r="U2890" i="11"/>
  <c r="U2891" i="11"/>
  <c r="U2892" i="11"/>
  <c r="U2893" i="11"/>
  <c r="U2894" i="11"/>
  <c r="U2895" i="11"/>
  <c r="U2896" i="11"/>
  <c r="U2897" i="11"/>
  <c r="U2898" i="11"/>
  <c r="U2899" i="11"/>
  <c r="U2900" i="11"/>
  <c r="U2901" i="11"/>
  <c r="U2902" i="11"/>
  <c r="U2903" i="11"/>
  <c r="U2904" i="11"/>
  <c r="U2905" i="11"/>
  <c r="U2906" i="11"/>
  <c r="U2907" i="11"/>
  <c r="U2908" i="11"/>
  <c r="U2909" i="11"/>
  <c r="U2910" i="11"/>
  <c r="U2911" i="11"/>
  <c r="U2912" i="11"/>
  <c r="U2913" i="11"/>
  <c r="U2914" i="11"/>
  <c r="U2915" i="11"/>
  <c r="U2916" i="11"/>
  <c r="U2917" i="11"/>
  <c r="U2918" i="11"/>
  <c r="U2919" i="11"/>
  <c r="U2920" i="11"/>
  <c r="U2921" i="11"/>
  <c r="U2922" i="11"/>
  <c r="U2923" i="11"/>
  <c r="U2924" i="11"/>
  <c r="U2925" i="11"/>
  <c r="U2926" i="11"/>
  <c r="U2927" i="11"/>
  <c r="U2928" i="11"/>
  <c r="U2929" i="11"/>
  <c r="U2930" i="11"/>
  <c r="U2931" i="11"/>
  <c r="U2932" i="11"/>
  <c r="U2933" i="11"/>
  <c r="U2934" i="11"/>
  <c r="U2935" i="11"/>
  <c r="U2936" i="11"/>
  <c r="U2937" i="11"/>
  <c r="U2938" i="11"/>
  <c r="U2939" i="11"/>
  <c r="U2940" i="11"/>
  <c r="U2941" i="11"/>
  <c r="U2942" i="11"/>
  <c r="U2943" i="11"/>
  <c r="U2944" i="11"/>
  <c r="U2945" i="11"/>
  <c r="U2946" i="11"/>
  <c r="U2947" i="11"/>
  <c r="U2948" i="11"/>
  <c r="U2949" i="11"/>
  <c r="U2950" i="11"/>
  <c r="U2951" i="11"/>
  <c r="U2952" i="11"/>
  <c r="U2953" i="11"/>
  <c r="U2954" i="11"/>
  <c r="U2955" i="11"/>
  <c r="U2956" i="11"/>
  <c r="U2957" i="11"/>
  <c r="U2958" i="11"/>
  <c r="U2959" i="11"/>
  <c r="U2960" i="11"/>
  <c r="U2961" i="11"/>
  <c r="U2962" i="11"/>
  <c r="U2963" i="11"/>
  <c r="U2964" i="11"/>
  <c r="U2965" i="11"/>
  <c r="U2966" i="11"/>
  <c r="U2967" i="11"/>
  <c r="U2968" i="11"/>
  <c r="U2969" i="11"/>
  <c r="U2970" i="11"/>
  <c r="U2971" i="11"/>
  <c r="U2972" i="11"/>
  <c r="U2973" i="11"/>
  <c r="U2974" i="11"/>
  <c r="U2975" i="11"/>
  <c r="U2976" i="11"/>
  <c r="U2977" i="11"/>
  <c r="U2978" i="11"/>
  <c r="U2979" i="11"/>
  <c r="U2980" i="11"/>
  <c r="U2981" i="11"/>
  <c r="U2982" i="11"/>
  <c r="U2983" i="11"/>
  <c r="U2984" i="11"/>
  <c r="U2985" i="11"/>
  <c r="U2986" i="11"/>
  <c r="U2987" i="11"/>
  <c r="U2988" i="11"/>
  <c r="U2989" i="11"/>
  <c r="U2990" i="11"/>
  <c r="U2991" i="11"/>
  <c r="U2992" i="11"/>
  <c r="U2993" i="11"/>
  <c r="U2994" i="11"/>
  <c r="U2995" i="11"/>
  <c r="U2996" i="11"/>
  <c r="U2997" i="11"/>
  <c r="U2998" i="11"/>
  <c r="U2999" i="11"/>
  <c r="U3000" i="11"/>
  <c r="U3001" i="11"/>
  <c r="U3002" i="11"/>
  <c r="U3003" i="11"/>
  <c r="U3004" i="11"/>
  <c r="U3005" i="11"/>
  <c r="U3006" i="11"/>
  <c r="U3007" i="11"/>
  <c r="U3008" i="11"/>
  <c r="U3009" i="11"/>
  <c r="U3010" i="11"/>
  <c r="U3011" i="11"/>
  <c r="U3012" i="11"/>
  <c r="U3013" i="11"/>
  <c r="U3014" i="11"/>
  <c r="U3015" i="11"/>
  <c r="U3016" i="11"/>
  <c r="U3017" i="11"/>
  <c r="U3018" i="11"/>
  <c r="U3019" i="11"/>
  <c r="U3020" i="11"/>
  <c r="U3021" i="11"/>
  <c r="U3022" i="11"/>
  <c r="U3023" i="11"/>
  <c r="U3024" i="11"/>
  <c r="U3025" i="11"/>
  <c r="U3026" i="11"/>
  <c r="U3027" i="11"/>
  <c r="U3028" i="11"/>
  <c r="U3029" i="11"/>
  <c r="U3030" i="11"/>
  <c r="U3031" i="11"/>
  <c r="U3032" i="11"/>
  <c r="U3033" i="11"/>
  <c r="U3034" i="11"/>
  <c r="U3035" i="11"/>
  <c r="U3036" i="11"/>
  <c r="U3037" i="11"/>
  <c r="U3038" i="11"/>
  <c r="U3039" i="11"/>
  <c r="U3040" i="11"/>
  <c r="U3041" i="11"/>
  <c r="U3042" i="11"/>
  <c r="U3043" i="11"/>
  <c r="U3044" i="11"/>
  <c r="U3045" i="11"/>
  <c r="U3046" i="11"/>
  <c r="U3047" i="11"/>
  <c r="U3048" i="11"/>
  <c r="U3049" i="11"/>
  <c r="U3050" i="11"/>
  <c r="U3051" i="11"/>
  <c r="U3052" i="11"/>
  <c r="U3053" i="11"/>
  <c r="U3054" i="11"/>
  <c r="U3055" i="11"/>
  <c r="U3056" i="11"/>
  <c r="U3057" i="11"/>
  <c r="U3058" i="11"/>
  <c r="U3059" i="11"/>
  <c r="U3060" i="11"/>
  <c r="U3061" i="11"/>
  <c r="U3062" i="11"/>
  <c r="U3063" i="11"/>
  <c r="U3064" i="11"/>
  <c r="U3065" i="11"/>
  <c r="U3066" i="11"/>
  <c r="U3067" i="11"/>
  <c r="U3068" i="11"/>
  <c r="U3069" i="11"/>
  <c r="U3070" i="11"/>
  <c r="U3071" i="11"/>
  <c r="U3072" i="11"/>
  <c r="U3073" i="11"/>
  <c r="U3074" i="11"/>
  <c r="U3075" i="11"/>
  <c r="U3076" i="11"/>
  <c r="U3077" i="11"/>
  <c r="U3078" i="11"/>
  <c r="U3079" i="11"/>
  <c r="U3080" i="11"/>
  <c r="U3081" i="11"/>
  <c r="U3082" i="11"/>
  <c r="U3083" i="11"/>
  <c r="U3084" i="11"/>
  <c r="U3085" i="11"/>
  <c r="U3086" i="11"/>
  <c r="U3087" i="11"/>
  <c r="U3088" i="11"/>
  <c r="U3089" i="11"/>
  <c r="U3090" i="11"/>
  <c r="U3091" i="11"/>
  <c r="U3092" i="11"/>
  <c r="U3093" i="11"/>
  <c r="U3094" i="11"/>
  <c r="U3095" i="11"/>
  <c r="U3096" i="11"/>
  <c r="U3097" i="11"/>
  <c r="U3098" i="11"/>
  <c r="U3099" i="11"/>
  <c r="U3100" i="11"/>
  <c r="U3101" i="11"/>
  <c r="U3102" i="11"/>
  <c r="U3103" i="11"/>
  <c r="U3104" i="11"/>
  <c r="U3105" i="11"/>
  <c r="U3106" i="11"/>
  <c r="U3107" i="11"/>
  <c r="U3108" i="11"/>
  <c r="U3109" i="11"/>
  <c r="U3110" i="11"/>
  <c r="U3111" i="11"/>
  <c r="U3112" i="11"/>
  <c r="U3113" i="11"/>
  <c r="U3114" i="11"/>
  <c r="U3115" i="11"/>
  <c r="U3116" i="11"/>
  <c r="U3117" i="11"/>
  <c r="U3118" i="11"/>
  <c r="U3119" i="11"/>
  <c r="U3120" i="11"/>
  <c r="U3121" i="11"/>
  <c r="U3122" i="11"/>
  <c r="U3123" i="11"/>
  <c r="U3124" i="11"/>
  <c r="U3125" i="11"/>
  <c r="U3126" i="11"/>
  <c r="U3127" i="11"/>
  <c r="U3128" i="11"/>
  <c r="U3129" i="11"/>
  <c r="U3130" i="11"/>
  <c r="U3131" i="11"/>
  <c r="U3132" i="11"/>
  <c r="U3133" i="11"/>
  <c r="U3134" i="11"/>
  <c r="U3135" i="11"/>
  <c r="U3136" i="11"/>
  <c r="U3137" i="11"/>
  <c r="U3138" i="11"/>
  <c r="U3139" i="11"/>
  <c r="U3140" i="11"/>
  <c r="U3141" i="11"/>
  <c r="U3142" i="11"/>
  <c r="U3143" i="11"/>
  <c r="U3144" i="11"/>
  <c r="U3145" i="11"/>
  <c r="U3146" i="11"/>
  <c r="U3147" i="11"/>
  <c r="U3148" i="11"/>
  <c r="U3149" i="11"/>
  <c r="U3150" i="11"/>
  <c r="U3151" i="11"/>
  <c r="U3152" i="11"/>
  <c r="U3153" i="11"/>
  <c r="U3154" i="11"/>
  <c r="U3155" i="11"/>
  <c r="U3156" i="11"/>
  <c r="U3157" i="11"/>
  <c r="U3158" i="11"/>
  <c r="U3159" i="11"/>
  <c r="U3160" i="11"/>
  <c r="U3161" i="11"/>
  <c r="U3162" i="11"/>
  <c r="U3163" i="11"/>
  <c r="U3164" i="11"/>
  <c r="U3165" i="11"/>
  <c r="U3166" i="11"/>
  <c r="U3167" i="11"/>
  <c r="U3168" i="11"/>
  <c r="U3169" i="11"/>
  <c r="U3170" i="11"/>
  <c r="U3171" i="11"/>
  <c r="U3172" i="11"/>
  <c r="U3173" i="11"/>
  <c r="U3174" i="11"/>
  <c r="U3175" i="11"/>
  <c r="U3176" i="11"/>
  <c r="U3177" i="11"/>
  <c r="U3178" i="11"/>
  <c r="U3179" i="11"/>
  <c r="U3180" i="11"/>
  <c r="U3181" i="11"/>
  <c r="U3182" i="11"/>
  <c r="U3183" i="11"/>
  <c r="U3184" i="11"/>
  <c r="U3185" i="11"/>
  <c r="U3186" i="11"/>
  <c r="U3187" i="11"/>
  <c r="U3188" i="11"/>
  <c r="U3189" i="11"/>
  <c r="U3190" i="11"/>
  <c r="U3191" i="11"/>
  <c r="U3192" i="11"/>
  <c r="U3193" i="11"/>
  <c r="U3194" i="11"/>
  <c r="U3195" i="11"/>
  <c r="U3196" i="11"/>
  <c r="U3197" i="11"/>
  <c r="U3198" i="11"/>
  <c r="U3199" i="11"/>
  <c r="U3200" i="11"/>
  <c r="U3201" i="11"/>
  <c r="U3202" i="11"/>
  <c r="U3203" i="11"/>
  <c r="U3204" i="11"/>
  <c r="U3205" i="11"/>
  <c r="U3206" i="11"/>
  <c r="U3207" i="11"/>
  <c r="U3208" i="11"/>
  <c r="U3209" i="11"/>
  <c r="U3210" i="11"/>
  <c r="U3211" i="11"/>
  <c r="U3212" i="11"/>
  <c r="U3213" i="11"/>
  <c r="U3214" i="11"/>
  <c r="U3215" i="11"/>
  <c r="U3216" i="11"/>
  <c r="U3217" i="11"/>
  <c r="U3218" i="11"/>
  <c r="U3219" i="11"/>
  <c r="U3220" i="11"/>
  <c r="U3221" i="11"/>
  <c r="U3222" i="11"/>
  <c r="U3223" i="11"/>
  <c r="U3224" i="11"/>
  <c r="U3225" i="11"/>
  <c r="U3226" i="11"/>
  <c r="U3227" i="11"/>
  <c r="U3228" i="11"/>
  <c r="U3229" i="11"/>
  <c r="U3230" i="11"/>
  <c r="U3231" i="11"/>
  <c r="U3232" i="11"/>
  <c r="U3233" i="11"/>
  <c r="U3234" i="11"/>
  <c r="U3235" i="11"/>
  <c r="U3236" i="11"/>
  <c r="U3237" i="11"/>
  <c r="U3238" i="11"/>
  <c r="U3239" i="11"/>
  <c r="U3240" i="11"/>
  <c r="U3241" i="11"/>
  <c r="U3242" i="11"/>
  <c r="U3243" i="11"/>
  <c r="U3244" i="11"/>
  <c r="U3245" i="11"/>
  <c r="U3246" i="11"/>
  <c r="U3247" i="11"/>
  <c r="U3248" i="11"/>
  <c r="U3249" i="11"/>
  <c r="U3250" i="11"/>
  <c r="U3251" i="11"/>
  <c r="U3252" i="11"/>
  <c r="U3253" i="11"/>
  <c r="U3254" i="11"/>
  <c r="U3255" i="11"/>
  <c r="U3256" i="11"/>
  <c r="U3257" i="11"/>
  <c r="U3258" i="11"/>
  <c r="U3259" i="11"/>
  <c r="U3260" i="11"/>
  <c r="U3261" i="11"/>
  <c r="U3262" i="11"/>
  <c r="U3263" i="11"/>
  <c r="U3264" i="11"/>
  <c r="U3265" i="11"/>
  <c r="U3266" i="11"/>
  <c r="U3267" i="11"/>
  <c r="U3268" i="11"/>
  <c r="U3269" i="11"/>
  <c r="U3270" i="11"/>
  <c r="U3271" i="11"/>
  <c r="U3272" i="11"/>
  <c r="U3273" i="11"/>
  <c r="U3274" i="11"/>
  <c r="U3275" i="11"/>
  <c r="U3276" i="11"/>
  <c r="U3277" i="11"/>
  <c r="U3278" i="11"/>
  <c r="U3279" i="11"/>
  <c r="U3280" i="11"/>
  <c r="U3281" i="11"/>
  <c r="U3282" i="11"/>
  <c r="U3283" i="11"/>
  <c r="U3284" i="11"/>
  <c r="U3285" i="11"/>
  <c r="U3286" i="11"/>
  <c r="U3287" i="11"/>
  <c r="U3288" i="11"/>
  <c r="U3289" i="11"/>
  <c r="U3290" i="11"/>
  <c r="U3291" i="11"/>
  <c r="U3292" i="11"/>
  <c r="U3293" i="11"/>
  <c r="U3294" i="11"/>
  <c r="U3295" i="11"/>
  <c r="U3296" i="11"/>
  <c r="U3297" i="11"/>
  <c r="U3298" i="11"/>
  <c r="U3299" i="11"/>
  <c r="U3300" i="11"/>
  <c r="U3301" i="11"/>
  <c r="U3302" i="11"/>
  <c r="U3303" i="11"/>
  <c r="U3304" i="11"/>
  <c r="U3305" i="11"/>
  <c r="U3306" i="11"/>
  <c r="U3307" i="11"/>
  <c r="U3308" i="11"/>
  <c r="U3309" i="11"/>
  <c r="U3310" i="11"/>
  <c r="U3311" i="11"/>
  <c r="U3312" i="11"/>
  <c r="U3313" i="11"/>
  <c r="U3314" i="11"/>
  <c r="U3315" i="11"/>
  <c r="U3316" i="11"/>
  <c r="U3317" i="11"/>
  <c r="U3318" i="11"/>
  <c r="U3319" i="11"/>
  <c r="U3320" i="11"/>
  <c r="U3321" i="11"/>
  <c r="U3322" i="11"/>
  <c r="U3323" i="11"/>
  <c r="U3324" i="11"/>
  <c r="U3325" i="11"/>
  <c r="U3326" i="11"/>
  <c r="U3327" i="11"/>
  <c r="U3328" i="11"/>
  <c r="U3329" i="11"/>
  <c r="U3330" i="11"/>
  <c r="U3331" i="11"/>
  <c r="U3332" i="11"/>
  <c r="U3333" i="11"/>
  <c r="U3334" i="11"/>
  <c r="U3335" i="11"/>
  <c r="U3336" i="11"/>
  <c r="U3337" i="11"/>
  <c r="U3338" i="11"/>
  <c r="U3339" i="11"/>
  <c r="U3340" i="11"/>
  <c r="U3341" i="11"/>
  <c r="U3342" i="11"/>
  <c r="U3343" i="11"/>
  <c r="U3344" i="11"/>
  <c r="U3345" i="11"/>
  <c r="U3346" i="11"/>
  <c r="U3347" i="11"/>
  <c r="U3348" i="11"/>
  <c r="U3349" i="11"/>
  <c r="U3350" i="11"/>
  <c r="U3351" i="11"/>
  <c r="U3352" i="11"/>
  <c r="U3353" i="11"/>
  <c r="U3354" i="11"/>
  <c r="U3355" i="11"/>
  <c r="U3356" i="11"/>
  <c r="U3357" i="11"/>
  <c r="U3358" i="11"/>
  <c r="U3359" i="11"/>
  <c r="U3360" i="11"/>
  <c r="U3361" i="11"/>
  <c r="U3362" i="11"/>
  <c r="U3363" i="11"/>
  <c r="U3364" i="11"/>
  <c r="U3365" i="11"/>
  <c r="U3366" i="11"/>
  <c r="U3367" i="11"/>
  <c r="U3368" i="11"/>
  <c r="U3369" i="11"/>
  <c r="U3370" i="11"/>
  <c r="U3371" i="11"/>
  <c r="U3372" i="11"/>
  <c r="U3373" i="11"/>
  <c r="U3374" i="11"/>
  <c r="U3375" i="11"/>
  <c r="U3376" i="11"/>
  <c r="U3377" i="11"/>
  <c r="U3378" i="11"/>
  <c r="U3379" i="11"/>
  <c r="U3380" i="11"/>
  <c r="U3381" i="11"/>
  <c r="U3382" i="11"/>
  <c r="U3383" i="11"/>
  <c r="U3384" i="11"/>
  <c r="U3385" i="11"/>
  <c r="U3386" i="11"/>
  <c r="U3387" i="11"/>
  <c r="U3388" i="11"/>
  <c r="U3389" i="11"/>
  <c r="U3390" i="11"/>
  <c r="U3391" i="11"/>
  <c r="U3392" i="11"/>
  <c r="U3393" i="11"/>
  <c r="U3394" i="11"/>
  <c r="U3395" i="11"/>
  <c r="U3396" i="11"/>
  <c r="U3397" i="11"/>
  <c r="U3398" i="11"/>
  <c r="U3399" i="11"/>
  <c r="U3400" i="11"/>
  <c r="U3401" i="11"/>
  <c r="U3402" i="11"/>
  <c r="U3403" i="11"/>
  <c r="U3404" i="11"/>
  <c r="U3405" i="11"/>
  <c r="U3406" i="11"/>
  <c r="U3407" i="11"/>
  <c r="U3408" i="11"/>
  <c r="U3409" i="11"/>
  <c r="U3410" i="11"/>
  <c r="U3411" i="11"/>
  <c r="U3412" i="11"/>
  <c r="U3413" i="11"/>
  <c r="U3414" i="11"/>
  <c r="U3415" i="11"/>
  <c r="U3416" i="11"/>
  <c r="U3417" i="11"/>
  <c r="U3418" i="11"/>
  <c r="U3419" i="11"/>
  <c r="U3420" i="11"/>
  <c r="U3421" i="11"/>
  <c r="U3422" i="11"/>
  <c r="U3423" i="11"/>
  <c r="U3424" i="11"/>
  <c r="U3425" i="11"/>
  <c r="U3426" i="11"/>
  <c r="U3427" i="11"/>
  <c r="U3428" i="11"/>
  <c r="U3429" i="11"/>
  <c r="U3430" i="11"/>
  <c r="U3431" i="11"/>
  <c r="U3432" i="11"/>
  <c r="U3433" i="11"/>
  <c r="U3434" i="11"/>
  <c r="U3435" i="11"/>
  <c r="U3436" i="11"/>
  <c r="U3437" i="11"/>
  <c r="U3438" i="11"/>
  <c r="U3439" i="11"/>
  <c r="U3440" i="11"/>
  <c r="U3441" i="11"/>
  <c r="U3442" i="11"/>
  <c r="U3443" i="11"/>
  <c r="U3444" i="11"/>
  <c r="U3445" i="11"/>
  <c r="U3446" i="11"/>
  <c r="U3447" i="11"/>
  <c r="U3448" i="11"/>
  <c r="U3449" i="11"/>
  <c r="U3450" i="11"/>
  <c r="U3451" i="11"/>
  <c r="U3452" i="11"/>
  <c r="U3453" i="11"/>
  <c r="U3454" i="11"/>
  <c r="U3455" i="11"/>
  <c r="U3456" i="11"/>
  <c r="U3457" i="11"/>
  <c r="U3458" i="11"/>
  <c r="U3459" i="11"/>
  <c r="U3460" i="11"/>
  <c r="U3461" i="11"/>
  <c r="U3462" i="11"/>
  <c r="U3463" i="11"/>
  <c r="U3464" i="11"/>
  <c r="U3465" i="11"/>
  <c r="U3466" i="11"/>
  <c r="U3467" i="11"/>
  <c r="U3468" i="11"/>
  <c r="U3469" i="11"/>
  <c r="U3470" i="11"/>
  <c r="U3471" i="11"/>
  <c r="U3472" i="11"/>
  <c r="U3473" i="11"/>
  <c r="U3474" i="11"/>
  <c r="U3475" i="11"/>
  <c r="U3476" i="11"/>
  <c r="U3477" i="11"/>
  <c r="U3478" i="11"/>
  <c r="U3479" i="11"/>
  <c r="U3480" i="11"/>
  <c r="U3481" i="11"/>
  <c r="U3482" i="11"/>
  <c r="U3483" i="11"/>
  <c r="U3484" i="11"/>
  <c r="U3485" i="11"/>
  <c r="U3486" i="11"/>
  <c r="U3487" i="11"/>
  <c r="U3488" i="11"/>
  <c r="U3489" i="11"/>
  <c r="U3490" i="11"/>
  <c r="U3491" i="11"/>
  <c r="U3492" i="11"/>
  <c r="U3493" i="11"/>
  <c r="U3494" i="11"/>
  <c r="U3495" i="11"/>
  <c r="U3496" i="11"/>
  <c r="U3497" i="11"/>
  <c r="U3498" i="11"/>
  <c r="U3499" i="11"/>
  <c r="U3500" i="11"/>
  <c r="U3501" i="11"/>
  <c r="U3502" i="11"/>
  <c r="U3503" i="11"/>
  <c r="U3504" i="11"/>
  <c r="U3505" i="11"/>
  <c r="U3506" i="11"/>
  <c r="U3507" i="11"/>
  <c r="U3508" i="11"/>
  <c r="U3509" i="11"/>
  <c r="U3510" i="11"/>
  <c r="U3511" i="11"/>
  <c r="U3512" i="11"/>
  <c r="U3513" i="11"/>
  <c r="U3514" i="11"/>
  <c r="U3515" i="11"/>
  <c r="U3516" i="11"/>
  <c r="U3517" i="11"/>
  <c r="U3518" i="11"/>
  <c r="U3519" i="11"/>
  <c r="U3520" i="11"/>
  <c r="U3521" i="11"/>
  <c r="U3522" i="11"/>
  <c r="U3523" i="11"/>
  <c r="U3524" i="11"/>
  <c r="U3525" i="11"/>
  <c r="U3526" i="11"/>
  <c r="U3527" i="11"/>
  <c r="U3528" i="11"/>
  <c r="U3529" i="11"/>
  <c r="U3530" i="11"/>
  <c r="U3531" i="11"/>
  <c r="U3532" i="11"/>
  <c r="U3533" i="11"/>
  <c r="U3534" i="11"/>
  <c r="U3535" i="11"/>
  <c r="U3536" i="11"/>
  <c r="U3537" i="11"/>
  <c r="U3538" i="11"/>
  <c r="U3539" i="11"/>
  <c r="U3540" i="11"/>
  <c r="U3541" i="11"/>
  <c r="U3542" i="11"/>
  <c r="U3543" i="11"/>
  <c r="U3544" i="11"/>
  <c r="U3545" i="11"/>
  <c r="U3546" i="11"/>
  <c r="U3547" i="11"/>
  <c r="U3548" i="11"/>
  <c r="U3549" i="11"/>
  <c r="U3550" i="11"/>
  <c r="U3551" i="11"/>
  <c r="U3552" i="11"/>
  <c r="U3553" i="11"/>
  <c r="U3554" i="11"/>
  <c r="U3555" i="11"/>
  <c r="U3556" i="11"/>
  <c r="U3557" i="11"/>
  <c r="U3558" i="11"/>
  <c r="U3559" i="11"/>
  <c r="U3560" i="11"/>
  <c r="U3561" i="11"/>
  <c r="U3562" i="11"/>
  <c r="U3563" i="11"/>
  <c r="U3564" i="11"/>
  <c r="U3565" i="11"/>
  <c r="U3566" i="11"/>
  <c r="U3567" i="11"/>
  <c r="U3568" i="11"/>
  <c r="U3569" i="11"/>
  <c r="U3570" i="11"/>
  <c r="U3571" i="11"/>
  <c r="U3572" i="11"/>
  <c r="U3573" i="11"/>
  <c r="U3574" i="11"/>
  <c r="U3575" i="11"/>
  <c r="U3576" i="11"/>
  <c r="U3577" i="11"/>
  <c r="U3578" i="11"/>
  <c r="U3579" i="11"/>
  <c r="U3580" i="11"/>
  <c r="U3581" i="11"/>
  <c r="U3582" i="11"/>
  <c r="U3583" i="11"/>
  <c r="U3584" i="11"/>
  <c r="U3585" i="11"/>
  <c r="U3586" i="11"/>
  <c r="U3587" i="11"/>
  <c r="U3588" i="11"/>
  <c r="U3589" i="11"/>
  <c r="U3590" i="11"/>
  <c r="U3591" i="11"/>
  <c r="U3592" i="11"/>
  <c r="U3593" i="11"/>
  <c r="U3594" i="11"/>
  <c r="U3595" i="11"/>
  <c r="U3596" i="11"/>
  <c r="U3597" i="11"/>
  <c r="U3598" i="11"/>
  <c r="U3599" i="11"/>
  <c r="U3600" i="11"/>
  <c r="U3601" i="11"/>
  <c r="U3602" i="11"/>
  <c r="U3603" i="11"/>
  <c r="U3604" i="11"/>
  <c r="U3605" i="11"/>
  <c r="U3606" i="11"/>
  <c r="U3607" i="11"/>
  <c r="U3608" i="11"/>
  <c r="U3609" i="11"/>
  <c r="U3610" i="11"/>
  <c r="U3611" i="11"/>
  <c r="U3612" i="11"/>
  <c r="U3613" i="11"/>
  <c r="U3614" i="11"/>
  <c r="U3615" i="11"/>
  <c r="U3616" i="11"/>
  <c r="U3617" i="11"/>
  <c r="U3618" i="11"/>
  <c r="U3619" i="11"/>
  <c r="U3620" i="11"/>
  <c r="U3621" i="11"/>
  <c r="U3622" i="11"/>
  <c r="U3623" i="11"/>
  <c r="U3624" i="11"/>
  <c r="U3625" i="11"/>
  <c r="U3626" i="11"/>
  <c r="U3627" i="11"/>
  <c r="U3628" i="11"/>
  <c r="U3629" i="11"/>
  <c r="U3630" i="11"/>
  <c r="U3631" i="11"/>
  <c r="U3632" i="11"/>
  <c r="U3633" i="11"/>
  <c r="U3634" i="11"/>
  <c r="U3635" i="11"/>
  <c r="U3636" i="11"/>
  <c r="U3637" i="11"/>
  <c r="U3638" i="11"/>
  <c r="U3639" i="11"/>
  <c r="U3640" i="11"/>
  <c r="U3641" i="11"/>
  <c r="U3642" i="11"/>
  <c r="U3643" i="11"/>
  <c r="U3644" i="11"/>
  <c r="U3645" i="11"/>
  <c r="U3646" i="11"/>
  <c r="U3647" i="11"/>
  <c r="U3648" i="11"/>
  <c r="U3649" i="11"/>
  <c r="U3650" i="11"/>
  <c r="U3651" i="11"/>
  <c r="U3652" i="11"/>
  <c r="U3653" i="11"/>
  <c r="U3654" i="11"/>
  <c r="U3655" i="11"/>
  <c r="U3656" i="11"/>
  <c r="U3657" i="11"/>
  <c r="U3658" i="11"/>
  <c r="U3659" i="11"/>
  <c r="U3660" i="11"/>
  <c r="U3661" i="11"/>
  <c r="U3662" i="11"/>
  <c r="U3663" i="11"/>
  <c r="U3664" i="11"/>
  <c r="U3665" i="11"/>
  <c r="U3666" i="11"/>
  <c r="U3667" i="11"/>
  <c r="U3668" i="11"/>
  <c r="U3669" i="11"/>
  <c r="U3670" i="11"/>
  <c r="U3671" i="11"/>
  <c r="U3672" i="11"/>
  <c r="U3673" i="11"/>
  <c r="U3674" i="11"/>
  <c r="U3675" i="11"/>
  <c r="U3676" i="11"/>
  <c r="U3677" i="11"/>
  <c r="U3678" i="11"/>
  <c r="U3679" i="11"/>
  <c r="U3680" i="11"/>
  <c r="U3681" i="11"/>
  <c r="U3682" i="11"/>
  <c r="U3683" i="11"/>
  <c r="U3684" i="11"/>
  <c r="U3685" i="11"/>
  <c r="U3686" i="11"/>
  <c r="U3687" i="11"/>
  <c r="U3688" i="11"/>
  <c r="U3689" i="11"/>
  <c r="U3690" i="11"/>
  <c r="U3691" i="11"/>
  <c r="U3692" i="11"/>
  <c r="U3693" i="11"/>
  <c r="U3694" i="11"/>
  <c r="U3695" i="11"/>
  <c r="U3696" i="11"/>
  <c r="U3697" i="11"/>
  <c r="U3698" i="11"/>
  <c r="U3699" i="11"/>
  <c r="U3700" i="11"/>
  <c r="U3701" i="11"/>
  <c r="U3702" i="11"/>
  <c r="U3703" i="11"/>
  <c r="U3704" i="11"/>
  <c r="U3705" i="11"/>
  <c r="U3706" i="11"/>
  <c r="U3707" i="11"/>
  <c r="U3708" i="11"/>
  <c r="U3709" i="11"/>
  <c r="U3710" i="11"/>
  <c r="U3711" i="11"/>
  <c r="U3712" i="11"/>
  <c r="U3713" i="11"/>
  <c r="U3714" i="11"/>
  <c r="U3715" i="11"/>
  <c r="U3716" i="11"/>
  <c r="U3717" i="11"/>
  <c r="U3718" i="11"/>
  <c r="U3719" i="11"/>
  <c r="U3720" i="11"/>
  <c r="U3721" i="11"/>
  <c r="U3722" i="11"/>
  <c r="U3723" i="11"/>
  <c r="U3724" i="11"/>
  <c r="U3725" i="11"/>
  <c r="U3726" i="11"/>
  <c r="U3727" i="11"/>
  <c r="U3728" i="11"/>
  <c r="U3729" i="11"/>
  <c r="U3730" i="11"/>
  <c r="U3731" i="11"/>
  <c r="U3732" i="11"/>
  <c r="U3733" i="11"/>
  <c r="U3734" i="11"/>
  <c r="U3735" i="11"/>
  <c r="U3736" i="11"/>
  <c r="U3737" i="11"/>
  <c r="U3738" i="11"/>
  <c r="U3739" i="11"/>
  <c r="U3740" i="11"/>
  <c r="U3741" i="11"/>
  <c r="U3742" i="11"/>
  <c r="U3743" i="11"/>
  <c r="U3744" i="11"/>
  <c r="U3745" i="11"/>
  <c r="U3746" i="11"/>
  <c r="U3747" i="11"/>
  <c r="U3748" i="11"/>
  <c r="U3749" i="11"/>
  <c r="U3750" i="11"/>
  <c r="U3751" i="11"/>
  <c r="U3752" i="11"/>
  <c r="U3753" i="11"/>
  <c r="U3754" i="11"/>
  <c r="U3755" i="11"/>
  <c r="U3756" i="11"/>
  <c r="U3757" i="11"/>
  <c r="U3758" i="11"/>
  <c r="U3759" i="11"/>
  <c r="U3760" i="11"/>
  <c r="U3761" i="11"/>
  <c r="U3762" i="11"/>
  <c r="U3763" i="11"/>
  <c r="U3764" i="11"/>
  <c r="U3765" i="11"/>
  <c r="U3766" i="11"/>
  <c r="U3767" i="11"/>
  <c r="U3768" i="11"/>
  <c r="U3769" i="11"/>
  <c r="U3770" i="11"/>
  <c r="U3771" i="11"/>
  <c r="U3772" i="11"/>
  <c r="U3773" i="11"/>
  <c r="U3774" i="11"/>
  <c r="U3775" i="11"/>
  <c r="U3776" i="11"/>
  <c r="U3777" i="11"/>
  <c r="U3778" i="11"/>
  <c r="U3779" i="11"/>
  <c r="U3780" i="11"/>
  <c r="U3781" i="11"/>
  <c r="U3782" i="11"/>
  <c r="U3783" i="11"/>
  <c r="U3784" i="11"/>
  <c r="U3785" i="11"/>
  <c r="U3786" i="11"/>
  <c r="U3787" i="11"/>
  <c r="U3788" i="11"/>
  <c r="U3789" i="11"/>
  <c r="U3790" i="11"/>
  <c r="U3791" i="11"/>
  <c r="U3792" i="11"/>
  <c r="U3793" i="11"/>
  <c r="U3794" i="11"/>
  <c r="U3795" i="11"/>
  <c r="U3796" i="11"/>
  <c r="U3797" i="11"/>
  <c r="U3798" i="11"/>
  <c r="U3799" i="11"/>
  <c r="U3800" i="11"/>
  <c r="U3801" i="11"/>
  <c r="U3802" i="11"/>
  <c r="U3803" i="11"/>
  <c r="U3804" i="11"/>
  <c r="U3805" i="11"/>
  <c r="U3806" i="11"/>
  <c r="U3807" i="11"/>
  <c r="U3808" i="11"/>
  <c r="U3809" i="11"/>
  <c r="U3810" i="11"/>
  <c r="U3811" i="11"/>
  <c r="U3812" i="11"/>
  <c r="U3813" i="11"/>
  <c r="U3814" i="11"/>
  <c r="U3815" i="11"/>
  <c r="U3816" i="11"/>
  <c r="U3817" i="11"/>
  <c r="U3818" i="11"/>
  <c r="U3819" i="11"/>
  <c r="U3820" i="11"/>
  <c r="U3821" i="11"/>
  <c r="U3822" i="11"/>
  <c r="U3823" i="11"/>
  <c r="U3824" i="11"/>
  <c r="U3825" i="11"/>
  <c r="U3826" i="11"/>
  <c r="U3827" i="11"/>
  <c r="U3828" i="11"/>
  <c r="U3829" i="11"/>
  <c r="U3830" i="11"/>
  <c r="U3831" i="11"/>
  <c r="U3832" i="11"/>
  <c r="U3833" i="11"/>
  <c r="U3834" i="11"/>
  <c r="U3835" i="11"/>
  <c r="U3836" i="11"/>
  <c r="U3837" i="11"/>
  <c r="U3838" i="11"/>
  <c r="U3839" i="11"/>
  <c r="U3840" i="11"/>
  <c r="U3841" i="11"/>
  <c r="U3842" i="11"/>
  <c r="U3843" i="11"/>
  <c r="U3844" i="11"/>
  <c r="U3845" i="11"/>
  <c r="U3846" i="11"/>
  <c r="U3847" i="11"/>
  <c r="U3848" i="11"/>
  <c r="U3849" i="11"/>
  <c r="U3850" i="11"/>
  <c r="U3851" i="11"/>
  <c r="U3852" i="11"/>
  <c r="U3853" i="11"/>
  <c r="U3854" i="11"/>
  <c r="U3855" i="11"/>
  <c r="U3856" i="11"/>
  <c r="U3857" i="11"/>
  <c r="U3858" i="11"/>
  <c r="U3859" i="11"/>
  <c r="U3860" i="11"/>
  <c r="U3861" i="11"/>
  <c r="U3862" i="11"/>
  <c r="U3863" i="11"/>
  <c r="U3864" i="11"/>
  <c r="U3865" i="11"/>
  <c r="U3866" i="11"/>
  <c r="U3867" i="11"/>
  <c r="U3868" i="11"/>
  <c r="U3869" i="11"/>
  <c r="U3870" i="11"/>
  <c r="U3871" i="11"/>
  <c r="U3872" i="11"/>
  <c r="U3873" i="11"/>
  <c r="U3874" i="11"/>
  <c r="U3875" i="11"/>
  <c r="U3876" i="11"/>
  <c r="U3877" i="11"/>
  <c r="U3878" i="11"/>
  <c r="U3879" i="11"/>
  <c r="U3880" i="11"/>
  <c r="U3881" i="11"/>
  <c r="U3882" i="11"/>
  <c r="U3883" i="11"/>
  <c r="U3884" i="11"/>
  <c r="U3885" i="11"/>
  <c r="U3886" i="11"/>
  <c r="U3887" i="11"/>
  <c r="U3888" i="11"/>
  <c r="U3889" i="11"/>
  <c r="U3890" i="11"/>
  <c r="U3891" i="11"/>
  <c r="U3892" i="11"/>
  <c r="U3893" i="11"/>
  <c r="U3894" i="11"/>
  <c r="U3895" i="11"/>
  <c r="U3896" i="11"/>
  <c r="U3897" i="11"/>
  <c r="U3898" i="11"/>
  <c r="U3899" i="11"/>
  <c r="U3900" i="11"/>
  <c r="U3901" i="11"/>
  <c r="U3902" i="11"/>
  <c r="U3903" i="11"/>
  <c r="U3904" i="11"/>
  <c r="U3905" i="11"/>
  <c r="U3906" i="11"/>
  <c r="U3907" i="11"/>
  <c r="U3908" i="11"/>
  <c r="U3909" i="11"/>
  <c r="U3910" i="11"/>
  <c r="U3911" i="11"/>
  <c r="U3912" i="11"/>
  <c r="U3913" i="11"/>
  <c r="U3914" i="11"/>
  <c r="U3915" i="11"/>
  <c r="U3916" i="11"/>
  <c r="U3917" i="11"/>
  <c r="U3918" i="11"/>
  <c r="U3919" i="11"/>
  <c r="U3920" i="11"/>
  <c r="U3921" i="11"/>
  <c r="U3922" i="11"/>
  <c r="U3923" i="11"/>
  <c r="U3924" i="11"/>
  <c r="U3925" i="11"/>
  <c r="U3926" i="11"/>
  <c r="U3927" i="11"/>
  <c r="U3928" i="11"/>
  <c r="U3929" i="11"/>
  <c r="U3930" i="11"/>
  <c r="U3931" i="11"/>
  <c r="U3932" i="11"/>
  <c r="U3933" i="11"/>
  <c r="U3934" i="11"/>
  <c r="U3935" i="11"/>
  <c r="U3936" i="11"/>
  <c r="U3937" i="11"/>
  <c r="U3938" i="11"/>
  <c r="U3939" i="11"/>
  <c r="U3940" i="11"/>
  <c r="U3941" i="11"/>
  <c r="U3942" i="11"/>
  <c r="U3943" i="11"/>
  <c r="U3944" i="11"/>
  <c r="U3945" i="11"/>
  <c r="U3946" i="11"/>
  <c r="U3947" i="11"/>
  <c r="U3948" i="11"/>
  <c r="U3949" i="11"/>
  <c r="U3950" i="11"/>
  <c r="U3951" i="11"/>
  <c r="U3952" i="11"/>
  <c r="U3953" i="11"/>
  <c r="U3954" i="11"/>
  <c r="U3955" i="11"/>
  <c r="U3956" i="11"/>
  <c r="U3957" i="11"/>
  <c r="U3958" i="11"/>
  <c r="U3959" i="11"/>
  <c r="U3960" i="11"/>
  <c r="U3961" i="11"/>
  <c r="U3962" i="11"/>
  <c r="U3963" i="11"/>
  <c r="U3964" i="11"/>
  <c r="U3965" i="11"/>
  <c r="U3966" i="11"/>
  <c r="U3967" i="11"/>
  <c r="U3968" i="11"/>
  <c r="U3969" i="11"/>
  <c r="U3970" i="11"/>
  <c r="U3971" i="11"/>
  <c r="U3972" i="11"/>
  <c r="U3973" i="11"/>
  <c r="U3974" i="11"/>
  <c r="U3975" i="11"/>
  <c r="U3976" i="11"/>
  <c r="U3977" i="11"/>
  <c r="U3978" i="11"/>
  <c r="U3979" i="11"/>
  <c r="U3980" i="11"/>
  <c r="U3981" i="11"/>
  <c r="U3982" i="11"/>
  <c r="U3983" i="11"/>
  <c r="U3984" i="11"/>
  <c r="U3985" i="11"/>
  <c r="U3986" i="11"/>
  <c r="U3987" i="11"/>
  <c r="U3988" i="11"/>
  <c r="U3989" i="11"/>
  <c r="U3990" i="11"/>
  <c r="U3991" i="11"/>
  <c r="U3992" i="11"/>
  <c r="U3993" i="11"/>
  <c r="U3994" i="11"/>
  <c r="U3995" i="11"/>
  <c r="U3996" i="11"/>
  <c r="U3997" i="11"/>
  <c r="U3998" i="11"/>
  <c r="U3999" i="11"/>
  <c r="U4000" i="11"/>
  <c r="U4001" i="11"/>
  <c r="U4002" i="11"/>
  <c r="U4003" i="11"/>
  <c r="U4004" i="11"/>
  <c r="U4005" i="11"/>
  <c r="U4006" i="11"/>
  <c r="U4007" i="11"/>
  <c r="U4008" i="11"/>
  <c r="U4009" i="11"/>
  <c r="U4010" i="11"/>
  <c r="U4011" i="11"/>
  <c r="U4012" i="11"/>
  <c r="U4013" i="11"/>
  <c r="U4014" i="11"/>
  <c r="U4015" i="11"/>
  <c r="U4016" i="11"/>
  <c r="U4017" i="11"/>
  <c r="U4018" i="11"/>
  <c r="U4019" i="11"/>
  <c r="U4020" i="11"/>
  <c r="U4021" i="11"/>
  <c r="U4022" i="11"/>
  <c r="U4023" i="11"/>
  <c r="U4024" i="11"/>
  <c r="U4025" i="11"/>
  <c r="U4026" i="11"/>
  <c r="U4027" i="11"/>
  <c r="U4028" i="11"/>
  <c r="U4029" i="11"/>
  <c r="U4030" i="11"/>
  <c r="U4031" i="11"/>
  <c r="U4032" i="11"/>
  <c r="U4033" i="11"/>
  <c r="U4034" i="11"/>
  <c r="U4035" i="11"/>
  <c r="U4036" i="11"/>
  <c r="U4037" i="11"/>
  <c r="U4038" i="11"/>
  <c r="U4039" i="11"/>
  <c r="U4040" i="11"/>
  <c r="U4041" i="11"/>
  <c r="U4042" i="11"/>
  <c r="U4043" i="11"/>
  <c r="U4044" i="11"/>
  <c r="U4045" i="11"/>
  <c r="U4046" i="11"/>
  <c r="U4047" i="11"/>
  <c r="U4048" i="11"/>
  <c r="U4049" i="11"/>
  <c r="U4050" i="11"/>
  <c r="U4051" i="11"/>
  <c r="U4052" i="11"/>
  <c r="U4053" i="11"/>
  <c r="U4054" i="11"/>
  <c r="U4055" i="11"/>
  <c r="U4056" i="11"/>
  <c r="U4057" i="11"/>
  <c r="U4058" i="11"/>
  <c r="U4059" i="11"/>
  <c r="U4060" i="11"/>
  <c r="U4061" i="11"/>
  <c r="U4062" i="11"/>
  <c r="U4063" i="11"/>
  <c r="U4064" i="11"/>
  <c r="U4065" i="11"/>
  <c r="U4066" i="11"/>
  <c r="U4067" i="11"/>
  <c r="U4068" i="11"/>
  <c r="U4069" i="11"/>
  <c r="U4070" i="11"/>
  <c r="U4071" i="11"/>
  <c r="U4072" i="11"/>
  <c r="U4073" i="11"/>
  <c r="U4074" i="11"/>
  <c r="U4075" i="11"/>
  <c r="U4076" i="11"/>
  <c r="U4077" i="11"/>
  <c r="U4078" i="11"/>
  <c r="U4079" i="11"/>
  <c r="U4080" i="11"/>
  <c r="U4081" i="11"/>
  <c r="U4082" i="11"/>
  <c r="U4083" i="11"/>
  <c r="U4084" i="11"/>
  <c r="U4085" i="11"/>
  <c r="U4086" i="11"/>
  <c r="U4087" i="11"/>
  <c r="U4088" i="11"/>
  <c r="U4089" i="11"/>
  <c r="U4090" i="11"/>
  <c r="U4091" i="11"/>
  <c r="U4092" i="11"/>
  <c r="U4093" i="11"/>
  <c r="U4094" i="11"/>
  <c r="U4095" i="11"/>
  <c r="U4096" i="11"/>
  <c r="U4097" i="11"/>
  <c r="U4098" i="11"/>
  <c r="U4099" i="11"/>
  <c r="U4100" i="11"/>
  <c r="U4101" i="11"/>
  <c r="U4102" i="11"/>
  <c r="U4103" i="11"/>
  <c r="U4104" i="11"/>
  <c r="U4105" i="11"/>
  <c r="U4106" i="11"/>
  <c r="U4107" i="11"/>
  <c r="U4108" i="11"/>
  <c r="U4109" i="11"/>
  <c r="U4110" i="11"/>
  <c r="U4111" i="11"/>
  <c r="U4112" i="11"/>
  <c r="U4113" i="11"/>
  <c r="U4114" i="11"/>
  <c r="U4115" i="11"/>
  <c r="U4116" i="11"/>
  <c r="U4117" i="11"/>
  <c r="U4118" i="11"/>
  <c r="U4119" i="11"/>
  <c r="U4120" i="11"/>
  <c r="U4121" i="11"/>
  <c r="U4122" i="11"/>
  <c r="U4123" i="11"/>
  <c r="U4124" i="11"/>
  <c r="U4125" i="11"/>
  <c r="U4126" i="11"/>
  <c r="U4127" i="11"/>
  <c r="U4128" i="11"/>
  <c r="U4129" i="11"/>
  <c r="U4130" i="11"/>
  <c r="U4131" i="11"/>
  <c r="U4132" i="11"/>
  <c r="U4133" i="11"/>
  <c r="U4134" i="11"/>
  <c r="U4135" i="11"/>
  <c r="U4136" i="11"/>
  <c r="U4137" i="11"/>
  <c r="U4138" i="11"/>
  <c r="U4139" i="11"/>
  <c r="U4140" i="11"/>
  <c r="U4141" i="11"/>
  <c r="U4142" i="11"/>
  <c r="U4143" i="11"/>
  <c r="U4144" i="11"/>
  <c r="U4145" i="11"/>
  <c r="U4146" i="11"/>
  <c r="U4147" i="11"/>
  <c r="U4148" i="11"/>
  <c r="U4149" i="11"/>
  <c r="U4150" i="11"/>
  <c r="U4151" i="11"/>
  <c r="U4152" i="11"/>
  <c r="U4153" i="11"/>
  <c r="U4154" i="11"/>
  <c r="U4155" i="11"/>
  <c r="U4156" i="11"/>
  <c r="U4157" i="11"/>
  <c r="U4158" i="11"/>
  <c r="U4159" i="11"/>
  <c r="U4160" i="11"/>
  <c r="U4161" i="11"/>
  <c r="U4162" i="11"/>
  <c r="U4163" i="11"/>
  <c r="U4164" i="11"/>
  <c r="U4165" i="11"/>
  <c r="U4166" i="11"/>
  <c r="U4167" i="11"/>
  <c r="U4168" i="11"/>
  <c r="U4169" i="11"/>
  <c r="U4170" i="11"/>
  <c r="U4171" i="11"/>
  <c r="U4172" i="11"/>
  <c r="U4173" i="11"/>
  <c r="U4174" i="11"/>
  <c r="U4175" i="11"/>
  <c r="U4176" i="11"/>
  <c r="U4177" i="11"/>
  <c r="U4178" i="11"/>
  <c r="U4179" i="11"/>
  <c r="U4180" i="11"/>
  <c r="U4181" i="11"/>
  <c r="U4182" i="11"/>
  <c r="U4183" i="11"/>
  <c r="U4184" i="11"/>
  <c r="U4185" i="11"/>
  <c r="U4186" i="11"/>
  <c r="U4187" i="11"/>
  <c r="U4188" i="11"/>
  <c r="U4189" i="11"/>
  <c r="U4190" i="11"/>
  <c r="U4191" i="11"/>
  <c r="U4192" i="11"/>
  <c r="U4193" i="11"/>
  <c r="U4194" i="11"/>
  <c r="U4195" i="11"/>
  <c r="U4196" i="11"/>
  <c r="U4197" i="11"/>
  <c r="U4198" i="11"/>
  <c r="U4199" i="11"/>
  <c r="U4200" i="11"/>
  <c r="U4201" i="11"/>
  <c r="U4202" i="11"/>
  <c r="U4203" i="11"/>
  <c r="U4204" i="11"/>
  <c r="U4205" i="11"/>
  <c r="U4206" i="11"/>
  <c r="U4207" i="11"/>
  <c r="U4208" i="11"/>
  <c r="U4209" i="11"/>
  <c r="U4210" i="11"/>
  <c r="U4211" i="11"/>
  <c r="U4212" i="11"/>
  <c r="U4213" i="11"/>
  <c r="U4214" i="11"/>
  <c r="U4215" i="11"/>
  <c r="U4216" i="11"/>
  <c r="U4217" i="11"/>
  <c r="U4218" i="11"/>
  <c r="U4219" i="11"/>
  <c r="U4220" i="11"/>
  <c r="U4221" i="11"/>
  <c r="U4222" i="11"/>
  <c r="U4223" i="11"/>
  <c r="U4224" i="11"/>
  <c r="U4225" i="11"/>
  <c r="U4226" i="11"/>
  <c r="U4227" i="11"/>
  <c r="U4228" i="11"/>
  <c r="U4229" i="11"/>
  <c r="U4230" i="11"/>
  <c r="U4231" i="11"/>
  <c r="U4232" i="11"/>
  <c r="U4233" i="11"/>
  <c r="U4234" i="11"/>
  <c r="U4235" i="11"/>
  <c r="U4236" i="11"/>
  <c r="U4237" i="11"/>
  <c r="U4238" i="11"/>
  <c r="U4239" i="11"/>
  <c r="U4240" i="11"/>
  <c r="U4241" i="11"/>
  <c r="U4242" i="11"/>
  <c r="U4243" i="11"/>
  <c r="U4244" i="11"/>
  <c r="U4245" i="11"/>
  <c r="U4246" i="11"/>
  <c r="U4247" i="11"/>
  <c r="U4248" i="11"/>
  <c r="U4249" i="11"/>
  <c r="U4250" i="11"/>
  <c r="U4251" i="11"/>
  <c r="U4252" i="11"/>
  <c r="U4253" i="11"/>
  <c r="U4254" i="11"/>
  <c r="U4255" i="11"/>
  <c r="U4256" i="11"/>
  <c r="U4257" i="11"/>
  <c r="U4258" i="11"/>
  <c r="U4259" i="11"/>
  <c r="U4260" i="11"/>
  <c r="U4261" i="11"/>
  <c r="U4262" i="11"/>
  <c r="U4263" i="11"/>
  <c r="U4264" i="11"/>
  <c r="U4265" i="11"/>
  <c r="U4266" i="11"/>
  <c r="U4267" i="11"/>
  <c r="U4268" i="11"/>
  <c r="U4269" i="11"/>
  <c r="U4270" i="11"/>
  <c r="U4271" i="11"/>
  <c r="U4272" i="11"/>
  <c r="U4273" i="11"/>
  <c r="U4274" i="11"/>
  <c r="U4275" i="11"/>
  <c r="U4276" i="11"/>
  <c r="U4277" i="11"/>
  <c r="U4278" i="11"/>
  <c r="U4279" i="11"/>
  <c r="U4280" i="11"/>
  <c r="U4281" i="11"/>
  <c r="U4282" i="11"/>
  <c r="U4283" i="11"/>
  <c r="U4284" i="11"/>
  <c r="U4285" i="11"/>
  <c r="U4286" i="11"/>
  <c r="U4287" i="11"/>
  <c r="U4288" i="11"/>
  <c r="U4289" i="11"/>
  <c r="U4290" i="11"/>
  <c r="U4291" i="11"/>
  <c r="U4292" i="11"/>
  <c r="U4293" i="11"/>
  <c r="U4294" i="11"/>
  <c r="U4295" i="11"/>
  <c r="U4296" i="11"/>
  <c r="U4297" i="11"/>
  <c r="U4298" i="11"/>
  <c r="U4299" i="11"/>
  <c r="U4300" i="11"/>
  <c r="U4301" i="11"/>
  <c r="U4302" i="11"/>
  <c r="U4303" i="11"/>
  <c r="U4304" i="11"/>
  <c r="U4305" i="11"/>
  <c r="U4306" i="11"/>
  <c r="U4307" i="11"/>
  <c r="U4308" i="11"/>
  <c r="U4309" i="11"/>
  <c r="U4310" i="11"/>
  <c r="U4311" i="11"/>
  <c r="U4312" i="11"/>
  <c r="U4313" i="11"/>
  <c r="U4314" i="11"/>
  <c r="U4315" i="11"/>
  <c r="U4316" i="11"/>
  <c r="U4317" i="11"/>
  <c r="U4318" i="11"/>
  <c r="U4319" i="11"/>
  <c r="U4320" i="11"/>
  <c r="U4321" i="11"/>
  <c r="U4322" i="11"/>
  <c r="U4323" i="11"/>
  <c r="U4324" i="11"/>
  <c r="U4325" i="11"/>
  <c r="U4326" i="11"/>
  <c r="U4327" i="11"/>
  <c r="U4328" i="11"/>
  <c r="U4329" i="11"/>
  <c r="U4330" i="11"/>
  <c r="U4331" i="11"/>
  <c r="U4332" i="11"/>
  <c r="U4333" i="11"/>
  <c r="U4334" i="11"/>
  <c r="U4335" i="11"/>
  <c r="U4336" i="11"/>
  <c r="U4337" i="11"/>
  <c r="U4338" i="11"/>
  <c r="U4339" i="11"/>
  <c r="U4340" i="11"/>
  <c r="U4341" i="11"/>
  <c r="U4342" i="11"/>
  <c r="U4343" i="11"/>
  <c r="U4344" i="11"/>
  <c r="U4345" i="11"/>
  <c r="U4346" i="11"/>
  <c r="U4347" i="11"/>
  <c r="U4348" i="11"/>
  <c r="U4349" i="11"/>
  <c r="U4350" i="11"/>
  <c r="U4351" i="11"/>
  <c r="U4352" i="11"/>
  <c r="U4353" i="11"/>
  <c r="U4354" i="11"/>
  <c r="U4355" i="11"/>
  <c r="U4356" i="11"/>
  <c r="U4357" i="11"/>
  <c r="U4358" i="11"/>
  <c r="U4359" i="11"/>
  <c r="U4360" i="11"/>
  <c r="U4361" i="11"/>
  <c r="U4362" i="11"/>
  <c r="U4363" i="11"/>
  <c r="U4364" i="11"/>
  <c r="U4365" i="11"/>
  <c r="U4366" i="11"/>
  <c r="U4367" i="11"/>
  <c r="U4368" i="11"/>
  <c r="U4369" i="11"/>
  <c r="U4370" i="11"/>
  <c r="U4371" i="11"/>
  <c r="U4372" i="11"/>
  <c r="U4373" i="11"/>
  <c r="U4374" i="11"/>
  <c r="U4375" i="11"/>
  <c r="U4376" i="11"/>
  <c r="U4377" i="11"/>
  <c r="U4378" i="11"/>
  <c r="U4379" i="11"/>
  <c r="U4380" i="11"/>
  <c r="U4381" i="11"/>
  <c r="U4382" i="11"/>
  <c r="U4383" i="11"/>
  <c r="U4384" i="11"/>
  <c r="U4385" i="11"/>
  <c r="U4386" i="11"/>
  <c r="U4387" i="11"/>
  <c r="U4388" i="11"/>
  <c r="U4389" i="11"/>
  <c r="U4390" i="11"/>
  <c r="U4391" i="11"/>
  <c r="U4392" i="11"/>
  <c r="U4393" i="11"/>
  <c r="U4394" i="11"/>
  <c r="U4395" i="11"/>
  <c r="U4396" i="11"/>
  <c r="U4397" i="11"/>
  <c r="U4398" i="11"/>
  <c r="U4399" i="11"/>
  <c r="U4400" i="11"/>
  <c r="U4401" i="11"/>
  <c r="U4402" i="11"/>
  <c r="U4403" i="11"/>
  <c r="U4404" i="11"/>
  <c r="U4405" i="11"/>
  <c r="U4406" i="11"/>
  <c r="U4407" i="11"/>
  <c r="U4408" i="11"/>
  <c r="U4409" i="11"/>
  <c r="U4410" i="11"/>
  <c r="U4411" i="11"/>
  <c r="U4412" i="11"/>
  <c r="U4413" i="11"/>
  <c r="U4414" i="11"/>
  <c r="U4415" i="11"/>
  <c r="U4416" i="11"/>
  <c r="U4417" i="11"/>
  <c r="U4418" i="11"/>
  <c r="U4419" i="11"/>
  <c r="U4420" i="11"/>
  <c r="U4421" i="11"/>
  <c r="U4422" i="11"/>
  <c r="U4423" i="11"/>
  <c r="U4424" i="11"/>
  <c r="U4425" i="11"/>
  <c r="U4426" i="11"/>
  <c r="U4427" i="11"/>
  <c r="U4428" i="11"/>
  <c r="U4429" i="11"/>
  <c r="U4430" i="11"/>
  <c r="U4431" i="11"/>
  <c r="U4432" i="11"/>
  <c r="U4433" i="11"/>
  <c r="U4434" i="11"/>
  <c r="U4435" i="11"/>
  <c r="U4436" i="11"/>
  <c r="U4437" i="11"/>
  <c r="U4438" i="11"/>
  <c r="U4439" i="11"/>
  <c r="U4440" i="11"/>
  <c r="U4441" i="11"/>
  <c r="U4442" i="11"/>
  <c r="U4443" i="11"/>
  <c r="U4444" i="11"/>
  <c r="U4445" i="11"/>
  <c r="U4446" i="11"/>
  <c r="U4447" i="11"/>
  <c r="U4448" i="11"/>
  <c r="U4449" i="11"/>
  <c r="U4450" i="11"/>
  <c r="U4451" i="11"/>
  <c r="U4452" i="11"/>
  <c r="U4453" i="11"/>
  <c r="U4454" i="11"/>
  <c r="U4455" i="11"/>
  <c r="U4456" i="11"/>
  <c r="U4457" i="11"/>
  <c r="U4458" i="11"/>
  <c r="U4459" i="11"/>
  <c r="U4460" i="11"/>
  <c r="U4461" i="11"/>
  <c r="U4462" i="11"/>
  <c r="U4463" i="11"/>
  <c r="U4464" i="11"/>
  <c r="U4465" i="11"/>
  <c r="U4466" i="11"/>
  <c r="U4467" i="11"/>
  <c r="U4468" i="11"/>
  <c r="U4469" i="11"/>
  <c r="U4470" i="11"/>
  <c r="U4471" i="11"/>
  <c r="U4472" i="11"/>
  <c r="U4473" i="11"/>
  <c r="U4474" i="11"/>
  <c r="U4475" i="11"/>
  <c r="U4476" i="11"/>
  <c r="U4477" i="11"/>
  <c r="U4478" i="11"/>
  <c r="U4479" i="11"/>
  <c r="U4480" i="11"/>
  <c r="U4481" i="11"/>
  <c r="U4482" i="11"/>
  <c r="U4483" i="11"/>
  <c r="U4484" i="11"/>
  <c r="U4485" i="11"/>
  <c r="U4486" i="11"/>
  <c r="U4487" i="11"/>
  <c r="U4488" i="11"/>
  <c r="U4489" i="11"/>
  <c r="U4490" i="11"/>
  <c r="U4491" i="11"/>
  <c r="U4492" i="11"/>
  <c r="U4493" i="11"/>
  <c r="U4494" i="11"/>
  <c r="U4495" i="11"/>
  <c r="U4496" i="11"/>
  <c r="U4497" i="11"/>
  <c r="U4498" i="11"/>
  <c r="U4499" i="11"/>
  <c r="U4500" i="11"/>
  <c r="U4501" i="11"/>
  <c r="U4502" i="11"/>
  <c r="U4503" i="11"/>
  <c r="U4504" i="11"/>
  <c r="U4505" i="11"/>
  <c r="U4506" i="11"/>
  <c r="U4507" i="11"/>
  <c r="U4508" i="11"/>
  <c r="U4509" i="11"/>
  <c r="U4510" i="11"/>
  <c r="U4511" i="11"/>
  <c r="U4512" i="11"/>
  <c r="U4513" i="11"/>
  <c r="U4514" i="11"/>
  <c r="U4515" i="11"/>
  <c r="U4516" i="11"/>
  <c r="U4517" i="11"/>
  <c r="U4518" i="11"/>
  <c r="U4519" i="11"/>
  <c r="U4520" i="11"/>
  <c r="U4521" i="11"/>
  <c r="U4522" i="11"/>
  <c r="U4523" i="11"/>
  <c r="U4524" i="11"/>
  <c r="U4525" i="11"/>
  <c r="U4526" i="11"/>
  <c r="U4527" i="11"/>
  <c r="U4528" i="11"/>
  <c r="U4529" i="11"/>
  <c r="U4530" i="11"/>
  <c r="U4531" i="11"/>
  <c r="U4532" i="11"/>
  <c r="U4533" i="11"/>
  <c r="U4534" i="11"/>
  <c r="U4535" i="11"/>
  <c r="U4536" i="11"/>
  <c r="U4537" i="11"/>
  <c r="U4538" i="11"/>
  <c r="U4539" i="11"/>
  <c r="U4540" i="11"/>
  <c r="U4541" i="11"/>
  <c r="U4542" i="11"/>
  <c r="U4543" i="11"/>
  <c r="U4544" i="11"/>
  <c r="U4545" i="11"/>
  <c r="U4546" i="11"/>
  <c r="U4547" i="11"/>
  <c r="U4548" i="11"/>
  <c r="U4549" i="11"/>
  <c r="U4550" i="11"/>
  <c r="U4551" i="11"/>
  <c r="U4552" i="11"/>
  <c r="U4553" i="11"/>
  <c r="U4554" i="11"/>
  <c r="U4555" i="11"/>
  <c r="U4556" i="11"/>
  <c r="U4557" i="11"/>
  <c r="U4558" i="11"/>
  <c r="U4559" i="11"/>
  <c r="U4560" i="11"/>
  <c r="U4561" i="11"/>
  <c r="U4562" i="11"/>
  <c r="U4563" i="11"/>
  <c r="U4564" i="11"/>
  <c r="U4565" i="11"/>
  <c r="U4566" i="11"/>
  <c r="U4567" i="11"/>
  <c r="U4568" i="11"/>
  <c r="U4569" i="11"/>
  <c r="U4570" i="11"/>
  <c r="U4571" i="11"/>
  <c r="U4572" i="11"/>
  <c r="U4573" i="11"/>
  <c r="U4574" i="11"/>
  <c r="U4575" i="11"/>
  <c r="U4576" i="11"/>
  <c r="U4577" i="11"/>
  <c r="U4578" i="11"/>
  <c r="U4579" i="11"/>
  <c r="U4580" i="11"/>
  <c r="U4581" i="11"/>
  <c r="U4582" i="11"/>
  <c r="U4583" i="11"/>
  <c r="U4584" i="11"/>
  <c r="U4585" i="11"/>
  <c r="U4586" i="11"/>
  <c r="U4587" i="11"/>
  <c r="U4588" i="11"/>
  <c r="U4589" i="11"/>
  <c r="U4590" i="11"/>
  <c r="U4591" i="11"/>
  <c r="U4592" i="11"/>
  <c r="U4593" i="11"/>
  <c r="U4594" i="11"/>
  <c r="U4595" i="11"/>
  <c r="U4596" i="11"/>
  <c r="U4597" i="11"/>
  <c r="U4598" i="11"/>
  <c r="U4599" i="11"/>
  <c r="U4600" i="11"/>
  <c r="U4601" i="11"/>
  <c r="U4602" i="11"/>
  <c r="U4603" i="11"/>
  <c r="U4604" i="11"/>
  <c r="U4605" i="11"/>
  <c r="U4606" i="11"/>
  <c r="U4607" i="11"/>
  <c r="U4608" i="11"/>
  <c r="U4609" i="11"/>
  <c r="U4610" i="11"/>
  <c r="U4611" i="11"/>
  <c r="U4612" i="11"/>
  <c r="U4613" i="11"/>
  <c r="U4614" i="11"/>
  <c r="U4615" i="11"/>
  <c r="U4616" i="11"/>
  <c r="U4617" i="11"/>
  <c r="U4618" i="11"/>
  <c r="U4619" i="11"/>
  <c r="U4620" i="11"/>
  <c r="U4621" i="11"/>
  <c r="U4622" i="11"/>
  <c r="U4623" i="11"/>
  <c r="U4624" i="11"/>
  <c r="U4625" i="11"/>
  <c r="U4626" i="11"/>
  <c r="U4627" i="11"/>
  <c r="U4628" i="11"/>
  <c r="U4629" i="11"/>
  <c r="U4630" i="11"/>
  <c r="U4631" i="11"/>
  <c r="U4632" i="11"/>
  <c r="U4633" i="11"/>
  <c r="U4634" i="11"/>
  <c r="U4635" i="11"/>
  <c r="U4636" i="11"/>
  <c r="U4637" i="11"/>
  <c r="U4638" i="11"/>
  <c r="U4639" i="11"/>
  <c r="U4640" i="11"/>
  <c r="U4641" i="11"/>
  <c r="U4642" i="11"/>
  <c r="U4643" i="11"/>
  <c r="U4644" i="11"/>
  <c r="U4645" i="11"/>
  <c r="U4646" i="11"/>
  <c r="U4647" i="11"/>
  <c r="U4648" i="11"/>
  <c r="U4649" i="11"/>
  <c r="U4650" i="11"/>
  <c r="U4651" i="11"/>
  <c r="U4652" i="11"/>
  <c r="U4653" i="11"/>
  <c r="U4654" i="11"/>
  <c r="U4655" i="11"/>
  <c r="U4656" i="11"/>
  <c r="U4657" i="11"/>
  <c r="U4658" i="11"/>
  <c r="U4659" i="11"/>
  <c r="U4660" i="11"/>
  <c r="U4661" i="11"/>
  <c r="U4662" i="11"/>
  <c r="U4663" i="11"/>
  <c r="U4664" i="11"/>
  <c r="U4665" i="11"/>
  <c r="U4666" i="11"/>
  <c r="U4667" i="11"/>
  <c r="U4668" i="11"/>
  <c r="U4669" i="11"/>
  <c r="U4670" i="11"/>
  <c r="U4671" i="11"/>
  <c r="U4672" i="11"/>
  <c r="U4673" i="11"/>
  <c r="U4674" i="11"/>
  <c r="U4675" i="11"/>
  <c r="U4676" i="11"/>
  <c r="U4677" i="11"/>
  <c r="U4678" i="11"/>
  <c r="U4679" i="11"/>
  <c r="U4680" i="11"/>
  <c r="U4681" i="11"/>
  <c r="U4682" i="11"/>
  <c r="U4683" i="11"/>
  <c r="U4684" i="11"/>
  <c r="U4685" i="11"/>
  <c r="U4686" i="11"/>
  <c r="U4687" i="11"/>
  <c r="U4688" i="11"/>
  <c r="U4689" i="11"/>
  <c r="U4690" i="11"/>
  <c r="U4691" i="11"/>
  <c r="U4692" i="11"/>
  <c r="U4693" i="11"/>
  <c r="U4694" i="11"/>
  <c r="U4695" i="11"/>
  <c r="U4696" i="11"/>
  <c r="U4697" i="11"/>
  <c r="U4698" i="11"/>
  <c r="U4699" i="11"/>
  <c r="U4700" i="11"/>
  <c r="U4701" i="11"/>
  <c r="U4702" i="11"/>
  <c r="U4703" i="11"/>
  <c r="U4704" i="11"/>
  <c r="U4705" i="11"/>
  <c r="U4706" i="11"/>
  <c r="U4707" i="11"/>
  <c r="U4708" i="11"/>
  <c r="U4709" i="11"/>
  <c r="U4710" i="11"/>
  <c r="U4711" i="11"/>
  <c r="U4712" i="11"/>
  <c r="U4713" i="11"/>
  <c r="U4714" i="11"/>
  <c r="U4715" i="11"/>
  <c r="U4716" i="11"/>
  <c r="U4717" i="11"/>
  <c r="U4718" i="11"/>
  <c r="U4719" i="11"/>
  <c r="U4720" i="11"/>
  <c r="U4721" i="11"/>
  <c r="U4722" i="11"/>
  <c r="U4723" i="11"/>
  <c r="U4724" i="11"/>
  <c r="U4725" i="11"/>
  <c r="U4726" i="11"/>
  <c r="U4727" i="11"/>
  <c r="U4728" i="11"/>
  <c r="U4729" i="11"/>
  <c r="U4730" i="11"/>
  <c r="U4731" i="11"/>
  <c r="U4732" i="11"/>
  <c r="U4733" i="11"/>
  <c r="U4734" i="11"/>
  <c r="U4735" i="11"/>
  <c r="U4736" i="11"/>
  <c r="U4737" i="11"/>
  <c r="U4738" i="11"/>
  <c r="U4739" i="11"/>
  <c r="U4740" i="11"/>
  <c r="U4741" i="11"/>
  <c r="U4742" i="11"/>
  <c r="U4743" i="11"/>
  <c r="U4744" i="11"/>
  <c r="U4745" i="11"/>
  <c r="U4746" i="11"/>
  <c r="U4747" i="11"/>
  <c r="U4748" i="11"/>
  <c r="U4749" i="11"/>
  <c r="U4750" i="11"/>
  <c r="U4751" i="11"/>
  <c r="U4752" i="11"/>
  <c r="U4753" i="11"/>
  <c r="U4754" i="11"/>
  <c r="U4755" i="11"/>
  <c r="U4756" i="11"/>
  <c r="U4757" i="11"/>
  <c r="U4758" i="11"/>
  <c r="U4759" i="11"/>
  <c r="U4760" i="11"/>
  <c r="U4761" i="11"/>
  <c r="U4762" i="11"/>
  <c r="U4763" i="11"/>
  <c r="U4764" i="11"/>
  <c r="U4765" i="11"/>
  <c r="U4766" i="11"/>
  <c r="U4767" i="11"/>
  <c r="U4768" i="11"/>
  <c r="U4769" i="11"/>
  <c r="U4770" i="11"/>
  <c r="U4771" i="11"/>
  <c r="U4772" i="11"/>
  <c r="U4773" i="11"/>
  <c r="U4774" i="11"/>
  <c r="U4775" i="11"/>
  <c r="U4776" i="11"/>
  <c r="U4777" i="11"/>
  <c r="U4778" i="11"/>
  <c r="U4779" i="11"/>
  <c r="U4780" i="11"/>
  <c r="U4781" i="11"/>
  <c r="U4782" i="11"/>
  <c r="U4783" i="11"/>
  <c r="U4784" i="11"/>
  <c r="U4785" i="11"/>
  <c r="U4786" i="11"/>
  <c r="U4787" i="11"/>
  <c r="U4788" i="11"/>
  <c r="U4789" i="11"/>
  <c r="U4790" i="11"/>
  <c r="U4791" i="11"/>
  <c r="U4792" i="11"/>
  <c r="U4793" i="11"/>
  <c r="U4794" i="11"/>
  <c r="U4795" i="11"/>
  <c r="U4796" i="11"/>
  <c r="U4797" i="11"/>
  <c r="U4798" i="11"/>
  <c r="U4799" i="11"/>
  <c r="U4800" i="11"/>
  <c r="U4801" i="11"/>
  <c r="U4802" i="11"/>
  <c r="U4803" i="11"/>
  <c r="U4804" i="11"/>
  <c r="U4805" i="11"/>
  <c r="U4806" i="11"/>
  <c r="U4807" i="11"/>
  <c r="U4808" i="11"/>
  <c r="U4809" i="11"/>
  <c r="U4810" i="11"/>
  <c r="U4811" i="11"/>
  <c r="U4812" i="11"/>
  <c r="U4813" i="11"/>
  <c r="U4814" i="11"/>
  <c r="U4815" i="11"/>
  <c r="U4816" i="11"/>
  <c r="U4817" i="11"/>
  <c r="U4818" i="11"/>
  <c r="U4819" i="11"/>
  <c r="U4820" i="11"/>
  <c r="U4821" i="11"/>
  <c r="U4822" i="11"/>
  <c r="U4823" i="11"/>
  <c r="U4824" i="11"/>
  <c r="U4825" i="11"/>
  <c r="U4826" i="11"/>
  <c r="U4827" i="11"/>
  <c r="U4828" i="11"/>
  <c r="U4829" i="11"/>
  <c r="U4830" i="11"/>
  <c r="U4831" i="11"/>
  <c r="U4832" i="11"/>
  <c r="U4833" i="11"/>
  <c r="U4834" i="11"/>
  <c r="U4835" i="11"/>
  <c r="U4836" i="11"/>
  <c r="U4837" i="11"/>
  <c r="U4838" i="11"/>
  <c r="U4839" i="11"/>
  <c r="U4840" i="11"/>
  <c r="U4841" i="11"/>
  <c r="U4842" i="11"/>
  <c r="U4843" i="11"/>
  <c r="U4844" i="11"/>
  <c r="U4845" i="11"/>
  <c r="U4846" i="11"/>
  <c r="U4847" i="11"/>
  <c r="U4848" i="11"/>
  <c r="U4849" i="11"/>
  <c r="U4850" i="11"/>
  <c r="U4851" i="11"/>
  <c r="U4852" i="11"/>
  <c r="U4853" i="11"/>
  <c r="U4854" i="11"/>
  <c r="U4855" i="11"/>
  <c r="U4856" i="11"/>
  <c r="U4857" i="11"/>
  <c r="U4858" i="11"/>
  <c r="U4859" i="11"/>
  <c r="U4860" i="11"/>
  <c r="U4861" i="11"/>
  <c r="U4862" i="11"/>
  <c r="U4863" i="11"/>
  <c r="U4864" i="11"/>
  <c r="U4865" i="11"/>
  <c r="U4866" i="11"/>
  <c r="U4867" i="11"/>
  <c r="U4868" i="11"/>
  <c r="U4869" i="11"/>
  <c r="U4870" i="11"/>
  <c r="U4871" i="11"/>
  <c r="U4872" i="11"/>
  <c r="U4873" i="11"/>
  <c r="U4874" i="11"/>
  <c r="U4875" i="11"/>
  <c r="U4876" i="11"/>
  <c r="U4877" i="11"/>
  <c r="U4878" i="11"/>
  <c r="U4879" i="11"/>
  <c r="U4880" i="11"/>
  <c r="U4881" i="11"/>
  <c r="U4882" i="11"/>
  <c r="U4883" i="11"/>
  <c r="U4884" i="11"/>
  <c r="U4885" i="11"/>
  <c r="U4886" i="11"/>
  <c r="U4887" i="11"/>
  <c r="U4888" i="11"/>
  <c r="U4889" i="11"/>
  <c r="U4890" i="11"/>
  <c r="U4891" i="11"/>
  <c r="U4892" i="11"/>
  <c r="U4893" i="11"/>
  <c r="U4894" i="11"/>
  <c r="U4895" i="11"/>
  <c r="U4896" i="11"/>
  <c r="U4897" i="11"/>
  <c r="U4898" i="11"/>
  <c r="U4899" i="11"/>
  <c r="U4900" i="11"/>
  <c r="U4901" i="11"/>
  <c r="U4902" i="11"/>
  <c r="U4903" i="11"/>
  <c r="U4904" i="11"/>
  <c r="U4905" i="11"/>
  <c r="U4906" i="11"/>
  <c r="U4907" i="11"/>
  <c r="U4908" i="11"/>
  <c r="U4909" i="11"/>
  <c r="U4910" i="11"/>
  <c r="U4911" i="11"/>
  <c r="U4912" i="11"/>
  <c r="U4913" i="11"/>
  <c r="U4914" i="11"/>
  <c r="U4915" i="11"/>
  <c r="U4916" i="11"/>
  <c r="U4917" i="11"/>
  <c r="U4918" i="11"/>
  <c r="U4919" i="11"/>
  <c r="U4920" i="11"/>
  <c r="U4921" i="11"/>
  <c r="U4922" i="11"/>
  <c r="U4923" i="11"/>
  <c r="U4924" i="11"/>
  <c r="U4925" i="11"/>
  <c r="U4926" i="11"/>
  <c r="U4927" i="11"/>
  <c r="U4928" i="11"/>
  <c r="U4929" i="11"/>
  <c r="U4930" i="11"/>
  <c r="U4931" i="11"/>
  <c r="U4932" i="11"/>
  <c r="U4933" i="11"/>
  <c r="U4934" i="11"/>
  <c r="U4935" i="11"/>
  <c r="U4936" i="11"/>
  <c r="U4937" i="11"/>
  <c r="U4938" i="11"/>
  <c r="U4939" i="11"/>
  <c r="U4940" i="11"/>
  <c r="U4941" i="11"/>
  <c r="U4942" i="11"/>
  <c r="U4943" i="11"/>
  <c r="U4944" i="11"/>
  <c r="U4945" i="11"/>
  <c r="U4946" i="11"/>
  <c r="U4947" i="11"/>
  <c r="U4948" i="11"/>
  <c r="U4949" i="11"/>
  <c r="U4950" i="11"/>
  <c r="U4951" i="11"/>
  <c r="U4952" i="11"/>
  <c r="U4953" i="11"/>
  <c r="U4954" i="11"/>
  <c r="U4955" i="11"/>
  <c r="U4956" i="11"/>
  <c r="U4957" i="11"/>
  <c r="U4958" i="11"/>
  <c r="U4959" i="11"/>
  <c r="U4960" i="11"/>
  <c r="U4961" i="11"/>
  <c r="U4962" i="11"/>
  <c r="U4963" i="11"/>
  <c r="U4964" i="11"/>
  <c r="U4965" i="11"/>
  <c r="U4966" i="11"/>
  <c r="U4967" i="11"/>
  <c r="U4968" i="11"/>
  <c r="U4969" i="11"/>
  <c r="U4970" i="11"/>
  <c r="U4971" i="11"/>
  <c r="U4972" i="11"/>
  <c r="U4973" i="11"/>
  <c r="U4974" i="11"/>
  <c r="U4975" i="11"/>
  <c r="U4976" i="11"/>
  <c r="U4977" i="11"/>
  <c r="U4978" i="11"/>
  <c r="U4979" i="11"/>
  <c r="U4980" i="11"/>
  <c r="U4981" i="11"/>
  <c r="U4982" i="11"/>
  <c r="U4983" i="11"/>
  <c r="U4984" i="11"/>
  <c r="U4985" i="11"/>
  <c r="U4986" i="11"/>
  <c r="U4987" i="11"/>
  <c r="U4988" i="11"/>
  <c r="U4989" i="11"/>
  <c r="U4990" i="11"/>
  <c r="U4991" i="11"/>
  <c r="U4992" i="11"/>
  <c r="U4993" i="11"/>
  <c r="U4994" i="11"/>
  <c r="U4995" i="11"/>
  <c r="U4996" i="11"/>
  <c r="U4997" i="11"/>
  <c r="U4998" i="11"/>
  <c r="U4999" i="11"/>
  <c r="U5000" i="11"/>
  <c r="T6" i="11"/>
  <c r="T7" i="11"/>
  <c r="T8" i="11"/>
  <c r="T9" i="11"/>
  <c r="T10" i="11"/>
  <c r="T11" i="11"/>
  <c r="T12" i="11"/>
  <c r="T13" i="11"/>
  <c r="T14" i="11"/>
  <c r="T15" i="11"/>
  <c r="T16" i="11"/>
  <c r="T17" i="11"/>
  <c r="T18" i="11"/>
  <c r="T19" i="11"/>
  <c r="T20" i="11"/>
  <c r="T21" i="11"/>
  <c r="T22" i="11"/>
  <c r="T23" i="11"/>
  <c r="T24" i="11"/>
  <c r="T25" i="11"/>
  <c r="T26" i="11"/>
  <c r="T27" i="11"/>
  <c r="T28" i="11"/>
  <c r="T29" i="11"/>
  <c r="T30" i="11"/>
  <c r="T31" i="11"/>
  <c r="T32" i="11"/>
  <c r="T33" i="11"/>
  <c r="T34" i="11"/>
  <c r="T35" i="11"/>
  <c r="T36" i="11"/>
  <c r="T37" i="11"/>
  <c r="T38" i="11"/>
  <c r="T39" i="11"/>
  <c r="T40" i="11"/>
  <c r="T41" i="11"/>
  <c r="T42" i="11"/>
  <c r="T43" i="11"/>
  <c r="T44" i="11"/>
  <c r="T45" i="11"/>
  <c r="T46" i="11"/>
  <c r="T47" i="11"/>
  <c r="T48" i="11"/>
  <c r="T49" i="11"/>
  <c r="T50" i="11"/>
  <c r="T51" i="11"/>
  <c r="T52" i="11"/>
  <c r="T53" i="11"/>
  <c r="T54" i="11"/>
  <c r="T55" i="11"/>
  <c r="T56" i="11"/>
  <c r="T57" i="11"/>
  <c r="T58" i="11"/>
  <c r="T59" i="11"/>
  <c r="T60" i="11"/>
  <c r="T61" i="11"/>
  <c r="T62" i="11"/>
  <c r="T63" i="11"/>
  <c r="T64" i="11"/>
  <c r="T65" i="11"/>
  <c r="T66" i="11"/>
  <c r="T67" i="11"/>
  <c r="T68" i="11"/>
  <c r="T69" i="11"/>
  <c r="T70" i="11"/>
  <c r="T71" i="11"/>
  <c r="T72" i="11"/>
  <c r="T73" i="11"/>
  <c r="T74" i="11"/>
  <c r="T75" i="11"/>
  <c r="T76" i="11"/>
  <c r="T77" i="11"/>
  <c r="T78" i="11"/>
  <c r="T79" i="11"/>
  <c r="T80" i="11"/>
  <c r="T81" i="11"/>
  <c r="T82" i="11"/>
  <c r="T83" i="11"/>
  <c r="T84" i="11"/>
  <c r="T85" i="11"/>
  <c r="T86" i="11"/>
  <c r="T87" i="11"/>
  <c r="T88" i="11"/>
  <c r="T89" i="11"/>
  <c r="T90" i="11"/>
  <c r="T91" i="11"/>
  <c r="T92" i="11"/>
  <c r="T93" i="11"/>
  <c r="T94" i="11"/>
  <c r="T95" i="11"/>
  <c r="T96" i="11"/>
  <c r="T97" i="11"/>
  <c r="T98" i="11"/>
  <c r="T99" i="11"/>
  <c r="T100" i="11"/>
  <c r="T101" i="11"/>
  <c r="T102" i="11"/>
  <c r="T103" i="11"/>
  <c r="T104" i="11"/>
  <c r="T105" i="11"/>
  <c r="T106" i="11"/>
  <c r="T107" i="11"/>
  <c r="T108" i="11"/>
  <c r="T109" i="11"/>
  <c r="T110" i="11"/>
  <c r="T111" i="11"/>
  <c r="T112" i="11"/>
  <c r="T113" i="11"/>
  <c r="T114" i="11"/>
  <c r="T115" i="11"/>
  <c r="T116" i="11"/>
  <c r="T117" i="11"/>
  <c r="T118" i="11"/>
  <c r="T119" i="11"/>
  <c r="T120" i="11"/>
  <c r="T121" i="11"/>
  <c r="T122" i="11"/>
  <c r="T123" i="11"/>
  <c r="T124" i="11"/>
  <c r="T125" i="11"/>
  <c r="T126" i="11"/>
  <c r="T127" i="11"/>
  <c r="T128" i="11"/>
  <c r="T129" i="11"/>
  <c r="T130" i="11"/>
  <c r="T131" i="11"/>
  <c r="T132" i="11"/>
  <c r="T133" i="11"/>
  <c r="T134" i="11"/>
  <c r="T135" i="11"/>
  <c r="T136" i="11"/>
  <c r="T137" i="11"/>
  <c r="T138" i="11"/>
  <c r="T139" i="11"/>
  <c r="T140" i="11"/>
  <c r="T141" i="11"/>
  <c r="T142" i="11"/>
  <c r="T143" i="11"/>
  <c r="T144" i="11"/>
  <c r="T145" i="11"/>
  <c r="T146" i="11"/>
  <c r="T147" i="11"/>
  <c r="T148" i="11"/>
  <c r="T149" i="11"/>
  <c r="T150" i="11"/>
  <c r="T151" i="11"/>
  <c r="T152" i="11"/>
  <c r="T153" i="11"/>
  <c r="T154" i="11"/>
  <c r="T155" i="11"/>
  <c r="T156" i="11"/>
  <c r="T157" i="11"/>
  <c r="T158" i="11"/>
  <c r="T159" i="11"/>
  <c r="T160" i="11"/>
  <c r="T161" i="11"/>
  <c r="T162" i="11"/>
  <c r="T163" i="11"/>
  <c r="T164" i="11"/>
  <c r="T165" i="11"/>
  <c r="T166" i="11"/>
  <c r="T167" i="11"/>
  <c r="T168" i="11"/>
  <c r="T169" i="11"/>
  <c r="T170" i="11"/>
  <c r="T171" i="11"/>
  <c r="T172" i="11"/>
  <c r="T173" i="11"/>
  <c r="T174" i="11"/>
  <c r="T175" i="11"/>
  <c r="T176" i="11"/>
  <c r="T177" i="11"/>
  <c r="T178" i="11"/>
  <c r="T179" i="11"/>
  <c r="T180" i="11"/>
  <c r="T181" i="11"/>
  <c r="T182" i="11"/>
  <c r="T183" i="11"/>
  <c r="T184" i="11"/>
  <c r="T185" i="11"/>
  <c r="T186" i="11"/>
  <c r="T187" i="11"/>
  <c r="T188" i="11"/>
  <c r="T189" i="11"/>
  <c r="T190" i="11"/>
  <c r="T191" i="11"/>
  <c r="T192" i="11"/>
  <c r="T193" i="11"/>
  <c r="T194" i="11"/>
  <c r="T195" i="11"/>
  <c r="T196" i="11"/>
  <c r="T197" i="11"/>
  <c r="T198" i="11"/>
  <c r="T199" i="11"/>
  <c r="T200" i="11"/>
  <c r="T201" i="11"/>
  <c r="T202" i="11"/>
  <c r="T203" i="11"/>
  <c r="T204" i="11"/>
  <c r="T205" i="11"/>
  <c r="T206" i="11"/>
  <c r="T207" i="11"/>
  <c r="T208" i="11"/>
  <c r="T209" i="11"/>
  <c r="T210" i="11"/>
  <c r="T211" i="11"/>
  <c r="T212" i="11"/>
  <c r="T213" i="11"/>
  <c r="T214" i="11"/>
  <c r="T215" i="11"/>
  <c r="T216" i="11"/>
  <c r="T217" i="11"/>
  <c r="T218" i="11"/>
  <c r="T219" i="11"/>
  <c r="T220" i="11"/>
  <c r="T221" i="11"/>
  <c r="T222" i="11"/>
  <c r="T223" i="11"/>
  <c r="T224" i="11"/>
  <c r="T225" i="11"/>
  <c r="T226" i="11"/>
  <c r="T227" i="11"/>
  <c r="T228" i="11"/>
  <c r="T229" i="11"/>
  <c r="T230" i="11"/>
  <c r="T231" i="11"/>
  <c r="T232" i="11"/>
  <c r="T233" i="11"/>
  <c r="T234" i="11"/>
  <c r="T235" i="11"/>
  <c r="T236" i="11"/>
  <c r="T237" i="11"/>
  <c r="T238" i="11"/>
  <c r="T239" i="11"/>
  <c r="T240" i="11"/>
  <c r="T241" i="11"/>
  <c r="T242" i="11"/>
  <c r="T243" i="11"/>
  <c r="T244" i="11"/>
  <c r="T245" i="11"/>
  <c r="T246" i="11"/>
  <c r="T247" i="11"/>
  <c r="T248" i="11"/>
  <c r="T249" i="11"/>
  <c r="T250" i="11"/>
  <c r="T251" i="11"/>
  <c r="T252" i="11"/>
  <c r="T253" i="11"/>
  <c r="T254" i="11"/>
  <c r="T255" i="11"/>
  <c r="T256" i="11"/>
  <c r="T257" i="11"/>
  <c r="T258" i="11"/>
  <c r="T259" i="11"/>
  <c r="T260" i="11"/>
  <c r="T261" i="11"/>
  <c r="T262" i="11"/>
  <c r="T263" i="11"/>
  <c r="T264" i="11"/>
  <c r="T265" i="11"/>
  <c r="T266" i="11"/>
  <c r="T267" i="11"/>
  <c r="T268" i="11"/>
  <c r="T269" i="11"/>
  <c r="T270" i="11"/>
  <c r="T271" i="11"/>
  <c r="T272" i="11"/>
  <c r="T273" i="11"/>
  <c r="T274" i="11"/>
  <c r="T275" i="11"/>
  <c r="T276" i="11"/>
  <c r="T277" i="11"/>
  <c r="T278" i="11"/>
  <c r="T279" i="11"/>
  <c r="T280" i="11"/>
  <c r="T281" i="11"/>
  <c r="T282" i="11"/>
  <c r="T283" i="11"/>
  <c r="T284" i="11"/>
  <c r="T285" i="11"/>
  <c r="T286" i="11"/>
  <c r="T287" i="11"/>
  <c r="T288" i="11"/>
  <c r="T289" i="11"/>
  <c r="T290" i="11"/>
  <c r="T291" i="11"/>
  <c r="T292" i="11"/>
  <c r="T293" i="11"/>
  <c r="T294" i="11"/>
  <c r="T295" i="11"/>
  <c r="T296" i="11"/>
  <c r="T297" i="11"/>
  <c r="T298" i="11"/>
  <c r="T299" i="11"/>
  <c r="T300" i="11"/>
  <c r="T301" i="11"/>
  <c r="T302" i="11"/>
  <c r="T303" i="11"/>
  <c r="T304" i="11"/>
  <c r="T305" i="11"/>
  <c r="T306" i="11"/>
  <c r="T307" i="11"/>
  <c r="T308" i="11"/>
  <c r="T309" i="11"/>
  <c r="T310" i="11"/>
  <c r="T311" i="11"/>
  <c r="T312" i="11"/>
  <c r="T313" i="11"/>
  <c r="T314" i="11"/>
  <c r="T315" i="11"/>
  <c r="T316" i="11"/>
  <c r="T317" i="11"/>
  <c r="T318" i="11"/>
  <c r="T319" i="11"/>
  <c r="T320" i="11"/>
  <c r="T321" i="11"/>
  <c r="T322" i="11"/>
  <c r="T323" i="11"/>
  <c r="T324" i="11"/>
  <c r="T325" i="11"/>
  <c r="T326" i="11"/>
  <c r="T327" i="11"/>
  <c r="T328" i="11"/>
  <c r="T329" i="11"/>
  <c r="T330" i="11"/>
  <c r="T331" i="11"/>
  <c r="T332" i="11"/>
  <c r="T333" i="11"/>
  <c r="T334" i="11"/>
  <c r="T335" i="11"/>
  <c r="T336" i="11"/>
  <c r="T337" i="11"/>
  <c r="T338" i="11"/>
  <c r="T339" i="11"/>
  <c r="T340" i="11"/>
  <c r="T341" i="11"/>
  <c r="T342" i="11"/>
  <c r="T343" i="11"/>
  <c r="T344" i="11"/>
  <c r="T345" i="11"/>
  <c r="T346" i="11"/>
  <c r="T347" i="11"/>
  <c r="T348" i="11"/>
  <c r="T349" i="11"/>
  <c r="T350" i="11"/>
  <c r="T351" i="11"/>
  <c r="T352" i="11"/>
  <c r="T353" i="11"/>
  <c r="T354" i="11"/>
  <c r="T355" i="11"/>
  <c r="T356" i="11"/>
  <c r="T357" i="11"/>
  <c r="T358" i="11"/>
  <c r="T359" i="11"/>
  <c r="T360" i="11"/>
  <c r="T361" i="11"/>
  <c r="T362" i="11"/>
  <c r="T363" i="11"/>
  <c r="T364" i="11"/>
  <c r="T365" i="11"/>
  <c r="T366" i="11"/>
  <c r="T367" i="11"/>
  <c r="T368" i="11"/>
  <c r="T369" i="11"/>
  <c r="T370" i="11"/>
  <c r="T371" i="11"/>
  <c r="T372" i="11"/>
  <c r="T373" i="11"/>
  <c r="T374" i="11"/>
  <c r="T375" i="11"/>
  <c r="T376" i="11"/>
  <c r="T377" i="11"/>
  <c r="T378" i="11"/>
  <c r="T379" i="11"/>
  <c r="T380" i="11"/>
  <c r="T381" i="11"/>
  <c r="T382" i="11"/>
  <c r="T383" i="11"/>
  <c r="T384" i="11"/>
  <c r="T385" i="11"/>
  <c r="T386" i="11"/>
  <c r="T387" i="11"/>
  <c r="T388" i="11"/>
  <c r="T389" i="11"/>
  <c r="T390" i="11"/>
  <c r="T391" i="11"/>
  <c r="T392" i="11"/>
  <c r="T393" i="11"/>
  <c r="T394" i="11"/>
  <c r="T395" i="11"/>
  <c r="T396" i="11"/>
  <c r="T397" i="11"/>
  <c r="T398" i="11"/>
  <c r="T399" i="11"/>
  <c r="T400" i="11"/>
  <c r="T401" i="11"/>
  <c r="T402" i="11"/>
  <c r="T403" i="11"/>
  <c r="T404" i="11"/>
  <c r="T405" i="11"/>
  <c r="T406" i="11"/>
  <c r="T407" i="11"/>
  <c r="T408" i="11"/>
  <c r="T409" i="11"/>
  <c r="T410" i="11"/>
  <c r="T411" i="11"/>
  <c r="T412" i="11"/>
  <c r="T413" i="11"/>
  <c r="T414" i="11"/>
  <c r="T415" i="11"/>
  <c r="T416" i="11"/>
  <c r="T417" i="11"/>
  <c r="T418" i="11"/>
  <c r="T419" i="11"/>
  <c r="T420" i="11"/>
  <c r="T421" i="11"/>
  <c r="T422" i="11"/>
  <c r="T423" i="11"/>
  <c r="T424" i="11"/>
  <c r="T425" i="11"/>
  <c r="T426" i="11"/>
  <c r="T427" i="11"/>
  <c r="T428" i="11"/>
  <c r="T429" i="11"/>
  <c r="T430" i="11"/>
  <c r="T431" i="11"/>
  <c r="T432" i="11"/>
  <c r="T433" i="11"/>
  <c r="T434" i="11"/>
  <c r="T435" i="11"/>
  <c r="T436" i="11"/>
  <c r="T437" i="11"/>
  <c r="T438" i="11"/>
  <c r="T439" i="11"/>
  <c r="T440" i="11"/>
  <c r="T441" i="11"/>
  <c r="T442" i="11"/>
  <c r="T443" i="11"/>
  <c r="T444" i="11"/>
  <c r="T445" i="11"/>
  <c r="T446" i="11"/>
  <c r="T447" i="11"/>
  <c r="T448" i="11"/>
  <c r="T449" i="11"/>
  <c r="T450" i="11"/>
  <c r="T451" i="11"/>
  <c r="T452" i="11"/>
  <c r="T453" i="11"/>
  <c r="T454" i="11"/>
  <c r="T455" i="11"/>
  <c r="T456" i="11"/>
  <c r="T457" i="11"/>
  <c r="T458" i="11"/>
  <c r="T459" i="11"/>
  <c r="T460" i="11"/>
  <c r="T461" i="11"/>
  <c r="T462" i="11"/>
  <c r="T463" i="11"/>
  <c r="T464" i="11"/>
  <c r="T465" i="11"/>
  <c r="T466" i="11"/>
  <c r="T467" i="11"/>
  <c r="T468" i="11"/>
  <c r="T469" i="11"/>
  <c r="T470" i="11"/>
  <c r="T471" i="11"/>
  <c r="T472" i="11"/>
  <c r="T473" i="11"/>
  <c r="T474" i="11"/>
  <c r="T475" i="11"/>
  <c r="T476" i="11"/>
  <c r="T477" i="11"/>
  <c r="T478" i="11"/>
  <c r="T479" i="11"/>
  <c r="T480" i="11"/>
  <c r="T481" i="11"/>
  <c r="T482" i="11"/>
  <c r="T483" i="11"/>
  <c r="T484" i="11"/>
  <c r="T485" i="11"/>
  <c r="T486" i="11"/>
  <c r="T487" i="11"/>
  <c r="T488" i="11"/>
  <c r="T489" i="11"/>
  <c r="T490" i="11"/>
  <c r="T491" i="11"/>
  <c r="T492" i="11"/>
  <c r="T493" i="11"/>
  <c r="T494" i="11"/>
  <c r="T495" i="11"/>
  <c r="T496" i="11"/>
  <c r="T497" i="11"/>
  <c r="T498" i="11"/>
  <c r="T499" i="11"/>
  <c r="T500" i="11"/>
  <c r="T501" i="11"/>
  <c r="T502" i="11"/>
  <c r="T503" i="11"/>
  <c r="T504" i="11"/>
  <c r="T505" i="11"/>
  <c r="T506" i="11"/>
  <c r="T507" i="11"/>
  <c r="T508" i="11"/>
  <c r="T509" i="11"/>
  <c r="T510" i="11"/>
  <c r="T511" i="11"/>
  <c r="T512" i="11"/>
  <c r="T513" i="11"/>
  <c r="T514" i="11"/>
  <c r="T515" i="11"/>
  <c r="T516" i="11"/>
  <c r="T517" i="11"/>
  <c r="T518" i="11"/>
  <c r="T519" i="11"/>
  <c r="T520" i="11"/>
  <c r="T521" i="11"/>
  <c r="T522" i="11"/>
  <c r="T523" i="11"/>
  <c r="T524" i="11"/>
  <c r="T525" i="11"/>
  <c r="T526" i="11"/>
  <c r="T527" i="11"/>
  <c r="T528" i="11"/>
  <c r="T529" i="11"/>
  <c r="T530" i="11"/>
  <c r="T531" i="11"/>
  <c r="T532" i="11"/>
  <c r="T533" i="11"/>
  <c r="T534" i="11"/>
  <c r="T535" i="11"/>
  <c r="T536" i="11"/>
  <c r="T537" i="11"/>
  <c r="T538" i="11"/>
  <c r="T539" i="11"/>
  <c r="T540" i="11"/>
  <c r="T541" i="11"/>
  <c r="T542" i="11"/>
  <c r="T543" i="11"/>
  <c r="T544" i="11"/>
  <c r="T545" i="11"/>
  <c r="T546" i="11"/>
  <c r="T547" i="11"/>
  <c r="T548" i="11"/>
  <c r="T549" i="11"/>
  <c r="T550" i="11"/>
  <c r="T551" i="11"/>
  <c r="T552" i="11"/>
  <c r="T553" i="11"/>
  <c r="T554" i="11"/>
  <c r="T555" i="11"/>
  <c r="T556" i="11"/>
  <c r="T557" i="11"/>
  <c r="T558" i="11"/>
  <c r="T559" i="11"/>
  <c r="T560" i="11"/>
  <c r="T561" i="11"/>
  <c r="T562" i="11"/>
  <c r="T563" i="11"/>
  <c r="T564" i="11"/>
  <c r="T565" i="11"/>
  <c r="T566" i="11"/>
  <c r="T567" i="11"/>
  <c r="T568" i="11"/>
  <c r="T569" i="11"/>
  <c r="T570" i="11"/>
  <c r="T571" i="11"/>
  <c r="T572" i="11"/>
  <c r="T573" i="11"/>
  <c r="T574" i="11"/>
  <c r="T575" i="11"/>
  <c r="T576" i="11"/>
  <c r="T577" i="11"/>
  <c r="T578" i="11"/>
  <c r="T579" i="11"/>
  <c r="T580" i="11"/>
  <c r="T581" i="11"/>
  <c r="T582" i="11"/>
  <c r="T583" i="11"/>
  <c r="T584" i="11"/>
  <c r="T585" i="11"/>
  <c r="T586" i="11"/>
  <c r="T587" i="11"/>
  <c r="T588" i="11"/>
  <c r="T589" i="11"/>
  <c r="T590" i="11"/>
  <c r="T591" i="11"/>
  <c r="T592" i="11"/>
  <c r="T593" i="11"/>
  <c r="T594" i="11"/>
  <c r="T595" i="11"/>
  <c r="T596" i="11"/>
  <c r="T597" i="11"/>
  <c r="T598" i="11"/>
  <c r="T599" i="11"/>
  <c r="T600" i="11"/>
  <c r="T601" i="11"/>
  <c r="T602" i="11"/>
  <c r="T603" i="11"/>
  <c r="T604" i="11"/>
  <c r="T605" i="11"/>
  <c r="T606" i="11"/>
  <c r="T607" i="11"/>
  <c r="T608" i="11"/>
  <c r="T609" i="11"/>
  <c r="T610" i="11"/>
  <c r="T611" i="11"/>
  <c r="T612" i="11"/>
  <c r="T613" i="11"/>
  <c r="T614" i="11"/>
  <c r="T615" i="11"/>
  <c r="T616" i="11"/>
  <c r="T617" i="11"/>
  <c r="T618" i="11"/>
  <c r="T619" i="11"/>
  <c r="T620" i="11"/>
  <c r="T621" i="11"/>
  <c r="T622" i="11"/>
  <c r="T623" i="11"/>
  <c r="T624" i="11"/>
  <c r="T625" i="11"/>
  <c r="T626" i="11"/>
  <c r="T627" i="11"/>
  <c r="T628" i="11"/>
  <c r="T629" i="11"/>
  <c r="T630" i="11"/>
  <c r="T631" i="11"/>
  <c r="T632" i="11"/>
  <c r="T633" i="11"/>
  <c r="T634" i="11"/>
  <c r="T635" i="11"/>
  <c r="T636" i="11"/>
  <c r="T637" i="11"/>
  <c r="T638" i="11"/>
  <c r="T639" i="11"/>
  <c r="T640" i="11"/>
  <c r="T641" i="11"/>
  <c r="T642" i="11"/>
  <c r="T643" i="11"/>
  <c r="T644" i="11"/>
  <c r="T645" i="11"/>
  <c r="T646" i="11"/>
  <c r="T647" i="11"/>
  <c r="T648" i="11"/>
  <c r="T649" i="11"/>
  <c r="T650" i="11"/>
  <c r="T651" i="11"/>
  <c r="T652" i="11"/>
  <c r="T653" i="11"/>
  <c r="T654" i="11"/>
  <c r="T655" i="11"/>
  <c r="T656" i="11"/>
  <c r="T657" i="11"/>
  <c r="T658" i="11"/>
  <c r="T659" i="11"/>
  <c r="T660" i="11"/>
  <c r="T661" i="11"/>
  <c r="T662" i="11"/>
  <c r="T663" i="11"/>
  <c r="T664" i="11"/>
  <c r="T665" i="11"/>
  <c r="T666" i="11"/>
  <c r="T667" i="11"/>
  <c r="T668" i="11"/>
  <c r="T669" i="11"/>
  <c r="T670" i="11"/>
  <c r="T671" i="11"/>
  <c r="T672" i="11"/>
  <c r="T673" i="11"/>
  <c r="T674" i="11"/>
  <c r="T675" i="11"/>
  <c r="T676" i="11"/>
  <c r="T677" i="11"/>
  <c r="T678" i="11"/>
  <c r="T679" i="11"/>
  <c r="T680" i="11"/>
  <c r="T681" i="11"/>
  <c r="T682" i="11"/>
  <c r="T683" i="11"/>
  <c r="T684" i="11"/>
  <c r="T685" i="11"/>
  <c r="T686" i="11"/>
  <c r="T687" i="11"/>
  <c r="T688" i="11"/>
  <c r="T689" i="11"/>
  <c r="T690" i="11"/>
  <c r="T691" i="11"/>
  <c r="T692" i="11"/>
  <c r="T693" i="11"/>
  <c r="T694" i="11"/>
  <c r="T695" i="11"/>
  <c r="T696" i="11"/>
  <c r="T697" i="11"/>
  <c r="T698" i="11"/>
  <c r="T699" i="11"/>
  <c r="T700" i="11"/>
  <c r="T701" i="11"/>
  <c r="T702" i="11"/>
  <c r="T703" i="11"/>
  <c r="T704" i="11"/>
  <c r="T705" i="11"/>
  <c r="T706" i="11"/>
  <c r="T707" i="11"/>
  <c r="T708" i="11"/>
  <c r="T709" i="11"/>
  <c r="T710" i="11"/>
  <c r="T711" i="11"/>
  <c r="T712" i="11"/>
  <c r="T713" i="11"/>
  <c r="T714" i="11"/>
  <c r="T715" i="11"/>
  <c r="T716" i="11"/>
  <c r="T717" i="11"/>
  <c r="T718" i="11"/>
  <c r="T719" i="11"/>
  <c r="T720" i="11"/>
  <c r="T721" i="11"/>
  <c r="T722" i="11"/>
  <c r="T723" i="11"/>
  <c r="T724" i="11"/>
  <c r="T725" i="11"/>
  <c r="T726" i="11"/>
  <c r="T727" i="11"/>
  <c r="T728" i="11"/>
  <c r="T729" i="11"/>
  <c r="T730" i="11"/>
  <c r="T731" i="11"/>
  <c r="T732" i="11"/>
  <c r="T733" i="11"/>
  <c r="T734" i="11"/>
  <c r="T735" i="11"/>
  <c r="T736" i="11"/>
  <c r="T737" i="11"/>
  <c r="T738" i="11"/>
  <c r="T739" i="11"/>
  <c r="T740" i="11"/>
  <c r="T741" i="11"/>
  <c r="T742" i="11"/>
  <c r="T743" i="11"/>
  <c r="T744" i="11"/>
  <c r="T745" i="11"/>
  <c r="T746" i="11"/>
  <c r="T747" i="11"/>
  <c r="T748" i="11"/>
  <c r="T749" i="11"/>
  <c r="T750" i="11"/>
  <c r="T751" i="11"/>
  <c r="T752" i="11"/>
  <c r="T753" i="11"/>
  <c r="T754" i="11"/>
  <c r="T755" i="11"/>
  <c r="T756" i="11"/>
  <c r="T757" i="11"/>
  <c r="T758" i="11"/>
  <c r="T759" i="11"/>
  <c r="T760" i="11"/>
  <c r="T761" i="11"/>
  <c r="T762" i="11"/>
  <c r="T763" i="11"/>
  <c r="T764" i="11"/>
  <c r="T765" i="11"/>
  <c r="T766" i="11"/>
  <c r="T767" i="11"/>
  <c r="T768" i="11"/>
  <c r="T769" i="11"/>
  <c r="T770" i="11"/>
  <c r="T771" i="11"/>
  <c r="T772" i="11"/>
  <c r="T773" i="11"/>
  <c r="T774" i="11"/>
  <c r="T775" i="11"/>
  <c r="T776" i="11"/>
  <c r="T777" i="11"/>
  <c r="T778" i="11"/>
  <c r="T779" i="11"/>
  <c r="T780" i="11"/>
  <c r="T781" i="11"/>
  <c r="T782" i="11"/>
  <c r="T783" i="11"/>
  <c r="T784" i="11"/>
  <c r="T785" i="11"/>
  <c r="T786" i="11"/>
  <c r="T787" i="11"/>
  <c r="T788" i="11"/>
  <c r="T789" i="11"/>
  <c r="T790" i="11"/>
  <c r="T791" i="11"/>
  <c r="T792" i="11"/>
  <c r="T793" i="11"/>
  <c r="T794" i="11"/>
  <c r="T795" i="11"/>
  <c r="T796" i="11"/>
  <c r="T797" i="11"/>
  <c r="T798" i="11"/>
  <c r="T799" i="11"/>
  <c r="T800" i="11"/>
  <c r="T801" i="11"/>
  <c r="T802" i="11"/>
  <c r="T803" i="11"/>
  <c r="T804" i="11"/>
  <c r="T805" i="11"/>
  <c r="T806" i="11"/>
  <c r="T807" i="11"/>
  <c r="T808" i="11"/>
  <c r="T809" i="11"/>
  <c r="T810" i="11"/>
  <c r="T811" i="11"/>
  <c r="T812" i="11"/>
  <c r="T813" i="11"/>
  <c r="T814" i="11"/>
  <c r="T815" i="11"/>
  <c r="T816" i="11"/>
  <c r="T817" i="11"/>
  <c r="T818" i="11"/>
  <c r="T819" i="11"/>
  <c r="T820" i="11"/>
  <c r="T821" i="11"/>
  <c r="T822" i="11"/>
  <c r="T823" i="11"/>
  <c r="T824" i="11"/>
  <c r="T825" i="11"/>
  <c r="T826" i="11"/>
  <c r="T827" i="11"/>
  <c r="T828" i="11"/>
  <c r="T829" i="11"/>
  <c r="T830" i="11"/>
  <c r="T831" i="11"/>
  <c r="T832" i="11"/>
  <c r="T833" i="11"/>
  <c r="T834" i="11"/>
  <c r="T835" i="11"/>
  <c r="T836" i="11"/>
  <c r="T837" i="11"/>
  <c r="T838" i="11"/>
  <c r="T839" i="11"/>
  <c r="T840" i="11"/>
  <c r="T841" i="11"/>
  <c r="T842" i="11"/>
  <c r="T843" i="11"/>
  <c r="T844" i="11"/>
  <c r="T845" i="11"/>
  <c r="T846" i="11"/>
  <c r="T847" i="11"/>
  <c r="T848" i="11"/>
  <c r="T849" i="11"/>
  <c r="T850" i="11"/>
  <c r="T851" i="11"/>
  <c r="T852" i="11"/>
  <c r="T853" i="11"/>
  <c r="T854" i="11"/>
  <c r="T855" i="11"/>
  <c r="T856" i="11"/>
  <c r="T857" i="11"/>
  <c r="T858" i="11"/>
  <c r="T859" i="11"/>
  <c r="T860" i="11"/>
  <c r="T861" i="11"/>
  <c r="T862" i="11"/>
  <c r="T863" i="11"/>
  <c r="T864" i="11"/>
  <c r="T865" i="11"/>
  <c r="T866" i="11"/>
  <c r="T867" i="11"/>
  <c r="T868" i="11"/>
  <c r="T869" i="11"/>
  <c r="T870" i="11"/>
  <c r="T871" i="11"/>
  <c r="T872" i="11"/>
  <c r="T873" i="11"/>
  <c r="T874" i="11"/>
  <c r="T875" i="11"/>
  <c r="T876" i="11"/>
  <c r="T877" i="11"/>
  <c r="T878" i="11"/>
  <c r="T879" i="11"/>
  <c r="T880" i="11"/>
  <c r="T881" i="11"/>
  <c r="T882" i="11"/>
  <c r="T883" i="11"/>
  <c r="T884" i="11"/>
  <c r="T885" i="11"/>
  <c r="T886" i="11"/>
  <c r="T887" i="11"/>
  <c r="T888" i="11"/>
  <c r="T889" i="11"/>
  <c r="T890" i="11"/>
  <c r="T891" i="11"/>
  <c r="T892" i="11"/>
  <c r="T893" i="11"/>
  <c r="T894" i="11"/>
  <c r="T895" i="11"/>
  <c r="T896" i="11"/>
  <c r="T897" i="11"/>
  <c r="T898" i="11"/>
  <c r="T899" i="11"/>
  <c r="T900" i="11"/>
  <c r="T901" i="11"/>
  <c r="T902" i="11"/>
  <c r="T903" i="11"/>
  <c r="T904" i="11"/>
  <c r="T905" i="11"/>
  <c r="T906" i="11"/>
  <c r="T907" i="11"/>
  <c r="T908" i="11"/>
  <c r="T909" i="11"/>
  <c r="T910" i="11"/>
  <c r="T911" i="11"/>
  <c r="T912" i="11"/>
  <c r="T913" i="11"/>
  <c r="T914" i="11"/>
  <c r="T915" i="11"/>
  <c r="T916" i="11"/>
  <c r="T917" i="11"/>
  <c r="T918" i="11"/>
  <c r="T919" i="11"/>
  <c r="T920" i="11"/>
  <c r="T921" i="11"/>
  <c r="T922" i="11"/>
  <c r="T923" i="11"/>
  <c r="T924" i="11"/>
  <c r="T925" i="11"/>
  <c r="T926" i="11"/>
  <c r="T927" i="11"/>
  <c r="T928" i="11"/>
  <c r="T929" i="11"/>
  <c r="T930" i="11"/>
  <c r="T931" i="11"/>
  <c r="T932" i="11"/>
  <c r="T933" i="11"/>
  <c r="T934" i="11"/>
  <c r="T935" i="11"/>
  <c r="T936" i="11"/>
  <c r="T937" i="11"/>
  <c r="T938" i="11"/>
  <c r="T939" i="11"/>
  <c r="T940" i="11"/>
  <c r="T941" i="11"/>
  <c r="T942" i="11"/>
  <c r="T943" i="11"/>
  <c r="T944" i="11"/>
  <c r="T945" i="11"/>
  <c r="T946" i="11"/>
  <c r="T947" i="11"/>
  <c r="T948" i="11"/>
  <c r="T949" i="11"/>
  <c r="T950" i="11"/>
  <c r="T951" i="11"/>
  <c r="T952" i="11"/>
  <c r="T953" i="11"/>
  <c r="T954" i="11"/>
  <c r="T955" i="11"/>
  <c r="T956" i="11"/>
  <c r="T957" i="11"/>
  <c r="T958" i="11"/>
  <c r="T959" i="11"/>
  <c r="T960" i="11"/>
  <c r="T961" i="11"/>
  <c r="T962" i="11"/>
  <c r="T963" i="11"/>
  <c r="T964" i="11"/>
  <c r="T965" i="11"/>
  <c r="T966" i="11"/>
  <c r="T967" i="11"/>
  <c r="T968" i="11"/>
  <c r="T969" i="11"/>
  <c r="T970" i="11"/>
  <c r="T971" i="11"/>
  <c r="T972" i="11"/>
  <c r="T973" i="11"/>
  <c r="T974" i="11"/>
  <c r="T975" i="11"/>
  <c r="T976" i="11"/>
  <c r="T977" i="11"/>
  <c r="T978" i="11"/>
  <c r="T979" i="11"/>
  <c r="T980" i="11"/>
  <c r="T981" i="11"/>
  <c r="T982" i="11"/>
  <c r="T983" i="11"/>
  <c r="T984" i="11"/>
  <c r="T985" i="11"/>
  <c r="T986" i="11"/>
  <c r="T987" i="11"/>
  <c r="T988" i="11"/>
  <c r="T989" i="11"/>
  <c r="T990" i="11"/>
  <c r="T991" i="11"/>
  <c r="T992" i="11"/>
  <c r="T993" i="11"/>
  <c r="T994" i="11"/>
  <c r="T995" i="11"/>
  <c r="T996" i="11"/>
  <c r="T997" i="11"/>
  <c r="T998" i="11"/>
  <c r="T999" i="11"/>
  <c r="T1000" i="11"/>
  <c r="T1001" i="11"/>
  <c r="T1002" i="11"/>
  <c r="T1003" i="11"/>
  <c r="T1004" i="11"/>
  <c r="T1005" i="11"/>
  <c r="T1006" i="11"/>
  <c r="T1007" i="11"/>
  <c r="T1008" i="11"/>
  <c r="T1009" i="11"/>
  <c r="T1010" i="11"/>
  <c r="T1011" i="11"/>
  <c r="T1012" i="11"/>
  <c r="T1013" i="11"/>
  <c r="T1014" i="11"/>
  <c r="T1015" i="11"/>
  <c r="T1016" i="11"/>
  <c r="T1017" i="11"/>
  <c r="T1018" i="11"/>
  <c r="T1019" i="11"/>
  <c r="T1020" i="11"/>
  <c r="T1021" i="11"/>
  <c r="T1022" i="11"/>
  <c r="T1023" i="11"/>
  <c r="T1024" i="11"/>
  <c r="T1025" i="11"/>
  <c r="T1026" i="11"/>
  <c r="T1027" i="11"/>
  <c r="T1028" i="11"/>
  <c r="T1029" i="11"/>
  <c r="T1030" i="11"/>
  <c r="T1031" i="11"/>
  <c r="T1032" i="11"/>
  <c r="T1033" i="11"/>
  <c r="T1034" i="11"/>
  <c r="T1035" i="11"/>
  <c r="T1036" i="11"/>
  <c r="T1037" i="11"/>
  <c r="T1038" i="11"/>
  <c r="T1039" i="11"/>
  <c r="T1040" i="11"/>
  <c r="T1041" i="11"/>
  <c r="T1042" i="11"/>
  <c r="T1043" i="11"/>
  <c r="T1044" i="11"/>
  <c r="T1045" i="11"/>
  <c r="T1046" i="11"/>
  <c r="T1047" i="11"/>
  <c r="T1048" i="11"/>
  <c r="T1049" i="11"/>
  <c r="T1050" i="11"/>
  <c r="T1051" i="11"/>
  <c r="T1052" i="11"/>
  <c r="T1053" i="11"/>
  <c r="T1054" i="11"/>
  <c r="T1055" i="11"/>
  <c r="T1056" i="11"/>
  <c r="T1057" i="11"/>
  <c r="T1058" i="11"/>
  <c r="T1059" i="11"/>
  <c r="T1060" i="11"/>
  <c r="T1061" i="11"/>
  <c r="T1062" i="11"/>
  <c r="T1063" i="11"/>
  <c r="T1064" i="11"/>
  <c r="T1065" i="11"/>
  <c r="T1066" i="11"/>
  <c r="T1067" i="11"/>
  <c r="T1068" i="11"/>
  <c r="T1069" i="11"/>
  <c r="T1070" i="11"/>
  <c r="T1071" i="11"/>
  <c r="T1072" i="11"/>
  <c r="T1073" i="11"/>
  <c r="T1074" i="11"/>
  <c r="T1075" i="11"/>
  <c r="T1076" i="11"/>
  <c r="T1077" i="11"/>
  <c r="T1078" i="11"/>
  <c r="T1079" i="11"/>
  <c r="T1080" i="11"/>
  <c r="T1081" i="11"/>
  <c r="T1082" i="11"/>
  <c r="T1083" i="11"/>
  <c r="T1084" i="11"/>
  <c r="T1085" i="11"/>
  <c r="T1086" i="11"/>
  <c r="T1087" i="11"/>
  <c r="T1088" i="11"/>
  <c r="T1089" i="11"/>
  <c r="T1090" i="11"/>
  <c r="T1091" i="11"/>
  <c r="T1092" i="11"/>
  <c r="T1093" i="11"/>
  <c r="T1094" i="11"/>
  <c r="T1095" i="11"/>
  <c r="T1096" i="11"/>
  <c r="T1097" i="11"/>
  <c r="T1098" i="11"/>
  <c r="T1099" i="11"/>
  <c r="T1100" i="11"/>
  <c r="T1101" i="11"/>
  <c r="T1102" i="11"/>
  <c r="T1103" i="11"/>
  <c r="T1104" i="11"/>
  <c r="T1105" i="11"/>
  <c r="T1106" i="11"/>
  <c r="T1107" i="11"/>
  <c r="T1108" i="11"/>
  <c r="T1109" i="11"/>
  <c r="T1110" i="11"/>
  <c r="T1111" i="11"/>
  <c r="T1112" i="11"/>
  <c r="T1113" i="11"/>
  <c r="T1114" i="11"/>
  <c r="T1115" i="11"/>
  <c r="T1116" i="11"/>
  <c r="T1117" i="11"/>
  <c r="T1118" i="11"/>
  <c r="T1119" i="11"/>
  <c r="T1120" i="11"/>
  <c r="T1121" i="11"/>
  <c r="T1122" i="11"/>
  <c r="T1123" i="11"/>
  <c r="T1124" i="11"/>
  <c r="T1125" i="11"/>
  <c r="T1126" i="11"/>
  <c r="T1127" i="11"/>
  <c r="T1128" i="11"/>
  <c r="T1129" i="11"/>
  <c r="T1130" i="11"/>
  <c r="T1131" i="11"/>
  <c r="T1132" i="11"/>
  <c r="T1133" i="11"/>
  <c r="T1134" i="11"/>
  <c r="T1135" i="11"/>
  <c r="T1136" i="11"/>
  <c r="T1137" i="11"/>
  <c r="T1138" i="11"/>
  <c r="T1139" i="11"/>
  <c r="T1140" i="11"/>
  <c r="T1141" i="11"/>
  <c r="T1142" i="11"/>
  <c r="T1143" i="11"/>
  <c r="T1144" i="11"/>
  <c r="T1145" i="11"/>
  <c r="T1146" i="11"/>
  <c r="T1147" i="11"/>
  <c r="T1148" i="11"/>
  <c r="T1149" i="11"/>
  <c r="T1150" i="11"/>
  <c r="T1151" i="11"/>
  <c r="T1152" i="11"/>
  <c r="T1153" i="11"/>
  <c r="T1154" i="11"/>
  <c r="T1155" i="11"/>
  <c r="T1156" i="11"/>
  <c r="T1157" i="11"/>
  <c r="T1158" i="11"/>
  <c r="T1159" i="11"/>
  <c r="T1160" i="11"/>
  <c r="T1161" i="11"/>
  <c r="T1162" i="11"/>
  <c r="T1163" i="11"/>
  <c r="T1164" i="11"/>
  <c r="T1165" i="11"/>
  <c r="T1166" i="11"/>
  <c r="T1167" i="11"/>
  <c r="T1168" i="11"/>
  <c r="T1169" i="11"/>
  <c r="T1170" i="11"/>
  <c r="T1171" i="11"/>
  <c r="T1172" i="11"/>
  <c r="T1173" i="11"/>
  <c r="T1174" i="11"/>
  <c r="T1175" i="11"/>
  <c r="T1176" i="11"/>
  <c r="T1177" i="11"/>
  <c r="T1178" i="11"/>
  <c r="T1179" i="11"/>
  <c r="T1180" i="11"/>
  <c r="T1181" i="11"/>
  <c r="T1182" i="11"/>
  <c r="T1183" i="11"/>
  <c r="T1184" i="11"/>
  <c r="T1185" i="11"/>
  <c r="T1186" i="11"/>
  <c r="T1187" i="11"/>
  <c r="T1188" i="11"/>
  <c r="T1189" i="11"/>
  <c r="T1190" i="11"/>
  <c r="T1191" i="11"/>
  <c r="T1192" i="11"/>
  <c r="T1193" i="11"/>
  <c r="T1194" i="11"/>
  <c r="T1195" i="11"/>
  <c r="T1196" i="11"/>
  <c r="T1197" i="11"/>
  <c r="T1198" i="11"/>
  <c r="T1199" i="11"/>
  <c r="T1200" i="11"/>
  <c r="T1201" i="11"/>
  <c r="T1202" i="11"/>
  <c r="T1203" i="11"/>
  <c r="T1204" i="11"/>
  <c r="T1205" i="11"/>
  <c r="T1206" i="11"/>
  <c r="T1207" i="11"/>
  <c r="T1208" i="11"/>
  <c r="T1209" i="11"/>
  <c r="T1210" i="11"/>
  <c r="T1211" i="11"/>
  <c r="T1212" i="11"/>
  <c r="T1213" i="11"/>
  <c r="T1214" i="11"/>
  <c r="T1215" i="11"/>
  <c r="T1216" i="11"/>
  <c r="T1217" i="11"/>
  <c r="T1218" i="11"/>
  <c r="T1219" i="11"/>
  <c r="T1220" i="11"/>
  <c r="T1221" i="11"/>
  <c r="T1222" i="11"/>
  <c r="T1223" i="11"/>
  <c r="T1224" i="11"/>
  <c r="T1225" i="11"/>
  <c r="T1226" i="11"/>
  <c r="T1227" i="11"/>
  <c r="T1228" i="11"/>
  <c r="T1229" i="11"/>
  <c r="T1230" i="11"/>
  <c r="T1231" i="11"/>
  <c r="T1232" i="11"/>
  <c r="T1233" i="11"/>
  <c r="T1234" i="11"/>
  <c r="T1235" i="11"/>
  <c r="T1236" i="11"/>
  <c r="T1237" i="11"/>
  <c r="T1238" i="11"/>
  <c r="T1239" i="11"/>
  <c r="T1240" i="11"/>
  <c r="T1241" i="11"/>
  <c r="T1242" i="11"/>
  <c r="T1243" i="11"/>
  <c r="T1244" i="11"/>
  <c r="T1245" i="11"/>
  <c r="T1246" i="11"/>
  <c r="T1247" i="11"/>
  <c r="T1248" i="11"/>
  <c r="T1249" i="11"/>
  <c r="T1250" i="11"/>
  <c r="T1251" i="11"/>
  <c r="T1252" i="11"/>
  <c r="T1253" i="11"/>
  <c r="T1254" i="11"/>
  <c r="T1255" i="11"/>
  <c r="T1256" i="11"/>
  <c r="T1257" i="11"/>
  <c r="T1258" i="11"/>
  <c r="T1259" i="11"/>
  <c r="T1260" i="11"/>
  <c r="T1261" i="11"/>
  <c r="T1262" i="11"/>
  <c r="T1263" i="11"/>
  <c r="T1264" i="11"/>
  <c r="T1265" i="11"/>
  <c r="T1266" i="11"/>
  <c r="T1267" i="11"/>
  <c r="T1268" i="11"/>
  <c r="T1269" i="11"/>
  <c r="T1270" i="11"/>
  <c r="T1271" i="11"/>
  <c r="T1272" i="11"/>
  <c r="T1273" i="11"/>
  <c r="T1274" i="11"/>
  <c r="T1275" i="11"/>
  <c r="T1276" i="11"/>
  <c r="T1277" i="11"/>
  <c r="T1278" i="11"/>
  <c r="T1279" i="11"/>
  <c r="T1280" i="11"/>
  <c r="T1281" i="11"/>
  <c r="T1282" i="11"/>
  <c r="T1283" i="11"/>
  <c r="T1284" i="11"/>
  <c r="T1285" i="11"/>
  <c r="T1286" i="11"/>
  <c r="T1287" i="11"/>
  <c r="T1288" i="11"/>
  <c r="T1289" i="11"/>
  <c r="T1290" i="11"/>
  <c r="T1291" i="11"/>
  <c r="T1292" i="11"/>
  <c r="T1293" i="11"/>
  <c r="T1294" i="11"/>
  <c r="T1295" i="11"/>
  <c r="T1296" i="11"/>
  <c r="T1297" i="11"/>
  <c r="T1298" i="11"/>
  <c r="T1299" i="11"/>
  <c r="T1300" i="11"/>
  <c r="T1301" i="11"/>
  <c r="T1302" i="11"/>
  <c r="T1303" i="11"/>
  <c r="T1304" i="11"/>
  <c r="T1305" i="11"/>
  <c r="T1306" i="11"/>
  <c r="T1307" i="11"/>
  <c r="T1308" i="11"/>
  <c r="T1309" i="11"/>
  <c r="T1310" i="11"/>
  <c r="T1311" i="11"/>
  <c r="T1312" i="11"/>
  <c r="T1313" i="11"/>
  <c r="T1314" i="11"/>
  <c r="T1315" i="11"/>
  <c r="T1316" i="11"/>
  <c r="T1317" i="11"/>
  <c r="T1318" i="11"/>
  <c r="T1319" i="11"/>
  <c r="T1320" i="11"/>
  <c r="T1321" i="11"/>
  <c r="T1322" i="11"/>
  <c r="T1323" i="11"/>
  <c r="T1324" i="11"/>
  <c r="T1325" i="11"/>
  <c r="T1326" i="11"/>
  <c r="T1327" i="11"/>
  <c r="T1328" i="11"/>
  <c r="T1329" i="11"/>
  <c r="T1330" i="11"/>
  <c r="T1331" i="11"/>
  <c r="T1332" i="11"/>
  <c r="T1333" i="11"/>
  <c r="T1334" i="11"/>
  <c r="T1335" i="11"/>
  <c r="T1336" i="11"/>
  <c r="T1337" i="11"/>
  <c r="T1338" i="11"/>
  <c r="T1339" i="11"/>
  <c r="T1340" i="11"/>
  <c r="T1341" i="11"/>
  <c r="T1342" i="11"/>
  <c r="T1343" i="11"/>
  <c r="T1344" i="11"/>
  <c r="T1345" i="11"/>
  <c r="T1346" i="11"/>
  <c r="T1347" i="11"/>
  <c r="T1348" i="11"/>
  <c r="T1349" i="11"/>
  <c r="T1350" i="11"/>
  <c r="T1351" i="11"/>
  <c r="T1352" i="11"/>
  <c r="T1353" i="11"/>
  <c r="T1354" i="11"/>
  <c r="T1355" i="11"/>
  <c r="T1356" i="11"/>
  <c r="T1357" i="11"/>
  <c r="T1358" i="11"/>
  <c r="T1359" i="11"/>
  <c r="T1360" i="11"/>
  <c r="T1361" i="11"/>
  <c r="T1362" i="11"/>
  <c r="T1363" i="11"/>
  <c r="T1364" i="11"/>
  <c r="T1365" i="11"/>
  <c r="T1366" i="11"/>
  <c r="T1367" i="11"/>
  <c r="T1368" i="11"/>
  <c r="T1369" i="11"/>
  <c r="T1370" i="11"/>
  <c r="T1371" i="11"/>
  <c r="T1372" i="11"/>
  <c r="T1373" i="11"/>
  <c r="T1374" i="11"/>
  <c r="T1375" i="11"/>
  <c r="T1376" i="11"/>
  <c r="T1377" i="11"/>
  <c r="T1378" i="11"/>
  <c r="T1379" i="11"/>
  <c r="T1380" i="11"/>
  <c r="T1381" i="11"/>
  <c r="T1382" i="11"/>
  <c r="T1383" i="11"/>
  <c r="T1384" i="11"/>
  <c r="T1385" i="11"/>
  <c r="T1386" i="11"/>
  <c r="T1387" i="11"/>
  <c r="T1388" i="11"/>
  <c r="T1389" i="11"/>
  <c r="T1390" i="11"/>
  <c r="T1391" i="11"/>
  <c r="T1392" i="11"/>
  <c r="T1393" i="11"/>
  <c r="T1394" i="11"/>
  <c r="T1395" i="11"/>
  <c r="T1396" i="11"/>
  <c r="T1397" i="11"/>
  <c r="T1398" i="11"/>
  <c r="T1399" i="11"/>
  <c r="T1400" i="11"/>
  <c r="T1401" i="11"/>
  <c r="T1402" i="11"/>
  <c r="T1403" i="11"/>
  <c r="T1404" i="11"/>
  <c r="T1405" i="11"/>
  <c r="T1406" i="11"/>
  <c r="T1407" i="11"/>
  <c r="T1408" i="11"/>
  <c r="T1409" i="11"/>
  <c r="T1410" i="11"/>
  <c r="T1411" i="11"/>
  <c r="T1412" i="11"/>
  <c r="T1413" i="11"/>
  <c r="T1414" i="11"/>
  <c r="T1415" i="11"/>
  <c r="T1416" i="11"/>
  <c r="T1417" i="11"/>
  <c r="T1418" i="11"/>
  <c r="T1419" i="11"/>
  <c r="T1420" i="11"/>
  <c r="T1421" i="11"/>
  <c r="T1422" i="11"/>
  <c r="T1423" i="11"/>
  <c r="T1424" i="11"/>
  <c r="T1425" i="11"/>
  <c r="T1426" i="11"/>
  <c r="T1427" i="11"/>
  <c r="T1428" i="11"/>
  <c r="T1429" i="11"/>
  <c r="T1430" i="11"/>
  <c r="T1431" i="11"/>
  <c r="T1432" i="11"/>
  <c r="T1433" i="11"/>
  <c r="T1434" i="11"/>
  <c r="T1435" i="11"/>
  <c r="T1436" i="11"/>
  <c r="T1437" i="11"/>
  <c r="T1438" i="11"/>
  <c r="T1439" i="11"/>
  <c r="T1440" i="11"/>
  <c r="T1441" i="11"/>
  <c r="T1442" i="11"/>
  <c r="T1443" i="11"/>
  <c r="T1444" i="11"/>
  <c r="T1445" i="11"/>
  <c r="T1446" i="11"/>
  <c r="T1447" i="11"/>
  <c r="T1448" i="11"/>
  <c r="T1449" i="11"/>
  <c r="T1450" i="11"/>
  <c r="T1451" i="11"/>
  <c r="T1452" i="11"/>
  <c r="T1453" i="11"/>
  <c r="T1454" i="11"/>
  <c r="T1455" i="11"/>
  <c r="T1456" i="11"/>
  <c r="T1457" i="11"/>
  <c r="T1458" i="11"/>
  <c r="T1459" i="11"/>
  <c r="T1460" i="11"/>
  <c r="T1461" i="11"/>
  <c r="T1462" i="11"/>
  <c r="T1463" i="11"/>
  <c r="T1464" i="11"/>
  <c r="T1465" i="11"/>
  <c r="T1466" i="11"/>
  <c r="T1467" i="11"/>
  <c r="T1468" i="11"/>
  <c r="T1469" i="11"/>
  <c r="T1470" i="11"/>
  <c r="T1471" i="11"/>
  <c r="T1472" i="11"/>
  <c r="T1473" i="11"/>
  <c r="T1474" i="11"/>
  <c r="T1475" i="11"/>
  <c r="T1476" i="11"/>
  <c r="T1477" i="11"/>
  <c r="T1478" i="11"/>
  <c r="T1479" i="11"/>
  <c r="T1480" i="11"/>
  <c r="T1481" i="11"/>
  <c r="T1482" i="11"/>
  <c r="T1483" i="11"/>
  <c r="T1484" i="11"/>
  <c r="T1485" i="11"/>
  <c r="T1486" i="11"/>
  <c r="T1487" i="11"/>
  <c r="T1488" i="11"/>
  <c r="T1489" i="11"/>
  <c r="T1490" i="11"/>
  <c r="T1491" i="11"/>
  <c r="T1492" i="11"/>
  <c r="T1493" i="11"/>
  <c r="T1494" i="11"/>
  <c r="T1495" i="11"/>
  <c r="T1496" i="11"/>
  <c r="T1497" i="11"/>
  <c r="T1498" i="11"/>
  <c r="T1499" i="11"/>
  <c r="T1500" i="11"/>
  <c r="T1501" i="11"/>
  <c r="T1502" i="11"/>
  <c r="T1503" i="11"/>
  <c r="T1504" i="11"/>
  <c r="T1505" i="11"/>
  <c r="T1506" i="11"/>
  <c r="T1507" i="11"/>
  <c r="T1508" i="11"/>
  <c r="T1509" i="11"/>
  <c r="T1510" i="11"/>
  <c r="T1511" i="11"/>
  <c r="T1512" i="11"/>
  <c r="T1513" i="11"/>
  <c r="T1514" i="11"/>
  <c r="T1515" i="11"/>
  <c r="T1516" i="11"/>
  <c r="T1517" i="11"/>
  <c r="T1518" i="11"/>
  <c r="T1519" i="11"/>
  <c r="T1520" i="11"/>
  <c r="T1521" i="11"/>
  <c r="T1522" i="11"/>
  <c r="T1523" i="11"/>
  <c r="T1524" i="11"/>
  <c r="T1525" i="11"/>
  <c r="T1526" i="11"/>
  <c r="T1527" i="11"/>
  <c r="T1528" i="11"/>
  <c r="T1529" i="11"/>
  <c r="T1530" i="11"/>
  <c r="T1531" i="11"/>
  <c r="T1532" i="11"/>
  <c r="T1533" i="11"/>
  <c r="T1534" i="11"/>
  <c r="T1535" i="11"/>
  <c r="T1536" i="11"/>
  <c r="T1537" i="11"/>
  <c r="T1538" i="11"/>
  <c r="T1539" i="11"/>
  <c r="T1540" i="11"/>
  <c r="T1541" i="11"/>
  <c r="T1542" i="11"/>
  <c r="T1543" i="11"/>
  <c r="T1544" i="11"/>
  <c r="T1545" i="11"/>
  <c r="T1546" i="11"/>
  <c r="T1547" i="11"/>
  <c r="T1548" i="11"/>
  <c r="T1549" i="11"/>
  <c r="T1550" i="11"/>
  <c r="T1551" i="11"/>
  <c r="T1552" i="11"/>
  <c r="T1553" i="11"/>
  <c r="T1554" i="11"/>
  <c r="T1555" i="11"/>
  <c r="T1556" i="11"/>
  <c r="T1557" i="11"/>
  <c r="T1558" i="11"/>
  <c r="T1559" i="11"/>
  <c r="T1560" i="11"/>
  <c r="T1561" i="11"/>
  <c r="T1562" i="11"/>
  <c r="T1563" i="11"/>
  <c r="T1564" i="11"/>
  <c r="T1565" i="11"/>
  <c r="T1566" i="11"/>
  <c r="T1567" i="11"/>
  <c r="T1568" i="11"/>
  <c r="T1569" i="11"/>
  <c r="T1570" i="11"/>
  <c r="T1571" i="11"/>
  <c r="T1572" i="11"/>
  <c r="T1573" i="11"/>
  <c r="T1574" i="11"/>
  <c r="T1575" i="11"/>
  <c r="T1576" i="11"/>
  <c r="T1577" i="11"/>
  <c r="T1578" i="11"/>
  <c r="T1579" i="11"/>
  <c r="T1580" i="11"/>
  <c r="T1581" i="11"/>
  <c r="T1582" i="11"/>
  <c r="T1583" i="11"/>
  <c r="T1584" i="11"/>
  <c r="T1585" i="11"/>
  <c r="T1586" i="11"/>
  <c r="T1587" i="11"/>
  <c r="T1588" i="11"/>
  <c r="T1589" i="11"/>
  <c r="T1590" i="11"/>
  <c r="T1591" i="11"/>
  <c r="T1592" i="11"/>
  <c r="T1593" i="11"/>
  <c r="T1594" i="11"/>
  <c r="T1595" i="11"/>
  <c r="T1596" i="11"/>
  <c r="T1597" i="11"/>
  <c r="T1598" i="11"/>
  <c r="T1599" i="11"/>
  <c r="T1600" i="11"/>
  <c r="T1601" i="11"/>
  <c r="T1602" i="11"/>
  <c r="T1603" i="11"/>
  <c r="T1604" i="11"/>
  <c r="T1605" i="11"/>
  <c r="T1606" i="11"/>
  <c r="T1607" i="11"/>
  <c r="T1608" i="11"/>
  <c r="T1609" i="11"/>
  <c r="T1610" i="11"/>
  <c r="T1611" i="11"/>
  <c r="T1612" i="11"/>
  <c r="T1613" i="11"/>
  <c r="T1614" i="11"/>
  <c r="T1615" i="11"/>
  <c r="T1616" i="11"/>
  <c r="T1617" i="11"/>
  <c r="T1618" i="11"/>
  <c r="T1619" i="11"/>
  <c r="T1620" i="11"/>
  <c r="T1621" i="11"/>
  <c r="T1622" i="11"/>
  <c r="T1623" i="11"/>
  <c r="T1624" i="11"/>
  <c r="T1625" i="11"/>
  <c r="T1626" i="11"/>
  <c r="T1627" i="11"/>
  <c r="T1628" i="11"/>
  <c r="T1629" i="11"/>
  <c r="T1630" i="11"/>
  <c r="T1631" i="11"/>
  <c r="T1632" i="11"/>
  <c r="T1633" i="11"/>
  <c r="T1634" i="11"/>
  <c r="T1635" i="11"/>
  <c r="T1636" i="11"/>
  <c r="T1637" i="11"/>
  <c r="T1638" i="11"/>
  <c r="T1639" i="11"/>
  <c r="T1640" i="11"/>
  <c r="T1641" i="11"/>
  <c r="T1642" i="11"/>
  <c r="T1643" i="11"/>
  <c r="T1644" i="11"/>
  <c r="T1645" i="11"/>
  <c r="T1646" i="11"/>
  <c r="T1647" i="11"/>
  <c r="T1648" i="11"/>
  <c r="T1649" i="11"/>
  <c r="T1650" i="11"/>
  <c r="T1651" i="11"/>
  <c r="T1652" i="11"/>
  <c r="T1653" i="11"/>
  <c r="T1654" i="11"/>
  <c r="T1655" i="11"/>
  <c r="T1656" i="11"/>
  <c r="T1657" i="11"/>
  <c r="T1658" i="11"/>
  <c r="T1659" i="11"/>
  <c r="T1660" i="11"/>
  <c r="T1661" i="11"/>
  <c r="T1662" i="11"/>
  <c r="T1663" i="11"/>
  <c r="T1664" i="11"/>
  <c r="T1665" i="11"/>
  <c r="T1666" i="11"/>
  <c r="T1667" i="11"/>
  <c r="T1668" i="11"/>
  <c r="T1669" i="11"/>
  <c r="T1670" i="11"/>
  <c r="T1671" i="11"/>
  <c r="T1672" i="11"/>
  <c r="T1673" i="11"/>
  <c r="T1674" i="11"/>
  <c r="T1675" i="11"/>
  <c r="T1676" i="11"/>
  <c r="T1677" i="11"/>
  <c r="T1678" i="11"/>
  <c r="T1679" i="11"/>
  <c r="T1680" i="11"/>
  <c r="T1681" i="11"/>
  <c r="T1682" i="11"/>
  <c r="T1683" i="11"/>
  <c r="T1684" i="11"/>
  <c r="T1685" i="11"/>
  <c r="T1686" i="11"/>
  <c r="T1687" i="11"/>
  <c r="T1688" i="11"/>
  <c r="T1689" i="11"/>
  <c r="T1690" i="11"/>
  <c r="T1691" i="11"/>
  <c r="T1692" i="11"/>
  <c r="T1693" i="11"/>
  <c r="T1694" i="11"/>
  <c r="T1695" i="11"/>
  <c r="T1696" i="11"/>
  <c r="T1697" i="11"/>
  <c r="T1698" i="11"/>
  <c r="T1699" i="11"/>
  <c r="T1700" i="11"/>
  <c r="T1701" i="11"/>
  <c r="T1702" i="11"/>
  <c r="T1703" i="11"/>
  <c r="T1704" i="11"/>
  <c r="T1705" i="11"/>
  <c r="T1706" i="11"/>
  <c r="T1707" i="11"/>
  <c r="T1708" i="11"/>
  <c r="T1709" i="11"/>
  <c r="T1710" i="11"/>
  <c r="T1711" i="11"/>
  <c r="T1712" i="11"/>
  <c r="T1713" i="11"/>
  <c r="T1714" i="11"/>
  <c r="T1715" i="11"/>
  <c r="T1716" i="11"/>
  <c r="T1717" i="11"/>
  <c r="T1718" i="11"/>
  <c r="T1719" i="11"/>
  <c r="T1720" i="11"/>
  <c r="T1721" i="11"/>
  <c r="T1722" i="11"/>
  <c r="T1723" i="11"/>
  <c r="T1724" i="11"/>
  <c r="T1725" i="11"/>
  <c r="T1726" i="11"/>
  <c r="T1727" i="11"/>
  <c r="T1728" i="11"/>
  <c r="T1729" i="11"/>
  <c r="T1730" i="11"/>
  <c r="T1731" i="11"/>
  <c r="T1732" i="11"/>
  <c r="T1733" i="11"/>
  <c r="T1734" i="11"/>
  <c r="T1735" i="11"/>
  <c r="T1736" i="11"/>
  <c r="T1737" i="11"/>
  <c r="T1738" i="11"/>
  <c r="T1739" i="11"/>
  <c r="T1740" i="11"/>
  <c r="T1741" i="11"/>
  <c r="T1742" i="11"/>
  <c r="T1743" i="11"/>
  <c r="T1744" i="11"/>
  <c r="T1745" i="11"/>
  <c r="T1746" i="11"/>
  <c r="T1747" i="11"/>
  <c r="T1748" i="11"/>
  <c r="T1749" i="11"/>
  <c r="T1750" i="11"/>
  <c r="T1751" i="11"/>
  <c r="T1752" i="11"/>
  <c r="T1753" i="11"/>
  <c r="T1754" i="11"/>
  <c r="T1755" i="11"/>
  <c r="T1756" i="11"/>
  <c r="T1757" i="11"/>
  <c r="T1758" i="11"/>
  <c r="T1759" i="11"/>
  <c r="T1760" i="11"/>
  <c r="T1761" i="11"/>
  <c r="T1762" i="11"/>
  <c r="T1763" i="11"/>
  <c r="T1764" i="11"/>
  <c r="T1765" i="11"/>
  <c r="T1766" i="11"/>
  <c r="T1767" i="11"/>
  <c r="T1768" i="11"/>
  <c r="T1769" i="11"/>
  <c r="T1770" i="11"/>
  <c r="T1771" i="11"/>
  <c r="T1772" i="11"/>
  <c r="T1773" i="11"/>
  <c r="T1774" i="11"/>
  <c r="T1775" i="11"/>
  <c r="T1776" i="11"/>
  <c r="T1777" i="11"/>
  <c r="T1778" i="11"/>
  <c r="T1779" i="11"/>
  <c r="T1780" i="11"/>
  <c r="T1781" i="11"/>
  <c r="T1782" i="11"/>
  <c r="T1783" i="11"/>
  <c r="T1784" i="11"/>
  <c r="T1785" i="11"/>
  <c r="T1786" i="11"/>
  <c r="T1787" i="11"/>
  <c r="T1788" i="11"/>
  <c r="T1789" i="11"/>
  <c r="T1790" i="11"/>
  <c r="T1791" i="11"/>
  <c r="T1792" i="11"/>
  <c r="T1793" i="11"/>
  <c r="T1794" i="11"/>
  <c r="T1795" i="11"/>
  <c r="T1796" i="11"/>
  <c r="T1797" i="11"/>
  <c r="T1798" i="11"/>
  <c r="T1799" i="11"/>
  <c r="T1800" i="11"/>
  <c r="T1801" i="11"/>
  <c r="T1802" i="11"/>
  <c r="T1803" i="11"/>
  <c r="T1804" i="11"/>
  <c r="T1805" i="11"/>
  <c r="T1806" i="11"/>
  <c r="T1807" i="11"/>
  <c r="T1808" i="11"/>
  <c r="T1809" i="11"/>
  <c r="T1810" i="11"/>
  <c r="T1811" i="11"/>
  <c r="T1812" i="11"/>
  <c r="T1813" i="11"/>
  <c r="T1814" i="11"/>
  <c r="T1815" i="11"/>
  <c r="T1816" i="11"/>
  <c r="T1817" i="11"/>
  <c r="T1818" i="11"/>
  <c r="T1819" i="11"/>
  <c r="T1820" i="11"/>
  <c r="T1821" i="11"/>
  <c r="T1822" i="11"/>
  <c r="T1823" i="11"/>
  <c r="T1824" i="11"/>
  <c r="T1825" i="11"/>
  <c r="T1826" i="11"/>
  <c r="T1827" i="11"/>
  <c r="T1828" i="11"/>
  <c r="T1829" i="11"/>
  <c r="T1830" i="11"/>
  <c r="T1831" i="11"/>
  <c r="T1832" i="11"/>
  <c r="T1833" i="11"/>
  <c r="T1834" i="11"/>
  <c r="T1835" i="11"/>
  <c r="T1836" i="11"/>
  <c r="T1837" i="11"/>
  <c r="T1838" i="11"/>
  <c r="T1839" i="11"/>
  <c r="T1840" i="11"/>
  <c r="T1841" i="11"/>
  <c r="T1842" i="11"/>
  <c r="T1843" i="11"/>
  <c r="T1844" i="11"/>
  <c r="T1845" i="11"/>
  <c r="T1846" i="11"/>
  <c r="T1847" i="11"/>
  <c r="T1848" i="11"/>
  <c r="T1849" i="11"/>
  <c r="T1850" i="11"/>
  <c r="T1851" i="11"/>
  <c r="T1852" i="11"/>
  <c r="T1853" i="11"/>
  <c r="T1854" i="11"/>
  <c r="T1855" i="11"/>
  <c r="T1856" i="11"/>
  <c r="T1857" i="11"/>
  <c r="T1858" i="11"/>
  <c r="T1859" i="11"/>
  <c r="T1860" i="11"/>
  <c r="T1861" i="11"/>
  <c r="T1862" i="11"/>
  <c r="T1863" i="11"/>
  <c r="T1864" i="11"/>
  <c r="T1865" i="11"/>
  <c r="T1866" i="11"/>
  <c r="T1867" i="11"/>
  <c r="T1868" i="11"/>
  <c r="T1869" i="11"/>
  <c r="T1870" i="11"/>
  <c r="T1871" i="11"/>
  <c r="T1872" i="11"/>
  <c r="T1873" i="11"/>
  <c r="T1874" i="11"/>
  <c r="T1875" i="11"/>
  <c r="T1876" i="11"/>
  <c r="T1877" i="11"/>
  <c r="T1878" i="11"/>
  <c r="T1879" i="11"/>
  <c r="T1880" i="11"/>
  <c r="T1881" i="11"/>
  <c r="T1882" i="11"/>
  <c r="T1883" i="11"/>
  <c r="T1884" i="11"/>
  <c r="T1885" i="11"/>
  <c r="T1886" i="11"/>
  <c r="T1887" i="11"/>
  <c r="T1888" i="11"/>
  <c r="T1889" i="11"/>
  <c r="T1890" i="11"/>
  <c r="T1891" i="11"/>
  <c r="T1892" i="11"/>
  <c r="T1893" i="11"/>
  <c r="T1894" i="11"/>
  <c r="T1895" i="11"/>
  <c r="T1896" i="11"/>
  <c r="T1897" i="11"/>
  <c r="T1898" i="11"/>
  <c r="T1899" i="11"/>
  <c r="T1900" i="11"/>
  <c r="T1901" i="11"/>
  <c r="T1902" i="11"/>
  <c r="T1903" i="11"/>
  <c r="T1904" i="11"/>
  <c r="T1905" i="11"/>
  <c r="T1906" i="11"/>
  <c r="T1907" i="11"/>
  <c r="T1908" i="11"/>
  <c r="T1909" i="11"/>
  <c r="T1910" i="11"/>
  <c r="T1911" i="11"/>
  <c r="T1912" i="11"/>
  <c r="T1913" i="11"/>
  <c r="T1914" i="11"/>
  <c r="T1915" i="11"/>
  <c r="T1916" i="11"/>
  <c r="T1917" i="11"/>
  <c r="T1918" i="11"/>
  <c r="T1919" i="11"/>
  <c r="T1920" i="11"/>
  <c r="T1921" i="11"/>
  <c r="T1922" i="11"/>
  <c r="T1923" i="11"/>
  <c r="T1924" i="11"/>
  <c r="T1925" i="11"/>
  <c r="T1926" i="11"/>
  <c r="T1927" i="11"/>
  <c r="T1928" i="11"/>
  <c r="T1929" i="11"/>
  <c r="T1930" i="11"/>
  <c r="T1931" i="11"/>
  <c r="T1932" i="11"/>
  <c r="T1933" i="11"/>
  <c r="T1934" i="11"/>
  <c r="T1935" i="11"/>
  <c r="T1936" i="11"/>
  <c r="T1937" i="11"/>
  <c r="T1938" i="11"/>
  <c r="T1939" i="11"/>
  <c r="T1940" i="11"/>
  <c r="T1941" i="11"/>
  <c r="T1942" i="11"/>
  <c r="T1943" i="11"/>
  <c r="T1944" i="11"/>
  <c r="T1945" i="11"/>
  <c r="T1946" i="11"/>
  <c r="T1947" i="11"/>
  <c r="T1948" i="11"/>
  <c r="T1949" i="11"/>
  <c r="T1950" i="11"/>
  <c r="T1951" i="11"/>
  <c r="T1952" i="11"/>
  <c r="T1953" i="11"/>
  <c r="T1954" i="11"/>
  <c r="T1955" i="11"/>
  <c r="T1956" i="11"/>
  <c r="T1957" i="11"/>
  <c r="T1958" i="11"/>
  <c r="T1959" i="11"/>
  <c r="T1960" i="11"/>
  <c r="T1961" i="11"/>
  <c r="T1962" i="11"/>
  <c r="T1963" i="11"/>
  <c r="T1964" i="11"/>
  <c r="T1965" i="11"/>
  <c r="T1966" i="11"/>
  <c r="T1967" i="11"/>
  <c r="T1968" i="11"/>
  <c r="T1969" i="11"/>
  <c r="T1970" i="11"/>
  <c r="T1971" i="11"/>
  <c r="T1972" i="11"/>
  <c r="T1973" i="11"/>
  <c r="T1974" i="11"/>
  <c r="T1975" i="11"/>
  <c r="T1976" i="11"/>
  <c r="T1977" i="11"/>
  <c r="T1978" i="11"/>
  <c r="T1979" i="11"/>
  <c r="T1980" i="11"/>
  <c r="T1981" i="11"/>
  <c r="T1982" i="11"/>
  <c r="T1983" i="11"/>
  <c r="T1984" i="11"/>
  <c r="T1985" i="11"/>
  <c r="T1986" i="11"/>
  <c r="T1987" i="11"/>
  <c r="T1988" i="11"/>
  <c r="T1989" i="11"/>
  <c r="T1990" i="11"/>
  <c r="T1991" i="11"/>
  <c r="T1992" i="11"/>
  <c r="T1993" i="11"/>
  <c r="T1994" i="11"/>
  <c r="T1995" i="11"/>
  <c r="T1996" i="11"/>
  <c r="T1997" i="11"/>
  <c r="T1998" i="11"/>
  <c r="T1999" i="11"/>
  <c r="T2000" i="11"/>
  <c r="T2001" i="11"/>
  <c r="T2002" i="11"/>
  <c r="T2003" i="11"/>
  <c r="T2004" i="11"/>
  <c r="T2005" i="11"/>
  <c r="T2006" i="11"/>
  <c r="T2007" i="11"/>
  <c r="T2008" i="11"/>
  <c r="T2009" i="11"/>
  <c r="T2010" i="11"/>
  <c r="T2011" i="11"/>
  <c r="T2012" i="11"/>
  <c r="T2013" i="11"/>
  <c r="T2014" i="11"/>
  <c r="T2015" i="11"/>
  <c r="T2016" i="11"/>
  <c r="T2017" i="11"/>
  <c r="T2018" i="11"/>
  <c r="T2019" i="11"/>
  <c r="T2020" i="11"/>
  <c r="T2021" i="11"/>
  <c r="T2022" i="11"/>
  <c r="T2023" i="11"/>
  <c r="T2024" i="11"/>
  <c r="T2025" i="11"/>
  <c r="T2026" i="11"/>
  <c r="T2027" i="11"/>
  <c r="T2028" i="11"/>
  <c r="T2029" i="11"/>
  <c r="T2030" i="11"/>
  <c r="T2031" i="11"/>
  <c r="T2032" i="11"/>
  <c r="T2033" i="11"/>
  <c r="T2034" i="11"/>
  <c r="T2035" i="11"/>
  <c r="T2036" i="11"/>
  <c r="T2037" i="11"/>
  <c r="T2038" i="11"/>
  <c r="T2039" i="11"/>
  <c r="T2040" i="11"/>
  <c r="T2041" i="11"/>
  <c r="T2042" i="11"/>
  <c r="T2043" i="11"/>
  <c r="T2044" i="11"/>
  <c r="T2045" i="11"/>
  <c r="T2046" i="11"/>
  <c r="T2047" i="11"/>
  <c r="T2048" i="11"/>
  <c r="T2049" i="11"/>
  <c r="T2050" i="11"/>
  <c r="T2051" i="11"/>
  <c r="T2052" i="11"/>
  <c r="T2053" i="11"/>
  <c r="T2054" i="11"/>
  <c r="T2055" i="11"/>
  <c r="T2056" i="11"/>
  <c r="T2057" i="11"/>
  <c r="T2058" i="11"/>
  <c r="T2059" i="11"/>
  <c r="T2060" i="11"/>
  <c r="T2061" i="11"/>
  <c r="T2062" i="11"/>
  <c r="T2063" i="11"/>
  <c r="T2064" i="11"/>
  <c r="T2065" i="11"/>
  <c r="T2066" i="11"/>
  <c r="T2067" i="11"/>
  <c r="T2068" i="11"/>
  <c r="T2069" i="11"/>
  <c r="T2070" i="11"/>
  <c r="T2071" i="11"/>
  <c r="T2072" i="11"/>
  <c r="T2073" i="11"/>
  <c r="T2074" i="11"/>
  <c r="T2075" i="11"/>
  <c r="T2076" i="11"/>
  <c r="T2077" i="11"/>
  <c r="T2078" i="11"/>
  <c r="T2079" i="11"/>
  <c r="T2080" i="11"/>
  <c r="T2081" i="11"/>
  <c r="T2082" i="11"/>
  <c r="T2083" i="11"/>
  <c r="T2084" i="11"/>
  <c r="T2085" i="11"/>
  <c r="T2086" i="11"/>
  <c r="T2087" i="11"/>
  <c r="T2088" i="11"/>
  <c r="T2089" i="11"/>
  <c r="T2090" i="11"/>
  <c r="T2091" i="11"/>
  <c r="T2092" i="11"/>
  <c r="T2093" i="11"/>
  <c r="T2094" i="11"/>
  <c r="T2095" i="11"/>
  <c r="T2096" i="11"/>
  <c r="T2097" i="11"/>
  <c r="T2098" i="11"/>
  <c r="T2099" i="11"/>
  <c r="T2100" i="11"/>
  <c r="T2101" i="11"/>
  <c r="T2102" i="11"/>
  <c r="T2103" i="11"/>
  <c r="T2104" i="11"/>
  <c r="T2105" i="11"/>
  <c r="T2106" i="11"/>
  <c r="T2107" i="11"/>
  <c r="T2108" i="11"/>
  <c r="T2109" i="11"/>
  <c r="T2110" i="11"/>
  <c r="T2111" i="11"/>
  <c r="T2112" i="11"/>
  <c r="T2113" i="11"/>
  <c r="T2114" i="11"/>
  <c r="T2115" i="11"/>
  <c r="T2116" i="11"/>
  <c r="T2117" i="11"/>
  <c r="T2118" i="11"/>
  <c r="T2119" i="11"/>
  <c r="T2120" i="11"/>
  <c r="T2121" i="11"/>
  <c r="T2122" i="11"/>
  <c r="T2123" i="11"/>
  <c r="T2124" i="11"/>
  <c r="T2125" i="11"/>
  <c r="T2126" i="11"/>
  <c r="T2127" i="11"/>
  <c r="T2128" i="11"/>
  <c r="T2129" i="11"/>
  <c r="T2130" i="11"/>
  <c r="T2131" i="11"/>
  <c r="T2132" i="11"/>
  <c r="T2133" i="11"/>
  <c r="T2134" i="11"/>
  <c r="T2135" i="11"/>
  <c r="T2136" i="11"/>
  <c r="T2137" i="11"/>
  <c r="T2138" i="11"/>
  <c r="T2139" i="11"/>
  <c r="T2140" i="11"/>
  <c r="T2141" i="11"/>
  <c r="T2142" i="11"/>
  <c r="T2143" i="11"/>
  <c r="T2144" i="11"/>
  <c r="T2145" i="11"/>
  <c r="T2146" i="11"/>
  <c r="T2147" i="11"/>
  <c r="T2148" i="11"/>
  <c r="T2149" i="11"/>
  <c r="T2150" i="11"/>
  <c r="T2151" i="11"/>
  <c r="T2152" i="11"/>
  <c r="T2153" i="11"/>
  <c r="T2154" i="11"/>
  <c r="T2155" i="11"/>
  <c r="T2156" i="11"/>
  <c r="T2157" i="11"/>
  <c r="T2158" i="11"/>
  <c r="T2159" i="11"/>
  <c r="T2160" i="11"/>
  <c r="T2161" i="11"/>
  <c r="T2162" i="11"/>
  <c r="T2163" i="11"/>
  <c r="T2164" i="11"/>
  <c r="T2165" i="11"/>
  <c r="T2166" i="11"/>
  <c r="T2167" i="11"/>
  <c r="T2168" i="11"/>
  <c r="T2169" i="11"/>
  <c r="T2170" i="11"/>
  <c r="T2171" i="11"/>
  <c r="T2172" i="11"/>
  <c r="T2173" i="11"/>
  <c r="T2174" i="11"/>
  <c r="T2175" i="11"/>
  <c r="T2176" i="11"/>
  <c r="T2177" i="11"/>
  <c r="T2178" i="11"/>
  <c r="T2179" i="11"/>
  <c r="T2180" i="11"/>
  <c r="T2181" i="11"/>
  <c r="T2182" i="11"/>
  <c r="T2183" i="11"/>
  <c r="T2184" i="11"/>
  <c r="T2185" i="11"/>
  <c r="T2186" i="11"/>
  <c r="T2187" i="11"/>
  <c r="T2188" i="11"/>
  <c r="T2189" i="11"/>
  <c r="T2190" i="11"/>
  <c r="T2191" i="11"/>
  <c r="T2192" i="11"/>
  <c r="T2193" i="11"/>
  <c r="T2194" i="11"/>
  <c r="T2195" i="11"/>
  <c r="T2196" i="11"/>
  <c r="T2197" i="11"/>
  <c r="T2198" i="11"/>
  <c r="T2199" i="11"/>
  <c r="T2200" i="11"/>
  <c r="T2201" i="11"/>
  <c r="T2202" i="11"/>
  <c r="T2203" i="11"/>
  <c r="T2204" i="11"/>
  <c r="T2205" i="11"/>
  <c r="T2206" i="11"/>
  <c r="T2207" i="11"/>
  <c r="T2208" i="11"/>
  <c r="T2209" i="11"/>
  <c r="T2210" i="11"/>
  <c r="T2211" i="11"/>
  <c r="T2212" i="11"/>
  <c r="T2213" i="11"/>
  <c r="T2214" i="11"/>
  <c r="T2215" i="11"/>
  <c r="T2216" i="11"/>
  <c r="T2217" i="11"/>
  <c r="T2218" i="11"/>
  <c r="T2219" i="11"/>
  <c r="T2220" i="11"/>
  <c r="T2221" i="11"/>
  <c r="T2222" i="11"/>
  <c r="T2223" i="11"/>
  <c r="T2224" i="11"/>
  <c r="T2225" i="11"/>
  <c r="T2226" i="11"/>
  <c r="T2227" i="11"/>
  <c r="T2228" i="11"/>
  <c r="T2229" i="11"/>
  <c r="T2230" i="11"/>
  <c r="T2231" i="11"/>
  <c r="T2232" i="11"/>
  <c r="T2233" i="11"/>
  <c r="T2234" i="11"/>
  <c r="T2235" i="11"/>
  <c r="T2236" i="11"/>
  <c r="T2237" i="11"/>
  <c r="T2238" i="11"/>
  <c r="T2239" i="11"/>
  <c r="T2240" i="11"/>
  <c r="T2241" i="11"/>
  <c r="T2242" i="11"/>
  <c r="T2243" i="11"/>
  <c r="T2244" i="11"/>
  <c r="T2245" i="11"/>
  <c r="T2246" i="11"/>
  <c r="T2247" i="11"/>
  <c r="T2248" i="11"/>
  <c r="T2249" i="11"/>
  <c r="T2250" i="11"/>
  <c r="T2251" i="11"/>
  <c r="T2252" i="11"/>
  <c r="T2253" i="11"/>
  <c r="T2254" i="11"/>
  <c r="T2255" i="11"/>
  <c r="T2256" i="11"/>
  <c r="T2257" i="11"/>
  <c r="T2258" i="11"/>
  <c r="T2259" i="11"/>
  <c r="T2260" i="11"/>
  <c r="T2261" i="11"/>
  <c r="T2262" i="11"/>
  <c r="T2263" i="11"/>
  <c r="T2264" i="11"/>
  <c r="T2265" i="11"/>
  <c r="T2266" i="11"/>
  <c r="T2267" i="11"/>
  <c r="T2268" i="11"/>
  <c r="T2269" i="11"/>
  <c r="T2270" i="11"/>
  <c r="T2271" i="11"/>
  <c r="T2272" i="11"/>
  <c r="T2273" i="11"/>
  <c r="T2274" i="11"/>
  <c r="T2275" i="11"/>
  <c r="T2276" i="11"/>
  <c r="T2277" i="11"/>
  <c r="T2278" i="11"/>
  <c r="T2279" i="11"/>
  <c r="T2280" i="11"/>
  <c r="T2281" i="11"/>
  <c r="T2282" i="11"/>
  <c r="T2283" i="11"/>
  <c r="T2284" i="11"/>
  <c r="T2285" i="11"/>
  <c r="T2286" i="11"/>
  <c r="T2287" i="11"/>
  <c r="T2288" i="11"/>
  <c r="T2289" i="11"/>
  <c r="T2290" i="11"/>
  <c r="T2291" i="11"/>
  <c r="T2292" i="11"/>
  <c r="T2293" i="11"/>
  <c r="T2294" i="11"/>
  <c r="T2295" i="11"/>
  <c r="T2296" i="11"/>
  <c r="T2297" i="11"/>
  <c r="T2298" i="11"/>
  <c r="T2299" i="11"/>
  <c r="T2300" i="11"/>
  <c r="T2301" i="11"/>
  <c r="T2302" i="11"/>
  <c r="T2303" i="11"/>
  <c r="T2304" i="11"/>
  <c r="T2305" i="11"/>
  <c r="T2306" i="11"/>
  <c r="T2307" i="11"/>
  <c r="T2308" i="11"/>
  <c r="T2309" i="11"/>
  <c r="T2310" i="11"/>
  <c r="T2311" i="11"/>
  <c r="T2312" i="11"/>
  <c r="T2313" i="11"/>
  <c r="T2314" i="11"/>
  <c r="T2315" i="11"/>
  <c r="T2316" i="11"/>
  <c r="T2317" i="11"/>
  <c r="T2318" i="11"/>
  <c r="T2319" i="11"/>
  <c r="T2320" i="11"/>
  <c r="T2321" i="11"/>
  <c r="T2322" i="11"/>
  <c r="T2323" i="11"/>
  <c r="T2324" i="11"/>
  <c r="T2325" i="11"/>
  <c r="T2326" i="11"/>
  <c r="T2327" i="11"/>
  <c r="T2328" i="11"/>
  <c r="T2329" i="11"/>
  <c r="T2330" i="11"/>
  <c r="T2331" i="11"/>
  <c r="T2332" i="11"/>
  <c r="T2333" i="11"/>
  <c r="T2334" i="11"/>
  <c r="T2335" i="11"/>
  <c r="T2336" i="11"/>
  <c r="T2337" i="11"/>
  <c r="T2338" i="11"/>
  <c r="T2339" i="11"/>
  <c r="T2340" i="11"/>
  <c r="T2341" i="11"/>
  <c r="T2342" i="11"/>
  <c r="T2343" i="11"/>
  <c r="T2344" i="11"/>
  <c r="T2345" i="11"/>
  <c r="T2346" i="11"/>
  <c r="T2347" i="11"/>
  <c r="T2348" i="11"/>
  <c r="T2349" i="11"/>
  <c r="T2350" i="11"/>
  <c r="T2351" i="11"/>
  <c r="T2352" i="11"/>
  <c r="T2353" i="11"/>
  <c r="T2354" i="11"/>
  <c r="T2355" i="11"/>
  <c r="T2356" i="11"/>
  <c r="T2357" i="11"/>
  <c r="T2358" i="11"/>
  <c r="T2359" i="11"/>
  <c r="T2360" i="11"/>
  <c r="T2361" i="11"/>
  <c r="T2362" i="11"/>
  <c r="T2363" i="11"/>
  <c r="T2364" i="11"/>
  <c r="T2365" i="11"/>
  <c r="T2366" i="11"/>
  <c r="T2367" i="11"/>
  <c r="T2368" i="11"/>
  <c r="T2369" i="11"/>
  <c r="T2370" i="11"/>
  <c r="T2371" i="11"/>
  <c r="T2372" i="11"/>
  <c r="T2373" i="11"/>
  <c r="T2374" i="11"/>
  <c r="T2375" i="11"/>
  <c r="T2376" i="11"/>
  <c r="T2377" i="11"/>
  <c r="T2378" i="11"/>
  <c r="T2379" i="11"/>
  <c r="T2380" i="11"/>
  <c r="T2381" i="11"/>
  <c r="T2382" i="11"/>
  <c r="T2383" i="11"/>
  <c r="T2384" i="11"/>
  <c r="T2385" i="11"/>
  <c r="T2386" i="11"/>
  <c r="T2387" i="11"/>
  <c r="T2388" i="11"/>
  <c r="T2389" i="11"/>
  <c r="T2390" i="11"/>
  <c r="T2391" i="11"/>
  <c r="T2392" i="11"/>
  <c r="T2393" i="11"/>
  <c r="T2394" i="11"/>
  <c r="T2395" i="11"/>
  <c r="T2396" i="11"/>
  <c r="T2397" i="11"/>
  <c r="T2398" i="11"/>
  <c r="T2399" i="11"/>
  <c r="T2400" i="11"/>
  <c r="T2401" i="11"/>
  <c r="T2402" i="11"/>
  <c r="T2403" i="11"/>
  <c r="T2404" i="11"/>
  <c r="T2405" i="11"/>
  <c r="T2406" i="11"/>
  <c r="T2407" i="11"/>
  <c r="T2408" i="11"/>
  <c r="T2409" i="11"/>
  <c r="T2410" i="11"/>
  <c r="T2411" i="11"/>
  <c r="T2412" i="11"/>
  <c r="T2413" i="11"/>
  <c r="T2414" i="11"/>
  <c r="T2415" i="11"/>
  <c r="T2416" i="11"/>
  <c r="T2417" i="11"/>
  <c r="T2418" i="11"/>
  <c r="T2419" i="11"/>
  <c r="T2420" i="11"/>
  <c r="T2421" i="11"/>
  <c r="T2422" i="11"/>
  <c r="T2423" i="11"/>
  <c r="T2424" i="11"/>
  <c r="T2425" i="11"/>
  <c r="T2426" i="11"/>
  <c r="T2427" i="11"/>
  <c r="T2428" i="11"/>
  <c r="T2429" i="11"/>
  <c r="T2430" i="11"/>
  <c r="T2431" i="11"/>
  <c r="T2432" i="11"/>
  <c r="T2433" i="11"/>
  <c r="T2434" i="11"/>
  <c r="T2435" i="11"/>
  <c r="T2436" i="11"/>
  <c r="T2437" i="11"/>
  <c r="T2438" i="11"/>
  <c r="T2439" i="11"/>
  <c r="T2440" i="11"/>
  <c r="T2441" i="11"/>
  <c r="T2442" i="11"/>
  <c r="T2443" i="11"/>
  <c r="T2444" i="11"/>
  <c r="T2445" i="11"/>
  <c r="T2446" i="11"/>
  <c r="T2447" i="11"/>
  <c r="T2448" i="11"/>
  <c r="T2449" i="11"/>
  <c r="T2450" i="11"/>
  <c r="T2451" i="11"/>
  <c r="T2452" i="11"/>
  <c r="T2453" i="11"/>
  <c r="T2454" i="11"/>
  <c r="T2455" i="11"/>
  <c r="T2456" i="11"/>
  <c r="T2457" i="11"/>
  <c r="T2458" i="11"/>
  <c r="T2459" i="11"/>
  <c r="T2460" i="11"/>
  <c r="T2461" i="11"/>
  <c r="T2462" i="11"/>
  <c r="T2463" i="11"/>
  <c r="T2464" i="11"/>
  <c r="T2465" i="11"/>
  <c r="T2466" i="11"/>
  <c r="T2467" i="11"/>
  <c r="T2468" i="11"/>
  <c r="T2469" i="11"/>
  <c r="T2470" i="11"/>
  <c r="T2471" i="11"/>
  <c r="T2472" i="11"/>
  <c r="T2473" i="11"/>
  <c r="T2474" i="11"/>
  <c r="T2475" i="11"/>
  <c r="T2476" i="11"/>
  <c r="T2477" i="11"/>
  <c r="T2478" i="11"/>
  <c r="T2479" i="11"/>
  <c r="T2480" i="11"/>
  <c r="T2481" i="11"/>
  <c r="T2482" i="11"/>
  <c r="T2483" i="11"/>
  <c r="T2484" i="11"/>
  <c r="T2485" i="11"/>
  <c r="T2486" i="11"/>
  <c r="T2487" i="11"/>
  <c r="T2488" i="11"/>
  <c r="T2489" i="11"/>
  <c r="T2490" i="11"/>
  <c r="T2491" i="11"/>
  <c r="T2492" i="11"/>
  <c r="T2493" i="11"/>
  <c r="T2494" i="11"/>
  <c r="T2495" i="11"/>
  <c r="T2496" i="11"/>
  <c r="T2497" i="11"/>
  <c r="T2498" i="11"/>
  <c r="T2499" i="11"/>
  <c r="T2500" i="11"/>
  <c r="T2501" i="11"/>
  <c r="T2502" i="11"/>
  <c r="T2503" i="11"/>
  <c r="T2504" i="11"/>
  <c r="T2505" i="11"/>
  <c r="T2506" i="11"/>
  <c r="T2507" i="11"/>
  <c r="T2508" i="11"/>
  <c r="T2509" i="11"/>
  <c r="T2510" i="11"/>
  <c r="T2511" i="11"/>
  <c r="T2512" i="11"/>
  <c r="T2513" i="11"/>
  <c r="T2514" i="11"/>
  <c r="T2515" i="11"/>
  <c r="T2516" i="11"/>
  <c r="T2517" i="11"/>
  <c r="T2518" i="11"/>
  <c r="T2519" i="11"/>
  <c r="T2520" i="11"/>
  <c r="T2521" i="11"/>
  <c r="T2522" i="11"/>
  <c r="T2523" i="11"/>
  <c r="T2524" i="11"/>
  <c r="T2525" i="11"/>
  <c r="T2526" i="11"/>
  <c r="T2527" i="11"/>
  <c r="T2528" i="11"/>
  <c r="T2529" i="11"/>
  <c r="T2530" i="11"/>
  <c r="T2531" i="11"/>
  <c r="T2532" i="11"/>
  <c r="T2533" i="11"/>
  <c r="T2534" i="11"/>
  <c r="T2535" i="11"/>
  <c r="T2536" i="11"/>
  <c r="T2537" i="11"/>
  <c r="T2538" i="11"/>
  <c r="T2539" i="11"/>
  <c r="T2540" i="11"/>
  <c r="T2541" i="11"/>
  <c r="T2542" i="11"/>
  <c r="T2543" i="11"/>
  <c r="T2544" i="11"/>
  <c r="T2545" i="11"/>
  <c r="T2546" i="11"/>
  <c r="T2547" i="11"/>
  <c r="T2548" i="11"/>
  <c r="T2549" i="11"/>
  <c r="T2550" i="11"/>
  <c r="T2551" i="11"/>
  <c r="T2552" i="11"/>
  <c r="T2553" i="11"/>
  <c r="T2554" i="11"/>
  <c r="T2555" i="11"/>
  <c r="T2556" i="11"/>
  <c r="T2557" i="11"/>
  <c r="T2558" i="11"/>
  <c r="T2559" i="11"/>
  <c r="T2560" i="11"/>
  <c r="T2561" i="11"/>
  <c r="T2562" i="11"/>
  <c r="T2563" i="11"/>
  <c r="T2564" i="11"/>
  <c r="T2565" i="11"/>
  <c r="T2566" i="11"/>
  <c r="T2567" i="11"/>
  <c r="T2568" i="11"/>
  <c r="T2569" i="11"/>
  <c r="T2570" i="11"/>
  <c r="T2571" i="11"/>
  <c r="T2572" i="11"/>
  <c r="T2573" i="11"/>
  <c r="T2574" i="11"/>
  <c r="T2575" i="11"/>
  <c r="T2576" i="11"/>
  <c r="T2577" i="11"/>
  <c r="T2578" i="11"/>
  <c r="T2579" i="11"/>
  <c r="T2580" i="11"/>
  <c r="T2581" i="11"/>
  <c r="T2582" i="11"/>
  <c r="T2583" i="11"/>
  <c r="T2584" i="11"/>
  <c r="T2585" i="11"/>
  <c r="T2586" i="11"/>
  <c r="T2587" i="11"/>
  <c r="T2588" i="11"/>
  <c r="T2589" i="11"/>
  <c r="T2590" i="11"/>
  <c r="T2591" i="11"/>
  <c r="T2592" i="11"/>
  <c r="T2593" i="11"/>
  <c r="T2594" i="11"/>
  <c r="T2595" i="11"/>
  <c r="T2596" i="11"/>
  <c r="T2597" i="11"/>
  <c r="T2598" i="11"/>
  <c r="T2599" i="11"/>
  <c r="T2600" i="11"/>
  <c r="T2601" i="11"/>
  <c r="T2602" i="11"/>
  <c r="T2603" i="11"/>
  <c r="T2604" i="11"/>
  <c r="T2605" i="11"/>
  <c r="T2606" i="11"/>
  <c r="T2607" i="11"/>
  <c r="T2608" i="11"/>
  <c r="T2609" i="11"/>
  <c r="T2610" i="11"/>
  <c r="T2611" i="11"/>
  <c r="T2612" i="11"/>
  <c r="T2613" i="11"/>
  <c r="T2614" i="11"/>
  <c r="T2615" i="11"/>
  <c r="T2616" i="11"/>
  <c r="T2617" i="11"/>
  <c r="T2618" i="11"/>
  <c r="T2619" i="11"/>
  <c r="T2620" i="11"/>
  <c r="T2621" i="11"/>
  <c r="T2622" i="11"/>
  <c r="T2623" i="11"/>
  <c r="T2624" i="11"/>
  <c r="T2625" i="11"/>
  <c r="T2626" i="11"/>
  <c r="T2627" i="11"/>
  <c r="T2628" i="11"/>
  <c r="T2629" i="11"/>
  <c r="T2630" i="11"/>
  <c r="T2631" i="11"/>
  <c r="T2632" i="11"/>
  <c r="T2633" i="11"/>
  <c r="T2634" i="11"/>
  <c r="T2635" i="11"/>
  <c r="T2636" i="11"/>
  <c r="T2637" i="11"/>
  <c r="T2638" i="11"/>
  <c r="T2639" i="11"/>
  <c r="T2640" i="11"/>
  <c r="T2641" i="11"/>
  <c r="T2642" i="11"/>
  <c r="T2643" i="11"/>
  <c r="T2644" i="11"/>
  <c r="T2645" i="11"/>
  <c r="T2646" i="11"/>
  <c r="T2647" i="11"/>
  <c r="T2648" i="11"/>
  <c r="T2649" i="11"/>
  <c r="T2650" i="11"/>
  <c r="T2651" i="11"/>
  <c r="T2652" i="11"/>
  <c r="T2653" i="11"/>
  <c r="T2654" i="11"/>
  <c r="T2655" i="11"/>
  <c r="T2656" i="11"/>
  <c r="T2657" i="11"/>
  <c r="T2658" i="11"/>
  <c r="T2659" i="11"/>
  <c r="T2660" i="11"/>
  <c r="T2661" i="11"/>
  <c r="T2662" i="11"/>
  <c r="T2663" i="11"/>
  <c r="T2664" i="11"/>
  <c r="T2665" i="11"/>
  <c r="T2666" i="11"/>
  <c r="T2667" i="11"/>
  <c r="T2668" i="11"/>
  <c r="T2669" i="11"/>
  <c r="T2670" i="11"/>
  <c r="T2671" i="11"/>
  <c r="T2672" i="11"/>
  <c r="T2673" i="11"/>
  <c r="T2674" i="11"/>
  <c r="T2675" i="11"/>
  <c r="T2676" i="11"/>
  <c r="T2677" i="11"/>
  <c r="T2678" i="11"/>
  <c r="T2679" i="11"/>
  <c r="T2680" i="11"/>
  <c r="T2681" i="11"/>
  <c r="T2682" i="11"/>
  <c r="T2683" i="11"/>
  <c r="T2684" i="11"/>
  <c r="T2685" i="11"/>
  <c r="T2686" i="11"/>
  <c r="T2687" i="11"/>
  <c r="T2688" i="11"/>
  <c r="T2689" i="11"/>
  <c r="T2690" i="11"/>
  <c r="T2691" i="11"/>
  <c r="T2692" i="11"/>
  <c r="T2693" i="11"/>
  <c r="T2694" i="11"/>
  <c r="T2695" i="11"/>
  <c r="T2696" i="11"/>
  <c r="T2697" i="11"/>
  <c r="T2698" i="11"/>
  <c r="T2699" i="11"/>
  <c r="T2700" i="11"/>
  <c r="T2701" i="11"/>
  <c r="T2702" i="11"/>
  <c r="T2703" i="11"/>
  <c r="T2704" i="11"/>
  <c r="T2705" i="11"/>
  <c r="T2706" i="11"/>
  <c r="T2707" i="11"/>
  <c r="T2708" i="11"/>
  <c r="T2709" i="11"/>
  <c r="T2710" i="11"/>
  <c r="T2711" i="11"/>
  <c r="T2712" i="11"/>
  <c r="T2713" i="11"/>
  <c r="T2714" i="11"/>
  <c r="T2715" i="11"/>
  <c r="T2716" i="11"/>
  <c r="T2717" i="11"/>
  <c r="T2718" i="11"/>
  <c r="T2719" i="11"/>
  <c r="T2720" i="11"/>
  <c r="T2721" i="11"/>
  <c r="T2722" i="11"/>
  <c r="T2723" i="11"/>
  <c r="T2724" i="11"/>
  <c r="T2725" i="11"/>
  <c r="T2726" i="11"/>
  <c r="T2727" i="11"/>
  <c r="T2728" i="11"/>
  <c r="T2729" i="11"/>
  <c r="T2730" i="11"/>
  <c r="T2731" i="11"/>
  <c r="T2732" i="11"/>
  <c r="T2733" i="11"/>
  <c r="T2734" i="11"/>
  <c r="T2735" i="11"/>
  <c r="T2736" i="11"/>
  <c r="T2737" i="11"/>
  <c r="T2738" i="11"/>
  <c r="T2739" i="11"/>
  <c r="T2740" i="11"/>
  <c r="T2741" i="11"/>
  <c r="T2742" i="11"/>
  <c r="T2743" i="11"/>
  <c r="T2744" i="11"/>
  <c r="T2745" i="11"/>
  <c r="T2746" i="11"/>
  <c r="T2747" i="11"/>
  <c r="T2748" i="11"/>
  <c r="T2749" i="11"/>
  <c r="T2750" i="11"/>
  <c r="T2751" i="11"/>
  <c r="T2752" i="11"/>
  <c r="T2753" i="11"/>
  <c r="T2754" i="11"/>
  <c r="T2755" i="11"/>
  <c r="T2756" i="11"/>
  <c r="T2757" i="11"/>
  <c r="T2758" i="11"/>
  <c r="T2759" i="11"/>
  <c r="T2760" i="11"/>
  <c r="T2761" i="11"/>
  <c r="T2762" i="11"/>
  <c r="T2763" i="11"/>
  <c r="T2764" i="11"/>
  <c r="T2765" i="11"/>
  <c r="T2766" i="11"/>
  <c r="T2767" i="11"/>
  <c r="T2768" i="11"/>
  <c r="T2769" i="11"/>
  <c r="T2770" i="11"/>
  <c r="T2771" i="11"/>
  <c r="T2772" i="11"/>
  <c r="T2773" i="11"/>
  <c r="T2774" i="11"/>
  <c r="T2775" i="11"/>
  <c r="T2776" i="11"/>
  <c r="T2777" i="11"/>
  <c r="T2778" i="11"/>
  <c r="T2779" i="11"/>
  <c r="T2780" i="11"/>
  <c r="T2781" i="11"/>
  <c r="T2782" i="11"/>
  <c r="T2783" i="11"/>
  <c r="T2784" i="11"/>
  <c r="T2785" i="11"/>
  <c r="T2786" i="11"/>
  <c r="T2787" i="11"/>
  <c r="T2788" i="11"/>
  <c r="T2789" i="11"/>
  <c r="T2790" i="11"/>
  <c r="T2791" i="11"/>
  <c r="T2792" i="11"/>
  <c r="T2793" i="11"/>
  <c r="T2794" i="11"/>
  <c r="T2795" i="11"/>
  <c r="T2796" i="11"/>
  <c r="T2797" i="11"/>
  <c r="T2798" i="11"/>
  <c r="T2799" i="11"/>
  <c r="T2800" i="11"/>
  <c r="T2801" i="11"/>
  <c r="T2802" i="11"/>
  <c r="T2803" i="11"/>
  <c r="T2804" i="11"/>
  <c r="T2805" i="11"/>
  <c r="T2806" i="11"/>
  <c r="T2807" i="11"/>
  <c r="T2808" i="11"/>
  <c r="T2809" i="11"/>
  <c r="T2810" i="11"/>
  <c r="T2811" i="11"/>
  <c r="T2812" i="11"/>
  <c r="T2813" i="11"/>
  <c r="T2814" i="11"/>
  <c r="T2815" i="11"/>
  <c r="T2816" i="11"/>
  <c r="T2817" i="11"/>
  <c r="T2818" i="11"/>
  <c r="T2819" i="11"/>
  <c r="T2820" i="11"/>
  <c r="T2821" i="11"/>
  <c r="T2822" i="11"/>
  <c r="T2823" i="11"/>
  <c r="T2824" i="11"/>
  <c r="T2825" i="11"/>
  <c r="T2826" i="11"/>
  <c r="T2827" i="11"/>
  <c r="T2828" i="11"/>
  <c r="T2829" i="11"/>
  <c r="T2830" i="11"/>
  <c r="T2831" i="11"/>
  <c r="T2832" i="11"/>
  <c r="T2833" i="11"/>
  <c r="T2834" i="11"/>
  <c r="T2835" i="11"/>
  <c r="T2836" i="11"/>
  <c r="T2837" i="11"/>
  <c r="T2838" i="11"/>
  <c r="T2839" i="11"/>
  <c r="T2840" i="11"/>
  <c r="T2841" i="11"/>
  <c r="T2842" i="11"/>
  <c r="T2843" i="11"/>
  <c r="T2844" i="11"/>
  <c r="T2845" i="11"/>
  <c r="T2846" i="11"/>
  <c r="T2847" i="11"/>
  <c r="T2848" i="11"/>
  <c r="T2849" i="11"/>
  <c r="T2850" i="11"/>
  <c r="T2851" i="11"/>
  <c r="T2852" i="11"/>
  <c r="T2853" i="11"/>
  <c r="T2854" i="11"/>
  <c r="T2855" i="11"/>
  <c r="T2856" i="11"/>
  <c r="T2857" i="11"/>
  <c r="T2858" i="11"/>
  <c r="T2859" i="11"/>
  <c r="T2860" i="11"/>
  <c r="T2861" i="11"/>
  <c r="T2862" i="11"/>
  <c r="T2863" i="11"/>
  <c r="T2864" i="11"/>
  <c r="T2865" i="11"/>
  <c r="T2866" i="11"/>
  <c r="T2867" i="11"/>
  <c r="T2868" i="11"/>
  <c r="T2869" i="11"/>
  <c r="T2870" i="11"/>
  <c r="T2871" i="11"/>
  <c r="T2872" i="11"/>
  <c r="T2873" i="11"/>
  <c r="T2874" i="11"/>
  <c r="T2875" i="11"/>
  <c r="T2876" i="11"/>
  <c r="T2877" i="11"/>
  <c r="T2878" i="11"/>
  <c r="T2879" i="11"/>
  <c r="T2880" i="11"/>
  <c r="T2881" i="11"/>
  <c r="T2882" i="11"/>
  <c r="T2883" i="11"/>
  <c r="T2884" i="11"/>
  <c r="T2885" i="11"/>
  <c r="T2886" i="11"/>
  <c r="T2887" i="11"/>
  <c r="T2888" i="11"/>
  <c r="T2889" i="11"/>
  <c r="T2890" i="11"/>
  <c r="T2891" i="11"/>
  <c r="T2892" i="11"/>
  <c r="T2893" i="11"/>
  <c r="T2894" i="11"/>
  <c r="T2895" i="11"/>
  <c r="T2896" i="11"/>
  <c r="T2897" i="11"/>
  <c r="T2898" i="11"/>
  <c r="T2899" i="11"/>
  <c r="T2900" i="11"/>
  <c r="T2901" i="11"/>
  <c r="T2902" i="11"/>
  <c r="T2903" i="11"/>
  <c r="T2904" i="11"/>
  <c r="T2905" i="11"/>
  <c r="T2906" i="11"/>
  <c r="T2907" i="11"/>
  <c r="T2908" i="11"/>
  <c r="T2909" i="11"/>
  <c r="T2910" i="11"/>
  <c r="T2911" i="11"/>
  <c r="T2912" i="11"/>
  <c r="T2913" i="11"/>
  <c r="T2914" i="11"/>
  <c r="T2915" i="11"/>
  <c r="T2916" i="11"/>
  <c r="T2917" i="11"/>
  <c r="T2918" i="11"/>
  <c r="T2919" i="11"/>
  <c r="T2920" i="11"/>
  <c r="T2921" i="11"/>
  <c r="T2922" i="11"/>
  <c r="T2923" i="11"/>
  <c r="T2924" i="11"/>
  <c r="T2925" i="11"/>
  <c r="T2926" i="11"/>
  <c r="T2927" i="11"/>
  <c r="T2928" i="11"/>
  <c r="T2929" i="11"/>
  <c r="T2930" i="11"/>
  <c r="T2931" i="11"/>
  <c r="T2932" i="11"/>
  <c r="T2933" i="11"/>
  <c r="T2934" i="11"/>
  <c r="T2935" i="11"/>
  <c r="T2936" i="11"/>
  <c r="T2937" i="11"/>
  <c r="T2938" i="11"/>
  <c r="T2939" i="11"/>
  <c r="T2940" i="11"/>
  <c r="T2941" i="11"/>
  <c r="T2942" i="11"/>
  <c r="T2943" i="11"/>
  <c r="T2944" i="11"/>
  <c r="T2945" i="11"/>
  <c r="T2946" i="11"/>
  <c r="T2947" i="11"/>
  <c r="T2948" i="11"/>
  <c r="T2949" i="11"/>
  <c r="T2950" i="11"/>
  <c r="T2951" i="11"/>
  <c r="T2952" i="11"/>
  <c r="T2953" i="11"/>
  <c r="T2954" i="11"/>
  <c r="T2955" i="11"/>
  <c r="T2956" i="11"/>
  <c r="T2957" i="11"/>
  <c r="T2958" i="11"/>
  <c r="T2959" i="11"/>
  <c r="T2960" i="11"/>
  <c r="T2961" i="11"/>
  <c r="T2962" i="11"/>
  <c r="T2963" i="11"/>
  <c r="T2964" i="11"/>
  <c r="T2965" i="11"/>
  <c r="T2966" i="11"/>
  <c r="T2967" i="11"/>
  <c r="T2968" i="11"/>
  <c r="T2969" i="11"/>
  <c r="T2970" i="11"/>
  <c r="T2971" i="11"/>
  <c r="T2972" i="11"/>
  <c r="T2973" i="11"/>
  <c r="T2974" i="11"/>
  <c r="T2975" i="11"/>
  <c r="T2976" i="11"/>
  <c r="T2977" i="11"/>
  <c r="T2978" i="11"/>
  <c r="T2979" i="11"/>
  <c r="T2980" i="11"/>
  <c r="T2981" i="11"/>
  <c r="T2982" i="11"/>
  <c r="T2983" i="11"/>
  <c r="T2984" i="11"/>
  <c r="T2985" i="11"/>
  <c r="T2986" i="11"/>
  <c r="T2987" i="11"/>
  <c r="T2988" i="11"/>
  <c r="T2989" i="11"/>
  <c r="T2990" i="11"/>
  <c r="T2991" i="11"/>
  <c r="T2992" i="11"/>
  <c r="T2993" i="11"/>
  <c r="T2994" i="11"/>
  <c r="T2995" i="11"/>
  <c r="T2996" i="11"/>
  <c r="T2997" i="11"/>
  <c r="T2998" i="11"/>
  <c r="T2999" i="11"/>
  <c r="T3000" i="11"/>
  <c r="T3001" i="11"/>
  <c r="T3002" i="11"/>
  <c r="T3003" i="11"/>
  <c r="T3004" i="11"/>
  <c r="T3005" i="11"/>
  <c r="T3006" i="11"/>
  <c r="T3007" i="11"/>
  <c r="T3008" i="11"/>
  <c r="T3009" i="11"/>
  <c r="T3010" i="11"/>
  <c r="T3011" i="11"/>
  <c r="T3012" i="11"/>
  <c r="T3013" i="11"/>
  <c r="T3014" i="11"/>
  <c r="T3015" i="11"/>
  <c r="T3016" i="11"/>
  <c r="T3017" i="11"/>
  <c r="T3018" i="11"/>
  <c r="T3019" i="11"/>
  <c r="T3020" i="11"/>
  <c r="T3021" i="11"/>
  <c r="T3022" i="11"/>
  <c r="T3023" i="11"/>
  <c r="T3024" i="11"/>
  <c r="T3025" i="11"/>
  <c r="T3026" i="11"/>
  <c r="T3027" i="11"/>
  <c r="T3028" i="11"/>
  <c r="T3029" i="11"/>
  <c r="T3030" i="11"/>
  <c r="T3031" i="11"/>
  <c r="T3032" i="11"/>
  <c r="T3033" i="11"/>
  <c r="T3034" i="11"/>
  <c r="T3035" i="11"/>
  <c r="T3036" i="11"/>
  <c r="T3037" i="11"/>
  <c r="T3038" i="11"/>
  <c r="T3039" i="11"/>
  <c r="T3040" i="11"/>
  <c r="T3041" i="11"/>
  <c r="T3042" i="11"/>
  <c r="T3043" i="11"/>
  <c r="T3044" i="11"/>
  <c r="T3045" i="11"/>
  <c r="T3046" i="11"/>
  <c r="T3047" i="11"/>
  <c r="T3048" i="11"/>
  <c r="T3049" i="11"/>
  <c r="T3050" i="11"/>
  <c r="T3051" i="11"/>
  <c r="T3052" i="11"/>
  <c r="T3053" i="11"/>
  <c r="T3054" i="11"/>
  <c r="T3055" i="11"/>
  <c r="T3056" i="11"/>
  <c r="T3057" i="11"/>
  <c r="T3058" i="11"/>
  <c r="T3059" i="11"/>
  <c r="T3060" i="11"/>
  <c r="T3061" i="11"/>
  <c r="T3062" i="11"/>
  <c r="T3063" i="11"/>
  <c r="T3064" i="11"/>
  <c r="T3065" i="11"/>
  <c r="T3066" i="11"/>
  <c r="T3067" i="11"/>
  <c r="T3068" i="11"/>
  <c r="T3069" i="11"/>
  <c r="T3070" i="11"/>
  <c r="T3071" i="11"/>
  <c r="T3072" i="11"/>
  <c r="T3073" i="11"/>
  <c r="T3074" i="11"/>
  <c r="T3075" i="11"/>
  <c r="T3076" i="11"/>
  <c r="T3077" i="11"/>
  <c r="T3078" i="11"/>
  <c r="T3079" i="11"/>
  <c r="T3080" i="11"/>
  <c r="T3081" i="11"/>
  <c r="T3082" i="11"/>
  <c r="T3083" i="11"/>
  <c r="T3084" i="11"/>
  <c r="T3085" i="11"/>
  <c r="T3086" i="11"/>
  <c r="T3087" i="11"/>
  <c r="T3088" i="11"/>
  <c r="T3089" i="11"/>
  <c r="T3090" i="11"/>
  <c r="T3091" i="11"/>
  <c r="T3092" i="11"/>
  <c r="T3093" i="11"/>
  <c r="T3094" i="11"/>
  <c r="T3095" i="11"/>
  <c r="T3096" i="11"/>
  <c r="T3097" i="11"/>
  <c r="T3098" i="11"/>
  <c r="T3099" i="11"/>
  <c r="T3100" i="11"/>
  <c r="T3101" i="11"/>
  <c r="T3102" i="11"/>
  <c r="T3103" i="11"/>
  <c r="T3104" i="11"/>
  <c r="T3105" i="11"/>
  <c r="T3106" i="11"/>
  <c r="T3107" i="11"/>
  <c r="T3108" i="11"/>
  <c r="T3109" i="11"/>
  <c r="T3110" i="11"/>
  <c r="T3111" i="11"/>
  <c r="T3112" i="11"/>
  <c r="T3113" i="11"/>
  <c r="T3114" i="11"/>
  <c r="T3115" i="11"/>
  <c r="T3116" i="11"/>
  <c r="T3117" i="11"/>
  <c r="T3118" i="11"/>
  <c r="T3119" i="11"/>
  <c r="T3120" i="11"/>
  <c r="T3121" i="11"/>
  <c r="T3122" i="11"/>
  <c r="T3123" i="11"/>
  <c r="T3124" i="11"/>
  <c r="T3125" i="11"/>
  <c r="T3126" i="11"/>
  <c r="T3127" i="11"/>
  <c r="T3128" i="11"/>
  <c r="T3129" i="11"/>
  <c r="T3130" i="11"/>
  <c r="T3131" i="11"/>
  <c r="T3132" i="11"/>
  <c r="T3133" i="11"/>
  <c r="T3134" i="11"/>
  <c r="T3135" i="11"/>
  <c r="T3136" i="11"/>
  <c r="T3137" i="11"/>
  <c r="T3138" i="11"/>
  <c r="T3139" i="11"/>
  <c r="T3140" i="11"/>
  <c r="T3141" i="11"/>
  <c r="T3142" i="11"/>
  <c r="T3143" i="11"/>
  <c r="T3144" i="11"/>
  <c r="T3145" i="11"/>
  <c r="T3146" i="11"/>
  <c r="T3147" i="11"/>
  <c r="T3148" i="11"/>
  <c r="T3149" i="11"/>
  <c r="T3150" i="11"/>
  <c r="T3151" i="11"/>
  <c r="T3152" i="11"/>
  <c r="T3153" i="11"/>
  <c r="T3154" i="11"/>
  <c r="T3155" i="11"/>
  <c r="T3156" i="11"/>
  <c r="T3157" i="11"/>
  <c r="T3158" i="11"/>
  <c r="T3159" i="11"/>
  <c r="T3160" i="11"/>
  <c r="T3161" i="11"/>
  <c r="T3162" i="11"/>
  <c r="T3163" i="11"/>
  <c r="T3164" i="11"/>
  <c r="T3165" i="11"/>
  <c r="T3166" i="11"/>
  <c r="T3167" i="11"/>
  <c r="T3168" i="11"/>
  <c r="T3169" i="11"/>
  <c r="T3170" i="11"/>
  <c r="T3171" i="11"/>
  <c r="T3172" i="11"/>
  <c r="T3173" i="11"/>
  <c r="T3174" i="11"/>
  <c r="T3175" i="11"/>
  <c r="T3176" i="11"/>
  <c r="T3177" i="11"/>
  <c r="T3178" i="11"/>
  <c r="T3179" i="11"/>
  <c r="T3180" i="11"/>
  <c r="T3181" i="11"/>
  <c r="T3182" i="11"/>
  <c r="T3183" i="11"/>
  <c r="T3184" i="11"/>
  <c r="T3185" i="11"/>
  <c r="T3186" i="11"/>
  <c r="T3187" i="11"/>
  <c r="T3188" i="11"/>
  <c r="T3189" i="11"/>
  <c r="T3190" i="11"/>
  <c r="T3191" i="11"/>
  <c r="T3192" i="11"/>
  <c r="T3193" i="11"/>
  <c r="T3194" i="11"/>
  <c r="T3195" i="11"/>
  <c r="T3196" i="11"/>
  <c r="T3197" i="11"/>
  <c r="T3198" i="11"/>
  <c r="T3199" i="11"/>
  <c r="T3200" i="11"/>
  <c r="T3201" i="11"/>
  <c r="T3202" i="11"/>
  <c r="T3203" i="11"/>
  <c r="T3204" i="11"/>
  <c r="T3205" i="11"/>
  <c r="T3206" i="11"/>
  <c r="T3207" i="11"/>
  <c r="T3208" i="11"/>
  <c r="T3209" i="11"/>
  <c r="T3210" i="11"/>
  <c r="T3211" i="11"/>
  <c r="T3212" i="11"/>
  <c r="T3213" i="11"/>
  <c r="T3214" i="11"/>
  <c r="T3215" i="11"/>
  <c r="T3216" i="11"/>
  <c r="T3217" i="11"/>
  <c r="T3218" i="11"/>
  <c r="T3219" i="11"/>
  <c r="T3220" i="11"/>
  <c r="T3221" i="11"/>
  <c r="T3222" i="11"/>
  <c r="T3223" i="11"/>
  <c r="T3224" i="11"/>
  <c r="T3225" i="11"/>
  <c r="T3226" i="11"/>
  <c r="T3227" i="11"/>
  <c r="T3228" i="11"/>
  <c r="T3229" i="11"/>
  <c r="T3230" i="11"/>
  <c r="T3231" i="11"/>
  <c r="T3232" i="11"/>
  <c r="T3233" i="11"/>
  <c r="T3234" i="11"/>
  <c r="T3235" i="11"/>
  <c r="T3236" i="11"/>
  <c r="T3237" i="11"/>
  <c r="T3238" i="11"/>
  <c r="T3239" i="11"/>
  <c r="T3240" i="11"/>
  <c r="T3241" i="11"/>
  <c r="T3242" i="11"/>
  <c r="T3243" i="11"/>
  <c r="T3244" i="11"/>
  <c r="T3245" i="11"/>
  <c r="T3246" i="11"/>
  <c r="T3247" i="11"/>
  <c r="T3248" i="11"/>
  <c r="T3249" i="11"/>
  <c r="T3250" i="11"/>
  <c r="T3251" i="11"/>
  <c r="T3252" i="11"/>
  <c r="T3253" i="11"/>
  <c r="T3254" i="11"/>
  <c r="T3255" i="11"/>
  <c r="T3256" i="11"/>
  <c r="T3257" i="11"/>
  <c r="T3258" i="11"/>
  <c r="T3259" i="11"/>
  <c r="T3260" i="11"/>
  <c r="T3261" i="11"/>
  <c r="T3262" i="11"/>
  <c r="T3263" i="11"/>
  <c r="T3264" i="11"/>
  <c r="T3265" i="11"/>
  <c r="T3266" i="11"/>
  <c r="T3267" i="11"/>
  <c r="T3268" i="11"/>
  <c r="T3269" i="11"/>
  <c r="T3270" i="11"/>
  <c r="T3271" i="11"/>
  <c r="T3272" i="11"/>
  <c r="T3273" i="11"/>
  <c r="T3274" i="11"/>
  <c r="T3275" i="11"/>
  <c r="T3276" i="11"/>
  <c r="T3277" i="11"/>
  <c r="T3278" i="11"/>
  <c r="T3279" i="11"/>
  <c r="T3280" i="11"/>
  <c r="T3281" i="11"/>
  <c r="T3282" i="11"/>
  <c r="T3283" i="11"/>
  <c r="T3284" i="11"/>
  <c r="T3285" i="11"/>
  <c r="T3286" i="11"/>
  <c r="T3287" i="11"/>
  <c r="T3288" i="11"/>
  <c r="T3289" i="11"/>
  <c r="T3290" i="11"/>
  <c r="T3291" i="11"/>
  <c r="T3292" i="11"/>
  <c r="T3293" i="11"/>
  <c r="T3294" i="11"/>
  <c r="T3295" i="11"/>
  <c r="T3296" i="11"/>
  <c r="T3297" i="11"/>
  <c r="T3298" i="11"/>
  <c r="T3299" i="11"/>
  <c r="T3300" i="11"/>
  <c r="T3301" i="11"/>
  <c r="T3302" i="11"/>
  <c r="T3303" i="11"/>
  <c r="T3304" i="11"/>
  <c r="T3305" i="11"/>
  <c r="T3306" i="11"/>
  <c r="T3307" i="11"/>
  <c r="T3308" i="11"/>
  <c r="T3309" i="11"/>
  <c r="T3310" i="11"/>
  <c r="T3311" i="11"/>
  <c r="T3312" i="11"/>
  <c r="T3313" i="11"/>
  <c r="T3314" i="11"/>
  <c r="T3315" i="11"/>
  <c r="T3316" i="11"/>
  <c r="T3317" i="11"/>
  <c r="T3318" i="11"/>
  <c r="T3319" i="11"/>
  <c r="T3320" i="11"/>
  <c r="T3321" i="11"/>
  <c r="T3322" i="11"/>
  <c r="T3323" i="11"/>
  <c r="T3324" i="11"/>
  <c r="T3325" i="11"/>
  <c r="T3326" i="11"/>
  <c r="T3327" i="11"/>
  <c r="T3328" i="11"/>
  <c r="T3329" i="11"/>
  <c r="T3330" i="11"/>
  <c r="T3331" i="11"/>
  <c r="T3332" i="11"/>
  <c r="T3333" i="11"/>
  <c r="T3334" i="11"/>
  <c r="T3335" i="11"/>
  <c r="T3336" i="11"/>
  <c r="T3337" i="11"/>
  <c r="T3338" i="11"/>
  <c r="T3339" i="11"/>
  <c r="T3340" i="11"/>
  <c r="T3341" i="11"/>
  <c r="T3342" i="11"/>
  <c r="T3343" i="11"/>
  <c r="T3344" i="11"/>
  <c r="T3345" i="11"/>
  <c r="T3346" i="11"/>
  <c r="T3347" i="11"/>
  <c r="T3348" i="11"/>
  <c r="T3349" i="11"/>
  <c r="T3350" i="11"/>
  <c r="T3351" i="11"/>
  <c r="T3352" i="11"/>
  <c r="T3353" i="11"/>
  <c r="T3354" i="11"/>
  <c r="T3355" i="11"/>
  <c r="T3356" i="11"/>
  <c r="T3357" i="11"/>
  <c r="T3358" i="11"/>
  <c r="T3359" i="11"/>
  <c r="T3360" i="11"/>
  <c r="T3361" i="11"/>
  <c r="T3362" i="11"/>
  <c r="T3363" i="11"/>
  <c r="T3364" i="11"/>
  <c r="T3365" i="11"/>
  <c r="T3366" i="11"/>
  <c r="T3367" i="11"/>
  <c r="T3368" i="11"/>
  <c r="T3369" i="11"/>
  <c r="T3370" i="11"/>
  <c r="T3371" i="11"/>
  <c r="T3372" i="11"/>
  <c r="T3373" i="11"/>
  <c r="T3374" i="11"/>
  <c r="T3375" i="11"/>
  <c r="T3376" i="11"/>
  <c r="T3377" i="11"/>
  <c r="T3378" i="11"/>
  <c r="T3379" i="11"/>
  <c r="T3380" i="11"/>
  <c r="T3381" i="11"/>
  <c r="T3382" i="11"/>
  <c r="T3383" i="11"/>
  <c r="T3384" i="11"/>
  <c r="T3385" i="11"/>
  <c r="T3386" i="11"/>
  <c r="T3387" i="11"/>
  <c r="T3388" i="11"/>
  <c r="T3389" i="11"/>
  <c r="T3390" i="11"/>
  <c r="T3391" i="11"/>
  <c r="T3392" i="11"/>
  <c r="T3393" i="11"/>
  <c r="T3394" i="11"/>
  <c r="T3395" i="11"/>
  <c r="T3396" i="11"/>
  <c r="T3397" i="11"/>
  <c r="T3398" i="11"/>
  <c r="T3399" i="11"/>
  <c r="T3400" i="11"/>
  <c r="T3401" i="11"/>
  <c r="T3402" i="11"/>
  <c r="T3403" i="11"/>
  <c r="T3404" i="11"/>
  <c r="T3405" i="11"/>
  <c r="T3406" i="11"/>
  <c r="T3407" i="11"/>
  <c r="T3408" i="11"/>
  <c r="T3409" i="11"/>
  <c r="T3410" i="11"/>
  <c r="T3411" i="11"/>
  <c r="T3412" i="11"/>
  <c r="T3413" i="11"/>
  <c r="T3414" i="11"/>
  <c r="T3415" i="11"/>
  <c r="T3416" i="11"/>
  <c r="T3417" i="11"/>
  <c r="T3418" i="11"/>
  <c r="T3419" i="11"/>
  <c r="T3420" i="11"/>
  <c r="T3421" i="11"/>
  <c r="T3422" i="11"/>
  <c r="T3423" i="11"/>
  <c r="T3424" i="11"/>
  <c r="T3425" i="11"/>
  <c r="T3426" i="11"/>
  <c r="T3427" i="11"/>
  <c r="T3428" i="11"/>
  <c r="T3429" i="11"/>
  <c r="T3430" i="11"/>
  <c r="T3431" i="11"/>
  <c r="T3432" i="11"/>
  <c r="T3433" i="11"/>
  <c r="T3434" i="11"/>
  <c r="T3435" i="11"/>
  <c r="T3436" i="11"/>
  <c r="T3437" i="11"/>
  <c r="T3438" i="11"/>
  <c r="T3439" i="11"/>
  <c r="T3440" i="11"/>
  <c r="T3441" i="11"/>
  <c r="T3442" i="11"/>
  <c r="T3443" i="11"/>
  <c r="T3444" i="11"/>
  <c r="T3445" i="11"/>
  <c r="T3446" i="11"/>
  <c r="T3447" i="11"/>
  <c r="T3448" i="11"/>
  <c r="T3449" i="11"/>
  <c r="T3450" i="11"/>
  <c r="T3451" i="11"/>
  <c r="T3452" i="11"/>
  <c r="T3453" i="11"/>
  <c r="T3454" i="11"/>
  <c r="T3455" i="11"/>
  <c r="T3456" i="11"/>
  <c r="T3457" i="11"/>
  <c r="T3458" i="11"/>
  <c r="T3459" i="11"/>
  <c r="T3460" i="11"/>
  <c r="T3461" i="11"/>
  <c r="T3462" i="11"/>
  <c r="T3463" i="11"/>
  <c r="T3464" i="11"/>
  <c r="T3465" i="11"/>
  <c r="T3466" i="11"/>
  <c r="T3467" i="11"/>
  <c r="T3468" i="11"/>
  <c r="T3469" i="11"/>
  <c r="T3470" i="11"/>
  <c r="T3471" i="11"/>
  <c r="T3472" i="11"/>
  <c r="T3473" i="11"/>
  <c r="T3474" i="11"/>
  <c r="T3475" i="11"/>
  <c r="T3476" i="11"/>
  <c r="T3477" i="11"/>
  <c r="T3478" i="11"/>
  <c r="T3479" i="11"/>
  <c r="T3480" i="11"/>
  <c r="T3481" i="11"/>
  <c r="T3482" i="11"/>
  <c r="T3483" i="11"/>
  <c r="T3484" i="11"/>
  <c r="T3485" i="11"/>
  <c r="T3486" i="11"/>
  <c r="T3487" i="11"/>
  <c r="T3488" i="11"/>
  <c r="T3489" i="11"/>
  <c r="T3490" i="11"/>
  <c r="T3491" i="11"/>
  <c r="T3492" i="11"/>
  <c r="T3493" i="11"/>
  <c r="T3494" i="11"/>
  <c r="T3495" i="11"/>
  <c r="T3496" i="11"/>
  <c r="T3497" i="11"/>
  <c r="T3498" i="11"/>
  <c r="T3499" i="11"/>
  <c r="T3500" i="11"/>
  <c r="T3501" i="11"/>
  <c r="T3502" i="11"/>
  <c r="T3503" i="11"/>
  <c r="T3504" i="11"/>
  <c r="T3505" i="11"/>
  <c r="T3506" i="11"/>
  <c r="T3507" i="11"/>
  <c r="T3508" i="11"/>
  <c r="T3509" i="11"/>
  <c r="T3510" i="11"/>
  <c r="T3511" i="11"/>
  <c r="T3512" i="11"/>
  <c r="T3513" i="11"/>
  <c r="T3514" i="11"/>
  <c r="T3515" i="11"/>
  <c r="T3516" i="11"/>
  <c r="T3517" i="11"/>
  <c r="T3518" i="11"/>
  <c r="T3519" i="11"/>
  <c r="T3520" i="11"/>
  <c r="T3521" i="11"/>
  <c r="T3522" i="11"/>
  <c r="T3523" i="11"/>
  <c r="T3524" i="11"/>
  <c r="T3525" i="11"/>
  <c r="T3526" i="11"/>
  <c r="T3527" i="11"/>
  <c r="T3528" i="11"/>
  <c r="T3529" i="11"/>
  <c r="T3530" i="11"/>
  <c r="T3531" i="11"/>
  <c r="T3532" i="11"/>
  <c r="T3533" i="11"/>
  <c r="T3534" i="11"/>
  <c r="T3535" i="11"/>
  <c r="T3536" i="11"/>
  <c r="T3537" i="11"/>
  <c r="T3538" i="11"/>
  <c r="T3539" i="11"/>
  <c r="T3540" i="11"/>
  <c r="T3541" i="11"/>
  <c r="T3542" i="11"/>
  <c r="T3543" i="11"/>
  <c r="T3544" i="11"/>
  <c r="T3545" i="11"/>
  <c r="T3546" i="11"/>
  <c r="T3547" i="11"/>
  <c r="T3548" i="11"/>
  <c r="T3549" i="11"/>
  <c r="T3550" i="11"/>
  <c r="T3551" i="11"/>
  <c r="T3552" i="11"/>
  <c r="T3553" i="11"/>
  <c r="T3554" i="11"/>
  <c r="T3555" i="11"/>
  <c r="T3556" i="11"/>
  <c r="T3557" i="11"/>
  <c r="T3558" i="11"/>
  <c r="T3559" i="11"/>
  <c r="T3560" i="11"/>
  <c r="T3561" i="11"/>
  <c r="T3562" i="11"/>
  <c r="T3563" i="11"/>
  <c r="T3564" i="11"/>
  <c r="T3565" i="11"/>
  <c r="T3566" i="11"/>
  <c r="T3567" i="11"/>
  <c r="T3568" i="11"/>
  <c r="T3569" i="11"/>
  <c r="T3570" i="11"/>
  <c r="T3571" i="11"/>
  <c r="T3572" i="11"/>
  <c r="T3573" i="11"/>
  <c r="T3574" i="11"/>
  <c r="T3575" i="11"/>
  <c r="T3576" i="11"/>
  <c r="T3577" i="11"/>
  <c r="T3578" i="11"/>
  <c r="T3579" i="11"/>
  <c r="T3580" i="11"/>
  <c r="T3581" i="11"/>
  <c r="T3582" i="11"/>
  <c r="T3583" i="11"/>
  <c r="T3584" i="11"/>
  <c r="T3585" i="11"/>
  <c r="T3586" i="11"/>
  <c r="T3587" i="11"/>
  <c r="T3588" i="11"/>
  <c r="T3589" i="11"/>
  <c r="T3590" i="11"/>
  <c r="T3591" i="11"/>
  <c r="T3592" i="11"/>
  <c r="T3593" i="11"/>
  <c r="T3594" i="11"/>
  <c r="T3595" i="11"/>
  <c r="T3596" i="11"/>
  <c r="T3597" i="11"/>
  <c r="T3598" i="11"/>
  <c r="T3599" i="11"/>
  <c r="T3600" i="11"/>
  <c r="T3601" i="11"/>
  <c r="T3602" i="11"/>
  <c r="T3603" i="11"/>
  <c r="T3604" i="11"/>
  <c r="T3605" i="11"/>
  <c r="T3606" i="11"/>
  <c r="T3607" i="11"/>
  <c r="T3608" i="11"/>
  <c r="T3609" i="11"/>
  <c r="T3610" i="11"/>
  <c r="T3611" i="11"/>
  <c r="T3612" i="11"/>
  <c r="T3613" i="11"/>
  <c r="T3614" i="11"/>
  <c r="T3615" i="11"/>
  <c r="T3616" i="11"/>
  <c r="T3617" i="11"/>
  <c r="T3618" i="11"/>
  <c r="T3619" i="11"/>
  <c r="T3620" i="11"/>
  <c r="T3621" i="11"/>
  <c r="T3622" i="11"/>
  <c r="T3623" i="11"/>
  <c r="T3624" i="11"/>
  <c r="T3625" i="11"/>
  <c r="T3626" i="11"/>
  <c r="T3627" i="11"/>
  <c r="T3628" i="11"/>
  <c r="T3629" i="11"/>
  <c r="T3630" i="11"/>
  <c r="T3631" i="11"/>
  <c r="T3632" i="11"/>
  <c r="T3633" i="11"/>
  <c r="T3634" i="11"/>
  <c r="T3635" i="11"/>
  <c r="T3636" i="11"/>
  <c r="T3637" i="11"/>
  <c r="T3638" i="11"/>
  <c r="T3639" i="11"/>
  <c r="T3640" i="11"/>
  <c r="T3641" i="11"/>
  <c r="T3642" i="11"/>
  <c r="T3643" i="11"/>
  <c r="T3644" i="11"/>
  <c r="T3645" i="11"/>
  <c r="T3646" i="11"/>
  <c r="T3647" i="11"/>
  <c r="T3648" i="11"/>
  <c r="T3649" i="11"/>
  <c r="T3650" i="11"/>
  <c r="T3651" i="11"/>
  <c r="T3652" i="11"/>
  <c r="T3653" i="11"/>
  <c r="T3654" i="11"/>
  <c r="T3655" i="11"/>
  <c r="T3656" i="11"/>
  <c r="T3657" i="11"/>
  <c r="T3658" i="11"/>
  <c r="T3659" i="11"/>
  <c r="T3660" i="11"/>
  <c r="T3661" i="11"/>
  <c r="T3662" i="11"/>
  <c r="T3663" i="11"/>
  <c r="T3664" i="11"/>
  <c r="T3665" i="11"/>
  <c r="T3666" i="11"/>
  <c r="T3667" i="11"/>
  <c r="T3668" i="11"/>
  <c r="T3669" i="11"/>
  <c r="T3670" i="11"/>
  <c r="T3671" i="11"/>
  <c r="T3672" i="11"/>
  <c r="T3673" i="11"/>
  <c r="T3674" i="11"/>
  <c r="T3675" i="11"/>
  <c r="T3676" i="11"/>
  <c r="T3677" i="11"/>
  <c r="T3678" i="11"/>
  <c r="T3679" i="11"/>
  <c r="T3680" i="11"/>
  <c r="T3681" i="11"/>
  <c r="T3682" i="11"/>
  <c r="T3683" i="11"/>
  <c r="T3684" i="11"/>
  <c r="T3685" i="11"/>
  <c r="T3686" i="11"/>
  <c r="T3687" i="11"/>
  <c r="T3688" i="11"/>
  <c r="T3689" i="11"/>
  <c r="T3690" i="11"/>
  <c r="T3691" i="11"/>
  <c r="T3692" i="11"/>
  <c r="T3693" i="11"/>
  <c r="T3694" i="11"/>
  <c r="T3695" i="11"/>
  <c r="T3696" i="11"/>
  <c r="T3697" i="11"/>
  <c r="T3698" i="11"/>
  <c r="T3699" i="11"/>
  <c r="T3700" i="11"/>
  <c r="T3701" i="11"/>
  <c r="T3702" i="11"/>
  <c r="T3703" i="11"/>
  <c r="T3704" i="11"/>
  <c r="T3705" i="11"/>
  <c r="T3706" i="11"/>
  <c r="T3707" i="11"/>
  <c r="T3708" i="11"/>
  <c r="T3709" i="11"/>
  <c r="T3710" i="11"/>
  <c r="T3711" i="11"/>
  <c r="T3712" i="11"/>
  <c r="T3713" i="11"/>
  <c r="T3714" i="11"/>
  <c r="T3715" i="11"/>
  <c r="T3716" i="11"/>
  <c r="T3717" i="11"/>
  <c r="T3718" i="11"/>
  <c r="T3719" i="11"/>
  <c r="T3720" i="11"/>
  <c r="T3721" i="11"/>
  <c r="T3722" i="11"/>
  <c r="T3723" i="11"/>
  <c r="T3724" i="11"/>
  <c r="T3725" i="11"/>
  <c r="T3726" i="11"/>
  <c r="T3727" i="11"/>
  <c r="T3728" i="11"/>
  <c r="T3729" i="11"/>
  <c r="T3730" i="11"/>
  <c r="T3731" i="11"/>
  <c r="T3732" i="11"/>
  <c r="T3733" i="11"/>
  <c r="T3734" i="11"/>
  <c r="T3735" i="11"/>
  <c r="T3736" i="11"/>
  <c r="T3737" i="11"/>
  <c r="T3738" i="11"/>
  <c r="T3739" i="11"/>
  <c r="T3740" i="11"/>
  <c r="T3741" i="11"/>
  <c r="T3742" i="11"/>
  <c r="T3743" i="11"/>
  <c r="T3744" i="11"/>
  <c r="T3745" i="11"/>
  <c r="T3746" i="11"/>
  <c r="T3747" i="11"/>
  <c r="T3748" i="11"/>
  <c r="T3749" i="11"/>
  <c r="T3750" i="11"/>
  <c r="T3751" i="11"/>
  <c r="T3752" i="11"/>
  <c r="T3753" i="11"/>
  <c r="T3754" i="11"/>
  <c r="T3755" i="11"/>
  <c r="T3756" i="11"/>
  <c r="T3757" i="11"/>
  <c r="T3758" i="11"/>
  <c r="T3759" i="11"/>
  <c r="T3760" i="11"/>
  <c r="T3761" i="11"/>
  <c r="T3762" i="11"/>
  <c r="T3763" i="11"/>
  <c r="T3764" i="11"/>
  <c r="T3765" i="11"/>
  <c r="T3766" i="11"/>
  <c r="T3767" i="11"/>
  <c r="T3768" i="11"/>
  <c r="T3769" i="11"/>
  <c r="T3770" i="11"/>
  <c r="T3771" i="11"/>
  <c r="T3772" i="11"/>
  <c r="T3773" i="11"/>
  <c r="T3774" i="11"/>
  <c r="T3775" i="11"/>
  <c r="T3776" i="11"/>
  <c r="T3777" i="11"/>
  <c r="T3778" i="11"/>
  <c r="T3779" i="11"/>
  <c r="T3780" i="11"/>
  <c r="T3781" i="11"/>
  <c r="T3782" i="11"/>
  <c r="T3783" i="11"/>
  <c r="T3784" i="11"/>
  <c r="T3785" i="11"/>
  <c r="T3786" i="11"/>
  <c r="T3787" i="11"/>
  <c r="T3788" i="11"/>
  <c r="T3789" i="11"/>
  <c r="T3790" i="11"/>
  <c r="T3791" i="11"/>
  <c r="T3792" i="11"/>
  <c r="T3793" i="11"/>
  <c r="T3794" i="11"/>
  <c r="T3795" i="11"/>
  <c r="T3796" i="11"/>
  <c r="T3797" i="11"/>
  <c r="T3798" i="11"/>
  <c r="T3799" i="11"/>
  <c r="T3800" i="11"/>
  <c r="T3801" i="11"/>
  <c r="T3802" i="11"/>
  <c r="T3803" i="11"/>
  <c r="T3804" i="11"/>
  <c r="T3805" i="11"/>
  <c r="T3806" i="11"/>
  <c r="T3807" i="11"/>
  <c r="T3808" i="11"/>
  <c r="T3809" i="11"/>
  <c r="T3810" i="11"/>
  <c r="T3811" i="11"/>
  <c r="T3812" i="11"/>
  <c r="T3813" i="11"/>
  <c r="T3814" i="11"/>
  <c r="T3815" i="11"/>
  <c r="T3816" i="11"/>
  <c r="T3817" i="11"/>
  <c r="T3818" i="11"/>
  <c r="T3819" i="11"/>
  <c r="T3820" i="11"/>
  <c r="T3821" i="11"/>
  <c r="T3822" i="11"/>
  <c r="T3823" i="11"/>
  <c r="T3824" i="11"/>
  <c r="T3825" i="11"/>
  <c r="T3826" i="11"/>
  <c r="T3827" i="11"/>
  <c r="T3828" i="11"/>
  <c r="T3829" i="11"/>
  <c r="T3830" i="11"/>
  <c r="T3831" i="11"/>
  <c r="T3832" i="11"/>
  <c r="T3833" i="11"/>
  <c r="T3834" i="11"/>
  <c r="T3835" i="11"/>
  <c r="T3836" i="11"/>
  <c r="T3837" i="11"/>
  <c r="T3838" i="11"/>
  <c r="T3839" i="11"/>
  <c r="T3840" i="11"/>
  <c r="T3841" i="11"/>
  <c r="T3842" i="11"/>
  <c r="T3843" i="11"/>
  <c r="T3844" i="11"/>
  <c r="T3845" i="11"/>
  <c r="T3846" i="11"/>
  <c r="T3847" i="11"/>
  <c r="T3848" i="11"/>
  <c r="T3849" i="11"/>
  <c r="T3850" i="11"/>
  <c r="T3851" i="11"/>
  <c r="T3852" i="11"/>
  <c r="T3853" i="11"/>
  <c r="T3854" i="11"/>
  <c r="T3855" i="11"/>
  <c r="T3856" i="11"/>
  <c r="T3857" i="11"/>
  <c r="T3858" i="11"/>
  <c r="T3859" i="11"/>
  <c r="T3860" i="11"/>
  <c r="T3861" i="11"/>
  <c r="T3862" i="11"/>
  <c r="T3863" i="11"/>
  <c r="T3864" i="11"/>
  <c r="T3865" i="11"/>
  <c r="T3866" i="11"/>
  <c r="T3867" i="11"/>
  <c r="T3868" i="11"/>
  <c r="T3869" i="11"/>
  <c r="T3870" i="11"/>
  <c r="T3871" i="11"/>
  <c r="T3872" i="11"/>
  <c r="T3873" i="11"/>
  <c r="T3874" i="11"/>
  <c r="T3875" i="11"/>
  <c r="T3876" i="11"/>
  <c r="T3877" i="11"/>
  <c r="T3878" i="11"/>
  <c r="T3879" i="11"/>
  <c r="T3880" i="11"/>
  <c r="T3881" i="11"/>
  <c r="T3882" i="11"/>
  <c r="T3883" i="11"/>
  <c r="T3884" i="11"/>
  <c r="T3885" i="11"/>
  <c r="T3886" i="11"/>
  <c r="T3887" i="11"/>
  <c r="T3888" i="11"/>
  <c r="T3889" i="11"/>
  <c r="T3890" i="11"/>
  <c r="T3891" i="11"/>
  <c r="T3892" i="11"/>
  <c r="T3893" i="11"/>
  <c r="T3894" i="11"/>
  <c r="T3895" i="11"/>
  <c r="T3896" i="11"/>
  <c r="T3897" i="11"/>
  <c r="T3898" i="11"/>
  <c r="T3899" i="11"/>
  <c r="T3900" i="11"/>
  <c r="T3901" i="11"/>
  <c r="T3902" i="11"/>
  <c r="T3903" i="11"/>
  <c r="T3904" i="11"/>
  <c r="T3905" i="11"/>
  <c r="T3906" i="11"/>
  <c r="T3907" i="11"/>
  <c r="T3908" i="11"/>
  <c r="T3909" i="11"/>
  <c r="T3910" i="11"/>
  <c r="T3911" i="11"/>
  <c r="T3912" i="11"/>
  <c r="T3913" i="11"/>
  <c r="T3914" i="11"/>
  <c r="T3915" i="11"/>
  <c r="T3916" i="11"/>
  <c r="T3917" i="11"/>
  <c r="T3918" i="11"/>
  <c r="T3919" i="11"/>
  <c r="T3920" i="11"/>
  <c r="T3921" i="11"/>
  <c r="T3922" i="11"/>
  <c r="T3923" i="11"/>
  <c r="T3924" i="11"/>
  <c r="T3925" i="11"/>
  <c r="T3926" i="11"/>
  <c r="T3927" i="11"/>
  <c r="T3928" i="11"/>
  <c r="T3929" i="11"/>
  <c r="T3930" i="11"/>
  <c r="T3931" i="11"/>
  <c r="T3932" i="11"/>
  <c r="T3933" i="11"/>
  <c r="T3934" i="11"/>
  <c r="T3935" i="11"/>
  <c r="T3936" i="11"/>
  <c r="T3937" i="11"/>
  <c r="T3938" i="11"/>
  <c r="T3939" i="11"/>
  <c r="T3940" i="11"/>
  <c r="T3941" i="11"/>
  <c r="T3942" i="11"/>
  <c r="T3943" i="11"/>
  <c r="T3944" i="11"/>
  <c r="T3945" i="11"/>
  <c r="T3946" i="11"/>
  <c r="T3947" i="11"/>
  <c r="T3948" i="11"/>
  <c r="T3949" i="11"/>
  <c r="T3950" i="11"/>
  <c r="T3951" i="11"/>
  <c r="T3952" i="11"/>
  <c r="T3953" i="11"/>
  <c r="T3954" i="11"/>
  <c r="T3955" i="11"/>
  <c r="T3956" i="11"/>
  <c r="T3957" i="11"/>
  <c r="T3958" i="11"/>
  <c r="T3959" i="11"/>
  <c r="T3960" i="11"/>
  <c r="T3961" i="11"/>
  <c r="T3962" i="11"/>
  <c r="T3963" i="11"/>
  <c r="T3964" i="11"/>
  <c r="T3965" i="11"/>
  <c r="T3966" i="11"/>
  <c r="T3967" i="11"/>
  <c r="T3968" i="11"/>
  <c r="T3969" i="11"/>
  <c r="T3970" i="11"/>
  <c r="T3971" i="11"/>
  <c r="T3972" i="11"/>
  <c r="T3973" i="11"/>
  <c r="T3974" i="11"/>
  <c r="T3975" i="11"/>
  <c r="T3976" i="11"/>
  <c r="T3977" i="11"/>
  <c r="T3978" i="11"/>
  <c r="T3979" i="11"/>
  <c r="T3980" i="11"/>
  <c r="T3981" i="11"/>
  <c r="T3982" i="11"/>
  <c r="T3983" i="11"/>
  <c r="T3984" i="11"/>
  <c r="T3985" i="11"/>
  <c r="T3986" i="11"/>
  <c r="T3987" i="11"/>
  <c r="T3988" i="11"/>
  <c r="T3989" i="11"/>
  <c r="T3990" i="11"/>
  <c r="T3991" i="11"/>
  <c r="T3992" i="11"/>
  <c r="T3993" i="11"/>
  <c r="T3994" i="11"/>
  <c r="T3995" i="11"/>
  <c r="T3996" i="11"/>
  <c r="T3997" i="11"/>
  <c r="T3998" i="11"/>
  <c r="T3999" i="11"/>
  <c r="T4000" i="11"/>
  <c r="T4001" i="11"/>
  <c r="T4002" i="11"/>
  <c r="T4003" i="11"/>
  <c r="T4004" i="11"/>
  <c r="T4005" i="11"/>
  <c r="T4006" i="11"/>
  <c r="T4007" i="11"/>
  <c r="T4008" i="11"/>
  <c r="T4009" i="11"/>
  <c r="T4010" i="11"/>
  <c r="T4011" i="11"/>
  <c r="T4012" i="11"/>
  <c r="T4013" i="11"/>
  <c r="T4014" i="11"/>
  <c r="T4015" i="11"/>
  <c r="T4016" i="11"/>
  <c r="T4017" i="11"/>
  <c r="T4018" i="11"/>
  <c r="T4019" i="11"/>
  <c r="T4020" i="11"/>
  <c r="T4021" i="11"/>
  <c r="T4022" i="11"/>
  <c r="T4023" i="11"/>
  <c r="T4024" i="11"/>
  <c r="T4025" i="11"/>
  <c r="T4026" i="11"/>
  <c r="T4027" i="11"/>
  <c r="T4028" i="11"/>
  <c r="T4029" i="11"/>
  <c r="T4030" i="11"/>
  <c r="T4031" i="11"/>
  <c r="T4032" i="11"/>
  <c r="T4033" i="11"/>
  <c r="T4034" i="11"/>
  <c r="T4035" i="11"/>
  <c r="T4036" i="11"/>
  <c r="T4037" i="11"/>
  <c r="T4038" i="11"/>
  <c r="T4039" i="11"/>
  <c r="T4040" i="11"/>
  <c r="T4041" i="11"/>
  <c r="T4042" i="11"/>
  <c r="T4043" i="11"/>
  <c r="T4044" i="11"/>
  <c r="T4045" i="11"/>
  <c r="T4046" i="11"/>
  <c r="T4047" i="11"/>
  <c r="T4048" i="11"/>
  <c r="T4049" i="11"/>
  <c r="T4050" i="11"/>
  <c r="T4051" i="11"/>
  <c r="T4052" i="11"/>
  <c r="T4053" i="11"/>
  <c r="T4054" i="11"/>
  <c r="T4055" i="11"/>
  <c r="T4056" i="11"/>
  <c r="T4057" i="11"/>
  <c r="T4058" i="11"/>
  <c r="T4059" i="11"/>
  <c r="T4060" i="11"/>
  <c r="T4061" i="11"/>
  <c r="T4062" i="11"/>
  <c r="T4063" i="11"/>
  <c r="T4064" i="11"/>
  <c r="T4065" i="11"/>
  <c r="T4066" i="11"/>
  <c r="T4067" i="11"/>
  <c r="T4068" i="11"/>
  <c r="T4069" i="11"/>
  <c r="T4070" i="11"/>
  <c r="T4071" i="11"/>
  <c r="T4072" i="11"/>
  <c r="T4073" i="11"/>
  <c r="T4074" i="11"/>
  <c r="T4075" i="11"/>
  <c r="T4076" i="11"/>
  <c r="T4077" i="11"/>
  <c r="T4078" i="11"/>
  <c r="T4079" i="11"/>
  <c r="T4080" i="11"/>
  <c r="T4081" i="11"/>
  <c r="T4082" i="11"/>
  <c r="T4083" i="11"/>
  <c r="T4084" i="11"/>
  <c r="T4085" i="11"/>
  <c r="T4086" i="11"/>
  <c r="T4087" i="11"/>
  <c r="T4088" i="11"/>
  <c r="T4089" i="11"/>
  <c r="T4090" i="11"/>
  <c r="T4091" i="11"/>
  <c r="T4092" i="11"/>
  <c r="T4093" i="11"/>
  <c r="T4094" i="11"/>
  <c r="T4095" i="11"/>
  <c r="T4096" i="11"/>
  <c r="T4097" i="11"/>
  <c r="T4098" i="11"/>
  <c r="T4099" i="11"/>
  <c r="T4100" i="11"/>
  <c r="T4101" i="11"/>
  <c r="T4102" i="11"/>
  <c r="T4103" i="11"/>
  <c r="T4104" i="11"/>
  <c r="T4105" i="11"/>
  <c r="T4106" i="11"/>
  <c r="T4107" i="11"/>
  <c r="T4108" i="11"/>
  <c r="T4109" i="11"/>
  <c r="T4110" i="11"/>
  <c r="T4111" i="11"/>
  <c r="T4112" i="11"/>
  <c r="T4113" i="11"/>
  <c r="T4114" i="11"/>
  <c r="T4115" i="11"/>
  <c r="T4116" i="11"/>
  <c r="T4117" i="11"/>
  <c r="T4118" i="11"/>
  <c r="T4119" i="11"/>
  <c r="T4120" i="11"/>
  <c r="T4121" i="11"/>
  <c r="T4122" i="11"/>
  <c r="T4123" i="11"/>
  <c r="T4124" i="11"/>
  <c r="T4125" i="11"/>
  <c r="T4126" i="11"/>
  <c r="T4127" i="11"/>
  <c r="T4128" i="11"/>
  <c r="T4129" i="11"/>
  <c r="T4130" i="11"/>
  <c r="T4131" i="11"/>
  <c r="T4132" i="11"/>
  <c r="T4133" i="11"/>
  <c r="T4134" i="11"/>
  <c r="T4135" i="11"/>
  <c r="T4136" i="11"/>
  <c r="T4137" i="11"/>
  <c r="T4138" i="11"/>
  <c r="T4139" i="11"/>
  <c r="T4140" i="11"/>
  <c r="T4141" i="11"/>
  <c r="T4142" i="11"/>
  <c r="T4143" i="11"/>
  <c r="T4144" i="11"/>
  <c r="T4145" i="11"/>
  <c r="T4146" i="11"/>
  <c r="T4147" i="11"/>
  <c r="T4148" i="11"/>
  <c r="T4149" i="11"/>
  <c r="T4150" i="11"/>
  <c r="T4151" i="11"/>
  <c r="T4152" i="11"/>
  <c r="T4153" i="11"/>
  <c r="T4154" i="11"/>
  <c r="T4155" i="11"/>
  <c r="T4156" i="11"/>
  <c r="T4157" i="11"/>
  <c r="T4158" i="11"/>
  <c r="T4159" i="11"/>
  <c r="T4160" i="11"/>
  <c r="T4161" i="11"/>
  <c r="T4162" i="11"/>
  <c r="T4163" i="11"/>
  <c r="T4164" i="11"/>
  <c r="T4165" i="11"/>
  <c r="T4166" i="11"/>
  <c r="T4167" i="11"/>
  <c r="T4168" i="11"/>
  <c r="T4169" i="11"/>
  <c r="T4170" i="11"/>
  <c r="T4171" i="11"/>
  <c r="T4172" i="11"/>
  <c r="T4173" i="11"/>
  <c r="T4174" i="11"/>
  <c r="T4175" i="11"/>
  <c r="T4176" i="11"/>
  <c r="T4177" i="11"/>
  <c r="T4178" i="11"/>
  <c r="T4179" i="11"/>
  <c r="T4180" i="11"/>
  <c r="T4181" i="11"/>
  <c r="T4182" i="11"/>
  <c r="T4183" i="11"/>
  <c r="T4184" i="11"/>
  <c r="T4185" i="11"/>
  <c r="T4186" i="11"/>
  <c r="T4187" i="11"/>
  <c r="T4188" i="11"/>
  <c r="T4189" i="11"/>
  <c r="T4190" i="11"/>
  <c r="T4191" i="11"/>
  <c r="T4192" i="11"/>
  <c r="T4193" i="11"/>
  <c r="T4194" i="11"/>
  <c r="T4195" i="11"/>
  <c r="T4196" i="11"/>
  <c r="T4197" i="11"/>
  <c r="T4198" i="11"/>
  <c r="T4199" i="11"/>
  <c r="T4200" i="11"/>
  <c r="T4201" i="11"/>
  <c r="T4202" i="11"/>
  <c r="T4203" i="11"/>
  <c r="T4204" i="11"/>
  <c r="T4205" i="11"/>
  <c r="T4206" i="11"/>
  <c r="T4207" i="11"/>
  <c r="T4208" i="11"/>
  <c r="T4209" i="11"/>
  <c r="T4210" i="11"/>
  <c r="T4211" i="11"/>
  <c r="T4212" i="11"/>
  <c r="T4213" i="11"/>
  <c r="T4214" i="11"/>
  <c r="T4215" i="11"/>
  <c r="T4216" i="11"/>
  <c r="T4217" i="11"/>
  <c r="T4218" i="11"/>
  <c r="T4219" i="11"/>
  <c r="T4220" i="11"/>
  <c r="T4221" i="11"/>
  <c r="T4222" i="11"/>
  <c r="T4223" i="11"/>
  <c r="T4224" i="11"/>
  <c r="T4225" i="11"/>
  <c r="T4226" i="11"/>
  <c r="T4227" i="11"/>
  <c r="T4228" i="11"/>
  <c r="T4229" i="11"/>
  <c r="T4230" i="11"/>
  <c r="T4231" i="11"/>
  <c r="T4232" i="11"/>
  <c r="T4233" i="11"/>
  <c r="T4234" i="11"/>
  <c r="T4235" i="11"/>
  <c r="T4236" i="11"/>
  <c r="T4237" i="11"/>
  <c r="T4238" i="11"/>
  <c r="T4239" i="11"/>
  <c r="T4240" i="11"/>
  <c r="T4241" i="11"/>
  <c r="T4242" i="11"/>
  <c r="T4243" i="11"/>
  <c r="T4244" i="11"/>
  <c r="T4245" i="11"/>
  <c r="T4246" i="11"/>
  <c r="T4247" i="11"/>
  <c r="T4248" i="11"/>
  <c r="T4249" i="11"/>
  <c r="T4250" i="11"/>
  <c r="T4251" i="11"/>
  <c r="T4252" i="11"/>
  <c r="T4253" i="11"/>
  <c r="T4254" i="11"/>
  <c r="T4255" i="11"/>
  <c r="T4256" i="11"/>
  <c r="T4257" i="11"/>
  <c r="T4258" i="11"/>
  <c r="T4259" i="11"/>
  <c r="T4260" i="11"/>
  <c r="T4261" i="11"/>
  <c r="T4262" i="11"/>
  <c r="T4263" i="11"/>
  <c r="T4264" i="11"/>
  <c r="T4265" i="11"/>
  <c r="T4266" i="11"/>
  <c r="T4267" i="11"/>
  <c r="T4268" i="11"/>
  <c r="T4269" i="11"/>
  <c r="T4270" i="11"/>
  <c r="T4271" i="11"/>
  <c r="T4272" i="11"/>
  <c r="T4273" i="11"/>
  <c r="T4274" i="11"/>
  <c r="T4275" i="11"/>
  <c r="T4276" i="11"/>
  <c r="T4277" i="11"/>
  <c r="T4278" i="11"/>
  <c r="T4279" i="11"/>
  <c r="T4280" i="11"/>
  <c r="T4281" i="11"/>
  <c r="T4282" i="11"/>
  <c r="T4283" i="11"/>
  <c r="T4284" i="11"/>
  <c r="T4285" i="11"/>
  <c r="T4286" i="11"/>
  <c r="T4287" i="11"/>
  <c r="T4288" i="11"/>
  <c r="T4289" i="11"/>
  <c r="T4290" i="11"/>
  <c r="T4291" i="11"/>
  <c r="T4292" i="11"/>
  <c r="T4293" i="11"/>
  <c r="T4294" i="11"/>
  <c r="T4295" i="11"/>
  <c r="T4296" i="11"/>
  <c r="T4297" i="11"/>
  <c r="T4298" i="11"/>
  <c r="T4299" i="11"/>
  <c r="T4300" i="11"/>
  <c r="T4301" i="11"/>
  <c r="T4302" i="11"/>
  <c r="T4303" i="11"/>
  <c r="T4304" i="11"/>
  <c r="T4305" i="11"/>
  <c r="T4306" i="11"/>
  <c r="T4307" i="11"/>
  <c r="T4308" i="11"/>
  <c r="T4309" i="11"/>
  <c r="T4310" i="11"/>
  <c r="T4311" i="11"/>
  <c r="T4312" i="11"/>
  <c r="T4313" i="11"/>
  <c r="T4314" i="11"/>
  <c r="T4315" i="11"/>
  <c r="T4316" i="11"/>
  <c r="T4317" i="11"/>
  <c r="T4318" i="11"/>
  <c r="T4319" i="11"/>
  <c r="T4320" i="11"/>
  <c r="T4321" i="11"/>
  <c r="T4322" i="11"/>
  <c r="T4323" i="11"/>
  <c r="T4324" i="11"/>
  <c r="T4325" i="11"/>
  <c r="T4326" i="11"/>
  <c r="T4327" i="11"/>
  <c r="T4328" i="11"/>
  <c r="T4329" i="11"/>
  <c r="T4330" i="11"/>
  <c r="T4331" i="11"/>
  <c r="T4332" i="11"/>
  <c r="T4333" i="11"/>
  <c r="T4334" i="11"/>
  <c r="T4335" i="11"/>
  <c r="T4336" i="11"/>
  <c r="T4337" i="11"/>
  <c r="T4338" i="11"/>
  <c r="T4339" i="11"/>
  <c r="T4340" i="11"/>
  <c r="T4341" i="11"/>
  <c r="T4342" i="11"/>
  <c r="T4343" i="11"/>
  <c r="T4344" i="11"/>
  <c r="T4345" i="11"/>
  <c r="T4346" i="11"/>
  <c r="T4347" i="11"/>
  <c r="T4348" i="11"/>
  <c r="T4349" i="11"/>
  <c r="T4350" i="11"/>
  <c r="T4351" i="11"/>
  <c r="T4352" i="11"/>
  <c r="T4353" i="11"/>
  <c r="T4354" i="11"/>
  <c r="T4355" i="11"/>
  <c r="T4356" i="11"/>
  <c r="T4357" i="11"/>
  <c r="T4358" i="11"/>
  <c r="T4359" i="11"/>
  <c r="T4360" i="11"/>
  <c r="T4361" i="11"/>
  <c r="T4362" i="11"/>
  <c r="T4363" i="11"/>
  <c r="T4364" i="11"/>
  <c r="T4365" i="11"/>
  <c r="T4366" i="11"/>
  <c r="T4367" i="11"/>
  <c r="T4368" i="11"/>
  <c r="T4369" i="11"/>
  <c r="T4370" i="11"/>
  <c r="T4371" i="11"/>
  <c r="T4372" i="11"/>
  <c r="T4373" i="11"/>
  <c r="T4374" i="11"/>
  <c r="T4375" i="11"/>
  <c r="T4376" i="11"/>
  <c r="T4377" i="11"/>
  <c r="T4378" i="11"/>
  <c r="T4379" i="11"/>
  <c r="T4380" i="11"/>
  <c r="T4381" i="11"/>
  <c r="T4382" i="11"/>
  <c r="T4383" i="11"/>
  <c r="T4384" i="11"/>
  <c r="T4385" i="11"/>
  <c r="T4386" i="11"/>
  <c r="T4387" i="11"/>
  <c r="T4388" i="11"/>
  <c r="T4389" i="11"/>
  <c r="T4390" i="11"/>
  <c r="T4391" i="11"/>
  <c r="T4392" i="11"/>
  <c r="T4393" i="11"/>
  <c r="T4394" i="11"/>
  <c r="T4395" i="11"/>
  <c r="T4396" i="11"/>
  <c r="T4397" i="11"/>
  <c r="T4398" i="11"/>
  <c r="T4399" i="11"/>
  <c r="T4400" i="11"/>
  <c r="T4401" i="11"/>
  <c r="T4402" i="11"/>
  <c r="T4403" i="11"/>
  <c r="T4404" i="11"/>
  <c r="T4405" i="11"/>
  <c r="T4406" i="11"/>
  <c r="T4407" i="11"/>
  <c r="T4408" i="11"/>
  <c r="T4409" i="11"/>
  <c r="T4410" i="11"/>
  <c r="T4411" i="11"/>
  <c r="T4412" i="11"/>
  <c r="T4413" i="11"/>
  <c r="T4414" i="11"/>
  <c r="T4415" i="11"/>
  <c r="T4416" i="11"/>
  <c r="T4417" i="11"/>
  <c r="T4418" i="11"/>
  <c r="T4419" i="11"/>
  <c r="T4420" i="11"/>
  <c r="T4421" i="11"/>
  <c r="T4422" i="11"/>
  <c r="T4423" i="11"/>
  <c r="T4424" i="11"/>
  <c r="T4425" i="11"/>
  <c r="T4426" i="11"/>
  <c r="T4427" i="11"/>
  <c r="T4428" i="11"/>
  <c r="T4429" i="11"/>
  <c r="T4430" i="11"/>
  <c r="T4431" i="11"/>
  <c r="T4432" i="11"/>
  <c r="T4433" i="11"/>
  <c r="T4434" i="11"/>
  <c r="T4435" i="11"/>
  <c r="T4436" i="11"/>
  <c r="T4437" i="11"/>
  <c r="T4438" i="11"/>
  <c r="T4439" i="11"/>
  <c r="T4440" i="11"/>
  <c r="T4441" i="11"/>
  <c r="T4442" i="11"/>
  <c r="T4443" i="11"/>
  <c r="T4444" i="11"/>
  <c r="T4445" i="11"/>
  <c r="T4446" i="11"/>
  <c r="T4447" i="11"/>
  <c r="T4448" i="11"/>
  <c r="T4449" i="11"/>
  <c r="T4450" i="11"/>
  <c r="T4451" i="11"/>
  <c r="T4452" i="11"/>
  <c r="T4453" i="11"/>
  <c r="T4454" i="11"/>
  <c r="T4455" i="11"/>
  <c r="T4456" i="11"/>
  <c r="T4457" i="11"/>
  <c r="T4458" i="11"/>
  <c r="T4459" i="11"/>
  <c r="T4460" i="11"/>
  <c r="T4461" i="11"/>
  <c r="T4462" i="11"/>
  <c r="T4463" i="11"/>
  <c r="T4464" i="11"/>
  <c r="T4465" i="11"/>
  <c r="T4466" i="11"/>
  <c r="T4467" i="11"/>
  <c r="T4468" i="11"/>
  <c r="T4469" i="11"/>
  <c r="T4470" i="11"/>
  <c r="T4471" i="11"/>
  <c r="T4472" i="11"/>
  <c r="T4473" i="11"/>
  <c r="T4474" i="11"/>
  <c r="T4475" i="11"/>
  <c r="T4476" i="11"/>
  <c r="T4477" i="11"/>
  <c r="T4478" i="11"/>
  <c r="T4479" i="11"/>
  <c r="T4480" i="11"/>
  <c r="T4481" i="11"/>
  <c r="T4482" i="11"/>
  <c r="T4483" i="11"/>
  <c r="T4484" i="11"/>
  <c r="T4485" i="11"/>
  <c r="T4486" i="11"/>
  <c r="T4487" i="11"/>
  <c r="T4488" i="11"/>
  <c r="T4489" i="11"/>
  <c r="T4490" i="11"/>
  <c r="T4491" i="11"/>
  <c r="T4492" i="11"/>
  <c r="T4493" i="11"/>
  <c r="T4494" i="11"/>
  <c r="T4495" i="11"/>
  <c r="T4496" i="11"/>
  <c r="T4497" i="11"/>
  <c r="T4498" i="11"/>
  <c r="T4499" i="11"/>
  <c r="T4500" i="11"/>
  <c r="T4501" i="11"/>
  <c r="T4502" i="11"/>
  <c r="T4503" i="11"/>
  <c r="T4504" i="11"/>
  <c r="T4505" i="11"/>
  <c r="T4506" i="11"/>
  <c r="T4507" i="11"/>
  <c r="T4508" i="11"/>
  <c r="T4509" i="11"/>
  <c r="T4510" i="11"/>
  <c r="T4511" i="11"/>
  <c r="T4512" i="11"/>
  <c r="T4513" i="11"/>
  <c r="T4514" i="11"/>
  <c r="T4515" i="11"/>
  <c r="T4516" i="11"/>
  <c r="T4517" i="11"/>
  <c r="T4518" i="11"/>
  <c r="T4519" i="11"/>
  <c r="T4520" i="11"/>
  <c r="T4521" i="11"/>
  <c r="T4522" i="11"/>
  <c r="T4523" i="11"/>
  <c r="T4524" i="11"/>
  <c r="T4525" i="11"/>
  <c r="T4526" i="11"/>
  <c r="T4527" i="11"/>
  <c r="T4528" i="11"/>
  <c r="T4529" i="11"/>
  <c r="T4530" i="11"/>
  <c r="T4531" i="11"/>
  <c r="T4532" i="11"/>
  <c r="T4533" i="11"/>
  <c r="T4534" i="11"/>
  <c r="T4535" i="11"/>
  <c r="T4536" i="11"/>
  <c r="T4537" i="11"/>
  <c r="T4538" i="11"/>
  <c r="T4539" i="11"/>
  <c r="T4540" i="11"/>
  <c r="T4541" i="11"/>
  <c r="T4542" i="11"/>
  <c r="T4543" i="11"/>
  <c r="T4544" i="11"/>
  <c r="T4545" i="11"/>
  <c r="T4546" i="11"/>
  <c r="T4547" i="11"/>
  <c r="T4548" i="11"/>
  <c r="T4549" i="11"/>
  <c r="T4550" i="11"/>
  <c r="T4551" i="11"/>
  <c r="T4552" i="11"/>
  <c r="T4553" i="11"/>
  <c r="T4554" i="11"/>
  <c r="T4555" i="11"/>
  <c r="T4556" i="11"/>
  <c r="T4557" i="11"/>
  <c r="T4558" i="11"/>
  <c r="T4559" i="11"/>
  <c r="T4560" i="11"/>
  <c r="T4561" i="11"/>
  <c r="T4562" i="11"/>
  <c r="T4563" i="11"/>
  <c r="T4564" i="11"/>
  <c r="T4565" i="11"/>
  <c r="T4566" i="11"/>
  <c r="T4567" i="11"/>
  <c r="T4568" i="11"/>
  <c r="T4569" i="11"/>
  <c r="T4570" i="11"/>
  <c r="T4571" i="11"/>
  <c r="T4572" i="11"/>
  <c r="T4573" i="11"/>
  <c r="T4574" i="11"/>
  <c r="T4575" i="11"/>
  <c r="T4576" i="11"/>
  <c r="T4577" i="11"/>
  <c r="T4578" i="11"/>
  <c r="T4579" i="11"/>
  <c r="T4580" i="11"/>
  <c r="T4581" i="11"/>
  <c r="T4582" i="11"/>
  <c r="T4583" i="11"/>
  <c r="T4584" i="11"/>
  <c r="T4585" i="11"/>
  <c r="T4586" i="11"/>
  <c r="T4587" i="11"/>
  <c r="T4588" i="11"/>
  <c r="T4589" i="11"/>
  <c r="T4590" i="11"/>
  <c r="T4591" i="11"/>
  <c r="T4592" i="11"/>
  <c r="T4593" i="11"/>
  <c r="T4594" i="11"/>
  <c r="T4595" i="11"/>
  <c r="T4596" i="11"/>
  <c r="T4597" i="11"/>
  <c r="T4598" i="11"/>
  <c r="T4599" i="11"/>
  <c r="T4600" i="11"/>
  <c r="T4601" i="11"/>
  <c r="T4602" i="11"/>
  <c r="T4603" i="11"/>
  <c r="T4604" i="11"/>
  <c r="T4605" i="11"/>
  <c r="T4606" i="11"/>
  <c r="T4607" i="11"/>
  <c r="T4608" i="11"/>
  <c r="T4609" i="11"/>
  <c r="T4610" i="11"/>
  <c r="T4611" i="11"/>
  <c r="T4612" i="11"/>
  <c r="T4613" i="11"/>
  <c r="T4614" i="11"/>
  <c r="T4615" i="11"/>
  <c r="T4616" i="11"/>
  <c r="T4617" i="11"/>
  <c r="T4618" i="11"/>
  <c r="T4619" i="11"/>
  <c r="T4620" i="11"/>
  <c r="T4621" i="11"/>
  <c r="T4622" i="11"/>
  <c r="T4623" i="11"/>
  <c r="T4624" i="11"/>
  <c r="T4625" i="11"/>
  <c r="T4626" i="11"/>
  <c r="T4627" i="11"/>
  <c r="T4628" i="11"/>
  <c r="T4629" i="11"/>
  <c r="T4630" i="11"/>
  <c r="T4631" i="11"/>
  <c r="T4632" i="11"/>
  <c r="T4633" i="11"/>
  <c r="T4634" i="11"/>
  <c r="T4635" i="11"/>
  <c r="T4636" i="11"/>
  <c r="T4637" i="11"/>
  <c r="T4638" i="11"/>
  <c r="T4639" i="11"/>
  <c r="T4640" i="11"/>
  <c r="T4641" i="11"/>
  <c r="T4642" i="11"/>
  <c r="T4643" i="11"/>
  <c r="T4644" i="11"/>
  <c r="T4645" i="11"/>
  <c r="T4646" i="11"/>
  <c r="T4647" i="11"/>
  <c r="T4648" i="11"/>
  <c r="T4649" i="11"/>
  <c r="T4650" i="11"/>
  <c r="T4651" i="11"/>
  <c r="T4652" i="11"/>
  <c r="T4653" i="11"/>
  <c r="T4654" i="11"/>
  <c r="T4655" i="11"/>
  <c r="T4656" i="11"/>
  <c r="T4657" i="11"/>
  <c r="T4658" i="11"/>
  <c r="T4659" i="11"/>
  <c r="T4660" i="11"/>
  <c r="T4661" i="11"/>
  <c r="T4662" i="11"/>
  <c r="T4663" i="11"/>
  <c r="T4664" i="11"/>
  <c r="T4665" i="11"/>
  <c r="T4666" i="11"/>
  <c r="T4667" i="11"/>
  <c r="T4668" i="11"/>
  <c r="T4669" i="11"/>
  <c r="T4670" i="11"/>
  <c r="T4671" i="11"/>
  <c r="T4672" i="11"/>
  <c r="T4673" i="11"/>
  <c r="T4674" i="11"/>
  <c r="T4675" i="11"/>
  <c r="T4676" i="11"/>
  <c r="T4677" i="11"/>
  <c r="T4678" i="11"/>
  <c r="T4679" i="11"/>
  <c r="T4680" i="11"/>
  <c r="T4681" i="11"/>
  <c r="T4682" i="11"/>
  <c r="T4683" i="11"/>
  <c r="T4684" i="11"/>
  <c r="T4685" i="11"/>
  <c r="T4686" i="11"/>
  <c r="T4687" i="11"/>
  <c r="T4688" i="11"/>
  <c r="T4689" i="11"/>
  <c r="T4690" i="11"/>
  <c r="T4691" i="11"/>
  <c r="T4692" i="11"/>
  <c r="T4693" i="11"/>
  <c r="T4694" i="11"/>
  <c r="T4695" i="11"/>
  <c r="T4696" i="11"/>
  <c r="T4697" i="11"/>
  <c r="T4698" i="11"/>
  <c r="T4699" i="11"/>
  <c r="T4700" i="11"/>
  <c r="T4701" i="11"/>
  <c r="T4702" i="11"/>
  <c r="T4703" i="11"/>
  <c r="T4704" i="11"/>
  <c r="T4705" i="11"/>
  <c r="T4706" i="11"/>
  <c r="T4707" i="11"/>
  <c r="T4708" i="11"/>
  <c r="T4709" i="11"/>
  <c r="T4710" i="11"/>
  <c r="T4711" i="11"/>
  <c r="T4712" i="11"/>
  <c r="T4713" i="11"/>
  <c r="T4714" i="11"/>
  <c r="T4715" i="11"/>
  <c r="T4716" i="11"/>
  <c r="T4717" i="11"/>
  <c r="T4718" i="11"/>
  <c r="T4719" i="11"/>
  <c r="T4720" i="11"/>
  <c r="T4721" i="11"/>
  <c r="T4722" i="11"/>
  <c r="T4723" i="11"/>
  <c r="T4724" i="11"/>
  <c r="T4725" i="11"/>
  <c r="T4726" i="11"/>
  <c r="T4727" i="11"/>
  <c r="T4728" i="11"/>
  <c r="T4729" i="11"/>
  <c r="T4730" i="11"/>
  <c r="T4731" i="11"/>
  <c r="T4732" i="11"/>
  <c r="T4733" i="11"/>
  <c r="T4734" i="11"/>
  <c r="T4735" i="11"/>
  <c r="T4736" i="11"/>
  <c r="T4737" i="11"/>
  <c r="T4738" i="11"/>
  <c r="T4739" i="11"/>
  <c r="T4740" i="11"/>
  <c r="T4741" i="11"/>
  <c r="T4742" i="11"/>
  <c r="T4743" i="11"/>
  <c r="T4744" i="11"/>
  <c r="T4745" i="11"/>
  <c r="T4746" i="11"/>
  <c r="T4747" i="11"/>
  <c r="T4748" i="11"/>
  <c r="T4749" i="11"/>
  <c r="T4750" i="11"/>
  <c r="T4751" i="11"/>
  <c r="T4752" i="11"/>
  <c r="T4753" i="11"/>
  <c r="T4754" i="11"/>
  <c r="T4755" i="11"/>
  <c r="T4756" i="11"/>
  <c r="T4757" i="11"/>
  <c r="T4758" i="11"/>
  <c r="T4759" i="11"/>
  <c r="T4760" i="11"/>
  <c r="T4761" i="11"/>
  <c r="T4762" i="11"/>
  <c r="T4763" i="11"/>
  <c r="T4764" i="11"/>
  <c r="T4765" i="11"/>
  <c r="T4766" i="11"/>
  <c r="T4767" i="11"/>
  <c r="T4768" i="11"/>
  <c r="T4769" i="11"/>
  <c r="T4770" i="11"/>
  <c r="T4771" i="11"/>
  <c r="T4772" i="11"/>
  <c r="T4773" i="11"/>
  <c r="T4774" i="11"/>
  <c r="T4775" i="11"/>
  <c r="T4776" i="11"/>
  <c r="T4777" i="11"/>
  <c r="T4778" i="11"/>
  <c r="T4779" i="11"/>
  <c r="T4780" i="11"/>
  <c r="T4781" i="11"/>
  <c r="T4782" i="11"/>
  <c r="T4783" i="11"/>
  <c r="T4784" i="11"/>
  <c r="T4785" i="11"/>
  <c r="T4786" i="11"/>
  <c r="T4787" i="11"/>
  <c r="T4788" i="11"/>
  <c r="T4789" i="11"/>
  <c r="T4790" i="11"/>
  <c r="T4791" i="11"/>
  <c r="T4792" i="11"/>
  <c r="T4793" i="11"/>
  <c r="T4794" i="11"/>
  <c r="T4795" i="11"/>
  <c r="T4796" i="11"/>
  <c r="T4797" i="11"/>
  <c r="T4798" i="11"/>
  <c r="T4799" i="11"/>
  <c r="T4800" i="11"/>
  <c r="T4801" i="11"/>
  <c r="T4802" i="11"/>
  <c r="T4803" i="11"/>
  <c r="T4804" i="11"/>
  <c r="T4805" i="11"/>
  <c r="T4806" i="11"/>
  <c r="T4807" i="11"/>
  <c r="T4808" i="11"/>
  <c r="T4809" i="11"/>
  <c r="T4810" i="11"/>
  <c r="T4811" i="11"/>
  <c r="T4812" i="11"/>
  <c r="T4813" i="11"/>
  <c r="T4814" i="11"/>
  <c r="T4815" i="11"/>
  <c r="T4816" i="11"/>
  <c r="T4817" i="11"/>
  <c r="T4818" i="11"/>
  <c r="T4819" i="11"/>
  <c r="T4820" i="11"/>
  <c r="T4821" i="11"/>
  <c r="T4822" i="11"/>
  <c r="T4823" i="11"/>
  <c r="T4824" i="11"/>
  <c r="T4825" i="11"/>
  <c r="T4826" i="11"/>
  <c r="T4827" i="11"/>
  <c r="T4828" i="11"/>
  <c r="T4829" i="11"/>
  <c r="T4830" i="11"/>
  <c r="T4831" i="11"/>
  <c r="T4832" i="11"/>
  <c r="T4833" i="11"/>
  <c r="T4834" i="11"/>
  <c r="T4835" i="11"/>
  <c r="T4836" i="11"/>
  <c r="T4837" i="11"/>
  <c r="T4838" i="11"/>
  <c r="T4839" i="11"/>
  <c r="T4840" i="11"/>
  <c r="T4841" i="11"/>
  <c r="T4842" i="11"/>
  <c r="T4843" i="11"/>
  <c r="T4844" i="11"/>
  <c r="T4845" i="11"/>
  <c r="T4846" i="11"/>
  <c r="T4847" i="11"/>
  <c r="T4848" i="11"/>
  <c r="T4849" i="11"/>
  <c r="T4850" i="11"/>
  <c r="T4851" i="11"/>
  <c r="T4852" i="11"/>
  <c r="T4853" i="11"/>
  <c r="T4854" i="11"/>
  <c r="T4855" i="11"/>
  <c r="T4856" i="11"/>
  <c r="T4857" i="11"/>
  <c r="T4858" i="11"/>
  <c r="T4859" i="11"/>
  <c r="T4860" i="11"/>
  <c r="T4861" i="11"/>
  <c r="T4862" i="11"/>
  <c r="T4863" i="11"/>
  <c r="T4864" i="11"/>
  <c r="T4865" i="11"/>
  <c r="T4866" i="11"/>
  <c r="T4867" i="11"/>
  <c r="T4868" i="11"/>
  <c r="T4869" i="11"/>
  <c r="T4870" i="11"/>
  <c r="T4871" i="11"/>
  <c r="T4872" i="11"/>
  <c r="T4873" i="11"/>
  <c r="T4874" i="11"/>
  <c r="T4875" i="11"/>
  <c r="T4876" i="11"/>
  <c r="T4877" i="11"/>
  <c r="T4878" i="11"/>
  <c r="T4879" i="11"/>
  <c r="T4880" i="11"/>
  <c r="T4881" i="11"/>
  <c r="T4882" i="11"/>
  <c r="T4883" i="11"/>
  <c r="T4884" i="11"/>
  <c r="T4885" i="11"/>
  <c r="T4886" i="11"/>
  <c r="T4887" i="11"/>
  <c r="T4888" i="11"/>
  <c r="T4889" i="11"/>
  <c r="T4890" i="11"/>
  <c r="T4891" i="11"/>
  <c r="T4892" i="11"/>
  <c r="T4893" i="11"/>
  <c r="T4894" i="11"/>
  <c r="T4895" i="11"/>
  <c r="T4896" i="11"/>
  <c r="T4897" i="11"/>
  <c r="T4898" i="11"/>
  <c r="T4899" i="11"/>
  <c r="T4900" i="11"/>
  <c r="T4901" i="11"/>
  <c r="T4902" i="11"/>
  <c r="T4903" i="11"/>
  <c r="T4904" i="11"/>
  <c r="T4905" i="11"/>
  <c r="T4906" i="11"/>
  <c r="T4907" i="11"/>
  <c r="T4908" i="11"/>
  <c r="T4909" i="11"/>
  <c r="T4910" i="11"/>
  <c r="T4911" i="11"/>
  <c r="T4912" i="11"/>
  <c r="T4913" i="11"/>
  <c r="T4914" i="11"/>
  <c r="T4915" i="11"/>
  <c r="T4916" i="11"/>
  <c r="T4917" i="11"/>
  <c r="T4918" i="11"/>
  <c r="T4919" i="11"/>
  <c r="T4920" i="11"/>
  <c r="T4921" i="11"/>
  <c r="T4922" i="11"/>
  <c r="T4923" i="11"/>
  <c r="T4924" i="11"/>
  <c r="T4925" i="11"/>
  <c r="T4926" i="11"/>
  <c r="T4927" i="11"/>
  <c r="T4928" i="11"/>
  <c r="T4929" i="11"/>
  <c r="T4930" i="11"/>
  <c r="T4931" i="11"/>
  <c r="T4932" i="11"/>
  <c r="T4933" i="11"/>
  <c r="T4934" i="11"/>
  <c r="T4935" i="11"/>
  <c r="T4936" i="11"/>
  <c r="T4937" i="11"/>
  <c r="T4938" i="11"/>
  <c r="T4939" i="11"/>
  <c r="T4940" i="11"/>
  <c r="T4941" i="11"/>
  <c r="T4942" i="11"/>
  <c r="T4943" i="11"/>
  <c r="T4944" i="11"/>
  <c r="T4945" i="11"/>
  <c r="T4946" i="11"/>
  <c r="T4947" i="11"/>
  <c r="T4948" i="11"/>
  <c r="T4949" i="11"/>
  <c r="T4950" i="11"/>
  <c r="T4951" i="11"/>
  <c r="T4952" i="11"/>
  <c r="T4953" i="11"/>
  <c r="T4954" i="11"/>
  <c r="T4955" i="11"/>
  <c r="T4956" i="11"/>
  <c r="T4957" i="11"/>
  <c r="T4958" i="11"/>
  <c r="T4959" i="11"/>
  <c r="T4960" i="11"/>
  <c r="T4961" i="11"/>
  <c r="T4962" i="11"/>
  <c r="T4963" i="11"/>
  <c r="T4964" i="11"/>
  <c r="T4965" i="11"/>
  <c r="T4966" i="11"/>
  <c r="T4967" i="11"/>
  <c r="T4968" i="11"/>
  <c r="T4969" i="11"/>
  <c r="T4970" i="11"/>
  <c r="T4971" i="11"/>
  <c r="T4972" i="11"/>
  <c r="T4973" i="11"/>
  <c r="T4974" i="11"/>
  <c r="T4975" i="11"/>
  <c r="T4976" i="11"/>
  <c r="T4977" i="11"/>
  <c r="T4978" i="11"/>
  <c r="T4979" i="11"/>
  <c r="T4980" i="11"/>
  <c r="T4981" i="11"/>
  <c r="T4982" i="11"/>
  <c r="T4983" i="11"/>
  <c r="T4984" i="11"/>
  <c r="T4985" i="11"/>
  <c r="T4986" i="11"/>
  <c r="T4987" i="11"/>
  <c r="T4988" i="11"/>
  <c r="T4989" i="11"/>
  <c r="T4990" i="11"/>
  <c r="T4991" i="11"/>
  <c r="T4992" i="11"/>
  <c r="T4993" i="11"/>
  <c r="T4994" i="11"/>
  <c r="T4995" i="11"/>
  <c r="T4996" i="11"/>
  <c r="T4997" i="11"/>
  <c r="T4998" i="11"/>
  <c r="T4999" i="11"/>
  <c r="T5000" i="11"/>
  <c r="S6" i="11"/>
  <c r="S7" i="11"/>
  <c r="S8" i="11"/>
  <c r="S9" i="11"/>
  <c r="S10" i="11"/>
  <c r="S11" i="11"/>
  <c r="S12" i="11"/>
  <c r="S13" i="11"/>
  <c r="S14" i="11"/>
  <c r="S15" i="11"/>
  <c r="S16" i="11"/>
  <c r="S17" i="11"/>
  <c r="S18" i="11"/>
  <c r="S19" i="11"/>
  <c r="S20" i="11"/>
  <c r="S21" i="11"/>
  <c r="S22" i="11"/>
  <c r="S23" i="11"/>
  <c r="S24" i="11"/>
  <c r="S25" i="11"/>
  <c r="S26" i="11"/>
  <c r="S27" i="11"/>
  <c r="S28" i="11"/>
  <c r="S29" i="11"/>
  <c r="S30" i="11"/>
  <c r="S31" i="11"/>
  <c r="S32" i="11"/>
  <c r="S33" i="11"/>
  <c r="S34" i="11"/>
  <c r="S35" i="11"/>
  <c r="S36" i="11"/>
  <c r="S37" i="11"/>
  <c r="S38" i="11"/>
  <c r="S39" i="11"/>
  <c r="S40" i="11"/>
  <c r="S41" i="11"/>
  <c r="S42" i="11"/>
  <c r="S43" i="11"/>
  <c r="S44" i="11"/>
  <c r="S45" i="11"/>
  <c r="S46" i="11"/>
  <c r="S47" i="11"/>
  <c r="S48" i="11"/>
  <c r="S49" i="11"/>
  <c r="S50" i="11"/>
  <c r="S51" i="11"/>
  <c r="S52" i="11"/>
  <c r="S53" i="11"/>
  <c r="S54" i="11"/>
  <c r="S55" i="11"/>
  <c r="S56" i="11"/>
  <c r="S57" i="11"/>
  <c r="S58" i="11"/>
  <c r="S59" i="11"/>
  <c r="S60" i="11"/>
  <c r="S61" i="11"/>
  <c r="S62" i="11"/>
  <c r="S63" i="11"/>
  <c r="S64" i="11"/>
  <c r="S65" i="11"/>
  <c r="S66" i="11"/>
  <c r="S67" i="11"/>
  <c r="S68" i="11"/>
  <c r="S69" i="11"/>
  <c r="S70" i="11"/>
  <c r="S71" i="11"/>
  <c r="S72" i="11"/>
  <c r="S73" i="11"/>
  <c r="S74" i="11"/>
  <c r="S75" i="11"/>
  <c r="S76" i="11"/>
  <c r="S77" i="11"/>
  <c r="S78" i="11"/>
  <c r="S79" i="11"/>
  <c r="S80" i="11"/>
  <c r="S81" i="11"/>
  <c r="S82" i="11"/>
  <c r="S83" i="11"/>
  <c r="S84" i="11"/>
  <c r="S85" i="11"/>
  <c r="S86" i="11"/>
  <c r="S87" i="11"/>
  <c r="S88" i="11"/>
  <c r="S89" i="11"/>
  <c r="S90" i="11"/>
  <c r="S91" i="11"/>
  <c r="S92" i="11"/>
  <c r="S93" i="11"/>
  <c r="S94" i="11"/>
  <c r="S95" i="11"/>
  <c r="S96" i="11"/>
  <c r="S97" i="11"/>
  <c r="S98" i="11"/>
  <c r="S99" i="11"/>
  <c r="S100" i="11"/>
  <c r="S101" i="11"/>
  <c r="S102" i="11"/>
  <c r="S103" i="11"/>
  <c r="S104" i="11"/>
  <c r="S105" i="11"/>
  <c r="S106" i="11"/>
  <c r="S107" i="11"/>
  <c r="S108" i="11"/>
  <c r="S109" i="11"/>
  <c r="S110" i="11"/>
  <c r="S111" i="11"/>
  <c r="S112" i="11"/>
  <c r="S113" i="11"/>
  <c r="S114" i="11"/>
  <c r="S115" i="11"/>
  <c r="S116" i="11"/>
  <c r="S117" i="11"/>
  <c r="S118" i="11"/>
  <c r="S119" i="11"/>
  <c r="S120" i="11"/>
  <c r="S121" i="11"/>
  <c r="S122" i="11"/>
  <c r="S123" i="11"/>
  <c r="S124" i="11"/>
  <c r="S125" i="11"/>
  <c r="S126" i="11"/>
  <c r="S127" i="11"/>
  <c r="S128" i="11"/>
  <c r="S129" i="11"/>
  <c r="S130" i="11"/>
  <c r="S131" i="11"/>
  <c r="S132" i="11"/>
  <c r="S133" i="11"/>
  <c r="S134" i="11"/>
  <c r="S135" i="11"/>
  <c r="S136" i="11"/>
  <c r="S137" i="11"/>
  <c r="S138" i="11"/>
  <c r="S139" i="11"/>
  <c r="S140" i="11"/>
  <c r="S141" i="11"/>
  <c r="S142" i="11"/>
  <c r="S143" i="11"/>
  <c r="S144" i="11"/>
  <c r="S145" i="11"/>
  <c r="S146" i="11"/>
  <c r="S147" i="11"/>
  <c r="S148" i="11"/>
  <c r="S149" i="11"/>
  <c r="S150" i="11"/>
  <c r="S151" i="11"/>
  <c r="S152" i="11"/>
  <c r="S153" i="11"/>
  <c r="S154" i="11"/>
  <c r="S155" i="11"/>
  <c r="S156" i="11"/>
  <c r="S157" i="11"/>
  <c r="S158" i="11"/>
  <c r="S159" i="11"/>
  <c r="S160" i="11"/>
  <c r="S161" i="11"/>
  <c r="S162" i="11"/>
  <c r="S163" i="11"/>
  <c r="S164" i="11"/>
  <c r="S165" i="11"/>
  <c r="S166" i="11"/>
  <c r="S167" i="11"/>
  <c r="S168" i="11"/>
  <c r="S169" i="11"/>
  <c r="S170" i="11"/>
  <c r="S171" i="11"/>
  <c r="S172" i="11"/>
  <c r="S173" i="11"/>
  <c r="S174" i="11"/>
  <c r="S175" i="11"/>
  <c r="S176" i="11"/>
  <c r="S177" i="11"/>
  <c r="S178" i="11"/>
  <c r="S179" i="11"/>
  <c r="S180" i="11"/>
  <c r="S181" i="11"/>
  <c r="S182" i="11"/>
  <c r="S183" i="11"/>
  <c r="S184" i="11"/>
  <c r="S185" i="11"/>
  <c r="S186" i="11"/>
  <c r="S187" i="11"/>
  <c r="S188" i="11"/>
  <c r="S189" i="11"/>
  <c r="S190" i="11"/>
  <c r="S191" i="11"/>
  <c r="S192" i="11"/>
  <c r="S193" i="11"/>
  <c r="S194" i="11"/>
  <c r="S195" i="11"/>
  <c r="S196" i="11"/>
  <c r="S197" i="11"/>
  <c r="S198" i="11"/>
  <c r="S199" i="11"/>
  <c r="S200" i="11"/>
  <c r="S201" i="11"/>
  <c r="S202" i="11"/>
  <c r="S203" i="11"/>
  <c r="S204" i="11"/>
  <c r="S205" i="11"/>
  <c r="S206" i="11"/>
  <c r="S207" i="11"/>
  <c r="S208" i="11"/>
  <c r="S209" i="11"/>
  <c r="S210" i="11"/>
  <c r="S211" i="11"/>
  <c r="S212" i="11"/>
  <c r="S213" i="11"/>
  <c r="S214" i="11"/>
  <c r="S215" i="11"/>
  <c r="S216" i="11"/>
  <c r="S217" i="11"/>
  <c r="S218" i="11"/>
  <c r="S219" i="11"/>
  <c r="S220" i="11"/>
  <c r="S221" i="11"/>
  <c r="S222" i="11"/>
  <c r="S223" i="11"/>
  <c r="S224" i="11"/>
  <c r="S225" i="11"/>
  <c r="S226" i="11"/>
  <c r="S227" i="11"/>
  <c r="S228" i="11"/>
  <c r="S229" i="11"/>
  <c r="S230" i="11"/>
  <c r="S231" i="11"/>
  <c r="S232" i="11"/>
  <c r="S233" i="11"/>
  <c r="S234" i="11"/>
  <c r="S235" i="11"/>
  <c r="S236" i="11"/>
  <c r="S237" i="11"/>
  <c r="S238" i="11"/>
  <c r="S239" i="11"/>
  <c r="S240" i="11"/>
  <c r="S241" i="11"/>
  <c r="S242" i="11"/>
  <c r="S243" i="11"/>
  <c r="S244" i="11"/>
  <c r="S245" i="11"/>
  <c r="S246" i="11"/>
  <c r="S247" i="11"/>
  <c r="S248" i="11"/>
  <c r="S249" i="11"/>
  <c r="S250" i="11"/>
  <c r="S251" i="11"/>
  <c r="S252" i="11"/>
  <c r="S253" i="11"/>
  <c r="S254" i="11"/>
  <c r="S255" i="11"/>
  <c r="S256" i="11"/>
  <c r="S257" i="11"/>
  <c r="S258" i="11"/>
  <c r="S259" i="11"/>
  <c r="S260" i="11"/>
  <c r="S261" i="11"/>
  <c r="S262" i="11"/>
  <c r="S263" i="11"/>
  <c r="S264" i="11"/>
  <c r="S265" i="11"/>
  <c r="S266" i="11"/>
  <c r="S267" i="11"/>
  <c r="S268" i="11"/>
  <c r="S269" i="11"/>
  <c r="S270" i="11"/>
  <c r="S271" i="11"/>
  <c r="S272" i="11"/>
  <c r="S273" i="11"/>
  <c r="S274" i="11"/>
  <c r="S275" i="11"/>
  <c r="S276" i="11"/>
  <c r="S277" i="11"/>
  <c r="S278" i="11"/>
  <c r="S279" i="11"/>
  <c r="S280" i="11"/>
  <c r="S281" i="11"/>
  <c r="S282" i="11"/>
  <c r="S283" i="11"/>
  <c r="S284" i="11"/>
  <c r="S285" i="11"/>
  <c r="S286" i="11"/>
  <c r="S287" i="11"/>
  <c r="S288" i="11"/>
  <c r="S289" i="11"/>
  <c r="S290" i="11"/>
  <c r="S291" i="11"/>
  <c r="S292" i="11"/>
  <c r="S293" i="11"/>
  <c r="S294" i="11"/>
  <c r="S295" i="11"/>
  <c r="S296" i="11"/>
  <c r="S297" i="11"/>
  <c r="S298" i="11"/>
  <c r="S299" i="11"/>
  <c r="S300" i="11"/>
  <c r="S301" i="11"/>
  <c r="S302" i="11"/>
  <c r="S303" i="11"/>
  <c r="S304" i="11"/>
  <c r="S305" i="11"/>
  <c r="S306" i="11"/>
  <c r="S307" i="11"/>
  <c r="S308" i="11"/>
  <c r="S309" i="11"/>
  <c r="S310" i="11"/>
  <c r="S311" i="11"/>
  <c r="S312" i="11"/>
  <c r="S313" i="11"/>
  <c r="S314" i="11"/>
  <c r="S315" i="11"/>
  <c r="S316" i="11"/>
  <c r="S317" i="11"/>
  <c r="S318" i="11"/>
  <c r="S319" i="11"/>
  <c r="S320" i="11"/>
  <c r="S321" i="11"/>
  <c r="S322" i="11"/>
  <c r="S323" i="11"/>
  <c r="S324" i="11"/>
  <c r="S325" i="11"/>
  <c r="S326" i="11"/>
  <c r="S327" i="11"/>
  <c r="S328" i="11"/>
  <c r="S329" i="11"/>
  <c r="S330" i="11"/>
  <c r="S331" i="11"/>
  <c r="S332" i="11"/>
  <c r="S333" i="11"/>
  <c r="S334" i="11"/>
  <c r="S335" i="11"/>
  <c r="S336" i="11"/>
  <c r="S337" i="11"/>
  <c r="S338" i="11"/>
  <c r="S339" i="11"/>
  <c r="S340" i="11"/>
  <c r="S341" i="11"/>
  <c r="S342" i="11"/>
  <c r="S343" i="11"/>
  <c r="S344" i="11"/>
  <c r="S345" i="11"/>
  <c r="S346" i="11"/>
  <c r="S347" i="11"/>
  <c r="S348" i="11"/>
  <c r="S349" i="11"/>
  <c r="S350" i="11"/>
  <c r="S351" i="11"/>
  <c r="S352" i="11"/>
  <c r="S353" i="11"/>
  <c r="S354" i="11"/>
  <c r="S355" i="11"/>
  <c r="S356" i="11"/>
  <c r="S357" i="11"/>
  <c r="S358" i="11"/>
  <c r="S359" i="11"/>
  <c r="S360" i="11"/>
  <c r="S361" i="11"/>
  <c r="S362" i="11"/>
  <c r="S363" i="11"/>
  <c r="S364" i="11"/>
  <c r="S365" i="11"/>
  <c r="S366" i="11"/>
  <c r="S367" i="11"/>
  <c r="S368" i="11"/>
  <c r="S369" i="11"/>
  <c r="S370" i="11"/>
  <c r="S371" i="11"/>
  <c r="S372" i="11"/>
  <c r="S373" i="11"/>
  <c r="S374" i="11"/>
  <c r="S375" i="11"/>
  <c r="S376" i="11"/>
  <c r="S377" i="11"/>
  <c r="S378" i="11"/>
  <c r="S379" i="11"/>
  <c r="S380" i="11"/>
  <c r="S381" i="11"/>
  <c r="S382" i="11"/>
  <c r="S383" i="11"/>
  <c r="S384" i="11"/>
  <c r="S385" i="11"/>
  <c r="S386" i="11"/>
  <c r="S387" i="11"/>
  <c r="S388" i="11"/>
  <c r="S389" i="11"/>
  <c r="S390" i="11"/>
  <c r="S391" i="11"/>
  <c r="S392" i="11"/>
  <c r="S393" i="11"/>
  <c r="S394" i="11"/>
  <c r="S395" i="11"/>
  <c r="S396" i="11"/>
  <c r="S397" i="11"/>
  <c r="S398" i="11"/>
  <c r="S399" i="11"/>
  <c r="S400" i="11"/>
  <c r="S401" i="11"/>
  <c r="S402" i="11"/>
  <c r="S403" i="11"/>
  <c r="S404" i="11"/>
  <c r="S405" i="11"/>
  <c r="S406" i="11"/>
  <c r="S407" i="11"/>
  <c r="S408" i="11"/>
  <c r="S409" i="11"/>
  <c r="S410" i="11"/>
  <c r="S411" i="11"/>
  <c r="S412" i="11"/>
  <c r="S413" i="11"/>
  <c r="S414" i="11"/>
  <c r="S415" i="11"/>
  <c r="S416" i="11"/>
  <c r="S417" i="11"/>
  <c r="S418" i="11"/>
  <c r="S419" i="11"/>
  <c r="S420" i="11"/>
  <c r="S421" i="11"/>
  <c r="S422" i="11"/>
  <c r="S423" i="11"/>
  <c r="S424" i="11"/>
  <c r="S425" i="11"/>
  <c r="S426" i="11"/>
  <c r="S427" i="11"/>
  <c r="S428" i="11"/>
  <c r="S429" i="11"/>
  <c r="S430" i="11"/>
  <c r="S431" i="11"/>
  <c r="S432" i="11"/>
  <c r="S433" i="11"/>
  <c r="S434" i="11"/>
  <c r="S435" i="11"/>
  <c r="S436" i="11"/>
  <c r="S437" i="11"/>
  <c r="S438" i="11"/>
  <c r="S439" i="11"/>
  <c r="S440" i="11"/>
  <c r="S441" i="11"/>
  <c r="S442" i="11"/>
  <c r="S443" i="11"/>
  <c r="S444" i="11"/>
  <c r="S445" i="11"/>
  <c r="S446" i="11"/>
  <c r="S447" i="11"/>
  <c r="S448" i="11"/>
  <c r="S449" i="11"/>
  <c r="S450" i="11"/>
  <c r="S451" i="11"/>
  <c r="S452" i="11"/>
  <c r="S453" i="11"/>
  <c r="S454" i="11"/>
  <c r="S455" i="11"/>
  <c r="S456" i="11"/>
  <c r="S457" i="11"/>
  <c r="S458" i="11"/>
  <c r="S459" i="11"/>
  <c r="S460" i="11"/>
  <c r="S461" i="11"/>
  <c r="S462" i="11"/>
  <c r="S463" i="11"/>
  <c r="S464" i="11"/>
  <c r="S465" i="11"/>
  <c r="S466" i="11"/>
  <c r="S467" i="11"/>
  <c r="S468" i="11"/>
  <c r="S469" i="11"/>
  <c r="S470" i="11"/>
  <c r="S471" i="11"/>
  <c r="S472" i="11"/>
  <c r="S473" i="11"/>
  <c r="S474" i="11"/>
  <c r="S475" i="11"/>
  <c r="S476" i="11"/>
  <c r="S477" i="11"/>
  <c r="S478" i="11"/>
  <c r="S479" i="11"/>
  <c r="S480" i="11"/>
  <c r="S481" i="11"/>
  <c r="S482" i="11"/>
  <c r="S483" i="11"/>
  <c r="S484" i="11"/>
  <c r="S485" i="11"/>
  <c r="S486" i="11"/>
  <c r="S487" i="11"/>
  <c r="S488" i="11"/>
  <c r="S489" i="11"/>
  <c r="S490" i="11"/>
  <c r="S491" i="11"/>
  <c r="S492" i="11"/>
  <c r="S493" i="11"/>
  <c r="S494" i="11"/>
  <c r="S495" i="11"/>
  <c r="S496" i="11"/>
  <c r="S497" i="11"/>
  <c r="S498" i="11"/>
  <c r="S499" i="11"/>
  <c r="S500" i="11"/>
  <c r="S501" i="11"/>
  <c r="S502" i="11"/>
  <c r="S503" i="11"/>
  <c r="S504" i="11"/>
  <c r="S505" i="11"/>
  <c r="S506" i="11"/>
  <c r="S507" i="11"/>
  <c r="S508" i="11"/>
  <c r="S509" i="11"/>
  <c r="S510" i="11"/>
  <c r="S511" i="11"/>
  <c r="S512" i="11"/>
  <c r="S513" i="11"/>
  <c r="S514" i="11"/>
  <c r="S515" i="11"/>
  <c r="S516" i="11"/>
  <c r="S517" i="11"/>
  <c r="S518" i="11"/>
  <c r="S519" i="11"/>
  <c r="S520" i="11"/>
  <c r="S521" i="11"/>
  <c r="S522" i="11"/>
  <c r="S523" i="11"/>
  <c r="S524" i="11"/>
  <c r="S525" i="11"/>
  <c r="S526" i="11"/>
  <c r="S527" i="11"/>
  <c r="S528" i="11"/>
  <c r="S529" i="11"/>
  <c r="S530" i="11"/>
  <c r="S531" i="11"/>
  <c r="S532" i="11"/>
  <c r="S533" i="11"/>
  <c r="S534" i="11"/>
  <c r="S535" i="11"/>
  <c r="S536" i="11"/>
  <c r="S537" i="11"/>
  <c r="S538" i="11"/>
  <c r="S539" i="11"/>
  <c r="S540" i="11"/>
  <c r="S541" i="11"/>
  <c r="S542" i="11"/>
  <c r="S543" i="11"/>
  <c r="S544" i="11"/>
  <c r="S545" i="11"/>
  <c r="S546" i="11"/>
  <c r="S547" i="11"/>
  <c r="S548" i="11"/>
  <c r="S549" i="11"/>
  <c r="S550" i="11"/>
  <c r="S551" i="11"/>
  <c r="S552" i="11"/>
  <c r="S553" i="11"/>
  <c r="S554" i="11"/>
  <c r="S555" i="11"/>
  <c r="S556" i="11"/>
  <c r="S557" i="11"/>
  <c r="S558" i="11"/>
  <c r="S559" i="11"/>
  <c r="S560" i="11"/>
  <c r="S561" i="11"/>
  <c r="S562" i="11"/>
  <c r="S563" i="11"/>
  <c r="S564" i="11"/>
  <c r="S565" i="11"/>
  <c r="S566" i="11"/>
  <c r="S567" i="11"/>
  <c r="S568" i="11"/>
  <c r="S569" i="11"/>
  <c r="S570" i="11"/>
  <c r="S571" i="11"/>
  <c r="S572" i="11"/>
  <c r="S573" i="11"/>
  <c r="S574" i="11"/>
  <c r="S575" i="11"/>
  <c r="S576" i="11"/>
  <c r="S577" i="11"/>
  <c r="S578" i="11"/>
  <c r="S579" i="11"/>
  <c r="S580" i="11"/>
  <c r="S581" i="11"/>
  <c r="S582" i="11"/>
  <c r="S583" i="11"/>
  <c r="S584" i="11"/>
  <c r="S585" i="11"/>
  <c r="S586" i="11"/>
  <c r="S587" i="11"/>
  <c r="S588" i="11"/>
  <c r="S589" i="11"/>
  <c r="S590" i="11"/>
  <c r="S591" i="11"/>
  <c r="S592" i="11"/>
  <c r="S593" i="11"/>
  <c r="S594" i="11"/>
  <c r="S595" i="11"/>
  <c r="S596" i="11"/>
  <c r="S597" i="11"/>
  <c r="S598" i="11"/>
  <c r="S599" i="11"/>
  <c r="S600" i="11"/>
  <c r="S601" i="11"/>
  <c r="S602" i="11"/>
  <c r="S603" i="11"/>
  <c r="S604" i="11"/>
  <c r="S605" i="11"/>
  <c r="S606" i="11"/>
  <c r="S607" i="11"/>
  <c r="S608" i="11"/>
  <c r="S609" i="11"/>
  <c r="S610" i="11"/>
  <c r="S611" i="11"/>
  <c r="S612" i="11"/>
  <c r="S613" i="11"/>
  <c r="S614" i="11"/>
  <c r="S615" i="11"/>
  <c r="S616" i="11"/>
  <c r="S617" i="11"/>
  <c r="S618" i="11"/>
  <c r="S619" i="11"/>
  <c r="S620" i="11"/>
  <c r="S621" i="11"/>
  <c r="S622" i="11"/>
  <c r="S623" i="11"/>
  <c r="S624" i="11"/>
  <c r="S625" i="11"/>
  <c r="S626" i="11"/>
  <c r="S627" i="11"/>
  <c r="S628" i="11"/>
  <c r="S629" i="11"/>
  <c r="S630" i="11"/>
  <c r="S631" i="11"/>
  <c r="S632" i="11"/>
  <c r="S633" i="11"/>
  <c r="S634" i="11"/>
  <c r="S635" i="11"/>
  <c r="S636" i="11"/>
  <c r="S637" i="11"/>
  <c r="S638" i="11"/>
  <c r="S639" i="11"/>
  <c r="S640" i="11"/>
  <c r="S641" i="11"/>
  <c r="S642" i="11"/>
  <c r="S643" i="11"/>
  <c r="S644" i="11"/>
  <c r="S645" i="11"/>
  <c r="S646" i="11"/>
  <c r="S647" i="11"/>
  <c r="S648" i="11"/>
  <c r="S649" i="11"/>
  <c r="S650" i="11"/>
  <c r="S651" i="11"/>
  <c r="S652" i="11"/>
  <c r="S653" i="11"/>
  <c r="S654" i="11"/>
  <c r="S655" i="11"/>
  <c r="S656" i="11"/>
  <c r="S657" i="11"/>
  <c r="S658" i="11"/>
  <c r="S659" i="11"/>
  <c r="S660" i="11"/>
  <c r="S661" i="11"/>
  <c r="S662" i="11"/>
  <c r="S663" i="11"/>
  <c r="S664" i="11"/>
  <c r="S665" i="11"/>
  <c r="S666" i="11"/>
  <c r="S667" i="11"/>
  <c r="S668" i="11"/>
  <c r="S669" i="11"/>
  <c r="S670" i="11"/>
  <c r="S671" i="11"/>
  <c r="S672" i="11"/>
  <c r="S673" i="11"/>
  <c r="S674" i="11"/>
  <c r="S675" i="11"/>
  <c r="S676" i="11"/>
  <c r="S677" i="11"/>
  <c r="S678" i="11"/>
  <c r="S679" i="11"/>
  <c r="S680" i="11"/>
  <c r="S681" i="11"/>
  <c r="S682" i="11"/>
  <c r="S683" i="11"/>
  <c r="S684" i="11"/>
  <c r="S685" i="11"/>
  <c r="S686" i="11"/>
  <c r="S687" i="11"/>
  <c r="S688" i="11"/>
  <c r="S689" i="11"/>
  <c r="S690" i="11"/>
  <c r="S691" i="11"/>
  <c r="S692" i="11"/>
  <c r="S693" i="11"/>
  <c r="S694" i="11"/>
  <c r="S695" i="11"/>
  <c r="S696" i="11"/>
  <c r="S697" i="11"/>
  <c r="S698" i="11"/>
  <c r="S699" i="11"/>
  <c r="S700" i="11"/>
  <c r="S701" i="11"/>
  <c r="S702" i="11"/>
  <c r="S703" i="11"/>
  <c r="S704" i="11"/>
  <c r="S705" i="11"/>
  <c r="S706" i="11"/>
  <c r="S707" i="11"/>
  <c r="S708" i="11"/>
  <c r="S709" i="11"/>
  <c r="S710" i="11"/>
  <c r="S711" i="11"/>
  <c r="S712" i="11"/>
  <c r="S713" i="11"/>
  <c r="S714" i="11"/>
  <c r="S715" i="11"/>
  <c r="S716" i="11"/>
  <c r="S717" i="11"/>
  <c r="S718" i="11"/>
  <c r="S719" i="11"/>
  <c r="S720" i="11"/>
  <c r="S721" i="11"/>
  <c r="S722" i="11"/>
  <c r="S723" i="11"/>
  <c r="S724" i="11"/>
  <c r="S725" i="11"/>
  <c r="S726" i="11"/>
  <c r="S727" i="11"/>
  <c r="S728" i="11"/>
  <c r="S729" i="11"/>
  <c r="S730" i="11"/>
  <c r="S731" i="11"/>
  <c r="S732" i="11"/>
  <c r="S733" i="11"/>
  <c r="S734" i="11"/>
  <c r="S735" i="11"/>
  <c r="S736" i="11"/>
  <c r="S737" i="11"/>
  <c r="S738" i="11"/>
  <c r="S739" i="11"/>
  <c r="S740" i="11"/>
  <c r="S741" i="11"/>
  <c r="S742" i="11"/>
  <c r="S743" i="11"/>
  <c r="S744" i="11"/>
  <c r="S745" i="11"/>
  <c r="S746" i="11"/>
  <c r="S747" i="11"/>
  <c r="S748" i="11"/>
  <c r="S749" i="11"/>
  <c r="S750" i="11"/>
  <c r="S751" i="11"/>
  <c r="S752" i="11"/>
  <c r="S753" i="11"/>
  <c r="S754" i="11"/>
  <c r="S755" i="11"/>
  <c r="S756" i="11"/>
  <c r="S757" i="11"/>
  <c r="S758" i="11"/>
  <c r="S759" i="11"/>
  <c r="S760" i="11"/>
  <c r="S761" i="11"/>
  <c r="S762" i="11"/>
  <c r="S763" i="11"/>
  <c r="S764" i="11"/>
  <c r="S765" i="11"/>
  <c r="S766" i="11"/>
  <c r="S767" i="11"/>
  <c r="S768" i="11"/>
  <c r="S769" i="11"/>
  <c r="S770" i="11"/>
  <c r="S771" i="11"/>
  <c r="S772" i="11"/>
  <c r="S773" i="11"/>
  <c r="S774" i="11"/>
  <c r="S775" i="11"/>
  <c r="S776" i="11"/>
  <c r="S777" i="11"/>
  <c r="S778" i="11"/>
  <c r="S779" i="11"/>
  <c r="S780" i="11"/>
  <c r="S781" i="11"/>
  <c r="S782" i="11"/>
  <c r="S783" i="11"/>
  <c r="S784" i="11"/>
  <c r="S785" i="11"/>
  <c r="S786" i="11"/>
  <c r="S787" i="11"/>
  <c r="S788" i="11"/>
  <c r="S789" i="11"/>
  <c r="S790" i="11"/>
  <c r="S791" i="11"/>
  <c r="S792" i="11"/>
  <c r="S793" i="11"/>
  <c r="S794" i="11"/>
  <c r="S795" i="11"/>
  <c r="S796" i="11"/>
  <c r="S797" i="11"/>
  <c r="S798" i="11"/>
  <c r="S799" i="11"/>
  <c r="S800" i="11"/>
  <c r="S801" i="11"/>
  <c r="S802" i="11"/>
  <c r="S803" i="11"/>
  <c r="S804" i="11"/>
  <c r="S805" i="11"/>
  <c r="S806" i="11"/>
  <c r="S807" i="11"/>
  <c r="S808" i="11"/>
  <c r="S809" i="11"/>
  <c r="S810" i="11"/>
  <c r="S811" i="11"/>
  <c r="S812" i="11"/>
  <c r="S813" i="11"/>
  <c r="S814" i="11"/>
  <c r="S815" i="11"/>
  <c r="S816" i="11"/>
  <c r="S817" i="11"/>
  <c r="S818" i="11"/>
  <c r="S819" i="11"/>
  <c r="S820" i="11"/>
  <c r="S821" i="11"/>
  <c r="S822" i="11"/>
  <c r="S823" i="11"/>
  <c r="S824" i="11"/>
  <c r="S825" i="11"/>
  <c r="S826" i="11"/>
  <c r="S827" i="11"/>
  <c r="S828" i="11"/>
  <c r="S829" i="11"/>
  <c r="S830" i="11"/>
  <c r="S831" i="11"/>
  <c r="S832" i="11"/>
  <c r="S833" i="11"/>
  <c r="S834" i="11"/>
  <c r="S835" i="11"/>
  <c r="S836" i="11"/>
  <c r="S837" i="11"/>
  <c r="S838" i="11"/>
  <c r="S839" i="11"/>
  <c r="S840" i="11"/>
  <c r="S841" i="11"/>
  <c r="S842" i="11"/>
  <c r="S843" i="11"/>
  <c r="S844" i="11"/>
  <c r="S845" i="11"/>
  <c r="S846" i="11"/>
  <c r="S847" i="11"/>
  <c r="S848" i="11"/>
  <c r="S849" i="11"/>
  <c r="S850" i="11"/>
  <c r="S851" i="11"/>
  <c r="S852" i="11"/>
  <c r="S853" i="11"/>
  <c r="S854" i="11"/>
  <c r="S855" i="11"/>
  <c r="S856" i="11"/>
  <c r="S857" i="11"/>
  <c r="S858" i="11"/>
  <c r="S859" i="11"/>
  <c r="S860" i="11"/>
  <c r="S861" i="11"/>
  <c r="S862" i="11"/>
  <c r="S863" i="11"/>
  <c r="S864" i="11"/>
  <c r="S865" i="11"/>
  <c r="S866" i="11"/>
  <c r="S867" i="11"/>
  <c r="S868" i="11"/>
  <c r="S869" i="11"/>
  <c r="S870" i="11"/>
  <c r="S871" i="11"/>
  <c r="S872" i="11"/>
  <c r="S873" i="11"/>
  <c r="S874" i="11"/>
  <c r="S875" i="11"/>
  <c r="S876" i="11"/>
  <c r="S877" i="11"/>
  <c r="S878" i="11"/>
  <c r="S879" i="11"/>
  <c r="S880" i="11"/>
  <c r="S881" i="11"/>
  <c r="S882" i="11"/>
  <c r="S883" i="11"/>
  <c r="S884" i="11"/>
  <c r="S885" i="11"/>
  <c r="S886" i="11"/>
  <c r="S887" i="11"/>
  <c r="S888" i="11"/>
  <c r="S889" i="11"/>
  <c r="S890" i="11"/>
  <c r="S891" i="11"/>
  <c r="S892" i="11"/>
  <c r="S893" i="11"/>
  <c r="S894" i="11"/>
  <c r="S895" i="11"/>
  <c r="S896" i="11"/>
  <c r="S897" i="11"/>
  <c r="S898" i="11"/>
  <c r="S899" i="11"/>
  <c r="S900" i="11"/>
  <c r="S901" i="11"/>
  <c r="S902" i="11"/>
  <c r="S903" i="11"/>
  <c r="S904" i="11"/>
  <c r="S905" i="11"/>
  <c r="S906" i="11"/>
  <c r="S907" i="11"/>
  <c r="S908" i="11"/>
  <c r="S909" i="11"/>
  <c r="S910" i="11"/>
  <c r="S911" i="11"/>
  <c r="S912" i="11"/>
  <c r="S913" i="11"/>
  <c r="S914" i="11"/>
  <c r="S915" i="11"/>
  <c r="S916" i="11"/>
  <c r="S917" i="11"/>
  <c r="S918" i="11"/>
  <c r="S919" i="11"/>
  <c r="S920" i="11"/>
  <c r="S921" i="11"/>
  <c r="S922" i="11"/>
  <c r="S923" i="11"/>
  <c r="S924" i="11"/>
  <c r="S925" i="11"/>
  <c r="S926" i="11"/>
  <c r="S927" i="11"/>
  <c r="S928" i="11"/>
  <c r="S929" i="11"/>
  <c r="S930" i="11"/>
  <c r="S931" i="11"/>
  <c r="S932" i="11"/>
  <c r="S933" i="11"/>
  <c r="S934" i="11"/>
  <c r="S935" i="11"/>
  <c r="S936" i="11"/>
  <c r="S937" i="11"/>
  <c r="S938" i="11"/>
  <c r="S939" i="11"/>
  <c r="S940" i="11"/>
  <c r="S941" i="11"/>
  <c r="S942" i="11"/>
  <c r="S943" i="11"/>
  <c r="S944" i="11"/>
  <c r="S945" i="11"/>
  <c r="S946" i="11"/>
  <c r="S947" i="11"/>
  <c r="S948" i="11"/>
  <c r="S949" i="11"/>
  <c r="S950" i="11"/>
  <c r="S951" i="11"/>
  <c r="S952" i="11"/>
  <c r="S953" i="11"/>
  <c r="S954" i="11"/>
  <c r="S955" i="11"/>
  <c r="S956" i="11"/>
  <c r="S957" i="11"/>
  <c r="S958" i="11"/>
  <c r="S959" i="11"/>
  <c r="S960" i="11"/>
  <c r="S961" i="11"/>
  <c r="S962" i="11"/>
  <c r="S963" i="11"/>
  <c r="S964" i="11"/>
  <c r="S965" i="11"/>
  <c r="S966" i="11"/>
  <c r="S967" i="11"/>
  <c r="S968" i="11"/>
  <c r="S969" i="11"/>
  <c r="S970" i="11"/>
  <c r="S971" i="11"/>
  <c r="S972" i="11"/>
  <c r="S973" i="11"/>
  <c r="S974" i="11"/>
  <c r="S975" i="11"/>
  <c r="S976" i="11"/>
  <c r="S977" i="11"/>
  <c r="S978" i="11"/>
  <c r="S979" i="11"/>
  <c r="S980" i="11"/>
  <c r="S981" i="11"/>
  <c r="S982" i="11"/>
  <c r="S983" i="11"/>
  <c r="S984" i="11"/>
  <c r="S985" i="11"/>
  <c r="S986" i="11"/>
  <c r="S987" i="11"/>
  <c r="S988" i="11"/>
  <c r="S989" i="11"/>
  <c r="S990" i="11"/>
  <c r="S991" i="11"/>
  <c r="S992" i="11"/>
  <c r="S993" i="11"/>
  <c r="S994" i="11"/>
  <c r="S995" i="11"/>
  <c r="S996" i="11"/>
  <c r="S997" i="11"/>
  <c r="S998" i="11"/>
  <c r="S999" i="11"/>
  <c r="S1000" i="11"/>
  <c r="S1001" i="11"/>
  <c r="S1002" i="11"/>
  <c r="S1003" i="11"/>
  <c r="S1004" i="11"/>
  <c r="S1005" i="11"/>
  <c r="S1006" i="11"/>
  <c r="S1007" i="11"/>
  <c r="S1008" i="11"/>
  <c r="S1009" i="11"/>
  <c r="S1010" i="11"/>
  <c r="S1011" i="11"/>
  <c r="S1012" i="11"/>
  <c r="S1013" i="11"/>
  <c r="S1014" i="11"/>
  <c r="S1015" i="11"/>
  <c r="S1016" i="11"/>
  <c r="S1017" i="11"/>
  <c r="S1018" i="11"/>
  <c r="S1019" i="11"/>
  <c r="S1020" i="11"/>
  <c r="S1021" i="11"/>
  <c r="S1022" i="11"/>
  <c r="S1023" i="11"/>
  <c r="S1024" i="11"/>
  <c r="S1025" i="11"/>
  <c r="S1026" i="11"/>
  <c r="S1027" i="11"/>
  <c r="S1028" i="11"/>
  <c r="S1029" i="11"/>
  <c r="S1030" i="11"/>
  <c r="S1031" i="11"/>
  <c r="S1032" i="11"/>
  <c r="S1033" i="11"/>
  <c r="S1034" i="11"/>
  <c r="S1035" i="11"/>
  <c r="S1036" i="11"/>
  <c r="S1037" i="11"/>
  <c r="S1038" i="11"/>
  <c r="S1039" i="11"/>
  <c r="S1040" i="11"/>
  <c r="S1041" i="11"/>
  <c r="S1042" i="11"/>
  <c r="S1043" i="11"/>
  <c r="S1044" i="11"/>
  <c r="S1045" i="11"/>
  <c r="S1046" i="11"/>
  <c r="S1047" i="11"/>
  <c r="S1048" i="11"/>
  <c r="S1049" i="11"/>
  <c r="S1050" i="11"/>
  <c r="S1051" i="11"/>
  <c r="S1052" i="11"/>
  <c r="S1053" i="11"/>
  <c r="S1054" i="11"/>
  <c r="S1055" i="11"/>
  <c r="S1056" i="11"/>
  <c r="S1057" i="11"/>
  <c r="S1058" i="11"/>
  <c r="S1059" i="11"/>
  <c r="S1060" i="11"/>
  <c r="S1061" i="11"/>
  <c r="S1062" i="11"/>
  <c r="S1063" i="11"/>
  <c r="S1064" i="11"/>
  <c r="S1065" i="11"/>
  <c r="S1066" i="11"/>
  <c r="S1067" i="11"/>
  <c r="S1068" i="11"/>
  <c r="S1069" i="11"/>
  <c r="S1070" i="11"/>
  <c r="S1071" i="11"/>
  <c r="S1072" i="11"/>
  <c r="S1073" i="11"/>
  <c r="S1074" i="11"/>
  <c r="S1075" i="11"/>
  <c r="S1076" i="11"/>
  <c r="S1077" i="11"/>
  <c r="S1078" i="11"/>
  <c r="S1079" i="11"/>
  <c r="S1080" i="11"/>
  <c r="S1081" i="11"/>
  <c r="S1082" i="11"/>
  <c r="S1083" i="11"/>
  <c r="S1084" i="11"/>
  <c r="S1085" i="11"/>
  <c r="S1086" i="11"/>
  <c r="S1087" i="11"/>
  <c r="S1088" i="11"/>
  <c r="S1089" i="11"/>
  <c r="S1090" i="11"/>
  <c r="S1091" i="11"/>
  <c r="S1092" i="11"/>
  <c r="S1093" i="11"/>
  <c r="S1094" i="11"/>
  <c r="S1095" i="11"/>
  <c r="S1096" i="11"/>
  <c r="S1097" i="11"/>
  <c r="S1098" i="11"/>
  <c r="S1099" i="11"/>
  <c r="S1100" i="11"/>
  <c r="S1101" i="11"/>
  <c r="S1102" i="11"/>
  <c r="S1103" i="11"/>
  <c r="S1104" i="11"/>
  <c r="S1105" i="11"/>
  <c r="S1106" i="11"/>
  <c r="S1107" i="11"/>
  <c r="S1108" i="11"/>
  <c r="S1109" i="11"/>
  <c r="S1110" i="11"/>
  <c r="S1111" i="11"/>
  <c r="S1112" i="11"/>
  <c r="S1113" i="11"/>
  <c r="S1114" i="11"/>
  <c r="S1115" i="11"/>
  <c r="S1116" i="11"/>
  <c r="S1117" i="11"/>
  <c r="S1118" i="11"/>
  <c r="S1119" i="11"/>
  <c r="S1120" i="11"/>
  <c r="S1121" i="11"/>
  <c r="S1122" i="11"/>
  <c r="S1123" i="11"/>
  <c r="S1124" i="11"/>
  <c r="S1125" i="11"/>
  <c r="S1126" i="11"/>
  <c r="S1127" i="11"/>
  <c r="S1128" i="11"/>
  <c r="S1129" i="11"/>
  <c r="S1130" i="11"/>
  <c r="S1131" i="11"/>
  <c r="S1132" i="11"/>
  <c r="S1133" i="11"/>
  <c r="S1134" i="11"/>
  <c r="S1135" i="11"/>
  <c r="S1136" i="11"/>
  <c r="S1137" i="11"/>
  <c r="S1138" i="11"/>
  <c r="S1139" i="11"/>
  <c r="S1140" i="11"/>
  <c r="S1141" i="11"/>
  <c r="S1142" i="11"/>
  <c r="S1143" i="11"/>
  <c r="S1144" i="11"/>
  <c r="S1145" i="11"/>
  <c r="S1146" i="11"/>
  <c r="S1147" i="11"/>
  <c r="S1148" i="11"/>
  <c r="S1149" i="11"/>
  <c r="S1150" i="11"/>
  <c r="S1151" i="11"/>
  <c r="S1152" i="11"/>
  <c r="S1153" i="11"/>
  <c r="S1154" i="11"/>
  <c r="S1155" i="11"/>
  <c r="S1156" i="11"/>
  <c r="S1157" i="11"/>
  <c r="S1158" i="11"/>
  <c r="S1159" i="11"/>
  <c r="S1160" i="11"/>
  <c r="S1161" i="11"/>
  <c r="S1162" i="11"/>
  <c r="S1163" i="11"/>
  <c r="S1164" i="11"/>
  <c r="S1165" i="11"/>
  <c r="S1166" i="11"/>
  <c r="S1167" i="11"/>
  <c r="S1168" i="11"/>
  <c r="S1169" i="11"/>
  <c r="S1170" i="11"/>
  <c r="S1171" i="11"/>
  <c r="S1172" i="11"/>
  <c r="S1173" i="11"/>
  <c r="S1174" i="11"/>
  <c r="S1175" i="11"/>
  <c r="S1176" i="11"/>
  <c r="S1177" i="11"/>
  <c r="S1178" i="11"/>
  <c r="S1179" i="11"/>
  <c r="S1180" i="11"/>
  <c r="S1181" i="11"/>
  <c r="S1182" i="11"/>
  <c r="S1183" i="11"/>
  <c r="S1184" i="11"/>
  <c r="S1185" i="11"/>
  <c r="S1186" i="11"/>
  <c r="S1187" i="11"/>
  <c r="S1188" i="11"/>
  <c r="S1189" i="11"/>
  <c r="S1190" i="11"/>
  <c r="S1191" i="11"/>
  <c r="S1192" i="11"/>
  <c r="S1193" i="11"/>
  <c r="S1194" i="11"/>
  <c r="S1195" i="11"/>
  <c r="S1196" i="11"/>
  <c r="S1197" i="11"/>
  <c r="S1198" i="11"/>
  <c r="S1199" i="11"/>
  <c r="S1200" i="11"/>
  <c r="S1201" i="11"/>
  <c r="S1202" i="11"/>
  <c r="S1203" i="11"/>
  <c r="S1204" i="11"/>
  <c r="S1205" i="11"/>
  <c r="S1206" i="11"/>
  <c r="S1207" i="11"/>
  <c r="S1208" i="11"/>
  <c r="S1209" i="11"/>
  <c r="S1210" i="11"/>
  <c r="S1211" i="11"/>
  <c r="S1212" i="11"/>
  <c r="S1213" i="11"/>
  <c r="S1214" i="11"/>
  <c r="S1215" i="11"/>
  <c r="S1216" i="11"/>
  <c r="S1217" i="11"/>
  <c r="S1218" i="11"/>
  <c r="S1219" i="11"/>
  <c r="S1220" i="11"/>
  <c r="S1221" i="11"/>
  <c r="S1222" i="11"/>
  <c r="S1223" i="11"/>
  <c r="S1224" i="11"/>
  <c r="S1225" i="11"/>
  <c r="S1226" i="11"/>
  <c r="S1227" i="11"/>
  <c r="S1228" i="11"/>
  <c r="S1229" i="11"/>
  <c r="S1230" i="11"/>
  <c r="S1231" i="11"/>
  <c r="S1232" i="11"/>
  <c r="S1233" i="11"/>
  <c r="S1234" i="11"/>
  <c r="S1235" i="11"/>
  <c r="S1236" i="11"/>
  <c r="S1237" i="11"/>
  <c r="S1238" i="11"/>
  <c r="S1239" i="11"/>
  <c r="S1240" i="11"/>
  <c r="S1241" i="11"/>
  <c r="S1242" i="11"/>
  <c r="S1243" i="11"/>
  <c r="S1244" i="11"/>
  <c r="S1245" i="11"/>
  <c r="S1246" i="11"/>
  <c r="S1247" i="11"/>
  <c r="S1248" i="11"/>
  <c r="S1249" i="11"/>
  <c r="S1250" i="11"/>
  <c r="S1251" i="11"/>
  <c r="S1252" i="11"/>
  <c r="S1253" i="11"/>
  <c r="S1254" i="11"/>
  <c r="S1255" i="11"/>
  <c r="S1256" i="11"/>
  <c r="S1257" i="11"/>
  <c r="S1258" i="11"/>
  <c r="S1259" i="11"/>
  <c r="S1260" i="11"/>
  <c r="S1261" i="11"/>
  <c r="S1262" i="11"/>
  <c r="S1263" i="11"/>
  <c r="S1264" i="11"/>
  <c r="S1265" i="11"/>
  <c r="S1266" i="11"/>
  <c r="S1267" i="11"/>
  <c r="S1268" i="11"/>
  <c r="S1269" i="11"/>
  <c r="S1270" i="11"/>
  <c r="S1271" i="11"/>
  <c r="S1272" i="11"/>
  <c r="S1273" i="11"/>
  <c r="S1274" i="11"/>
  <c r="S1275" i="11"/>
  <c r="S1276" i="11"/>
  <c r="S1277" i="11"/>
  <c r="S1278" i="11"/>
  <c r="S1279" i="11"/>
  <c r="S1280" i="11"/>
  <c r="S1281" i="11"/>
  <c r="S1282" i="11"/>
  <c r="S1283" i="11"/>
  <c r="S1284" i="11"/>
  <c r="S1285" i="11"/>
  <c r="S1286" i="11"/>
  <c r="S1287" i="11"/>
  <c r="S1288" i="11"/>
  <c r="S1289" i="11"/>
  <c r="S1290" i="11"/>
  <c r="S1291" i="11"/>
  <c r="S1292" i="11"/>
  <c r="S1293" i="11"/>
  <c r="S1294" i="11"/>
  <c r="S1295" i="11"/>
  <c r="S1296" i="11"/>
  <c r="S1297" i="11"/>
  <c r="S1298" i="11"/>
  <c r="S1299" i="11"/>
  <c r="S1300" i="11"/>
  <c r="S1301" i="11"/>
  <c r="S1302" i="11"/>
  <c r="S1303" i="11"/>
  <c r="S1304" i="11"/>
  <c r="S1305" i="11"/>
  <c r="S1306" i="11"/>
  <c r="S1307" i="11"/>
  <c r="S1308" i="11"/>
  <c r="S1309" i="11"/>
  <c r="S1310" i="11"/>
  <c r="S1311" i="11"/>
  <c r="S1312" i="11"/>
  <c r="S1313" i="11"/>
  <c r="S1314" i="11"/>
  <c r="S1315" i="11"/>
  <c r="S1316" i="11"/>
  <c r="S1317" i="11"/>
  <c r="S1318" i="11"/>
  <c r="S1319" i="11"/>
  <c r="S1320" i="11"/>
  <c r="S1321" i="11"/>
  <c r="S1322" i="11"/>
  <c r="S1323" i="11"/>
  <c r="S1324" i="11"/>
  <c r="S1325" i="11"/>
  <c r="S1326" i="11"/>
  <c r="S1327" i="11"/>
  <c r="S1328" i="11"/>
  <c r="S1329" i="11"/>
  <c r="S1330" i="11"/>
  <c r="S1331" i="11"/>
  <c r="S1332" i="11"/>
  <c r="S1333" i="11"/>
  <c r="S1334" i="11"/>
  <c r="S1335" i="11"/>
  <c r="S1336" i="11"/>
  <c r="S1337" i="11"/>
  <c r="S1338" i="11"/>
  <c r="S1339" i="11"/>
  <c r="S1340" i="11"/>
  <c r="S1341" i="11"/>
  <c r="S1342" i="11"/>
  <c r="S1343" i="11"/>
  <c r="S1344" i="11"/>
  <c r="S1345" i="11"/>
  <c r="S1346" i="11"/>
  <c r="S1347" i="11"/>
  <c r="S1348" i="11"/>
  <c r="S1349" i="11"/>
  <c r="S1350" i="11"/>
  <c r="S1351" i="11"/>
  <c r="S1352" i="11"/>
  <c r="S1353" i="11"/>
  <c r="S1354" i="11"/>
  <c r="S1355" i="11"/>
  <c r="S1356" i="11"/>
  <c r="S1357" i="11"/>
  <c r="S1358" i="11"/>
  <c r="S1359" i="11"/>
  <c r="S1360" i="11"/>
  <c r="S1361" i="11"/>
  <c r="S1362" i="11"/>
  <c r="S1363" i="11"/>
  <c r="S1364" i="11"/>
  <c r="S1365" i="11"/>
  <c r="S1366" i="11"/>
  <c r="S1367" i="11"/>
  <c r="S1368" i="11"/>
  <c r="S1369" i="11"/>
  <c r="S1370" i="11"/>
  <c r="S1371" i="11"/>
  <c r="S1372" i="11"/>
  <c r="S1373" i="11"/>
  <c r="S1374" i="11"/>
  <c r="S1375" i="11"/>
  <c r="S1376" i="11"/>
  <c r="S1377" i="11"/>
  <c r="S1378" i="11"/>
  <c r="S1379" i="11"/>
  <c r="S1380" i="11"/>
  <c r="S1381" i="11"/>
  <c r="S1382" i="11"/>
  <c r="S1383" i="11"/>
  <c r="S1384" i="11"/>
  <c r="S1385" i="11"/>
  <c r="S1386" i="11"/>
  <c r="S1387" i="11"/>
  <c r="S1388" i="11"/>
  <c r="S1389" i="11"/>
  <c r="S1390" i="11"/>
  <c r="S1391" i="11"/>
  <c r="S1392" i="11"/>
  <c r="S1393" i="11"/>
  <c r="S1394" i="11"/>
  <c r="S1395" i="11"/>
  <c r="S1396" i="11"/>
  <c r="S1397" i="11"/>
  <c r="S1398" i="11"/>
  <c r="S1399" i="11"/>
  <c r="S1400" i="11"/>
  <c r="S1401" i="11"/>
  <c r="S1402" i="11"/>
  <c r="S1403" i="11"/>
  <c r="S1404" i="11"/>
  <c r="S1405" i="11"/>
  <c r="S1406" i="11"/>
  <c r="S1407" i="11"/>
  <c r="S1408" i="11"/>
  <c r="S1409" i="11"/>
  <c r="S1410" i="11"/>
  <c r="S1411" i="11"/>
  <c r="S1412" i="11"/>
  <c r="S1413" i="11"/>
  <c r="S1414" i="11"/>
  <c r="S1415" i="11"/>
  <c r="S1416" i="11"/>
  <c r="S1417" i="11"/>
  <c r="S1418" i="11"/>
  <c r="S1419" i="11"/>
  <c r="S1420" i="11"/>
  <c r="S1421" i="11"/>
  <c r="S1422" i="11"/>
  <c r="S1423" i="11"/>
  <c r="S1424" i="11"/>
  <c r="S1425" i="11"/>
  <c r="S1426" i="11"/>
  <c r="S1427" i="11"/>
  <c r="S1428" i="11"/>
  <c r="S1429" i="11"/>
  <c r="S1430" i="11"/>
  <c r="S1431" i="11"/>
  <c r="S1432" i="11"/>
  <c r="S1433" i="11"/>
  <c r="S1434" i="11"/>
  <c r="S1435" i="11"/>
  <c r="S1436" i="11"/>
  <c r="S1437" i="11"/>
  <c r="S1438" i="11"/>
  <c r="S1439" i="11"/>
  <c r="S1440" i="11"/>
  <c r="S1441" i="11"/>
  <c r="S1442" i="11"/>
  <c r="S1443" i="11"/>
  <c r="S1444" i="11"/>
  <c r="S1445" i="11"/>
  <c r="S1446" i="11"/>
  <c r="S1447" i="11"/>
  <c r="S1448" i="11"/>
  <c r="S1449" i="11"/>
  <c r="S1450" i="11"/>
  <c r="S1451" i="11"/>
  <c r="S1452" i="11"/>
  <c r="S1453" i="11"/>
  <c r="S1454" i="11"/>
  <c r="S1455" i="11"/>
  <c r="S1456" i="11"/>
  <c r="S1457" i="11"/>
  <c r="S1458" i="11"/>
  <c r="S1459" i="11"/>
  <c r="S1460" i="11"/>
  <c r="S1461" i="11"/>
  <c r="S1462" i="11"/>
  <c r="S1463" i="11"/>
  <c r="S1464" i="11"/>
  <c r="S1465" i="11"/>
  <c r="S1466" i="11"/>
  <c r="S1467" i="11"/>
  <c r="S1468" i="11"/>
  <c r="S1469" i="11"/>
  <c r="S1470" i="11"/>
  <c r="S1471" i="11"/>
  <c r="S1472" i="11"/>
  <c r="S1473" i="11"/>
  <c r="S1474" i="11"/>
  <c r="S1475" i="11"/>
  <c r="S1476" i="11"/>
  <c r="S1477" i="11"/>
  <c r="S1478" i="11"/>
  <c r="S1479" i="11"/>
  <c r="S1480" i="11"/>
  <c r="S1481" i="11"/>
  <c r="S1482" i="11"/>
  <c r="S1483" i="11"/>
  <c r="S1484" i="11"/>
  <c r="S1485" i="11"/>
  <c r="S1486" i="11"/>
  <c r="S1487" i="11"/>
  <c r="S1488" i="11"/>
  <c r="S1489" i="11"/>
  <c r="S1490" i="11"/>
  <c r="S1491" i="11"/>
  <c r="S1492" i="11"/>
  <c r="S1493" i="11"/>
  <c r="S1494" i="11"/>
  <c r="S1495" i="11"/>
  <c r="S1496" i="11"/>
  <c r="S1497" i="11"/>
  <c r="S1498" i="11"/>
  <c r="S1499" i="11"/>
  <c r="S1500" i="11"/>
  <c r="S1501" i="11"/>
  <c r="S1502" i="11"/>
  <c r="S1503" i="11"/>
  <c r="S1504" i="11"/>
  <c r="S1505" i="11"/>
  <c r="S1506" i="11"/>
  <c r="S1507" i="11"/>
  <c r="S1508" i="11"/>
  <c r="S1509" i="11"/>
  <c r="S1510" i="11"/>
  <c r="S1511" i="11"/>
  <c r="S1512" i="11"/>
  <c r="S1513" i="11"/>
  <c r="S1514" i="11"/>
  <c r="S1515" i="11"/>
  <c r="S1516" i="11"/>
  <c r="S1517" i="11"/>
  <c r="S1518" i="11"/>
  <c r="S1519" i="11"/>
  <c r="S1520" i="11"/>
  <c r="S1521" i="11"/>
  <c r="S1522" i="11"/>
  <c r="S1523" i="11"/>
  <c r="S1524" i="11"/>
  <c r="S1525" i="11"/>
  <c r="S1526" i="11"/>
  <c r="S1527" i="11"/>
  <c r="S1528" i="11"/>
  <c r="S1529" i="11"/>
  <c r="S1530" i="11"/>
  <c r="S1531" i="11"/>
  <c r="S1532" i="11"/>
  <c r="S1533" i="11"/>
  <c r="S1534" i="11"/>
  <c r="S1535" i="11"/>
  <c r="S1536" i="11"/>
  <c r="S1537" i="11"/>
  <c r="S1538" i="11"/>
  <c r="S1539" i="11"/>
  <c r="S1540" i="11"/>
  <c r="S1541" i="11"/>
  <c r="S1542" i="11"/>
  <c r="S1543" i="11"/>
  <c r="S1544" i="11"/>
  <c r="S1545" i="11"/>
  <c r="S1546" i="11"/>
  <c r="S1547" i="11"/>
  <c r="S1548" i="11"/>
  <c r="S1549" i="11"/>
  <c r="S1550" i="11"/>
  <c r="S1551" i="11"/>
  <c r="S1552" i="11"/>
  <c r="S1553" i="11"/>
  <c r="S1554" i="11"/>
  <c r="S1555" i="11"/>
  <c r="S1556" i="11"/>
  <c r="S1557" i="11"/>
  <c r="S1558" i="11"/>
  <c r="S1559" i="11"/>
  <c r="S1560" i="11"/>
  <c r="S1561" i="11"/>
  <c r="S1562" i="11"/>
  <c r="S1563" i="11"/>
  <c r="S1564" i="11"/>
  <c r="S1565" i="11"/>
  <c r="S1566" i="11"/>
  <c r="S1567" i="11"/>
  <c r="S1568" i="11"/>
  <c r="S1569" i="11"/>
  <c r="S1570" i="11"/>
  <c r="S1571" i="11"/>
  <c r="S1572" i="11"/>
  <c r="S1573" i="11"/>
  <c r="S1574" i="11"/>
  <c r="S1575" i="11"/>
  <c r="S1576" i="11"/>
  <c r="S1577" i="11"/>
  <c r="S1578" i="11"/>
  <c r="S1579" i="11"/>
  <c r="S1580" i="11"/>
  <c r="S1581" i="11"/>
  <c r="S1582" i="11"/>
  <c r="S1583" i="11"/>
  <c r="S1584" i="11"/>
  <c r="S1585" i="11"/>
  <c r="S1586" i="11"/>
  <c r="S1587" i="11"/>
  <c r="S1588" i="11"/>
  <c r="S1589" i="11"/>
  <c r="S1590" i="11"/>
  <c r="S1591" i="11"/>
  <c r="S1592" i="11"/>
  <c r="S1593" i="11"/>
  <c r="S1594" i="11"/>
  <c r="S1595" i="11"/>
  <c r="S1596" i="11"/>
  <c r="S1597" i="11"/>
  <c r="S1598" i="11"/>
  <c r="S1599" i="11"/>
  <c r="S1600" i="11"/>
  <c r="S1601" i="11"/>
  <c r="S1602" i="11"/>
  <c r="S1603" i="11"/>
  <c r="S1604" i="11"/>
  <c r="S1605" i="11"/>
  <c r="S1606" i="11"/>
  <c r="S1607" i="11"/>
  <c r="S1608" i="11"/>
  <c r="S1609" i="11"/>
  <c r="S1610" i="11"/>
  <c r="S1611" i="11"/>
  <c r="S1612" i="11"/>
  <c r="S1613" i="11"/>
  <c r="S1614" i="11"/>
  <c r="S1615" i="11"/>
  <c r="S1616" i="11"/>
  <c r="S1617" i="11"/>
  <c r="S1618" i="11"/>
  <c r="S1619" i="11"/>
  <c r="S1620" i="11"/>
  <c r="S1621" i="11"/>
  <c r="S1622" i="11"/>
  <c r="S1623" i="11"/>
  <c r="S1624" i="11"/>
  <c r="S1625" i="11"/>
  <c r="S1626" i="11"/>
  <c r="S1627" i="11"/>
  <c r="S1628" i="11"/>
  <c r="S1629" i="11"/>
  <c r="S1630" i="11"/>
  <c r="S1631" i="11"/>
  <c r="S1632" i="11"/>
  <c r="S1633" i="11"/>
  <c r="S1634" i="11"/>
  <c r="S1635" i="11"/>
  <c r="S1636" i="11"/>
  <c r="S1637" i="11"/>
  <c r="S1638" i="11"/>
  <c r="S1639" i="11"/>
  <c r="S1640" i="11"/>
  <c r="S1641" i="11"/>
  <c r="S1642" i="11"/>
  <c r="S1643" i="11"/>
  <c r="S1644" i="11"/>
  <c r="S1645" i="11"/>
  <c r="S1646" i="11"/>
  <c r="S1647" i="11"/>
  <c r="S1648" i="11"/>
  <c r="S1649" i="11"/>
  <c r="S1650" i="11"/>
  <c r="S1651" i="11"/>
  <c r="S1652" i="11"/>
  <c r="S1653" i="11"/>
  <c r="S1654" i="11"/>
  <c r="S1655" i="11"/>
  <c r="S1656" i="11"/>
  <c r="S1657" i="11"/>
  <c r="S1658" i="11"/>
  <c r="S1659" i="11"/>
  <c r="S1660" i="11"/>
  <c r="S1661" i="11"/>
  <c r="S1662" i="11"/>
  <c r="S1663" i="11"/>
  <c r="S1664" i="11"/>
  <c r="S1665" i="11"/>
  <c r="S1666" i="11"/>
  <c r="S1667" i="11"/>
  <c r="S1668" i="11"/>
  <c r="S1669" i="11"/>
  <c r="S1670" i="11"/>
  <c r="S1671" i="11"/>
  <c r="S1672" i="11"/>
  <c r="S1673" i="11"/>
  <c r="S1674" i="11"/>
  <c r="S1675" i="11"/>
  <c r="S1676" i="11"/>
  <c r="S1677" i="11"/>
  <c r="S1678" i="11"/>
  <c r="S1679" i="11"/>
  <c r="S1680" i="11"/>
  <c r="S1681" i="11"/>
  <c r="S1682" i="11"/>
  <c r="S1683" i="11"/>
  <c r="S1684" i="11"/>
  <c r="S1685" i="11"/>
  <c r="S1686" i="11"/>
  <c r="S1687" i="11"/>
  <c r="S1688" i="11"/>
  <c r="S1689" i="11"/>
  <c r="S1690" i="11"/>
  <c r="S1691" i="11"/>
  <c r="S1692" i="11"/>
  <c r="S1693" i="11"/>
  <c r="S1694" i="11"/>
  <c r="S1695" i="11"/>
  <c r="S1696" i="11"/>
  <c r="S1697" i="11"/>
  <c r="S1698" i="11"/>
  <c r="S1699" i="11"/>
  <c r="S1700" i="11"/>
  <c r="S1701" i="11"/>
  <c r="S1702" i="11"/>
  <c r="S1703" i="11"/>
  <c r="S1704" i="11"/>
  <c r="S1705" i="11"/>
  <c r="S1706" i="11"/>
  <c r="S1707" i="11"/>
  <c r="S1708" i="11"/>
  <c r="S1709" i="11"/>
  <c r="S1710" i="11"/>
  <c r="S1711" i="11"/>
  <c r="S1712" i="11"/>
  <c r="S1713" i="11"/>
  <c r="S1714" i="11"/>
  <c r="S1715" i="11"/>
  <c r="S1716" i="11"/>
  <c r="S1717" i="11"/>
  <c r="S1718" i="11"/>
  <c r="S1719" i="11"/>
  <c r="S1720" i="11"/>
  <c r="S1721" i="11"/>
  <c r="S1722" i="11"/>
  <c r="S1723" i="11"/>
  <c r="S1724" i="11"/>
  <c r="S1725" i="11"/>
  <c r="S1726" i="11"/>
  <c r="S1727" i="11"/>
  <c r="S1728" i="11"/>
  <c r="S1729" i="11"/>
  <c r="S1730" i="11"/>
  <c r="S1731" i="11"/>
  <c r="S1732" i="11"/>
  <c r="S1733" i="11"/>
  <c r="S1734" i="11"/>
  <c r="S1735" i="11"/>
  <c r="S1736" i="11"/>
  <c r="S1737" i="11"/>
  <c r="S1738" i="11"/>
  <c r="S1739" i="11"/>
  <c r="S1740" i="11"/>
  <c r="S1741" i="11"/>
  <c r="S1742" i="11"/>
  <c r="S1743" i="11"/>
  <c r="S1744" i="11"/>
  <c r="S1745" i="11"/>
  <c r="S1746" i="11"/>
  <c r="S1747" i="11"/>
  <c r="S1748" i="11"/>
  <c r="S1749" i="11"/>
  <c r="S1750" i="11"/>
  <c r="S1751" i="11"/>
  <c r="S1752" i="11"/>
  <c r="S1753" i="11"/>
  <c r="S1754" i="11"/>
  <c r="S1755" i="11"/>
  <c r="S1756" i="11"/>
  <c r="S1757" i="11"/>
  <c r="S1758" i="11"/>
  <c r="S1759" i="11"/>
  <c r="S1760" i="11"/>
  <c r="S1761" i="11"/>
  <c r="S1762" i="11"/>
  <c r="S1763" i="11"/>
  <c r="S1764" i="11"/>
  <c r="S1765" i="11"/>
  <c r="S1766" i="11"/>
  <c r="S1767" i="11"/>
  <c r="S1768" i="11"/>
  <c r="S1769" i="11"/>
  <c r="S1770" i="11"/>
  <c r="S1771" i="11"/>
  <c r="S1772" i="11"/>
  <c r="S1773" i="11"/>
  <c r="S1774" i="11"/>
  <c r="S1775" i="11"/>
  <c r="S1776" i="11"/>
  <c r="S1777" i="11"/>
  <c r="S1778" i="11"/>
  <c r="S1779" i="11"/>
  <c r="S1780" i="11"/>
  <c r="S1781" i="11"/>
  <c r="S1782" i="11"/>
  <c r="S1783" i="11"/>
  <c r="S1784" i="11"/>
  <c r="S1785" i="11"/>
  <c r="S1786" i="11"/>
  <c r="S1787" i="11"/>
  <c r="S1788" i="11"/>
  <c r="S1789" i="11"/>
  <c r="S1790" i="11"/>
  <c r="S1791" i="11"/>
  <c r="S1792" i="11"/>
  <c r="S1793" i="11"/>
  <c r="S1794" i="11"/>
  <c r="S1795" i="11"/>
  <c r="S1796" i="11"/>
  <c r="S1797" i="11"/>
  <c r="S1798" i="11"/>
  <c r="S1799" i="11"/>
  <c r="S1800" i="11"/>
  <c r="S1801" i="11"/>
  <c r="S1802" i="11"/>
  <c r="S1803" i="11"/>
  <c r="S1804" i="11"/>
  <c r="S1805" i="11"/>
  <c r="S1806" i="11"/>
  <c r="S1807" i="11"/>
  <c r="S1808" i="11"/>
  <c r="S1809" i="11"/>
  <c r="S1810" i="11"/>
  <c r="S1811" i="11"/>
  <c r="S1812" i="11"/>
  <c r="S1813" i="11"/>
  <c r="S1814" i="11"/>
  <c r="S1815" i="11"/>
  <c r="S1816" i="11"/>
  <c r="S1817" i="11"/>
  <c r="S1818" i="11"/>
  <c r="S1819" i="11"/>
  <c r="S1820" i="11"/>
  <c r="S1821" i="11"/>
  <c r="S1822" i="11"/>
  <c r="S1823" i="11"/>
  <c r="S1824" i="11"/>
  <c r="S1825" i="11"/>
  <c r="S1826" i="11"/>
  <c r="S1827" i="11"/>
  <c r="S1828" i="11"/>
  <c r="S1829" i="11"/>
  <c r="S1830" i="11"/>
  <c r="S1831" i="11"/>
  <c r="S1832" i="11"/>
  <c r="S1833" i="11"/>
  <c r="S1834" i="11"/>
  <c r="S1835" i="11"/>
  <c r="S1836" i="11"/>
  <c r="S1837" i="11"/>
  <c r="S1838" i="11"/>
  <c r="S1839" i="11"/>
  <c r="S1840" i="11"/>
  <c r="S1841" i="11"/>
  <c r="S1842" i="11"/>
  <c r="S1843" i="11"/>
  <c r="S1844" i="11"/>
  <c r="S1845" i="11"/>
  <c r="S1846" i="11"/>
  <c r="S1847" i="11"/>
  <c r="S1848" i="11"/>
  <c r="S1849" i="11"/>
  <c r="S1850" i="11"/>
  <c r="S1851" i="11"/>
  <c r="S1852" i="11"/>
  <c r="S1853" i="11"/>
  <c r="S1854" i="11"/>
  <c r="S1855" i="11"/>
  <c r="S1856" i="11"/>
  <c r="S1857" i="11"/>
  <c r="S1858" i="11"/>
  <c r="S1859" i="11"/>
  <c r="S1860" i="11"/>
  <c r="S1861" i="11"/>
  <c r="S1862" i="11"/>
  <c r="S1863" i="11"/>
  <c r="S1864" i="11"/>
  <c r="S1865" i="11"/>
  <c r="S1866" i="11"/>
  <c r="S1867" i="11"/>
  <c r="S1868" i="11"/>
  <c r="S1869" i="11"/>
  <c r="S1870" i="11"/>
  <c r="S1871" i="11"/>
  <c r="S1872" i="11"/>
  <c r="S1873" i="11"/>
  <c r="S1874" i="11"/>
  <c r="S1875" i="11"/>
  <c r="S1876" i="11"/>
  <c r="S1877" i="11"/>
  <c r="S1878" i="11"/>
  <c r="S1879" i="11"/>
  <c r="S1880" i="11"/>
  <c r="S1881" i="11"/>
  <c r="S1882" i="11"/>
  <c r="S1883" i="11"/>
  <c r="S1884" i="11"/>
  <c r="S1885" i="11"/>
  <c r="S1886" i="11"/>
  <c r="S1887" i="11"/>
  <c r="S1888" i="11"/>
  <c r="S1889" i="11"/>
  <c r="S1890" i="11"/>
  <c r="S1891" i="11"/>
  <c r="S1892" i="11"/>
  <c r="S1893" i="11"/>
  <c r="S1894" i="11"/>
  <c r="S1895" i="11"/>
  <c r="S1896" i="11"/>
  <c r="S1897" i="11"/>
  <c r="S1898" i="11"/>
  <c r="S1899" i="11"/>
  <c r="S1900" i="11"/>
  <c r="S1901" i="11"/>
  <c r="S1902" i="11"/>
  <c r="S1903" i="11"/>
  <c r="S1904" i="11"/>
  <c r="S1905" i="11"/>
  <c r="S1906" i="11"/>
  <c r="S1907" i="11"/>
  <c r="S1908" i="11"/>
  <c r="S1909" i="11"/>
  <c r="S1910" i="11"/>
  <c r="S1911" i="11"/>
  <c r="S1912" i="11"/>
  <c r="S1913" i="11"/>
  <c r="S1914" i="11"/>
  <c r="S1915" i="11"/>
  <c r="S1916" i="11"/>
  <c r="S1917" i="11"/>
  <c r="S1918" i="11"/>
  <c r="S1919" i="11"/>
  <c r="S1920" i="11"/>
  <c r="S1921" i="11"/>
  <c r="S1922" i="11"/>
  <c r="S1923" i="11"/>
  <c r="S1924" i="11"/>
  <c r="S1925" i="11"/>
  <c r="S1926" i="11"/>
  <c r="S1927" i="11"/>
  <c r="S1928" i="11"/>
  <c r="S1929" i="11"/>
  <c r="S1930" i="11"/>
  <c r="S1931" i="11"/>
  <c r="S1932" i="11"/>
  <c r="S1933" i="11"/>
  <c r="S1934" i="11"/>
  <c r="S1935" i="11"/>
  <c r="S1936" i="11"/>
  <c r="S1937" i="11"/>
  <c r="S1938" i="11"/>
  <c r="S1939" i="11"/>
  <c r="S1940" i="11"/>
  <c r="S1941" i="11"/>
  <c r="S1942" i="11"/>
  <c r="S1943" i="11"/>
  <c r="S1944" i="11"/>
  <c r="S1945" i="11"/>
  <c r="S1946" i="11"/>
  <c r="S1947" i="11"/>
  <c r="S1948" i="11"/>
  <c r="S1949" i="11"/>
  <c r="S1950" i="11"/>
  <c r="S1951" i="11"/>
  <c r="S1952" i="11"/>
  <c r="S1953" i="11"/>
  <c r="S1954" i="11"/>
  <c r="S1955" i="11"/>
  <c r="S1956" i="11"/>
  <c r="S1957" i="11"/>
  <c r="S1958" i="11"/>
  <c r="S1959" i="11"/>
  <c r="S1960" i="11"/>
  <c r="S1961" i="11"/>
  <c r="S1962" i="11"/>
  <c r="S1963" i="11"/>
  <c r="S1964" i="11"/>
  <c r="S1965" i="11"/>
  <c r="S1966" i="11"/>
  <c r="S1967" i="11"/>
  <c r="S1968" i="11"/>
  <c r="S1969" i="11"/>
  <c r="S1970" i="11"/>
  <c r="S1971" i="11"/>
  <c r="S1972" i="11"/>
  <c r="S1973" i="11"/>
  <c r="S1974" i="11"/>
  <c r="S1975" i="11"/>
  <c r="S1976" i="11"/>
  <c r="S1977" i="11"/>
  <c r="S1978" i="11"/>
  <c r="S1979" i="11"/>
  <c r="S1980" i="11"/>
  <c r="S1981" i="11"/>
  <c r="S1982" i="11"/>
  <c r="S1983" i="11"/>
  <c r="S1984" i="11"/>
  <c r="S1985" i="11"/>
  <c r="S1986" i="11"/>
  <c r="S1987" i="11"/>
  <c r="S1988" i="11"/>
  <c r="S1989" i="11"/>
  <c r="S1990" i="11"/>
  <c r="S1991" i="11"/>
  <c r="S1992" i="11"/>
  <c r="S1993" i="11"/>
  <c r="S1994" i="11"/>
  <c r="S1995" i="11"/>
  <c r="S1996" i="11"/>
  <c r="S1997" i="11"/>
  <c r="S1998" i="11"/>
  <c r="S1999" i="11"/>
  <c r="S2000" i="11"/>
  <c r="S2001" i="11"/>
  <c r="S2002" i="11"/>
  <c r="S2003" i="11"/>
  <c r="S2004" i="11"/>
  <c r="S2005" i="11"/>
  <c r="S2006" i="11"/>
  <c r="S2007" i="11"/>
  <c r="S2008" i="11"/>
  <c r="S2009" i="11"/>
  <c r="S2010" i="11"/>
  <c r="S2011" i="11"/>
  <c r="S2012" i="11"/>
  <c r="S2013" i="11"/>
  <c r="S2014" i="11"/>
  <c r="S2015" i="11"/>
  <c r="S2016" i="11"/>
  <c r="S2017" i="11"/>
  <c r="S2018" i="11"/>
  <c r="S2019" i="11"/>
  <c r="S2020" i="11"/>
  <c r="S2021" i="11"/>
  <c r="S2022" i="11"/>
  <c r="S2023" i="11"/>
  <c r="S2024" i="11"/>
  <c r="S2025" i="11"/>
  <c r="S2026" i="11"/>
  <c r="S2027" i="11"/>
  <c r="S2028" i="11"/>
  <c r="S2029" i="11"/>
  <c r="S2030" i="11"/>
  <c r="S2031" i="11"/>
  <c r="S2032" i="11"/>
  <c r="S2033" i="11"/>
  <c r="S2034" i="11"/>
  <c r="S2035" i="11"/>
  <c r="S2036" i="11"/>
  <c r="S2037" i="11"/>
  <c r="S2038" i="11"/>
  <c r="S2039" i="11"/>
  <c r="S2040" i="11"/>
  <c r="S2041" i="11"/>
  <c r="S2042" i="11"/>
  <c r="S2043" i="11"/>
  <c r="S2044" i="11"/>
  <c r="S2045" i="11"/>
  <c r="S2046" i="11"/>
  <c r="S2047" i="11"/>
  <c r="S2048" i="11"/>
  <c r="S2049" i="11"/>
  <c r="S2050" i="11"/>
  <c r="S2051" i="11"/>
  <c r="S2052" i="11"/>
  <c r="S2053" i="11"/>
  <c r="S2054" i="11"/>
  <c r="S2055" i="11"/>
  <c r="S2056" i="11"/>
  <c r="S2057" i="11"/>
  <c r="S2058" i="11"/>
  <c r="S2059" i="11"/>
  <c r="S2060" i="11"/>
  <c r="S2061" i="11"/>
  <c r="S2062" i="11"/>
  <c r="S2063" i="11"/>
  <c r="S2064" i="11"/>
  <c r="S2065" i="11"/>
  <c r="S2066" i="11"/>
  <c r="S2067" i="11"/>
  <c r="S2068" i="11"/>
  <c r="S2069" i="11"/>
  <c r="S2070" i="11"/>
  <c r="S2071" i="11"/>
  <c r="S2072" i="11"/>
  <c r="S2073" i="11"/>
  <c r="S2074" i="11"/>
  <c r="S2075" i="11"/>
  <c r="S2076" i="11"/>
  <c r="S2077" i="11"/>
  <c r="S2078" i="11"/>
  <c r="S2079" i="11"/>
  <c r="S2080" i="11"/>
  <c r="S2081" i="11"/>
  <c r="S2082" i="11"/>
  <c r="S2083" i="11"/>
  <c r="S2084" i="11"/>
  <c r="S2085" i="11"/>
  <c r="S2086" i="11"/>
  <c r="S2087" i="11"/>
  <c r="S2088" i="11"/>
  <c r="S2089" i="11"/>
  <c r="S2090" i="11"/>
  <c r="S2091" i="11"/>
  <c r="S2092" i="11"/>
  <c r="S2093" i="11"/>
  <c r="S2094" i="11"/>
  <c r="S2095" i="11"/>
  <c r="S2096" i="11"/>
  <c r="S2097" i="11"/>
  <c r="S2098" i="11"/>
  <c r="S2099" i="11"/>
  <c r="S2100" i="11"/>
  <c r="S2101" i="11"/>
  <c r="S2102" i="11"/>
  <c r="S2103" i="11"/>
  <c r="S2104" i="11"/>
  <c r="S2105" i="11"/>
  <c r="S2106" i="11"/>
  <c r="S2107" i="11"/>
  <c r="S2108" i="11"/>
  <c r="S2109" i="11"/>
  <c r="S2110" i="11"/>
  <c r="S2111" i="11"/>
  <c r="S2112" i="11"/>
  <c r="S2113" i="11"/>
  <c r="S2114" i="11"/>
  <c r="S2115" i="11"/>
  <c r="S2116" i="11"/>
  <c r="S2117" i="11"/>
  <c r="S2118" i="11"/>
  <c r="S2119" i="11"/>
  <c r="S2120" i="11"/>
  <c r="S2121" i="11"/>
  <c r="S2122" i="11"/>
  <c r="S2123" i="11"/>
  <c r="S2124" i="11"/>
  <c r="S2125" i="11"/>
  <c r="S2126" i="11"/>
  <c r="S2127" i="11"/>
  <c r="S2128" i="11"/>
  <c r="S2129" i="11"/>
  <c r="S2130" i="11"/>
  <c r="S2131" i="11"/>
  <c r="S2132" i="11"/>
  <c r="S2133" i="11"/>
  <c r="S2134" i="11"/>
  <c r="S2135" i="11"/>
  <c r="S2136" i="11"/>
  <c r="S2137" i="11"/>
  <c r="S2138" i="11"/>
  <c r="S2139" i="11"/>
  <c r="S2140" i="11"/>
  <c r="S2141" i="11"/>
  <c r="S2142" i="11"/>
  <c r="S2143" i="11"/>
  <c r="S2144" i="11"/>
  <c r="S2145" i="11"/>
  <c r="S2146" i="11"/>
  <c r="S2147" i="11"/>
  <c r="S2148" i="11"/>
  <c r="S2149" i="11"/>
  <c r="S2150" i="11"/>
  <c r="S2151" i="11"/>
  <c r="S2152" i="11"/>
  <c r="S2153" i="11"/>
  <c r="S2154" i="11"/>
  <c r="S2155" i="11"/>
  <c r="S2156" i="11"/>
  <c r="S2157" i="11"/>
  <c r="S2158" i="11"/>
  <c r="S2159" i="11"/>
  <c r="S2160" i="11"/>
  <c r="S2161" i="11"/>
  <c r="S2162" i="11"/>
  <c r="S2163" i="11"/>
  <c r="S2164" i="11"/>
  <c r="S2165" i="11"/>
  <c r="S2166" i="11"/>
  <c r="S2167" i="11"/>
  <c r="S2168" i="11"/>
  <c r="S2169" i="11"/>
  <c r="S2170" i="11"/>
  <c r="S2171" i="11"/>
  <c r="S2172" i="11"/>
  <c r="S2173" i="11"/>
  <c r="S2174" i="11"/>
  <c r="S2175" i="11"/>
  <c r="S2176" i="11"/>
  <c r="S2177" i="11"/>
  <c r="S2178" i="11"/>
  <c r="S2179" i="11"/>
  <c r="S2180" i="11"/>
  <c r="S2181" i="11"/>
  <c r="S2182" i="11"/>
  <c r="S2183" i="11"/>
  <c r="S2184" i="11"/>
  <c r="S2185" i="11"/>
  <c r="S2186" i="11"/>
  <c r="S2187" i="11"/>
  <c r="S2188" i="11"/>
  <c r="S2189" i="11"/>
  <c r="S2190" i="11"/>
  <c r="S2191" i="11"/>
  <c r="S2192" i="11"/>
  <c r="S2193" i="11"/>
  <c r="S2194" i="11"/>
  <c r="S2195" i="11"/>
  <c r="S2196" i="11"/>
  <c r="S2197" i="11"/>
  <c r="S2198" i="11"/>
  <c r="S2199" i="11"/>
  <c r="S2200" i="11"/>
  <c r="S2201" i="11"/>
  <c r="S2202" i="11"/>
  <c r="S2203" i="11"/>
  <c r="S2204" i="11"/>
  <c r="S2205" i="11"/>
  <c r="S2206" i="11"/>
  <c r="S2207" i="11"/>
  <c r="S2208" i="11"/>
  <c r="S2209" i="11"/>
  <c r="S2210" i="11"/>
  <c r="S2211" i="11"/>
  <c r="S2212" i="11"/>
  <c r="S2213" i="11"/>
  <c r="S2214" i="11"/>
  <c r="S2215" i="11"/>
  <c r="S2216" i="11"/>
  <c r="S2217" i="11"/>
  <c r="S2218" i="11"/>
  <c r="S2219" i="11"/>
  <c r="S2220" i="11"/>
  <c r="S2221" i="11"/>
  <c r="S2222" i="11"/>
  <c r="S2223" i="11"/>
  <c r="S2224" i="11"/>
  <c r="S2225" i="11"/>
  <c r="S2226" i="11"/>
  <c r="S2227" i="11"/>
  <c r="S2228" i="11"/>
  <c r="S2229" i="11"/>
  <c r="S2230" i="11"/>
  <c r="S2231" i="11"/>
  <c r="S2232" i="11"/>
  <c r="S2233" i="11"/>
  <c r="S2234" i="11"/>
  <c r="S2235" i="11"/>
  <c r="S2236" i="11"/>
  <c r="S2237" i="11"/>
  <c r="S2238" i="11"/>
  <c r="S2239" i="11"/>
  <c r="S2240" i="11"/>
  <c r="S2241" i="11"/>
  <c r="S2242" i="11"/>
  <c r="S2243" i="11"/>
  <c r="S2244" i="11"/>
  <c r="S2245" i="11"/>
  <c r="S2246" i="11"/>
  <c r="S2247" i="11"/>
  <c r="S2248" i="11"/>
  <c r="S2249" i="11"/>
  <c r="S2250" i="11"/>
  <c r="S2251" i="11"/>
  <c r="S2252" i="11"/>
  <c r="S2253" i="11"/>
  <c r="S2254" i="11"/>
  <c r="S2255" i="11"/>
  <c r="S2256" i="11"/>
  <c r="S2257" i="11"/>
  <c r="S2258" i="11"/>
  <c r="S2259" i="11"/>
  <c r="S2260" i="11"/>
  <c r="S2261" i="11"/>
  <c r="S2262" i="11"/>
  <c r="S2263" i="11"/>
  <c r="S2264" i="11"/>
  <c r="S2265" i="11"/>
  <c r="S2266" i="11"/>
  <c r="S2267" i="11"/>
  <c r="S2268" i="11"/>
  <c r="S2269" i="11"/>
  <c r="S2270" i="11"/>
  <c r="S2271" i="11"/>
  <c r="S2272" i="11"/>
  <c r="S2273" i="11"/>
  <c r="S2274" i="11"/>
  <c r="S2275" i="11"/>
  <c r="S2276" i="11"/>
  <c r="S2277" i="11"/>
  <c r="S2278" i="11"/>
  <c r="S2279" i="11"/>
  <c r="S2280" i="11"/>
  <c r="S2281" i="11"/>
  <c r="S2282" i="11"/>
  <c r="S2283" i="11"/>
  <c r="S2284" i="11"/>
  <c r="S2285" i="11"/>
  <c r="S2286" i="11"/>
  <c r="S2287" i="11"/>
  <c r="S2288" i="11"/>
  <c r="S2289" i="11"/>
  <c r="S2290" i="11"/>
  <c r="S2291" i="11"/>
  <c r="S2292" i="11"/>
  <c r="S2293" i="11"/>
  <c r="S2294" i="11"/>
  <c r="S2295" i="11"/>
  <c r="S2296" i="11"/>
  <c r="S2297" i="11"/>
  <c r="S2298" i="11"/>
  <c r="S2299" i="11"/>
  <c r="S2300" i="11"/>
  <c r="S2301" i="11"/>
  <c r="S2302" i="11"/>
  <c r="S2303" i="11"/>
  <c r="S2304" i="11"/>
  <c r="S2305" i="11"/>
  <c r="S2306" i="11"/>
  <c r="S2307" i="11"/>
  <c r="S2308" i="11"/>
  <c r="S2309" i="11"/>
  <c r="S2310" i="11"/>
  <c r="S2311" i="11"/>
  <c r="S2312" i="11"/>
  <c r="S2313" i="11"/>
  <c r="S2314" i="11"/>
  <c r="S2315" i="11"/>
  <c r="S2316" i="11"/>
  <c r="S2317" i="11"/>
  <c r="S2318" i="11"/>
  <c r="S2319" i="11"/>
  <c r="S2320" i="11"/>
  <c r="S2321" i="11"/>
  <c r="S2322" i="11"/>
  <c r="S2323" i="11"/>
  <c r="S2324" i="11"/>
  <c r="S2325" i="11"/>
  <c r="S2326" i="11"/>
  <c r="S2327" i="11"/>
  <c r="S2328" i="11"/>
  <c r="S2329" i="11"/>
  <c r="S2330" i="11"/>
  <c r="S2331" i="11"/>
  <c r="S2332" i="11"/>
  <c r="S2333" i="11"/>
  <c r="S2334" i="11"/>
  <c r="S2335" i="11"/>
  <c r="S2336" i="11"/>
  <c r="S2337" i="11"/>
  <c r="S2338" i="11"/>
  <c r="S2339" i="11"/>
  <c r="S2340" i="11"/>
  <c r="S2341" i="11"/>
  <c r="S2342" i="11"/>
  <c r="S2343" i="11"/>
  <c r="S2344" i="11"/>
  <c r="S2345" i="11"/>
  <c r="S2346" i="11"/>
  <c r="S2347" i="11"/>
  <c r="S2348" i="11"/>
  <c r="S2349" i="11"/>
  <c r="S2350" i="11"/>
  <c r="S2351" i="11"/>
  <c r="S2352" i="11"/>
  <c r="S2353" i="11"/>
  <c r="S2354" i="11"/>
  <c r="S2355" i="11"/>
  <c r="S2356" i="11"/>
  <c r="S2357" i="11"/>
  <c r="S2358" i="11"/>
  <c r="S2359" i="11"/>
  <c r="S2360" i="11"/>
  <c r="S2361" i="11"/>
  <c r="S2362" i="11"/>
  <c r="S2363" i="11"/>
  <c r="S2364" i="11"/>
  <c r="S2365" i="11"/>
  <c r="S2366" i="11"/>
  <c r="S2367" i="11"/>
  <c r="S2368" i="11"/>
  <c r="S2369" i="11"/>
  <c r="S2370" i="11"/>
  <c r="S2371" i="11"/>
  <c r="S2372" i="11"/>
  <c r="S2373" i="11"/>
  <c r="S2374" i="11"/>
  <c r="S2375" i="11"/>
  <c r="S2376" i="11"/>
  <c r="S2377" i="11"/>
  <c r="S2378" i="11"/>
  <c r="S2379" i="11"/>
  <c r="S2380" i="11"/>
  <c r="S2381" i="11"/>
  <c r="S2382" i="11"/>
  <c r="S2383" i="11"/>
  <c r="S2384" i="11"/>
  <c r="S2385" i="11"/>
  <c r="S2386" i="11"/>
  <c r="S2387" i="11"/>
  <c r="S2388" i="11"/>
  <c r="S2389" i="11"/>
  <c r="S2390" i="11"/>
  <c r="S2391" i="11"/>
  <c r="S2392" i="11"/>
  <c r="S2393" i="11"/>
  <c r="S2394" i="11"/>
  <c r="S2395" i="11"/>
  <c r="S2396" i="11"/>
  <c r="S2397" i="11"/>
  <c r="S2398" i="11"/>
  <c r="S2399" i="11"/>
  <c r="S2400" i="11"/>
  <c r="S2401" i="11"/>
  <c r="S2402" i="11"/>
  <c r="S2403" i="11"/>
  <c r="S2404" i="11"/>
  <c r="S2405" i="11"/>
  <c r="S2406" i="11"/>
  <c r="S2407" i="11"/>
  <c r="S2408" i="11"/>
  <c r="S2409" i="11"/>
  <c r="S2410" i="11"/>
  <c r="S2411" i="11"/>
  <c r="S2412" i="11"/>
  <c r="S2413" i="11"/>
  <c r="S2414" i="11"/>
  <c r="S2415" i="11"/>
  <c r="S2416" i="11"/>
  <c r="S2417" i="11"/>
  <c r="S2418" i="11"/>
  <c r="S2419" i="11"/>
  <c r="S2420" i="11"/>
  <c r="S2421" i="11"/>
  <c r="S2422" i="11"/>
  <c r="S2423" i="11"/>
  <c r="S2424" i="11"/>
  <c r="S2425" i="11"/>
  <c r="S2426" i="11"/>
  <c r="S2427" i="11"/>
  <c r="S2428" i="11"/>
  <c r="S2429" i="11"/>
  <c r="S2430" i="11"/>
  <c r="S2431" i="11"/>
  <c r="S2432" i="11"/>
  <c r="S2433" i="11"/>
  <c r="S2434" i="11"/>
  <c r="S2435" i="11"/>
  <c r="S2436" i="11"/>
  <c r="S2437" i="11"/>
  <c r="S2438" i="11"/>
  <c r="S2439" i="11"/>
  <c r="S2440" i="11"/>
  <c r="S2441" i="11"/>
  <c r="S2442" i="11"/>
  <c r="S2443" i="11"/>
  <c r="S2444" i="11"/>
  <c r="S2445" i="11"/>
  <c r="S2446" i="11"/>
  <c r="S2447" i="11"/>
  <c r="S2448" i="11"/>
  <c r="S2449" i="11"/>
  <c r="S2450" i="11"/>
  <c r="S2451" i="11"/>
  <c r="S2452" i="11"/>
  <c r="S2453" i="11"/>
  <c r="S2454" i="11"/>
  <c r="S2455" i="11"/>
  <c r="S2456" i="11"/>
  <c r="S2457" i="11"/>
  <c r="S2458" i="11"/>
  <c r="S2459" i="11"/>
  <c r="S2460" i="11"/>
  <c r="S2461" i="11"/>
  <c r="S2462" i="11"/>
  <c r="S2463" i="11"/>
  <c r="S2464" i="11"/>
  <c r="S2465" i="11"/>
  <c r="S2466" i="11"/>
  <c r="S2467" i="11"/>
  <c r="S2468" i="11"/>
  <c r="S2469" i="11"/>
  <c r="S2470" i="11"/>
  <c r="S2471" i="11"/>
  <c r="S2472" i="11"/>
  <c r="S2473" i="11"/>
  <c r="S2474" i="11"/>
  <c r="S2475" i="11"/>
  <c r="S2476" i="11"/>
  <c r="S2477" i="11"/>
  <c r="S2478" i="11"/>
  <c r="S2479" i="11"/>
  <c r="S2480" i="11"/>
  <c r="S2481" i="11"/>
  <c r="S2482" i="11"/>
  <c r="S2483" i="11"/>
  <c r="S2484" i="11"/>
  <c r="S2485" i="11"/>
  <c r="S2486" i="11"/>
  <c r="S2487" i="11"/>
  <c r="S2488" i="11"/>
  <c r="S2489" i="11"/>
  <c r="S2490" i="11"/>
  <c r="S2491" i="11"/>
  <c r="S2492" i="11"/>
  <c r="S2493" i="11"/>
  <c r="S2494" i="11"/>
  <c r="S2495" i="11"/>
  <c r="S2496" i="11"/>
  <c r="S2497" i="11"/>
  <c r="S2498" i="11"/>
  <c r="S2499" i="11"/>
  <c r="S2500" i="11"/>
  <c r="S2501" i="11"/>
  <c r="S2502" i="11"/>
  <c r="S2503" i="11"/>
  <c r="S2504" i="11"/>
  <c r="S2505" i="11"/>
  <c r="S2506" i="11"/>
  <c r="S2507" i="11"/>
  <c r="S2508" i="11"/>
  <c r="S2509" i="11"/>
  <c r="S2510" i="11"/>
  <c r="S2511" i="11"/>
  <c r="S2512" i="11"/>
  <c r="S2513" i="11"/>
  <c r="S2514" i="11"/>
  <c r="S2515" i="11"/>
  <c r="S2516" i="11"/>
  <c r="S2517" i="11"/>
  <c r="S2518" i="11"/>
  <c r="S2519" i="11"/>
  <c r="S2520" i="11"/>
  <c r="S2521" i="11"/>
  <c r="S2522" i="11"/>
  <c r="S2523" i="11"/>
  <c r="S2524" i="11"/>
  <c r="S2525" i="11"/>
  <c r="S2526" i="11"/>
  <c r="S2527" i="11"/>
  <c r="S2528" i="11"/>
  <c r="S2529" i="11"/>
  <c r="S2530" i="11"/>
  <c r="S2531" i="11"/>
  <c r="S2532" i="11"/>
  <c r="S2533" i="11"/>
  <c r="S2534" i="11"/>
  <c r="S2535" i="11"/>
  <c r="S2536" i="11"/>
  <c r="S2537" i="11"/>
  <c r="S2538" i="11"/>
  <c r="S2539" i="11"/>
  <c r="S2540" i="11"/>
  <c r="S2541" i="11"/>
  <c r="S2542" i="11"/>
  <c r="S2543" i="11"/>
  <c r="S2544" i="11"/>
  <c r="S2545" i="11"/>
  <c r="S2546" i="11"/>
  <c r="S2547" i="11"/>
  <c r="S2548" i="11"/>
  <c r="S2549" i="11"/>
  <c r="S2550" i="11"/>
  <c r="S2551" i="11"/>
  <c r="S2552" i="11"/>
  <c r="S2553" i="11"/>
  <c r="S2554" i="11"/>
  <c r="S2555" i="11"/>
  <c r="S2556" i="11"/>
  <c r="S2557" i="11"/>
  <c r="S2558" i="11"/>
  <c r="S2559" i="11"/>
  <c r="S2560" i="11"/>
  <c r="S2561" i="11"/>
  <c r="S2562" i="11"/>
  <c r="S2563" i="11"/>
  <c r="S2564" i="11"/>
  <c r="S2565" i="11"/>
  <c r="S2566" i="11"/>
  <c r="S2567" i="11"/>
  <c r="S2568" i="11"/>
  <c r="S2569" i="11"/>
  <c r="S2570" i="11"/>
  <c r="S2571" i="11"/>
  <c r="S2572" i="11"/>
  <c r="S2573" i="11"/>
  <c r="S2574" i="11"/>
  <c r="S2575" i="11"/>
  <c r="S2576" i="11"/>
  <c r="S2577" i="11"/>
  <c r="S2578" i="11"/>
  <c r="S2579" i="11"/>
  <c r="S2580" i="11"/>
  <c r="S2581" i="11"/>
  <c r="S2582" i="11"/>
  <c r="S2583" i="11"/>
  <c r="S2584" i="11"/>
  <c r="S2585" i="11"/>
  <c r="S2586" i="11"/>
  <c r="S2587" i="11"/>
  <c r="S2588" i="11"/>
  <c r="S2589" i="11"/>
  <c r="S2590" i="11"/>
  <c r="S2591" i="11"/>
  <c r="S2592" i="11"/>
  <c r="S2593" i="11"/>
  <c r="S2594" i="11"/>
  <c r="S2595" i="11"/>
  <c r="S2596" i="11"/>
  <c r="S2597" i="11"/>
  <c r="S2598" i="11"/>
  <c r="S2599" i="11"/>
  <c r="S2600" i="11"/>
  <c r="S2601" i="11"/>
  <c r="S2602" i="11"/>
  <c r="S2603" i="11"/>
  <c r="S2604" i="11"/>
  <c r="S2605" i="11"/>
  <c r="S2606" i="11"/>
  <c r="S2607" i="11"/>
  <c r="S2608" i="11"/>
  <c r="S2609" i="11"/>
  <c r="S2610" i="11"/>
  <c r="S2611" i="11"/>
  <c r="S2612" i="11"/>
  <c r="S2613" i="11"/>
  <c r="S2614" i="11"/>
  <c r="S2615" i="11"/>
  <c r="S2616" i="11"/>
  <c r="S2617" i="11"/>
  <c r="S2618" i="11"/>
  <c r="S2619" i="11"/>
  <c r="S2620" i="11"/>
  <c r="S2621" i="11"/>
  <c r="S2622" i="11"/>
  <c r="S2623" i="11"/>
  <c r="S2624" i="11"/>
  <c r="S2625" i="11"/>
  <c r="S2626" i="11"/>
  <c r="S2627" i="11"/>
  <c r="S2628" i="11"/>
  <c r="S2629" i="11"/>
  <c r="S2630" i="11"/>
  <c r="S2631" i="11"/>
  <c r="S2632" i="11"/>
  <c r="S2633" i="11"/>
  <c r="S2634" i="11"/>
  <c r="S2635" i="11"/>
  <c r="S2636" i="11"/>
  <c r="S2637" i="11"/>
  <c r="S2638" i="11"/>
  <c r="S2639" i="11"/>
  <c r="S2640" i="11"/>
  <c r="S2641" i="11"/>
  <c r="S2642" i="11"/>
  <c r="S2643" i="11"/>
  <c r="S2644" i="11"/>
  <c r="S2645" i="11"/>
  <c r="S2646" i="11"/>
  <c r="S2647" i="11"/>
  <c r="S2648" i="11"/>
  <c r="S2649" i="11"/>
  <c r="S2650" i="11"/>
  <c r="S2651" i="11"/>
  <c r="S2652" i="11"/>
  <c r="S2653" i="11"/>
  <c r="S2654" i="11"/>
  <c r="S2655" i="11"/>
  <c r="S2656" i="11"/>
  <c r="S2657" i="11"/>
  <c r="S2658" i="11"/>
  <c r="S2659" i="11"/>
  <c r="S2660" i="11"/>
  <c r="S2661" i="11"/>
  <c r="S2662" i="11"/>
  <c r="S2663" i="11"/>
  <c r="S2664" i="11"/>
  <c r="S2665" i="11"/>
  <c r="S2666" i="11"/>
  <c r="S2667" i="11"/>
  <c r="S2668" i="11"/>
  <c r="S2669" i="11"/>
  <c r="S2670" i="11"/>
  <c r="S2671" i="11"/>
  <c r="S2672" i="11"/>
  <c r="S2673" i="11"/>
  <c r="S2674" i="11"/>
  <c r="S2675" i="11"/>
  <c r="S2676" i="11"/>
  <c r="S2677" i="11"/>
  <c r="S2678" i="11"/>
  <c r="S2679" i="11"/>
  <c r="S2680" i="11"/>
  <c r="S2681" i="11"/>
  <c r="S2682" i="11"/>
  <c r="S2683" i="11"/>
  <c r="S2684" i="11"/>
  <c r="S2685" i="11"/>
  <c r="S2686" i="11"/>
  <c r="S2687" i="11"/>
  <c r="S2688" i="11"/>
  <c r="S2689" i="11"/>
  <c r="S2690" i="11"/>
  <c r="S2691" i="11"/>
  <c r="S2692" i="11"/>
  <c r="S2693" i="11"/>
  <c r="S2694" i="11"/>
  <c r="S2695" i="11"/>
  <c r="S2696" i="11"/>
  <c r="S2697" i="11"/>
  <c r="S2698" i="11"/>
  <c r="S2699" i="11"/>
  <c r="S2700" i="11"/>
  <c r="S2701" i="11"/>
  <c r="S2702" i="11"/>
  <c r="S2703" i="11"/>
  <c r="S2704" i="11"/>
  <c r="S2705" i="11"/>
  <c r="S2706" i="11"/>
  <c r="S2707" i="11"/>
  <c r="S2708" i="11"/>
  <c r="S2709" i="11"/>
  <c r="S2710" i="11"/>
  <c r="S2711" i="11"/>
  <c r="S2712" i="11"/>
  <c r="S2713" i="11"/>
  <c r="S2714" i="11"/>
  <c r="S2715" i="11"/>
  <c r="S2716" i="11"/>
  <c r="S2717" i="11"/>
  <c r="S2718" i="11"/>
  <c r="S2719" i="11"/>
  <c r="S2720" i="11"/>
  <c r="S2721" i="11"/>
  <c r="S2722" i="11"/>
  <c r="S2723" i="11"/>
  <c r="S2724" i="11"/>
  <c r="S2725" i="11"/>
  <c r="S2726" i="11"/>
  <c r="S2727" i="11"/>
  <c r="S2728" i="11"/>
  <c r="S2729" i="11"/>
  <c r="S2730" i="11"/>
  <c r="S2731" i="11"/>
  <c r="S2732" i="11"/>
  <c r="S2733" i="11"/>
  <c r="S2734" i="11"/>
  <c r="S2735" i="11"/>
  <c r="S2736" i="11"/>
  <c r="S2737" i="11"/>
  <c r="S2738" i="11"/>
  <c r="S2739" i="11"/>
  <c r="S2740" i="11"/>
  <c r="S2741" i="11"/>
  <c r="S2742" i="11"/>
  <c r="S2743" i="11"/>
  <c r="S2744" i="11"/>
  <c r="S2745" i="11"/>
  <c r="S2746" i="11"/>
  <c r="S2747" i="11"/>
  <c r="S2748" i="11"/>
  <c r="S2749" i="11"/>
  <c r="S2750" i="11"/>
  <c r="S2751" i="11"/>
  <c r="S2752" i="11"/>
  <c r="S2753" i="11"/>
  <c r="S2754" i="11"/>
  <c r="S2755" i="11"/>
  <c r="S2756" i="11"/>
  <c r="S2757" i="11"/>
  <c r="S2758" i="11"/>
  <c r="S2759" i="11"/>
  <c r="S2760" i="11"/>
  <c r="S2761" i="11"/>
  <c r="S2762" i="11"/>
  <c r="S2763" i="11"/>
  <c r="S2764" i="11"/>
  <c r="S2765" i="11"/>
  <c r="S2766" i="11"/>
  <c r="S2767" i="11"/>
  <c r="S2768" i="11"/>
  <c r="S2769" i="11"/>
  <c r="S2770" i="11"/>
  <c r="S2771" i="11"/>
  <c r="S2772" i="11"/>
  <c r="S2773" i="11"/>
  <c r="S2774" i="11"/>
  <c r="S2775" i="11"/>
  <c r="S2776" i="11"/>
  <c r="S2777" i="11"/>
  <c r="S2778" i="11"/>
  <c r="S2779" i="11"/>
  <c r="S2780" i="11"/>
  <c r="S2781" i="11"/>
  <c r="S2782" i="11"/>
  <c r="S2783" i="11"/>
  <c r="S2784" i="11"/>
  <c r="S2785" i="11"/>
  <c r="S2786" i="11"/>
  <c r="S2787" i="11"/>
  <c r="S2788" i="11"/>
  <c r="S2789" i="11"/>
  <c r="S2790" i="11"/>
  <c r="S2791" i="11"/>
  <c r="S2792" i="11"/>
  <c r="S2793" i="11"/>
  <c r="S2794" i="11"/>
  <c r="S2795" i="11"/>
  <c r="S2796" i="11"/>
  <c r="S2797" i="11"/>
  <c r="S2798" i="11"/>
  <c r="S2799" i="11"/>
  <c r="S2800" i="11"/>
  <c r="S2801" i="11"/>
  <c r="S2802" i="11"/>
  <c r="S2803" i="11"/>
  <c r="S2804" i="11"/>
  <c r="S2805" i="11"/>
  <c r="S2806" i="11"/>
  <c r="S2807" i="11"/>
  <c r="S2808" i="11"/>
  <c r="S2809" i="11"/>
  <c r="S2810" i="11"/>
  <c r="S2811" i="11"/>
  <c r="S2812" i="11"/>
  <c r="S2813" i="11"/>
  <c r="S2814" i="11"/>
  <c r="S2815" i="11"/>
  <c r="S2816" i="11"/>
  <c r="S2817" i="11"/>
  <c r="S2818" i="11"/>
  <c r="S2819" i="11"/>
  <c r="S2820" i="11"/>
  <c r="S2821" i="11"/>
  <c r="S2822" i="11"/>
  <c r="S2823" i="11"/>
  <c r="S2824" i="11"/>
  <c r="S2825" i="11"/>
  <c r="S2826" i="11"/>
  <c r="S2827" i="11"/>
  <c r="S2828" i="11"/>
  <c r="S2829" i="11"/>
  <c r="S2830" i="11"/>
  <c r="S2831" i="11"/>
  <c r="S2832" i="11"/>
  <c r="S2833" i="11"/>
  <c r="S2834" i="11"/>
  <c r="S2835" i="11"/>
  <c r="S2836" i="11"/>
  <c r="S2837" i="11"/>
  <c r="S2838" i="11"/>
  <c r="S2839" i="11"/>
  <c r="S2840" i="11"/>
  <c r="S2841" i="11"/>
  <c r="S2842" i="11"/>
  <c r="S2843" i="11"/>
  <c r="S2844" i="11"/>
  <c r="S2845" i="11"/>
  <c r="S2846" i="11"/>
  <c r="S2847" i="11"/>
  <c r="S2848" i="11"/>
  <c r="S2849" i="11"/>
  <c r="S2850" i="11"/>
  <c r="S2851" i="11"/>
  <c r="S2852" i="11"/>
  <c r="S2853" i="11"/>
  <c r="S2854" i="11"/>
  <c r="S2855" i="11"/>
  <c r="S2856" i="11"/>
  <c r="S2857" i="11"/>
  <c r="S2858" i="11"/>
  <c r="S2859" i="11"/>
  <c r="S2860" i="11"/>
  <c r="S2861" i="11"/>
  <c r="S2862" i="11"/>
  <c r="S2863" i="11"/>
  <c r="S2864" i="11"/>
  <c r="S2865" i="11"/>
  <c r="S2866" i="11"/>
  <c r="S2867" i="11"/>
  <c r="S2868" i="11"/>
  <c r="S2869" i="11"/>
  <c r="S2870" i="11"/>
  <c r="S2871" i="11"/>
  <c r="S2872" i="11"/>
  <c r="S2873" i="11"/>
  <c r="S2874" i="11"/>
  <c r="S2875" i="11"/>
  <c r="S2876" i="11"/>
  <c r="S2877" i="11"/>
  <c r="S2878" i="11"/>
  <c r="S2879" i="11"/>
  <c r="S2880" i="11"/>
  <c r="S2881" i="11"/>
  <c r="S2882" i="11"/>
  <c r="S2883" i="11"/>
  <c r="S2884" i="11"/>
  <c r="S2885" i="11"/>
  <c r="S2886" i="11"/>
  <c r="S2887" i="11"/>
  <c r="S2888" i="11"/>
  <c r="S2889" i="11"/>
  <c r="S2890" i="11"/>
  <c r="S2891" i="11"/>
  <c r="S2892" i="11"/>
  <c r="S2893" i="11"/>
  <c r="S2894" i="11"/>
  <c r="S2895" i="11"/>
  <c r="S2896" i="11"/>
  <c r="S2897" i="11"/>
  <c r="S2898" i="11"/>
  <c r="S2899" i="11"/>
  <c r="S2900" i="11"/>
  <c r="S2901" i="11"/>
  <c r="S2902" i="11"/>
  <c r="S2903" i="11"/>
  <c r="S2904" i="11"/>
  <c r="S2905" i="11"/>
  <c r="S2906" i="11"/>
  <c r="S2907" i="11"/>
  <c r="S2908" i="11"/>
  <c r="S2909" i="11"/>
  <c r="S2910" i="11"/>
  <c r="S2911" i="11"/>
  <c r="S2912" i="11"/>
  <c r="S2913" i="11"/>
  <c r="S2914" i="11"/>
  <c r="S2915" i="11"/>
  <c r="S2916" i="11"/>
  <c r="S2917" i="11"/>
  <c r="S2918" i="11"/>
  <c r="S2919" i="11"/>
  <c r="S2920" i="11"/>
  <c r="S2921" i="11"/>
  <c r="S2922" i="11"/>
  <c r="S2923" i="11"/>
  <c r="S2924" i="11"/>
  <c r="S2925" i="11"/>
  <c r="S2926" i="11"/>
  <c r="S2927" i="11"/>
  <c r="S2928" i="11"/>
  <c r="S2929" i="11"/>
  <c r="S2930" i="11"/>
  <c r="S2931" i="11"/>
  <c r="S2932" i="11"/>
  <c r="S2933" i="11"/>
  <c r="S2934" i="11"/>
  <c r="S2935" i="11"/>
  <c r="S2936" i="11"/>
  <c r="S2937" i="11"/>
  <c r="S2938" i="11"/>
  <c r="S2939" i="11"/>
  <c r="S2940" i="11"/>
  <c r="S2941" i="11"/>
  <c r="S2942" i="11"/>
  <c r="S2943" i="11"/>
  <c r="S2944" i="11"/>
  <c r="S2945" i="11"/>
  <c r="S2946" i="11"/>
  <c r="S2947" i="11"/>
  <c r="S2948" i="11"/>
  <c r="S2949" i="11"/>
  <c r="S2950" i="11"/>
  <c r="S2951" i="11"/>
  <c r="S2952" i="11"/>
  <c r="S2953" i="11"/>
  <c r="S2954" i="11"/>
  <c r="S2955" i="11"/>
  <c r="S2956" i="11"/>
  <c r="S2957" i="11"/>
  <c r="S2958" i="11"/>
  <c r="S2959" i="11"/>
  <c r="S2960" i="11"/>
  <c r="S2961" i="11"/>
  <c r="S2962" i="11"/>
  <c r="S2963" i="11"/>
  <c r="S2964" i="11"/>
  <c r="S2965" i="11"/>
  <c r="S2966" i="11"/>
  <c r="S2967" i="11"/>
  <c r="S2968" i="11"/>
  <c r="S2969" i="11"/>
  <c r="S2970" i="11"/>
  <c r="S2971" i="11"/>
  <c r="S2972" i="11"/>
  <c r="S2973" i="11"/>
  <c r="S2974" i="11"/>
  <c r="S2975" i="11"/>
  <c r="S2976" i="11"/>
  <c r="S2977" i="11"/>
  <c r="S2978" i="11"/>
  <c r="S2979" i="11"/>
  <c r="S2980" i="11"/>
  <c r="S2981" i="11"/>
  <c r="S2982" i="11"/>
  <c r="S2983" i="11"/>
  <c r="S2984" i="11"/>
  <c r="S2985" i="11"/>
  <c r="S2986" i="11"/>
  <c r="S2987" i="11"/>
  <c r="S2988" i="11"/>
  <c r="S2989" i="11"/>
  <c r="S2990" i="11"/>
  <c r="S2991" i="11"/>
  <c r="S2992" i="11"/>
  <c r="S2993" i="11"/>
  <c r="S2994" i="11"/>
  <c r="S2995" i="11"/>
  <c r="S2996" i="11"/>
  <c r="S2997" i="11"/>
  <c r="S2998" i="11"/>
  <c r="S2999" i="11"/>
  <c r="S3000" i="11"/>
  <c r="S3001" i="11"/>
  <c r="S3002" i="11"/>
  <c r="S3003" i="11"/>
  <c r="S3004" i="11"/>
  <c r="S3005" i="11"/>
  <c r="S3006" i="11"/>
  <c r="S3007" i="11"/>
  <c r="S3008" i="11"/>
  <c r="S3009" i="11"/>
  <c r="S3010" i="11"/>
  <c r="S3011" i="11"/>
  <c r="S3012" i="11"/>
  <c r="S3013" i="11"/>
  <c r="S3014" i="11"/>
  <c r="S3015" i="11"/>
  <c r="S3016" i="11"/>
  <c r="S3017" i="11"/>
  <c r="S3018" i="11"/>
  <c r="S3019" i="11"/>
  <c r="S3020" i="11"/>
  <c r="S3021" i="11"/>
  <c r="S3022" i="11"/>
  <c r="S3023" i="11"/>
  <c r="S3024" i="11"/>
  <c r="S3025" i="11"/>
  <c r="S3026" i="11"/>
  <c r="S3027" i="11"/>
  <c r="S3028" i="11"/>
  <c r="S3029" i="11"/>
  <c r="S3030" i="11"/>
  <c r="S3031" i="11"/>
  <c r="S3032" i="11"/>
  <c r="S3033" i="11"/>
  <c r="S3034" i="11"/>
  <c r="S3035" i="11"/>
  <c r="S3036" i="11"/>
  <c r="S3037" i="11"/>
  <c r="S3038" i="11"/>
  <c r="S3039" i="11"/>
  <c r="S3040" i="11"/>
  <c r="S3041" i="11"/>
  <c r="S3042" i="11"/>
  <c r="S3043" i="11"/>
  <c r="S3044" i="11"/>
  <c r="S3045" i="11"/>
  <c r="S3046" i="11"/>
  <c r="S3047" i="11"/>
  <c r="S3048" i="11"/>
  <c r="S3049" i="11"/>
  <c r="S3050" i="11"/>
  <c r="S3051" i="11"/>
  <c r="S3052" i="11"/>
  <c r="S3053" i="11"/>
  <c r="S3054" i="11"/>
  <c r="S3055" i="11"/>
  <c r="S3056" i="11"/>
  <c r="S3057" i="11"/>
  <c r="S3058" i="11"/>
  <c r="S3059" i="11"/>
  <c r="S3060" i="11"/>
  <c r="S3061" i="11"/>
  <c r="S3062" i="11"/>
  <c r="S3063" i="11"/>
  <c r="S3064" i="11"/>
  <c r="S3065" i="11"/>
  <c r="S3066" i="11"/>
  <c r="S3067" i="11"/>
  <c r="S3068" i="11"/>
  <c r="S3069" i="11"/>
  <c r="S3070" i="11"/>
  <c r="S3071" i="11"/>
  <c r="S3072" i="11"/>
  <c r="S3073" i="11"/>
  <c r="S3074" i="11"/>
  <c r="S3075" i="11"/>
  <c r="S3076" i="11"/>
  <c r="S3077" i="11"/>
  <c r="S3078" i="11"/>
  <c r="S3079" i="11"/>
  <c r="S3080" i="11"/>
  <c r="S3081" i="11"/>
  <c r="S3082" i="11"/>
  <c r="S3083" i="11"/>
  <c r="S3084" i="11"/>
  <c r="S3085" i="11"/>
  <c r="S3086" i="11"/>
  <c r="S3087" i="11"/>
  <c r="S3088" i="11"/>
  <c r="S3089" i="11"/>
  <c r="S3090" i="11"/>
  <c r="S3091" i="11"/>
  <c r="S3092" i="11"/>
  <c r="S3093" i="11"/>
  <c r="S3094" i="11"/>
  <c r="S3095" i="11"/>
  <c r="S3096" i="11"/>
  <c r="S3097" i="11"/>
  <c r="S3098" i="11"/>
  <c r="S3099" i="11"/>
  <c r="S3100" i="11"/>
  <c r="S3101" i="11"/>
  <c r="S3102" i="11"/>
  <c r="S3103" i="11"/>
  <c r="S3104" i="11"/>
  <c r="S3105" i="11"/>
  <c r="S3106" i="11"/>
  <c r="S3107" i="11"/>
  <c r="S3108" i="11"/>
  <c r="S3109" i="11"/>
  <c r="S3110" i="11"/>
  <c r="S3111" i="11"/>
  <c r="S3112" i="11"/>
  <c r="S3113" i="11"/>
  <c r="S3114" i="11"/>
  <c r="S3115" i="11"/>
  <c r="S3116" i="11"/>
  <c r="S3117" i="11"/>
  <c r="S3118" i="11"/>
  <c r="S3119" i="11"/>
  <c r="S3120" i="11"/>
  <c r="S3121" i="11"/>
  <c r="S3122" i="11"/>
  <c r="S3123" i="11"/>
  <c r="S3124" i="11"/>
  <c r="S3125" i="11"/>
  <c r="S3126" i="11"/>
  <c r="S3127" i="11"/>
  <c r="S3128" i="11"/>
  <c r="S3129" i="11"/>
  <c r="S3130" i="11"/>
  <c r="S3131" i="11"/>
  <c r="S3132" i="11"/>
  <c r="S3133" i="11"/>
  <c r="S3134" i="11"/>
  <c r="S3135" i="11"/>
  <c r="S3136" i="11"/>
  <c r="S3137" i="11"/>
  <c r="S3138" i="11"/>
  <c r="S3139" i="11"/>
  <c r="S3140" i="11"/>
  <c r="S3141" i="11"/>
  <c r="S3142" i="11"/>
  <c r="S3143" i="11"/>
  <c r="S3144" i="11"/>
  <c r="S3145" i="11"/>
  <c r="S3146" i="11"/>
  <c r="S3147" i="11"/>
  <c r="S3148" i="11"/>
  <c r="S3149" i="11"/>
  <c r="S3150" i="11"/>
  <c r="S3151" i="11"/>
  <c r="S3152" i="11"/>
  <c r="S3153" i="11"/>
  <c r="S3154" i="11"/>
  <c r="S3155" i="11"/>
  <c r="S3156" i="11"/>
  <c r="S3157" i="11"/>
  <c r="S3158" i="11"/>
  <c r="S3159" i="11"/>
  <c r="S3160" i="11"/>
  <c r="S3161" i="11"/>
  <c r="S3162" i="11"/>
  <c r="S3163" i="11"/>
  <c r="S3164" i="11"/>
  <c r="S3165" i="11"/>
  <c r="S3166" i="11"/>
  <c r="S3167" i="11"/>
  <c r="S3168" i="11"/>
  <c r="S3169" i="11"/>
  <c r="S3170" i="11"/>
  <c r="S3171" i="11"/>
  <c r="S3172" i="11"/>
  <c r="S3173" i="11"/>
  <c r="S3174" i="11"/>
  <c r="S3175" i="11"/>
  <c r="S3176" i="11"/>
  <c r="S3177" i="11"/>
  <c r="S3178" i="11"/>
  <c r="S3179" i="11"/>
  <c r="S3180" i="11"/>
  <c r="S3181" i="11"/>
  <c r="S3182" i="11"/>
  <c r="S3183" i="11"/>
  <c r="S3184" i="11"/>
  <c r="S3185" i="11"/>
  <c r="S3186" i="11"/>
  <c r="S3187" i="11"/>
  <c r="S3188" i="11"/>
  <c r="S3189" i="11"/>
  <c r="S3190" i="11"/>
  <c r="S3191" i="11"/>
  <c r="S3192" i="11"/>
  <c r="S3193" i="11"/>
  <c r="S3194" i="11"/>
  <c r="S3195" i="11"/>
  <c r="S3196" i="11"/>
  <c r="S3197" i="11"/>
  <c r="S3198" i="11"/>
  <c r="S3199" i="11"/>
  <c r="S3200" i="11"/>
  <c r="S3201" i="11"/>
  <c r="S3202" i="11"/>
  <c r="S3203" i="11"/>
  <c r="S3204" i="11"/>
  <c r="S3205" i="11"/>
  <c r="S3206" i="11"/>
  <c r="S3207" i="11"/>
  <c r="S3208" i="11"/>
  <c r="S3209" i="11"/>
  <c r="S3210" i="11"/>
  <c r="S3211" i="11"/>
  <c r="S3212" i="11"/>
  <c r="S3213" i="11"/>
  <c r="S3214" i="11"/>
  <c r="S3215" i="11"/>
  <c r="S3216" i="11"/>
  <c r="S3217" i="11"/>
  <c r="S3218" i="11"/>
  <c r="S3219" i="11"/>
  <c r="S3220" i="11"/>
  <c r="S3221" i="11"/>
  <c r="S3222" i="11"/>
  <c r="S3223" i="11"/>
  <c r="S3224" i="11"/>
  <c r="S3225" i="11"/>
  <c r="S3226" i="11"/>
  <c r="S3227" i="11"/>
  <c r="S3228" i="11"/>
  <c r="S3229" i="11"/>
  <c r="S3230" i="11"/>
  <c r="S3231" i="11"/>
  <c r="S3232" i="11"/>
  <c r="S3233" i="11"/>
  <c r="S3234" i="11"/>
  <c r="S3235" i="11"/>
  <c r="S3236" i="11"/>
  <c r="S3237" i="11"/>
  <c r="S3238" i="11"/>
  <c r="S3239" i="11"/>
  <c r="S3240" i="11"/>
  <c r="S3241" i="11"/>
  <c r="S3242" i="11"/>
  <c r="S3243" i="11"/>
  <c r="S3244" i="11"/>
  <c r="S3245" i="11"/>
  <c r="S3246" i="11"/>
  <c r="S3247" i="11"/>
  <c r="S3248" i="11"/>
  <c r="S3249" i="11"/>
  <c r="S3250" i="11"/>
  <c r="S3251" i="11"/>
  <c r="S3252" i="11"/>
  <c r="S3253" i="11"/>
  <c r="S3254" i="11"/>
  <c r="S3255" i="11"/>
  <c r="S3256" i="11"/>
  <c r="S3257" i="11"/>
  <c r="S3258" i="11"/>
  <c r="S3259" i="11"/>
  <c r="S3260" i="11"/>
  <c r="S3261" i="11"/>
  <c r="S3262" i="11"/>
  <c r="S3263" i="11"/>
  <c r="S3264" i="11"/>
  <c r="S3265" i="11"/>
  <c r="S3266" i="11"/>
  <c r="S3267" i="11"/>
  <c r="S3268" i="11"/>
  <c r="S3269" i="11"/>
  <c r="S3270" i="11"/>
  <c r="S3271" i="11"/>
  <c r="S3272" i="11"/>
  <c r="S3273" i="11"/>
  <c r="S3274" i="11"/>
  <c r="S3275" i="11"/>
  <c r="S3276" i="11"/>
  <c r="S3277" i="11"/>
  <c r="S3278" i="11"/>
  <c r="S3279" i="11"/>
  <c r="S3280" i="11"/>
  <c r="S3281" i="11"/>
  <c r="S3282" i="11"/>
  <c r="S3283" i="11"/>
  <c r="S3284" i="11"/>
  <c r="S3285" i="11"/>
  <c r="S3286" i="11"/>
  <c r="S3287" i="11"/>
  <c r="S3288" i="11"/>
  <c r="S3289" i="11"/>
  <c r="S3290" i="11"/>
  <c r="S3291" i="11"/>
  <c r="S3292" i="11"/>
  <c r="S3293" i="11"/>
  <c r="S3294" i="11"/>
  <c r="S3295" i="11"/>
  <c r="S3296" i="11"/>
  <c r="S3297" i="11"/>
  <c r="S3298" i="11"/>
  <c r="S3299" i="11"/>
  <c r="S3300" i="11"/>
  <c r="S3301" i="11"/>
  <c r="S3302" i="11"/>
  <c r="S3303" i="11"/>
  <c r="S3304" i="11"/>
  <c r="S3305" i="11"/>
  <c r="S3306" i="11"/>
  <c r="S3307" i="11"/>
  <c r="S3308" i="11"/>
  <c r="S3309" i="11"/>
  <c r="S3310" i="11"/>
  <c r="S3311" i="11"/>
  <c r="S3312" i="11"/>
  <c r="S3313" i="11"/>
  <c r="S3314" i="11"/>
  <c r="S3315" i="11"/>
  <c r="S3316" i="11"/>
  <c r="S3317" i="11"/>
  <c r="S3318" i="11"/>
  <c r="S3319" i="11"/>
  <c r="S3320" i="11"/>
  <c r="S3321" i="11"/>
  <c r="S3322" i="11"/>
  <c r="S3323" i="11"/>
  <c r="S3324" i="11"/>
  <c r="S3325" i="11"/>
  <c r="S3326" i="11"/>
  <c r="S3327" i="11"/>
  <c r="S3328" i="11"/>
  <c r="S3329" i="11"/>
  <c r="S3330" i="11"/>
  <c r="S3331" i="11"/>
  <c r="S3332" i="11"/>
  <c r="S3333" i="11"/>
  <c r="S3334" i="11"/>
  <c r="S3335" i="11"/>
  <c r="S3336" i="11"/>
  <c r="S3337" i="11"/>
  <c r="S3338" i="11"/>
  <c r="S3339" i="11"/>
  <c r="S3340" i="11"/>
  <c r="S3341" i="11"/>
  <c r="S3342" i="11"/>
  <c r="S3343" i="11"/>
  <c r="S3344" i="11"/>
  <c r="S3345" i="11"/>
  <c r="S3346" i="11"/>
  <c r="S3347" i="11"/>
  <c r="S3348" i="11"/>
  <c r="S3349" i="11"/>
  <c r="S3350" i="11"/>
  <c r="S3351" i="11"/>
  <c r="S3352" i="11"/>
  <c r="S3353" i="11"/>
  <c r="S3354" i="11"/>
  <c r="S3355" i="11"/>
  <c r="S3356" i="11"/>
  <c r="S3357" i="11"/>
  <c r="S3358" i="11"/>
  <c r="S3359" i="11"/>
  <c r="S3360" i="11"/>
  <c r="S3361" i="11"/>
  <c r="S3362" i="11"/>
  <c r="S3363" i="11"/>
  <c r="S3364" i="11"/>
  <c r="S3365" i="11"/>
  <c r="S3366" i="11"/>
  <c r="S3367" i="11"/>
  <c r="S3368" i="11"/>
  <c r="S3369" i="11"/>
  <c r="S3370" i="11"/>
  <c r="S3371" i="11"/>
  <c r="S3372" i="11"/>
  <c r="S3373" i="11"/>
  <c r="S3374" i="11"/>
  <c r="S3375" i="11"/>
  <c r="S3376" i="11"/>
  <c r="S3377" i="11"/>
  <c r="S3378" i="11"/>
  <c r="S3379" i="11"/>
  <c r="S3380" i="11"/>
  <c r="S3381" i="11"/>
  <c r="S3382" i="11"/>
  <c r="S3383" i="11"/>
  <c r="S3384" i="11"/>
  <c r="S3385" i="11"/>
  <c r="S3386" i="11"/>
  <c r="S3387" i="11"/>
  <c r="S3388" i="11"/>
  <c r="S3389" i="11"/>
  <c r="S3390" i="11"/>
  <c r="S3391" i="11"/>
  <c r="S3392" i="11"/>
  <c r="S3393" i="11"/>
  <c r="S3394" i="11"/>
  <c r="S3395" i="11"/>
  <c r="S3396" i="11"/>
  <c r="S3397" i="11"/>
  <c r="S3398" i="11"/>
  <c r="S3399" i="11"/>
  <c r="S3400" i="11"/>
  <c r="S3401" i="11"/>
  <c r="S3402" i="11"/>
  <c r="S3403" i="11"/>
  <c r="S3404" i="11"/>
  <c r="S3405" i="11"/>
  <c r="S3406" i="11"/>
  <c r="S3407" i="11"/>
  <c r="S3408" i="11"/>
  <c r="S3409" i="11"/>
  <c r="S3410" i="11"/>
  <c r="S3411" i="11"/>
  <c r="S3412" i="11"/>
  <c r="S3413" i="11"/>
  <c r="S3414" i="11"/>
  <c r="S3415" i="11"/>
  <c r="S3416" i="11"/>
  <c r="S3417" i="11"/>
  <c r="S3418" i="11"/>
  <c r="S3419" i="11"/>
  <c r="S3420" i="11"/>
  <c r="S3421" i="11"/>
  <c r="S3422" i="11"/>
  <c r="S3423" i="11"/>
  <c r="S3424" i="11"/>
  <c r="S3425" i="11"/>
  <c r="S3426" i="11"/>
  <c r="S3427" i="11"/>
  <c r="S3428" i="11"/>
  <c r="S3429" i="11"/>
  <c r="S3430" i="11"/>
  <c r="S3431" i="11"/>
  <c r="S3432" i="11"/>
  <c r="S3433" i="11"/>
  <c r="S3434" i="11"/>
  <c r="S3435" i="11"/>
  <c r="S3436" i="11"/>
  <c r="S3437" i="11"/>
  <c r="S3438" i="11"/>
  <c r="S3439" i="11"/>
  <c r="S3440" i="11"/>
  <c r="S3441" i="11"/>
  <c r="S3442" i="11"/>
  <c r="S3443" i="11"/>
  <c r="S3444" i="11"/>
  <c r="S3445" i="11"/>
  <c r="S3446" i="11"/>
  <c r="S3447" i="11"/>
  <c r="S3448" i="11"/>
  <c r="S3449" i="11"/>
  <c r="S3450" i="11"/>
  <c r="S3451" i="11"/>
  <c r="S3452" i="11"/>
  <c r="S3453" i="11"/>
  <c r="S3454" i="11"/>
  <c r="S3455" i="11"/>
  <c r="S3456" i="11"/>
  <c r="S3457" i="11"/>
  <c r="S3458" i="11"/>
  <c r="S3459" i="11"/>
  <c r="S3460" i="11"/>
  <c r="S3461" i="11"/>
  <c r="S3462" i="11"/>
  <c r="S3463" i="11"/>
  <c r="S3464" i="11"/>
  <c r="S3465" i="11"/>
  <c r="S3466" i="11"/>
  <c r="S3467" i="11"/>
  <c r="S3468" i="11"/>
  <c r="S3469" i="11"/>
  <c r="S3470" i="11"/>
  <c r="S3471" i="11"/>
  <c r="S3472" i="11"/>
  <c r="S3473" i="11"/>
  <c r="S3474" i="11"/>
  <c r="S3475" i="11"/>
  <c r="S3476" i="11"/>
  <c r="S3477" i="11"/>
  <c r="S3478" i="11"/>
  <c r="S3479" i="11"/>
  <c r="S3480" i="11"/>
  <c r="S3481" i="11"/>
  <c r="S3482" i="11"/>
  <c r="S3483" i="11"/>
  <c r="S3484" i="11"/>
  <c r="S3485" i="11"/>
  <c r="S3486" i="11"/>
  <c r="S3487" i="11"/>
  <c r="S3488" i="11"/>
  <c r="S3489" i="11"/>
  <c r="S3490" i="11"/>
  <c r="S3491" i="11"/>
  <c r="S3492" i="11"/>
  <c r="S3493" i="11"/>
  <c r="S3494" i="11"/>
  <c r="S3495" i="11"/>
  <c r="S3496" i="11"/>
  <c r="S3497" i="11"/>
  <c r="S3498" i="11"/>
  <c r="S3499" i="11"/>
  <c r="S3500" i="11"/>
  <c r="S3501" i="11"/>
  <c r="S3502" i="11"/>
  <c r="S3503" i="11"/>
  <c r="S3504" i="11"/>
  <c r="S3505" i="11"/>
  <c r="S3506" i="11"/>
  <c r="S3507" i="11"/>
  <c r="S3508" i="11"/>
  <c r="S3509" i="11"/>
  <c r="S3510" i="11"/>
  <c r="S3511" i="11"/>
  <c r="S3512" i="11"/>
  <c r="S3513" i="11"/>
  <c r="S3514" i="11"/>
  <c r="S3515" i="11"/>
  <c r="S3516" i="11"/>
  <c r="S3517" i="11"/>
  <c r="S3518" i="11"/>
  <c r="S3519" i="11"/>
  <c r="S3520" i="11"/>
  <c r="S3521" i="11"/>
  <c r="S3522" i="11"/>
  <c r="S3523" i="11"/>
  <c r="S3524" i="11"/>
  <c r="S3525" i="11"/>
  <c r="S3526" i="11"/>
  <c r="S3527" i="11"/>
  <c r="S3528" i="11"/>
  <c r="S3529" i="11"/>
  <c r="S3530" i="11"/>
  <c r="S3531" i="11"/>
  <c r="S3532" i="11"/>
  <c r="S3533" i="11"/>
  <c r="S3534" i="11"/>
  <c r="S3535" i="11"/>
  <c r="S3536" i="11"/>
  <c r="S3537" i="11"/>
  <c r="S3538" i="11"/>
  <c r="S3539" i="11"/>
  <c r="S3540" i="11"/>
  <c r="S3541" i="11"/>
  <c r="S3542" i="11"/>
  <c r="S3543" i="11"/>
  <c r="S3544" i="11"/>
  <c r="S3545" i="11"/>
  <c r="S3546" i="11"/>
  <c r="S3547" i="11"/>
  <c r="S3548" i="11"/>
  <c r="S3549" i="11"/>
  <c r="S3550" i="11"/>
  <c r="S3551" i="11"/>
  <c r="S3552" i="11"/>
  <c r="S3553" i="11"/>
  <c r="S3554" i="11"/>
  <c r="S3555" i="11"/>
  <c r="S3556" i="11"/>
  <c r="S3557" i="11"/>
  <c r="S3558" i="11"/>
  <c r="S3559" i="11"/>
  <c r="S3560" i="11"/>
  <c r="S3561" i="11"/>
  <c r="S3562" i="11"/>
  <c r="S3563" i="11"/>
  <c r="S3564" i="11"/>
  <c r="S3565" i="11"/>
  <c r="S3566" i="11"/>
  <c r="S3567" i="11"/>
  <c r="S3568" i="11"/>
  <c r="S3569" i="11"/>
  <c r="S3570" i="11"/>
  <c r="S3571" i="11"/>
  <c r="S3572" i="11"/>
  <c r="S3573" i="11"/>
  <c r="S3574" i="11"/>
  <c r="S3575" i="11"/>
  <c r="S3576" i="11"/>
  <c r="S3577" i="11"/>
  <c r="S3578" i="11"/>
  <c r="S3579" i="11"/>
  <c r="S3580" i="11"/>
  <c r="S3581" i="11"/>
  <c r="S3582" i="11"/>
  <c r="S3583" i="11"/>
  <c r="S3584" i="11"/>
  <c r="S3585" i="11"/>
  <c r="S3586" i="11"/>
  <c r="S3587" i="11"/>
  <c r="S3588" i="11"/>
  <c r="S3589" i="11"/>
  <c r="S3590" i="11"/>
  <c r="S3591" i="11"/>
  <c r="S3592" i="11"/>
  <c r="S3593" i="11"/>
  <c r="S3594" i="11"/>
  <c r="S3595" i="11"/>
  <c r="S3596" i="11"/>
  <c r="S3597" i="11"/>
  <c r="S3598" i="11"/>
  <c r="S3599" i="11"/>
  <c r="S3600" i="11"/>
  <c r="S3601" i="11"/>
  <c r="S3602" i="11"/>
  <c r="S3603" i="11"/>
  <c r="S3604" i="11"/>
  <c r="S3605" i="11"/>
  <c r="S3606" i="11"/>
  <c r="S3607" i="11"/>
  <c r="S3608" i="11"/>
  <c r="S3609" i="11"/>
  <c r="S3610" i="11"/>
  <c r="S3611" i="11"/>
  <c r="S3612" i="11"/>
  <c r="S3613" i="11"/>
  <c r="S3614" i="11"/>
  <c r="S3615" i="11"/>
  <c r="S3616" i="11"/>
  <c r="S3617" i="11"/>
  <c r="S3618" i="11"/>
  <c r="S3619" i="11"/>
  <c r="S3620" i="11"/>
  <c r="S3621" i="11"/>
  <c r="S3622" i="11"/>
  <c r="S3623" i="11"/>
  <c r="S3624" i="11"/>
  <c r="S3625" i="11"/>
  <c r="S3626" i="11"/>
  <c r="S3627" i="11"/>
  <c r="S3628" i="11"/>
  <c r="S3629" i="11"/>
  <c r="S3630" i="11"/>
  <c r="S3631" i="11"/>
  <c r="S3632" i="11"/>
  <c r="S3633" i="11"/>
  <c r="S3634" i="11"/>
  <c r="S3635" i="11"/>
  <c r="S3636" i="11"/>
  <c r="S3637" i="11"/>
  <c r="S3638" i="11"/>
  <c r="S3639" i="11"/>
  <c r="S3640" i="11"/>
  <c r="S3641" i="11"/>
  <c r="S3642" i="11"/>
  <c r="S3643" i="11"/>
  <c r="S3644" i="11"/>
  <c r="S3645" i="11"/>
  <c r="S3646" i="11"/>
  <c r="S3647" i="11"/>
  <c r="S3648" i="11"/>
  <c r="S3649" i="11"/>
  <c r="S3650" i="11"/>
  <c r="S3651" i="11"/>
  <c r="S3652" i="11"/>
  <c r="S3653" i="11"/>
  <c r="S3654" i="11"/>
  <c r="S3655" i="11"/>
  <c r="S3656" i="11"/>
  <c r="S3657" i="11"/>
  <c r="S3658" i="11"/>
  <c r="S3659" i="11"/>
  <c r="S3660" i="11"/>
  <c r="S3661" i="11"/>
  <c r="S3662" i="11"/>
  <c r="S3663" i="11"/>
  <c r="S3664" i="11"/>
  <c r="S3665" i="11"/>
  <c r="S3666" i="11"/>
  <c r="S3667" i="11"/>
  <c r="S3668" i="11"/>
  <c r="S3669" i="11"/>
  <c r="S3670" i="11"/>
  <c r="S3671" i="11"/>
  <c r="S3672" i="11"/>
  <c r="S3673" i="11"/>
  <c r="S3674" i="11"/>
  <c r="S3675" i="11"/>
  <c r="S3676" i="11"/>
  <c r="S3677" i="11"/>
  <c r="S3678" i="11"/>
  <c r="S3679" i="11"/>
  <c r="S3680" i="11"/>
  <c r="S3681" i="11"/>
  <c r="S3682" i="11"/>
  <c r="S3683" i="11"/>
  <c r="S3684" i="11"/>
  <c r="S3685" i="11"/>
  <c r="S3686" i="11"/>
  <c r="S3687" i="11"/>
  <c r="S3688" i="11"/>
  <c r="S3689" i="11"/>
  <c r="S3690" i="11"/>
  <c r="S3691" i="11"/>
  <c r="S3692" i="11"/>
  <c r="S3693" i="11"/>
  <c r="S3694" i="11"/>
  <c r="S3695" i="11"/>
  <c r="S3696" i="11"/>
  <c r="S3697" i="11"/>
  <c r="S3698" i="11"/>
  <c r="S3699" i="11"/>
  <c r="S3700" i="11"/>
  <c r="S3701" i="11"/>
  <c r="S3702" i="11"/>
  <c r="S3703" i="11"/>
  <c r="S3704" i="11"/>
  <c r="S3705" i="11"/>
  <c r="S3706" i="11"/>
  <c r="S3707" i="11"/>
  <c r="S3708" i="11"/>
  <c r="S3709" i="11"/>
  <c r="S3710" i="11"/>
  <c r="S3711" i="11"/>
  <c r="S3712" i="11"/>
  <c r="S3713" i="11"/>
  <c r="S3714" i="11"/>
  <c r="S3715" i="11"/>
  <c r="S3716" i="11"/>
  <c r="S3717" i="11"/>
  <c r="S3718" i="11"/>
  <c r="S3719" i="11"/>
  <c r="S3720" i="11"/>
  <c r="S3721" i="11"/>
  <c r="S3722" i="11"/>
  <c r="S3723" i="11"/>
  <c r="S3724" i="11"/>
  <c r="S3725" i="11"/>
  <c r="S3726" i="11"/>
  <c r="S3727" i="11"/>
  <c r="S3728" i="11"/>
  <c r="S3729" i="11"/>
  <c r="S3730" i="11"/>
  <c r="S3731" i="11"/>
  <c r="S3732" i="11"/>
  <c r="S3733" i="11"/>
  <c r="S3734" i="11"/>
  <c r="S3735" i="11"/>
  <c r="S3736" i="11"/>
  <c r="S3737" i="11"/>
  <c r="S3738" i="11"/>
  <c r="S3739" i="11"/>
  <c r="S3740" i="11"/>
  <c r="S3741" i="11"/>
  <c r="S3742" i="11"/>
  <c r="S3743" i="11"/>
  <c r="S3744" i="11"/>
  <c r="S3745" i="11"/>
  <c r="S3746" i="11"/>
  <c r="S3747" i="11"/>
  <c r="S3748" i="11"/>
  <c r="S3749" i="11"/>
  <c r="S3750" i="11"/>
  <c r="S3751" i="11"/>
  <c r="S3752" i="11"/>
  <c r="S3753" i="11"/>
  <c r="S3754" i="11"/>
  <c r="S3755" i="11"/>
  <c r="S3756" i="11"/>
  <c r="S3757" i="11"/>
  <c r="S3758" i="11"/>
  <c r="S3759" i="11"/>
  <c r="S3760" i="11"/>
  <c r="S3761" i="11"/>
  <c r="S3762" i="11"/>
  <c r="S3763" i="11"/>
  <c r="S3764" i="11"/>
  <c r="S3765" i="11"/>
  <c r="S3766" i="11"/>
  <c r="S3767" i="11"/>
  <c r="S3768" i="11"/>
  <c r="S3769" i="11"/>
  <c r="S3770" i="11"/>
  <c r="S3771" i="11"/>
  <c r="S3772" i="11"/>
  <c r="S3773" i="11"/>
  <c r="S3774" i="11"/>
  <c r="S3775" i="11"/>
  <c r="S3776" i="11"/>
  <c r="S3777" i="11"/>
  <c r="S3778" i="11"/>
  <c r="S3779" i="11"/>
  <c r="S3780" i="11"/>
  <c r="S3781" i="11"/>
  <c r="S3782" i="11"/>
  <c r="S3783" i="11"/>
  <c r="S3784" i="11"/>
  <c r="S3785" i="11"/>
  <c r="S3786" i="11"/>
  <c r="S3787" i="11"/>
  <c r="S3788" i="11"/>
  <c r="S3789" i="11"/>
  <c r="S3790" i="11"/>
  <c r="S3791" i="11"/>
  <c r="S3792" i="11"/>
  <c r="S3793" i="11"/>
  <c r="S3794" i="11"/>
  <c r="S3795" i="11"/>
  <c r="S3796" i="11"/>
  <c r="S3797" i="11"/>
  <c r="S3798" i="11"/>
  <c r="S3799" i="11"/>
  <c r="S3800" i="11"/>
  <c r="S3801" i="11"/>
  <c r="S3802" i="11"/>
  <c r="S3803" i="11"/>
  <c r="S3804" i="11"/>
  <c r="S3805" i="11"/>
  <c r="S3806" i="11"/>
  <c r="S3807" i="11"/>
  <c r="S3808" i="11"/>
  <c r="S3809" i="11"/>
  <c r="S3810" i="11"/>
  <c r="S3811" i="11"/>
  <c r="S3812" i="11"/>
  <c r="S3813" i="11"/>
  <c r="S3814" i="11"/>
  <c r="S3815" i="11"/>
  <c r="S3816" i="11"/>
  <c r="S3817" i="11"/>
  <c r="S3818" i="11"/>
  <c r="S3819" i="11"/>
  <c r="S3820" i="11"/>
  <c r="S3821" i="11"/>
  <c r="S3822" i="11"/>
  <c r="S3823" i="11"/>
  <c r="S3824" i="11"/>
  <c r="S3825" i="11"/>
  <c r="S3826" i="11"/>
  <c r="S3827" i="11"/>
  <c r="S3828" i="11"/>
  <c r="S3829" i="11"/>
  <c r="S3830" i="11"/>
  <c r="S3831" i="11"/>
  <c r="S3832" i="11"/>
  <c r="S3833" i="11"/>
  <c r="S3834" i="11"/>
  <c r="S3835" i="11"/>
  <c r="S3836" i="11"/>
  <c r="S3837" i="11"/>
  <c r="S3838" i="11"/>
  <c r="S3839" i="11"/>
  <c r="S3840" i="11"/>
  <c r="S3841" i="11"/>
  <c r="S3842" i="11"/>
  <c r="S3843" i="11"/>
  <c r="S3844" i="11"/>
  <c r="S3845" i="11"/>
  <c r="S3846" i="11"/>
  <c r="S3847" i="11"/>
  <c r="S3848" i="11"/>
  <c r="S3849" i="11"/>
  <c r="S3850" i="11"/>
  <c r="S3851" i="11"/>
  <c r="S3852" i="11"/>
  <c r="S3853" i="11"/>
  <c r="S3854" i="11"/>
  <c r="S3855" i="11"/>
  <c r="S3856" i="11"/>
  <c r="S3857" i="11"/>
  <c r="S3858" i="11"/>
  <c r="S3859" i="11"/>
  <c r="S3860" i="11"/>
  <c r="S3861" i="11"/>
  <c r="S3862" i="11"/>
  <c r="S3863" i="11"/>
  <c r="S3864" i="11"/>
  <c r="S3865" i="11"/>
  <c r="S3866" i="11"/>
  <c r="S3867" i="11"/>
  <c r="S3868" i="11"/>
  <c r="S3869" i="11"/>
  <c r="S3870" i="11"/>
  <c r="S3871" i="11"/>
  <c r="S3872" i="11"/>
  <c r="S3873" i="11"/>
  <c r="S3874" i="11"/>
  <c r="S3875" i="11"/>
  <c r="S3876" i="11"/>
  <c r="S3877" i="11"/>
  <c r="S3878" i="11"/>
  <c r="S3879" i="11"/>
  <c r="S3880" i="11"/>
  <c r="S3881" i="11"/>
  <c r="S3882" i="11"/>
  <c r="S3883" i="11"/>
  <c r="S3884" i="11"/>
  <c r="S3885" i="11"/>
  <c r="S3886" i="11"/>
  <c r="S3887" i="11"/>
  <c r="S3888" i="11"/>
  <c r="S3889" i="11"/>
  <c r="S3890" i="11"/>
  <c r="S3891" i="11"/>
  <c r="S3892" i="11"/>
  <c r="S3893" i="11"/>
  <c r="S3894" i="11"/>
  <c r="S3895" i="11"/>
  <c r="S3896" i="11"/>
  <c r="S3897" i="11"/>
  <c r="S3898" i="11"/>
  <c r="S3899" i="11"/>
  <c r="S3900" i="11"/>
  <c r="S3901" i="11"/>
  <c r="S3902" i="11"/>
  <c r="S3903" i="11"/>
  <c r="S3904" i="11"/>
  <c r="S3905" i="11"/>
  <c r="S3906" i="11"/>
  <c r="S3907" i="11"/>
  <c r="S3908" i="11"/>
  <c r="S3909" i="11"/>
  <c r="S3910" i="11"/>
  <c r="S3911" i="11"/>
  <c r="S3912" i="11"/>
  <c r="S3913" i="11"/>
  <c r="S3914" i="11"/>
  <c r="S3915" i="11"/>
  <c r="S3916" i="11"/>
  <c r="S3917" i="11"/>
  <c r="S3918" i="11"/>
  <c r="S3919" i="11"/>
  <c r="S3920" i="11"/>
  <c r="S3921" i="11"/>
  <c r="S3922" i="11"/>
  <c r="S3923" i="11"/>
  <c r="S3924" i="11"/>
  <c r="S3925" i="11"/>
  <c r="S3926" i="11"/>
  <c r="S3927" i="11"/>
  <c r="S3928" i="11"/>
  <c r="S3929" i="11"/>
  <c r="S3930" i="11"/>
  <c r="S3931" i="11"/>
  <c r="S3932" i="11"/>
  <c r="S3933" i="11"/>
  <c r="S3934" i="11"/>
  <c r="S3935" i="11"/>
  <c r="S3936" i="11"/>
  <c r="S3937" i="11"/>
  <c r="S3938" i="11"/>
  <c r="S3939" i="11"/>
  <c r="S3940" i="11"/>
  <c r="S3941" i="11"/>
  <c r="S3942" i="11"/>
  <c r="S3943" i="11"/>
  <c r="S3944" i="11"/>
  <c r="S3945" i="11"/>
  <c r="S3946" i="11"/>
  <c r="S3947" i="11"/>
  <c r="S3948" i="11"/>
  <c r="S3949" i="11"/>
  <c r="S3950" i="11"/>
  <c r="S3951" i="11"/>
  <c r="S3952" i="11"/>
  <c r="S3953" i="11"/>
  <c r="S3954" i="11"/>
  <c r="S3955" i="11"/>
  <c r="S3956" i="11"/>
  <c r="S3957" i="11"/>
  <c r="S3958" i="11"/>
  <c r="S3959" i="11"/>
  <c r="S3960" i="11"/>
  <c r="S3961" i="11"/>
  <c r="S3962" i="11"/>
  <c r="S3963" i="11"/>
  <c r="S3964" i="11"/>
  <c r="S3965" i="11"/>
  <c r="S3966" i="11"/>
  <c r="S3967" i="11"/>
  <c r="S3968" i="11"/>
  <c r="S3969" i="11"/>
  <c r="S3970" i="11"/>
  <c r="S3971" i="11"/>
  <c r="S3972" i="11"/>
  <c r="S3973" i="11"/>
  <c r="S3974" i="11"/>
  <c r="S3975" i="11"/>
  <c r="S3976" i="11"/>
  <c r="S3977" i="11"/>
  <c r="S3978" i="11"/>
  <c r="S3979" i="11"/>
  <c r="S3980" i="11"/>
  <c r="S3981" i="11"/>
  <c r="S3982" i="11"/>
  <c r="S3983" i="11"/>
  <c r="S3984" i="11"/>
  <c r="S3985" i="11"/>
  <c r="S3986" i="11"/>
  <c r="S3987" i="11"/>
  <c r="S3988" i="11"/>
  <c r="S3989" i="11"/>
  <c r="S3990" i="11"/>
  <c r="S3991" i="11"/>
  <c r="S3992" i="11"/>
  <c r="S3993" i="11"/>
  <c r="S3994" i="11"/>
  <c r="S3995" i="11"/>
  <c r="S3996" i="11"/>
  <c r="S3997" i="11"/>
  <c r="S3998" i="11"/>
  <c r="S3999" i="11"/>
  <c r="S4000" i="11"/>
  <c r="S4001" i="11"/>
  <c r="S4002" i="11"/>
  <c r="S4003" i="11"/>
  <c r="S4004" i="11"/>
  <c r="S4005" i="11"/>
  <c r="S4006" i="11"/>
  <c r="S4007" i="11"/>
  <c r="S4008" i="11"/>
  <c r="S4009" i="11"/>
  <c r="S4010" i="11"/>
  <c r="S4011" i="11"/>
  <c r="S4012" i="11"/>
  <c r="S4013" i="11"/>
  <c r="S4014" i="11"/>
  <c r="S4015" i="11"/>
  <c r="S4016" i="11"/>
  <c r="S4017" i="11"/>
  <c r="S4018" i="11"/>
  <c r="S4019" i="11"/>
  <c r="S4020" i="11"/>
  <c r="S4021" i="11"/>
  <c r="S4022" i="11"/>
  <c r="S4023" i="11"/>
  <c r="S4024" i="11"/>
  <c r="S4025" i="11"/>
  <c r="S4026" i="11"/>
  <c r="S4027" i="11"/>
  <c r="S4028" i="11"/>
  <c r="S4029" i="11"/>
  <c r="S4030" i="11"/>
  <c r="S4031" i="11"/>
  <c r="S4032" i="11"/>
  <c r="S4033" i="11"/>
  <c r="S4034" i="11"/>
  <c r="S4035" i="11"/>
  <c r="S4036" i="11"/>
  <c r="S4037" i="11"/>
  <c r="S4038" i="11"/>
  <c r="S4039" i="11"/>
  <c r="S4040" i="11"/>
  <c r="S4041" i="11"/>
  <c r="S4042" i="11"/>
  <c r="S4043" i="11"/>
  <c r="S4044" i="11"/>
  <c r="S4045" i="11"/>
  <c r="S4046" i="11"/>
  <c r="S4047" i="11"/>
  <c r="S4048" i="11"/>
  <c r="S4049" i="11"/>
  <c r="S4050" i="11"/>
  <c r="S4051" i="11"/>
  <c r="S4052" i="11"/>
  <c r="S4053" i="11"/>
  <c r="S4054" i="11"/>
  <c r="S4055" i="11"/>
  <c r="S4056" i="11"/>
  <c r="S4057" i="11"/>
  <c r="S4058" i="11"/>
  <c r="S4059" i="11"/>
  <c r="S4060" i="11"/>
  <c r="S4061" i="11"/>
  <c r="S4062" i="11"/>
  <c r="S4063" i="11"/>
  <c r="S4064" i="11"/>
  <c r="S4065" i="11"/>
  <c r="S4066" i="11"/>
  <c r="S4067" i="11"/>
  <c r="S4068" i="11"/>
  <c r="S4069" i="11"/>
  <c r="S4070" i="11"/>
  <c r="S4071" i="11"/>
  <c r="S4072" i="11"/>
  <c r="S4073" i="11"/>
  <c r="S4074" i="11"/>
  <c r="S4075" i="11"/>
  <c r="S4076" i="11"/>
  <c r="S4077" i="11"/>
  <c r="S4078" i="11"/>
  <c r="S4079" i="11"/>
  <c r="S4080" i="11"/>
  <c r="S4081" i="11"/>
  <c r="S4082" i="11"/>
  <c r="S4083" i="11"/>
  <c r="S4084" i="11"/>
  <c r="S4085" i="11"/>
  <c r="S4086" i="11"/>
  <c r="S4087" i="11"/>
  <c r="S4088" i="11"/>
  <c r="S4089" i="11"/>
  <c r="S4090" i="11"/>
  <c r="S4091" i="11"/>
  <c r="S4092" i="11"/>
  <c r="S4093" i="11"/>
  <c r="S4094" i="11"/>
  <c r="S4095" i="11"/>
  <c r="S4096" i="11"/>
  <c r="S4097" i="11"/>
  <c r="S4098" i="11"/>
  <c r="S4099" i="11"/>
  <c r="S4100" i="11"/>
  <c r="S4101" i="11"/>
  <c r="S4102" i="11"/>
  <c r="S4103" i="11"/>
  <c r="S4104" i="11"/>
  <c r="S4105" i="11"/>
  <c r="S4106" i="11"/>
  <c r="S4107" i="11"/>
  <c r="S4108" i="11"/>
  <c r="S4109" i="11"/>
  <c r="S4110" i="11"/>
  <c r="S4111" i="11"/>
  <c r="S4112" i="11"/>
  <c r="S4113" i="11"/>
  <c r="S4114" i="11"/>
  <c r="S4115" i="11"/>
  <c r="S4116" i="11"/>
  <c r="S4117" i="11"/>
  <c r="S4118" i="11"/>
  <c r="S4119" i="11"/>
  <c r="S4120" i="11"/>
  <c r="S4121" i="11"/>
  <c r="S4122" i="11"/>
  <c r="S4123" i="11"/>
  <c r="S4124" i="11"/>
  <c r="S4125" i="11"/>
  <c r="S4126" i="11"/>
  <c r="S4127" i="11"/>
  <c r="S4128" i="11"/>
  <c r="S4129" i="11"/>
  <c r="S4130" i="11"/>
  <c r="S4131" i="11"/>
  <c r="S4132" i="11"/>
  <c r="S4133" i="11"/>
  <c r="S4134" i="11"/>
  <c r="S4135" i="11"/>
  <c r="S4136" i="11"/>
  <c r="S4137" i="11"/>
  <c r="S4138" i="11"/>
  <c r="S4139" i="11"/>
  <c r="S4140" i="11"/>
  <c r="S4141" i="11"/>
  <c r="S4142" i="11"/>
  <c r="S4143" i="11"/>
  <c r="S4144" i="11"/>
  <c r="S4145" i="11"/>
  <c r="S4146" i="11"/>
  <c r="S4147" i="11"/>
  <c r="S4148" i="11"/>
  <c r="S4149" i="11"/>
  <c r="S4150" i="11"/>
  <c r="S4151" i="11"/>
  <c r="S4152" i="11"/>
  <c r="S4153" i="11"/>
  <c r="S4154" i="11"/>
  <c r="S4155" i="11"/>
  <c r="S4156" i="11"/>
  <c r="S4157" i="11"/>
  <c r="S4158" i="11"/>
  <c r="S4159" i="11"/>
  <c r="S4160" i="11"/>
  <c r="S4161" i="11"/>
  <c r="S4162" i="11"/>
  <c r="S4163" i="11"/>
  <c r="S4164" i="11"/>
  <c r="S4165" i="11"/>
  <c r="S4166" i="11"/>
  <c r="S4167" i="11"/>
  <c r="S4168" i="11"/>
  <c r="S4169" i="11"/>
  <c r="S4170" i="11"/>
  <c r="S4171" i="11"/>
  <c r="S4172" i="11"/>
  <c r="S4173" i="11"/>
  <c r="S4174" i="11"/>
  <c r="S4175" i="11"/>
  <c r="S4176" i="11"/>
  <c r="S4177" i="11"/>
  <c r="S4178" i="11"/>
  <c r="S4179" i="11"/>
  <c r="S4180" i="11"/>
  <c r="S4181" i="11"/>
  <c r="S4182" i="11"/>
  <c r="S4183" i="11"/>
  <c r="S4184" i="11"/>
  <c r="S4185" i="11"/>
  <c r="S4186" i="11"/>
  <c r="S4187" i="11"/>
  <c r="S4188" i="11"/>
  <c r="S4189" i="11"/>
  <c r="S4190" i="11"/>
  <c r="S4191" i="11"/>
  <c r="S4192" i="11"/>
  <c r="S4193" i="11"/>
  <c r="S4194" i="11"/>
  <c r="S4195" i="11"/>
  <c r="S4196" i="11"/>
  <c r="S4197" i="11"/>
  <c r="S4198" i="11"/>
  <c r="S4199" i="11"/>
  <c r="S4200" i="11"/>
  <c r="S4201" i="11"/>
  <c r="S4202" i="11"/>
  <c r="S4203" i="11"/>
  <c r="S4204" i="11"/>
  <c r="S4205" i="11"/>
  <c r="S4206" i="11"/>
  <c r="S4207" i="11"/>
  <c r="S4208" i="11"/>
  <c r="S4209" i="11"/>
  <c r="S4210" i="11"/>
  <c r="S4211" i="11"/>
  <c r="S4212" i="11"/>
  <c r="S4213" i="11"/>
  <c r="S4214" i="11"/>
  <c r="S4215" i="11"/>
  <c r="S4216" i="11"/>
  <c r="S4217" i="11"/>
  <c r="S4218" i="11"/>
  <c r="S4219" i="11"/>
  <c r="S4220" i="11"/>
  <c r="S4221" i="11"/>
  <c r="S4222" i="11"/>
  <c r="S4223" i="11"/>
  <c r="S4224" i="11"/>
  <c r="S4225" i="11"/>
  <c r="S4226" i="11"/>
  <c r="S4227" i="11"/>
  <c r="S4228" i="11"/>
  <c r="S4229" i="11"/>
  <c r="S4230" i="11"/>
  <c r="S4231" i="11"/>
  <c r="S4232" i="11"/>
  <c r="S4233" i="11"/>
  <c r="S4234" i="11"/>
  <c r="S4235" i="11"/>
  <c r="S4236" i="11"/>
  <c r="S4237" i="11"/>
  <c r="S4238" i="11"/>
  <c r="S4239" i="11"/>
  <c r="S4240" i="11"/>
  <c r="S4241" i="11"/>
  <c r="S4242" i="11"/>
  <c r="S4243" i="11"/>
  <c r="S4244" i="11"/>
  <c r="S4245" i="11"/>
  <c r="S4246" i="11"/>
  <c r="S4247" i="11"/>
  <c r="S4248" i="11"/>
  <c r="S4249" i="11"/>
  <c r="S4250" i="11"/>
  <c r="S4251" i="11"/>
  <c r="S4252" i="11"/>
  <c r="S4253" i="11"/>
  <c r="S4254" i="11"/>
  <c r="S4255" i="11"/>
  <c r="S4256" i="11"/>
  <c r="S4257" i="11"/>
  <c r="S4258" i="11"/>
  <c r="S4259" i="11"/>
  <c r="S4260" i="11"/>
  <c r="S4261" i="11"/>
  <c r="S4262" i="11"/>
  <c r="S4263" i="11"/>
  <c r="S4264" i="11"/>
  <c r="S4265" i="11"/>
  <c r="S4266" i="11"/>
  <c r="S4267" i="11"/>
  <c r="S4268" i="11"/>
  <c r="S4269" i="11"/>
  <c r="S4270" i="11"/>
  <c r="S4271" i="11"/>
  <c r="S4272" i="11"/>
  <c r="S4273" i="11"/>
  <c r="S4274" i="11"/>
  <c r="S4275" i="11"/>
  <c r="S4276" i="11"/>
  <c r="S4277" i="11"/>
  <c r="S4278" i="11"/>
  <c r="S4279" i="11"/>
  <c r="S4280" i="11"/>
  <c r="S4281" i="11"/>
  <c r="S4282" i="11"/>
  <c r="S4283" i="11"/>
  <c r="S4284" i="11"/>
  <c r="S4285" i="11"/>
  <c r="S4286" i="11"/>
  <c r="S4287" i="11"/>
  <c r="S4288" i="11"/>
  <c r="S4289" i="11"/>
  <c r="S4290" i="11"/>
  <c r="S4291" i="11"/>
  <c r="S4292" i="11"/>
  <c r="S4293" i="11"/>
  <c r="S4294" i="11"/>
  <c r="S4295" i="11"/>
  <c r="S4296" i="11"/>
  <c r="S4297" i="11"/>
  <c r="S4298" i="11"/>
  <c r="S4299" i="11"/>
  <c r="S4300" i="11"/>
  <c r="S4301" i="11"/>
  <c r="S4302" i="11"/>
  <c r="S4303" i="11"/>
  <c r="S4304" i="11"/>
  <c r="S4305" i="11"/>
  <c r="S4306" i="11"/>
  <c r="S4307" i="11"/>
  <c r="S4308" i="11"/>
  <c r="S4309" i="11"/>
  <c r="S4310" i="11"/>
  <c r="S4311" i="11"/>
  <c r="S4312" i="11"/>
  <c r="S4313" i="11"/>
  <c r="S4314" i="11"/>
  <c r="S4315" i="11"/>
  <c r="S4316" i="11"/>
  <c r="S4317" i="11"/>
  <c r="S4318" i="11"/>
  <c r="S4319" i="11"/>
  <c r="S4320" i="11"/>
  <c r="S4321" i="11"/>
  <c r="S4322" i="11"/>
  <c r="S4323" i="11"/>
  <c r="S4324" i="11"/>
  <c r="S4325" i="11"/>
  <c r="S4326" i="11"/>
  <c r="S4327" i="11"/>
  <c r="S4328" i="11"/>
  <c r="S4329" i="11"/>
  <c r="S4330" i="11"/>
  <c r="S4331" i="11"/>
  <c r="S4332" i="11"/>
  <c r="S4333" i="11"/>
  <c r="S4334" i="11"/>
  <c r="S4335" i="11"/>
  <c r="S4336" i="11"/>
  <c r="S4337" i="11"/>
  <c r="S4338" i="11"/>
  <c r="S4339" i="11"/>
  <c r="S4340" i="11"/>
  <c r="S4341" i="11"/>
  <c r="S4342" i="11"/>
  <c r="S4343" i="11"/>
  <c r="S4344" i="11"/>
  <c r="S4345" i="11"/>
  <c r="S4346" i="11"/>
  <c r="S4347" i="11"/>
  <c r="S4348" i="11"/>
  <c r="S4349" i="11"/>
  <c r="S4350" i="11"/>
  <c r="S4351" i="11"/>
  <c r="S4352" i="11"/>
  <c r="S4353" i="11"/>
  <c r="S4354" i="11"/>
  <c r="S4355" i="11"/>
  <c r="S4356" i="11"/>
  <c r="S4357" i="11"/>
  <c r="S4358" i="11"/>
  <c r="S4359" i="11"/>
  <c r="S4360" i="11"/>
  <c r="S4361" i="11"/>
  <c r="S4362" i="11"/>
  <c r="S4363" i="11"/>
  <c r="S4364" i="11"/>
  <c r="S4365" i="11"/>
  <c r="S4366" i="11"/>
  <c r="S4367" i="11"/>
  <c r="S4368" i="11"/>
  <c r="S4369" i="11"/>
  <c r="S4370" i="11"/>
  <c r="S4371" i="11"/>
  <c r="S4372" i="11"/>
  <c r="S4373" i="11"/>
  <c r="S4374" i="11"/>
  <c r="S4375" i="11"/>
  <c r="S4376" i="11"/>
  <c r="S4377" i="11"/>
  <c r="S4378" i="11"/>
  <c r="S4379" i="11"/>
  <c r="S4380" i="11"/>
  <c r="S4381" i="11"/>
  <c r="S4382" i="11"/>
  <c r="S4383" i="11"/>
  <c r="S4384" i="11"/>
  <c r="S4385" i="11"/>
  <c r="S4386" i="11"/>
  <c r="S4387" i="11"/>
  <c r="S4388" i="11"/>
  <c r="S4389" i="11"/>
  <c r="S4390" i="11"/>
  <c r="S4391" i="11"/>
  <c r="S4392" i="11"/>
  <c r="S4393" i="11"/>
  <c r="S4394" i="11"/>
  <c r="S4395" i="11"/>
  <c r="S4396" i="11"/>
  <c r="S4397" i="11"/>
  <c r="S4398" i="11"/>
  <c r="S4399" i="11"/>
  <c r="S4400" i="11"/>
  <c r="S4401" i="11"/>
  <c r="S4402" i="11"/>
  <c r="S4403" i="11"/>
  <c r="S4404" i="11"/>
  <c r="S4405" i="11"/>
  <c r="S4406" i="11"/>
  <c r="S4407" i="11"/>
  <c r="S4408" i="11"/>
  <c r="S4409" i="11"/>
  <c r="S4410" i="11"/>
  <c r="S4411" i="11"/>
  <c r="S4412" i="11"/>
  <c r="S4413" i="11"/>
  <c r="S4414" i="11"/>
  <c r="S4415" i="11"/>
  <c r="S4416" i="11"/>
  <c r="S4417" i="11"/>
  <c r="S4418" i="11"/>
  <c r="S4419" i="11"/>
  <c r="S4420" i="11"/>
  <c r="S4421" i="11"/>
  <c r="S4422" i="11"/>
  <c r="S4423" i="11"/>
  <c r="S4424" i="11"/>
  <c r="S4425" i="11"/>
  <c r="S4426" i="11"/>
  <c r="S4427" i="11"/>
  <c r="S4428" i="11"/>
  <c r="S4429" i="11"/>
  <c r="S4430" i="11"/>
  <c r="S4431" i="11"/>
  <c r="S4432" i="11"/>
  <c r="S4433" i="11"/>
  <c r="S4434" i="11"/>
  <c r="S4435" i="11"/>
  <c r="S4436" i="11"/>
  <c r="S4437" i="11"/>
  <c r="S4438" i="11"/>
  <c r="S4439" i="11"/>
  <c r="S4440" i="11"/>
  <c r="S4441" i="11"/>
  <c r="S4442" i="11"/>
  <c r="S4443" i="11"/>
  <c r="S4444" i="11"/>
  <c r="S4445" i="11"/>
  <c r="S4446" i="11"/>
  <c r="S4447" i="11"/>
  <c r="S4448" i="11"/>
  <c r="S4449" i="11"/>
  <c r="S4450" i="11"/>
  <c r="S4451" i="11"/>
  <c r="S4452" i="11"/>
  <c r="S4453" i="11"/>
  <c r="S4454" i="11"/>
  <c r="S4455" i="11"/>
  <c r="S4456" i="11"/>
  <c r="S4457" i="11"/>
  <c r="S4458" i="11"/>
  <c r="S4459" i="11"/>
  <c r="S4460" i="11"/>
  <c r="S4461" i="11"/>
  <c r="S4462" i="11"/>
  <c r="S4463" i="11"/>
  <c r="S4464" i="11"/>
  <c r="S4465" i="11"/>
  <c r="S4466" i="11"/>
  <c r="S4467" i="11"/>
  <c r="S4468" i="11"/>
  <c r="S4469" i="11"/>
  <c r="S4470" i="11"/>
  <c r="S4471" i="11"/>
  <c r="S4472" i="11"/>
  <c r="S4473" i="11"/>
  <c r="S4474" i="11"/>
  <c r="S4475" i="11"/>
  <c r="S4476" i="11"/>
  <c r="S4477" i="11"/>
  <c r="S4478" i="11"/>
  <c r="S4479" i="11"/>
  <c r="S4480" i="11"/>
  <c r="S4481" i="11"/>
  <c r="S4482" i="11"/>
  <c r="S4483" i="11"/>
  <c r="S4484" i="11"/>
  <c r="S4485" i="11"/>
  <c r="S4486" i="11"/>
  <c r="S4487" i="11"/>
  <c r="S4488" i="11"/>
  <c r="S4489" i="11"/>
  <c r="S4490" i="11"/>
  <c r="S4491" i="11"/>
  <c r="S4492" i="11"/>
  <c r="S4493" i="11"/>
  <c r="S4494" i="11"/>
  <c r="S4495" i="11"/>
  <c r="S4496" i="11"/>
  <c r="S4497" i="11"/>
  <c r="S4498" i="11"/>
  <c r="S4499" i="11"/>
  <c r="S4500" i="11"/>
  <c r="S4501" i="11"/>
  <c r="S4502" i="11"/>
  <c r="S4503" i="11"/>
  <c r="S4504" i="11"/>
  <c r="S4505" i="11"/>
  <c r="S4506" i="11"/>
  <c r="S4507" i="11"/>
  <c r="S4508" i="11"/>
  <c r="S4509" i="11"/>
  <c r="S4510" i="11"/>
  <c r="S4511" i="11"/>
  <c r="S4512" i="11"/>
  <c r="S4513" i="11"/>
  <c r="S4514" i="11"/>
  <c r="S4515" i="11"/>
  <c r="S4516" i="11"/>
  <c r="S4517" i="11"/>
  <c r="S4518" i="11"/>
  <c r="S4519" i="11"/>
  <c r="S4520" i="11"/>
  <c r="S4521" i="11"/>
  <c r="S4522" i="11"/>
  <c r="S4523" i="11"/>
  <c r="S4524" i="11"/>
  <c r="S4525" i="11"/>
  <c r="S4526" i="11"/>
  <c r="S4527" i="11"/>
  <c r="S4528" i="11"/>
  <c r="S4529" i="11"/>
  <c r="S4530" i="11"/>
  <c r="S4531" i="11"/>
  <c r="S4532" i="11"/>
  <c r="S4533" i="11"/>
  <c r="S4534" i="11"/>
  <c r="S4535" i="11"/>
  <c r="S4536" i="11"/>
  <c r="S4537" i="11"/>
  <c r="S4538" i="11"/>
  <c r="S4539" i="11"/>
  <c r="S4540" i="11"/>
  <c r="S4541" i="11"/>
  <c r="S4542" i="11"/>
  <c r="S4543" i="11"/>
  <c r="S4544" i="11"/>
  <c r="S4545" i="11"/>
  <c r="S4546" i="11"/>
  <c r="S4547" i="11"/>
  <c r="S4548" i="11"/>
  <c r="S4549" i="11"/>
  <c r="S4550" i="11"/>
  <c r="S4551" i="11"/>
  <c r="S4552" i="11"/>
  <c r="S4553" i="11"/>
  <c r="S4554" i="11"/>
  <c r="S4555" i="11"/>
  <c r="S4556" i="11"/>
  <c r="S4557" i="11"/>
  <c r="S4558" i="11"/>
  <c r="S4559" i="11"/>
  <c r="S4560" i="11"/>
  <c r="S4561" i="11"/>
  <c r="S4562" i="11"/>
  <c r="S4563" i="11"/>
  <c r="S4564" i="11"/>
  <c r="S4565" i="11"/>
  <c r="S4566" i="11"/>
  <c r="S4567" i="11"/>
  <c r="S4568" i="11"/>
  <c r="S4569" i="11"/>
  <c r="S4570" i="11"/>
  <c r="S4571" i="11"/>
  <c r="S4572" i="11"/>
  <c r="S4573" i="11"/>
  <c r="S4574" i="11"/>
  <c r="S4575" i="11"/>
  <c r="S4576" i="11"/>
  <c r="S4577" i="11"/>
  <c r="S4578" i="11"/>
  <c r="S4579" i="11"/>
  <c r="S4580" i="11"/>
  <c r="S4581" i="11"/>
  <c r="S4582" i="11"/>
  <c r="S4583" i="11"/>
  <c r="S4584" i="11"/>
  <c r="S4585" i="11"/>
  <c r="S4586" i="11"/>
  <c r="S4587" i="11"/>
  <c r="S4588" i="11"/>
  <c r="S4589" i="11"/>
  <c r="S4590" i="11"/>
  <c r="S4591" i="11"/>
  <c r="S4592" i="11"/>
  <c r="S4593" i="11"/>
  <c r="S4594" i="11"/>
  <c r="S4595" i="11"/>
  <c r="S4596" i="11"/>
  <c r="S4597" i="11"/>
  <c r="S4598" i="11"/>
  <c r="S4599" i="11"/>
  <c r="S4600" i="11"/>
  <c r="S4601" i="11"/>
  <c r="S4602" i="11"/>
  <c r="S4603" i="11"/>
  <c r="S4604" i="11"/>
  <c r="S4605" i="11"/>
  <c r="S4606" i="11"/>
  <c r="S4607" i="11"/>
  <c r="S4608" i="11"/>
  <c r="S4609" i="11"/>
  <c r="S4610" i="11"/>
  <c r="S4611" i="11"/>
  <c r="S4612" i="11"/>
  <c r="S4613" i="11"/>
  <c r="S4614" i="11"/>
  <c r="S4615" i="11"/>
  <c r="S4616" i="11"/>
  <c r="S4617" i="11"/>
  <c r="S4618" i="11"/>
  <c r="S4619" i="11"/>
  <c r="S4620" i="11"/>
  <c r="S4621" i="11"/>
  <c r="S4622" i="11"/>
  <c r="S4623" i="11"/>
  <c r="S4624" i="11"/>
  <c r="S4625" i="11"/>
  <c r="S4626" i="11"/>
  <c r="S4627" i="11"/>
  <c r="S4628" i="11"/>
  <c r="S4629" i="11"/>
  <c r="S4630" i="11"/>
  <c r="S4631" i="11"/>
  <c r="S4632" i="11"/>
  <c r="S4633" i="11"/>
  <c r="S4634" i="11"/>
  <c r="S4635" i="11"/>
  <c r="S4636" i="11"/>
  <c r="S4637" i="11"/>
  <c r="S4638" i="11"/>
  <c r="S4639" i="11"/>
  <c r="S4640" i="11"/>
  <c r="S4641" i="11"/>
  <c r="S4642" i="11"/>
  <c r="S4643" i="11"/>
  <c r="S4644" i="11"/>
  <c r="S4645" i="11"/>
  <c r="S4646" i="11"/>
  <c r="S4647" i="11"/>
  <c r="S4648" i="11"/>
  <c r="S4649" i="11"/>
  <c r="S4650" i="11"/>
  <c r="S4651" i="11"/>
  <c r="S4652" i="11"/>
  <c r="S4653" i="11"/>
  <c r="S4654" i="11"/>
  <c r="S4655" i="11"/>
  <c r="S4656" i="11"/>
  <c r="S4657" i="11"/>
  <c r="S4658" i="11"/>
  <c r="S4659" i="11"/>
  <c r="S4660" i="11"/>
  <c r="S4661" i="11"/>
  <c r="S4662" i="11"/>
  <c r="S4663" i="11"/>
  <c r="S4664" i="11"/>
  <c r="S4665" i="11"/>
  <c r="S4666" i="11"/>
  <c r="S4667" i="11"/>
  <c r="S4668" i="11"/>
  <c r="S4669" i="11"/>
  <c r="S4670" i="11"/>
  <c r="S4671" i="11"/>
  <c r="S4672" i="11"/>
  <c r="S4673" i="11"/>
  <c r="S4674" i="11"/>
  <c r="S4675" i="11"/>
  <c r="S4676" i="11"/>
  <c r="S4677" i="11"/>
  <c r="S4678" i="11"/>
  <c r="S4679" i="11"/>
  <c r="S4680" i="11"/>
  <c r="S4681" i="11"/>
  <c r="S4682" i="11"/>
  <c r="S4683" i="11"/>
  <c r="S4684" i="11"/>
  <c r="S4685" i="11"/>
  <c r="S4686" i="11"/>
  <c r="S4687" i="11"/>
  <c r="S4688" i="11"/>
  <c r="S4689" i="11"/>
  <c r="S4690" i="11"/>
  <c r="S4691" i="11"/>
  <c r="S4692" i="11"/>
  <c r="S4693" i="11"/>
  <c r="S4694" i="11"/>
  <c r="S4695" i="11"/>
  <c r="S4696" i="11"/>
  <c r="S4697" i="11"/>
  <c r="S4698" i="11"/>
  <c r="S4699" i="11"/>
  <c r="S4700" i="11"/>
  <c r="S4701" i="11"/>
  <c r="S4702" i="11"/>
  <c r="S4703" i="11"/>
  <c r="S4704" i="11"/>
  <c r="S4705" i="11"/>
  <c r="S4706" i="11"/>
  <c r="S4707" i="11"/>
  <c r="S4708" i="11"/>
  <c r="S4709" i="11"/>
  <c r="S4710" i="11"/>
  <c r="S4711" i="11"/>
  <c r="S4712" i="11"/>
  <c r="S4713" i="11"/>
  <c r="S4714" i="11"/>
  <c r="S4715" i="11"/>
  <c r="S4716" i="11"/>
  <c r="S4717" i="11"/>
  <c r="S4718" i="11"/>
  <c r="S4719" i="11"/>
  <c r="S4720" i="11"/>
  <c r="S4721" i="11"/>
  <c r="S4722" i="11"/>
  <c r="S4723" i="11"/>
  <c r="S4724" i="11"/>
  <c r="S4725" i="11"/>
  <c r="S4726" i="11"/>
  <c r="S4727" i="11"/>
  <c r="S4728" i="11"/>
  <c r="S4729" i="11"/>
  <c r="S4730" i="11"/>
  <c r="S4731" i="11"/>
  <c r="S4732" i="11"/>
  <c r="S4733" i="11"/>
  <c r="S4734" i="11"/>
  <c r="S4735" i="11"/>
  <c r="S4736" i="11"/>
  <c r="S4737" i="11"/>
  <c r="S4738" i="11"/>
  <c r="S4739" i="11"/>
  <c r="S4740" i="11"/>
  <c r="S4741" i="11"/>
  <c r="S4742" i="11"/>
  <c r="S4743" i="11"/>
  <c r="S4744" i="11"/>
  <c r="S4745" i="11"/>
  <c r="S4746" i="11"/>
  <c r="S4747" i="11"/>
  <c r="S4748" i="11"/>
  <c r="S4749" i="11"/>
  <c r="S4750" i="11"/>
  <c r="S4751" i="11"/>
  <c r="S4752" i="11"/>
  <c r="S4753" i="11"/>
  <c r="S4754" i="11"/>
  <c r="S4755" i="11"/>
  <c r="S4756" i="11"/>
  <c r="S4757" i="11"/>
  <c r="S4758" i="11"/>
  <c r="S4759" i="11"/>
  <c r="S4760" i="11"/>
  <c r="S4761" i="11"/>
  <c r="S4762" i="11"/>
  <c r="S4763" i="11"/>
  <c r="S4764" i="11"/>
  <c r="S4765" i="11"/>
  <c r="S4766" i="11"/>
  <c r="S4767" i="11"/>
  <c r="S4768" i="11"/>
  <c r="S4769" i="11"/>
  <c r="S4770" i="11"/>
  <c r="S4771" i="11"/>
  <c r="S4772" i="11"/>
  <c r="S4773" i="11"/>
  <c r="S4774" i="11"/>
  <c r="S4775" i="11"/>
  <c r="S4776" i="11"/>
  <c r="S4777" i="11"/>
  <c r="S4778" i="11"/>
  <c r="S4779" i="11"/>
  <c r="S4780" i="11"/>
  <c r="S4781" i="11"/>
  <c r="S4782" i="11"/>
  <c r="S4783" i="11"/>
  <c r="S4784" i="11"/>
  <c r="S4785" i="11"/>
  <c r="S4786" i="11"/>
  <c r="S4787" i="11"/>
  <c r="S4788" i="11"/>
  <c r="S4789" i="11"/>
  <c r="S4790" i="11"/>
  <c r="S4791" i="11"/>
  <c r="S4792" i="11"/>
  <c r="S4793" i="11"/>
  <c r="S4794" i="11"/>
  <c r="S4795" i="11"/>
  <c r="S4796" i="11"/>
  <c r="S4797" i="11"/>
  <c r="S4798" i="11"/>
  <c r="S4799" i="11"/>
  <c r="S4800" i="11"/>
  <c r="S4801" i="11"/>
  <c r="S4802" i="11"/>
  <c r="S4803" i="11"/>
  <c r="S4804" i="11"/>
  <c r="S4805" i="11"/>
  <c r="S4806" i="11"/>
  <c r="S4807" i="11"/>
  <c r="S4808" i="11"/>
  <c r="S4809" i="11"/>
  <c r="S4810" i="11"/>
  <c r="S4811" i="11"/>
  <c r="S4812" i="11"/>
  <c r="S4813" i="11"/>
  <c r="S4814" i="11"/>
  <c r="S4815" i="11"/>
  <c r="S4816" i="11"/>
  <c r="S4817" i="11"/>
  <c r="S4818" i="11"/>
  <c r="S4819" i="11"/>
  <c r="S4820" i="11"/>
  <c r="S4821" i="11"/>
  <c r="S4822" i="11"/>
  <c r="S4823" i="11"/>
  <c r="S4824" i="11"/>
  <c r="S4825" i="11"/>
  <c r="S4826" i="11"/>
  <c r="S4827" i="11"/>
  <c r="S4828" i="11"/>
  <c r="S4829" i="11"/>
  <c r="S4830" i="11"/>
  <c r="S4831" i="11"/>
  <c r="S4832" i="11"/>
  <c r="S4833" i="11"/>
  <c r="S4834" i="11"/>
  <c r="S4835" i="11"/>
  <c r="S4836" i="11"/>
  <c r="S4837" i="11"/>
  <c r="S4838" i="11"/>
  <c r="S4839" i="11"/>
  <c r="S4840" i="11"/>
  <c r="S4841" i="11"/>
  <c r="S4842" i="11"/>
  <c r="S4843" i="11"/>
  <c r="S4844" i="11"/>
  <c r="S4845" i="11"/>
  <c r="S4846" i="11"/>
  <c r="S4847" i="11"/>
  <c r="S4848" i="11"/>
  <c r="S4849" i="11"/>
  <c r="S4850" i="11"/>
  <c r="S4851" i="11"/>
  <c r="S4852" i="11"/>
  <c r="S4853" i="11"/>
  <c r="S4854" i="11"/>
  <c r="S4855" i="11"/>
  <c r="S4856" i="11"/>
  <c r="S4857" i="11"/>
  <c r="S4858" i="11"/>
  <c r="S4859" i="11"/>
  <c r="S4860" i="11"/>
  <c r="S4861" i="11"/>
  <c r="S4862" i="11"/>
  <c r="S4863" i="11"/>
  <c r="S4864" i="11"/>
  <c r="S4865" i="11"/>
  <c r="S4866" i="11"/>
  <c r="S4867" i="11"/>
  <c r="S4868" i="11"/>
  <c r="S4869" i="11"/>
  <c r="S4870" i="11"/>
  <c r="S4871" i="11"/>
  <c r="S4872" i="11"/>
  <c r="S4873" i="11"/>
  <c r="S4874" i="11"/>
  <c r="S4875" i="11"/>
  <c r="S4876" i="11"/>
  <c r="S4877" i="11"/>
  <c r="S4878" i="11"/>
  <c r="S4879" i="11"/>
  <c r="S4880" i="11"/>
  <c r="S4881" i="11"/>
  <c r="S4882" i="11"/>
  <c r="S4883" i="11"/>
  <c r="S4884" i="11"/>
  <c r="S4885" i="11"/>
  <c r="S4886" i="11"/>
  <c r="S4887" i="11"/>
  <c r="S4888" i="11"/>
  <c r="S4889" i="11"/>
  <c r="S4890" i="11"/>
  <c r="S4891" i="11"/>
  <c r="S4892" i="11"/>
  <c r="S4893" i="11"/>
  <c r="S4894" i="11"/>
  <c r="S4895" i="11"/>
  <c r="S4896" i="11"/>
  <c r="S4897" i="11"/>
  <c r="S4898" i="11"/>
  <c r="S4899" i="11"/>
  <c r="S4900" i="11"/>
  <c r="S4901" i="11"/>
  <c r="S4902" i="11"/>
  <c r="S4903" i="11"/>
  <c r="S4904" i="11"/>
  <c r="S4905" i="11"/>
  <c r="S4906" i="11"/>
  <c r="S4907" i="11"/>
  <c r="S4908" i="11"/>
  <c r="S4909" i="11"/>
  <c r="S4910" i="11"/>
  <c r="S4911" i="11"/>
  <c r="S4912" i="11"/>
  <c r="S4913" i="11"/>
  <c r="S4914" i="11"/>
  <c r="S4915" i="11"/>
  <c r="S4916" i="11"/>
  <c r="S4917" i="11"/>
  <c r="S4918" i="11"/>
  <c r="S4919" i="11"/>
  <c r="S4920" i="11"/>
  <c r="S4921" i="11"/>
  <c r="S4922" i="11"/>
  <c r="S4923" i="11"/>
  <c r="S4924" i="11"/>
  <c r="S4925" i="11"/>
  <c r="S4926" i="11"/>
  <c r="S4927" i="11"/>
  <c r="S4928" i="11"/>
  <c r="S4929" i="11"/>
  <c r="S4930" i="11"/>
  <c r="S4931" i="11"/>
  <c r="S4932" i="11"/>
  <c r="S4933" i="11"/>
  <c r="S4934" i="11"/>
  <c r="S4935" i="11"/>
  <c r="S4936" i="11"/>
  <c r="S4937" i="11"/>
  <c r="S4938" i="11"/>
  <c r="S4939" i="11"/>
  <c r="S4940" i="11"/>
  <c r="S4941" i="11"/>
  <c r="S4942" i="11"/>
  <c r="S4943" i="11"/>
  <c r="S4944" i="11"/>
  <c r="S4945" i="11"/>
  <c r="S4946" i="11"/>
  <c r="S4947" i="11"/>
  <c r="S4948" i="11"/>
  <c r="S4949" i="11"/>
  <c r="S4950" i="11"/>
  <c r="S4951" i="11"/>
  <c r="S4952" i="11"/>
  <c r="S4953" i="11"/>
  <c r="S4954" i="11"/>
  <c r="S4955" i="11"/>
  <c r="S4956" i="11"/>
  <c r="S4957" i="11"/>
  <c r="S4958" i="11"/>
  <c r="S4959" i="11"/>
  <c r="S4960" i="11"/>
  <c r="S4961" i="11"/>
  <c r="S4962" i="11"/>
  <c r="S4963" i="11"/>
  <c r="S4964" i="11"/>
  <c r="S4965" i="11"/>
  <c r="S4966" i="11"/>
  <c r="S4967" i="11"/>
  <c r="S4968" i="11"/>
  <c r="S4969" i="11"/>
  <c r="S4970" i="11"/>
  <c r="S4971" i="11"/>
  <c r="S4972" i="11"/>
  <c r="S4973" i="11"/>
  <c r="S4974" i="11"/>
  <c r="S4975" i="11"/>
  <c r="S4976" i="11"/>
  <c r="S4977" i="11"/>
  <c r="S4978" i="11"/>
  <c r="S4979" i="11"/>
  <c r="S4980" i="11"/>
  <c r="S4981" i="11"/>
  <c r="S4982" i="11"/>
  <c r="S4983" i="11"/>
  <c r="S4984" i="11"/>
  <c r="S4985" i="11"/>
  <c r="S4986" i="11"/>
  <c r="S4987" i="11"/>
  <c r="S4988" i="11"/>
  <c r="S4989" i="11"/>
  <c r="S4990" i="11"/>
  <c r="S4991" i="11"/>
  <c r="S4992" i="11"/>
  <c r="S4993" i="11"/>
  <c r="S4994" i="11"/>
  <c r="S4995" i="11"/>
  <c r="S4996" i="11"/>
  <c r="S4997" i="11"/>
  <c r="S4998" i="11"/>
  <c r="S4999" i="11"/>
  <c r="S5000" i="11"/>
  <c r="AD4999" i="11" l="1"/>
  <c r="AC4999" i="11"/>
  <c r="AD4995" i="11"/>
  <c r="AC4995" i="11"/>
  <c r="AD4991" i="11"/>
  <c r="AC4991" i="11"/>
  <c r="AD4987" i="11"/>
  <c r="AC4987" i="11"/>
  <c r="AD4983" i="11"/>
  <c r="AC4983" i="11"/>
  <c r="AD4979" i="11"/>
  <c r="AC4979" i="11"/>
  <c r="AD4975" i="11"/>
  <c r="AC4975" i="11"/>
  <c r="AD4971" i="11"/>
  <c r="AC4971" i="11"/>
  <c r="AD4967" i="11"/>
  <c r="AC4967" i="11"/>
  <c r="AD4963" i="11"/>
  <c r="AC4963" i="11"/>
  <c r="AD4959" i="11"/>
  <c r="AC4959" i="11"/>
  <c r="AD4955" i="11"/>
  <c r="AC4955" i="11"/>
  <c r="AD4951" i="11"/>
  <c r="AC4951" i="11"/>
  <c r="AD4947" i="11"/>
  <c r="AC4947" i="11"/>
  <c r="AD4943" i="11"/>
  <c r="AC4943" i="11"/>
  <c r="AD4939" i="11"/>
  <c r="AC4939" i="11"/>
  <c r="AD4935" i="11"/>
  <c r="AC4935" i="11"/>
  <c r="AD4931" i="11"/>
  <c r="AC4931" i="11"/>
  <c r="AD4927" i="11"/>
  <c r="AC4927" i="11"/>
  <c r="AD4923" i="11"/>
  <c r="AC4923" i="11"/>
  <c r="AD4919" i="11"/>
  <c r="AC4919" i="11"/>
  <c r="AD4915" i="11"/>
  <c r="AC4915" i="11"/>
  <c r="AD4911" i="11"/>
  <c r="AC4911" i="11"/>
  <c r="AD4907" i="11"/>
  <c r="AC4907" i="11"/>
  <c r="AD4903" i="11"/>
  <c r="AC4903" i="11"/>
  <c r="AD4899" i="11"/>
  <c r="AC4899" i="11"/>
  <c r="AD4895" i="11"/>
  <c r="AC4895" i="11"/>
  <c r="AD4891" i="11"/>
  <c r="AC4891" i="11"/>
  <c r="AD4887" i="11"/>
  <c r="AC4887" i="11"/>
  <c r="AD4883" i="11"/>
  <c r="AC4883" i="11"/>
  <c r="AD4879" i="11"/>
  <c r="AC4879" i="11"/>
  <c r="AD4875" i="11"/>
  <c r="AC4875" i="11"/>
  <c r="AD4871" i="11"/>
  <c r="AC4871" i="11"/>
  <c r="AD4867" i="11"/>
  <c r="AC4867" i="11"/>
  <c r="AD4863" i="11"/>
  <c r="AC4863" i="11"/>
  <c r="AD4859" i="11"/>
  <c r="AC4859" i="11"/>
  <c r="AD4855" i="11"/>
  <c r="AC4855" i="11"/>
  <c r="AD4851" i="11"/>
  <c r="AC4851" i="11"/>
  <c r="AD4847" i="11"/>
  <c r="AC4847" i="11"/>
  <c r="AD4843" i="11"/>
  <c r="AC4843" i="11"/>
  <c r="AD4839" i="11"/>
  <c r="AC4839" i="11"/>
  <c r="AD4835" i="11"/>
  <c r="AC4835" i="11"/>
  <c r="AD4831" i="11"/>
  <c r="AC4831" i="11"/>
  <c r="AD4827" i="11"/>
  <c r="AC4827" i="11"/>
  <c r="AD4823" i="11"/>
  <c r="AC4823" i="11"/>
  <c r="AD4819" i="11"/>
  <c r="AC4819" i="11"/>
  <c r="AD4815" i="11"/>
  <c r="AC4815" i="11"/>
  <c r="AD4811" i="11"/>
  <c r="AC4811" i="11"/>
  <c r="AD4807" i="11"/>
  <c r="AC4807" i="11"/>
  <c r="AD4803" i="11"/>
  <c r="AC4803" i="11"/>
  <c r="AD4799" i="11"/>
  <c r="AC4799" i="11"/>
  <c r="AD4795" i="11"/>
  <c r="AC4795" i="11"/>
  <c r="AD4791" i="11"/>
  <c r="AC4791" i="11"/>
  <c r="AD4787" i="11"/>
  <c r="AC4787" i="11"/>
  <c r="AD4783" i="11"/>
  <c r="AC4783" i="11"/>
  <c r="AD4779" i="11"/>
  <c r="AC4779" i="11"/>
  <c r="AD4775" i="11"/>
  <c r="AC4775" i="11"/>
  <c r="AD4771" i="11"/>
  <c r="AC4771" i="11"/>
  <c r="AD4767" i="11"/>
  <c r="AC4767" i="11"/>
  <c r="AD4763" i="11"/>
  <c r="AC4763" i="11"/>
  <c r="AD4759" i="11"/>
  <c r="AC4759" i="11"/>
  <c r="AD4755" i="11"/>
  <c r="AC4755" i="11"/>
  <c r="AD4751" i="11"/>
  <c r="AC4751" i="11"/>
  <c r="AD4747" i="11"/>
  <c r="AC4747" i="11"/>
  <c r="AD4743" i="11"/>
  <c r="AC4743" i="11"/>
  <c r="AD4739" i="11"/>
  <c r="AC4739" i="11"/>
  <c r="AD4735" i="11"/>
  <c r="AC4735" i="11"/>
  <c r="AD4731" i="11"/>
  <c r="AC4731" i="11"/>
  <c r="AD4727" i="11"/>
  <c r="AC4727" i="11"/>
  <c r="AD4723" i="11"/>
  <c r="AC4723" i="11"/>
  <c r="AD4719" i="11"/>
  <c r="AC4719" i="11"/>
  <c r="AD4715" i="11"/>
  <c r="AC4715" i="11"/>
  <c r="AD4711" i="11"/>
  <c r="AC4711" i="11"/>
  <c r="AD4707" i="11"/>
  <c r="AC4707" i="11"/>
  <c r="AD4703" i="11"/>
  <c r="AC4703" i="11"/>
  <c r="AD4699" i="11"/>
  <c r="AC4699" i="11"/>
  <c r="AD4695" i="11"/>
  <c r="AC4695" i="11"/>
  <c r="AD4691" i="11"/>
  <c r="AC4691" i="11"/>
  <c r="AD4687" i="11"/>
  <c r="AC4687" i="11"/>
  <c r="AD4683" i="11"/>
  <c r="AC4683" i="11"/>
  <c r="AD4679" i="11"/>
  <c r="AC4679" i="11"/>
  <c r="AD4675" i="11"/>
  <c r="AC4675" i="11"/>
  <c r="AD4671" i="11"/>
  <c r="AC4671" i="11"/>
  <c r="AD4667" i="11"/>
  <c r="AC4667" i="11"/>
  <c r="AD4663" i="11"/>
  <c r="AC4663" i="11"/>
  <c r="AD4659" i="11"/>
  <c r="AC4659" i="11"/>
  <c r="AD4655" i="11"/>
  <c r="AC4655" i="11"/>
  <c r="AD4651" i="11"/>
  <c r="AC4651" i="11"/>
  <c r="AD4647" i="11"/>
  <c r="AC4647" i="11"/>
  <c r="AD4643" i="11"/>
  <c r="AC4643" i="11"/>
  <c r="AD4639" i="11"/>
  <c r="AC4639" i="11"/>
  <c r="AD4635" i="11"/>
  <c r="AC4635" i="11"/>
  <c r="AD4631" i="11"/>
  <c r="AC4631" i="11"/>
  <c r="AD4627" i="11"/>
  <c r="AC4627" i="11"/>
  <c r="AD4623" i="11"/>
  <c r="AC4623" i="11"/>
  <c r="AD4619" i="11"/>
  <c r="AC4619" i="11"/>
  <c r="AD4615" i="11"/>
  <c r="AC4615" i="11"/>
  <c r="AD4611" i="11"/>
  <c r="AC4611" i="11"/>
  <c r="AD4607" i="11"/>
  <c r="AC4607" i="11"/>
  <c r="AD4603" i="11"/>
  <c r="AC4603" i="11"/>
  <c r="AD4599" i="11"/>
  <c r="AC4599" i="11"/>
  <c r="AD4595" i="11"/>
  <c r="AC4595" i="11"/>
  <c r="AD4591" i="11"/>
  <c r="AC4591" i="11"/>
  <c r="AD4587" i="11"/>
  <c r="AC4587" i="11"/>
  <c r="AD4583" i="11"/>
  <c r="AC4583" i="11"/>
  <c r="AD4579" i="11"/>
  <c r="AC4579" i="11"/>
  <c r="AD4575" i="11"/>
  <c r="AC4575" i="11"/>
  <c r="AD4571" i="11"/>
  <c r="AC4571" i="11"/>
  <c r="AD4567" i="11"/>
  <c r="AC4567" i="11"/>
  <c r="AD4563" i="11"/>
  <c r="AC4563" i="11"/>
  <c r="AD4559" i="11"/>
  <c r="AC4559" i="11"/>
  <c r="AD4555" i="11"/>
  <c r="AC4555" i="11"/>
  <c r="AD4551" i="11"/>
  <c r="AC4551" i="11"/>
  <c r="AD4547" i="11"/>
  <c r="AC4547" i="11"/>
  <c r="AD4543" i="11"/>
  <c r="AC4543" i="11"/>
  <c r="AD4539" i="11"/>
  <c r="AC4539" i="11"/>
  <c r="AD4535" i="11"/>
  <c r="AC4535" i="11"/>
  <c r="AD4531" i="11"/>
  <c r="AC4531" i="11"/>
  <c r="AD4527" i="11"/>
  <c r="AC4527" i="11"/>
  <c r="AD4523" i="11"/>
  <c r="AC4523" i="11"/>
  <c r="AD4519" i="11"/>
  <c r="AC4519" i="11"/>
  <c r="AD4515" i="11"/>
  <c r="AC4515" i="11"/>
  <c r="AD4511" i="11"/>
  <c r="AC4511" i="11"/>
  <c r="AD4507" i="11"/>
  <c r="AC4507" i="11"/>
  <c r="AD4503" i="11"/>
  <c r="AC4503" i="11"/>
  <c r="AD4499" i="11"/>
  <c r="AC4499" i="11"/>
  <c r="AD4495" i="11"/>
  <c r="AC4495" i="11"/>
  <c r="AD4491" i="11"/>
  <c r="AC4491" i="11"/>
  <c r="AD4487" i="11"/>
  <c r="AC4487" i="11"/>
  <c r="AD4483" i="11"/>
  <c r="AC4483" i="11"/>
  <c r="AD4479" i="11"/>
  <c r="AC4479" i="11"/>
  <c r="AD4475" i="11"/>
  <c r="AC4475" i="11"/>
  <c r="AD4471" i="11"/>
  <c r="AC4471" i="11"/>
  <c r="AD4467" i="11"/>
  <c r="AC4467" i="11"/>
  <c r="AD4463" i="11"/>
  <c r="AC4463" i="11"/>
  <c r="AD4459" i="11"/>
  <c r="AC4459" i="11"/>
  <c r="AD4455" i="11"/>
  <c r="AC4455" i="11"/>
  <c r="AD4451" i="11"/>
  <c r="AC4451" i="11"/>
  <c r="AD4447" i="11"/>
  <c r="AC4447" i="11"/>
  <c r="AD4443" i="11"/>
  <c r="AC4443" i="11"/>
  <c r="AD4439" i="11"/>
  <c r="AC4439" i="11"/>
  <c r="AD4435" i="11"/>
  <c r="AC4435" i="11"/>
  <c r="AD4431" i="11"/>
  <c r="AC4431" i="11"/>
  <c r="AD4427" i="11"/>
  <c r="AC4427" i="11"/>
  <c r="AD4423" i="11"/>
  <c r="AC4423" i="11"/>
  <c r="AD4419" i="11"/>
  <c r="AC4419" i="11"/>
  <c r="AD4415" i="11"/>
  <c r="AC4415" i="11"/>
  <c r="AD4411" i="11"/>
  <c r="AC4411" i="11"/>
  <c r="AD4407" i="11"/>
  <c r="AC4407" i="11"/>
  <c r="AD4403" i="11"/>
  <c r="AC4403" i="11"/>
  <c r="AD4399" i="11"/>
  <c r="AC4399" i="11"/>
  <c r="AD4395" i="11"/>
  <c r="AC4395" i="11"/>
  <c r="AD4391" i="11"/>
  <c r="AC4391" i="11"/>
  <c r="AD4387" i="11"/>
  <c r="AC4387" i="11"/>
  <c r="AD4383" i="11"/>
  <c r="AC4383" i="11"/>
  <c r="AD4379" i="11"/>
  <c r="AC4379" i="11"/>
  <c r="AD4375" i="11"/>
  <c r="AC4375" i="11"/>
  <c r="AD4371" i="11"/>
  <c r="AC4371" i="11"/>
  <c r="AD4367" i="11"/>
  <c r="AC4367" i="11"/>
  <c r="AD4363" i="11"/>
  <c r="AC4363" i="11"/>
  <c r="AD4359" i="11"/>
  <c r="AC4359" i="11"/>
  <c r="AD4355" i="11"/>
  <c r="AC4355" i="11"/>
  <c r="AD4351" i="11"/>
  <c r="AC4351" i="11"/>
  <c r="AD4347" i="11"/>
  <c r="AC4347" i="11"/>
  <c r="AD4343" i="11"/>
  <c r="AC4343" i="11"/>
  <c r="AD4339" i="11"/>
  <c r="AC4339" i="11"/>
  <c r="AD4335" i="11"/>
  <c r="AC4335" i="11"/>
  <c r="AD4331" i="11"/>
  <c r="AC4331" i="11"/>
  <c r="AD4327" i="11"/>
  <c r="AC4327" i="11"/>
  <c r="AD4323" i="11"/>
  <c r="AC4323" i="11"/>
  <c r="AD4319" i="11"/>
  <c r="AC4319" i="11"/>
  <c r="AD4315" i="11"/>
  <c r="AC4315" i="11"/>
  <c r="AD4311" i="11"/>
  <c r="AC4311" i="11"/>
  <c r="AD4307" i="11"/>
  <c r="AC4307" i="11"/>
  <c r="AD4303" i="11"/>
  <c r="AC4303" i="11"/>
  <c r="AD4299" i="11"/>
  <c r="AC4299" i="11"/>
  <c r="AD4295" i="11"/>
  <c r="AC4295" i="11"/>
  <c r="AD4291" i="11"/>
  <c r="AC4291" i="11"/>
  <c r="AD4287" i="11"/>
  <c r="AC4287" i="11"/>
  <c r="AD4283" i="11"/>
  <c r="AC4283" i="11"/>
  <c r="AD4279" i="11"/>
  <c r="AC4279" i="11"/>
  <c r="AD4275" i="11"/>
  <c r="AC4275" i="11"/>
  <c r="AD4271" i="11"/>
  <c r="AC4271" i="11"/>
  <c r="AD4267" i="11"/>
  <c r="AC4267" i="11"/>
  <c r="AD4263" i="11"/>
  <c r="AC4263" i="11"/>
  <c r="AD4259" i="11"/>
  <c r="AC4259" i="11"/>
  <c r="AD4255" i="11"/>
  <c r="AC4255" i="11"/>
  <c r="AD4251" i="11"/>
  <c r="AC4251" i="11"/>
  <c r="AD4247" i="11"/>
  <c r="AC4247" i="11"/>
  <c r="AD4243" i="11"/>
  <c r="AC4243" i="11"/>
  <c r="AD4239" i="11"/>
  <c r="AC4239" i="11"/>
  <c r="AD4235" i="11"/>
  <c r="AC4235" i="11"/>
  <c r="AD4231" i="11"/>
  <c r="AC4231" i="11"/>
  <c r="AD4227" i="11"/>
  <c r="AC4227" i="11"/>
  <c r="AD4223" i="11"/>
  <c r="AC4223" i="11"/>
  <c r="AD4219" i="11"/>
  <c r="AC4219" i="11"/>
  <c r="AD4215" i="11"/>
  <c r="AC4215" i="11"/>
  <c r="AD4211" i="11"/>
  <c r="AC4211" i="11"/>
  <c r="AD4207" i="11"/>
  <c r="AC4207" i="11"/>
  <c r="AD4203" i="11"/>
  <c r="AC4203" i="11"/>
  <c r="AD4199" i="11"/>
  <c r="AC4199" i="11"/>
  <c r="AD4195" i="11"/>
  <c r="AC4195" i="11"/>
  <c r="AD4191" i="11"/>
  <c r="AC4191" i="11"/>
  <c r="AD4187" i="11"/>
  <c r="AC4187" i="11"/>
  <c r="AD4183" i="11"/>
  <c r="AC4183" i="11"/>
  <c r="AD4179" i="11"/>
  <c r="AC4179" i="11"/>
  <c r="AD4175" i="11"/>
  <c r="AC4175" i="11"/>
  <c r="AD4171" i="11"/>
  <c r="AC4171" i="11"/>
  <c r="AD4167" i="11"/>
  <c r="AC4167" i="11"/>
  <c r="AD4163" i="11"/>
  <c r="AC4163" i="11"/>
  <c r="AD4159" i="11"/>
  <c r="AC4159" i="11"/>
  <c r="AD4155" i="11"/>
  <c r="AC4155" i="11"/>
  <c r="AD4151" i="11"/>
  <c r="AC4151" i="11"/>
  <c r="AD4147" i="11"/>
  <c r="AC4147" i="11"/>
  <c r="AD4143" i="11"/>
  <c r="AC4143" i="11"/>
  <c r="AD4139" i="11"/>
  <c r="AC4139" i="11"/>
  <c r="AD4135" i="11"/>
  <c r="AC4135" i="11"/>
  <c r="AD4131" i="11"/>
  <c r="AC4131" i="11"/>
  <c r="AD4127" i="11"/>
  <c r="AC4127" i="11"/>
  <c r="AD4123" i="11"/>
  <c r="AC4123" i="11"/>
  <c r="AD4119" i="11"/>
  <c r="AC4119" i="11"/>
  <c r="AD4115" i="11"/>
  <c r="AC4115" i="11"/>
  <c r="AD4111" i="11"/>
  <c r="AC4111" i="11"/>
  <c r="AD4107" i="11"/>
  <c r="AC4107" i="11"/>
  <c r="AD4103" i="11"/>
  <c r="AC4103" i="11"/>
  <c r="AD4099" i="11"/>
  <c r="AC4099" i="11"/>
  <c r="AD4095" i="11"/>
  <c r="AC4095" i="11"/>
  <c r="AD4091" i="11"/>
  <c r="AC4091" i="11"/>
  <c r="AD4087" i="11"/>
  <c r="AC4087" i="11"/>
  <c r="AD4083" i="11"/>
  <c r="AC4083" i="11"/>
  <c r="AD4079" i="11"/>
  <c r="AC4079" i="11"/>
  <c r="AD4075" i="11"/>
  <c r="AC4075" i="11"/>
  <c r="AD4071" i="11"/>
  <c r="AC4071" i="11"/>
  <c r="AD4067" i="11"/>
  <c r="AC4067" i="11"/>
  <c r="AD4063" i="11"/>
  <c r="AC4063" i="11"/>
  <c r="AD4059" i="11"/>
  <c r="AC4059" i="11"/>
  <c r="AD4055" i="11"/>
  <c r="AC4055" i="11"/>
  <c r="AD4051" i="11"/>
  <c r="AC4051" i="11"/>
  <c r="AD4047" i="11"/>
  <c r="AC4047" i="11"/>
  <c r="AD4043" i="11"/>
  <c r="AC4043" i="11"/>
  <c r="AD4039" i="11"/>
  <c r="AC4039" i="11"/>
  <c r="AD4035" i="11"/>
  <c r="AC4035" i="11"/>
  <c r="AD4031" i="11"/>
  <c r="AC4031" i="11"/>
  <c r="AD4027" i="11"/>
  <c r="AC4027" i="11"/>
  <c r="AD4023" i="11"/>
  <c r="AC4023" i="11"/>
  <c r="AD4019" i="11"/>
  <c r="AC4019" i="11"/>
  <c r="AD4015" i="11"/>
  <c r="AC4015" i="11"/>
  <c r="AD4011" i="11"/>
  <c r="AC4011" i="11"/>
  <c r="AD4007" i="11"/>
  <c r="AC4007" i="11"/>
  <c r="AD4003" i="11"/>
  <c r="AC4003" i="11"/>
  <c r="AD3999" i="11"/>
  <c r="AC3999" i="11"/>
  <c r="AD3995" i="11"/>
  <c r="AC3995" i="11"/>
  <c r="AD3991" i="11"/>
  <c r="AC3991" i="11"/>
  <c r="AD3987" i="11"/>
  <c r="AC3987" i="11"/>
  <c r="AD3983" i="11"/>
  <c r="AC3983" i="11"/>
  <c r="AD3979" i="11"/>
  <c r="AC3979" i="11"/>
  <c r="AD3975" i="11"/>
  <c r="AC3975" i="11"/>
  <c r="AD3971" i="11"/>
  <c r="AC3971" i="11"/>
  <c r="AD3967" i="11"/>
  <c r="AC3967" i="11"/>
  <c r="AD3963" i="11"/>
  <c r="AC3963" i="11"/>
  <c r="AD3959" i="11"/>
  <c r="AC3959" i="11"/>
  <c r="AD3955" i="11"/>
  <c r="AC3955" i="11"/>
  <c r="AD3951" i="11"/>
  <c r="AC3951" i="11"/>
  <c r="AD3947" i="11"/>
  <c r="AC3947" i="11"/>
  <c r="AD3943" i="11"/>
  <c r="AC3943" i="11"/>
  <c r="AD3939" i="11"/>
  <c r="AC3939" i="11"/>
  <c r="AD3935" i="11"/>
  <c r="AC3935" i="11"/>
  <c r="AD3931" i="11"/>
  <c r="AC3931" i="11"/>
  <c r="AD3927" i="11"/>
  <c r="AC3927" i="11"/>
  <c r="AD3923" i="11"/>
  <c r="AC3923" i="11"/>
  <c r="AD3919" i="11"/>
  <c r="AC3919" i="11"/>
  <c r="AD3915" i="11"/>
  <c r="AC3915" i="11"/>
  <c r="AD3911" i="11"/>
  <c r="AC3911" i="11"/>
  <c r="AD3907" i="11"/>
  <c r="AC3907" i="11"/>
  <c r="AD3903" i="11"/>
  <c r="AC3903" i="11"/>
  <c r="AD3899" i="11"/>
  <c r="AC3899" i="11"/>
  <c r="AD3895" i="11"/>
  <c r="AC3895" i="11"/>
  <c r="AD3891" i="11"/>
  <c r="AC3891" i="11"/>
  <c r="AD3887" i="11"/>
  <c r="AC3887" i="11"/>
  <c r="AD3883" i="11"/>
  <c r="AC3883" i="11"/>
  <c r="AD3879" i="11"/>
  <c r="AC3879" i="11"/>
  <c r="AD3875" i="11"/>
  <c r="AC3875" i="11"/>
  <c r="AD3871" i="11"/>
  <c r="AC3871" i="11"/>
  <c r="AD3867" i="11"/>
  <c r="AC3867" i="11"/>
  <c r="AD3863" i="11"/>
  <c r="AC3863" i="11"/>
  <c r="AD3859" i="11"/>
  <c r="AC3859" i="11"/>
  <c r="AD3855" i="11"/>
  <c r="AC3855" i="11"/>
  <c r="AD3851" i="11"/>
  <c r="AC3851" i="11"/>
  <c r="AD3847" i="11"/>
  <c r="AC3847" i="11"/>
  <c r="AD3843" i="11"/>
  <c r="AC3843" i="11"/>
  <c r="AD3839" i="11"/>
  <c r="AC3839" i="11"/>
  <c r="AD3835" i="11"/>
  <c r="AC3835" i="11"/>
  <c r="AD3831" i="11"/>
  <c r="AC3831" i="11"/>
  <c r="AD3827" i="11"/>
  <c r="AC3827" i="11"/>
  <c r="AD3823" i="11"/>
  <c r="AC3823" i="11"/>
  <c r="AD3819" i="11"/>
  <c r="AC3819" i="11"/>
  <c r="AD3815" i="11"/>
  <c r="AC3815" i="11"/>
  <c r="AD3811" i="11"/>
  <c r="AC3811" i="11"/>
  <c r="AD3807" i="11"/>
  <c r="AC3807" i="11"/>
  <c r="AD3803" i="11"/>
  <c r="AC3803" i="11"/>
  <c r="AD3799" i="11"/>
  <c r="AC3799" i="11"/>
  <c r="AD3795" i="11"/>
  <c r="AC3795" i="11"/>
  <c r="AD3791" i="11"/>
  <c r="AC3791" i="11"/>
  <c r="AD3787" i="11"/>
  <c r="AC3787" i="11"/>
  <c r="AD3783" i="11"/>
  <c r="AC3783" i="11"/>
  <c r="AD3779" i="11"/>
  <c r="AC3779" i="11"/>
  <c r="AD3775" i="11"/>
  <c r="AC3775" i="11"/>
  <c r="AD3771" i="11"/>
  <c r="AC3771" i="11"/>
  <c r="AD3767" i="11"/>
  <c r="AC3767" i="11"/>
  <c r="AD3763" i="11"/>
  <c r="AC3763" i="11"/>
  <c r="AD3759" i="11"/>
  <c r="AC3759" i="11"/>
  <c r="AD3755" i="11"/>
  <c r="AC3755" i="11"/>
  <c r="AD3751" i="11"/>
  <c r="AC3751" i="11"/>
  <c r="AD3747" i="11"/>
  <c r="AC3747" i="11"/>
  <c r="AD3743" i="11"/>
  <c r="AC3743" i="11"/>
  <c r="AD3739" i="11"/>
  <c r="AC3739" i="11"/>
  <c r="AD3735" i="11"/>
  <c r="AC3735" i="11"/>
  <c r="AD3731" i="11"/>
  <c r="AC3731" i="11"/>
  <c r="AD3727" i="11"/>
  <c r="AC3727" i="11"/>
  <c r="AD3723" i="11"/>
  <c r="AC3723" i="11"/>
  <c r="AD3719" i="11"/>
  <c r="AC3719" i="11"/>
  <c r="AD3715" i="11"/>
  <c r="AC3715" i="11"/>
  <c r="AD3711" i="11"/>
  <c r="AC3711" i="11"/>
  <c r="AD3707" i="11"/>
  <c r="AC3707" i="11"/>
  <c r="AD3703" i="11"/>
  <c r="AC3703" i="11"/>
  <c r="AD3699" i="11"/>
  <c r="AC3699" i="11"/>
  <c r="AD3695" i="11"/>
  <c r="AC3695" i="11"/>
  <c r="AD3691" i="11"/>
  <c r="AC3691" i="11"/>
  <c r="AD3687" i="11"/>
  <c r="AC3687" i="11"/>
  <c r="AD3683" i="11"/>
  <c r="AC3683" i="11"/>
  <c r="AD3679" i="11"/>
  <c r="AC3679" i="11"/>
  <c r="AD3675" i="11"/>
  <c r="AC3675" i="11"/>
  <c r="AD4998" i="11"/>
  <c r="AC4998" i="11"/>
  <c r="AD4994" i="11"/>
  <c r="AC4994" i="11"/>
  <c r="AD4990" i="11"/>
  <c r="AC4990" i="11"/>
  <c r="AD4986" i="11"/>
  <c r="AC4986" i="11"/>
  <c r="AD4982" i="11"/>
  <c r="AC4982" i="11"/>
  <c r="AD4978" i="11"/>
  <c r="AC4978" i="11"/>
  <c r="AD4974" i="11"/>
  <c r="AC4974" i="11"/>
  <c r="AD4970" i="11"/>
  <c r="AC4970" i="11"/>
  <c r="AD4966" i="11"/>
  <c r="AC4966" i="11"/>
  <c r="AD4962" i="11"/>
  <c r="AC4962" i="11"/>
  <c r="AD4958" i="11"/>
  <c r="AC4958" i="11"/>
  <c r="AD4954" i="11"/>
  <c r="AC4954" i="11"/>
  <c r="AD4950" i="11"/>
  <c r="AC4950" i="11"/>
  <c r="AD4946" i="11"/>
  <c r="AC4946" i="11"/>
  <c r="AD4942" i="11"/>
  <c r="AC4942" i="11"/>
  <c r="AD4938" i="11"/>
  <c r="AC4938" i="11"/>
  <c r="AD4934" i="11"/>
  <c r="AC4934" i="11"/>
  <c r="AD4930" i="11"/>
  <c r="AC4930" i="11"/>
  <c r="AD4926" i="11"/>
  <c r="AC4926" i="11"/>
  <c r="AD4922" i="11"/>
  <c r="AC4922" i="11"/>
  <c r="AD4918" i="11"/>
  <c r="AC4918" i="11"/>
  <c r="AD4914" i="11"/>
  <c r="AC4914" i="11"/>
  <c r="AD4910" i="11"/>
  <c r="AC4910" i="11"/>
  <c r="AD4906" i="11"/>
  <c r="AC4906" i="11"/>
  <c r="AD4902" i="11"/>
  <c r="AC4902" i="11"/>
  <c r="AD4898" i="11"/>
  <c r="AC4898" i="11"/>
  <c r="AD4894" i="11"/>
  <c r="AC4894" i="11"/>
  <c r="AD4890" i="11"/>
  <c r="AC4890" i="11"/>
  <c r="AD4886" i="11"/>
  <c r="AC4886" i="11"/>
  <c r="AD4882" i="11"/>
  <c r="AC4882" i="11"/>
  <c r="AD4878" i="11"/>
  <c r="AC4878" i="11"/>
  <c r="AD4874" i="11"/>
  <c r="AC4874" i="11"/>
  <c r="AD4870" i="11"/>
  <c r="AC4870" i="11"/>
  <c r="AD4866" i="11"/>
  <c r="AC4866" i="11"/>
  <c r="AD4862" i="11"/>
  <c r="AC4862" i="11"/>
  <c r="AD4858" i="11"/>
  <c r="AC4858" i="11"/>
  <c r="AD4854" i="11"/>
  <c r="AC4854" i="11"/>
  <c r="AD4850" i="11"/>
  <c r="AC4850" i="11"/>
  <c r="AD4846" i="11"/>
  <c r="AC4846" i="11"/>
  <c r="AD4842" i="11"/>
  <c r="AC4842" i="11"/>
  <c r="AD4838" i="11"/>
  <c r="AC4838" i="11"/>
  <c r="AD4834" i="11"/>
  <c r="AC4834" i="11"/>
  <c r="AD4830" i="11"/>
  <c r="AC4830" i="11"/>
  <c r="AD4826" i="11"/>
  <c r="AC4826" i="11"/>
  <c r="AD4822" i="11"/>
  <c r="AC4822" i="11"/>
  <c r="AD4818" i="11"/>
  <c r="AC4818" i="11"/>
  <c r="AD4814" i="11"/>
  <c r="AC4814" i="11"/>
  <c r="AD4810" i="11"/>
  <c r="AC4810" i="11"/>
  <c r="AD4806" i="11"/>
  <c r="AC4806" i="11"/>
  <c r="AD4802" i="11"/>
  <c r="AC4802" i="11"/>
  <c r="AD4798" i="11"/>
  <c r="AC4798" i="11"/>
  <c r="AD4794" i="11"/>
  <c r="AC4794" i="11"/>
  <c r="AD4790" i="11"/>
  <c r="AC4790" i="11"/>
  <c r="AD4786" i="11"/>
  <c r="AC4786" i="11"/>
  <c r="AD4782" i="11"/>
  <c r="AC4782" i="11"/>
  <c r="AD4778" i="11"/>
  <c r="AC4778" i="11"/>
  <c r="AD4774" i="11"/>
  <c r="AC4774" i="11"/>
  <c r="AD4770" i="11"/>
  <c r="AC4770" i="11"/>
  <c r="AD4766" i="11"/>
  <c r="AC4766" i="11"/>
  <c r="AD4762" i="11"/>
  <c r="AC4762" i="11"/>
  <c r="AD4758" i="11"/>
  <c r="AC4758" i="11"/>
  <c r="AD4754" i="11"/>
  <c r="AC4754" i="11"/>
  <c r="AD4750" i="11"/>
  <c r="AC4750" i="11"/>
  <c r="AD4746" i="11"/>
  <c r="AC4746" i="11"/>
  <c r="AD4742" i="11"/>
  <c r="AC4742" i="11"/>
  <c r="AD4738" i="11"/>
  <c r="AC4738" i="11"/>
  <c r="AD4734" i="11"/>
  <c r="AC4734" i="11"/>
  <c r="AD4730" i="11"/>
  <c r="AC4730" i="11"/>
  <c r="AD4726" i="11"/>
  <c r="AC4726" i="11"/>
  <c r="AD4722" i="11"/>
  <c r="AC4722" i="11"/>
  <c r="AD4718" i="11"/>
  <c r="AC4718" i="11"/>
  <c r="AD4714" i="11"/>
  <c r="AC4714" i="11"/>
  <c r="AD4710" i="11"/>
  <c r="AC4710" i="11"/>
  <c r="AD4706" i="11"/>
  <c r="AC4706" i="11"/>
  <c r="AD4702" i="11"/>
  <c r="AC4702" i="11"/>
  <c r="AD4698" i="11"/>
  <c r="AC4698" i="11"/>
  <c r="AD4694" i="11"/>
  <c r="AC4694" i="11"/>
  <c r="AD4690" i="11"/>
  <c r="AC4690" i="11"/>
  <c r="AD4686" i="11"/>
  <c r="AC4686" i="11"/>
  <c r="AD4682" i="11"/>
  <c r="AC4682" i="11"/>
  <c r="AD4678" i="11"/>
  <c r="AC4678" i="11"/>
  <c r="AD4674" i="11"/>
  <c r="AC4674" i="11"/>
  <c r="AD4670" i="11"/>
  <c r="AC4670" i="11"/>
  <c r="AD4666" i="11"/>
  <c r="AC4666" i="11"/>
  <c r="AD4662" i="11"/>
  <c r="AC4662" i="11"/>
  <c r="AD4658" i="11"/>
  <c r="AC4658" i="11"/>
  <c r="AD4654" i="11"/>
  <c r="AC4654" i="11"/>
  <c r="AD4650" i="11"/>
  <c r="AC4650" i="11"/>
  <c r="AD4646" i="11"/>
  <c r="AC4646" i="11"/>
  <c r="AD4642" i="11"/>
  <c r="AC4642" i="11"/>
  <c r="AD4638" i="11"/>
  <c r="AC4638" i="11"/>
  <c r="AD4634" i="11"/>
  <c r="AC4634" i="11"/>
  <c r="AD4630" i="11"/>
  <c r="AC4630" i="11"/>
  <c r="AD4626" i="11"/>
  <c r="AC4626" i="11"/>
  <c r="AD4622" i="11"/>
  <c r="AC4622" i="11"/>
  <c r="AD4618" i="11"/>
  <c r="AC4618" i="11"/>
  <c r="AD4614" i="11"/>
  <c r="AC4614" i="11"/>
  <c r="AD4610" i="11"/>
  <c r="AC4610" i="11"/>
  <c r="AD4606" i="11"/>
  <c r="AC4606" i="11"/>
  <c r="AD4602" i="11"/>
  <c r="AC4602" i="11"/>
  <c r="AD4598" i="11"/>
  <c r="AC4598" i="11"/>
  <c r="AD4594" i="11"/>
  <c r="AC4594" i="11"/>
  <c r="AD4590" i="11"/>
  <c r="AC4590" i="11"/>
  <c r="AD4586" i="11"/>
  <c r="AC4586" i="11"/>
  <c r="AD4582" i="11"/>
  <c r="AC4582" i="11"/>
  <c r="AD4578" i="11"/>
  <c r="AC4578" i="11"/>
  <c r="AC4574" i="11"/>
  <c r="AD4574" i="11"/>
  <c r="AD4570" i="11"/>
  <c r="AC4570" i="11"/>
  <c r="AD4566" i="11"/>
  <c r="AC4566" i="11"/>
  <c r="AD4997" i="11"/>
  <c r="AC4997" i="11"/>
  <c r="AD4993" i="11"/>
  <c r="AC4993" i="11"/>
  <c r="AD4989" i="11"/>
  <c r="AC4989" i="11"/>
  <c r="AD4985" i="11"/>
  <c r="AC4985" i="11"/>
  <c r="AD4981" i="11"/>
  <c r="AC4981" i="11"/>
  <c r="AD4977" i="11"/>
  <c r="AC4977" i="11"/>
  <c r="AD4973" i="11"/>
  <c r="AC4973" i="11"/>
  <c r="AD4969" i="11"/>
  <c r="AC4969" i="11"/>
  <c r="AD4965" i="11"/>
  <c r="AC4965" i="11"/>
  <c r="AD4961" i="11"/>
  <c r="AC4961" i="11"/>
  <c r="AD4957" i="11"/>
  <c r="AC4957" i="11"/>
  <c r="AD4953" i="11"/>
  <c r="AC4953" i="11"/>
  <c r="AD4949" i="11"/>
  <c r="AC4949" i="11"/>
  <c r="AD4945" i="11"/>
  <c r="AC4945" i="11"/>
  <c r="AD4941" i="11"/>
  <c r="AC4941" i="11"/>
  <c r="AD4937" i="11"/>
  <c r="AC4937" i="11"/>
  <c r="AD4933" i="11"/>
  <c r="AC4933" i="11"/>
  <c r="AD4929" i="11"/>
  <c r="AC4929" i="11"/>
  <c r="AD4925" i="11"/>
  <c r="AC4925" i="11"/>
  <c r="AD4921" i="11"/>
  <c r="AC4921" i="11"/>
  <c r="AD4917" i="11"/>
  <c r="AC4917" i="11"/>
  <c r="AD4913" i="11"/>
  <c r="AC4913" i="11"/>
  <c r="AD4909" i="11"/>
  <c r="AC4909" i="11"/>
  <c r="AD4905" i="11"/>
  <c r="AC4905" i="11"/>
  <c r="AD4901" i="11"/>
  <c r="AC4901" i="11"/>
  <c r="AD4897" i="11"/>
  <c r="AC4897" i="11"/>
  <c r="AD4893" i="11"/>
  <c r="AC4893" i="11"/>
  <c r="AD4889" i="11"/>
  <c r="AC4889" i="11"/>
  <c r="AD4885" i="11"/>
  <c r="AC4885" i="11"/>
  <c r="AD4881" i="11"/>
  <c r="AC4881" i="11"/>
  <c r="AD4877" i="11"/>
  <c r="AC4877" i="11"/>
  <c r="AD4873" i="11"/>
  <c r="AC4873" i="11"/>
  <c r="AD4869" i="11"/>
  <c r="AC4869" i="11"/>
  <c r="AD4865" i="11"/>
  <c r="AC4865" i="11"/>
  <c r="AD4861" i="11"/>
  <c r="AC4861" i="11"/>
  <c r="AD4857" i="11"/>
  <c r="AC4857" i="11"/>
  <c r="AD4853" i="11"/>
  <c r="AC4853" i="11"/>
  <c r="AD4849" i="11"/>
  <c r="AC4849" i="11"/>
  <c r="AD4845" i="11"/>
  <c r="AC4845" i="11"/>
  <c r="AD4841" i="11"/>
  <c r="AC4841" i="11"/>
  <c r="AD4837" i="11"/>
  <c r="AC4837" i="11"/>
  <c r="AD4833" i="11"/>
  <c r="AC4833" i="11"/>
  <c r="AD4829" i="11"/>
  <c r="AC4829" i="11"/>
  <c r="AD4825" i="11"/>
  <c r="AC4825" i="11"/>
  <c r="AD4821" i="11"/>
  <c r="AC4821" i="11"/>
  <c r="AD4817" i="11"/>
  <c r="AC4817" i="11"/>
  <c r="AD4813" i="11"/>
  <c r="AC4813" i="11"/>
  <c r="AD4809" i="11"/>
  <c r="AC4809" i="11"/>
  <c r="AD4805" i="11"/>
  <c r="AC4805" i="11"/>
  <c r="AD4801" i="11"/>
  <c r="AC4801" i="11"/>
  <c r="AD4797" i="11"/>
  <c r="AC4797" i="11"/>
  <c r="AD4793" i="11"/>
  <c r="AC4793" i="11"/>
  <c r="AD4789" i="11"/>
  <c r="AC4789" i="11"/>
  <c r="AD4785" i="11"/>
  <c r="AC4785" i="11"/>
  <c r="AD4781" i="11"/>
  <c r="AC4781" i="11"/>
  <c r="AD4777" i="11"/>
  <c r="AC4777" i="11"/>
  <c r="AD4773" i="11"/>
  <c r="AC4773" i="11"/>
  <c r="AD4769" i="11"/>
  <c r="AC4769" i="11"/>
  <c r="AD4765" i="11"/>
  <c r="AC4765" i="11"/>
  <c r="AD4761" i="11"/>
  <c r="AC4761" i="11"/>
  <c r="AD4757" i="11"/>
  <c r="AC4757" i="11"/>
  <c r="AD4753" i="11"/>
  <c r="AC4753" i="11"/>
  <c r="AD4749" i="11"/>
  <c r="AC4749" i="11"/>
  <c r="AD4745" i="11"/>
  <c r="AC4745" i="11"/>
  <c r="AD4741" i="11"/>
  <c r="AC4741" i="11"/>
  <c r="AD4737" i="11"/>
  <c r="AC4737" i="11"/>
  <c r="AD4733" i="11"/>
  <c r="AC4733" i="11"/>
  <c r="AD4729" i="11"/>
  <c r="AC4729" i="11"/>
  <c r="AD4725" i="11"/>
  <c r="AC4725" i="11"/>
  <c r="AD4721" i="11"/>
  <c r="AC4721" i="11"/>
  <c r="AD4717" i="11"/>
  <c r="AC4717" i="11"/>
  <c r="AD4713" i="11"/>
  <c r="AC4713" i="11"/>
  <c r="AD4709" i="11"/>
  <c r="AC4709" i="11"/>
  <c r="AD4705" i="11"/>
  <c r="AC4705" i="11"/>
  <c r="AC4701" i="11"/>
  <c r="AD4701" i="11"/>
  <c r="AD4697" i="11"/>
  <c r="AC4697" i="11"/>
  <c r="AD4693" i="11"/>
  <c r="AC4693" i="11"/>
  <c r="AD4689" i="11"/>
  <c r="AC4689" i="11"/>
  <c r="AC4685" i="11"/>
  <c r="AD4685" i="11"/>
  <c r="AD4681" i="11"/>
  <c r="AC4681" i="11"/>
  <c r="AD4677" i="11"/>
  <c r="AC4677" i="11"/>
  <c r="AD4673" i="11"/>
  <c r="AC4673" i="11"/>
  <c r="AD4669" i="11"/>
  <c r="AC4669" i="11"/>
  <c r="AD4665" i="11"/>
  <c r="AC4665" i="11"/>
  <c r="AD4661" i="11"/>
  <c r="AC4661" i="11"/>
  <c r="AD4657" i="11"/>
  <c r="AC4657" i="11"/>
  <c r="AD4653" i="11"/>
  <c r="AC4653" i="11"/>
  <c r="AD4649" i="11"/>
  <c r="AC4649" i="11"/>
  <c r="AD4645" i="11"/>
  <c r="AC4645" i="11"/>
  <c r="AD4641" i="11"/>
  <c r="AC4641" i="11"/>
  <c r="AD4637" i="11"/>
  <c r="AC4637" i="11"/>
  <c r="AD4633" i="11"/>
  <c r="AC4633" i="11"/>
  <c r="AD4629" i="11"/>
  <c r="AC4629" i="11"/>
  <c r="AD4625" i="11"/>
  <c r="AC4625" i="11"/>
  <c r="AD4621" i="11"/>
  <c r="AC4621" i="11"/>
  <c r="AD4617" i="11"/>
  <c r="AC4617" i="11"/>
  <c r="AD4613" i="11"/>
  <c r="AC4613" i="11"/>
  <c r="AD4609" i="11"/>
  <c r="AC4609" i="11"/>
  <c r="AD4605" i="11"/>
  <c r="AC4605" i="11"/>
  <c r="AD4601" i="11"/>
  <c r="AC4601" i="11"/>
  <c r="AD4597" i="11"/>
  <c r="AC4597" i="11"/>
  <c r="AD4593" i="11"/>
  <c r="AC4593" i="11"/>
  <c r="AD4589" i="11"/>
  <c r="AC4589" i="11"/>
  <c r="AD4585" i="11"/>
  <c r="AC4585" i="11"/>
  <c r="AD4581" i="11"/>
  <c r="AC4581" i="11"/>
  <c r="AD4577" i="11"/>
  <c r="AC4577" i="11"/>
  <c r="AD4573" i="11"/>
  <c r="AC4573" i="11"/>
  <c r="AD4569" i="11"/>
  <c r="AC4569" i="11"/>
  <c r="AD4565" i="11"/>
  <c r="AC4565" i="11"/>
  <c r="AD5000" i="11"/>
  <c r="AC5000" i="11"/>
  <c r="AD4996" i="11"/>
  <c r="AC4996" i="11"/>
  <c r="AD4992" i="11"/>
  <c r="AC4992" i="11"/>
  <c r="AD4988" i="11"/>
  <c r="AC4988" i="11"/>
  <c r="AD4984" i="11"/>
  <c r="AC4984" i="11"/>
  <c r="AD4980" i="11"/>
  <c r="AC4980" i="11"/>
  <c r="AD4976" i="11"/>
  <c r="AC4976" i="11"/>
  <c r="AD4972" i="11"/>
  <c r="AC4972" i="11"/>
  <c r="AD4968" i="11"/>
  <c r="AC4968" i="11"/>
  <c r="AD4964" i="11"/>
  <c r="AC4964" i="11"/>
  <c r="AD4960" i="11"/>
  <c r="AC4960" i="11"/>
  <c r="AD4956" i="11"/>
  <c r="AC4956" i="11"/>
  <c r="AD4952" i="11"/>
  <c r="AC4952" i="11"/>
  <c r="AD4948" i="11"/>
  <c r="AC4948" i="11"/>
  <c r="AD4944" i="11"/>
  <c r="AC4944" i="11"/>
  <c r="AD4940" i="11"/>
  <c r="AC4940" i="11"/>
  <c r="AD4936" i="11"/>
  <c r="AC4936" i="11"/>
  <c r="AD4932" i="11"/>
  <c r="AC4932" i="11"/>
  <c r="AD4928" i="11"/>
  <c r="AC4928" i="11"/>
  <c r="AD4924" i="11"/>
  <c r="AC4924" i="11"/>
  <c r="AD4920" i="11"/>
  <c r="AC4920" i="11"/>
  <c r="AD4916" i="11"/>
  <c r="AC4916" i="11"/>
  <c r="AD4912" i="11"/>
  <c r="AC4912" i="11"/>
  <c r="AD4908" i="11"/>
  <c r="AC4908" i="11"/>
  <c r="AD4904" i="11"/>
  <c r="AC4904" i="11"/>
  <c r="AD4900" i="11"/>
  <c r="AC4900" i="11"/>
  <c r="AD4896" i="11"/>
  <c r="AC4896" i="11"/>
  <c r="AD4892" i="11"/>
  <c r="AC4892" i="11"/>
  <c r="AD4888" i="11"/>
  <c r="AC4888" i="11"/>
  <c r="AD4884" i="11"/>
  <c r="AC4884" i="11"/>
  <c r="AD4880" i="11"/>
  <c r="AC4880" i="11"/>
  <c r="AD4876" i="11"/>
  <c r="AC4876" i="11"/>
  <c r="AD4872" i="11"/>
  <c r="AC4872" i="11"/>
  <c r="AD4868" i="11"/>
  <c r="AC4868" i="11"/>
  <c r="AD4864" i="11"/>
  <c r="AC4864" i="11"/>
  <c r="AD4860" i="11"/>
  <c r="AC4860" i="11"/>
  <c r="AD4856" i="11"/>
  <c r="AC4856" i="11"/>
  <c r="AD4852" i="11"/>
  <c r="AC4852" i="11"/>
  <c r="AD4848" i="11"/>
  <c r="AC4848" i="11"/>
  <c r="AD4844" i="11"/>
  <c r="AC4844" i="11"/>
  <c r="AD4840" i="11"/>
  <c r="AC4840" i="11"/>
  <c r="AD4836" i="11"/>
  <c r="AC4836" i="11"/>
  <c r="AD4832" i="11"/>
  <c r="AC4832" i="11"/>
  <c r="AD4828" i="11"/>
  <c r="AC4828" i="11"/>
  <c r="AD4824" i="11"/>
  <c r="AC4824" i="11"/>
  <c r="AD4820" i="11"/>
  <c r="AC4820" i="11"/>
  <c r="AD4816" i="11"/>
  <c r="AC4816" i="11"/>
  <c r="AD4812" i="11"/>
  <c r="AC4812" i="11"/>
  <c r="AD4808" i="11"/>
  <c r="AC4808" i="11"/>
  <c r="AD4804" i="11"/>
  <c r="AC4804" i="11"/>
  <c r="AD4800" i="11"/>
  <c r="AC4800" i="11"/>
  <c r="AD4796" i="11"/>
  <c r="AC4796" i="11"/>
  <c r="AD4792" i="11"/>
  <c r="AC4792" i="11"/>
  <c r="AD4788" i="11"/>
  <c r="AC4788" i="11"/>
  <c r="AD4784" i="11"/>
  <c r="AC4784" i="11"/>
  <c r="AD4780" i="11"/>
  <c r="AC4780" i="11"/>
  <c r="AD4776" i="11"/>
  <c r="AC4776" i="11"/>
  <c r="AD4772" i="11"/>
  <c r="AC4772" i="11"/>
  <c r="AD4768" i="11"/>
  <c r="AC4768" i="11"/>
  <c r="AD4764" i="11"/>
  <c r="AC4764" i="11"/>
  <c r="AD4760" i="11"/>
  <c r="AC4760" i="11"/>
  <c r="AD4756" i="11"/>
  <c r="AC4756" i="11"/>
  <c r="AD4752" i="11"/>
  <c r="AC4752" i="11"/>
  <c r="AD4748" i="11"/>
  <c r="AC4748" i="11"/>
  <c r="AD4744" i="11"/>
  <c r="AC4744" i="11"/>
  <c r="AD4740" i="11"/>
  <c r="AC4740" i="11"/>
  <c r="AD4736" i="11"/>
  <c r="AC4736" i="11"/>
  <c r="AD4732" i="11"/>
  <c r="AC4732" i="11"/>
  <c r="AD4728" i="11"/>
  <c r="AC4728" i="11"/>
  <c r="AD4724" i="11"/>
  <c r="AC4724" i="11"/>
  <c r="AD4720" i="11"/>
  <c r="AC4720" i="11"/>
  <c r="AD4716" i="11"/>
  <c r="AC4716" i="11"/>
  <c r="AD4712" i="11"/>
  <c r="AC4712" i="11"/>
  <c r="AD4708" i="11"/>
  <c r="AC4708" i="11"/>
  <c r="AD4704" i="11"/>
  <c r="AC4704" i="11"/>
  <c r="AD4700" i="11"/>
  <c r="AC4700" i="11"/>
  <c r="AD4696" i="11"/>
  <c r="AC4696" i="11"/>
  <c r="AD4692" i="11"/>
  <c r="AC4692" i="11"/>
  <c r="AD4688" i="11"/>
  <c r="AC4688" i="11"/>
  <c r="AD4684" i="11"/>
  <c r="AC4684" i="11"/>
  <c r="AD4680" i="11"/>
  <c r="AC4680" i="11"/>
  <c r="AD4676" i="11"/>
  <c r="AC4676" i="11"/>
  <c r="AD4672" i="11"/>
  <c r="AC4672" i="11"/>
  <c r="AD4668" i="11"/>
  <c r="AC4668" i="11"/>
  <c r="AD4664" i="11"/>
  <c r="AC4664" i="11"/>
  <c r="AD4660" i="11"/>
  <c r="AC4660" i="11"/>
  <c r="AD4656" i="11"/>
  <c r="AC4656" i="11"/>
  <c r="AD4652" i="11"/>
  <c r="AC4652" i="11"/>
  <c r="AD4648" i="11"/>
  <c r="AC4648" i="11"/>
  <c r="AD4644" i="11"/>
  <c r="AC4644" i="11"/>
  <c r="AD4640" i="11"/>
  <c r="AC4640" i="11"/>
  <c r="AD4636" i="11"/>
  <c r="AC4636" i="11"/>
  <c r="AD4632" i="11"/>
  <c r="AC4632" i="11"/>
  <c r="AD4628" i="11"/>
  <c r="AC4628" i="11"/>
  <c r="AD4624" i="11"/>
  <c r="AC4624" i="11"/>
  <c r="AD4620" i="11"/>
  <c r="AC4620" i="11"/>
  <c r="AD4616" i="11"/>
  <c r="AC4616" i="11"/>
  <c r="AD4612" i="11"/>
  <c r="AC4612" i="11"/>
  <c r="AD4608" i="11"/>
  <c r="AC4608" i="11"/>
  <c r="AD4604" i="11"/>
  <c r="AC4604" i="11"/>
  <c r="AD4600" i="11"/>
  <c r="AC4600" i="11"/>
  <c r="AD4596" i="11"/>
  <c r="AC4596" i="11"/>
  <c r="AD4592" i="11"/>
  <c r="AC4592" i="11"/>
  <c r="AD4588" i="11"/>
  <c r="AC4588" i="11"/>
  <c r="AD4584" i="11"/>
  <c r="AC4584" i="11"/>
  <c r="AD4580" i="11"/>
  <c r="AC4580" i="11"/>
  <c r="AD4576" i="11"/>
  <c r="AC4576" i="11"/>
  <c r="AD4572" i="11"/>
  <c r="AC4572" i="11"/>
  <c r="AD4568" i="11"/>
  <c r="AC4568" i="11"/>
  <c r="AD4564" i="11"/>
  <c r="AC4564" i="11"/>
  <c r="AD3671" i="11"/>
  <c r="AC3671" i="11"/>
  <c r="AD3667" i="11"/>
  <c r="AC3667" i="11"/>
  <c r="AD3663" i="11"/>
  <c r="AC3663" i="11"/>
  <c r="AD3659" i="11"/>
  <c r="AC3659" i="11"/>
  <c r="AD3655" i="11"/>
  <c r="AC3655" i="11"/>
  <c r="AD3651" i="11"/>
  <c r="AC3651" i="11"/>
  <c r="AD3647" i="11"/>
  <c r="AC3647" i="11"/>
  <c r="AD3643" i="11"/>
  <c r="AC3643" i="11"/>
  <c r="AD3639" i="11"/>
  <c r="AC3639" i="11"/>
  <c r="AD3635" i="11"/>
  <c r="AC3635" i="11"/>
  <c r="AD3631" i="11"/>
  <c r="AC3631" i="11"/>
  <c r="AD3627" i="11"/>
  <c r="AC3627" i="11"/>
  <c r="AD3623" i="11"/>
  <c r="AC3623" i="11"/>
  <c r="AD3619" i="11"/>
  <c r="AC3619" i="11"/>
  <c r="AD3615" i="11"/>
  <c r="AC3615" i="11"/>
  <c r="AD3611" i="11"/>
  <c r="AC3611" i="11"/>
  <c r="AD3607" i="11"/>
  <c r="AC3607" i="11"/>
  <c r="AD3603" i="11"/>
  <c r="AC3603" i="11"/>
  <c r="AD3599" i="11"/>
  <c r="AC3599" i="11"/>
  <c r="AD3595" i="11"/>
  <c r="AC3595" i="11"/>
  <c r="AD3591" i="11"/>
  <c r="AC3591" i="11"/>
  <c r="AD3587" i="11"/>
  <c r="AC3587" i="11"/>
  <c r="AD3583" i="11"/>
  <c r="AC3583" i="11"/>
  <c r="AD3579" i="11"/>
  <c r="AC3579" i="11"/>
  <c r="AD3575" i="11"/>
  <c r="AC3575" i="11"/>
  <c r="AD3571" i="11"/>
  <c r="AC3571" i="11"/>
  <c r="AD3567" i="11"/>
  <c r="AC3567" i="11"/>
  <c r="AD3563" i="11"/>
  <c r="AC3563" i="11"/>
  <c r="AD3559" i="11"/>
  <c r="AC3559" i="11"/>
  <c r="AD3555" i="11"/>
  <c r="AC3555" i="11"/>
  <c r="AD3551" i="11"/>
  <c r="AC3551" i="11"/>
  <c r="AD3547" i="11"/>
  <c r="AC3547" i="11"/>
  <c r="AD3543" i="11"/>
  <c r="AC3543" i="11"/>
  <c r="AD3539" i="11"/>
  <c r="AC3539" i="11"/>
  <c r="AD3535" i="11"/>
  <c r="AC3535" i="11"/>
  <c r="AD3531" i="11"/>
  <c r="AC3531" i="11"/>
  <c r="AD3527" i="11"/>
  <c r="AC3527" i="11"/>
  <c r="AD3523" i="11"/>
  <c r="AC3523" i="11"/>
  <c r="AD3519" i="11"/>
  <c r="AC3519" i="11"/>
  <c r="AD3515" i="11"/>
  <c r="AC3515" i="11"/>
  <c r="AD3511" i="11"/>
  <c r="AC3511" i="11"/>
  <c r="AD3507" i="11"/>
  <c r="AC3507" i="11"/>
  <c r="AD3503" i="11"/>
  <c r="AC3503" i="11"/>
  <c r="AD3499" i="11"/>
  <c r="AC3499" i="11"/>
  <c r="AD3495" i="11"/>
  <c r="AC3495" i="11"/>
  <c r="AD3491" i="11"/>
  <c r="AC3491" i="11"/>
  <c r="AD3487" i="11"/>
  <c r="AC3487" i="11"/>
  <c r="AD3483" i="11"/>
  <c r="AC3483" i="11"/>
  <c r="AD3479" i="11"/>
  <c r="AC3479" i="11"/>
  <c r="AD3475" i="11"/>
  <c r="AC3475" i="11"/>
  <c r="AD3471" i="11"/>
  <c r="AC3471" i="11"/>
  <c r="AD3467" i="11"/>
  <c r="AC3467" i="11"/>
  <c r="AD3463" i="11"/>
  <c r="AC3463" i="11"/>
  <c r="AD3459" i="11"/>
  <c r="AC3459" i="11"/>
  <c r="AD3455" i="11"/>
  <c r="AC3455" i="11"/>
  <c r="AD3451" i="11"/>
  <c r="AC3451" i="11"/>
  <c r="AD3447" i="11"/>
  <c r="AC3447" i="11"/>
  <c r="AD3443" i="11"/>
  <c r="AC3443" i="11"/>
  <c r="AD3439" i="11"/>
  <c r="AC3439" i="11"/>
  <c r="AD3435" i="11"/>
  <c r="AC3435" i="11"/>
  <c r="AD3431" i="11"/>
  <c r="AC3431" i="11"/>
  <c r="AD3427" i="11"/>
  <c r="AC3427" i="11"/>
  <c r="AC3423" i="11"/>
  <c r="AD3423" i="11"/>
  <c r="AD3419" i="11"/>
  <c r="AC3419" i="11"/>
  <c r="AD3415" i="11"/>
  <c r="AC3415" i="11"/>
  <c r="AD3411" i="11"/>
  <c r="AC3411" i="11"/>
  <c r="AD3407" i="11"/>
  <c r="AC3407" i="11"/>
  <c r="AD3403" i="11"/>
  <c r="AC3403" i="11"/>
  <c r="AD3399" i="11"/>
  <c r="AC3399" i="11"/>
  <c r="AD3395" i="11"/>
  <c r="AC3395" i="11"/>
  <c r="AD3391" i="11"/>
  <c r="AC3391" i="11"/>
  <c r="AD3387" i="11"/>
  <c r="AC3387" i="11"/>
  <c r="AD3383" i="11"/>
  <c r="AC3383" i="11"/>
  <c r="AD3379" i="11"/>
  <c r="AC3379" i="11"/>
  <c r="AD3375" i="11"/>
  <c r="AC3375" i="11"/>
  <c r="AD3371" i="11"/>
  <c r="AC3371" i="11"/>
  <c r="AD3367" i="11"/>
  <c r="AC3367" i="11"/>
  <c r="AD3363" i="11"/>
  <c r="AC3363" i="11"/>
  <c r="AD3359" i="11"/>
  <c r="AC3359" i="11"/>
  <c r="AD3355" i="11"/>
  <c r="AC3355" i="11"/>
  <c r="AD3351" i="11"/>
  <c r="AC3351" i="11"/>
  <c r="AD3347" i="11"/>
  <c r="AC3347" i="11"/>
  <c r="AD3343" i="11"/>
  <c r="AC3343" i="11"/>
  <c r="AD3339" i="11"/>
  <c r="AC3339" i="11"/>
  <c r="AD3335" i="11"/>
  <c r="AC3335" i="11"/>
  <c r="AD3331" i="11"/>
  <c r="AC3331" i="11"/>
  <c r="AD3327" i="11"/>
  <c r="AC3327" i="11"/>
  <c r="AD3323" i="11"/>
  <c r="AC3323" i="11"/>
  <c r="AD3319" i="11"/>
  <c r="AC3319" i="11"/>
  <c r="AD3315" i="11"/>
  <c r="AC3315" i="11"/>
  <c r="AD3311" i="11"/>
  <c r="AC3311" i="11"/>
  <c r="AD3307" i="11"/>
  <c r="AC3307" i="11"/>
  <c r="AD3303" i="11"/>
  <c r="AC3303" i="11"/>
  <c r="AD3299" i="11"/>
  <c r="AC3299" i="11"/>
  <c r="AD3295" i="11"/>
  <c r="AC3295" i="11"/>
  <c r="AD3291" i="11"/>
  <c r="AC3291" i="11"/>
  <c r="AD3287" i="11"/>
  <c r="AC3287" i="11"/>
  <c r="AD3283" i="11"/>
  <c r="AC3283" i="11"/>
  <c r="AD3279" i="11"/>
  <c r="AC3279" i="11"/>
  <c r="AD3275" i="11"/>
  <c r="AC3275" i="11"/>
  <c r="AD3271" i="11"/>
  <c r="AC3271" i="11"/>
  <c r="AD3267" i="11"/>
  <c r="AC3267" i="11"/>
  <c r="AD3263" i="11"/>
  <c r="AC3263" i="11"/>
  <c r="AD3259" i="11"/>
  <c r="AC3259" i="11"/>
  <c r="AD3255" i="11"/>
  <c r="AC3255" i="11"/>
  <c r="AD3251" i="11"/>
  <c r="AC3251" i="11"/>
  <c r="AD3247" i="11"/>
  <c r="AC3247" i="11"/>
  <c r="AD3243" i="11"/>
  <c r="AC3243" i="11"/>
  <c r="AD3239" i="11"/>
  <c r="AC3239" i="11"/>
  <c r="AD3235" i="11"/>
  <c r="AC3235" i="11"/>
  <c r="AD3231" i="11"/>
  <c r="AC3231" i="11"/>
  <c r="AD3227" i="11"/>
  <c r="AC3227" i="11"/>
  <c r="AD3223" i="11"/>
  <c r="AC3223" i="11"/>
  <c r="AD3219" i="11"/>
  <c r="AC3219" i="11"/>
  <c r="AD3215" i="11"/>
  <c r="AC3215" i="11"/>
  <c r="AD3211" i="11"/>
  <c r="AC3211" i="11"/>
  <c r="AD3207" i="11"/>
  <c r="AC3207" i="11"/>
  <c r="AD3203" i="11"/>
  <c r="AC3203" i="11"/>
  <c r="AD3199" i="11"/>
  <c r="AC3199" i="11"/>
  <c r="AD3195" i="11"/>
  <c r="AC3195" i="11"/>
  <c r="AD3191" i="11"/>
  <c r="AC3191" i="11"/>
  <c r="AD3187" i="11"/>
  <c r="AC3187" i="11"/>
  <c r="AD3183" i="11"/>
  <c r="AC3183" i="11"/>
  <c r="AD3179" i="11"/>
  <c r="AC3179" i="11"/>
  <c r="AD3175" i="11"/>
  <c r="AC3175" i="11"/>
  <c r="AD3171" i="11"/>
  <c r="AC3171" i="11"/>
  <c r="AD3167" i="11"/>
  <c r="AC3167" i="11"/>
  <c r="AD3163" i="11"/>
  <c r="AC3163" i="11"/>
  <c r="AD3159" i="11"/>
  <c r="AC3159" i="11"/>
  <c r="AD3155" i="11"/>
  <c r="AC3155" i="11"/>
  <c r="AD3151" i="11"/>
  <c r="AC3151" i="11"/>
  <c r="AD3147" i="11"/>
  <c r="AC3147" i="11"/>
  <c r="AD3143" i="11"/>
  <c r="AC3143" i="11"/>
  <c r="AD3139" i="11"/>
  <c r="AC3139" i="11"/>
  <c r="AD3135" i="11"/>
  <c r="AC3135" i="11"/>
  <c r="AD3131" i="11"/>
  <c r="AC3131" i="11"/>
  <c r="AD3127" i="11"/>
  <c r="AC3127" i="11"/>
  <c r="AD3123" i="11"/>
  <c r="AC3123" i="11"/>
  <c r="AD3119" i="11"/>
  <c r="AC3119" i="11"/>
  <c r="AD3115" i="11"/>
  <c r="AC3115" i="11"/>
  <c r="AD3111" i="11"/>
  <c r="AC3111" i="11"/>
  <c r="AD3107" i="11"/>
  <c r="AC3107" i="11"/>
  <c r="AD3103" i="11"/>
  <c r="AC3103" i="11"/>
  <c r="AD3099" i="11"/>
  <c r="AC3099" i="11"/>
  <c r="AD3095" i="11"/>
  <c r="AC3095" i="11"/>
  <c r="AD3091" i="11"/>
  <c r="AC3091" i="11"/>
  <c r="AD3087" i="11"/>
  <c r="AC3087" i="11"/>
  <c r="AD3083" i="11"/>
  <c r="AC3083" i="11"/>
  <c r="AD3079" i="11"/>
  <c r="AC3079" i="11"/>
  <c r="AD3075" i="11"/>
  <c r="AC3075" i="11"/>
  <c r="AD3071" i="11"/>
  <c r="AC3071" i="11"/>
  <c r="AD3067" i="11"/>
  <c r="AC3067" i="11"/>
  <c r="AD3063" i="11"/>
  <c r="AC3063" i="11"/>
  <c r="AD3059" i="11"/>
  <c r="AC3059" i="11"/>
  <c r="AD3055" i="11"/>
  <c r="AC3055" i="11"/>
  <c r="AD3051" i="11"/>
  <c r="AC3051" i="11"/>
  <c r="AD3047" i="11"/>
  <c r="AC3047" i="11"/>
  <c r="AD3043" i="11"/>
  <c r="AC3043" i="11"/>
  <c r="AD3039" i="11"/>
  <c r="AC3039" i="11"/>
  <c r="AD3035" i="11"/>
  <c r="AC3035" i="11"/>
  <c r="AD3031" i="11"/>
  <c r="AC3031" i="11"/>
  <c r="AD3027" i="11"/>
  <c r="AC3027" i="11"/>
  <c r="AD3023" i="11"/>
  <c r="AC3023" i="11"/>
  <c r="AD3019" i="11"/>
  <c r="AC3019" i="11"/>
  <c r="AD3015" i="11"/>
  <c r="AC3015" i="11"/>
  <c r="AD3011" i="11"/>
  <c r="AC3011" i="11"/>
  <c r="AD3007" i="11"/>
  <c r="AC3007" i="11"/>
  <c r="AD3003" i="11"/>
  <c r="AC3003" i="11"/>
  <c r="AD2999" i="11"/>
  <c r="AC2999" i="11"/>
  <c r="AD2995" i="11"/>
  <c r="AC2995" i="11"/>
  <c r="AD2991" i="11"/>
  <c r="AC2991" i="11"/>
  <c r="AD2987" i="11"/>
  <c r="AC2987" i="11"/>
  <c r="AD2983" i="11"/>
  <c r="AC2983" i="11"/>
  <c r="AD2979" i="11"/>
  <c r="AC2979" i="11"/>
  <c r="AD2975" i="11"/>
  <c r="AC2975" i="11"/>
  <c r="AD2971" i="11"/>
  <c r="AC2971" i="11"/>
  <c r="AD2967" i="11"/>
  <c r="AC2967" i="11"/>
  <c r="AD2963" i="11"/>
  <c r="AC2963" i="11"/>
  <c r="AD2959" i="11"/>
  <c r="AC2959" i="11"/>
  <c r="AD2955" i="11"/>
  <c r="AC2955" i="11"/>
  <c r="AD2951" i="11"/>
  <c r="AC2951" i="11"/>
  <c r="AD2947" i="11"/>
  <c r="AC2947" i="11"/>
  <c r="AD2943" i="11"/>
  <c r="AC2943" i="11"/>
  <c r="AD2939" i="11"/>
  <c r="AC2939" i="11"/>
  <c r="AD2935" i="11"/>
  <c r="AC2935" i="11"/>
  <c r="AD2931" i="11"/>
  <c r="AC2931" i="11"/>
  <c r="AD2927" i="11"/>
  <c r="AC2927" i="11"/>
  <c r="AD2923" i="11"/>
  <c r="AC2923" i="11"/>
  <c r="AD2919" i="11"/>
  <c r="AC2919" i="11"/>
  <c r="AD2915" i="11"/>
  <c r="AC2915" i="11"/>
  <c r="AD2911" i="11"/>
  <c r="AC2911" i="11"/>
  <c r="AD2907" i="11"/>
  <c r="AC2907" i="11"/>
  <c r="AD2903" i="11"/>
  <c r="AC2903" i="11"/>
  <c r="AD2899" i="11"/>
  <c r="AC2899" i="11"/>
  <c r="AD2895" i="11"/>
  <c r="AC2895" i="11"/>
  <c r="AD2891" i="11"/>
  <c r="AC2891" i="11"/>
  <c r="AD2887" i="11"/>
  <c r="AC2887" i="11"/>
  <c r="AD2883" i="11"/>
  <c r="AC2883" i="11"/>
  <c r="AD2879" i="11"/>
  <c r="AC2879" i="11"/>
  <c r="AD2875" i="11"/>
  <c r="AC2875" i="11"/>
  <c r="AD2871" i="11"/>
  <c r="AC2871" i="11"/>
  <c r="AD2867" i="11"/>
  <c r="AC2867" i="11"/>
  <c r="AD2863" i="11"/>
  <c r="AC2863" i="11"/>
  <c r="AD2859" i="11"/>
  <c r="AC2859" i="11"/>
  <c r="AD2855" i="11"/>
  <c r="AC2855" i="11"/>
  <c r="AD2851" i="11"/>
  <c r="AC2851" i="11"/>
  <c r="AD2847" i="11"/>
  <c r="AC2847" i="11"/>
  <c r="AD2843" i="11"/>
  <c r="AC2843" i="11"/>
  <c r="AD2839" i="11"/>
  <c r="AC2839" i="11"/>
  <c r="AD2835" i="11"/>
  <c r="AC2835" i="11"/>
  <c r="AD2831" i="11"/>
  <c r="AC2831" i="11"/>
  <c r="AD2827" i="11"/>
  <c r="AC2827" i="11"/>
  <c r="AD2823" i="11"/>
  <c r="AC2823" i="11"/>
  <c r="AD2819" i="11"/>
  <c r="AC2819" i="11"/>
  <c r="AD2815" i="11"/>
  <c r="AC2815" i="11"/>
  <c r="AD2811" i="11"/>
  <c r="AC2811" i="11"/>
  <c r="AD2807" i="11"/>
  <c r="AC2807" i="11"/>
  <c r="AD2803" i="11"/>
  <c r="AC2803" i="11"/>
  <c r="AD2799" i="11"/>
  <c r="AC2799" i="11"/>
  <c r="AD2795" i="11"/>
  <c r="AC2795" i="11"/>
  <c r="AD2791" i="11"/>
  <c r="AC2791" i="11"/>
  <c r="AD2787" i="11"/>
  <c r="AC2787" i="11"/>
  <c r="AD2783" i="11"/>
  <c r="AC2783" i="11"/>
  <c r="AD2779" i="11"/>
  <c r="AC2779" i="11"/>
  <c r="AD2775" i="11"/>
  <c r="AC2775" i="11"/>
  <c r="AD2771" i="11"/>
  <c r="AC2771" i="11"/>
  <c r="AD2767" i="11"/>
  <c r="AC2767" i="11"/>
  <c r="AD2763" i="11"/>
  <c r="AC2763" i="11"/>
  <c r="AD2759" i="11"/>
  <c r="AC2759" i="11"/>
  <c r="AD2755" i="11"/>
  <c r="AC2755" i="11"/>
  <c r="AD2751" i="11"/>
  <c r="AC2751" i="11"/>
  <c r="AD2747" i="11"/>
  <c r="AC2747" i="11"/>
  <c r="AD2743" i="11"/>
  <c r="AC2743" i="11"/>
  <c r="AD2739" i="11"/>
  <c r="AC2739" i="11"/>
  <c r="AD2735" i="11"/>
  <c r="AC2735" i="11"/>
  <c r="AD2731" i="11"/>
  <c r="AC2731" i="11"/>
  <c r="AD2727" i="11"/>
  <c r="AC2727" i="11"/>
  <c r="AD2723" i="11"/>
  <c r="AC2723" i="11"/>
  <c r="AD2719" i="11"/>
  <c r="AC2719" i="11"/>
  <c r="AD2715" i="11"/>
  <c r="AC2715" i="11"/>
  <c r="AD2711" i="11"/>
  <c r="AC2711" i="11"/>
  <c r="AD2707" i="11"/>
  <c r="AC2707" i="11"/>
  <c r="AD2703" i="11"/>
  <c r="AC2703" i="11"/>
  <c r="AD2699" i="11"/>
  <c r="AC2699" i="11"/>
  <c r="AD2695" i="11"/>
  <c r="AC2695" i="11"/>
  <c r="AD2691" i="11"/>
  <c r="AC2691" i="11"/>
  <c r="AD2687" i="11"/>
  <c r="AC2687" i="11"/>
  <c r="AD2683" i="11"/>
  <c r="AC2683" i="11"/>
  <c r="AD2679" i="11"/>
  <c r="AC2679" i="11"/>
  <c r="AD2675" i="11"/>
  <c r="AC2675" i="11"/>
  <c r="AD2671" i="11"/>
  <c r="AC2671" i="11"/>
  <c r="AD2667" i="11"/>
  <c r="AC2667" i="11"/>
  <c r="AD2663" i="11"/>
  <c r="AC2663" i="11"/>
  <c r="AD2659" i="11"/>
  <c r="AC2659" i="11"/>
  <c r="AD4562" i="11"/>
  <c r="AC4562" i="11"/>
  <c r="AD4558" i="11"/>
  <c r="AC4558" i="11"/>
  <c r="AD4554" i="11"/>
  <c r="AC4554" i="11"/>
  <c r="AD4550" i="11"/>
  <c r="AC4550" i="11"/>
  <c r="AD4546" i="11"/>
  <c r="AC4546" i="11"/>
  <c r="AD4542" i="11"/>
  <c r="AC4542" i="11"/>
  <c r="AD4538" i="11"/>
  <c r="AC4538" i="11"/>
  <c r="AD4534" i="11"/>
  <c r="AC4534" i="11"/>
  <c r="AD4530" i="11"/>
  <c r="AC4530" i="11"/>
  <c r="AD4526" i="11"/>
  <c r="AC4526" i="11"/>
  <c r="AD4522" i="11"/>
  <c r="AC4522" i="11"/>
  <c r="AD4518" i="11"/>
  <c r="AC4518" i="11"/>
  <c r="AD4514" i="11"/>
  <c r="AC4514" i="11"/>
  <c r="AD4510" i="11"/>
  <c r="AC4510" i="11"/>
  <c r="AD4506" i="11"/>
  <c r="AC4506" i="11"/>
  <c r="AD4502" i="11"/>
  <c r="AC4502" i="11"/>
  <c r="AD4498" i="11"/>
  <c r="AC4498" i="11"/>
  <c r="AD4494" i="11"/>
  <c r="AC4494" i="11"/>
  <c r="AD4490" i="11"/>
  <c r="AC4490" i="11"/>
  <c r="AD4486" i="11"/>
  <c r="AC4486" i="11"/>
  <c r="AD4482" i="11"/>
  <c r="AC4482" i="11"/>
  <c r="AD4478" i="11"/>
  <c r="AC4478" i="11"/>
  <c r="AD4474" i="11"/>
  <c r="AC4474" i="11"/>
  <c r="AD4470" i="11"/>
  <c r="AC4470" i="11"/>
  <c r="AD4466" i="11"/>
  <c r="AC4466" i="11"/>
  <c r="AD4462" i="11"/>
  <c r="AC4462" i="11"/>
  <c r="AD4458" i="11"/>
  <c r="AC4458" i="11"/>
  <c r="AD4454" i="11"/>
  <c r="AC4454" i="11"/>
  <c r="AD4450" i="11"/>
  <c r="AC4450" i="11"/>
  <c r="AC4446" i="11"/>
  <c r="AD4446" i="11"/>
  <c r="AD4442" i="11"/>
  <c r="AC4442" i="11"/>
  <c r="AD4438" i="11"/>
  <c r="AC4438" i="11"/>
  <c r="AD4434" i="11"/>
  <c r="AC4434" i="11"/>
  <c r="AD4430" i="11"/>
  <c r="AC4430" i="11"/>
  <c r="AD4426" i="11"/>
  <c r="AC4426" i="11"/>
  <c r="AD4422" i="11"/>
  <c r="AC4422" i="11"/>
  <c r="AD4418" i="11"/>
  <c r="AC4418" i="11"/>
  <c r="AD4414" i="11"/>
  <c r="AC4414" i="11"/>
  <c r="AD4410" i="11"/>
  <c r="AC4410" i="11"/>
  <c r="AD4406" i="11"/>
  <c r="AC4406" i="11"/>
  <c r="AD4402" i="11"/>
  <c r="AC4402" i="11"/>
  <c r="AD4398" i="11"/>
  <c r="AC4398" i="11"/>
  <c r="AD4394" i="11"/>
  <c r="AC4394" i="11"/>
  <c r="AD4390" i="11"/>
  <c r="AC4390" i="11"/>
  <c r="AD4386" i="11"/>
  <c r="AC4386" i="11"/>
  <c r="AC4382" i="11"/>
  <c r="AD4382" i="11"/>
  <c r="AD4378" i="11"/>
  <c r="AC4378" i="11"/>
  <c r="AD4374" i="11"/>
  <c r="AC4374" i="11"/>
  <c r="AD4370" i="11"/>
  <c r="AC4370" i="11"/>
  <c r="AD4366" i="11"/>
  <c r="AC4366" i="11"/>
  <c r="AD4362" i="11"/>
  <c r="AC4362" i="11"/>
  <c r="AD4358" i="11"/>
  <c r="AC4358" i="11"/>
  <c r="AD4354" i="11"/>
  <c r="AC4354" i="11"/>
  <c r="AD4350" i="11"/>
  <c r="AC4350" i="11"/>
  <c r="AD4346" i="11"/>
  <c r="AC4346" i="11"/>
  <c r="AD4342" i="11"/>
  <c r="AC4342" i="11"/>
  <c r="AD4338" i="11"/>
  <c r="AC4338" i="11"/>
  <c r="AD4334" i="11"/>
  <c r="AC4334" i="11"/>
  <c r="AD4330" i="11"/>
  <c r="AC4330" i="11"/>
  <c r="AD4326" i="11"/>
  <c r="AC4326" i="11"/>
  <c r="AD4322" i="11"/>
  <c r="AC4322" i="11"/>
  <c r="AD4318" i="11"/>
  <c r="AC4318" i="11"/>
  <c r="AD4314" i="11"/>
  <c r="AC4314" i="11"/>
  <c r="AD4310" i="11"/>
  <c r="AC4310" i="11"/>
  <c r="AD4306" i="11"/>
  <c r="AC4306" i="11"/>
  <c r="AD4302" i="11"/>
  <c r="AC4302" i="11"/>
  <c r="AD4298" i="11"/>
  <c r="AC4298" i="11"/>
  <c r="AD4294" i="11"/>
  <c r="AC4294" i="11"/>
  <c r="AD4290" i="11"/>
  <c r="AC4290" i="11"/>
  <c r="AD4286" i="11"/>
  <c r="AC4286" i="11"/>
  <c r="AD4282" i="11"/>
  <c r="AC4282" i="11"/>
  <c r="AD4278" i="11"/>
  <c r="AC4278" i="11"/>
  <c r="AD4274" i="11"/>
  <c r="AC4274" i="11"/>
  <c r="AD4270" i="11"/>
  <c r="AC4270" i="11"/>
  <c r="AD4266" i="11"/>
  <c r="AC4266" i="11"/>
  <c r="AD4262" i="11"/>
  <c r="AC4262" i="11"/>
  <c r="AD4258" i="11"/>
  <c r="AC4258" i="11"/>
  <c r="AD4254" i="11"/>
  <c r="AC4254" i="11"/>
  <c r="AD4250" i="11"/>
  <c r="AC4250" i="11"/>
  <c r="AD4246" i="11"/>
  <c r="AC4246" i="11"/>
  <c r="AD4242" i="11"/>
  <c r="AC4242" i="11"/>
  <c r="AD4238" i="11"/>
  <c r="AC4238" i="11"/>
  <c r="AD4234" i="11"/>
  <c r="AC4234" i="11"/>
  <c r="AD4230" i="11"/>
  <c r="AC4230" i="11"/>
  <c r="AD4226" i="11"/>
  <c r="AC4226" i="11"/>
  <c r="AD4222" i="11"/>
  <c r="AC4222" i="11"/>
  <c r="AD4218" i="11"/>
  <c r="AC4218" i="11"/>
  <c r="AD4214" i="11"/>
  <c r="AC4214" i="11"/>
  <c r="AD4210" i="11"/>
  <c r="AC4210" i="11"/>
  <c r="AD4206" i="11"/>
  <c r="AC4206" i="11"/>
  <c r="AD4202" i="11"/>
  <c r="AC4202" i="11"/>
  <c r="AD4198" i="11"/>
  <c r="AC4198" i="11"/>
  <c r="AD4194" i="11"/>
  <c r="AC4194" i="11"/>
  <c r="AD4190" i="11"/>
  <c r="AC4190" i="11"/>
  <c r="AD4186" i="11"/>
  <c r="AC4186" i="11"/>
  <c r="AD4182" i="11"/>
  <c r="AC4182" i="11"/>
  <c r="AD4178" i="11"/>
  <c r="AC4178" i="11"/>
  <c r="AD4174" i="11"/>
  <c r="AC4174" i="11"/>
  <c r="AD4170" i="11"/>
  <c r="AC4170" i="11"/>
  <c r="AD4166" i="11"/>
  <c r="AC4166" i="11"/>
  <c r="AD4162" i="11"/>
  <c r="AC4162" i="11"/>
  <c r="AD4158" i="11"/>
  <c r="AC4158" i="11"/>
  <c r="AD4154" i="11"/>
  <c r="AC4154" i="11"/>
  <c r="AD4150" i="11"/>
  <c r="AC4150" i="11"/>
  <c r="AD4146" i="11"/>
  <c r="AC4146" i="11"/>
  <c r="AD4142" i="11"/>
  <c r="AC4142" i="11"/>
  <c r="AD4138" i="11"/>
  <c r="AC4138" i="11"/>
  <c r="AD4134" i="11"/>
  <c r="AC4134" i="11"/>
  <c r="AD4130" i="11"/>
  <c r="AC4130" i="11"/>
  <c r="AC4126" i="11"/>
  <c r="AD4126" i="11"/>
  <c r="AD4122" i="11"/>
  <c r="AC4122" i="11"/>
  <c r="AD4118" i="11"/>
  <c r="AC4118" i="11"/>
  <c r="AD4114" i="11"/>
  <c r="AC4114" i="11"/>
  <c r="AD4110" i="11"/>
  <c r="AC4110" i="11"/>
  <c r="AD4106" i="11"/>
  <c r="AC4106" i="11"/>
  <c r="AD4102" i="11"/>
  <c r="AC4102" i="11"/>
  <c r="AD4098" i="11"/>
  <c r="AC4098" i="11"/>
  <c r="AD4094" i="11"/>
  <c r="AC4094" i="11"/>
  <c r="AD4090" i="11"/>
  <c r="AC4090" i="11"/>
  <c r="AD4086" i="11"/>
  <c r="AC4086" i="11"/>
  <c r="AD4082" i="11"/>
  <c r="AC4082" i="11"/>
  <c r="AD4078" i="11"/>
  <c r="AC4078" i="11"/>
  <c r="AD4074" i="11"/>
  <c r="AC4074" i="11"/>
  <c r="AD4070" i="11"/>
  <c r="AC4070" i="11"/>
  <c r="AD4066" i="11"/>
  <c r="AC4066" i="11"/>
  <c r="AD4062" i="11"/>
  <c r="AC4062" i="11"/>
  <c r="AD4058" i="11"/>
  <c r="AC4058" i="11"/>
  <c r="AD4054" i="11"/>
  <c r="AC4054" i="11"/>
  <c r="AD4050" i="11"/>
  <c r="AC4050" i="11"/>
  <c r="AD4046" i="11"/>
  <c r="AC4046" i="11"/>
  <c r="AD4042" i="11"/>
  <c r="AC4042" i="11"/>
  <c r="AD4038" i="11"/>
  <c r="AC4038" i="11"/>
  <c r="AD4034" i="11"/>
  <c r="AC4034" i="11"/>
  <c r="AD4030" i="11"/>
  <c r="AC4030" i="11"/>
  <c r="AD4026" i="11"/>
  <c r="AC4026" i="11"/>
  <c r="AD4022" i="11"/>
  <c r="AC4022" i="11"/>
  <c r="AD4018" i="11"/>
  <c r="AC4018" i="11"/>
  <c r="AD4014" i="11"/>
  <c r="AC4014" i="11"/>
  <c r="AD4010" i="11"/>
  <c r="AC4010" i="11"/>
  <c r="AD4006" i="11"/>
  <c r="AC4006" i="11"/>
  <c r="AD4002" i="11"/>
  <c r="AC4002" i="11"/>
  <c r="AD3998" i="11"/>
  <c r="AC3998" i="11"/>
  <c r="AD3994" i="11"/>
  <c r="AC3994" i="11"/>
  <c r="AD3990" i="11"/>
  <c r="AC3990" i="11"/>
  <c r="AD3986" i="11"/>
  <c r="AC3986" i="11"/>
  <c r="AD3982" i="11"/>
  <c r="AC3982" i="11"/>
  <c r="AD3978" i="11"/>
  <c r="AC3978" i="11"/>
  <c r="AD3974" i="11"/>
  <c r="AC3974" i="11"/>
  <c r="AD3970" i="11"/>
  <c r="AC3970" i="11"/>
  <c r="AD3966" i="11"/>
  <c r="AC3966" i="11"/>
  <c r="AD3962" i="11"/>
  <c r="AC3962" i="11"/>
  <c r="AD3958" i="11"/>
  <c r="AC3958" i="11"/>
  <c r="AD3954" i="11"/>
  <c r="AC3954" i="11"/>
  <c r="AD3950" i="11"/>
  <c r="AC3950" i="11"/>
  <c r="AD3946" i="11"/>
  <c r="AC3946" i="11"/>
  <c r="AD3942" i="11"/>
  <c r="AC3942" i="11"/>
  <c r="AD3938" i="11"/>
  <c r="AC3938" i="11"/>
  <c r="AD3934" i="11"/>
  <c r="AC3934" i="11"/>
  <c r="AD3930" i="11"/>
  <c r="AC3930" i="11"/>
  <c r="AD3926" i="11"/>
  <c r="AC3926" i="11"/>
  <c r="AD3922" i="11"/>
  <c r="AC3922" i="11"/>
  <c r="AD3918" i="11"/>
  <c r="AC3918" i="11"/>
  <c r="AD3914" i="11"/>
  <c r="AC3914" i="11"/>
  <c r="AD3910" i="11"/>
  <c r="AC3910" i="11"/>
  <c r="AD3906" i="11"/>
  <c r="AC3906" i="11"/>
  <c r="AD3902" i="11"/>
  <c r="AC3902" i="11"/>
  <c r="AD3898" i="11"/>
  <c r="AC3898" i="11"/>
  <c r="AD3894" i="11"/>
  <c r="AC3894" i="11"/>
  <c r="AD3890" i="11"/>
  <c r="AC3890" i="11"/>
  <c r="AD3886" i="11"/>
  <c r="AC3886" i="11"/>
  <c r="AD3882" i="11"/>
  <c r="AC3882" i="11"/>
  <c r="AD3878" i="11"/>
  <c r="AC3878" i="11"/>
  <c r="AD3874" i="11"/>
  <c r="AC3874" i="11"/>
  <c r="AD3870" i="11"/>
  <c r="AC3870" i="11"/>
  <c r="AD3866" i="11"/>
  <c r="AC3866" i="11"/>
  <c r="AD3862" i="11"/>
  <c r="AC3862" i="11"/>
  <c r="AD3858" i="11"/>
  <c r="AC3858" i="11"/>
  <c r="AD3854" i="11"/>
  <c r="AC3854" i="11"/>
  <c r="AD3850" i="11"/>
  <c r="AC3850" i="11"/>
  <c r="AD3846" i="11"/>
  <c r="AC3846" i="11"/>
  <c r="AD3842" i="11"/>
  <c r="AC3842" i="11"/>
  <c r="AD3838" i="11"/>
  <c r="AC3838" i="11"/>
  <c r="AD3834" i="11"/>
  <c r="AC3834" i="11"/>
  <c r="AD3830" i="11"/>
  <c r="AC3830" i="11"/>
  <c r="AD3826" i="11"/>
  <c r="AC3826" i="11"/>
  <c r="AD3822" i="11"/>
  <c r="AC3822" i="11"/>
  <c r="AD3818" i="11"/>
  <c r="AC3818" i="11"/>
  <c r="AD3814" i="11"/>
  <c r="AC3814" i="11"/>
  <c r="AD3810" i="11"/>
  <c r="AC3810" i="11"/>
  <c r="AD3806" i="11"/>
  <c r="AC3806" i="11"/>
  <c r="AD3802" i="11"/>
  <c r="AC3802" i="11"/>
  <c r="AD3798" i="11"/>
  <c r="AC3798" i="11"/>
  <c r="AD3794" i="11"/>
  <c r="AC3794" i="11"/>
  <c r="AD3790" i="11"/>
  <c r="AC3790" i="11"/>
  <c r="AD3786" i="11"/>
  <c r="AC3786" i="11"/>
  <c r="AD3782" i="11"/>
  <c r="AC3782" i="11"/>
  <c r="AD3778" i="11"/>
  <c r="AC3778" i="11"/>
  <c r="AD3774" i="11"/>
  <c r="AC3774" i="11"/>
  <c r="AD3770" i="11"/>
  <c r="AC3770" i="11"/>
  <c r="AD3766" i="11"/>
  <c r="AC3766" i="11"/>
  <c r="AD3762" i="11"/>
  <c r="AC3762" i="11"/>
  <c r="AD3758" i="11"/>
  <c r="AC3758" i="11"/>
  <c r="AD3754" i="11"/>
  <c r="AC3754" i="11"/>
  <c r="AD3750" i="11"/>
  <c r="AC3750" i="11"/>
  <c r="AD3746" i="11"/>
  <c r="AC3746" i="11"/>
  <c r="AD3742" i="11"/>
  <c r="AC3742" i="11"/>
  <c r="AD3738" i="11"/>
  <c r="AC3738" i="11"/>
  <c r="AD3734" i="11"/>
  <c r="AC3734" i="11"/>
  <c r="AD3730" i="11"/>
  <c r="AC3730" i="11"/>
  <c r="AD3726" i="11"/>
  <c r="AC3726" i="11"/>
  <c r="AD3722" i="11"/>
  <c r="AC3722" i="11"/>
  <c r="AD3718" i="11"/>
  <c r="AC3718" i="11"/>
  <c r="AD3714" i="11"/>
  <c r="AC3714" i="11"/>
  <c r="AD3710" i="11"/>
  <c r="AC3710" i="11"/>
  <c r="AD3706" i="11"/>
  <c r="AC3706" i="11"/>
  <c r="AD3702" i="11"/>
  <c r="AC3702" i="11"/>
  <c r="AD3698" i="11"/>
  <c r="AC3698" i="11"/>
  <c r="AD3694" i="11"/>
  <c r="AC3694" i="11"/>
  <c r="AD3690" i="11"/>
  <c r="AC3690" i="11"/>
  <c r="AD3686" i="11"/>
  <c r="AC3686" i="11"/>
  <c r="AD3682" i="11"/>
  <c r="AC3682" i="11"/>
  <c r="AD3678" i="11"/>
  <c r="AC3678" i="11"/>
  <c r="AD3674" i="11"/>
  <c r="AC3674" i="11"/>
  <c r="AD3670" i="11"/>
  <c r="AC3670" i="11"/>
  <c r="AD3666" i="11"/>
  <c r="AC3666" i="11"/>
  <c r="AD3662" i="11"/>
  <c r="AC3662" i="11"/>
  <c r="AD3658" i="11"/>
  <c r="AC3658" i="11"/>
  <c r="AD3654" i="11"/>
  <c r="AC3654" i="11"/>
  <c r="AD3650" i="11"/>
  <c r="AC3650" i="11"/>
  <c r="AD3646" i="11"/>
  <c r="AC3646" i="11"/>
  <c r="AD3642" i="11"/>
  <c r="AC3642" i="11"/>
  <c r="AD3638" i="11"/>
  <c r="AC3638" i="11"/>
  <c r="AD3634" i="11"/>
  <c r="AC3634" i="11"/>
  <c r="AD3630" i="11"/>
  <c r="AC3630" i="11"/>
  <c r="AD3626" i="11"/>
  <c r="AC3626" i="11"/>
  <c r="AD3622" i="11"/>
  <c r="AC3622" i="11"/>
  <c r="AD3618" i="11"/>
  <c r="AC3618" i="11"/>
  <c r="AD3614" i="11"/>
  <c r="AC3614" i="11"/>
  <c r="AD3610" i="11"/>
  <c r="AC3610" i="11"/>
  <c r="AD3606" i="11"/>
  <c r="AC3606" i="11"/>
  <c r="AD3602" i="11"/>
  <c r="AC3602" i="11"/>
  <c r="AD3598" i="11"/>
  <c r="AC3598" i="11"/>
  <c r="AD3594" i="11"/>
  <c r="AC3594" i="11"/>
  <c r="AD3590" i="11"/>
  <c r="AC3590" i="11"/>
  <c r="AD3586" i="11"/>
  <c r="AC3586" i="11"/>
  <c r="AD3582" i="11"/>
  <c r="AC3582" i="11"/>
  <c r="AD3578" i="11"/>
  <c r="AC3578" i="11"/>
  <c r="AD3574" i="11"/>
  <c r="AC3574" i="11"/>
  <c r="AD3570" i="11"/>
  <c r="AC3570" i="11"/>
  <c r="AD3566" i="11"/>
  <c r="AC3566" i="11"/>
  <c r="AD3562" i="11"/>
  <c r="AC3562" i="11"/>
  <c r="AD3558" i="11"/>
  <c r="AC3558" i="11"/>
  <c r="AD3554" i="11"/>
  <c r="AC3554" i="11"/>
  <c r="AD3550" i="11"/>
  <c r="AC3550" i="11"/>
  <c r="AD3546" i="11"/>
  <c r="AC3546" i="11"/>
  <c r="AD3542" i="11"/>
  <c r="AC3542" i="11"/>
  <c r="AD3538" i="11"/>
  <c r="AC3538" i="11"/>
  <c r="AD3534" i="11"/>
  <c r="AC3534" i="11"/>
  <c r="AD3530" i="11"/>
  <c r="AC3530" i="11"/>
  <c r="AD3526" i="11"/>
  <c r="AC3526" i="11"/>
  <c r="AD3522" i="11"/>
  <c r="AC3522" i="11"/>
  <c r="AD3518" i="11"/>
  <c r="AC3518" i="11"/>
  <c r="AD3514" i="11"/>
  <c r="AC3514" i="11"/>
  <c r="AD3510" i="11"/>
  <c r="AC3510" i="11"/>
  <c r="AD3506" i="11"/>
  <c r="AC3506" i="11"/>
  <c r="AD3502" i="11"/>
  <c r="AC3502" i="11"/>
  <c r="AD3498" i="11"/>
  <c r="AC3498" i="11"/>
  <c r="AD3494" i="11"/>
  <c r="AC3494" i="11"/>
  <c r="AD3490" i="11"/>
  <c r="AC3490" i="11"/>
  <c r="AD3486" i="11"/>
  <c r="AC3486" i="11"/>
  <c r="AD3482" i="11"/>
  <c r="AC3482" i="11"/>
  <c r="AD3478" i="11"/>
  <c r="AC3478" i="11"/>
  <c r="AD3474" i="11"/>
  <c r="AC3474" i="11"/>
  <c r="AD3470" i="11"/>
  <c r="AC3470" i="11"/>
  <c r="AD3466" i="11"/>
  <c r="AC3466" i="11"/>
  <c r="AD3462" i="11"/>
  <c r="AC3462" i="11"/>
  <c r="AD3458" i="11"/>
  <c r="AC3458" i="11"/>
  <c r="AD3454" i="11"/>
  <c r="AC3454" i="11"/>
  <c r="AD3450" i="11"/>
  <c r="AC3450" i="11"/>
  <c r="AD3446" i="11"/>
  <c r="AC3446" i="11"/>
  <c r="AD3442" i="11"/>
  <c r="AC3442" i="11"/>
  <c r="AD3438" i="11"/>
  <c r="AC3438" i="11"/>
  <c r="AD3434" i="11"/>
  <c r="AC3434" i="11"/>
  <c r="AD3430" i="11"/>
  <c r="AC3430" i="11"/>
  <c r="AD3426" i="11"/>
  <c r="AC3426" i="11"/>
  <c r="AD3422" i="11"/>
  <c r="AC3422" i="11"/>
  <c r="AD3418" i="11"/>
  <c r="AC3418" i="11"/>
  <c r="AD3414" i="11"/>
  <c r="AC3414" i="11"/>
  <c r="AD3410" i="11"/>
  <c r="AC3410" i="11"/>
  <c r="AD3406" i="11"/>
  <c r="AC3406" i="11"/>
  <c r="AD3402" i="11"/>
  <c r="AC3402" i="11"/>
  <c r="AD3398" i="11"/>
  <c r="AC3398" i="11"/>
  <c r="AD3394" i="11"/>
  <c r="AC3394" i="11"/>
  <c r="AD3390" i="11"/>
  <c r="AC3390" i="11"/>
  <c r="AD3386" i="11"/>
  <c r="AC3386" i="11"/>
  <c r="AD3382" i="11"/>
  <c r="AC3382" i="11"/>
  <c r="AD3378" i="11"/>
  <c r="AC3378" i="11"/>
  <c r="AD3374" i="11"/>
  <c r="AC3374" i="11"/>
  <c r="AD3370" i="11"/>
  <c r="AC3370" i="11"/>
  <c r="AD3366" i="11"/>
  <c r="AC3366" i="11"/>
  <c r="AD3362" i="11"/>
  <c r="AC3362" i="11"/>
  <c r="AD3358" i="11"/>
  <c r="AC3358" i="11"/>
  <c r="AD3354" i="11"/>
  <c r="AC3354" i="11"/>
  <c r="AD3350" i="11"/>
  <c r="AC3350" i="11"/>
  <c r="AD3346" i="11"/>
  <c r="AC3346" i="11"/>
  <c r="AD3342" i="11"/>
  <c r="AC3342" i="11"/>
  <c r="AD3338" i="11"/>
  <c r="AC3338" i="11"/>
  <c r="AD3334" i="11"/>
  <c r="AC3334" i="11"/>
  <c r="AD3330" i="11"/>
  <c r="AC3330" i="11"/>
  <c r="AD3326" i="11"/>
  <c r="AC3326" i="11"/>
  <c r="AD3322" i="11"/>
  <c r="AC3322" i="11"/>
  <c r="AD3318" i="11"/>
  <c r="AC3318" i="11"/>
  <c r="AD3314" i="11"/>
  <c r="AC3314" i="11"/>
  <c r="AD3310" i="11"/>
  <c r="AC3310" i="11"/>
  <c r="AD3306" i="11"/>
  <c r="AC3306" i="11"/>
  <c r="AD3302" i="11"/>
  <c r="AC3302" i="11"/>
  <c r="AD3298" i="11"/>
  <c r="AC3298" i="11"/>
  <c r="AD3294" i="11"/>
  <c r="AC3294" i="11"/>
  <c r="AD3290" i="11"/>
  <c r="AC3290" i="11"/>
  <c r="AD3286" i="11"/>
  <c r="AC3286" i="11"/>
  <c r="AD3282" i="11"/>
  <c r="AC3282" i="11"/>
  <c r="AD3278" i="11"/>
  <c r="AC3278" i="11"/>
  <c r="AD3274" i="11"/>
  <c r="AC3274" i="11"/>
  <c r="AD3270" i="11"/>
  <c r="AC3270" i="11"/>
  <c r="AD3266" i="11"/>
  <c r="AC3266" i="11"/>
  <c r="AD3262" i="11"/>
  <c r="AC3262" i="11"/>
  <c r="AD3258" i="11"/>
  <c r="AC3258" i="11"/>
  <c r="AD3254" i="11"/>
  <c r="AC3254" i="11"/>
  <c r="AD3250" i="11"/>
  <c r="AC3250" i="11"/>
  <c r="AD3246" i="11"/>
  <c r="AC3246" i="11"/>
  <c r="AD3242" i="11"/>
  <c r="AC3242" i="11"/>
  <c r="AD3238" i="11"/>
  <c r="AC3238" i="11"/>
  <c r="AD3234" i="11"/>
  <c r="AC3234" i="11"/>
  <c r="AD3230" i="11"/>
  <c r="AC3230" i="11"/>
  <c r="AD3226" i="11"/>
  <c r="AC3226" i="11"/>
  <c r="AD3222" i="11"/>
  <c r="AC3222" i="11"/>
  <c r="AD3218" i="11"/>
  <c r="AC3218" i="11"/>
  <c r="AD3214" i="11"/>
  <c r="AC3214" i="11"/>
  <c r="AD3210" i="11"/>
  <c r="AC3210" i="11"/>
  <c r="AD3206" i="11"/>
  <c r="AC3206" i="11"/>
  <c r="AD3202" i="11"/>
  <c r="AC3202" i="11"/>
  <c r="AD3198" i="11"/>
  <c r="AC3198" i="11"/>
  <c r="AD3194" i="11"/>
  <c r="AC3194" i="11"/>
  <c r="AD3190" i="11"/>
  <c r="AC3190" i="11"/>
  <c r="AD3186" i="11"/>
  <c r="AC3186" i="11"/>
  <c r="AD3182" i="11"/>
  <c r="AC3182" i="11"/>
  <c r="AD3178" i="11"/>
  <c r="AC3178" i="11"/>
  <c r="AD3174" i="11"/>
  <c r="AC3174" i="11"/>
  <c r="AD3170" i="11"/>
  <c r="AC3170" i="11"/>
  <c r="AD3166" i="11"/>
  <c r="AC3166" i="11"/>
  <c r="AD3162" i="11"/>
  <c r="AC3162" i="11"/>
  <c r="AD3158" i="11"/>
  <c r="AC3158" i="11"/>
  <c r="AD3154" i="11"/>
  <c r="AC3154" i="11"/>
  <c r="AD3150" i="11"/>
  <c r="AC3150" i="11"/>
  <c r="AD3146" i="11"/>
  <c r="AC3146" i="11"/>
  <c r="AD3142" i="11"/>
  <c r="AC3142" i="11"/>
  <c r="AD3138" i="11"/>
  <c r="AC3138" i="11"/>
  <c r="AD3134" i="11"/>
  <c r="AC3134" i="11"/>
  <c r="AD3130" i="11"/>
  <c r="AC3130" i="11"/>
  <c r="AD3126" i="11"/>
  <c r="AC3126" i="11"/>
  <c r="AD3122" i="11"/>
  <c r="AC3122" i="11"/>
  <c r="AD3118" i="11"/>
  <c r="AC3118" i="11"/>
  <c r="AD3114" i="11"/>
  <c r="AC3114" i="11"/>
  <c r="AD3110" i="11"/>
  <c r="AC3110" i="11"/>
  <c r="AD3106" i="11"/>
  <c r="AC3106" i="11"/>
  <c r="AD3102" i="11"/>
  <c r="AC3102" i="11"/>
  <c r="AD3098" i="11"/>
  <c r="AC3098" i="11"/>
  <c r="AD3094" i="11"/>
  <c r="AC3094" i="11"/>
  <c r="AD3090" i="11"/>
  <c r="AC3090" i="11"/>
  <c r="AD3086" i="11"/>
  <c r="AC3086" i="11"/>
  <c r="AD3082" i="11"/>
  <c r="AC3082" i="11"/>
  <c r="AD3078" i="11"/>
  <c r="AC3078" i="11"/>
  <c r="AD3074" i="11"/>
  <c r="AC3074" i="11"/>
  <c r="AD3070" i="11"/>
  <c r="AC3070" i="11"/>
  <c r="AD3066" i="11"/>
  <c r="AC3066" i="11"/>
  <c r="AD3062" i="11"/>
  <c r="AC3062" i="11"/>
  <c r="AD3058" i="11"/>
  <c r="AC3058" i="11"/>
  <c r="AD3054" i="11"/>
  <c r="AC3054" i="11"/>
  <c r="AD3050" i="11"/>
  <c r="AC3050" i="11"/>
  <c r="AD3046" i="11"/>
  <c r="AC3046" i="11"/>
  <c r="AD3042" i="11"/>
  <c r="AC3042" i="11"/>
  <c r="AD3038" i="11"/>
  <c r="AC3038" i="11"/>
  <c r="AD3034" i="11"/>
  <c r="AC3034" i="11"/>
  <c r="AD3030" i="11"/>
  <c r="AC3030" i="11"/>
  <c r="AD3026" i="11"/>
  <c r="AC3026" i="11"/>
  <c r="AD3022" i="11"/>
  <c r="AC3022" i="11"/>
  <c r="AD3018" i="11"/>
  <c r="AC3018" i="11"/>
  <c r="AD3014" i="11"/>
  <c r="AC3014" i="11"/>
  <c r="AD3010" i="11"/>
  <c r="AC3010" i="11"/>
  <c r="AD3006" i="11"/>
  <c r="AC3006" i="11"/>
  <c r="AD3002" i="11"/>
  <c r="AC3002" i="11"/>
  <c r="AD2998" i="11"/>
  <c r="AC2998" i="11"/>
  <c r="AD2994" i="11"/>
  <c r="AC2994" i="11"/>
  <c r="AD2990" i="11"/>
  <c r="AC2990" i="11"/>
  <c r="AD2986" i="11"/>
  <c r="AC2986" i="11"/>
  <c r="AD2982" i="11"/>
  <c r="AC2982" i="11"/>
  <c r="AD2978" i="11"/>
  <c r="AC2978" i="11"/>
  <c r="AD2974" i="11"/>
  <c r="AC2974" i="11"/>
  <c r="AD2970" i="11"/>
  <c r="AC2970" i="11"/>
  <c r="AD2966" i="11"/>
  <c r="AC2966" i="11"/>
  <c r="AD2962" i="11"/>
  <c r="AC2962" i="11"/>
  <c r="AD2958" i="11"/>
  <c r="AC2958" i="11"/>
  <c r="AD2954" i="11"/>
  <c r="AC2954" i="11"/>
  <c r="AD2950" i="11"/>
  <c r="AC2950" i="11"/>
  <c r="AD2946" i="11"/>
  <c r="AC2946" i="11"/>
  <c r="AD2942" i="11"/>
  <c r="AC2942" i="11"/>
  <c r="AD2938" i="11"/>
  <c r="AC2938" i="11"/>
  <c r="AD2934" i="11"/>
  <c r="AC2934" i="11"/>
  <c r="AD2930" i="11"/>
  <c r="AC2930" i="11"/>
  <c r="AD2926" i="11"/>
  <c r="AC2926" i="11"/>
  <c r="AD2922" i="11"/>
  <c r="AC2922" i="11"/>
  <c r="AD2918" i="11"/>
  <c r="AC2918" i="11"/>
  <c r="AD2914" i="11"/>
  <c r="AC2914" i="11"/>
  <c r="AD2910" i="11"/>
  <c r="AC2910" i="11"/>
  <c r="AD2906" i="11"/>
  <c r="AC2906" i="11"/>
  <c r="AD2902" i="11"/>
  <c r="AC2902" i="11"/>
  <c r="AD2898" i="11"/>
  <c r="AC2898" i="11"/>
  <c r="AD2894" i="11"/>
  <c r="AC2894" i="11"/>
  <c r="AD2890" i="11"/>
  <c r="AC2890" i="11"/>
  <c r="AD2886" i="11"/>
  <c r="AC2886" i="11"/>
  <c r="AD2882" i="11"/>
  <c r="AC2882" i="11"/>
  <c r="AD2878" i="11"/>
  <c r="AC2878" i="11"/>
  <c r="AD2874" i="11"/>
  <c r="AC2874" i="11"/>
  <c r="AD2870" i="11"/>
  <c r="AC2870" i="11"/>
  <c r="AD2866" i="11"/>
  <c r="AC2866" i="11"/>
  <c r="AD2862" i="11"/>
  <c r="AC2862" i="11"/>
  <c r="AD2858" i="11"/>
  <c r="AC2858" i="11"/>
  <c r="AD2854" i="11"/>
  <c r="AC2854" i="11"/>
  <c r="AD2850" i="11"/>
  <c r="AC2850" i="11"/>
  <c r="AD2846" i="11"/>
  <c r="AC2846" i="11"/>
  <c r="AD2842" i="11"/>
  <c r="AC2842" i="11"/>
  <c r="AD2838" i="11"/>
  <c r="AC2838" i="11"/>
  <c r="AD2834" i="11"/>
  <c r="AC2834" i="11"/>
  <c r="AD2830" i="11"/>
  <c r="AC2830" i="11"/>
  <c r="AD2826" i="11"/>
  <c r="AC2826" i="11"/>
  <c r="AD2822" i="11"/>
  <c r="AC2822" i="11"/>
  <c r="AD2818" i="11"/>
  <c r="AC2818" i="11"/>
  <c r="AD2814" i="11"/>
  <c r="AC2814" i="11"/>
  <c r="AD2810" i="11"/>
  <c r="AC2810" i="11"/>
  <c r="AD2806" i="11"/>
  <c r="AC2806" i="11"/>
  <c r="AD2802" i="11"/>
  <c r="AC2802" i="11"/>
  <c r="AD2798" i="11"/>
  <c r="AC2798" i="11"/>
  <c r="AD2794" i="11"/>
  <c r="AC2794" i="11"/>
  <c r="AD2790" i="11"/>
  <c r="AC2790" i="11"/>
  <c r="AD2786" i="11"/>
  <c r="AC2786" i="11"/>
  <c r="AD2782" i="11"/>
  <c r="AC2782" i="11"/>
  <c r="AD2778" i="11"/>
  <c r="AC2778" i="11"/>
  <c r="AD2774" i="11"/>
  <c r="AC2774" i="11"/>
  <c r="AD2770" i="11"/>
  <c r="AC2770" i="11"/>
  <c r="AD2766" i="11"/>
  <c r="AC2766" i="11"/>
  <c r="AD2762" i="11"/>
  <c r="AC2762" i="11"/>
  <c r="AD2758" i="11"/>
  <c r="AC2758" i="11"/>
  <c r="AD2754" i="11"/>
  <c r="AC2754" i="11"/>
  <c r="AD2750" i="11"/>
  <c r="AC2750" i="11"/>
  <c r="AD2746" i="11"/>
  <c r="AC2746" i="11"/>
  <c r="AD2742" i="11"/>
  <c r="AC2742" i="11"/>
  <c r="AD2738" i="11"/>
  <c r="AC2738" i="11"/>
  <c r="AD2734" i="11"/>
  <c r="AC2734" i="11"/>
  <c r="AD2730" i="11"/>
  <c r="AC2730" i="11"/>
  <c r="AD2726" i="11"/>
  <c r="AC2726" i="11"/>
  <c r="AD2722" i="11"/>
  <c r="AC2722" i="11"/>
  <c r="AD2718" i="11"/>
  <c r="AC2718" i="11"/>
  <c r="AD2714" i="11"/>
  <c r="AC2714" i="11"/>
  <c r="AD2710" i="11"/>
  <c r="AC2710" i="11"/>
  <c r="AD2706" i="11"/>
  <c r="AC2706" i="11"/>
  <c r="AD2702" i="11"/>
  <c r="AC2702" i="11"/>
  <c r="AD2698" i="11"/>
  <c r="AC2698" i="11"/>
  <c r="AD2694" i="11"/>
  <c r="AC2694" i="11"/>
  <c r="AD2690" i="11"/>
  <c r="AC2690" i="11"/>
  <c r="AD2686" i="11"/>
  <c r="AC2686" i="11"/>
  <c r="AD2682" i="11"/>
  <c r="AC2682" i="11"/>
  <c r="AD2678" i="11"/>
  <c r="AC2678" i="11"/>
  <c r="AD2674" i="11"/>
  <c r="AC2674" i="11"/>
  <c r="AD2670" i="11"/>
  <c r="AC2670" i="11"/>
  <c r="AD2666" i="11"/>
  <c r="AC2666" i="11"/>
  <c r="AD2662" i="11"/>
  <c r="AC2662" i="11"/>
  <c r="AD2658" i="11"/>
  <c r="AC2658" i="11"/>
  <c r="AD4561" i="11"/>
  <c r="AC4561" i="11"/>
  <c r="AD4557" i="11"/>
  <c r="AC4557" i="11"/>
  <c r="AD4553" i="11"/>
  <c r="AC4553" i="11"/>
  <c r="AD4549" i="11"/>
  <c r="AC4549" i="11"/>
  <c r="AD4545" i="11"/>
  <c r="AC4545" i="11"/>
  <c r="AD4541" i="11"/>
  <c r="AC4541" i="11"/>
  <c r="AD4537" i="11"/>
  <c r="AC4537" i="11"/>
  <c r="AD4533" i="11"/>
  <c r="AC4533" i="11"/>
  <c r="AD4529" i="11"/>
  <c r="AC4529" i="11"/>
  <c r="AD4525" i="11"/>
  <c r="AC4525" i="11"/>
  <c r="AD4521" i="11"/>
  <c r="AC4521" i="11"/>
  <c r="AD4517" i="11"/>
  <c r="AC4517" i="11"/>
  <c r="AD4513" i="11"/>
  <c r="AC4513" i="11"/>
  <c r="AD4509" i="11"/>
  <c r="AC4509" i="11"/>
  <c r="AD4505" i="11"/>
  <c r="AC4505" i="11"/>
  <c r="AD4501" i="11"/>
  <c r="AC4501" i="11"/>
  <c r="AD4497" i="11"/>
  <c r="AC4497" i="11"/>
  <c r="AD4493" i="11"/>
  <c r="AC4493" i="11"/>
  <c r="AD4489" i="11"/>
  <c r="AC4489" i="11"/>
  <c r="AD4485" i="11"/>
  <c r="AC4485" i="11"/>
  <c r="AD4481" i="11"/>
  <c r="AC4481" i="11"/>
  <c r="AD4477" i="11"/>
  <c r="AC4477" i="11"/>
  <c r="AD4473" i="11"/>
  <c r="AC4473" i="11"/>
  <c r="AD4469" i="11"/>
  <c r="AC4469" i="11"/>
  <c r="AD4465" i="11"/>
  <c r="AC4465" i="11"/>
  <c r="AD4461" i="11"/>
  <c r="AC4461" i="11"/>
  <c r="AD4457" i="11"/>
  <c r="AC4457" i="11"/>
  <c r="AD4453" i="11"/>
  <c r="AC4453" i="11"/>
  <c r="AD4449" i="11"/>
  <c r="AC4449" i="11"/>
  <c r="AD4445" i="11"/>
  <c r="AC4445" i="11"/>
  <c r="AD4441" i="11"/>
  <c r="AC4441" i="11"/>
  <c r="AD4437" i="11"/>
  <c r="AC4437" i="11"/>
  <c r="AD4433" i="11"/>
  <c r="AC4433" i="11"/>
  <c r="AD4429" i="11"/>
  <c r="AC4429" i="11"/>
  <c r="AD4425" i="11"/>
  <c r="AC4425" i="11"/>
  <c r="AD4421" i="11"/>
  <c r="AC4421" i="11"/>
  <c r="AD4417" i="11"/>
  <c r="AC4417" i="11"/>
  <c r="AD4413" i="11"/>
  <c r="AC4413" i="11"/>
  <c r="AD4409" i="11"/>
  <c r="AC4409" i="11"/>
  <c r="AD4405" i="11"/>
  <c r="AC4405" i="11"/>
  <c r="AD4401" i="11"/>
  <c r="AC4401" i="11"/>
  <c r="AD4397" i="11"/>
  <c r="AC4397" i="11"/>
  <c r="AD4393" i="11"/>
  <c r="AC4393" i="11"/>
  <c r="AD4389" i="11"/>
  <c r="AC4389" i="11"/>
  <c r="AD4385" i="11"/>
  <c r="AC4385" i="11"/>
  <c r="AD4381" i="11"/>
  <c r="AC4381" i="11"/>
  <c r="AD4377" i="11"/>
  <c r="AC4377" i="11"/>
  <c r="AD4373" i="11"/>
  <c r="AC4373" i="11"/>
  <c r="AD4369" i="11"/>
  <c r="AC4369" i="11"/>
  <c r="AD4365" i="11"/>
  <c r="AC4365" i="11"/>
  <c r="AD4361" i="11"/>
  <c r="AC4361" i="11"/>
  <c r="AD4357" i="11"/>
  <c r="AC4357" i="11"/>
  <c r="AD4353" i="11"/>
  <c r="AC4353" i="11"/>
  <c r="AD4349" i="11"/>
  <c r="AC4349" i="11"/>
  <c r="AD4345" i="11"/>
  <c r="AC4345" i="11"/>
  <c r="AD4341" i="11"/>
  <c r="AC4341" i="11"/>
  <c r="AD4337" i="11"/>
  <c r="AC4337" i="11"/>
  <c r="AD4333" i="11"/>
  <c r="AC4333" i="11"/>
  <c r="AD4329" i="11"/>
  <c r="AC4329" i="11"/>
  <c r="AD4325" i="11"/>
  <c r="AC4325" i="11"/>
  <c r="AD4321" i="11"/>
  <c r="AC4321" i="11"/>
  <c r="AD4317" i="11"/>
  <c r="AC4317" i="11"/>
  <c r="AD4313" i="11"/>
  <c r="AC4313" i="11"/>
  <c r="AD4309" i="11"/>
  <c r="AC4309" i="11"/>
  <c r="AD4305" i="11"/>
  <c r="AC4305" i="11"/>
  <c r="AD4301" i="11"/>
  <c r="AC4301" i="11"/>
  <c r="AD4297" i="11"/>
  <c r="AC4297" i="11"/>
  <c r="AD4293" i="11"/>
  <c r="AC4293" i="11"/>
  <c r="AD4289" i="11"/>
  <c r="AC4289" i="11"/>
  <c r="AD4285" i="11"/>
  <c r="AC4285" i="11"/>
  <c r="AD4281" i="11"/>
  <c r="AC4281" i="11"/>
  <c r="AD4277" i="11"/>
  <c r="AC4277" i="11"/>
  <c r="AD4273" i="11"/>
  <c r="AC4273" i="11"/>
  <c r="AD4269" i="11"/>
  <c r="AC4269" i="11"/>
  <c r="AD4265" i="11"/>
  <c r="AC4265" i="11"/>
  <c r="AD4261" i="11"/>
  <c r="AC4261" i="11"/>
  <c r="AD4257" i="11"/>
  <c r="AC4257" i="11"/>
  <c r="AD4253" i="11"/>
  <c r="AC4253" i="11"/>
  <c r="AD4249" i="11"/>
  <c r="AC4249" i="11"/>
  <c r="AD4245" i="11"/>
  <c r="AC4245" i="11"/>
  <c r="AD4241" i="11"/>
  <c r="AC4241" i="11"/>
  <c r="AD4237" i="11"/>
  <c r="AC4237" i="11"/>
  <c r="AD4233" i="11"/>
  <c r="AC4233" i="11"/>
  <c r="AD4229" i="11"/>
  <c r="AC4229" i="11"/>
  <c r="AD4225" i="11"/>
  <c r="AC4225" i="11"/>
  <c r="AD4221" i="11"/>
  <c r="AC4221" i="11"/>
  <c r="AD4217" i="11"/>
  <c r="AC4217" i="11"/>
  <c r="AD4213" i="11"/>
  <c r="AC4213" i="11"/>
  <c r="AD4209" i="11"/>
  <c r="AC4209" i="11"/>
  <c r="AD4205" i="11"/>
  <c r="AC4205" i="11"/>
  <c r="AD4201" i="11"/>
  <c r="AC4201" i="11"/>
  <c r="AD4197" i="11"/>
  <c r="AC4197" i="11"/>
  <c r="AD4193" i="11"/>
  <c r="AC4193" i="11"/>
  <c r="AD4189" i="11"/>
  <c r="AC4189" i="11"/>
  <c r="AD4185" i="11"/>
  <c r="AC4185" i="11"/>
  <c r="AD4181" i="11"/>
  <c r="AC4181" i="11"/>
  <c r="AD4177" i="11"/>
  <c r="AC4177" i="11"/>
  <c r="AD4173" i="11"/>
  <c r="AC4173" i="11"/>
  <c r="AD4169" i="11"/>
  <c r="AC4169" i="11"/>
  <c r="AD4165" i="11"/>
  <c r="AC4165" i="11"/>
  <c r="AD4161" i="11"/>
  <c r="AC4161" i="11"/>
  <c r="AD4157" i="11"/>
  <c r="AC4157" i="11"/>
  <c r="AD4153" i="11"/>
  <c r="AC4153" i="11"/>
  <c r="AD4149" i="11"/>
  <c r="AC4149" i="11"/>
  <c r="AD4145" i="11"/>
  <c r="AC4145" i="11"/>
  <c r="AD4141" i="11"/>
  <c r="AC4141" i="11"/>
  <c r="AD4137" i="11"/>
  <c r="AC4137" i="11"/>
  <c r="AD4133" i="11"/>
  <c r="AC4133" i="11"/>
  <c r="AD4129" i="11"/>
  <c r="AC4129" i="11"/>
  <c r="AD4125" i="11"/>
  <c r="AC4125" i="11"/>
  <c r="AD4121" i="11"/>
  <c r="AC4121" i="11"/>
  <c r="AD4117" i="11"/>
  <c r="AC4117" i="11"/>
  <c r="AD4113" i="11"/>
  <c r="AC4113" i="11"/>
  <c r="AD4109" i="11"/>
  <c r="AC4109" i="11"/>
  <c r="AD4105" i="11"/>
  <c r="AC4105" i="11"/>
  <c r="AD4101" i="11"/>
  <c r="AC4101" i="11"/>
  <c r="AD4097" i="11"/>
  <c r="AC4097" i="11"/>
  <c r="AD4093" i="11"/>
  <c r="AC4093" i="11"/>
  <c r="AD4089" i="11"/>
  <c r="AC4089" i="11"/>
  <c r="AD4085" i="11"/>
  <c r="AC4085" i="11"/>
  <c r="AD4081" i="11"/>
  <c r="AC4081" i="11"/>
  <c r="AD4077" i="11"/>
  <c r="AC4077" i="11"/>
  <c r="AD4073" i="11"/>
  <c r="AC4073" i="11"/>
  <c r="AD4069" i="11"/>
  <c r="AC4069" i="11"/>
  <c r="AD4065" i="11"/>
  <c r="AC4065" i="11"/>
  <c r="AD4061" i="11"/>
  <c r="AC4061" i="11"/>
  <c r="AD4057" i="11"/>
  <c r="AC4057" i="11"/>
  <c r="AD4053" i="11"/>
  <c r="AC4053" i="11"/>
  <c r="AD4049" i="11"/>
  <c r="AC4049" i="11"/>
  <c r="AD4045" i="11"/>
  <c r="AC4045" i="11"/>
  <c r="AD4041" i="11"/>
  <c r="AC4041" i="11"/>
  <c r="AD4037" i="11"/>
  <c r="AC4037" i="11"/>
  <c r="AD4033" i="11"/>
  <c r="AC4033" i="11"/>
  <c r="AD4029" i="11"/>
  <c r="AC4029" i="11"/>
  <c r="AD4025" i="11"/>
  <c r="AC4025" i="11"/>
  <c r="AD4021" i="11"/>
  <c r="AC4021" i="11"/>
  <c r="AD4017" i="11"/>
  <c r="AC4017" i="11"/>
  <c r="AD4013" i="11"/>
  <c r="AC4013" i="11"/>
  <c r="AD4009" i="11"/>
  <c r="AC4009" i="11"/>
  <c r="AD4005" i="11"/>
  <c r="AC4005" i="11"/>
  <c r="AD4001" i="11"/>
  <c r="AC4001" i="11"/>
  <c r="AD3997" i="11"/>
  <c r="AC3997" i="11"/>
  <c r="AD3993" i="11"/>
  <c r="AC3993" i="11"/>
  <c r="AD3989" i="11"/>
  <c r="AC3989" i="11"/>
  <c r="AD3985" i="11"/>
  <c r="AC3985" i="11"/>
  <c r="AD3981" i="11"/>
  <c r="AC3981" i="11"/>
  <c r="AD3977" i="11"/>
  <c r="AC3977" i="11"/>
  <c r="AD3973" i="11"/>
  <c r="AC3973" i="11"/>
  <c r="AD3969" i="11"/>
  <c r="AC3969" i="11"/>
  <c r="AD3965" i="11"/>
  <c r="AC3965" i="11"/>
  <c r="AD3961" i="11"/>
  <c r="AC3961" i="11"/>
  <c r="AD3957" i="11"/>
  <c r="AC3957" i="11"/>
  <c r="AD3953" i="11"/>
  <c r="AC3953" i="11"/>
  <c r="AD3949" i="11"/>
  <c r="AC3949" i="11"/>
  <c r="AD3945" i="11"/>
  <c r="AC3945" i="11"/>
  <c r="AD3941" i="11"/>
  <c r="AC3941" i="11"/>
  <c r="AD3937" i="11"/>
  <c r="AC3937" i="11"/>
  <c r="AD3933" i="11"/>
  <c r="AC3933" i="11"/>
  <c r="AD3929" i="11"/>
  <c r="AC3929" i="11"/>
  <c r="AD3925" i="11"/>
  <c r="AC3925" i="11"/>
  <c r="AD3921" i="11"/>
  <c r="AC3921" i="11"/>
  <c r="AD3917" i="11"/>
  <c r="AC3917" i="11"/>
  <c r="AD3913" i="11"/>
  <c r="AC3913" i="11"/>
  <c r="AD3909" i="11"/>
  <c r="AC3909" i="11"/>
  <c r="AD3905" i="11"/>
  <c r="AC3905" i="11"/>
  <c r="AD3901" i="11"/>
  <c r="AC3901" i="11"/>
  <c r="AD3897" i="11"/>
  <c r="AC3897" i="11"/>
  <c r="AD3893" i="11"/>
  <c r="AC3893" i="11"/>
  <c r="AD3889" i="11"/>
  <c r="AC3889" i="11"/>
  <c r="AD3885" i="11"/>
  <c r="AC3885" i="11"/>
  <c r="AD3881" i="11"/>
  <c r="AC3881" i="11"/>
  <c r="AD3877" i="11"/>
  <c r="AC3877" i="11"/>
  <c r="AD3873" i="11"/>
  <c r="AC3873" i="11"/>
  <c r="AD3869" i="11"/>
  <c r="AC3869" i="11"/>
  <c r="AD3865" i="11"/>
  <c r="AC3865" i="11"/>
  <c r="AD3861" i="11"/>
  <c r="AC3861" i="11"/>
  <c r="AD3857" i="11"/>
  <c r="AC3857" i="11"/>
  <c r="AD3853" i="11"/>
  <c r="AC3853" i="11"/>
  <c r="AD3849" i="11"/>
  <c r="AC3849" i="11"/>
  <c r="AD3845" i="11"/>
  <c r="AC3845" i="11"/>
  <c r="AD3841" i="11"/>
  <c r="AC3841" i="11"/>
  <c r="AD3837" i="11"/>
  <c r="AC3837" i="11"/>
  <c r="AD3833" i="11"/>
  <c r="AC3833" i="11"/>
  <c r="AD3829" i="11"/>
  <c r="AC3829" i="11"/>
  <c r="AD3825" i="11"/>
  <c r="AC3825" i="11"/>
  <c r="AD3821" i="11"/>
  <c r="AC3821" i="11"/>
  <c r="AD3817" i="11"/>
  <c r="AC3817" i="11"/>
  <c r="AD3813" i="11"/>
  <c r="AC3813" i="11"/>
  <c r="AD3809" i="11"/>
  <c r="AC3809" i="11"/>
  <c r="AD3805" i="11"/>
  <c r="AC3805" i="11"/>
  <c r="AD3801" i="11"/>
  <c r="AC3801" i="11"/>
  <c r="AD3797" i="11"/>
  <c r="AC3797" i="11"/>
  <c r="AD3793" i="11"/>
  <c r="AC3793" i="11"/>
  <c r="AD3789" i="11"/>
  <c r="AC3789" i="11"/>
  <c r="AD3785" i="11"/>
  <c r="AC3785" i="11"/>
  <c r="AD3781" i="11"/>
  <c r="AC3781" i="11"/>
  <c r="AD3777" i="11"/>
  <c r="AC3777" i="11"/>
  <c r="AD3773" i="11"/>
  <c r="AC3773" i="11"/>
  <c r="AD3769" i="11"/>
  <c r="AC3769" i="11"/>
  <c r="AD3765" i="11"/>
  <c r="AC3765" i="11"/>
  <c r="AD3761" i="11"/>
  <c r="AC3761" i="11"/>
  <c r="AD3757" i="11"/>
  <c r="AC3757" i="11"/>
  <c r="AD3753" i="11"/>
  <c r="AC3753" i="11"/>
  <c r="AD3749" i="11"/>
  <c r="AC3749" i="11"/>
  <c r="AD3745" i="11"/>
  <c r="AC3745" i="11"/>
  <c r="AD3741" i="11"/>
  <c r="AC3741" i="11"/>
  <c r="AD3737" i="11"/>
  <c r="AC3737" i="11"/>
  <c r="AD3733" i="11"/>
  <c r="AC3733" i="11"/>
  <c r="AD3729" i="11"/>
  <c r="AC3729" i="11"/>
  <c r="AD3725" i="11"/>
  <c r="AC3725" i="11"/>
  <c r="AD3721" i="11"/>
  <c r="AC3721" i="11"/>
  <c r="AD3717" i="11"/>
  <c r="AC3717" i="11"/>
  <c r="AD3713" i="11"/>
  <c r="AC3713" i="11"/>
  <c r="AD3709" i="11"/>
  <c r="AC3709" i="11"/>
  <c r="AD3705" i="11"/>
  <c r="AC3705" i="11"/>
  <c r="AD3701" i="11"/>
  <c r="AC3701" i="11"/>
  <c r="AD3697" i="11"/>
  <c r="AC3697" i="11"/>
  <c r="AD3693" i="11"/>
  <c r="AC3693" i="11"/>
  <c r="AD3689" i="11"/>
  <c r="AC3689" i="11"/>
  <c r="AD3685" i="11"/>
  <c r="AC3685" i="11"/>
  <c r="AD3681" i="11"/>
  <c r="AC3681" i="11"/>
  <c r="AD3677" i="11"/>
  <c r="AC3677" i="11"/>
  <c r="AD3673" i="11"/>
  <c r="AC3673" i="11"/>
  <c r="AD3669" i="11"/>
  <c r="AC3669" i="11"/>
  <c r="AD3665" i="11"/>
  <c r="AC3665" i="11"/>
  <c r="AD3661" i="11"/>
  <c r="AC3661" i="11"/>
  <c r="AD3657" i="11"/>
  <c r="AC3657" i="11"/>
  <c r="AD3653" i="11"/>
  <c r="AC3653" i="11"/>
  <c r="AD3649" i="11"/>
  <c r="AC3649" i="11"/>
  <c r="AD3645" i="11"/>
  <c r="AC3645" i="11"/>
  <c r="AD3641" i="11"/>
  <c r="AC3641" i="11"/>
  <c r="AD3637" i="11"/>
  <c r="AC3637" i="11"/>
  <c r="AD3633" i="11"/>
  <c r="AC3633" i="11"/>
  <c r="AD3629" i="11"/>
  <c r="AC3629" i="11"/>
  <c r="AD3625" i="11"/>
  <c r="AC3625" i="11"/>
  <c r="AD3621" i="11"/>
  <c r="AC3621" i="11"/>
  <c r="AD3617" i="11"/>
  <c r="AC3617" i="11"/>
  <c r="AD3613" i="11"/>
  <c r="AC3613" i="11"/>
  <c r="AD3609" i="11"/>
  <c r="AC3609" i="11"/>
  <c r="AD3605" i="11"/>
  <c r="AC3605" i="11"/>
  <c r="AD3601" i="11"/>
  <c r="AC3601" i="11"/>
  <c r="AD3597" i="11"/>
  <c r="AC3597" i="11"/>
  <c r="AD3593" i="11"/>
  <c r="AC3593" i="11"/>
  <c r="AD3589" i="11"/>
  <c r="AC3589" i="11"/>
  <c r="AD3585" i="11"/>
  <c r="AC3585" i="11"/>
  <c r="AD3581" i="11"/>
  <c r="AC3581" i="11"/>
  <c r="AD3577" i="11"/>
  <c r="AC3577" i="11"/>
  <c r="AD3573" i="11"/>
  <c r="AC3573" i="11"/>
  <c r="AD3569" i="11"/>
  <c r="AC3569" i="11"/>
  <c r="AD3565" i="11"/>
  <c r="AC3565" i="11"/>
  <c r="AD3561" i="11"/>
  <c r="AC3561" i="11"/>
  <c r="AD3557" i="11"/>
  <c r="AC3557" i="11"/>
  <c r="AD3553" i="11"/>
  <c r="AC3553" i="11"/>
  <c r="AD3549" i="11"/>
  <c r="AC3549" i="11"/>
  <c r="AD3545" i="11"/>
  <c r="AC3545" i="11"/>
  <c r="AD3541" i="11"/>
  <c r="AC3541" i="11"/>
  <c r="AD3537" i="11"/>
  <c r="AC3537" i="11"/>
  <c r="AD3533" i="11"/>
  <c r="AC3533" i="11"/>
  <c r="AD3529" i="11"/>
  <c r="AC3529" i="11"/>
  <c r="AD3525" i="11"/>
  <c r="AC3525" i="11"/>
  <c r="AD3521" i="11"/>
  <c r="AC3521" i="11"/>
  <c r="AD3517" i="11"/>
  <c r="AC3517" i="11"/>
  <c r="AD3513" i="11"/>
  <c r="AC3513" i="11"/>
  <c r="AD3509" i="11"/>
  <c r="AC3509" i="11"/>
  <c r="AD3505" i="11"/>
  <c r="AC3505" i="11"/>
  <c r="AD3501" i="11"/>
  <c r="AC3501" i="11"/>
  <c r="AD3497" i="11"/>
  <c r="AC3497" i="11"/>
  <c r="AD3493" i="11"/>
  <c r="AC3493" i="11"/>
  <c r="AD3489" i="11"/>
  <c r="AC3489" i="11"/>
  <c r="AD3485" i="11"/>
  <c r="AC3485" i="11"/>
  <c r="AD3481" i="11"/>
  <c r="AC3481" i="11"/>
  <c r="AD3477" i="11"/>
  <c r="AC3477" i="11"/>
  <c r="AD3473" i="11"/>
  <c r="AC3473" i="11"/>
  <c r="AD3469" i="11"/>
  <c r="AC3469" i="11"/>
  <c r="AD3465" i="11"/>
  <c r="AC3465" i="11"/>
  <c r="AD3461" i="11"/>
  <c r="AC3461" i="11"/>
  <c r="AD3457" i="11"/>
  <c r="AC3457" i="11"/>
  <c r="AD3453" i="11"/>
  <c r="AC3453" i="11"/>
  <c r="AD3449" i="11"/>
  <c r="AC3449" i="11"/>
  <c r="AD3445" i="11"/>
  <c r="AC3445" i="11"/>
  <c r="AD3441" i="11"/>
  <c r="AC3441" i="11"/>
  <c r="AD3437" i="11"/>
  <c r="AC3437" i="11"/>
  <c r="AD3433" i="11"/>
  <c r="AC3433" i="11"/>
  <c r="AD3429" i="11"/>
  <c r="AC3429" i="11"/>
  <c r="AD3425" i="11"/>
  <c r="AC3425" i="11"/>
  <c r="AD3421" i="11"/>
  <c r="AC3421" i="11"/>
  <c r="AD3417" i="11"/>
  <c r="AC3417" i="11"/>
  <c r="AD3413" i="11"/>
  <c r="AC3413" i="11"/>
  <c r="AD3409" i="11"/>
  <c r="AC3409" i="11"/>
  <c r="AD3405" i="11"/>
  <c r="AC3405" i="11"/>
  <c r="AD3401" i="11"/>
  <c r="AC3401" i="11"/>
  <c r="AD3397" i="11"/>
  <c r="AC3397" i="11"/>
  <c r="AD3393" i="11"/>
  <c r="AC3393" i="11"/>
  <c r="AD3389" i="11"/>
  <c r="AC3389" i="11"/>
  <c r="AD3385" i="11"/>
  <c r="AC3385" i="11"/>
  <c r="AD3381" i="11"/>
  <c r="AC3381" i="11"/>
  <c r="AD3377" i="11"/>
  <c r="AC3377" i="11"/>
  <c r="AD3373" i="11"/>
  <c r="AC3373" i="11"/>
  <c r="AD3369" i="11"/>
  <c r="AC3369" i="11"/>
  <c r="AD3365" i="11"/>
  <c r="AC3365" i="11"/>
  <c r="AD3361" i="11"/>
  <c r="AC3361" i="11"/>
  <c r="AD3357" i="11"/>
  <c r="AC3357" i="11"/>
  <c r="AD3353" i="11"/>
  <c r="AC3353" i="11"/>
  <c r="AD3349" i="11"/>
  <c r="AC3349" i="11"/>
  <c r="AD3345" i="11"/>
  <c r="AC3345" i="11"/>
  <c r="AD3341" i="11"/>
  <c r="AC3341" i="11"/>
  <c r="AD3337" i="11"/>
  <c r="AC3337" i="11"/>
  <c r="AD3333" i="11"/>
  <c r="AC3333" i="11"/>
  <c r="AD3329" i="11"/>
  <c r="AC3329" i="11"/>
  <c r="AD3325" i="11"/>
  <c r="AC3325" i="11"/>
  <c r="AD3321" i="11"/>
  <c r="AC3321" i="11"/>
  <c r="AD3317" i="11"/>
  <c r="AC3317" i="11"/>
  <c r="AD3313" i="11"/>
  <c r="AC3313" i="11"/>
  <c r="AD3309" i="11"/>
  <c r="AC3309" i="11"/>
  <c r="AD3305" i="11"/>
  <c r="AC3305" i="11"/>
  <c r="AD3301" i="11"/>
  <c r="AC3301" i="11"/>
  <c r="AD3297" i="11"/>
  <c r="AC3297" i="11"/>
  <c r="AD3293" i="11"/>
  <c r="AC3293" i="11"/>
  <c r="AD3289" i="11"/>
  <c r="AC3289" i="11"/>
  <c r="AD3285" i="11"/>
  <c r="AC3285" i="11"/>
  <c r="AD3281" i="11"/>
  <c r="AC3281" i="11"/>
  <c r="AD3277" i="11"/>
  <c r="AC3277" i="11"/>
  <c r="AD3273" i="11"/>
  <c r="AC3273" i="11"/>
  <c r="AD3269" i="11"/>
  <c r="AC3269" i="11"/>
  <c r="AD3265" i="11"/>
  <c r="AC3265" i="11"/>
  <c r="AD3261" i="11"/>
  <c r="AC3261" i="11"/>
  <c r="AD3257" i="11"/>
  <c r="AC3257" i="11"/>
  <c r="AD3253" i="11"/>
  <c r="AC3253" i="11"/>
  <c r="AD3249" i="11"/>
  <c r="AC3249" i="11"/>
  <c r="AD3245" i="11"/>
  <c r="AC3245" i="11"/>
  <c r="AD3241" i="11"/>
  <c r="AC3241" i="11"/>
  <c r="AD3237" i="11"/>
  <c r="AC3237" i="11"/>
  <c r="AD3233" i="11"/>
  <c r="AC3233" i="11"/>
  <c r="AD3229" i="11"/>
  <c r="AC3229" i="11"/>
  <c r="AD3225" i="11"/>
  <c r="AC3225" i="11"/>
  <c r="AD3221" i="11"/>
  <c r="AC3221" i="11"/>
  <c r="AD3217" i="11"/>
  <c r="AC3217" i="11"/>
  <c r="AD3213" i="11"/>
  <c r="AC3213" i="11"/>
  <c r="AD3209" i="11"/>
  <c r="AC3209" i="11"/>
  <c r="AD3205" i="11"/>
  <c r="AC3205" i="11"/>
  <c r="AD3201" i="11"/>
  <c r="AC3201" i="11"/>
  <c r="AD3197" i="11"/>
  <c r="AC3197" i="11"/>
  <c r="AD3193" i="11"/>
  <c r="AC3193" i="11"/>
  <c r="AD3189" i="11"/>
  <c r="AC3189" i="11"/>
  <c r="AD3185" i="11"/>
  <c r="AC3185" i="11"/>
  <c r="AD3181" i="11"/>
  <c r="AC3181" i="11"/>
  <c r="AD3177" i="11"/>
  <c r="AC3177" i="11"/>
  <c r="AD3173" i="11"/>
  <c r="AC3173" i="11"/>
  <c r="AD3169" i="11"/>
  <c r="AC3169" i="11"/>
  <c r="AD3165" i="11"/>
  <c r="AC3165" i="11"/>
  <c r="AD3161" i="11"/>
  <c r="AC3161" i="11"/>
  <c r="AD3157" i="11"/>
  <c r="AC3157" i="11"/>
  <c r="AD3153" i="11"/>
  <c r="AC3153" i="11"/>
  <c r="AD3149" i="11"/>
  <c r="AC3149" i="11"/>
  <c r="AD3145" i="11"/>
  <c r="AC3145" i="11"/>
  <c r="AD3141" i="11"/>
  <c r="AC3141" i="11"/>
  <c r="AD3137" i="11"/>
  <c r="AC3137" i="11"/>
  <c r="AD3133" i="11"/>
  <c r="AC3133" i="11"/>
  <c r="AD3129" i="11"/>
  <c r="AC3129" i="11"/>
  <c r="AD3125" i="11"/>
  <c r="AC3125" i="11"/>
  <c r="AD3121" i="11"/>
  <c r="AC3121" i="11"/>
  <c r="AD3117" i="11"/>
  <c r="AC3117" i="11"/>
  <c r="AD3113" i="11"/>
  <c r="AC3113" i="11"/>
  <c r="AD3109" i="11"/>
  <c r="AC3109" i="11"/>
  <c r="AD3105" i="11"/>
  <c r="AC3105" i="11"/>
  <c r="AD3101" i="11"/>
  <c r="AC3101" i="11"/>
  <c r="AD3097" i="11"/>
  <c r="AC3097" i="11"/>
  <c r="AD3093" i="11"/>
  <c r="AC3093" i="11"/>
  <c r="AD3089" i="11"/>
  <c r="AC3089" i="11"/>
  <c r="AD3085" i="11"/>
  <c r="AC3085" i="11"/>
  <c r="AD3081" i="11"/>
  <c r="AC3081" i="11"/>
  <c r="AD3077" i="11"/>
  <c r="AC3077" i="11"/>
  <c r="AD3073" i="11"/>
  <c r="AC3073" i="11"/>
  <c r="AD3069" i="11"/>
  <c r="AC3069" i="11"/>
  <c r="AD3065" i="11"/>
  <c r="AC3065" i="11"/>
  <c r="AD3061" i="11"/>
  <c r="AC3061" i="11"/>
  <c r="AD3057" i="11"/>
  <c r="AC3057" i="11"/>
  <c r="AD3053" i="11"/>
  <c r="AC3053" i="11"/>
  <c r="AD3049" i="11"/>
  <c r="AC3049" i="11"/>
  <c r="AD3045" i="11"/>
  <c r="AC3045" i="11"/>
  <c r="AD3041" i="11"/>
  <c r="AC3041" i="11"/>
  <c r="AD3037" i="11"/>
  <c r="AC3037" i="11"/>
  <c r="AD3033" i="11"/>
  <c r="AC3033" i="11"/>
  <c r="AD3029" i="11"/>
  <c r="AC3029" i="11"/>
  <c r="AD3025" i="11"/>
  <c r="AC3025" i="11"/>
  <c r="AD3021" i="11"/>
  <c r="AC3021" i="11"/>
  <c r="AD3017" i="11"/>
  <c r="AC3017" i="11"/>
  <c r="AD3013" i="11"/>
  <c r="AC3013" i="11"/>
  <c r="AD3009" i="11"/>
  <c r="AC3009" i="11"/>
  <c r="AD3005" i="11"/>
  <c r="AC3005" i="11"/>
  <c r="AD3001" i="11"/>
  <c r="AC3001" i="11"/>
  <c r="AD2997" i="11"/>
  <c r="AC2997" i="11"/>
  <c r="AD2993" i="11"/>
  <c r="AC2993" i="11"/>
  <c r="AD2989" i="11"/>
  <c r="AC2989" i="11"/>
  <c r="AD2985" i="11"/>
  <c r="AC2985" i="11"/>
  <c r="AD2981" i="11"/>
  <c r="AC2981" i="11"/>
  <c r="AD2977" i="11"/>
  <c r="AC2977" i="11"/>
  <c r="AD2973" i="11"/>
  <c r="AC2973" i="11"/>
  <c r="AD2969" i="11"/>
  <c r="AC2969" i="11"/>
  <c r="AD2965" i="11"/>
  <c r="AC2965" i="11"/>
  <c r="AD2961" i="11"/>
  <c r="AC2961" i="11"/>
  <c r="AD2957" i="11"/>
  <c r="AC2957" i="11"/>
  <c r="AD2953" i="11"/>
  <c r="AC2953" i="11"/>
  <c r="AD2949" i="11"/>
  <c r="AC2949" i="11"/>
  <c r="AD2945" i="11"/>
  <c r="AC2945" i="11"/>
  <c r="AD2941" i="11"/>
  <c r="AC2941" i="11"/>
  <c r="AD2937" i="11"/>
  <c r="AC2937" i="11"/>
  <c r="AD2933" i="11"/>
  <c r="AC2933" i="11"/>
  <c r="AD2929" i="11"/>
  <c r="AC2929" i="11"/>
  <c r="AD2925" i="11"/>
  <c r="AC2925" i="11"/>
  <c r="AD2921" i="11"/>
  <c r="AC2921" i="11"/>
  <c r="AD2917" i="11"/>
  <c r="AC2917" i="11"/>
  <c r="AD2913" i="11"/>
  <c r="AC2913" i="11"/>
  <c r="AD2909" i="11"/>
  <c r="AC2909" i="11"/>
  <c r="AD2905" i="11"/>
  <c r="AC2905" i="11"/>
  <c r="AD2901" i="11"/>
  <c r="AC2901" i="11"/>
  <c r="AD2897" i="11"/>
  <c r="AC2897" i="11"/>
  <c r="AD2893" i="11"/>
  <c r="AC2893" i="11"/>
  <c r="AD2889" i="11"/>
  <c r="AC2889" i="11"/>
  <c r="AD2885" i="11"/>
  <c r="AC2885" i="11"/>
  <c r="AD2881" i="11"/>
  <c r="AC2881" i="11"/>
  <c r="AD2877" i="11"/>
  <c r="AC2877" i="11"/>
  <c r="AD2873" i="11"/>
  <c r="AC2873" i="11"/>
  <c r="AD2869" i="11"/>
  <c r="AC2869" i="11"/>
  <c r="AD2865" i="11"/>
  <c r="AC2865" i="11"/>
  <c r="AD2861" i="11"/>
  <c r="AC2861" i="11"/>
  <c r="AD2857" i="11"/>
  <c r="AC2857" i="11"/>
  <c r="AD2853" i="11"/>
  <c r="AC2853" i="11"/>
  <c r="AD2849" i="11"/>
  <c r="AC2849" i="11"/>
  <c r="AD2845" i="11"/>
  <c r="AC2845" i="11"/>
  <c r="AD2841" i="11"/>
  <c r="AC2841" i="11"/>
  <c r="AD2837" i="11"/>
  <c r="AC2837" i="11"/>
  <c r="AD2833" i="11"/>
  <c r="AC2833" i="11"/>
  <c r="AD2829" i="11"/>
  <c r="AC2829" i="11"/>
  <c r="AD2825" i="11"/>
  <c r="AC2825" i="11"/>
  <c r="AD2821" i="11"/>
  <c r="AC2821" i="11"/>
  <c r="AD2817" i="11"/>
  <c r="AC2817" i="11"/>
  <c r="AD2813" i="11"/>
  <c r="AC2813" i="11"/>
  <c r="AD2809" i="11"/>
  <c r="AC2809" i="11"/>
  <c r="AD2805" i="11"/>
  <c r="AC2805" i="11"/>
  <c r="AD2801" i="11"/>
  <c r="AC2801" i="11"/>
  <c r="AD2797" i="11"/>
  <c r="AC2797" i="11"/>
  <c r="AD2793" i="11"/>
  <c r="AC2793" i="11"/>
  <c r="AD2789" i="11"/>
  <c r="AC2789" i="11"/>
  <c r="AD2785" i="11"/>
  <c r="AC2785" i="11"/>
  <c r="AD2781" i="11"/>
  <c r="AC2781" i="11"/>
  <c r="AD2777" i="11"/>
  <c r="AC2777" i="11"/>
  <c r="AD2773" i="11"/>
  <c r="AC2773" i="11"/>
  <c r="AD2769" i="11"/>
  <c r="AC2769" i="11"/>
  <c r="AD2765" i="11"/>
  <c r="AC2765" i="11"/>
  <c r="AD2761" i="11"/>
  <c r="AC2761" i="11"/>
  <c r="AD2757" i="11"/>
  <c r="AC2757" i="11"/>
  <c r="AD2753" i="11"/>
  <c r="AC2753" i="11"/>
  <c r="AD2749" i="11"/>
  <c r="AC2749" i="11"/>
  <c r="AD2745" i="11"/>
  <c r="AC2745" i="11"/>
  <c r="AD2741" i="11"/>
  <c r="AC2741" i="11"/>
  <c r="AD2737" i="11"/>
  <c r="AC2737" i="11"/>
  <c r="AD2733" i="11"/>
  <c r="AC2733" i="11"/>
  <c r="AD2729" i="11"/>
  <c r="AC2729" i="11"/>
  <c r="AD2725" i="11"/>
  <c r="AC2725" i="11"/>
  <c r="AD2721" i="11"/>
  <c r="AC2721" i="11"/>
  <c r="AD2717" i="11"/>
  <c r="AC2717" i="11"/>
  <c r="AD2713" i="11"/>
  <c r="AC2713" i="11"/>
  <c r="AD2709" i="11"/>
  <c r="AC2709" i="11"/>
  <c r="AD2705" i="11"/>
  <c r="AC2705" i="11"/>
  <c r="AD2701" i="11"/>
  <c r="AC2701" i="11"/>
  <c r="AD2697" i="11"/>
  <c r="AC2697" i="11"/>
  <c r="AD2693" i="11"/>
  <c r="AC2693" i="11"/>
  <c r="AD2689" i="11"/>
  <c r="AC2689" i="11"/>
  <c r="AD2685" i="11"/>
  <c r="AC2685" i="11"/>
  <c r="AD2681" i="11"/>
  <c r="AC2681" i="11"/>
  <c r="AD2677" i="11"/>
  <c r="AC2677" i="11"/>
  <c r="AD2673" i="11"/>
  <c r="AC2673" i="11"/>
  <c r="AD2669" i="11"/>
  <c r="AC2669" i="11"/>
  <c r="AD2665" i="11"/>
  <c r="AC2665" i="11"/>
  <c r="AD2661" i="11"/>
  <c r="AC2661" i="11"/>
  <c r="AD2657" i="11"/>
  <c r="AC2657" i="11"/>
  <c r="AD4560" i="11"/>
  <c r="AC4560" i="11"/>
  <c r="AD4556" i="11"/>
  <c r="AC4556" i="11"/>
  <c r="AD4552" i="11"/>
  <c r="AC4552" i="11"/>
  <c r="AD4548" i="11"/>
  <c r="AC4548" i="11"/>
  <c r="AD4544" i="11"/>
  <c r="AC4544" i="11"/>
  <c r="AD4540" i="11"/>
  <c r="AC4540" i="11"/>
  <c r="AD4536" i="11"/>
  <c r="AC4536" i="11"/>
  <c r="AD4532" i="11"/>
  <c r="AC4532" i="11"/>
  <c r="AD4528" i="11"/>
  <c r="AC4528" i="11"/>
  <c r="AD4524" i="11"/>
  <c r="AC4524" i="11"/>
  <c r="AD4520" i="11"/>
  <c r="AC4520" i="11"/>
  <c r="AD4516" i="11"/>
  <c r="AC4516" i="11"/>
  <c r="AD4512" i="11"/>
  <c r="AC4512" i="11"/>
  <c r="AD4508" i="11"/>
  <c r="AC4508" i="11"/>
  <c r="AD4504" i="11"/>
  <c r="AC4504" i="11"/>
  <c r="AD4500" i="11"/>
  <c r="AC4500" i="11"/>
  <c r="AD4496" i="11"/>
  <c r="AC4496" i="11"/>
  <c r="AD4492" i="11"/>
  <c r="AC4492" i="11"/>
  <c r="AD4488" i="11"/>
  <c r="AC4488" i="11"/>
  <c r="AD4484" i="11"/>
  <c r="AC4484" i="11"/>
  <c r="AD4480" i="11"/>
  <c r="AC4480" i="11"/>
  <c r="AD4476" i="11"/>
  <c r="AC4476" i="11"/>
  <c r="AD4472" i="11"/>
  <c r="AC4472" i="11"/>
  <c r="AD4468" i="11"/>
  <c r="AC4468" i="11"/>
  <c r="AD4464" i="11"/>
  <c r="AC4464" i="11"/>
  <c r="AD4460" i="11"/>
  <c r="AC4460" i="11"/>
  <c r="AD4456" i="11"/>
  <c r="AC4456" i="11"/>
  <c r="AD4452" i="11"/>
  <c r="AC4452" i="11"/>
  <c r="AD4448" i="11"/>
  <c r="AC4448" i="11"/>
  <c r="AD4444" i="11"/>
  <c r="AC4444" i="11"/>
  <c r="AD4440" i="11"/>
  <c r="AC4440" i="11"/>
  <c r="AD4436" i="11"/>
  <c r="AC4436" i="11"/>
  <c r="AD4432" i="11"/>
  <c r="AC4432" i="11"/>
  <c r="AD4428" i="11"/>
  <c r="AC4428" i="11"/>
  <c r="AD4424" i="11"/>
  <c r="AC4424" i="11"/>
  <c r="AD4420" i="11"/>
  <c r="AC4420" i="11"/>
  <c r="AD4416" i="11"/>
  <c r="AC4416" i="11"/>
  <c r="AD4412" i="11"/>
  <c r="AC4412" i="11"/>
  <c r="AD4408" i="11"/>
  <c r="AC4408" i="11"/>
  <c r="AD4404" i="11"/>
  <c r="AC4404" i="11"/>
  <c r="AD4400" i="11"/>
  <c r="AC4400" i="11"/>
  <c r="AD4396" i="11"/>
  <c r="AC4396" i="11"/>
  <c r="AD4392" i="11"/>
  <c r="AC4392" i="11"/>
  <c r="AD4388" i="11"/>
  <c r="AC4388" i="11"/>
  <c r="AD4384" i="11"/>
  <c r="AC4384" i="11"/>
  <c r="AD4380" i="11"/>
  <c r="AC4380" i="11"/>
  <c r="AD4376" i="11"/>
  <c r="AC4376" i="11"/>
  <c r="AD4372" i="11"/>
  <c r="AC4372" i="11"/>
  <c r="AD4368" i="11"/>
  <c r="AC4368" i="11"/>
  <c r="AD4364" i="11"/>
  <c r="AC4364" i="11"/>
  <c r="AD4360" i="11"/>
  <c r="AC4360" i="11"/>
  <c r="AD4356" i="11"/>
  <c r="AC4356" i="11"/>
  <c r="AD4352" i="11"/>
  <c r="AC4352" i="11"/>
  <c r="AD4348" i="11"/>
  <c r="AC4348" i="11"/>
  <c r="AD4344" i="11"/>
  <c r="AC4344" i="11"/>
  <c r="AD4340" i="11"/>
  <c r="AC4340" i="11"/>
  <c r="AD4336" i="11"/>
  <c r="AC4336" i="11"/>
  <c r="AD4332" i="11"/>
  <c r="AC4332" i="11"/>
  <c r="AD4328" i="11"/>
  <c r="AC4328" i="11"/>
  <c r="AD4324" i="11"/>
  <c r="AC4324" i="11"/>
  <c r="AD4320" i="11"/>
  <c r="AC4320" i="11"/>
  <c r="AD4316" i="11"/>
  <c r="AC4316" i="11"/>
  <c r="AD4312" i="11"/>
  <c r="AC4312" i="11"/>
  <c r="AD4308" i="11"/>
  <c r="AC4308" i="11"/>
  <c r="AD4304" i="11"/>
  <c r="AC4304" i="11"/>
  <c r="AD4300" i="11"/>
  <c r="AC4300" i="11"/>
  <c r="AD4296" i="11"/>
  <c r="AC4296" i="11"/>
  <c r="AD4292" i="11"/>
  <c r="AC4292" i="11"/>
  <c r="AD4288" i="11"/>
  <c r="AC4288" i="11"/>
  <c r="AD4284" i="11"/>
  <c r="AC4284" i="11"/>
  <c r="AD4280" i="11"/>
  <c r="AC4280" i="11"/>
  <c r="AD4276" i="11"/>
  <c r="AC4276" i="11"/>
  <c r="AD4272" i="11"/>
  <c r="AC4272" i="11"/>
  <c r="AD4268" i="11"/>
  <c r="AC4268" i="11"/>
  <c r="AD4264" i="11"/>
  <c r="AC4264" i="11"/>
  <c r="AD4260" i="11"/>
  <c r="AC4260" i="11"/>
  <c r="AD4256" i="11"/>
  <c r="AC4256" i="11"/>
  <c r="AD4252" i="11"/>
  <c r="AC4252" i="11"/>
  <c r="AD4248" i="11"/>
  <c r="AC4248" i="11"/>
  <c r="AD4244" i="11"/>
  <c r="AC4244" i="11"/>
  <c r="AD4240" i="11"/>
  <c r="AC4240" i="11"/>
  <c r="AD4236" i="11"/>
  <c r="AC4236" i="11"/>
  <c r="AD4232" i="11"/>
  <c r="AC4232" i="11"/>
  <c r="AD4228" i="11"/>
  <c r="AC4228" i="11"/>
  <c r="AD4224" i="11"/>
  <c r="AC4224" i="11"/>
  <c r="AD4220" i="11"/>
  <c r="AC4220" i="11"/>
  <c r="AD4216" i="11"/>
  <c r="AC4216" i="11"/>
  <c r="AD4212" i="11"/>
  <c r="AC4212" i="11"/>
  <c r="AD4208" i="11"/>
  <c r="AC4208" i="11"/>
  <c r="AD4204" i="11"/>
  <c r="AC4204" i="11"/>
  <c r="AD4200" i="11"/>
  <c r="AC4200" i="11"/>
  <c r="AD4196" i="11"/>
  <c r="AC4196" i="11"/>
  <c r="AD4192" i="11"/>
  <c r="AC4192" i="11"/>
  <c r="AD4188" i="11"/>
  <c r="AC4188" i="11"/>
  <c r="AD4184" i="11"/>
  <c r="AC4184" i="11"/>
  <c r="AD4180" i="11"/>
  <c r="AC4180" i="11"/>
  <c r="AD4176" i="11"/>
  <c r="AC4176" i="11"/>
  <c r="AD4172" i="11"/>
  <c r="AC4172" i="11"/>
  <c r="AD4168" i="11"/>
  <c r="AC4168" i="11"/>
  <c r="AD4164" i="11"/>
  <c r="AC4164" i="11"/>
  <c r="AD4160" i="11"/>
  <c r="AC4160" i="11"/>
  <c r="AD4156" i="11"/>
  <c r="AC4156" i="11"/>
  <c r="AD4152" i="11"/>
  <c r="AC4152" i="11"/>
  <c r="AD4148" i="11"/>
  <c r="AC4148" i="11"/>
  <c r="AD4144" i="11"/>
  <c r="AC4144" i="11"/>
  <c r="AD4140" i="11"/>
  <c r="AC4140" i="11"/>
  <c r="AD4136" i="11"/>
  <c r="AC4136" i="11"/>
  <c r="AD4132" i="11"/>
  <c r="AC4132" i="11"/>
  <c r="AD4128" i="11"/>
  <c r="AC4128" i="11"/>
  <c r="AD4124" i="11"/>
  <c r="AC4124" i="11"/>
  <c r="AD4120" i="11"/>
  <c r="AC4120" i="11"/>
  <c r="AD4116" i="11"/>
  <c r="AC4116" i="11"/>
  <c r="AD4112" i="11"/>
  <c r="AC4112" i="11"/>
  <c r="AD4108" i="11"/>
  <c r="AC4108" i="11"/>
  <c r="AD4104" i="11"/>
  <c r="AC4104" i="11"/>
  <c r="AD4100" i="11"/>
  <c r="AC4100" i="11"/>
  <c r="AD4096" i="11"/>
  <c r="AC4096" i="11"/>
  <c r="AD4092" i="11"/>
  <c r="AC4092" i="11"/>
  <c r="AD4088" i="11"/>
  <c r="AC4088" i="11"/>
  <c r="AD4084" i="11"/>
  <c r="AC4084" i="11"/>
  <c r="AD4080" i="11"/>
  <c r="AC4080" i="11"/>
  <c r="AD4076" i="11"/>
  <c r="AC4076" i="11"/>
  <c r="AD4072" i="11"/>
  <c r="AC4072" i="11"/>
  <c r="AD4068" i="11"/>
  <c r="AC4068" i="11"/>
  <c r="AD4064" i="11"/>
  <c r="AC4064" i="11"/>
  <c r="AD4060" i="11"/>
  <c r="AC4060" i="11"/>
  <c r="AD4056" i="11"/>
  <c r="AC4056" i="11"/>
  <c r="AD4052" i="11"/>
  <c r="AC4052" i="11"/>
  <c r="AD4048" i="11"/>
  <c r="AC4048" i="11"/>
  <c r="AD4044" i="11"/>
  <c r="AC4044" i="11"/>
  <c r="AD4040" i="11"/>
  <c r="AC4040" i="11"/>
  <c r="AD4036" i="11"/>
  <c r="AC4036" i="11"/>
  <c r="AD4032" i="11"/>
  <c r="AC4032" i="11"/>
  <c r="AD4028" i="11"/>
  <c r="AC4028" i="11"/>
  <c r="AD4024" i="11"/>
  <c r="AC4024" i="11"/>
  <c r="AD4020" i="11"/>
  <c r="AC4020" i="11"/>
  <c r="AD4016" i="11"/>
  <c r="AC4016" i="11"/>
  <c r="AD4012" i="11"/>
  <c r="AC4012" i="11"/>
  <c r="AD4008" i="11"/>
  <c r="AC4008" i="11"/>
  <c r="AD4004" i="11"/>
  <c r="AC4004" i="11"/>
  <c r="AD4000" i="11"/>
  <c r="AC4000" i="11"/>
  <c r="AD3996" i="11"/>
  <c r="AC3996" i="11"/>
  <c r="AD3992" i="11"/>
  <c r="AC3992" i="11"/>
  <c r="AD3988" i="11"/>
  <c r="AC3988" i="11"/>
  <c r="AD3984" i="11"/>
  <c r="AC3984" i="11"/>
  <c r="AD3980" i="11"/>
  <c r="AC3980" i="11"/>
  <c r="AD3976" i="11"/>
  <c r="AC3976" i="11"/>
  <c r="AD3972" i="11"/>
  <c r="AC3972" i="11"/>
  <c r="AD3968" i="11"/>
  <c r="AC3968" i="11"/>
  <c r="AD3964" i="11"/>
  <c r="AC3964" i="11"/>
  <c r="AD3960" i="11"/>
  <c r="AC3960" i="11"/>
  <c r="AD3956" i="11"/>
  <c r="AC3956" i="11"/>
  <c r="AD3952" i="11"/>
  <c r="AC3952" i="11"/>
  <c r="AD3948" i="11"/>
  <c r="AC3948" i="11"/>
  <c r="AD3944" i="11"/>
  <c r="AC3944" i="11"/>
  <c r="AD3940" i="11"/>
  <c r="AC3940" i="11"/>
  <c r="AC3936" i="11"/>
  <c r="AD3936" i="11"/>
  <c r="AD3932" i="11"/>
  <c r="AC3932" i="11"/>
  <c r="AD3928" i="11"/>
  <c r="AC3928" i="11"/>
  <c r="AD3924" i="11"/>
  <c r="AC3924" i="11"/>
  <c r="AD3920" i="11"/>
  <c r="AC3920" i="11"/>
  <c r="AD3916" i="11"/>
  <c r="AC3916" i="11"/>
  <c r="AD3912" i="11"/>
  <c r="AC3912" i="11"/>
  <c r="AD3908" i="11"/>
  <c r="AC3908" i="11"/>
  <c r="AD3904" i="11"/>
  <c r="AC3904" i="11"/>
  <c r="AD3900" i="11"/>
  <c r="AC3900" i="11"/>
  <c r="AD3896" i="11"/>
  <c r="AC3896" i="11"/>
  <c r="AD3892" i="11"/>
  <c r="AC3892" i="11"/>
  <c r="AD3888" i="11"/>
  <c r="AC3888" i="11"/>
  <c r="AD3884" i="11"/>
  <c r="AC3884" i="11"/>
  <c r="AD3880" i="11"/>
  <c r="AC3880" i="11"/>
  <c r="AD3876" i="11"/>
  <c r="AC3876" i="11"/>
  <c r="AC3872" i="11"/>
  <c r="AD3872" i="11"/>
  <c r="AD3868" i="11"/>
  <c r="AC3868" i="11"/>
  <c r="AD3864" i="11"/>
  <c r="AC3864" i="11"/>
  <c r="AD3860" i="11"/>
  <c r="AC3860" i="11"/>
  <c r="AD3856" i="11"/>
  <c r="AC3856" i="11"/>
  <c r="AD3852" i="11"/>
  <c r="AC3852" i="11"/>
  <c r="AD3848" i="11"/>
  <c r="AC3848" i="11"/>
  <c r="AD3844" i="11"/>
  <c r="AC3844" i="11"/>
  <c r="AD3840" i="11"/>
  <c r="AC3840" i="11"/>
  <c r="AD3836" i="11"/>
  <c r="AC3836" i="11"/>
  <c r="AD3832" i="11"/>
  <c r="AC3832" i="11"/>
  <c r="AD3828" i="11"/>
  <c r="AC3828" i="11"/>
  <c r="AD3824" i="11"/>
  <c r="AC3824" i="11"/>
  <c r="AD3820" i="11"/>
  <c r="AC3820" i="11"/>
  <c r="AD3816" i="11"/>
  <c r="AC3816" i="11"/>
  <c r="AD3812" i="11"/>
  <c r="AC3812" i="11"/>
  <c r="AD3808" i="11"/>
  <c r="AC3808" i="11"/>
  <c r="AD3804" i="11"/>
  <c r="AC3804" i="11"/>
  <c r="AD3800" i="11"/>
  <c r="AC3800" i="11"/>
  <c r="AD3796" i="11"/>
  <c r="AC3796" i="11"/>
  <c r="AD3792" i="11"/>
  <c r="AC3792" i="11"/>
  <c r="AD3788" i="11"/>
  <c r="AC3788" i="11"/>
  <c r="AD3784" i="11"/>
  <c r="AC3784" i="11"/>
  <c r="AD3780" i="11"/>
  <c r="AC3780" i="11"/>
  <c r="AD3776" i="11"/>
  <c r="AC3776" i="11"/>
  <c r="AD3772" i="11"/>
  <c r="AC3772" i="11"/>
  <c r="AD3768" i="11"/>
  <c r="AC3768" i="11"/>
  <c r="AD3764" i="11"/>
  <c r="AC3764" i="11"/>
  <c r="AD3760" i="11"/>
  <c r="AC3760" i="11"/>
  <c r="AD3756" i="11"/>
  <c r="AC3756" i="11"/>
  <c r="AD3752" i="11"/>
  <c r="AC3752" i="11"/>
  <c r="AD3748" i="11"/>
  <c r="AC3748" i="11"/>
  <c r="AD3744" i="11"/>
  <c r="AC3744" i="11"/>
  <c r="AD3740" i="11"/>
  <c r="AC3740" i="11"/>
  <c r="AD3736" i="11"/>
  <c r="AC3736" i="11"/>
  <c r="AD3732" i="11"/>
  <c r="AC3732" i="11"/>
  <c r="AD3728" i="11"/>
  <c r="AC3728" i="11"/>
  <c r="AD3724" i="11"/>
  <c r="AC3724" i="11"/>
  <c r="AD3720" i="11"/>
  <c r="AC3720" i="11"/>
  <c r="AD3716" i="11"/>
  <c r="AC3716" i="11"/>
  <c r="AD3712" i="11"/>
  <c r="AC3712" i="11"/>
  <c r="AD3708" i="11"/>
  <c r="AC3708" i="11"/>
  <c r="AD3704" i="11"/>
  <c r="AC3704" i="11"/>
  <c r="AD3700" i="11"/>
  <c r="AC3700" i="11"/>
  <c r="AD3696" i="11"/>
  <c r="AC3696" i="11"/>
  <c r="AD3692" i="11"/>
  <c r="AC3692" i="11"/>
  <c r="AD3688" i="11"/>
  <c r="AC3688" i="11"/>
  <c r="AD3684" i="11"/>
  <c r="AC3684" i="11"/>
  <c r="AC3680" i="11"/>
  <c r="AD3680" i="11"/>
  <c r="AD3676" i="11"/>
  <c r="AC3676" i="11"/>
  <c r="AD3672" i="11"/>
  <c r="AC3672" i="11"/>
  <c r="AD3668" i="11"/>
  <c r="AC3668" i="11"/>
  <c r="AD3664" i="11"/>
  <c r="AC3664" i="11"/>
  <c r="AD3660" i="11"/>
  <c r="AC3660" i="11"/>
  <c r="AD3656" i="11"/>
  <c r="AC3656" i="11"/>
  <c r="AD3652" i="11"/>
  <c r="AC3652" i="11"/>
  <c r="AD3648" i="11"/>
  <c r="AC3648" i="11"/>
  <c r="AD3644" i="11"/>
  <c r="AC3644" i="11"/>
  <c r="AD3640" i="11"/>
  <c r="AC3640" i="11"/>
  <c r="AD3636" i="11"/>
  <c r="AC3636" i="11"/>
  <c r="AD3632" i="11"/>
  <c r="AC3632" i="11"/>
  <c r="AD3628" i="11"/>
  <c r="AC3628" i="11"/>
  <c r="AD3624" i="11"/>
  <c r="AC3624" i="11"/>
  <c r="AD3620" i="11"/>
  <c r="AC3620" i="11"/>
  <c r="AC3616" i="11"/>
  <c r="AD3616" i="11"/>
  <c r="AD3612" i="11"/>
  <c r="AC3612" i="11"/>
  <c r="AD3608" i="11"/>
  <c r="AC3608" i="11"/>
  <c r="AD3604" i="11"/>
  <c r="AC3604" i="11"/>
  <c r="AD3600" i="11"/>
  <c r="AC3600" i="11"/>
  <c r="AD3596" i="11"/>
  <c r="AC3596" i="11"/>
  <c r="AD3592" i="11"/>
  <c r="AC3592" i="11"/>
  <c r="AD3588" i="11"/>
  <c r="AC3588" i="11"/>
  <c r="AD3584" i="11"/>
  <c r="AC3584" i="11"/>
  <c r="AD3580" i="11"/>
  <c r="AC3580" i="11"/>
  <c r="AD3576" i="11"/>
  <c r="AC3576" i="11"/>
  <c r="AD3572" i="11"/>
  <c r="AC3572" i="11"/>
  <c r="AD3568" i="11"/>
  <c r="AC3568" i="11"/>
  <c r="AD3564" i="11"/>
  <c r="AC3564" i="11"/>
  <c r="AD3560" i="11"/>
  <c r="AC3560" i="11"/>
  <c r="AD3556" i="11"/>
  <c r="AC3556" i="11"/>
  <c r="AD3552" i="11"/>
  <c r="AC3552" i="11"/>
  <c r="AD3548" i="11"/>
  <c r="AC3548" i="11"/>
  <c r="AD3544" i="11"/>
  <c r="AC3544" i="11"/>
  <c r="AD3540" i="11"/>
  <c r="AC3540" i="11"/>
  <c r="AD3536" i="11"/>
  <c r="AC3536" i="11"/>
  <c r="AD3532" i="11"/>
  <c r="AC3532" i="11"/>
  <c r="AD3528" i="11"/>
  <c r="AC3528" i="11"/>
  <c r="AD3524" i="11"/>
  <c r="AC3524" i="11"/>
  <c r="AD3520" i="11"/>
  <c r="AC3520" i="11"/>
  <c r="AD3516" i="11"/>
  <c r="AC3516" i="11"/>
  <c r="AD3512" i="11"/>
  <c r="AC3512" i="11"/>
  <c r="AD3508" i="11"/>
  <c r="AC3508" i="11"/>
  <c r="AD3504" i="11"/>
  <c r="AC3504" i="11"/>
  <c r="AD3500" i="11"/>
  <c r="AC3500" i="11"/>
  <c r="AD3496" i="11"/>
  <c r="AC3496" i="11"/>
  <c r="AD3492" i="11"/>
  <c r="AC3492" i="11"/>
  <c r="AD3488" i="11"/>
  <c r="AC3488" i="11"/>
  <c r="AD3484" i="11"/>
  <c r="AC3484" i="11"/>
  <c r="AD3480" i="11"/>
  <c r="AC3480" i="11"/>
  <c r="AD3476" i="11"/>
  <c r="AC3476" i="11"/>
  <c r="AD3472" i="11"/>
  <c r="AC3472" i="11"/>
  <c r="AD3468" i="11"/>
  <c r="AC3468" i="11"/>
  <c r="AD3464" i="11"/>
  <c r="AC3464" i="11"/>
  <c r="AD3460" i="11"/>
  <c r="AC3460" i="11"/>
  <c r="AD3456" i="11"/>
  <c r="AC3456" i="11"/>
  <c r="AD3452" i="11"/>
  <c r="AC3452" i="11"/>
  <c r="AD3448" i="11"/>
  <c r="AC3448" i="11"/>
  <c r="AD3444" i="11"/>
  <c r="AC3444" i="11"/>
  <c r="AD3440" i="11"/>
  <c r="AC3440" i="11"/>
  <c r="AD3436" i="11"/>
  <c r="AC3436" i="11"/>
  <c r="AD3432" i="11"/>
  <c r="AC3432" i="11"/>
  <c r="AD3428" i="11"/>
  <c r="AC3428" i="11"/>
  <c r="AD3424" i="11"/>
  <c r="AC3424" i="11"/>
  <c r="AD3420" i="11"/>
  <c r="AC3420" i="11"/>
  <c r="AD3416" i="11"/>
  <c r="AC3416" i="11"/>
  <c r="AD3412" i="11"/>
  <c r="AC3412" i="11"/>
  <c r="AD3408" i="11"/>
  <c r="AC3408" i="11"/>
  <c r="AD3404" i="11"/>
  <c r="AC3404" i="11"/>
  <c r="AD3400" i="11"/>
  <c r="AC3400" i="11"/>
  <c r="AD3396" i="11"/>
  <c r="AC3396" i="11"/>
  <c r="AD3392" i="11"/>
  <c r="AC3392" i="11"/>
  <c r="AD3388" i="11"/>
  <c r="AC3388" i="11"/>
  <c r="AD3384" i="11"/>
  <c r="AC3384" i="11"/>
  <c r="AD3380" i="11"/>
  <c r="AC3380" i="11"/>
  <c r="AD3376" i="11"/>
  <c r="AC3376" i="11"/>
  <c r="AD3372" i="11"/>
  <c r="AC3372" i="11"/>
  <c r="AD3368" i="11"/>
  <c r="AC3368" i="11"/>
  <c r="AD3364" i="11"/>
  <c r="AC3364" i="11"/>
  <c r="AD3360" i="11"/>
  <c r="AC3360" i="11"/>
  <c r="AD3356" i="11"/>
  <c r="AC3356" i="11"/>
  <c r="AD3352" i="11"/>
  <c r="AC3352" i="11"/>
  <c r="AD3348" i="11"/>
  <c r="AC3348" i="11"/>
  <c r="AD3344" i="11"/>
  <c r="AC3344" i="11"/>
  <c r="AD3340" i="11"/>
  <c r="AC3340" i="11"/>
  <c r="AD3336" i="11"/>
  <c r="AC3336" i="11"/>
  <c r="AD3332" i="11"/>
  <c r="AC3332" i="11"/>
  <c r="AD3328" i="11"/>
  <c r="AC3328" i="11"/>
  <c r="AD3324" i="11"/>
  <c r="AC3324" i="11"/>
  <c r="AD3320" i="11"/>
  <c r="AC3320" i="11"/>
  <c r="AD3316" i="11"/>
  <c r="AC3316" i="11"/>
  <c r="AD3312" i="11"/>
  <c r="AC3312" i="11"/>
  <c r="AD3308" i="11"/>
  <c r="AC3308" i="11"/>
  <c r="AD3304" i="11"/>
  <c r="AC3304" i="11"/>
  <c r="AD3300" i="11"/>
  <c r="AC3300" i="11"/>
  <c r="AD3296" i="11"/>
  <c r="AC3296" i="11"/>
  <c r="AD3292" i="11"/>
  <c r="AC3292" i="11"/>
  <c r="AD3288" i="11"/>
  <c r="AC3288" i="11"/>
  <c r="AD3284" i="11"/>
  <c r="AC3284" i="11"/>
  <c r="AD3280" i="11"/>
  <c r="AC3280" i="11"/>
  <c r="AD3276" i="11"/>
  <c r="AC3276" i="11"/>
  <c r="AD3272" i="11"/>
  <c r="AC3272" i="11"/>
  <c r="AD3268" i="11"/>
  <c r="AC3268" i="11"/>
  <c r="AD3264" i="11"/>
  <c r="AC3264" i="11"/>
  <c r="AD3260" i="11"/>
  <c r="AC3260" i="11"/>
  <c r="AD3256" i="11"/>
  <c r="AC3256" i="11"/>
  <c r="AD3252" i="11"/>
  <c r="AC3252" i="11"/>
  <c r="AD3248" i="11"/>
  <c r="AC3248" i="11"/>
  <c r="AD3244" i="11"/>
  <c r="AC3244" i="11"/>
  <c r="AD3240" i="11"/>
  <c r="AC3240" i="11"/>
  <c r="AD3236" i="11"/>
  <c r="AC3236" i="11"/>
  <c r="AD3232" i="11"/>
  <c r="AC3232" i="11"/>
  <c r="AD3228" i="11"/>
  <c r="AC3228" i="11"/>
  <c r="AD3224" i="11"/>
  <c r="AC3224" i="11"/>
  <c r="AD3220" i="11"/>
  <c r="AC3220" i="11"/>
  <c r="AD3216" i="11"/>
  <c r="AC3216" i="11"/>
  <c r="AD3212" i="11"/>
  <c r="AC3212" i="11"/>
  <c r="AD3208" i="11"/>
  <c r="AC3208" i="11"/>
  <c r="AD3204" i="11"/>
  <c r="AC3204" i="11"/>
  <c r="AD3200" i="11"/>
  <c r="AC3200" i="11"/>
  <c r="AD3196" i="11"/>
  <c r="AC3196" i="11"/>
  <c r="AD3192" i="11"/>
  <c r="AC3192" i="11"/>
  <c r="AD3188" i="11"/>
  <c r="AC3188" i="11"/>
  <c r="AD3184" i="11"/>
  <c r="AC3184" i="11"/>
  <c r="AD3180" i="11"/>
  <c r="AC3180" i="11"/>
  <c r="AD3176" i="11"/>
  <c r="AC3176" i="11"/>
  <c r="AD3172" i="11"/>
  <c r="AC3172" i="11"/>
  <c r="AD3168" i="11"/>
  <c r="AC3168" i="11"/>
  <c r="AD3164" i="11"/>
  <c r="AC3164" i="11"/>
  <c r="AD3160" i="11"/>
  <c r="AC3160" i="11"/>
  <c r="AD3156" i="11"/>
  <c r="AC3156" i="11"/>
  <c r="AD3152" i="11"/>
  <c r="AC3152" i="11"/>
  <c r="AD3148" i="11"/>
  <c r="AC3148" i="11"/>
  <c r="AD3144" i="11"/>
  <c r="AC3144" i="11"/>
  <c r="AD3140" i="11"/>
  <c r="AC3140" i="11"/>
  <c r="AD3136" i="11"/>
  <c r="AC3136" i="11"/>
  <c r="AD3132" i="11"/>
  <c r="AC3132" i="11"/>
  <c r="AD3128" i="11"/>
  <c r="AC3128" i="11"/>
  <c r="AD3124" i="11"/>
  <c r="AC3124" i="11"/>
  <c r="AD3120" i="11"/>
  <c r="AC3120" i="11"/>
  <c r="AD3116" i="11"/>
  <c r="AC3116" i="11"/>
  <c r="AD3112" i="11"/>
  <c r="AC3112" i="11"/>
  <c r="AD3108" i="11"/>
  <c r="AC3108" i="11"/>
  <c r="AD3104" i="11"/>
  <c r="AC3104" i="11"/>
  <c r="AD3100" i="11"/>
  <c r="AC3100" i="11"/>
  <c r="AD3096" i="11"/>
  <c r="AC3096" i="11"/>
  <c r="AD3092" i="11"/>
  <c r="AC3092" i="11"/>
  <c r="AD3088" i="11"/>
  <c r="AC3088" i="11"/>
  <c r="AD3084" i="11"/>
  <c r="AC3084" i="11"/>
  <c r="AD3080" i="11"/>
  <c r="AC3080" i="11"/>
  <c r="AD3076" i="11"/>
  <c r="AC3076" i="11"/>
  <c r="AD3072" i="11"/>
  <c r="AC3072" i="11"/>
  <c r="AD3068" i="11"/>
  <c r="AC3068" i="11"/>
  <c r="AD3064" i="11"/>
  <c r="AC3064" i="11"/>
  <c r="AD3060" i="11"/>
  <c r="AC3060" i="11"/>
  <c r="AD3056" i="11"/>
  <c r="AC3056" i="11"/>
  <c r="AD3052" i="11"/>
  <c r="AC3052" i="11"/>
  <c r="AD3048" i="11"/>
  <c r="AC3048" i="11"/>
  <c r="AD3044" i="11"/>
  <c r="AC3044" i="11"/>
  <c r="AD3040" i="11"/>
  <c r="AC3040" i="11"/>
  <c r="AD3036" i="11"/>
  <c r="AC3036" i="11"/>
  <c r="AD3032" i="11"/>
  <c r="AC3032" i="11"/>
  <c r="AD3028" i="11"/>
  <c r="AC3028" i="11"/>
  <c r="AD3024" i="11"/>
  <c r="AC3024" i="11"/>
  <c r="AD3020" i="11"/>
  <c r="AC3020" i="11"/>
  <c r="AD3016" i="11"/>
  <c r="AC3016" i="11"/>
  <c r="AD3012" i="11"/>
  <c r="AC3012" i="11"/>
  <c r="AD3008" i="11"/>
  <c r="AC3008" i="11"/>
  <c r="AD3004" i="11"/>
  <c r="AC3004" i="11"/>
  <c r="AD3000" i="11"/>
  <c r="AC3000" i="11"/>
  <c r="AD2996" i="11"/>
  <c r="AC2996" i="11"/>
  <c r="AD2992" i="11"/>
  <c r="AC2992" i="11"/>
  <c r="AD2988" i="11"/>
  <c r="AC2988" i="11"/>
  <c r="AD2984" i="11"/>
  <c r="AC2984" i="11"/>
  <c r="AD2980" i="11"/>
  <c r="AC2980" i="11"/>
  <c r="AD2976" i="11"/>
  <c r="AC2976" i="11"/>
  <c r="AD2972" i="11"/>
  <c r="AC2972" i="11"/>
  <c r="AD2968" i="11"/>
  <c r="AC2968" i="11"/>
  <c r="AD2964" i="11"/>
  <c r="AC2964" i="11"/>
  <c r="AD2960" i="11"/>
  <c r="AC2960" i="11"/>
  <c r="AD2956" i="11"/>
  <c r="AC2956" i="11"/>
  <c r="AD2952" i="11"/>
  <c r="AC2952" i="11"/>
  <c r="AD2948" i="11"/>
  <c r="AC2948" i="11"/>
  <c r="AD2944" i="11"/>
  <c r="AC2944" i="11"/>
  <c r="AD2940" i="11"/>
  <c r="AC2940" i="11"/>
  <c r="AD2936" i="11"/>
  <c r="AC2936" i="11"/>
  <c r="AD2932" i="11"/>
  <c r="AC2932" i="11"/>
  <c r="AD2928" i="11"/>
  <c r="AC2928" i="11"/>
  <c r="AD2924" i="11"/>
  <c r="AC2924" i="11"/>
  <c r="AD2920" i="11"/>
  <c r="AC2920" i="11"/>
  <c r="AD2916" i="11"/>
  <c r="AC2916" i="11"/>
  <c r="AD2912" i="11"/>
  <c r="AC2912" i="11"/>
  <c r="AD2908" i="11"/>
  <c r="AC2908" i="11"/>
  <c r="AD2904" i="11"/>
  <c r="AC2904" i="11"/>
  <c r="AD2900" i="11"/>
  <c r="AC2900" i="11"/>
  <c r="AD2896" i="11"/>
  <c r="AC2896" i="11"/>
  <c r="AD2892" i="11"/>
  <c r="AC2892" i="11"/>
  <c r="AD2888" i="11"/>
  <c r="AC2888" i="11"/>
  <c r="AD2884" i="11"/>
  <c r="AC2884" i="11"/>
  <c r="AD2880" i="11"/>
  <c r="AC2880" i="11"/>
  <c r="AD2876" i="11"/>
  <c r="AC2876" i="11"/>
  <c r="AD2872" i="11"/>
  <c r="AC2872" i="11"/>
  <c r="AD2868" i="11"/>
  <c r="AC2868" i="11"/>
  <c r="AD2864" i="11"/>
  <c r="AC2864" i="11"/>
  <c r="AD2860" i="11"/>
  <c r="AC2860" i="11"/>
  <c r="AD2856" i="11"/>
  <c r="AC2856" i="11"/>
  <c r="AD2852" i="11"/>
  <c r="AC2852" i="11"/>
  <c r="AD2848" i="11"/>
  <c r="AC2848" i="11"/>
  <c r="AD2844" i="11"/>
  <c r="AC2844" i="11"/>
  <c r="AD2840" i="11"/>
  <c r="AC2840" i="11"/>
  <c r="AD2836" i="11"/>
  <c r="AC2836" i="11"/>
  <c r="AD2832" i="11"/>
  <c r="AC2832" i="11"/>
  <c r="AD2828" i="11"/>
  <c r="AC2828" i="11"/>
  <c r="AD2824" i="11"/>
  <c r="AC2824" i="11"/>
  <c r="AD2820" i="11"/>
  <c r="AC2820" i="11"/>
  <c r="AD2816" i="11"/>
  <c r="AC2816" i="11"/>
  <c r="AD2812" i="11"/>
  <c r="AC2812" i="11"/>
  <c r="AD2808" i="11"/>
  <c r="AC2808" i="11"/>
  <c r="AD2804" i="11"/>
  <c r="AC2804" i="11"/>
  <c r="AD2800" i="11"/>
  <c r="AC2800" i="11"/>
  <c r="AD2796" i="11"/>
  <c r="AC2796" i="11"/>
  <c r="AD2792" i="11"/>
  <c r="AC2792" i="11"/>
  <c r="AD2788" i="11"/>
  <c r="AC2788" i="11"/>
  <c r="AD2784" i="11"/>
  <c r="AC2784" i="11"/>
  <c r="AD2780" i="11"/>
  <c r="AC2780" i="11"/>
  <c r="AD2776" i="11"/>
  <c r="AC2776" i="11"/>
  <c r="AD2772" i="11"/>
  <c r="AC2772" i="11"/>
  <c r="AD2768" i="11"/>
  <c r="AC2768" i="11"/>
  <c r="AD2764" i="11"/>
  <c r="AC2764" i="11"/>
  <c r="AD2760" i="11"/>
  <c r="AC2760" i="11"/>
  <c r="AD2756" i="11"/>
  <c r="AC2756" i="11"/>
  <c r="AD2752" i="11"/>
  <c r="AC2752" i="11"/>
  <c r="AD2748" i="11"/>
  <c r="AC2748" i="11"/>
  <c r="AD2744" i="11"/>
  <c r="AC2744" i="11"/>
  <c r="AD2740" i="11"/>
  <c r="AC2740" i="11"/>
  <c r="AD2736" i="11"/>
  <c r="AC2736" i="11"/>
  <c r="AD2732" i="11"/>
  <c r="AC2732" i="11"/>
  <c r="AD2728" i="11"/>
  <c r="AC2728" i="11"/>
  <c r="AD2724" i="11"/>
  <c r="AC2724" i="11"/>
  <c r="AD2720" i="11"/>
  <c r="AC2720" i="11"/>
  <c r="AD2716" i="11"/>
  <c r="AC2716" i="11"/>
  <c r="AD2712" i="11"/>
  <c r="AC2712" i="11"/>
  <c r="AD2708" i="11"/>
  <c r="AC2708" i="11"/>
  <c r="AD2704" i="11"/>
  <c r="AC2704" i="11"/>
  <c r="AD2700" i="11"/>
  <c r="AC2700" i="11"/>
  <c r="AD2696" i="11"/>
  <c r="AC2696" i="11"/>
  <c r="AD2692" i="11"/>
  <c r="AC2692" i="11"/>
  <c r="AD2688" i="11"/>
  <c r="AC2688" i="11"/>
  <c r="AD2684" i="11"/>
  <c r="AC2684" i="11"/>
  <c r="AD2680" i="11"/>
  <c r="AC2680" i="11"/>
  <c r="AD2676" i="11"/>
  <c r="AC2676" i="11"/>
  <c r="AD2672" i="11"/>
  <c r="AC2672" i="11"/>
  <c r="AD2668" i="11"/>
  <c r="AC2668" i="11"/>
  <c r="AD2664" i="11"/>
  <c r="AC2664" i="11"/>
  <c r="AD2660" i="11"/>
  <c r="AC2660" i="11"/>
  <c r="AD2655" i="11"/>
  <c r="AC2655" i="11"/>
  <c r="AD2651" i="11"/>
  <c r="AC2651" i="11"/>
  <c r="AD2647" i="11"/>
  <c r="AC2647" i="11"/>
  <c r="AD2643" i="11"/>
  <c r="AC2643" i="11"/>
  <c r="AD2639" i="11"/>
  <c r="AC2639" i="11"/>
  <c r="AD2635" i="11"/>
  <c r="AC2635" i="11"/>
  <c r="AD2631" i="11"/>
  <c r="AC2631" i="11"/>
  <c r="AD2627" i="11"/>
  <c r="AC2627" i="11"/>
  <c r="AD2623" i="11"/>
  <c r="AC2623" i="11"/>
  <c r="AD2619" i="11"/>
  <c r="AC2619" i="11"/>
  <c r="AD2615" i="11"/>
  <c r="AC2615" i="11"/>
  <c r="AD2611" i="11"/>
  <c r="AC2611" i="11"/>
  <c r="AD2607" i="11"/>
  <c r="AC2607" i="11"/>
  <c r="AD2603" i="11"/>
  <c r="AC2603" i="11"/>
  <c r="AD2599" i="11"/>
  <c r="AC2599" i="11"/>
  <c r="AD2595" i="11"/>
  <c r="AC2595" i="11"/>
  <c r="AD2591" i="11"/>
  <c r="AC2591" i="11"/>
  <c r="AD2587" i="11"/>
  <c r="AC2587" i="11"/>
  <c r="AD2583" i="11"/>
  <c r="AC2583" i="11"/>
  <c r="AD2579" i="11"/>
  <c r="AC2579" i="11"/>
  <c r="AD2575" i="11"/>
  <c r="AC2575" i="11"/>
  <c r="AD2571" i="11"/>
  <c r="AC2571" i="11"/>
  <c r="AD2567" i="11"/>
  <c r="AC2567" i="11"/>
  <c r="AD2563" i="11"/>
  <c r="AC2563" i="11"/>
  <c r="AD2559" i="11"/>
  <c r="AC2559" i="11"/>
  <c r="AD2555" i="11"/>
  <c r="AC2555" i="11"/>
  <c r="AD2551" i="11"/>
  <c r="AC2551" i="11"/>
  <c r="AD2547" i="11"/>
  <c r="AC2547" i="11"/>
  <c r="AD2543" i="11"/>
  <c r="AC2543" i="11"/>
  <c r="AD2539" i="11"/>
  <c r="AC2539" i="11"/>
  <c r="AD2535" i="11"/>
  <c r="AC2535" i="11"/>
  <c r="AD2531" i="11"/>
  <c r="AC2531" i="11"/>
  <c r="AD2527" i="11"/>
  <c r="AC2527" i="11"/>
  <c r="AD2523" i="11"/>
  <c r="AC2523" i="11"/>
  <c r="AD2519" i="11"/>
  <c r="AC2519" i="11"/>
  <c r="AD2515" i="11"/>
  <c r="AC2515" i="11"/>
  <c r="AD2511" i="11"/>
  <c r="AC2511" i="11"/>
  <c r="AD2507" i="11"/>
  <c r="AC2507" i="11"/>
  <c r="AD2503" i="11"/>
  <c r="AC2503" i="11"/>
  <c r="AD2499" i="11"/>
  <c r="AC2499" i="11"/>
  <c r="AD2495" i="11"/>
  <c r="AC2495" i="11"/>
  <c r="AD2491" i="11"/>
  <c r="AC2491" i="11"/>
  <c r="AD2487" i="11"/>
  <c r="AC2487" i="11"/>
  <c r="AD2483" i="11"/>
  <c r="AC2483" i="11"/>
  <c r="AD2479" i="11"/>
  <c r="AC2479" i="11"/>
  <c r="AD2475" i="11"/>
  <c r="AC2475" i="11"/>
  <c r="AD2471" i="11"/>
  <c r="AC2471" i="11"/>
  <c r="AD2467" i="11"/>
  <c r="AC2467" i="11"/>
  <c r="AD2463" i="11"/>
  <c r="AC2463" i="11"/>
  <c r="AD2459" i="11"/>
  <c r="AC2459" i="11"/>
  <c r="AD2455" i="11"/>
  <c r="AC2455" i="11"/>
  <c r="AD2451" i="11"/>
  <c r="AC2451" i="11"/>
  <c r="AD2447" i="11"/>
  <c r="AC2447" i="11"/>
  <c r="AD2443" i="11"/>
  <c r="AC2443" i="11"/>
  <c r="AD2439" i="11"/>
  <c r="AC2439" i="11"/>
  <c r="AD2435" i="11"/>
  <c r="AC2435" i="11"/>
  <c r="AD2431" i="11"/>
  <c r="AC2431" i="11"/>
  <c r="AD2427" i="11"/>
  <c r="AC2427" i="11"/>
  <c r="AD2423" i="11"/>
  <c r="AC2423" i="11"/>
  <c r="AD2419" i="11"/>
  <c r="AC2419" i="11"/>
  <c r="AD2415" i="11"/>
  <c r="AC2415" i="11"/>
  <c r="AD2411" i="11"/>
  <c r="AC2411" i="11"/>
  <c r="AD2407" i="11"/>
  <c r="AC2407" i="11"/>
  <c r="AD2403" i="11"/>
  <c r="AC2403" i="11"/>
  <c r="AD2399" i="11"/>
  <c r="AC2399" i="11"/>
  <c r="AD2395" i="11"/>
  <c r="AC2395" i="11"/>
  <c r="AD2391" i="11"/>
  <c r="AC2391" i="11"/>
  <c r="AD2387" i="11"/>
  <c r="AC2387" i="11"/>
  <c r="AD2383" i="11"/>
  <c r="AC2383" i="11"/>
  <c r="AD2379" i="11"/>
  <c r="AC2379" i="11"/>
  <c r="AD2375" i="11"/>
  <c r="AC2375" i="11"/>
  <c r="AD2371" i="11"/>
  <c r="AC2371" i="11"/>
  <c r="AD2367" i="11"/>
  <c r="AC2367" i="11"/>
  <c r="AD2363" i="11"/>
  <c r="AC2363" i="11"/>
  <c r="AD2359" i="11"/>
  <c r="AC2359" i="11"/>
  <c r="AD2355" i="11"/>
  <c r="AC2355" i="11"/>
  <c r="AD2351" i="11"/>
  <c r="AC2351" i="11"/>
  <c r="AD2347" i="11"/>
  <c r="AC2347" i="11"/>
  <c r="AD2343" i="11"/>
  <c r="AC2343" i="11"/>
  <c r="AD2339" i="11"/>
  <c r="AC2339" i="11"/>
  <c r="AD2335" i="11"/>
  <c r="AC2335" i="11"/>
  <c r="AD2331" i="11"/>
  <c r="AC2331" i="11"/>
  <c r="AD2327" i="11"/>
  <c r="AC2327" i="11"/>
  <c r="AD2323" i="11"/>
  <c r="AC2323" i="11"/>
  <c r="AD2319" i="11"/>
  <c r="AC2319" i="11"/>
  <c r="AD2315" i="11"/>
  <c r="AC2315" i="11"/>
  <c r="AD2311" i="11"/>
  <c r="AC2311" i="11"/>
  <c r="AD2307" i="11"/>
  <c r="AC2307" i="11"/>
  <c r="AD2303" i="11"/>
  <c r="AC2303" i="11"/>
  <c r="AD2299" i="11"/>
  <c r="AC2299" i="11"/>
  <c r="AD2295" i="11"/>
  <c r="AC2295" i="11"/>
  <c r="AD2291" i="11"/>
  <c r="AC2291" i="11"/>
  <c r="AD2287" i="11"/>
  <c r="AC2287" i="11"/>
  <c r="AD2283" i="11"/>
  <c r="AC2283" i="11"/>
  <c r="AD2279" i="11"/>
  <c r="AC2279" i="11"/>
  <c r="AD2275" i="11"/>
  <c r="AC2275" i="11"/>
  <c r="AD2271" i="11"/>
  <c r="AC2271" i="11"/>
  <c r="AD2267" i="11"/>
  <c r="AC2267" i="11"/>
  <c r="AD2263" i="11"/>
  <c r="AC2263" i="11"/>
  <c r="AD2259" i="11"/>
  <c r="AC2259" i="11"/>
  <c r="AD2255" i="11"/>
  <c r="AC2255" i="11"/>
  <c r="AD2251" i="11"/>
  <c r="AC2251" i="11"/>
  <c r="AD2247" i="11"/>
  <c r="AC2247" i="11"/>
  <c r="AD2243" i="11"/>
  <c r="AC2243" i="11"/>
  <c r="AD2239" i="11"/>
  <c r="AC2239" i="11"/>
  <c r="AD2235" i="11"/>
  <c r="AC2235" i="11"/>
  <c r="AD2231" i="11"/>
  <c r="AC2231" i="11"/>
  <c r="AD2227" i="11"/>
  <c r="AC2227" i="11"/>
  <c r="AD2223" i="11"/>
  <c r="AC2223" i="11"/>
  <c r="AD2219" i="11"/>
  <c r="AC2219" i="11"/>
  <c r="AD2215" i="11"/>
  <c r="AC2215" i="11"/>
  <c r="AD2211" i="11"/>
  <c r="AC2211" i="11"/>
  <c r="AD2207" i="11"/>
  <c r="AC2207" i="11"/>
  <c r="AD2203" i="11"/>
  <c r="AC2203" i="11"/>
  <c r="AD2199" i="11"/>
  <c r="AC2199" i="11"/>
  <c r="AD2195" i="11"/>
  <c r="AC2195" i="11"/>
  <c r="AD2191" i="11"/>
  <c r="AC2191" i="11"/>
  <c r="AD2187" i="11"/>
  <c r="AC2187" i="11"/>
  <c r="AD2183" i="11"/>
  <c r="AC2183" i="11"/>
  <c r="AD2179" i="11"/>
  <c r="AC2179" i="11"/>
  <c r="AD2175" i="11"/>
  <c r="AC2175" i="11"/>
  <c r="AD2171" i="11"/>
  <c r="AC2171" i="11"/>
  <c r="AD2167" i="11"/>
  <c r="AC2167" i="11"/>
  <c r="AD2163" i="11"/>
  <c r="AC2163" i="11"/>
  <c r="AD2159" i="11"/>
  <c r="AC2159" i="11"/>
  <c r="AD2155" i="11"/>
  <c r="AC2155" i="11"/>
  <c r="AD2151" i="11"/>
  <c r="AC2151" i="11"/>
  <c r="AD2147" i="11"/>
  <c r="AC2147" i="11"/>
  <c r="AD2143" i="11"/>
  <c r="AC2143" i="11"/>
  <c r="AD2139" i="11"/>
  <c r="AC2139" i="11"/>
  <c r="AD2135" i="11"/>
  <c r="AC2135" i="11"/>
  <c r="AD2131" i="11"/>
  <c r="AC2131" i="11"/>
  <c r="AD2127" i="11"/>
  <c r="AC2127" i="11"/>
  <c r="AD2123" i="11"/>
  <c r="AC2123" i="11"/>
  <c r="AD2119" i="11"/>
  <c r="AC2119" i="11"/>
  <c r="AD2115" i="11"/>
  <c r="AC2115" i="11"/>
  <c r="AD2111" i="11"/>
  <c r="AC2111" i="11"/>
  <c r="AD2107" i="11"/>
  <c r="AC2107" i="11"/>
  <c r="AD2103" i="11"/>
  <c r="AC2103" i="11"/>
  <c r="AD2099" i="11"/>
  <c r="AC2099" i="11"/>
  <c r="AD2095" i="11"/>
  <c r="AC2095" i="11"/>
  <c r="AD2091" i="11"/>
  <c r="AC2091" i="11"/>
  <c r="AD2087" i="11"/>
  <c r="AC2087" i="11"/>
  <c r="AD2083" i="11"/>
  <c r="AC2083" i="11"/>
  <c r="AD2079" i="11"/>
  <c r="AC2079" i="11"/>
  <c r="AD2075" i="11"/>
  <c r="AC2075" i="11"/>
  <c r="AD2071" i="11"/>
  <c r="AC2071" i="11"/>
  <c r="AD2067" i="11"/>
  <c r="AC2067" i="11"/>
  <c r="AD2063" i="11"/>
  <c r="AC2063" i="11"/>
  <c r="AD2059" i="11"/>
  <c r="AC2059" i="11"/>
  <c r="AD2055" i="11"/>
  <c r="AC2055" i="11"/>
  <c r="AD2051" i="11"/>
  <c r="AC2051" i="11"/>
  <c r="AD2047" i="11"/>
  <c r="AC2047" i="11"/>
  <c r="AD2043" i="11"/>
  <c r="AC2043" i="11"/>
  <c r="AD2039" i="11"/>
  <c r="AC2039" i="11"/>
  <c r="AD2035" i="11"/>
  <c r="AC2035" i="11"/>
  <c r="AD2031" i="11"/>
  <c r="AC2031" i="11"/>
  <c r="AD2027" i="11"/>
  <c r="AC2027" i="11"/>
  <c r="AD2023" i="11"/>
  <c r="AC2023" i="11"/>
  <c r="AD2019" i="11"/>
  <c r="AC2019" i="11"/>
  <c r="AD2015" i="11"/>
  <c r="AC2015" i="11"/>
  <c r="AD2011" i="11"/>
  <c r="AC2011" i="11"/>
  <c r="AD2007" i="11"/>
  <c r="AC2007" i="11"/>
  <c r="AD2003" i="11"/>
  <c r="AC2003" i="11"/>
  <c r="AD1999" i="11"/>
  <c r="AC1999" i="11"/>
  <c r="AD1995" i="11"/>
  <c r="AC1995" i="11"/>
  <c r="AD1991" i="11"/>
  <c r="AC1991" i="11"/>
  <c r="AD1987" i="11"/>
  <c r="AC1987" i="11"/>
  <c r="AD1983" i="11"/>
  <c r="AC1983" i="11"/>
  <c r="AD1979" i="11"/>
  <c r="AC1979" i="11"/>
  <c r="AD1975" i="11"/>
  <c r="AC1975" i="11"/>
  <c r="AD1971" i="11"/>
  <c r="AC1971" i="11"/>
  <c r="AD1967" i="11"/>
  <c r="AC1967" i="11"/>
  <c r="AD1963" i="11"/>
  <c r="AC1963" i="11"/>
  <c r="AD1959" i="11"/>
  <c r="AC1959" i="11"/>
  <c r="AD1955" i="11"/>
  <c r="AC1955" i="11"/>
  <c r="AD1951" i="11"/>
  <c r="AC1951" i="11"/>
  <c r="AD1947" i="11"/>
  <c r="AC1947" i="11"/>
  <c r="AD1943" i="11"/>
  <c r="AC1943" i="11"/>
  <c r="AD1939" i="11"/>
  <c r="AC1939" i="11"/>
  <c r="AD1935" i="11"/>
  <c r="AC1935" i="11"/>
  <c r="AD1931" i="11"/>
  <c r="AC1931" i="11"/>
  <c r="AD1927" i="11"/>
  <c r="AC1927" i="11"/>
  <c r="AD1923" i="11"/>
  <c r="AC1923" i="11"/>
  <c r="AD1919" i="11"/>
  <c r="AC1919" i="11"/>
  <c r="AD1915" i="11"/>
  <c r="AC1915" i="11"/>
  <c r="AD1911" i="11"/>
  <c r="AC1911" i="11"/>
  <c r="AD1907" i="11"/>
  <c r="AC1907" i="11"/>
  <c r="AD1903" i="11"/>
  <c r="AC1903" i="11"/>
  <c r="AD1899" i="11"/>
  <c r="AC1899" i="11"/>
  <c r="AD1895" i="11"/>
  <c r="AC1895" i="11"/>
  <c r="AD1891" i="11"/>
  <c r="AC1891" i="11"/>
  <c r="AD1887" i="11"/>
  <c r="AC1887" i="11"/>
  <c r="AD1883" i="11"/>
  <c r="AC1883" i="11"/>
  <c r="AD1879" i="11"/>
  <c r="AC1879" i="11"/>
  <c r="AD1875" i="11"/>
  <c r="AC1875" i="11"/>
  <c r="AD1871" i="11"/>
  <c r="AC1871" i="11"/>
  <c r="AD1867" i="11"/>
  <c r="AC1867" i="11"/>
  <c r="AD1863" i="11"/>
  <c r="AC1863" i="11"/>
  <c r="AD1859" i="11"/>
  <c r="AC1859" i="11"/>
  <c r="AD1855" i="11"/>
  <c r="AC1855" i="11"/>
  <c r="AD1851" i="11"/>
  <c r="AC1851" i="11"/>
  <c r="AD1847" i="11"/>
  <c r="AC1847" i="11"/>
  <c r="AD1843" i="11"/>
  <c r="AC1843" i="11"/>
  <c r="AD1839" i="11"/>
  <c r="AC1839" i="11"/>
  <c r="AD1835" i="11"/>
  <c r="AC1835" i="11"/>
  <c r="AD1831" i="11"/>
  <c r="AC1831" i="11"/>
  <c r="AD1827" i="11"/>
  <c r="AC1827" i="11"/>
  <c r="AD1823" i="11"/>
  <c r="AC1823" i="11"/>
  <c r="AD1819" i="11"/>
  <c r="AC1819" i="11"/>
  <c r="AD1815" i="11"/>
  <c r="AC1815" i="11"/>
  <c r="AD1811" i="11"/>
  <c r="AC1811" i="11"/>
  <c r="AD1807" i="11"/>
  <c r="AC1807" i="11"/>
  <c r="AD1803" i="11"/>
  <c r="AC1803" i="11"/>
  <c r="AD1799" i="11"/>
  <c r="AC1799" i="11"/>
  <c r="AD1795" i="11"/>
  <c r="AC1795" i="11"/>
  <c r="AD1791" i="11"/>
  <c r="AC1791" i="11"/>
  <c r="AD1787" i="11"/>
  <c r="AC1787" i="11"/>
  <c r="AD1783" i="11"/>
  <c r="AC1783" i="11"/>
  <c r="AD1779" i="11"/>
  <c r="AC1779" i="11"/>
  <c r="AD1775" i="11"/>
  <c r="AC1775" i="11"/>
  <c r="AD1771" i="11"/>
  <c r="AC1771" i="11"/>
  <c r="AD1767" i="11"/>
  <c r="AC1767" i="11"/>
  <c r="AD1763" i="11"/>
  <c r="AC1763" i="11"/>
  <c r="AD1759" i="11"/>
  <c r="AC1759" i="11"/>
  <c r="AD1755" i="11"/>
  <c r="AC1755" i="11"/>
  <c r="AD1751" i="11"/>
  <c r="AC1751" i="11"/>
  <c r="AD1747" i="11"/>
  <c r="AC1747" i="11"/>
  <c r="AD1743" i="11"/>
  <c r="AC1743" i="11"/>
  <c r="AD1739" i="11"/>
  <c r="AC1739" i="11"/>
  <c r="AD1735" i="11"/>
  <c r="AC1735" i="11"/>
  <c r="AD1731" i="11"/>
  <c r="AC1731" i="11"/>
  <c r="AD1727" i="11"/>
  <c r="AC1727" i="11"/>
  <c r="AD1723" i="11"/>
  <c r="AC1723" i="11"/>
  <c r="AD1719" i="11"/>
  <c r="AC1719" i="11"/>
  <c r="AD1715" i="11"/>
  <c r="AC1715" i="11"/>
  <c r="AD1711" i="11"/>
  <c r="AC1711" i="11"/>
  <c r="AD1707" i="11"/>
  <c r="AC1707" i="11"/>
  <c r="AD1703" i="11"/>
  <c r="AC1703" i="11"/>
  <c r="AD1699" i="11"/>
  <c r="AC1699" i="11"/>
  <c r="AD1695" i="11"/>
  <c r="AC1695" i="11"/>
  <c r="AD1691" i="11"/>
  <c r="AC1691" i="11"/>
  <c r="AD1687" i="11"/>
  <c r="AC1687" i="11"/>
  <c r="AD1683" i="11"/>
  <c r="AC1683" i="11"/>
  <c r="AD1679" i="11"/>
  <c r="AC1679" i="11"/>
  <c r="AD1675" i="11"/>
  <c r="AC1675" i="11"/>
  <c r="AD1671" i="11"/>
  <c r="AC1671" i="11"/>
  <c r="AD1667" i="11"/>
  <c r="AC1667" i="11"/>
  <c r="AD1663" i="11"/>
  <c r="AC1663" i="11"/>
  <c r="AD1659" i="11"/>
  <c r="AC1659" i="11"/>
  <c r="AD1655" i="11"/>
  <c r="AC1655" i="11"/>
  <c r="AD1651" i="11"/>
  <c r="AC1651" i="11"/>
  <c r="AD1647" i="11"/>
  <c r="AC1647" i="11"/>
  <c r="AD1643" i="11"/>
  <c r="AC1643" i="11"/>
  <c r="AD1639" i="11"/>
  <c r="AC1639" i="11"/>
  <c r="AD1635" i="11"/>
  <c r="AC1635" i="11"/>
  <c r="AD1631" i="11"/>
  <c r="AC1631" i="11"/>
  <c r="AD1627" i="11"/>
  <c r="AC1627" i="11"/>
  <c r="AD1623" i="11"/>
  <c r="AC1623" i="11"/>
  <c r="AD1619" i="11"/>
  <c r="AC1619" i="11"/>
  <c r="AD1615" i="11"/>
  <c r="AC1615" i="11"/>
  <c r="AD1611" i="11"/>
  <c r="AC1611" i="11"/>
  <c r="AD1607" i="11"/>
  <c r="AC1607" i="11"/>
  <c r="AD1603" i="11"/>
  <c r="AC1603" i="11"/>
  <c r="AD1599" i="11"/>
  <c r="AC1599" i="11"/>
  <c r="AD1595" i="11"/>
  <c r="AC1595" i="11"/>
  <c r="AD1591" i="11"/>
  <c r="AC1591" i="11"/>
  <c r="AD1587" i="11"/>
  <c r="AC1587" i="11"/>
  <c r="AD1583" i="11"/>
  <c r="AC1583" i="11"/>
  <c r="AD1579" i="11"/>
  <c r="AC1579" i="11"/>
  <c r="AD1575" i="11"/>
  <c r="AC1575" i="11"/>
  <c r="AD1571" i="11"/>
  <c r="AC1571" i="11"/>
  <c r="AD1567" i="11"/>
  <c r="AC1567" i="11"/>
  <c r="AD1563" i="11"/>
  <c r="AC1563" i="11"/>
  <c r="AD1559" i="11"/>
  <c r="AC1559" i="11"/>
  <c r="AD1555" i="11"/>
  <c r="AC1555" i="11"/>
  <c r="AD1551" i="11"/>
  <c r="AC1551" i="11"/>
  <c r="AD1547" i="11"/>
  <c r="AC1547" i="11"/>
  <c r="AD1543" i="11"/>
  <c r="AC1543" i="11"/>
  <c r="AD1539" i="11"/>
  <c r="AC1539" i="11"/>
  <c r="AD1535" i="11"/>
  <c r="AC1535" i="11"/>
  <c r="AD1531" i="11"/>
  <c r="AC1531" i="11"/>
  <c r="AD1527" i="11"/>
  <c r="AC1527" i="11"/>
  <c r="AD1523" i="11"/>
  <c r="AC1523" i="11"/>
  <c r="AD1519" i="11"/>
  <c r="AC1519" i="11"/>
  <c r="AD1515" i="11"/>
  <c r="AC1515" i="11"/>
  <c r="AD1511" i="11"/>
  <c r="AC1511" i="11"/>
  <c r="AD1507" i="11"/>
  <c r="AC1507" i="11"/>
  <c r="AD1503" i="11"/>
  <c r="AC1503" i="11"/>
  <c r="AD1499" i="11"/>
  <c r="AC1499" i="11"/>
  <c r="AD1495" i="11"/>
  <c r="AC1495" i="11"/>
  <c r="AD1491" i="11"/>
  <c r="AC1491" i="11"/>
  <c r="AD1487" i="11"/>
  <c r="AC1487" i="11"/>
  <c r="AD1483" i="11"/>
  <c r="AC1483" i="11"/>
  <c r="AD1479" i="11"/>
  <c r="AC1479" i="11"/>
  <c r="AD1475" i="11"/>
  <c r="AC1475" i="11"/>
  <c r="AD1471" i="11"/>
  <c r="AC1471" i="11"/>
  <c r="AD1467" i="11"/>
  <c r="AC1467" i="11"/>
  <c r="AD1463" i="11"/>
  <c r="AC1463" i="11"/>
  <c r="AD1459" i="11"/>
  <c r="AC1459" i="11"/>
  <c r="AD1455" i="11"/>
  <c r="AC1455" i="11"/>
  <c r="AD1451" i="11"/>
  <c r="AC1451" i="11"/>
  <c r="AD1447" i="11"/>
  <c r="AC1447" i="11"/>
  <c r="AD1443" i="11"/>
  <c r="AC1443" i="11"/>
  <c r="AD1439" i="11"/>
  <c r="AC1439" i="11"/>
  <c r="AD1435" i="11"/>
  <c r="AC1435" i="11"/>
  <c r="AD1431" i="11"/>
  <c r="AC1431" i="11"/>
  <c r="AD1427" i="11"/>
  <c r="AC1427" i="11"/>
  <c r="AD1423" i="11"/>
  <c r="AC1423" i="11"/>
  <c r="AD1419" i="11"/>
  <c r="AC1419" i="11"/>
  <c r="AD1415" i="11"/>
  <c r="AC1415" i="11"/>
  <c r="AD1411" i="11"/>
  <c r="AC1411" i="11"/>
  <c r="AD1407" i="11"/>
  <c r="AC1407" i="11"/>
  <c r="AD1403" i="11"/>
  <c r="AC1403" i="11"/>
  <c r="AD1399" i="11"/>
  <c r="AC1399" i="11"/>
  <c r="AD1395" i="11"/>
  <c r="AC1395" i="11"/>
  <c r="AD1391" i="11"/>
  <c r="AC1391" i="11"/>
  <c r="AD1387" i="11"/>
  <c r="AC1387" i="11"/>
  <c r="AD1383" i="11"/>
  <c r="AC1383" i="11"/>
  <c r="AD1379" i="11"/>
  <c r="AC1379" i="11"/>
  <c r="AD1375" i="11"/>
  <c r="AC1375" i="11"/>
  <c r="AD1371" i="11"/>
  <c r="AC1371" i="11"/>
  <c r="AD1367" i="11"/>
  <c r="AC1367" i="11"/>
  <c r="AD1363" i="11"/>
  <c r="AC1363" i="11"/>
  <c r="AD1359" i="11"/>
  <c r="AC1359" i="11"/>
  <c r="AD1355" i="11"/>
  <c r="AC1355" i="11"/>
  <c r="AD1351" i="11"/>
  <c r="AC1351" i="11"/>
  <c r="AD1347" i="11"/>
  <c r="AC1347" i="11"/>
  <c r="AD1343" i="11"/>
  <c r="AC1343" i="11"/>
  <c r="AD1339" i="11"/>
  <c r="AC1339" i="11"/>
  <c r="AD1335" i="11"/>
  <c r="AC1335" i="11"/>
  <c r="AD1331" i="11"/>
  <c r="AC1331" i="11"/>
  <c r="AD1327" i="11"/>
  <c r="AC1327" i="11"/>
  <c r="AD1323" i="11"/>
  <c r="AC1323" i="11"/>
  <c r="AD1319" i="11"/>
  <c r="AC1319" i="11"/>
  <c r="AD1315" i="11"/>
  <c r="AC1315" i="11"/>
  <c r="AD1311" i="11"/>
  <c r="AC1311" i="11"/>
  <c r="AD1307" i="11"/>
  <c r="AC1307" i="11"/>
  <c r="AD1303" i="11"/>
  <c r="AC1303" i="11"/>
  <c r="AD1299" i="11"/>
  <c r="AC1299" i="11"/>
  <c r="AD1295" i="11"/>
  <c r="AC1295" i="11"/>
  <c r="AD1291" i="11"/>
  <c r="AC1291" i="11"/>
  <c r="AD1287" i="11"/>
  <c r="AC1287" i="11"/>
  <c r="AD1283" i="11"/>
  <c r="AC1283" i="11"/>
  <c r="AD1279" i="11"/>
  <c r="AC1279" i="11"/>
  <c r="AD1275" i="11"/>
  <c r="AC1275" i="11"/>
  <c r="AD1271" i="11"/>
  <c r="AC1271" i="11"/>
  <c r="AD1267" i="11"/>
  <c r="AC1267" i="11"/>
  <c r="AD1263" i="11"/>
  <c r="AC1263" i="11"/>
  <c r="AD1259" i="11"/>
  <c r="AC1259" i="11"/>
  <c r="AD1255" i="11"/>
  <c r="AC1255" i="11"/>
  <c r="AD1251" i="11"/>
  <c r="AC1251" i="11"/>
  <c r="AD1247" i="11"/>
  <c r="AC1247" i="11"/>
  <c r="AD1243" i="11"/>
  <c r="AC1243" i="11"/>
  <c r="AD1239" i="11"/>
  <c r="AC1239" i="11"/>
  <c r="AD1235" i="11"/>
  <c r="AC1235" i="11"/>
  <c r="AD1231" i="11"/>
  <c r="AC1231" i="11"/>
  <c r="AD1227" i="11"/>
  <c r="AC1227" i="11"/>
  <c r="AD1223" i="11"/>
  <c r="AC1223" i="11"/>
  <c r="AD1219" i="11"/>
  <c r="AC1219" i="11"/>
  <c r="AD1215" i="11"/>
  <c r="AC1215" i="11"/>
  <c r="AD1211" i="11"/>
  <c r="AC1211" i="11"/>
  <c r="AD1207" i="11"/>
  <c r="AC1207" i="11"/>
  <c r="AD1203" i="11"/>
  <c r="AC1203" i="11"/>
  <c r="AD1199" i="11"/>
  <c r="AC1199" i="11"/>
  <c r="AD1195" i="11"/>
  <c r="AC1195" i="11"/>
  <c r="AD1191" i="11"/>
  <c r="AC1191" i="11"/>
  <c r="AD1187" i="11"/>
  <c r="AC1187" i="11"/>
  <c r="AD1183" i="11"/>
  <c r="AC1183" i="11"/>
  <c r="AD1179" i="11"/>
  <c r="AC1179" i="11"/>
  <c r="AD1175" i="11"/>
  <c r="AC1175" i="11"/>
  <c r="AD1171" i="11"/>
  <c r="AC1171" i="11"/>
  <c r="AD1167" i="11"/>
  <c r="AC1167" i="11"/>
  <c r="AD1163" i="11"/>
  <c r="AC1163" i="11"/>
  <c r="AD1159" i="11"/>
  <c r="AC1159" i="11"/>
  <c r="AD1155" i="11"/>
  <c r="AC1155" i="11"/>
  <c r="AD1151" i="11"/>
  <c r="AC1151" i="11"/>
  <c r="AD1147" i="11"/>
  <c r="AC1147" i="11"/>
  <c r="AD1143" i="11"/>
  <c r="AC1143" i="11"/>
  <c r="AD1139" i="11"/>
  <c r="AC1139" i="11"/>
  <c r="AD1135" i="11"/>
  <c r="AC1135" i="11"/>
  <c r="AD1131" i="11"/>
  <c r="AC1131" i="11"/>
  <c r="AD1127" i="11"/>
  <c r="AC1127" i="11"/>
  <c r="AD1123" i="11"/>
  <c r="AC1123" i="11"/>
  <c r="AD1119" i="11"/>
  <c r="AC1119" i="11"/>
  <c r="AD1115" i="11"/>
  <c r="AC1115" i="11"/>
  <c r="AD1111" i="11"/>
  <c r="AC1111" i="11"/>
  <c r="AD1107" i="11"/>
  <c r="AC1107" i="11"/>
  <c r="AD1103" i="11"/>
  <c r="AC1103" i="11"/>
  <c r="AD1099" i="11"/>
  <c r="AC1099" i="11"/>
  <c r="AD1095" i="11"/>
  <c r="AC1095" i="11"/>
  <c r="AD1091" i="11"/>
  <c r="AC1091" i="11"/>
  <c r="AD1087" i="11"/>
  <c r="AC1087" i="11"/>
  <c r="AD1083" i="11"/>
  <c r="AC1083" i="11"/>
  <c r="AD1079" i="11"/>
  <c r="AC1079" i="11"/>
  <c r="AD1075" i="11"/>
  <c r="AC1075" i="11"/>
  <c r="AD1071" i="11"/>
  <c r="AC1071" i="11"/>
  <c r="AD1067" i="11"/>
  <c r="AC1067" i="11"/>
  <c r="AD1063" i="11"/>
  <c r="AC1063" i="11"/>
  <c r="AD1059" i="11"/>
  <c r="AC1059" i="11"/>
  <c r="AD1055" i="11"/>
  <c r="AC1055" i="11"/>
  <c r="AD1051" i="11"/>
  <c r="AC1051" i="11"/>
  <c r="AD1047" i="11"/>
  <c r="AC1047" i="11"/>
  <c r="AD1043" i="11"/>
  <c r="AC1043" i="11"/>
  <c r="AD1039" i="11"/>
  <c r="AC1039" i="11"/>
  <c r="AD1035" i="11"/>
  <c r="AC1035" i="11"/>
  <c r="AD1031" i="11"/>
  <c r="AC1031" i="11"/>
  <c r="AD1027" i="11"/>
  <c r="AC1027" i="11"/>
  <c r="AD1023" i="11"/>
  <c r="AC1023" i="11"/>
  <c r="AD1019" i="11"/>
  <c r="AC1019" i="11"/>
  <c r="AD1015" i="11"/>
  <c r="AC1015" i="11"/>
  <c r="AD1011" i="11"/>
  <c r="AC1011" i="11"/>
  <c r="AD1007" i="11"/>
  <c r="AC1007" i="11"/>
  <c r="AD1003" i="11"/>
  <c r="AC1003" i="11"/>
  <c r="AD999" i="11"/>
  <c r="AC999" i="11"/>
  <c r="AD995" i="11"/>
  <c r="AC995" i="11"/>
  <c r="AD991" i="11"/>
  <c r="AC991" i="11"/>
  <c r="AD987" i="11"/>
  <c r="AC987" i="11"/>
  <c r="AD983" i="11"/>
  <c r="AC983" i="11"/>
  <c r="AD979" i="11"/>
  <c r="AC979" i="11"/>
  <c r="AD975" i="11"/>
  <c r="AC975" i="11"/>
  <c r="AD971" i="11"/>
  <c r="AC971" i="11"/>
  <c r="AD967" i="11"/>
  <c r="AC967" i="11"/>
  <c r="AD963" i="11"/>
  <c r="AC963" i="11"/>
  <c r="AD959" i="11"/>
  <c r="AC959" i="11"/>
  <c r="AD955" i="11"/>
  <c r="AC955" i="11"/>
  <c r="AD951" i="11"/>
  <c r="AC951" i="11"/>
  <c r="AD947" i="11"/>
  <c r="AC947" i="11"/>
  <c r="AD943" i="11"/>
  <c r="AC943" i="11"/>
  <c r="AD939" i="11"/>
  <c r="AC939" i="11"/>
  <c r="AD935" i="11"/>
  <c r="AC935" i="11"/>
  <c r="AD931" i="11"/>
  <c r="AC931" i="11"/>
  <c r="AD927" i="11"/>
  <c r="AC927" i="11"/>
  <c r="AD923" i="11"/>
  <c r="AC923" i="11"/>
  <c r="AD919" i="11"/>
  <c r="AC919" i="11"/>
  <c r="AD915" i="11"/>
  <c r="AC915" i="11"/>
  <c r="AD911" i="11"/>
  <c r="AC911" i="11"/>
  <c r="AD907" i="11"/>
  <c r="AC907" i="11"/>
  <c r="AD903" i="11"/>
  <c r="AC903" i="11"/>
  <c r="AD899" i="11"/>
  <c r="AC899" i="11"/>
  <c r="AD895" i="11"/>
  <c r="AC895" i="11"/>
  <c r="AD891" i="11"/>
  <c r="AC891" i="11"/>
  <c r="AD887" i="11"/>
  <c r="AC887" i="11"/>
  <c r="AD883" i="11"/>
  <c r="AC883" i="11"/>
  <c r="AD879" i="11"/>
  <c r="AC879" i="11"/>
  <c r="AD875" i="11"/>
  <c r="AC875" i="11"/>
  <c r="AD871" i="11"/>
  <c r="AC871" i="11"/>
  <c r="AD867" i="11"/>
  <c r="AC867" i="11"/>
  <c r="AD863" i="11"/>
  <c r="AC863" i="11"/>
  <c r="AD859" i="11"/>
  <c r="AC859" i="11"/>
  <c r="AD855" i="11"/>
  <c r="AC855" i="11"/>
  <c r="AD851" i="11"/>
  <c r="AC851" i="11"/>
  <c r="AD847" i="11"/>
  <c r="AC847" i="11"/>
  <c r="AD843" i="11"/>
  <c r="AC843" i="11"/>
  <c r="AD839" i="11"/>
  <c r="AC839" i="11"/>
  <c r="AD835" i="11"/>
  <c r="AC835" i="11"/>
  <c r="AD831" i="11"/>
  <c r="AC831" i="11"/>
  <c r="AD827" i="11"/>
  <c r="AC827" i="11"/>
  <c r="AD823" i="11"/>
  <c r="AC823" i="11"/>
  <c r="AD819" i="11"/>
  <c r="AC819" i="11"/>
  <c r="AD815" i="11"/>
  <c r="AC815" i="11"/>
  <c r="AD811" i="11"/>
  <c r="AC811" i="11"/>
  <c r="AD807" i="11"/>
  <c r="AC807" i="11"/>
  <c r="AD803" i="11"/>
  <c r="AC803" i="11"/>
  <c r="AD799" i="11"/>
  <c r="AC799" i="11"/>
  <c r="AD795" i="11"/>
  <c r="AC795" i="11"/>
  <c r="AD791" i="11"/>
  <c r="AC791" i="11"/>
  <c r="AD787" i="11"/>
  <c r="AC787" i="11"/>
  <c r="AD783" i="11"/>
  <c r="AC783" i="11"/>
  <c r="AD779" i="11"/>
  <c r="AC779" i="11"/>
  <c r="AD775" i="11"/>
  <c r="AC775" i="11"/>
  <c r="AD771" i="11"/>
  <c r="AC771" i="11"/>
  <c r="AD767" i="11"/>
  <c r="AC767" i="11"/>
  <c r="AD763" i="11"/>
  <c r="AC763" i="11"/>
  <c r="AD759" i="11"/>
  <c r="AC759" i="11"/>
  <c r="AD755" i="11"/>
  <c r="AC755" i="11"/>
  <c r="AD751" i="11"/>
  <c r="AC751" i="11"/>
  <c r="AD747" i="11"/>
  <c r="AC747" i="11"/>
  <c r="AD743" i="11"/>
  <c r="AC743" i="11"/>
  <c r="AD739" i="11"/>
  <c r="AC739" i="11"/>
  <c r="AD735" i="11"/>
  <c r="AC735" i="11"/>
  <c r="AD731" i="11"/>
  <c r="AC731" i="11"/>
  <c r="AD727" i="11"/>
  <c r="AC727" i="11"/>
  <c r="AD723" i="11"/>
  <c r="AC723" i="11"/>
  <c r="AD719" i="11"/>
  <c r="AC719" i="11"/>
  <c r="AD715" i="11"/>
  <c r="AC715" i="11"/>
  <c r="AD711" i="11"/>
  <c r="AC711" i="11"/>
  <c r="AD707" i="11"/>
  <c r="AC707" i="11"/>
  <c r="AD703" i="11"/>
  <c r="AC703" i="11"/>
  <c r="AD699" i="11"/>
  <c r="AC699" i="11"/>
  <c r="AD695" i="11"/>
  <c r="AC695" i="11"/>
  <c r="AD691" i="11"/>
  <c r="AC691" i="11"/>
  <c r="AD687" i="11"/>
  <c r="AC687" i="11"/>
  <c r="AD683" i="11"/>
  <c r="AC683" i="11"/>
  <c r="AD679" i="11"/>
  <c r="AC679" i="11"/>
  <c r="AD675" i="11"/>
  <c r="AC675" i="11"/>
  <c r="AD671" i="11"/>
  <c r="AC671" i="11"/>
  <c r="AD667" i="11"/>
  <c r="AC667" i="11"/>
  <c r="AD663" i="11"/>
  <c r="AC663" i="11"/>
  <c r="AD659" i="11"/>
  <c r="AC659" i="11"/>
  <c r="AD655" i="11"/>
  <c r="AC655" i="11"/>
  <c r="AD651" i="11"/>
  <c r="AC651" i="11"/>
  <c r="AD647" i="11"/>
  <c r="AC647" i="11"/>
  <c r="AD643" i="11"/>
  <c r="AC643" i="11"/>
  <c r="AD639" i="11"/>
  <c r="AC639" i="11"/>
  <c r="AD635" i="11"/>
  <c r="AC635" i="11"/>
  <c r="AD631" i="11"/>
  <c r="AC631" i="11"/>
  <c r="AD627" i="11"/>
  <c r="AC627" i="11"/>
  <c r="AD623" i="11"/>
  <c r="AC623" i="11"/>
  <c r="AD619" i="11"/>
  <c r="AC619" i="11"/>
  <c r="AD615" i="11"/>
  <c r="AC615" i="11"/>
  <c r="AD611" i="11"/>
  <c r="AC611" i="11"/>
  <c r="AD607" i="11"/>
  <c r="AC607" i="11"/>
  <c r="AD603" i="11"/>
  <c r="AC603" i="11"/>
  <c r="AD599" i="11"/>
  <c r="AC599" i="11"/>
  <c r="AD595" i="11"/>
  <c r="AC595" i="11"/>
  <c r="AD591" i="11"/>
  <c r="AC591" i="11"/>
  <c r="AD587" i="11"/>
  <c r="AC587" i="11"/>
  <c r="AD583" i="11"/>
  <c r="AC583" i="11"/>
  <c r="AD579" i="11"/>
  <c r="AC579" i="11"/>
  <c r="AD575" i="11"/>
  <c r="AC575" i="11"/>
  <c r="AD571" i="11"/>
  <c r="AC571" i="11"/>
  <c r="AD567" i="11"/>
  <c r="AC567" i="11"/>
  <c r="AD563" i="11"/>
  <c r="AC563" i="11"/>
  <c r="AD559" i="11"/>
  <c r="AC559" i="11"/>
  <c r="AD555" i="11"/>
  <c r="AC555" i="11"/>
  <c r="AD551" i="11"/>
  <c r="AC551" i="11"/>
  <c r="AD547" i="11"/>
  <c r="AC547" i="11"/>
  <c r="AD543" i="11"/>
  <c r="AC543" i="11"/>
  <c r="AD539" i="11"/>
  <c r="AC539" i="11"/>
  <c r="AD535" i="11"/>
  <c r="AC535" i="11"/>
  <c r="AD531" i="11"/>
  <c r="AC531" i="11"/>
  <c r="AD527" i="11"/>
  <c r="AC527" i="11"/>
  <c r="AD523" i="11"/>
  <c r="AC523" i="11"/>
  <c r="AD519" i="11"/>
  <c r="AC519" i="11"/>
  <c r="AD515" i="11"/>
  <c r="AC515" i="11"/>
  <c r="AD511" i="11"/>
  <c r="AC511" i="11"/>
  <c r="AD507" i="11"/>
  <c r="AC507" i="11"/>
  <c r="AD503" i="11"/>
  <c r="AC503" i="11"/>
  <c r="AD499" i="11"/>
  <c r="AC499" i="11"/>
  <c r="AD495" i="11"/>
  <c r="AC495" i="11"/>
  <c r="AD491" i="11"/>
  <c r="AC491" i="11"/>
  <c r="AD487" i="11"/>
  <c r="AC487" i="11"/>
  <c r="AD483" i="11"/>
  <c r="AC483" i="11"/>
  <c r="AD479" i="11"/>
  <c r="AC479" i="11"/>
  <c r="AD475" i="11"/>
  <c r="AC475" i="11"/>
  <c r="AD471" i="11"/>
  <c r="AC471" i="11"/>
  <c r="AD467" i="11"/>
  <c r="AC467" i="11"/>
  <c r="AD463" i="11"/>
  <c r="AC463" i="11"/>
  <c r="AD459" i="11"/>
  <c r="AC459" i="11"/>
  <c r="AD455" i="11"/>
  <c r="AC455" i="11"/>
  <c r="AD451" i="11"/>
  <c r="AC451" i="11"/>
  <c r="AD447" i="11"/>
  <c r="AC447" i="11"/>
  <c r="AD443" i="11"/>
  <c r="AC443" i="11"/>
  <c r="AD439" i="11"/>
  <c r="AC439" i="11"/>
  <c r="AD435" i="11"/>
  <c r="AC435" i="11"/>
  <c r="AD431" i="11"/>
  <c r="AC431" i="11"/>
  <c r="AD427" i="11"/>
  <c r="AC427" i="11"/>
  <c r="AD423" i="11"/>
  <c r="AC423" i="11"/>
  <c r="AD419" i="11"/>
  <c r="AC419" i="11"/>
  <c r="AD415" i="11"/>
  <c r="AC415" i="11"/>
  <c r="AD411" i="11"/>
  <c r="AC411" i="11"/>
  <c r="AD407" i="11"/>
  <c r="AC407" i="11"/>
  <c r="AD403" i="11"/>
  <c r="AC403" i="11"/>
  <c r="AD399" i="11"/>
  <c r="AC399" i="11"/>
  <c r="AD395" i="11"/>
  <c r="AC395" i="11"/>
  <c r="AD391" i="11"/>
  <c r="AC391" i="11"/>
  <c r="AD387" i="11"/>
  <c r="AC387" i="11"/>
  <c r="AD383" i="11"/>
  <c r="AC383" i="11"/>
  <c r="AD379" i="11"/>
  <c r="AC379" i="11"/>
  <c r="AD375" i="11"/>
  <c r="AC375" i="11"/>
  <c r="AD371" i="11"/>
  <c r="AC371" i="11"/>
  <c r="AD367" i="11"/>
  <c r="AC367" i="11"/>
  <c r="AD363" i="11"/>
  <c r="AC363" i="11"/>
  <c r="AD359" i="11"/>
  <c r="AC359" i="11"/>
  <c r="AD355" i="11"/>
  <c r="AC355" i="11"/>
  <c r="AD351" i="11"/>
  <c r="AC351" i="11"/>
  <c r="AD347" i="11"/>
  <c r="AC347" i="11"/>
  <c r="AD343" i="11"/>
  <c r="AC343" i="11"/>
  <c r="AD339" i="11"/>
  <c r="AC339" i="11"/>
  <c r="AD335" i="11"/>
  <c r="AC335" i="11"/>
  <c r="AD331" i="11"/>
  <c r="AC331" i="11"/>
  <c r="AD327" i="11"/>
  <c r="AC327" i="11"/>
  <c r="AD323" i="11"/>
  <c r="AC323" i="11"/>
  <c r="AD319" i="11"/>
  <c r="AC319" i="11"/>
  <c r="AD315" i="11"/>
  <c r="AC315" i="11"/>
  <c r="AD311" i="11"/>
  <c r="AC311" i="11"/>
  <c r="AD307" i="11"/>
  <c r="AC307" i="11"/>
  <c r="AD303" i="11"/>
  <c r="AC303" i="11"/>
  <c r="AD299" i="11"/>
  <c r="AC299" i="11"/>
  <c r="AD295" i="11"/>
  <c r="AC295" i="11"/>
  <c r="AD291" i="11"/>
  <c r="AC291" i="11"/>
  <c r="AD287" i="11"/>
  <c r="AC287" i="11"/>
  <c r="AD283" i="11"/>
  <c r="AC283" i="11"/>
  <c r="AD279" i="11"/>
  <c r="AC279" i="11"/>
  <c r="AD275" i="11"/>
  <c r="AC275" i="11"/>
  <c r="AD271" i="11"/>
  <c r="AC271" i="11"/>
  <c r="AD267" i="11"/>
  <c r="AC267" i="11"/>
  <c r="AD263" i="11"/>
  <c r="AC263" i="11"/>
  <c r="AD259" i="11"/>
  <c r="AC259" i="11"/>
  <c r="AD255" i="11"/>
  <c r="AC255" i="11"/>
  <c r="AD251" i="11"/>
  <c r="AC251" i="11"/>
  <c r="AD247" i="11"/>
  <c r="AC247" i="11"/>
  <c r="AD243" i="11"/>
  <c r="AC243" i="11"/>
  <c r="AD239" i="11"/>
  <c r="AC239" i="11"/>
  <c r="AD235" i="11"/>
  <c r="AC235" i="11"/>
  <c r="AD231" i="11"/>
  <c r="AC231" i="11"/>
  <c r="AD227" i="11"/>
  <c r="AC227" i="11"/>
  <c r="AD223" i="11"/>
  <c r="AC223" i="11"/>
  <c r="AD219" i="11"/>
  <c r="AC219" i="11"/>
  <c r="AD215" i="11"/>
  <c r="AC215" i="11"/>
  <c r="AD211" i="11"/>
  <c r="AC211" i="11"/>
  <c r="AD207" i="11"/>
  <c r="AC207" i="11"/>
  <c r="AD203" i="11"/>
  <c r="AC203" i="11"/>
  <c r="AD199" i="11"/>
  <c r="AC199" i="11"/>
  <c r="AD195" i="11"/>
  <c r="AC195" i="11"/>
  <c r="AD191" i="11"/>
  <c r="AC191" i="11"/>
  <c r="AD187" i="11"/>
  <c r="AC187" i="11"/>
  <c r="AD183" i="11"/>
  <c r="AC183" i="11"/>
  <c r="AD179" i="11"/>
  <c r="AC179" i="11"/>
  <c r="AD175" i="11"/>
  <c r="AC175" i="11"/>
  <c r="AD171" i="11"/>
  <c r="AC171" i="11"/>
  <c r="AD167" i="11"/>
  <c r="AC167" i="11"/>
  <c r="AD163" i="11"/>
  <c r="AC163" i="11"/>
  <c r="AD159" i="11"/>
  <c r="AC159" i="11"/>
  <c r="AD155" i="11"/>
  <c r="AC155" i="11"/>
  <c r="AD151" i="11"/>
  <c r="AC151" i="11"/>
  <c r="AD147" i="11"/>
  <c r="AC147" i="11"/>
  <c r="AD143" i="11"/>
  <c r="AC143" i="11"/>
  <c r="AD139" i="11"/>
  <c r="AC139" i="11"/>
  <c r="AD135" i="11"/>
  <c r="AC135" i="11"/>
  <c r="AD131" i="11"/>
  <c r="AC131" i="11"/>
  <c r="AD127" i="11"/>
  <c r="AC127" i="11"/>
  <c r="AD123" i="11"/>
  <c r="AC123" i="11"/>
  <c r="AD119" i="11"/>
  <c r="AC119" i="11"/>
  <c r="AD115" i="11"/>
  <c r="AC115" i="11"/>
  <c r="AD111" i="11"/>
  <c r="AC111" i="11"/>
  <c r="AD107" i="11"/>
  <c r="AC107" i="11"/>
  <c r="AD103" i="11"/>
  <c r="AC103" i="11"/>
  <c r="AD99" i="11"/>
  <c r="AC99" i="11"/>
  <c r="AD95" i="11"/>
  <c r="AC95" i="11"/>
  <c r="AD91" i="11"/>
  <c r="AC91" i="11"/>
  <c r="AD87" i="11"/>
  <c r="AC87" i="11"/>
  <c r="AD83" i="11"/>
  <c r="AC83" i="11"/>
  <c r="AD79" i="11"/>
  <c r="AC79" i="11"/>
  <c r="AD75" i="11"/>
  <c r="AC75" i="11"/>
  <c r="AD71" i="11"/>
  <c r="AC71" i="11"/>
  <c r="AD67" i="11"/>
  <c r="AC67" i="11"/>
  <c r="AD63" i="11"/>
  <c r="AC63" i="11"/>
  <c r="AD59" i="11"/>
  <c r="AC59" i="11"/>
  <c r="AD55" i="11"/>
  <c r="AC55" i="11"/>
  <c r="AD51" i="11"/>
  <c r="AC51" i="11"/>
  <c r="AD47" i="11"/>
  <c r="AC47" i="11"/>
  <c r="AD43" i="11"/>
  <c r="AC43" i="11"/>
  <c r="AD39" i="11"/>
  <c r="AC39" i="11"/>
  <c r="AD35" i="11"/>
  <c r="AC35" i="11"/>
  <c r="AD31" i="11"/>
  <c r="AC31" i="11"/>
  <c r="AD27" i="11"/>
  <c r="AC27" i="11"/>
  <c r="AD23" i="11"/>
  <c r="AC23" i="11"/>
  <c r="AD19" i="11"/>
  <c r="AC19" i="11"/>
  <c r="AD15" i="11"/>
  <c r="AC15" i="11"/>
  <c r="AD11" i="11"/>
  <c r="AC11" i="11"/>
  <c r="AD7" i="11"/>
  <c r="AC7" i="11"/>
  <c r="AD2654" i="11"/>
  <c r="AC2654" i="11"/>
  <c r="AD2650" i="11"/>
  <c r="AC2650" i="11"/>
  <c r="AD2646" i="11"/>
  <c r="AC2646" i="11"/>
  <c r="AD2642" i="11"/>
  <c r="AC2642" i="11"/>
  <c r="AD2638" i="11"/>
  <c r="AC2638" i="11"/>
  <c r="AD2634" i="11"/>
  <c r="AC2634" i="11"/>
  <c r="AD2630" i="11"/>
  <c r="AC2630" i="11"/>
  <c r="AD2626" i="11"/>
  <c r="AC2626" i="11"/>
  <c r="AD2622" i="11"/>
  <c r="AC2622" i="11"/>
  <c r="AD2618" i="11"/>
  <c r="AC2618" i="11"/>
  <c r="AD2614" i="11"/>
  <c r="AC2614" i="11"/>
  <c r="AD2610" i="11"/>
  <c r="AC2610" i="11"/>
  <c r="AD2606" i="11"/>
  <c r="AC2606" i="11"/>
  <c r="AD2602" i="11"/>
  <c r="AC2602" i="11"/>
  <c r="AD2598" i="11"/>
  <c r="AC2598" i="11"/>
  <c r="AD2594" i="11"/>
  <c r="AC2594" i="11"/>
  <c r="AD2590" i="11"/>
  <c r="AC2590" i="11"/>
  <c r="AD2586" i="11"/>
  <c r="AC2586" i="11"/>
  <c r="AD2582" i="11"/>
  <c r="AC2582" i="11"/>
  <c r="AD2578" i="11"/>
  <c r="AC2578" i="11"/>
  <c r="AD2574" i="11"/>
  <c r="AC2574" i="11"/>
  <c r="AD2570" i="11"/>
  <c r="AC2570" i="11"/>
  <c r="AD2566" i="11"/>
  <c r="AC2566" i="11"/>
  <c r="AD2562" i="11"/>
  <c r="AC2562" i="11"/>
  <c r="AD2558" i="11"/>
  <c r="AC2558" i="11"/>
  <c r="AD2554" i="11"/>
  <c r="AC2554" i="11"/>
  <c r="AD2550" i="11"/>
  <c r="AC2550" i="11"/>
  <c r="AD2546" i="11"/>
  <c r="AC2546" i="11"/>
  <c r="AD2542" i="11"/>
  <c r="AC2542" i="11"/>
  <c r="AD2538" i="11"/>
  <c r="AC2538" i="11"/>
  <c r="AD2534" i="11"/>
  <c r="AC2534" i="11"/>
  <c r="AD2530" i="11"/>
  <c r="AC2530" i="11"/>
  <c r="AD2526" i="11"/>
  <c r="AC2526" i="11"/>
  <c r="AD2522" i="11"/>
  <c r="AC2522" i="11"/>
  <c r="AD2518" i="11"/>
  <c r="AC2518" i="11"/>
  <c r="AD2514" i="11"/>
  <c r="AC2514" i="11"/>
  <c r="AD2510" i="11"/>
  <c r="AC2510" i="11"/>
  <c r="AD2506" i="11"/>
  <c r="AC2506" i="11"/>
  <c r="AD2502" i="11"/>
  <c r="AC2502" i="11"/>
  <c r="AD2498" i="11"/>
  <c r="AC2498" i="11"/>
  <c r="AD2494" i="11"/>
  <c r="AC2494" i="11"/>
  <c r="AD2490" i="11"/>
  <c r="AC2490" i="11"/>
  <c r="AD2486" i="11"/>
  <c r="AC2486" i="11"/>
  <c r="AD2482" i="11"/>
  <c r="AC2482" i="11"/>
  <c r="AD2478" i="11"/>
  <c r="AC2478" i="11"/>
  <c r="AD2474" i="11"/>
  <c r="AC2474" i="11"/>
  <c r="AD2470" i="11"/>
  <c r="AC2470" i="11"/>
  <c r="AD2466" i="11"/>
  <c r="AC2466" i="11"/>
  <c r="AD2462" i="11"/>
  <c r="AC2462" i="11"/>
  <c r="AD2458" i="11"/>
  <c r="AC2458" i="11"/>
  <c r="AD2454" i="11"/>
  <c r="AC2454" i="11"/>
  <c r="AD2450" i="11"/>
  <c r="AC2450" i="11"/>
  <c r="AD2446" i="11"/>
  <c r="AC2446" i="11"/>
  <c r="AD2442" i="11"/>
  <c r="AC2442" i="11"/>
  <c r="AD2438" i="11"/>
  <c r="AC2438" i="11"/>
  <c r="AD2434" i="11"/>
  <c r="AC2434" i="11"/>
  <c r="AD2430" i="11"/>
  <c r="AC2430" i="11"/>
  <c r="AD2426" i="11"/>
  <c r="AC2426" i="11"/>
  <c r="AD2422" i="11"/>
  <c r="AC2422" i="11"/>
  <c r="AD2418" i="11"/>
  <c r="AC2418" i="11"/>
  <c r="AD2414" i="11"/>
  <c r="AC2414" i="11"/>
  <c r="AD2410" i="11"/>
  <c r="AC2410" i="11"/>
  <c r="AD2406" i="11"/>
  <c r="AC2406" i="11"/>
  <c r="AD2402" i="11"/>
  <c r="AC2402" i="11"/>
  <c r="AD2398" i="11"/>
  <c r="AC2398" i="11"/>
  <c r="AD2394" i="11"/>
  <c r="AC2394" i="11"/>
  <c r="AD2390" i="11"/>
  <c r="AC2390" i="11"/>
  <c r="AD2386" i="11"/>
  <c r="AC2386" i="11"/>
  <c r="AD2382" i="11"/>
  <c r="AC2382" i="11"/>
  <c r="AD2378" i="11"/>
  <c r="AC2378" i="11"/>
  <c r="AD2374" i="11"/>
  <c r="AC2374" i="11"/>
  <c r="AD2370" i="11"/>
  <c r="AC2370" i="11"/>
  <c r="AD2366" i="11"/>
  <c r="AC2366" i="11"/>
  <c r="AD2362" i="11"/>
  <c r="AC2362" i="11"/>
  <c r="AD2358" i="11"/>
  <c r="AC2358" i="11"/>
  <c r="AD2354" i="11"/>
  <c r="AC2354" i="11"/>
  <c r="AD2350" i="11"/>
  <c r="AC2350" i="11"/>
  <c r="AD2346" i="11"/>
  <c r="AC2346" i="11"/>
  <c r="AD2342" i="11"/>
  <c r="AC2342" i="11"/>
  <c r="AD2338" i="11"/>
  <c r="AC2338" i="11"/>
  <c r="AD2334" i="11"/>
  <c r="AC2334" i="11"/>
  <c r="AD2330" i="11"/>
  <c r="AC2330" i="11"/>
  <c r="AD2326" i="11"/>
  <c r="AC2326" i="11"/>
  <c r="AD2322" i="11"/>
  <c r="AC2322" i="11"/>
  <c r="AD2318" i="11"/>
  <c r="AC2318" i="11"/>
  <c r="AD2314" i="11"/>
  <c r="AC2314" i="11"/>
  <c r="AD2310" i="11"/>
  <c r="AC2310" i="11"/>
  <c r="AD2306" i="11"/>
  <c r="AC2306" i="11"/>
  <c r="AD2302" i="11"/>
  <c r="AC2302" i="11"/>
  <c r="AD2298" i="11"/>
  <c r="AC2298" i="11"/>
  <c r="AD2294" i="11"/>
  <c r="AC2294" i="11"/>
  <c r="AD2290" i="11"/>
  <c r="AC2290" i="11"/>
  <c r="AD2286" i="11"/>
  <c r="AC2286" i="11"/>
  <c r="AD2282" i="11"/>
  <c r="AC2282" i="11"/>
  <c r="AD2278" i="11"/>
  <c r="AC2278" i="11"/>
  <c r="AD2274" i="11"/>
  <c r="AC2274" i="11"/>
  <c r="AD2270" i="11"/>
  <c r="AC2270" i="11"/>
  <c r="AD2266" i="11"/>
  <c r="AC2266" i="11"/>
  <c r="AD2262" i="11"/>
  <c r="AC2262" i="11"/>
  <c r="AD2258" i="11"/>
  <c r="AC2258" i="11"/>
  <c r="AD2254" i="11"/>
  <c r="AC2254" i="11"/>
  <c r="AD2250" i="11"/>
  <c r="AC2250" i="11"/>
  <c r="AD2246" i="11"/>
  <c r="AC2246" i="11"/>
  <c r="AD2242" i="11"/>
  <c r="AC2242" i="11"/>
  <c r="AD2238" i="11"/>
  <c r="AC2238" i="11"/>
  <c r="AD2234" i="11"/>
  <c r="AC2234" i="11"/>
  <c r="AD2230" i="11"/>
  <c r="AC2230" i="11"/>
  <c r="AD2226" i="11"/>
  <c r="AC2226" i="11"/>
  <c r="AD2222" i="11"/>
  <c r="AC2222" i="11"/>
  <c r="AD2218" i="11"/>
  <c r="AC2218" i="11"/>
  <c r="AD2214" i="11"/>
  <c r="AC2214" i="11"/>
  <c r="AD2210" i="11"/>
  <c r="AC2210" i="11"/>
  <c r="AD2206" i="11"/>
  <c r="AC2206" i="11"/>
  <c r="AD2202" i="11"/>
  <c r="AC2202" i="11"/>
  <c r="AD2198" i="11"/>
  <c r="AC2198" i="11"/>
  <c r="AD2194" i="11"/>
  <c r="AC2194" i="11"/>
  <c r="AD2190" i="11"/>
  <c r="AC2190" i="11"/>
  <c r="AD2186" i="11"/>
  <c r="AC2186" i="11"/>
  <c r="AD2182" i="11"/>
  <c r="AC2182" i="11"/>
  <c r="AD2178" i="11"/>
  <c r="AC2178" i="11"/>
  <c r="AD2174" i="11"/>
  <c r="AC2174" i="11"/>
  <c r="AD2170" i="11"/>
  <c r="AC2170" i="11"/>
  <c r="AD2166" i="11"/>
  <c r="AC2166" i="11"/>
  <c r="AD2162" i="11"/>
  <c r="AC2162" i="11"/>
  <c r="AD2158" i="11"/>
  <c r="AC2158" i="11"/>
  <c r="AD2154" i="11"/>
  <c r="AC2154" i="11"/>
  <c r="AD2150" i="11"/>
  <c r="AC2150" i="11"/>
  <c r="AD2146" i="11"/>
  <c r="AC2146" i="11"/>
  <c r="AD2142" i="11"/>
  <c r="AC2142" i="11"/>
  <c r="AD2138" i="11"/>
  <c r="AC2138" i="11"/>
  <c r="AD2134" i="11"/>
  <c r="AC2134" i="11"/>
  <c r="AD2130" i="11"/>
  <c r="AC2130" i="11"/>
  <c r="AD2126" i="11"/>
  <c r="AC2126" i="11"/>
  <c r="AD2122" i="11"/>
  <c r="AC2122" i="11"/>
  <c r="AD2118" i="11"/>
  <c r="AC2118" i="11"/>
  <c r="AD2114" i="11"/>
  <c r="AC2114" i="11"/>
  <c r="AD2110" i="11"/>
  <c r="AC2110" i="11"/>
  <c r="AD2106" i="11"/>
  <c r="AC2106" i="11"/>
  <c r="AD2102" i="11"/>
  <c r="AC2102" i="11"/>
  <c r="AD2098" i="11"/>
  <c r="AC2098" i="11"/>
  <c r="AD2094" i="11"/>
  <c r="AC2094" i="11"/>
  <c r="AD2090" i="11"/>
  <c r="AC2090" i="11"/>
  <c r="AD2086" i="11"/>
  <c r="AC2086" i="11"/>
  <c r="AD2082" i="11"/>
  <c r="AC2082" i="11"/>
  <c r="AD2078" i="11"/>
  <c r="AC2078" i="11"/>
  <c r="AD2074" i="11"/>
  <c r="AC2074" i="11"/>
  <c r="AD2070" i="11"/>
  <c r="AC2070" i="11"/>
  <c r="AD2066" i="11"/>
  <c r="AC2066" i="11"/>
  <c r="AD2062" i="11"/>
  <c r="AC2062" i="11"/>
  <c r="AD2058" i="11"/>
  <c r="AC2058" i="11"/>
  <c r="AD2054" i="11"/>
  <c r="AC2054" i="11"/>
  <c r="AD2050" i="11"/>
  <c r="AC2050" i="11"/>
  <c r="AD2046" i="11"/>
  <c r="AC2046" i="11"/>
  <c r="AD2042" i="11"/>
  <c r="AC2042" i="11"/>
  <c r="AD2038" i="11"/>
  <c r="AC2038" i="11"/>
  <c r="AD2034" i="11"/>
  <c r="AC2034" i="11"/>
  <c r="AD2030" i="11"/>
  <c r="AC2030" i="11"/>
  <c r="AD2026" i="11"/>
  <c r="AC2026" i="11"/>
  <c r="AD2022" i="11"/>
  <c r="AC2022" i="11"/>
  <c r="AD2018" i="11"/>
  <c r="AC2018" i="11"/>
  <c r="AD2014" i="11"/>
  <c r="AC2014" i="11"/>
  <c r="AD2010" i="11"/>
  <c r="AC2010" i="11"/>
  <c r="AD2006" i="11"/>
  <c r="AC2006" i="11"/>
  <c r="AD2002" i="11"/>
  <c r="AC2002" i="11"/>
  <c r="AD1998" i="11"/>
  <c r="AC1998" i="11"/>
  <c r="AD1994" i="11"/>
  <c r="AC1994" i="11"/>
  <c r="AD1990" i="11"/>
  <c r="AC1990" i="11"/>
  <c r="AD1986" i="11"/>
  <c r="AC1986" i="11"/>
  <c r="AD1982" i="11"/>
  <c r="AC1982" i="11"/>
  <c r="AD1978" i="11"/>
  <c r="AC1978" i="11"/>
  <c r="AD1974" i="11"/>
  <c r="AC1974" i="11"/>
  <c r="AD1970" i="11"/>
  <c r="AC1970" i="11"/>
  <c r="AD1966" i="11"/>
  <c r="AC1966" i="11"/>
  <c r="AD1962" i="11"/>
  <c r="AC1962" i="11"/>
  <c r="AD1958" i="11"/>
  <c r="AC1958" i="11"/>
  <c r="AD1954" i="11"/>
  <c r="AC1954" i="11"/>
  <c r="AD1950" i="11"/>
  <c r="AC1950" i="11"/>
  <c r="AD1946" i="11"/>
  <c r="AC1946" i="11"/>
  <c r="AD1942" i="11"/>
  <c r="AC1942" i="11"/>
  <c r="AD1938" i="11"/>
  <c r="AC1938" i="11"/>
  <c r="AD1934" i="11"/>
  <c r="AC1934" i="11"/>
  <c r="AD1930" i="11"/>
  <c r="AC1930" i="11"/>
  <c r="AD1926" i="11"/>
  <c r="AC1926" i="11"/>
  <c r="AD1922" i="11"/>
  <c r="AC1922" i="11"/>
  <c r="AD1918" i="11"/>
  <c r="AC1918" i="11"/>
  <c r="AD1914" i="11"/>
  <c r="AC1914" i="11"/>
  <c r="AD1910" i="11"/>
  <c r="AC1910" i="11"/>
  <c r="AD1906" i="11"/>
  <c r="AC1906" i="11"/>
  <c r="AD1902" i="11"/>
  <c r="AC1902" i="11"/>
  <c r="AD1898" i="11"/>
  <c r="AC1898" i="11"/>
  <c r="AD1894" i="11"/>
  <c r="AC1894" i="11"/>
  <c r="AD1890" i="11"/>
  <c r="AC1890" i="11"/>
  <c r="AD1886" i="11"/>
  <c r="AC1886" i="11"/>
  <c r="AD1882" i="11"/>
  <c r="AC1882" i="11"/>
  <c r="AD1878" i="11"/>
  <c r="AC1878" i="11"/>
  <c r="AD1874" i="11"/>
  <c r="AC1874" i="11"/>
  <c r="AD1870" i="11"/>
  <c r="AC1870" i="11"/>
  <c r="AD1866" i="11"/>
  <c r="AC1866" i="11"/>
  <c r="AD1862" i="11"/>
  <c r="AC1862" i="11"/>
  <c r="AD1858" i="11"/>
  <c r="AC1858" i="11"/>
  <c r="AD1854" i="11"/>
  <c r="AC1854" i="11"/>
  <c r="AD1850" i="11"/>
  <c r="AC1850" i="11"/>
  <c r="AD1846" i="11"/>
  <c r="AC1846" i="11"/>
  <c r="AD1842" i="11"/>
  <c r="AC1842" i="11"/>
  <c r="AD1838" i="11"/>
  <c r="AC1838" i="11"/>
  <c r="AD1834" i="11"/>
  <c r="AC1834" i="11"/>
  <c r="AD1830" i="11"/>
  <c r="AC1830" i="11"/>
  <c r="AD1826" i="11"/>
  <c r="AC1826" i="11"/>
  <c r="AD1822" i="11"/>
  <c r="AC1822" i="11"/>
  <c r="AD1818" i="11"/>
  <c r="AC1818" i="11"/>
  <c r="AD1814" i="11"/>
  <c r="AC1814" i="11"/>
  <c r="AD1810" i="11"/>
  <c r="AC1810" i="11"/>
  <c r="AD1806" i="11"/>
  <c r="AC1806" i="11"/>
  <c r="AD1802" i="11"/>
  <c r="AC1802" i="11"/>
  <c r="AD1798" i="11"/>
  <c r="AC1798" i="11"/>
  <c r="AD1794" i="11"/>
  <c r="AC1794" i="11"/>
  <c r="AD1790" i="11"/>
  <c r="AC1790" i="11"/>
  <c r="AD1786" i="11"/>
  <c r="AC1786" i="11"/>
  <c r="AD1782" i="11"/>
  <c r="AC1782" i="11"/>
  <c r="AD1778" i="11"/>
  <c r="AC1778" i="11"/>
  <c r="AD1774" i="11"/>
  <c r="AC1774" i="11"/>
  <c r="AD1770" i="11"/>
  <c r="AC1770" i="11"/>
  <c r="AD1766" i="11"/>
  <c r="AC1766" i="11"/>
  <c r="AD1762" i="11"/>
  <c r="AC1762" i="11"/>
  <c r="AD1758" i="11"/>
  <c r="AC1758" i="11"/>
  <c r="AD1754" i="11"/>
  <c r="AC1754" i="11"/>
  <c r="AD1750" i="11"/>
  <c r="AC1750" i="11"/>
  <c r="AD1746" i="11"/>
  <c r="AC1746" i="11"/>
  <c r="AD1742" i="11"/>
  <c r="AC1742" i="11"/>
  <c r="AD1738" i="11"/>
  <c r="AC1738" i="11"/>
  <c r="AD1734" i="11"/>
  <c r="AC1734" i="11"/>
  <c r="AD1730" i="11"/>
  <c r="AC1730" i="11"/>
  <c r="AD1726" i="11"/>
  <c r="AC1726" i="11"/>
  <c r="AD1722" i="11"/>
  <c r="AC1722" i="11"/>
  <c r="AD1718" i="11"/>
  <c r="AC1718" i="11"/>
  <c r="AD1714" i="11"/>
  <c r="AC1714" i="11"/>
  <c r="AD1710" i="11"/>
  <c r="AC1710" i="11"/>
  <c r="AD1706" i="11"/>
  <c r="AC1706" i="11"/>
  <c r="AD1702" i="11"/>
  <c r="AC1702" i="11"/>
  <c r="AD1698" i="11"/>
  <c r="AC1698" i="11"/>
  <c r="AD1694" i="11"/>
  <c r="AC1694" i="11"/>
  <c r="AD1690" i="11"/>
  <c r="AC1690" i="11"/>
  <c r="AD1686" i="11"/>
  <c r="AC1686" i="11"/>
  <c r="AD1682" i="11"/>
  <c r="AC1682" i="11"/>
  <c r="AD1678" i="11"/>
  <c r="AC1678" i="11"/>
  <c r="AD1674" i="11"/>
  <c r="AC1674" i="11"/>
  <c r="AD1670" i="11"/>
  <c r="AC1670" i="11"/>
  <c r="AD1666" i="11"/>
  <c r="AC1666" i="11"/>
  <c r="AD1662" i="11"/>
  <c r="AC1662" i="11"/>
  <c r="AD1658" i="11"/>
  <c r="AC1658" i="11"/>
  <c r="AD1654" i="11"/>
  <c r="AC1654" i="11"/>
  <c r="AD1650" i="11"/>
  <c r="AC1650" i="11"/>
  <c r="AD1646" i="11"/>
  <c r="AC1646" i="11"/>
  <c r="AD1642" i="11"/>
  <c r="AC1642" i="11"/>
  <c r="AD1638" i="11"/>
  <c r="AC1638" i="11"/>
  <c r="AD1634" i="11"/>
  <c r="AC1634" i="11"/>
  <c r="AD1630" i="11"/>
  <c r="AC1630" i="11"/>
  <c r="AD1626" i="11"/>
  <c r="AC1626" i="11"/>
  <c r="AD1622" i="11"/>
  <c r="AC1622" i="11"/>
  <c r="AD1618" i="11"/>
  <c r="AC1618" i="11"/>
  <c r="AD1614" i="11"/>
  <c r="AC1614" i="11"/>
  <c r="AD1610" i="11"/>
  <c r="AC1610" i="11"/>
  <c r="AD1606" i="11"/>
  <c r="AC1606" i="11"/>
  <c r="AD1602" i="11"/>
  <c r="AC1602" i="11"/>
  <c r="AD1598" i="11"/>
  <c r="AC1598" i="11"/>
  <c r="AD1594" i="11"/>
  <c r="AC1594" i="11"/>
  <c r="AD1590" i="11"/>
  <c r="AC1590" i="11"/>
  <c r="AD1586" i="11"/>
  <c r="AC1586" i="11"/>
  <c r="AD1582" i="11"/>
  <c r="AC1582" i="11"/>
  <c r="AD1578" i="11"/>
  <c r="AC1578" i="11"/>
  <c r="AD1574" i="11"/>
  <c r="AC1574" i="11"/>
  <c r="AD1570" i="11"/>
  <c r="AC1570" i="11"/>
  <c r="AD1566" i="11"/>
  <c r="AC1566" i="11"/>
  <c r="AD1562" i="11"/>
  <c r="AC1562" i="11"/>
  <c r="AD1558" i="11"/>
  <c r="AC1558" i="11"/>
  <c r="AD1554" i="11"/>
  <c r="AC1554" i="11"/>
  <c r="AD1550" i="11"/>
  <c r="AC1550" i="11"/>
  <c r="AD1546" i="11"/>
  <c r="AC1546" i="11"/>
  <c r="AD1542" i="11"/>
  <c r="AC1542" i="11"/>
  <c r="AD1538" i="11"/>
  <c r="AC1538" i="11"/>
  <c r="AD1534" i="11"/>
  <c r="AC1534" i="11"/>
  <c r="AD1530" i="11"/>
  <c r="AC1530" i="11"/>
  <c r="AD1526" i="11"/>
  <c r="AC1526" i="11"/>
  <c r="AD1522" i="11"/>
  <c r="AC1522" i="11"/>
  <c r="AD1518" i="11"/>
  <c r="AC1518" i="11"/>
  <c r="AD1514" i="11"/>
  <c r="AC1514" i="11"/>
  <c r="AD1510" i="11"/>
  <c r="AC1510" i="11"/>
  <c r="AD1506" i="11"/>
  <c r="AC1506" i="11"/>
  <c r="AD1502" i="11"/>
  <c r="AC1502" i="11"/>
  <c r="AD1498" i="11"/>
  <c r="AC1498" i="11"/>
  <c r="AD1494" i="11"/>
  <c r="AC1494" i="11"/>
  <c r="AD1490" i="11"/>
  <c r="AC1490" i="11"/>
  <c r="AD1486" i="11"/>
  <c r="AC1486" i="11"/>
  <c r="AD1482" i="11"/>
  <c r="AC1482" i="11"/>
  <c r="AD1478" i="11"/>
  <c r="AC1478" i="11"/>
  <c r="AD1474" i="11"/>
  <c r="AC1474" i="11"/>
  <c r="AD1470" i="11"/>
  <c r="AC1470" i="11"/>
  <c r="AD1466" i="11"/>
  <c r="AC1466" i="11"/>
  <c r="AD1462" i="11"/>
  <c r="AC1462" i="11"/>
  <c r="AD1458" i="11"/>
  <c r="AC1458" i="11"/>
  <c r="AD1454" i="11"/>
  <c r="AC1454" i="11"/>
  <c r="AD1450" i="11"/>
  <c r="AC1450" i="11"/>
  <c r="AD1446" i="11"/>
  <c r="AC1446" i="11"/>
  <c r="AD1442" i="11"/>
  <c r="AC1442" i="11"/>
  <c r="AD1438" i="11"/>
  <c r="AC1438" i="11"/>
  <c r="AD1434" i="11"/>
  <c r="AC1434" i="11"/>
  <c r="AD1430" i="11"/>
  <c r="AC1430" i="11"/>
  <c r="AD1426" i="11"/>
  <c r="AC1426" i="11"/>
  <c r="AD1422" i="11"/>
  <c r="AC1422" i="11"/>
  <c r="AD1418" i="11"/>
  <c r="AC1418" i="11"/>
  <c r="AD1414" i="11"/>
  <c r="AC1414" i="11"/>
  <c r="AD1410" i="11"/>
  <c r="AC1410" i="11"/>
  <c r="AD1406" i="11"/>
  <c r="AC1406" i="11"/>
  <c r="AD1402" i="11"/>
  <c r="AC1402" i="11"/>
  <c r="AD1398" i="11"/>
  <c r="AC1398" i="11"/>
  <c r="AD1394" i="11"/>
  <c r="AC1394" i="11"/>
  <c r="AD1390" i="11"/>
  <c r="AC1390" i="11"/>
  <c r="AD1386" i="11"/>
  <c r="AC1386" i="11"/>
  <c r="AD1382" i="11"/>
  <c r="AC1382" i="11"/>
  <c r="AD1378" i="11"/>
  <c r="AC1378" i="11"/>
  <c r="AD1374" i="11"/>
  <c r="AC1374" i="11"/>
  <c r="AD1370" i="11"/>
  <c r="AC1370" i="11"/>
  <c r="AD1366" i="11"/>
  <c r="AC1366" i="11"/>
  <c r="AD1362" i="11"/>
  <c r="AC1362" i="11"/>
  <c r="AD1358" i="11"/>
  <c r="AC1358" i="11"/>
  <c r="AD1354" i="11"/>
  <c r="AC1354" i="11"/>
  <c r="AD1350" i="11"/>
  <c r="AC1350" i="11"/>
  <c r="AD1346" i="11"/>
  <c r="AC1346" i="11"/>
  <c r="AD1342" i="11"/>
  <c r="AC1342" i="11"/>
  <c r="AD1338" i="11"/>
  <c r="AC1338" i="11"/>
  <c r="AD1334" i="11"/>
  <c r="AC1334" i="11"/>
  <c r="AD1330" i="11"/>
  <c r="AC1330" i="11"/>
  <c r="AD1326" i="11"/>
  <c r="AC1326" i="11"/>
  <c r="AD1322" i="11"/>
  <c r="AC1322" i="11"/>
  <c r="AD1318" i="11"/>
  <c r="AC1318" i="11"/>
  <c r="AD1314" i="11"/>
  <c r="AC1314" i="11"/>
  <c r="AD1310" i="11"/>
  <c r="AC1310" i="11"/>
  <c r="AD1306" i="11"/>
  <c r="AC1306" i="11"/>
  <c r="AD1302" i="11"/>
  <c r="AC1302" i="11"/>
  <c r="AD1298" i="11"/>
  <c r="AC1298" i="11"/>
  <c r="AD1294" i="11"/>
  <c r="AC1294" i="11"/>
  <c r="AD1290" i="11"/>
  <c r="AC1290" i="11"/>
  <c r="AD1286" i="11"/>
  <c r="AC1286" i="11"/>
  <c r="AD1282" i="11"/>
  <c r="AC1282" i="11"/>
  <c r="AD1278" i="11"/>
  <c r="AC1278" i="11"/>
  <c r="AD1274" i="11"/>
  <c r="AC1274" i="11"/>
  <c r="AD1270" i="11"/>
  <c r="AC1270" i="11"/>
  <c r="AD1266" i="11"/>
  <c r="AC1266" i="11"/>
  <c r="AD1262" i="11"/>
  <c r="AC1262" i="11"/>
  <c r="AD1258" i="11"/>
  <c r="AC1258" i="11"/>
  <c r="AD1254" i="11"/>
  <c r="AC1254" i="11"/>
  <c r="AD1250" i="11"/>
  <c r="AC1250" i="11"/>
  <c r="AD1246" i="11"/>
  <c r="AC1246" i="11"/>
  <c r="AD1242" i="11"/>
  <c r="AC1242" i="11"/>
  <c r="AD1238" i="11"/>
  <c r="AC1238" i="11"/>
  <c r="AD1234" i="11"/>
  <c r="AC1234" i="11"/>
  <c r="AD1230" i="11"/>
  <c r="AC1230" i="11"/>
  <c r="AD1226" i="11"/>
  <c r="AC1226" i="11"/>
  <c r="AD1222" i="11"/>
  <c r="AC1222" i="11"/>
  <c r="AD1218" i="11"/>
  <c r="AC1218" i="11"/>
  <c r="AD1214" i="11"/>
  <c r="AC1214" i="11"/>
  <c r="AD1210" i="11"/>
  <c r="AC1210" i="11"/>
  <c r="AD1206" i="11"/>
  <c r="AC1206" i="11"/>
  <c r="AD1202" i="11"/>
  <c r="AC1202" i="11"/>
  <c r="AD1198" i="11"/>
  <c r="AC1198" i="11"/>
  <c r="AD1194" i="11"/>
  <c r="AC1194" i="11"/>
  <c r="AD1190" i="11"/>
  <c r="AC1190" i="11"/>
  <c r="AD1186" i="11"/>
  <c r="AC1186" i="11"/>
  <c r="AD1182" i="11"/>
  <c r="AC1182" i="11"/>
  <c r="AD1178" i="11"/>
  <c r="AC1178" i="11"/>
  <c r="AD1174" i="11"/>
  <c r="AC1174" i="11"/>
  <c r="AD1170" i="11"/>
  <c r="AC1170" i="11"/>
  <c r="AD1166" i="11"/>
  <c r="AC1166" i="11"/>
  <c r="AD1162" i="11"/>
  <c r="AC1162" i="11"/>
  <c r="AD1158" i="11"/>
  <c r="AC1158" i="11"/>
  <c r="AD1154" i="11"/>
  <c r="AC1154" i="11"/>
  <c r="AD1150" i="11"/>
  <c r="AC1150" i="11"/>
  <c r="AD1146" i="11"/>
  <c r="AC1146" i="11"/>
  <c r="AD1142" i="11"/>
  <c r="AC1142" i="11"/>
  <c r="AD1138" i="11"/>
  <c r="AC1138" i="11"/>
  <c r="AD1134" i="11"/>
  <c r="AC1134" i="11"/>
  <c r="AD1130" i="11"/>
  <c r="AC1130" i="11"/>
  <c r="AD1126" i="11"/>
  <c r="AC1126" i="11"/>
  <c r="AD1122" i="11"/>
  <c r="AC1122" i="11"/>
  <c r="AD1118" i="11"/>
  <c r="AC1118" i="11"/>
  <c r="AD1114" i="11"/>
  <c r="AC1114" i="11"/>
  <c r="AD1110" i="11"/>
  <c r="AC1110" i="11"/>
  <c r="AD1106" i="11"/>
  <c r="AC1106" i="11"/>
  <c r="AD1102" i="11"/>
  <c r="AC1102" i="11"/>
  <c r="AD1098" i="11"/>
  <c r="AC1098" i="11"/>
  <c r="AD1094" i="11"/>
  <c r="AC1094" i="11"/>
  <c r="AD1090" i="11"/>
  <c r="AC1090" i="11"/>
  <c r="AD1086" i="11"/>
  <c r="AC1086" i="11"/>
  <c r="AD1082" i="11"/>
  <c r="AC1082" i="11"/>
  <c r="AD1078" i="11"/>
  <c r="AC1078" i="11"/>
  <c r="AD1074" i="11"/>
  <c r="AC1074" i="11"/>
  <c r="AD1070" i="11"/>
  <c r="AC1070" i="11"/>
  <c r="AD1066" i="11"/>
  <c r="AC1066" i="11"/>
  <c r="AD1062" i="11"/>
  <c r="AC1062" i="11"/>
  <c r="AD1058" i="11"/>
  <c r="AC1058" i="11"/>
  <c r="AD1054" i="11"/>
  <c r="AC1054" i="11"/>
  <c r="AD1050" i="11"/>
  <c r="AC1050" i="11"/>
  <c r="AD1046" i="11"/>
  <c r="AC1046" i="11"/>
  <c r="AD1042" i="11"/>
  <c r="AC1042" i="11"/>
  <c r="AD1038" i="11"/>
  <c r="AC1038" i="11"/>
  <c r="AD1034" i="11"/>
  <c r="AC1034" i="11"/>
  <c r="AD1030" i="11"/>
  <c r="AC1030" i="11"/>
  <c r="AD1026" i="11"/>
  <c r="AC1026" i="11"/>
  <c r="AD1022" i="11"/>
  <c r="AC1022" i="11"/>
  <c r="AD1018" i="11"/>
  <c r="AC1018" i="11"/>
  <c r="AD1014" i="11"/>
  <c r="AC1014" i="11"/>
  <c r="AD1010" i="11"/>
  <c r="AC1010" i="11"/>
  <c r="AD1006" i="11"/>
  <c r="AC1006" i="11"/>
  <c r="AD1002" i="11"/>
  <c r="AC1002" i="11"/>
  <c r="AD998" i="11"/>
  <c r="AC998" i="11"/>
  <c r="AD994" i="11"/>
  <c r="AC994" i="11"/>
  <c r="AD990" i="11"/>
  <c r="AC990" i="11"/>
  <c r="AD986" i="11"/>
  <c r="AC986" i="11"/>
  <c r="AD982" i="11"/>
  <c r="AC982" i="11"/>
  <c r="AD978" i="11"/>
  <c r="AC978" i="11"/>
  <c r="AD974" i="11"/>
  <c r="AC974" i="11"/>
  <c r="AD970" i="11"/>
  <c r="AC970" i="11"/>
  <c r="AD966" i="11"/>
  <c r="AC966" i="11"/>
  <c r="AD962" i="11"/>
  <c r="AC962" i="11"/>
  <c r="AD958" i="11"/>
  <c r="AC958" i="11"/>
  <c r="AD954" i="11"/>
  <c r="AC954" i="11"/>
  <c r="AD950" i="11"/>
  <c r="AC950" i="11"/>
  <c r="AD946" i="11"/>
  <c r="AC946" i="11"/>
  <c r="AD942" i="11"/>
  <c r="AC942" i="11"/>
  <c r="AD938" i="11"/>
  <c r="AC938" i="11"/>
  <c r="AD934" i="11"/>
  <c r="AC934" i="11"/>
  <c r="AD930" i="11"/>
  <c r="AC930" i="11"/>
  <c r="AD926" i="11"/>
  <c r="AC926" i="11"/>
  <c r="AD922" i="11"/>
  <c r="AC922" i="11"/>
  <c r="AD918" i="11"/>
  <c r="AC918" i="11"/>
  <c r="AD914" i="11"/>
  <c r="AC914" i="11"/>
  <c r="AD910" i="11"/>
  <c r="AC910" i="11"/>
  <c r="AD906" i="11"/>
  <c r="AC906" i="11"/>
  <c r="AD902" i="11"/>
  <c r="AC902" i="11"/>
  <c r="AD898" i="11"/>
  <c r="AC898" i="11"/>
  <c r="AD894" i="11"/>
  <c r="AC894" i="11"/>
  <c r="AD890" i="11"/>
  <c r="AC890" i="11"/>
  <c r="AD886" i="11"/>
  <c r="AC886" i="11"/>
  <c r="AD882" i="11"/>
  <c r="AC882" i="11"/>
  <c r="AD878" i="11"/>
  <c r="AC878" i="11"/>
  <c r="AD874" i="11"/>
  <c r="AC874" i="11"/>
  <c r="AD870" i="11"/>
  <c r="AC870" i="11"/>
  <c r="AD866" i="11"/>
  <c r="AC866" i="11"/>
  <c r="AD862" i="11"/>
  <c r="AC862" i="11"/>
  <c r="AD858" i="11"/>
  <c r="AC858" i="11"/>
  <c r="AD854" i="11"/>
  <c r="AC854" i="11"/>
  <c r="AD850" i="11"/>
  <c r="AC850" i="11"/>
  <c r="AD846" i="11"/>
  <c r="AC846" i="11"/>
  <c r="AD842" i="11"/>
  <c r="AC842" i="11"/>
  <c r="AD838" i="11"/>
  <c r="AC838" i="11"/>
  <c r="AD834" i="11"/>
  <c r="AC834" i="11"/>
  <c r="AD830" i="11"/>
  <c r="AC830" i="11"/>
  <c r="AD826" i="11"/>
  <c r="AC826" i="11"/>
  <c r="AD822" i="11"/>
  <c r="AC822" i="11"/>
  <c r="AD818" i="11"/>
  <c r="AC818" i="11"/>
  <c r="AD814" i="11"/>
  <c r="AC814" i="11"/>
  <c r="AD810" i="11"/>
  <c r="AC810" i="11"/>
  <c r="AD806" i="11"/>
  <c r="AC806" i="11"/>
  <c r="AD802" i="11"/>
  <c r="AC802" i="11"/>
  <c r="AD798" i="11"/>
  <c r="AC798" i="11"/>
  <c r="AD794" i="11"/>
  <c r="AC794" i="11"/>
  <c r="AD790" i="11"/>
  <c r="AC790" i="11"/>
  <c r="AD786" i="11"/>
  <c r="AC786" i="11"/>
  <c r="AD782" i="11"/>
  <c r="AC782" i="11"/>
  <c r="AD778" i="11"/>
  <c r="AC778" i="11"/>
  <c r="AD774" i="11"/>
  <c r="AC774" i="11"/>
  <c r="AD770" i="11"/>
  <c r="AC770" i="11"/>
  <c r="AD766" i="11"/>
  <c r="AC766" i="11"/>
  <c r="AD762" i="11"/>
  <c r="AC762" i="11"/>
  <c r="AD758" i="11"/>
  <c r="AC758" i="11"/>
  <c r="AD754" i="11"/>
  <c r="AC754" i="11"/>
  <c r="AD750" i="11"/>
  <c r="AC750" i="11"/>
  <c r="AD746" i="11"/>
  <c r="AC746" i="11"/>
  <c r="AD742" i="11"/>
  <c r="AC742" i="11"/>
  <c r="AD738" i="11"/>
  <c r="AC738" i="11"/>
  <c r="AD734" i="11"/>
  <c r="AC734" i="11"/>
  <c r="AD730" i="11"/>
  <c r="AC730" i="11"/>
  <c r="AD726" i="11"/>
  <c r="AC726" i="11"/>
  <c r="AD722" i="11"/>
  <c r="AC722" i="11"/>
  <c r="AD718" i="11"/>
  <c r="AC718" i="11"/>
  <c r="AD714" i="11"/>
  <c r="AC714" i="11"/>
  <c r="AD710" i="11"/>
  <c r="AC710" i="11"/>
  <c r="AD706" i="11"/>
  <c r="AC706" i="11"/>
  <c r="AD702" i="11"/>
  <c r="AC702" i="11"/>
  <c r="AD698" i="11"/>
  <c r="AC698" i="11"/>
  <c r="AD694" i="11"/>
  <c r="AC694" i="11"/>
  <c r="AD690" i="11"/>
  <c r="AC690" i="11"/>
  <c r="AD686" i="11"/>
  <c r="AC686" i="11"/>
  <c r="AD682" i="11"/>
  <c r="AC682" i="11"/>
  <c r="AD678" i="11"/>
  <c r="AC678" i="11"/>
  <c r="AD674" i="11"/>
  <c r="AC674" i="11"/>
  <c r="AD670" i="11"/>
  <c r="AC670" i="11"/>
  <c r="AD666" i="11"/>
  <c r="AC666" i="11"/>
  <c r="AD662" i="11"/>
  <c r="AC662" i="11"/>
  <c r="AD658" i="11"/>
  <c r="AC658" i="11"/>
  <c r="AD654" i="11"/>
  <c r="AC654" i="11"/>
  <c r="AD650" i="11"/>
  <c r="AC650" i="11"/>
  <c r="AD646" i="11"/>
  <c r="AC646" i="11"/>
  <c r="AD642" i="11"/>
  <c r="AC642" i="11"/>
  <c r="AD638" i="11"/>
  <c r="AC638" i="11"/>
  <c r="AD634" i="11"/>
  <c r="AC634" i="11"/>
  <c r="AD630" i="11"/>
  <c r="AC630" i="11"/>
  <c r="AD626" i="11"/>
  <c r="AC626" i="11"/>
  <c r="AD622" i="11"/>
  <c r="AC622" i="11"/>
  <c r="AD618" i="11"/>
  <c r="AC618" i="11"/>
  <c r="AD614" i="11"/>
  <c r="AC614" i="11"/>
  <c r="AD610" i="11"/>
  <c r="AC610" i="11"/>
  <c r="AD606" i="11"/>
  <c r="AC606" i="11"/>
  <c r="AD602" i="11"/>
  <c r="AC602" i="11"/>
  <c r="AD598" i="11"/>
  <c r="AC598" i="11"/>
  <c r="AD594" i="11"/>
  <c r="AC594" i="11"/>
  <c r="AD590" i="11"/>
  <c r="AC590" i="11"/>
  <c r="AD586" i="11"/>
  <c r="AC586" i="11"/>
  <c r="AD582" i="11"/>
  <c r="AC582" i="11"/>
  <c r="AD578" i="11"/>
  <c r="AC578" i="11"/>
  <c r="AD574" i="11"/>
  <c r="AC574" i="11"/>
  <c r="AD570" i="11"/>
  <c r="AC570" i="11"/>
  <c r="AD566" i="11"/>
  <c r="AC566" i="11"/>
  <c r="AD562" i="11"/>
  <c r="AC562" i="11"/>
  <c r="AD558" i="11"/>
  <c r="AC558" i="11"/>
  <c r="AD554" i="11"/>
  <c r="AC554" i="11"/>
  <c r="AD550" i="11"/>
  <c r="AC550" i="11"/>
  <c r="AD546" i="11"/>
  <c r="AC546" i="11"/>
  <c r="AD542" i="11"/>
  <c r="AC542" i="11"/>
  <c r="AD538" i="11"/>
  <c r="AC538" i="11"/>
  <c r="AD534" i="11"/>
  <c r="AC534" i="11"/>
  <c r="AD530" i="11"/>
  <c r="AC530" i="11"/>
  <c r="AD526" i="11"/>
  <c r="AC526" i="11"/>
  <c r="AD522" i="11"/>
  <c r="AC522" i="11"/>
  <c r="AD518" i="11"/>
  <c r="AC518" i="11"/>
  <c r="AD514" i="11"/>
  <c r="AC514" i="11"/>
  <c r="AD510" i="11"/>
  <c r="AC510" i="11"/>
  <c r="AD506" i="11"/>
  <c r="AC506" i="11"/>
  <c r="AD502" i="11"/>
  <c r="AC502" i="11"/>
  <c r="AD498" i="11"/>
  <c r="AC498" i="11"/>
  <c r="AD494" i="11"/>
  <c r="AC494" i="11"/>
  <c r="AD490" i="11"/>
  <c r="AC490" i="11"/>
  <c r="AD486" i="11"/>
  <c r="AC486" i="11"/>
  <c r="AD482" i="11"/>
  <c r="AC482" i="11"/>
  <c r="AD478" i="11"/>
  <c r="AC478" i="11"/>
  <c r="AD474" i="11"/>
  <c r="AC474" i="11"/>
  <c r="AD470" i="11"/>
  <c r="AC470" i="11"/>
  <c r="AD466" i="11"/>
  <c r="AC466" i="11"/>
  <c r="AD462" i="11"/>
  <c r="AC462" i="11"/>
  <c r="AD458" i="11"/>
  <c r="AC458" i="11"/>
  <c r="AD454" i="11"/>
  <c r="AC454" i="11"/>
  <c r="AD450" i="11"/>
  <c r="AC450" i="11"/>
  <c r="AD446" i="11"/>
  <c r="AC446" i="11"/>
  <c r="AD442" i="11"/>
  <c r="AC442" i="11"/>
  <c r="AD438" i="11"/>
  <c r="AC438" i="11"/>
  <c r="AD434" i="11"/>
  <c r="AC434" i="11"/>
  <c r="AD430" i="11"/>
  <c r="AC430" i="11"/>
  <c r="AD426" i="11"/>
  <c r="AC426" i="11"/>
  <c r="AD422" i="11"/>
  <c r="AC422" i="11"/>
  <c r="AD418" i="11"/>
  <c r="AC418" i="11"/>
  <c r="AD414" i="11"/>
  <c r="AC414" i="11"/>
  <c r="AD410" i="11"/>
  <c r="AC410" i="11"/>
  <c r="AD406" i="11"/>
  <c r="AC406" i="11"/>
  <c r="AD402" i="11"/>
  <c r="AC402" i="11"/>
  <c r="AD398" i="11"/>
  <c r="AC398" i="11"/>
  <c r="AD394" i="11"/>
  <c r="AC394" i="11"/>
  <c r="AD390" i="11"/>
  <c r="AC390" i="11"/>
  <c r="AD386" i="11"/>
  <c r="AC386" i="11"/>
  <c r="AD382" i="11"/>
  <c r="AC382" i="11"/>
  <c r="AD378" i="11"/>
  <c r="AC378" i="11"/>
  <c r="AD374" i="11"/>
  <c r="AC374" i="11"/>
  <c r="AD370" i="11"/>
  <c r="AC370" i="11"/>
  <c r="AD366" i="11"/>
  <c r="AC366" i="11"/>
  <c r="AD362" i="11"/>
  <c r="AC362" i="11"/>
  <c r="AD358" i="11"/>
  <c r="AC358" i="11"/>
  <c r="AD354" i="11"/>
  <c r="AC354" i="11"/>
  <c r="AD350" i="11"/>
  <c r="AC350" i="11"/>
  <c r="AD346" i="11"/>
  <c r="AC346" i="11"/>
  <c r="AD342" i="11"/>
  <c r="AC342" i="11"/>
  <c r="AD338" i="11"/>
  <c r="AC338" i="11"/>
  <c r="AD334" i="11"/>
  <c r="AC334" i="11"/>
  <c r="AD330" i="11"/>
  <c r="AC330" i="11"/>
  <c r="AD326" i="11"/>
  <c r="AC326" i="11"/>
  <c r="AD322" i="11"/>
  <c r="AC322" i="11"/>
  <c r="AD318" i="11"/>
  <c r="AC318" i="11"/>
  <c r="AD314" i="11"/>
  <c r="AC314" i="11"/>
  <c r="AD310" i="11"/>
  <c r="AC310" i="11"/>
  <c r="AD306" i="11"/>
  <c r="AC306" i="11"/>
  <c r="AD302" i="11"/>
  <c r="AC302" i="11"/>
  <c r="AD298" i="11"/>
  <c r="AC298" i="11"/>
  <c r="AD294" i="11"/>
  <c r="AC294" i="11"/>
  <c r="AD290" i="11"/>
  <c r="AC290" i="11"/>
  <c r="AD286" i="11"/>
  <c r="AC286" i="11"/>
  <c r="AD282" i="11"/>
  <c r="AC282" i="11"/>
  <c r="AD278" i="11"/>
  <c r="AC278" i="11"/>
  <c r="AD274" i="11"/>
  <c r="AC274" i="11"/>
  <c r="AD270" i="11"/>
  <c r="AC270" i="11"/>
  <c r="AD266" i="11"/>
  <c r="AC266" i="11"/>
  <c r="AD262" i="11"/>
  <c r="AC262" i="11"/>
  <c r="AD258" i="11"/>
  <c r="AC258" i="11"/>
  <c r="AD254" i="11"/>
  <c r="AC254" i="11"/>
  <c r="AD250" i="11"/>
  <c r="AC250" i="11"/>
  <c r="AD246" i="11"/>
  <c r="AC246" i="11"/>
  <c r="AD242" i="11"/>
  <c r="AC242" i="11"/>
  <c r="AD238" i="11"/>
  <c r="AC238" i="11"/>
  <c r="AD234" i="11"/>
  <c r="AC234" i="11"/>
  <c r="AD230" i="11"/>
  <c r="AC230" i="11"/>
  <c r="AD226" i="11"/>
  <c r="AC226" i="11"/>
  <c r="AD222" i="11"/>
  <c r="AC222" i="11"/>
  <c r="AD218" i="11"/>
  <c r="AC218" i="11"/>
  <c r="AD214" i="11"/>
  <c r="AC214" i="11"/>
  <c r="AD210" i="11"/>
  <c r="AC210" i="11"/>
  <c r="AD206" i="11"/>
  <c r="AC206" i="11"/>
  <c r="AD202" i="11"/>
  <c r="AC202" i="11"/>
  <c r="AD198" i="11"/>
  <c r="AC198" i="11"/>
  <c r="AD194" i="11"/>
  <c r="AC194" i="11"/>
  <c r="AD190" i="11"/>
  <c r="AC190" i="11"/>
  <c r="AD186" i="11"/>
  <c r="AC186" i="11"/>
  <c r="AD182" i="11"/>
  <c r="AC182" i="11"/>
  <c r="AD178" i="11"/>
  <c r="AC178" i="11"/>
  <c r="AD174" i="11"/>
  <c r="AC174" i="11"/>
  <c r="AD170" i="11"/>
  <c r="AC170" i="11"/>
  <c r="AD166" i="11"/>
  <c r="AC166" i="11"/>
  <c r="AD162" i="11"/>
  <c r="AC162" i="11"/>
  <c r="AD158" i="11"/>
  <c r="AC158" i="11"/>
  <c r="AD154" i="11"/>
  <c r="AC154" i="11"/>
  <c r="AD150" i="11"/>
  <c r="AC150" i="11"/>
  <c r="AD146" i="11"/>
  <c r="AC146" i="11"/>
  <c r="AD142" i="11"/>
  <c r="AC142" i="11"/>
  <c r="AD138" i="11"/>
  <c r="AC138" i="11"/>
  <c r="AD134" i="11"/>
  <c r="AC134" i="11"/>
  <c r="AD130" i="11"/>
  <c r="AC130" i="11"/>
  <c r="AD126" i="11"/>
  <c r="AC126" i="11"/>
  <c r="AD122" i="11"/>
  <c r="AC122" i="11"/>
  <c r="AD118" i="11"/>
  <c r="AC118" i="11"/>
  <c r="AD114" i="11"/>
  <c r="AC114" i="11"/>
  <c r="AD110" i="11"/>
  <c r="AC110" i="11"/>
  <c r="AD106" i="11"/>
  <c r="AC106" i="11"/>
  <c r="AD102" i="11"/>
  <c r="AC102" i="11"/>
  <c r="AD98" i="11"/>
  <c r="AC98" i="11"/>
  <c r="AD94" i="11"/>
  <c r="AC94" i="11"/>
  <c r="AD90" i="11"/>
  <c r="AC90" i="11"/>
  <c r="AD86" i="11"/>
  <c r="AC86" i="11"/>
  <c r="AD82" i="11"/>
  <c r="AC82" i="11"/>
  <c r="AD78" i="11"/>
  <c r="AC78" i="11"/>
  <c r="AD74" i="11"/>
  <c r="AC74" i="11"/>
  <c r="AD70" i="11"/>
  <c r="AC70" i="11"/>
  <c r="AD66" i="11"/>
  <c r="AC66" i="11"/>
  <c r="AD62" i="11"/>
  <c r="AC62" i="11"/>
  <c r="AD58" i="11"/>
  <c r="AC58" i="11"/>
  <c r="AD54" i="11"/>
  <c r="AC54" i="11"/>
  <c r="AD50" i="11"/>
  <c r="AC50" i="11"/>
  <c r="AD46" i="11"/>
  <c r="AC46" i="11"/>
  <c r="AD42" i="11"/>
  <c r="AC42" i="11"/>
  <c r="AD38" i="11"/>
  <c r="AC38" i="11"/>
  <c r="AD34" i="11"/>
  <c r="AC34" i="11"/>
  <c r="AD30" i="11"/>
  <c r="AC30" i="11"/>
  <c r="AD26" i="11"/>
  <c r="AC26" i="11"/>
  <c r="AD22" i="11"/>
  <c r="AC22" i="11"/>
  <c r="AD18" i="11"/>
  <c r="AC18" i="11"/>
  <c r="AD14" i="11"/>
  <c r="AC14" i="11"/>
  <c r="AD10" i="11"/>
  <c r="AC10" i="11"/>
  <c r="AD6" i="11"/>
  <c r="AC6" i="11"/>
  <c r="AD2653" i="11"/>
  <c r="AC2653" i="11"/>
  <c r="AD2649" i="11"/>
  <c r="AC2649" i="11"/>
  <c r="AD2645" i="11"/>
  <c r="AC2645" i="11"/>
  <c r="AD2641" i="11"/>
  <c r="AC2641" i="11"/>
  <c r="AD2637" i="11"/>
  <c r="AC2637" i="11"/>
  <c r="AD2633" i="11"/>
  <c r="AC2633" i="11"/>
  <c r="AD2629" i="11"/>
  <c r="AC2629" i="11"/>
  <c r="AD2625" i="11"/>
  <c r="AC2625" i="11"/>
  <c r="AD2621" i="11"/>
  <c r="AC2621" i="11"/>
  <c r="AD2617" i="11"/>
  <c r="AC2617" i="11"/>
  <c r="AD2613" i="11"/>
  <c r="AC2613" i="11"/>
  <c r="AD2609" i="11"/>
  <c r="AC2609" i="11"/>
  <c r="AD2605" i="11"/>
  <c r="AC2605" i="11"/>
  <c r="AD2601" i="11"/>
  <c r="AC2601" i="11"/>
  <c r="AD2597" i="11"/>
  <c r="AC2597" i="11"/>
  <c r="AD2593" i="11"/>
  <c r="AC2593" i="11"/>
  <c r="AD2589" i="11"/>
  <c r="AC2589" i="11"/>
  <c r="AD2585" i="11"/>
  <c r="AC2585" i="11"/>
  <c r="AD2581" i="11"/>
  <c r="AC2581" i="11"/>
  <c r="AD2577" i="11"/>
  <c r="AC2577" i="11"/>
  <c r="AD2573" i="11"/>
  <c r="AC2573" i="11"/>
  <c r="AD2569" i="11"/>
  <c r="AC2569" i="11"/>
  <c r="AD2565" i="11"/>
  <c r="AC2565" i="11"/>
  <c r="AD2561" i="11"/>
  <c r="AC2561" i="11"/>
  <c r="AD2557" i="11"/>
  <c r="AC2557" i="11"/>
  <c r="AD2553" i="11"/>
  <c r="AC2553" i="11"/>
  <c r="AD2549" i="11"/>
  <c r="AC2549" i="11"/>
  <c r="AD2545" i="11"/>
  <c r="AC2545" i="11"/>
  <c r="AD2541" i="11"/>
  <c r="AC2541" i="11"/>
  <c r="AD2537" i="11"/>
  <c r="AC2537" i="11"/>
  <c r="AD2533" i="11"/>
  <c r="AC2533" i="11"/>
  <c r="AD2529" i="11"/>
  <c r="AC2529" i="11"/>
  <c r="AD2525" i="11"/>
  <c r="AC2525" i="11"/>
  <c r="AD2521" i="11"/>
  <c r="AC2521" i="11"/>
  <c r="AD2517" i="11"/>
  <c r="AC2517" i="11"/>
  <c r="AD2513" i="11"/>
  <c r="AC2513" i="11"/>
  <c r="AD2509" i="11"/>
  <c r="AC2509" i="11"/>
  <c r="AD2505" i="11"/>
  <c r="AC2505" i="11"/>
  <c r="AD2501" i="11"/>
  <c r="AC2501" i="11"/>
  <c r="AD2497" i="11"/>
  <c r="AC2497" i="11"/>
  <c r="AD2493" i="11"/>
  <c r="AC2493" i="11"/>
  <c r="AD2489" i="11"/>
  <c r="AC2489" i="11"/>
  <c r="AD2485" i="11"/>
  <c r="AC2485" i="11"/>
  <c r="AD2481" i="11"/>
  <c r="AC2481" i="11"/>
  <c r="AD2477" i="11"/>
  <c r="AC2477" i="11"/>
  <c r="AD2473" i="11"/>
  <c r="AC2473" i="11"/>
  <c r="AD2469" i="11"/>
  <c r="AC2469" i="11"/>
  <c r="AD2465" i="11"/>
  <c r="AC2465" i="11"/>
  <c r="AD2461" i="11"/>
  <c r="AC2461" i="11"/>
  <c r="AD2457" i="11"/>
  <c r="AC2457" i="11"/>
  <c r="AD2453" i="11"/>
  <c r="AC2453" i="11"/>
  <c r="AD2449" i="11"/>
  <c r="AC2449" i="11"/>
  <c r="AD2445" i="11"/>
  <c r="AC2445" i="11"/>
  <c r="AD2441" i="11"/>
  <c r="AC2441" i="11"/>
  <c r="AD2437" i="11"/>
  <c r="AC2437" i="11"/>
  <c r="AD2433" i="11"/>
  <c r="AC2433" i="11"/>
  <c r="AD2429" i="11"/>
  <c r="AC2429" i="11"/>
  <c r="AD2425" i="11"/>
  <c r="AC2425" i="11"/>
  <c r="AD2421" i="11"/>
  <c r="AC2421" i="11"/>
  <c r="AD2417" i="11"/>
  <c r="AC2417" i="11"/>
  <c r="AD2413" i="11"/>
  <c r="AC2413" i="11"/>
  <c r="AD2409" i="11"/>
  <c r="AC2409" i="11"/>
  <c r="AD2405" i="11"/>
  <c r="AC2405" i="11"/>
  <c r="AD2401" i="11"/>
  <c r="AC2401" i="11"/>
  <c r="AD2397" i="11"/>
  <c r="AC2397" i="11"/>
  <c r="AD2393" i="11"/>
  <c r="AC2393" i="11"/>
  <c r="AD2389" i="11"/>
  <c r="AC2389" i="11"/>
  <c r="AD2385" i="11"/>
  <c r="AC2385" i="11"/>
  <c r="AD2381" i="11"/>
  <c r="AC2381" i="11"/>
  <c r="AD2377" i="11"/>
  <c r="AC2377" i="11"/>
  <c r="AD2373" i="11"/>
  <c r="AC2373" i="11"/>
  <c r="AD2369" i="11"/>
  <c r="AC2369" i="11"/>
  <c r="AD2365" i="11"/>
  <c r="AC2365" i="11"/>
  <c r="AD2361" i="11"/>
  <c r="AC2361" i="11"/>
  <c r="AD2357" i="11"/>
  <c r="AC2357" i="11"/>
  <c r="AD2353" i="11"/>
  <c r="AC2353" i="11"/>
  <c r="AD2349" i="11"/>
  <c r="AC2349" i="11"/>
  <c r="AD2345" i="11"/>
  <c r="AC2345" i="11"/>
  <c r="AD2341" i="11"/>
  <c r="AC2341" i="11"/>
  <c r="AD2337" i="11"/>
  <c r="AC2337" i="11"/>
  <c r="AD2333" i="11"/>
  <c r="AC2333" i="11"/>
  <c r="AD2329" i="11"/>
  <c r="AC2329" i="11"/>
  <c r="AD2325" i="11"/>
  <c r="AC2325" i="11"/>
  <c r="AD2321" i="11"/>
  <c r="AC2321" i="11"/>
  <c r="AD2317" i="11"/>
  <c r="AC2317" i="11"/>
  <c r="AD2313" i="11"/>
  <c r="AC2313" i="11"/>
  <c r="AD2309" i="11"/>
  <c r="AC2309" i="11"/>
  <c r="AD2305" i="11"/>
  <c r="AC2305" i="11"/>
  <c r="AD2301" i="11"/>
  <c r="AC2301" i="11"/>
  <c r="AD2297" i="11"/>
  <c r="AC2297" i="11"/>
  <c r="AD2293" i="11"/>
  <c r="AC2293" i="11"/>
  <c r="AD2289" i="11"/>
  <c r="AC2289" i="11"/>
  <c r="AD2285" i="11"/>
  <c r="AC2285" i="11"/>
  <c r="AD2281" i="11"/>
  <c r="AC2281" i="11"/>
  <c r="AD2277" i="11"/>
  <c r="AC2277" i="11"/>
  <c r="AD2273" i="11"/>
  <c r="AC2273" i="11"/>
  <c r="AD2269" i="11"/>
  <c r="AC2269" i="11"/>
  <c r="AD2265" i="11"/>
  <c r="AC2265" i="11"/>
  <c r="AD2261" i="11"/>
  <c r="AC2261" i="11"/>
  <c r="AD2257" i="11"/>
  <c r="AC2257" i="11"/>
  <c r="AD2253" i="11"/>
  <c r="AC2253" i="11"/>
  <c r="AD2249" i="11"/>
  <c r="AC2249" i="11"/>
  <c r="AD2245" i="11"/>
  <c r="AC2245" i="11"/>
  <c r="AD2241" i="11"/>
  <c r="AC2241" i="11"/>
  <c r="AD2237" i="11"/>
  <c r="AC2237" i="11"/>
  <c r="AD2233" i="11"/>
  <c r="AC2233" i="11"/>
  <c r="AD2229" i="11"/>
  <c r="AC2229" i="11"/>
  <c r="AD2225" i="11"/>
  <c r="AC2225" i="11"/>
  <c r="AD2221" i="11"/>
  <c r="AC2221" i="11"/>
  <c r="AD2217" i="11"/>
  <c r="AC2217" i="11"/>
  <c r="AD2213" i="11"/>
  <c r="AC2213" i="11"/>
  <c r="AD2209" i="11"/>
  <c r="AC2209" i="11"/>
  <c r="AD2205" i="11"/>
  <c r="AC2205" i="11"/>
  <c r="AD2201" i="11"/>
  <c r="AC2201" i="11"/>
  <c r="AD2197" i="11"/>
  <c r="AC2197" i="11"/>
  <c r="AD2193" i="11"/>
  <c r="AC2193" i="11"/>
  <c r="AD2189" i="11"/>
  <c r="AC2189" i="11"/>
  <c r="AD2185" i="11"/>
  <c r="AC2185" i="11"/>
  <c r="AD2181" i="11"/>
  <c r="AC2181" i="11"/>
  <c r="AD2177" i="11"/>
  <c r="AC2177" i="11"/>
  <c r="AD2173" i="11"/>
  <c r="AC2173" i="11"/>
  <c r="AD2169" i="11"/>
  <c r="AC2169" i="11"/>
  <c r="AD2165" i="11"/>
  <c r="AC2165" i="11"/>
  <c r="AD2161" i="11"/>
  <c r="AC2161" i="11"/>
  <c r="AD2157" i="11"/>
  <c r="AC2157" i="11"/>
  <c r="AD2153" i="11"/>
  <c r="AC2153" i="11"/>
  <c r="AD2149" i="11"/>
  <c r="AC2149" i="11"/>
  <c r="AD2145" i="11"/>
  <c r="AC2145" i="11"/>
  <c r="AD2141" i="11"/>
  <c r="AC2141" i="11"/>
  <c r="AD2137" i="11"/>
  <c r="AC2137" i="11"/>
  <c r="AD2133" i="11"/>
  <c r="AC2133" i="11"/>
  <c r="AD2129" i="11"/>
  <c r="AC2129" i="11"/>
  <c r="AD2125" i="11"/>
  <c r="AC2125" i="11"/>
  <c r="AD2121" i="11"/>
  <c r="AC2121" i="11"/>
  <c r="AD2117" i="11"/>
  <c r="AC2117" i="11"/>
  <c r="AD2113" i="11"/>
  <c r="AC2113" i="11"/>
  <c r="AD2109" i="11"/>
  <c r="AC2109" i="11"/>
  <c r="AD2105" i="11"/>
  <c r="AC2105" i="11"/>
  <c r="AD2101" i="11"/>
  <c r="AC2101" i="11"/>
  <c r="AD2097" i="11"/>
  <c r="AC2097" i="11"/>
  <c r="AD2093" i="11"/>
  <c r="AC2093" i="11"/>
  <c r="AD2089" i="11"/>
  <c r="AC2089" i="11"/>
  <c r="AD2085" i="11"/>
  <c r="AC2085" i="11"/>
  <c r="AD2081" i="11"/>
  <c r="AC2081" i="11"/>
  <c r="AD2077" i="11"/>
  <c r="AC2077" i="11"/>
  <c r="AD2073" i="11"/>
  <c r="AC2073" i="11"/>
  <c r="AD2069" i="11"/>
  <c r="AC2069" i="11"/>
  <c r="AD2065" i="11"/>
  <c r="AC2065" i="11"/>
  <c r="AD2061" i="11"/>
  <c r="AC2061" i="11"/>
  <c r="AD2057" i="11"/>
  <c r="AC2057" i="11"/>
  <c r="AD2053" i="11"/>
  <c r="AC2053" i="11"/>
  <c r="AD2049" i="11"/>
  <c r="AC2049" i="11"/>
  <c r="AD2045" i="11"/>
  <c r="AC2045" i="11"/>
  <c r="AD2041" i="11"/>
  <c r="AC2041" i="11"/>
  <c r="AD2037" i="11"/>
  <c r="AC2037" i="11"/>
  <c r="AD2033" i="11"/>
  <c r="AC2033" i="11"/>
  <c r="AD2029" i="11"/>
  <c r="AC2029" i="11"/>
  <c r="AD2025" i="11"/>
  <c r="AC2025" i="11"/>
  <c r="AD2021" i="11"/>
  <c r="AC2021" i="11"/>
  <c r="AD2017" i="11"/>
  <c r="AC2017" i="11"/>
  <c r="AD2013" i="11"/>
  <c r="AC2013" i="11"/>
  <c r="AD2009" i="11"/>
  <c r="AC2009" i="11"/>
  <c r="AD2005" i="11"/>
  <c r="AC2005" i="11"/>
  <c r="AD2001" i="11"/>
  <c r="AC2001" i="11"/>
  <c r="AD1997" i="11"/>
  <c r="AC1997" i="11"/>
  <c r="AD1993" i="11"/>
  <c r="AC1993" i="11"/>
  <c r="AD1989" i="11"/>
  <c r="AC1989" i="11"/>
  <c r="AD1985" i="11"/>
  <c r="AC1985" i="11"/>
  <c r="AD1981" i="11"/>
  <c r="AC1981" i="11"/>
  <c r="AD1977" i="11"/>
  <c r="AC1977" i="11"/>
  <c r="AD1973" i="11"/>
  <c r="AC1973" i="11"/>
  <c r="AD1969" i="11"/>
  <c r="AC1969" i="11"/>
  <c r="AD1965" i="11"/>
  <c r="AC1965" i="11"/>
  <c r="AD1961" i="11"/>
  <c r="AC1961" i="11"/>
  <c r="AD1957" i="11"/>
  <c r="AC1957" i="11"/>
  <c r="AD1953" i="11"/>
  <c r="AC1953" i="11"/>
  <c r="AD1949" i="11"/>
  <c r="AC1949" i="11"/>
  <c r="AD1945" i="11"/>
  <c r="AC1945" i="11"/>
  <c r="AD1941" i="11"/>
  <c r="AC1941" i="11"/>
  <c r="AD1937" i="11"/>
  <c r="AC1937" i="11"/>
  <c r="AD1933" i="11"/>
  <c r="AC1933" i="11"/>
  <c r="AD1929" i="11"/>
  <c r="AC1929" i="11"/>
  <c r="AD1925" i="11"/>
  <c r="AC1925" i="11"/>
  <c r="AD1921" i="11"/>
  <c r="AC1921" i="11"/>
  <c r="AD1917" i="11"/>
  <c r="AC1917" i="11"/>
  <c r="AD1913" i="11"/>
  <c r="AC1913" i="11"/>
  <c r="AD1909" i="11"/>
  <c r="AC1909" i="11"/>
  <c r="AD1905" i="11"/>
  <c r="AC1905" i="11"/>
  <c r="AD1901" i="11"/>
  <c r="AC1901" i="11"/>
  <c r="AD1897" i="11"/>
  <c r="AC1897" i="11"/>
  <c r="AD1893" i="11"/>
  <c r="AC1893" i="11"/>
  <c r="AD1889" i="11"/>
  <c r="AC1889" i="11"/>
  <c r="AD1885" i="11"/>
  <c r="AC1885" i="11"/>
  <c r="AD1881" i="11"/>
  <c r="AC1881" i="11"/>
  <c r="AD1877" i="11"/>
  <c r="AC1877" i="11"/>
  <c r="AD1873" i="11"/>
  <c r="AC1873" i="11"/>
  <c r="AD1869" i="11"/>
  <c r="AC1869" i="11"/>
  <c r="AD1865" i="11"/>
  <c r="AC1865" i="11"/>
  <c r="AD1861" i="11"/>
  <c r="AC1861" i="11"/>
  <c r="AD1857" i="11"/>
  <c r="AC1857" i="11"/>
  <c r="AD1853" i="11"/>
  <c r="AC1853" i="11"/>
  <c r="AD1849" i="11"/>
  <c r="AC1849" i="11"/>
  <c r="AD1845" i="11"/>
  <c r="AC1845" i="11"/>
  <c r="AD1841" i="11"/>
  <c r="AC1841" i="11"/>
  <c r="AD1837" i="11"/>
  <c r="AC1837" i="11"/>
  <c r="AD1833" i="11"/>
  <c r="AC1833" i="11"/>
  <c r="AD1829" i="11"/>
  <c r="AC1829" i="11"/>
  <c r="AD1825" i="11"/>
  <c r="AC1825" i="11"/>
  <c r="AD1821" i="11"/>
  <c r="AC1821" i="11"/>
  <c r="AD1817" i="11"/>
  <c r="AC1817" i="11"/>
  <c r="AD1813" i="11"/>
  <c r="AC1813" i="11"/>
  <c r="AD1809" i="11"/>
  <c r="AC1809" i="11"/>
  <c r="AD1805" i="11"/>
  <c r="AC1805" i="11"/>
  <c r="AD1801" i="11"/>
  <c r="AC1801" i="11"/>
  <c r="AD1797" i="11"/>
  <c r="AC1797" i="11"/>
  <c r="AD1793" i="11"/>
  <c r="AC1793" i="11"/>
  <c r="AD1789" i="11"/>
  <c r="AC1789" i="11"/>
  <c r="AD1785" i="11"/>
  <c r="AC1785" i="11"/>
  <c r="AD1781" i="11"/>
  <c r="AC1781" i="11"/>
  <c r="AD1777" i="11"/>
  <c r="AC1777" i="11"/>
  <c r="AD1773" i="11"/>
  <c r="AC1773" i="11"/>
  <c r="AD1769" i="11"/>
  <c r="AC1769" i="11"/>
  <c r="AD1765" i="11"/>
  <c r="AC1765" i="11"/>
  <c r="AD1761" i="11"/>
  <c r="AC1761" i="11"/>
  <c r="AD1757" i="11"/>
  <c r="AC1757" i="11"/>
  <c r="AD1753" i="11"/>
  <c r="AC1753" i="11"/>
  <c r="AD1749" i="11"/>
  <c r="AC1749" i="11"/>
  <c r="AD1745" i="11"/>
  <c r="AC1745" i="11"/>
  <c r="AD1741" i="11"/>
  <c r="AC1741" i="11"/>
  <c r="AD1737" i="11"/>
  <c r="AC1737" i="11"/>
  <c r="AD1733" i="11"/>
  <c r="AC1733" i="11"/>
  <c r="AD1729" i="11"/>
  <c r="AC1729" i="11"/>
  <c r="AD1725" i="11"/>
  <c r="AC1725" i="11"/>
  <c r="AD1721" i="11"/>
  <c r="AC1721" i="11"/>
  <c r="AD1717" i="11"/>
  <c r="AC1717" i="11"/>
  <c r="AD1713" i="11"/>
  <c r="AC1713" i="11"/>
  <c r="AD1709" i="11"/>
  <c r="AC1709" i="11"/>
  <c r="AD1705" i="11"/>
  <c r="AC1705" i="11"/>
  <c r="AD1701" i="11"/>
  <c r="AC1701" i="11"/>
  <c r="AD1697" i="11"/>
  <c r="AC1697" i="11"/>
  <c r="AD1693" i="11"/>
  <c r="AC1693" i="11"/>
  <c r="AD1689" i="11"/>
  <c r="AC1689" i="11"/>
  <c r="AD1685" i="11"/>
  <c r="AC1685" i="11"/>
  <c r="AD1681" i="11"/>
  <c r="AC1681" i="11"/>
  <c r="AD1677" i="11"/>
  <c r="AC1677" i="11"/>
  <c r="AD1673" i="11"/>
  <c r="AC1673" i="11"/>
  <c r="AD1669" i="11"/>
  <c r="AC1669" i="11"/>
  <c r="AD1665" i="11"/>
  <c r="AC1665" i="11"/>
  <c r="AD1661" i="11"/>
  <c r="AC1661" i="11"/>
  <c r="AD1657" i="11"/>
  <c r="AC1657" i="11"/>
  <c r="AD1653" i="11"/>
  <c r="AC1653" i="11"/>
  <c r="AD1649" i="11"/>
  <c r="AC1649" i="11"/>
  <c r="AD1645" i="11"/>
  <c r="AC1645" i="11"/>
  <c r="AD1641" i="11"/>
  <c r="AC1641" i="11"/>
  <c r="AD1637" i="11"/>
  <c r="AC1637" i="11"/>
  <c r="AD1633" i="11"/>
  <c r="AC1633" i="11"/>
  <c r="AD1629" i="11"/>
  <c r="AC1629" i="11"/>
  <c r="AD1625" i="11"/>
  <c r="AC1625" i="11"/>
  <c r="AD1621" i="11"/>
  <c r="AC1621" i="11"/>
  <c r="AD1617" i="11"/>
  <c r="AC1617" i="11"/>
  <c r="AD1613" i="11"/>
  <c r="AC1613" i="11"/>
  <c r="AD1609" i="11"/>
  <c r="AC1609" i="11"/>
  <c r="AD1605" i="11"/>
  <c r="AC1605" i="11"/>
  <c r="AD1601" i="11"/>
  <c r="AC1601" i="11"/>
  <c r="AD1597" i="11"/>
  <c r="AC1597" i="11"/>
  <c r="AD1593" i="11"/>
  <c r="AC1593" i="11"/>
  <c r="AD1589" i="11"/>
  <c r="AC1589" i="11"/>
  <c r="AD1585" i="11"/>
  <c r="AC1585" i="11"/>
  <c r="AD1581" i="11"/>
  <c r="AC1581" i="11"/>
  <c r="AD1577" i="11"/>
  <c r="AC1577" i="11"/>
  <c r="AD1573" i="11"/>
  <c r="AC1573" i="11"/>
  <c r="AD1569" i="11"/>
  <c r="AC1569" i="11"/>
  <c r="AD1565" i="11"/>
  <c r="AC1565" i="11"/>
  <c r="AD1561" i="11"/>
  <c r="AC1561" i="11"/>
  <c r="AD1557" i="11"/>
  <c r="AC1557" i="11"/>
  <c r="AD1553" i="11"/>
  <c r="AC1553" i="11"/>
  <c r="AD1549" i="11"/>
  <c r="AC1549" i="11"/>
  <c r="AD1545" i="11"/>
  <c r="AC1545" i="11"/>
  <c r="AD1541" i="11"/>
  <c r="AC1541" i="11"/>
  <c r="AD1537" i="11"/>
  <c r="AC1537" i="11"/>
  <c r="AD1533" i="11"/>
  <c r="AC1533" i="11"/>
  <c r="AD1529" i="11"/>
  <c r="AC1529" i="11"/>
  <c r="AD1525" i="11"/>
  <c r="AC1525" i="11"/>
  <c r="AD1521" i="11"/>
  <c r="AC1521" i="11"/>
  <c r="AD1517" i="11"/>
  <c r="AC1517" i="11"/>
  <c r="AD1513" i="11"/>
  <c r="AC1513" i="11"/>
  <c r="AD1509" i="11"/>
  <c r="AC1509" i="11"/>
  <c r="AD1505" i="11"/>
  <c r="AC1505" i="11"/>
  <c r="AD1501" i="11"/>
  <c r="AC1501" i="11"/>
  <c r="AD1497" i="11"/>
  <c r="AC1497" i="11"/>
  <c r="AD1493" i="11"/>
  <c r="AC1493" i="11"/>
  <c r="AD1489" i="11"/>
  <c r="AC1489" i="11"/>
  <c r="AD1485" i="11"/>
  <c r="AC1485" i="11"/>
  <c r="AD1481" i="11"/>
  <c r="AC1481" i="11"/>
  <c r="AD1477" i="11"/>
  <c r="AC1477" i="11"/>
  <c r="AD1473" i="11"/>
  <c r="AC1473" i="11"/>
  <c r="AD1469" i="11"/>
  <c r="AC1469" i="11"/>
  <c r="AD1465" i="11"/>
  <c r="AC1465" i="11"/>
  <c r="AD1461" i="11"/>
  <c r="AC1461" i="11"/>
  <c r="AD1457" i="11"/>
  <c r="AC1457" i="11"/>
  <c r="AD1453" i="11"/>
  <c r="AC1453" i="11"/>
  <c r="AD1449" i="11"/>
  <c r="AC1449" i="11"/>
  <c r="AD1445" i="11"/>
  <c r="AC1445" i="11"/>
  <c r="AD1441" i="11"/>
  <c r="AC1441" i="11"/>
  <c r="AD1437" i="11"/>
  <c r="AC1437" i="11"/>
  <c r="AD1433" i="11"/>
  <c r="AC1433" i="11"/>
  <c r="AD1429" i="11"/>
  <c r="AC1429" i="11"/>
  <c r="AD1425" i="11"/>
  <c r="AC1425" i="11"/>
  <c r="AD1421" i="11"/>
  <c r="AC1421" i="11"/>
  <c r="AD1417" i="11"/>
  <c r="AC1417" i="11"/>
  <c r="AD1413" i="11"/>
  <c r="AC1413" i="11"/>
  <c r="AD1409" i="11"/>
  <c r="AC1409" i="11"/>
  <c r="AD1405" i="11"/>
  <c r="AC1405" i="11"/>
  <c r="AD1401" i="11"/>
  <c r="AC1401" i="11"/>
  <c r="AD1397" i="11"/>
  <c r="AC1397" i="11"/>
  <c r="AD1393" i="11"/>
  <c r="AC1393" i="11"/>
  <c r="AD1389" i="11"/>
  <c r="AC1389" i="11"/>
  <c r="AD1385" i="11"/>
  <c r="AC1385" i="11"/>
  <c r="AD1381" i="11"/>
  <c r="AC1381" i="11"/>
  <c r="AD1377" i="11"/>
  <c r="AC1377" i="11"/>
  <c r="AD1373" i="11"/>
  <c r="AC1373" i="11"/>
  <c r="AD1369" i="11"/>
  <c r="AC1369" i="11"/>
  <c r="AD1365" i="11"/>
  <c r="AC1365" i="11"/>
  <c r="AD1361" i="11"/>
  <c r="AC1361" i="11"/>
  <c r="AD1357" i="11"/>
  <c r="AC1357" i="11"/>
  <c r="AD1353" i="11"/>
  <c r="AC1353" i="11"/>
  <c r="AD1349" i="11"/>
  <c r="AC1349" i="11"/>
  <c r="AD1345" i="11"/>
  <c r="AC1345" i="11"/>
  <c r="AD1341" i="11"/>
  <c r="AC1341" i="11"/>
  <c r="AD1337" i="11"/>
  <c r="AC1337" i="11"/>
  <c r="AD1333" i="11"/>
  <c r="AC1333" i="11"/>
  <c r="AD1329" i="11"/>
  <c r="AC1329" i="11"/>
  <c r="AD1325" i="11"/>
  <c r="AC1325" i="11"/>
  <c r="AD1321" i="11"/>
  <c r="AC1321" i="11"/>
  <c r="AD1317" i="11"/>
  <c r="AC1317" i="11"/>
  <c r="AD1313" i="11"/>
  <c r="AC1313" i="11"/>
  <c r="AD1309" i="11"/>
  <c r="AC1309" i="11"/>
  <c r="AD1305" i="11"/>
  <c r="AC1305" i="11"/>
  <c r="AD1301" i="11"/>
  <c r="AC1301" i="11"/>
  <c r="AD1297" i="11"/>
  <c r="AC1297" i="11"/>
  <c r="AD1293" i="11"/>
  <c r="AC1293" i="11"/>
  <c r="AD1289" i="11"/>
  <c r="AC1289" i="11"/>
  <c r="AD1285" i="11"/>
  <c r="AC1285" i="11"/>
  <c r="AD1281" i="11"/>
  <c r="AC1281" i="11"/>
  <c r="AD1277" i="11"/>
  <c r="AC1277" i="11"/>
  <c r="AD1273" i="11"/>
  <c r="AC1273" i="11"/>
  <c r="AD1269" i="11"/>
  <c r="AC1269" i="11"/>
  <c r="AD1265" i="11"/>
  <c r="AC1265" i="11"/>
  <c r="AD1261" i="11"/>
  <c r="AC1261" i="11"/>
  <c r="AD1257" i="11"/>
  <c r="AC1257" i="11"/>
  <c r="AD1253" i="11"/>
  <c r="AC1253" i="11"/>
  <c r="AD1249" i="11"/>
  <c r="AC1249" i="11"/>
  <c r="AD1245" i="11"/>
  <c r="AC1245" i="11"/>
  <c r="AD1241" i="11"/>
  <c r="AC1241" i="11"/>
  <c r="AD1237" i="11"/>
  <c r="AC1237" i="11"/>
  <c r="AD1233" i="11"/>
  <c r="AC1233" i="11"/>
  <c r="AD1229" i="11"/>
  <c r="AC1229" i="11"/>
  <c r="AD1225" i="11"/>
  <c r="AC1225" i="11"/>
  <c r="AD1221" i="11"/>
  <c r="AC1221" i="11"/>
  <c r="AD1217" i="11"/>
  <c r="AC1217" i="11"/>
  <c r="AD1213" i="11"/>
  <c r="AC1213" i="11"/>
  <c r="AD1209" i="11"/>
  <c r="AC1209" i="11"/>
  <c r="AD1205" i="11"/>
  <c r="AC1205" i="11"/>
  <c r="AD1201" i="11"/>
  <c r="AC1201" i="11"/>
  <c r="AD1197" i="11"/>
  <c r="AC1197" i="11"/>
  <c r="AD1193" i="11"/>
  <c r="AC1193" i="11"/>
  <c r="AD1189" i="11"/>
  <c r="AC1189" i="11"/>
  <c r="AD1185" i="11"/>
  <c r="AC1185" i="11"/>
  <c r="AD1181" i="11"/>
  <c r="AC1181" i="11"/>
  <c r="AD1177" i="11"/>
  <c r="AC1177" i="11"/>
  <c r="AD1173" i="11"/>
  <c r="AC1173" i="11"/>
  <c r="AD1169" i="11"/>
  <c r="AC1169" i="11"/>
  <c r="AD1165" i="11"/>
  <c r="AC1165" i="11"/>
  <c r="AD1161" i="11"/>
  <c r="AC1161" i="11"/>
  <c r="AD1157" i="11"/>
  <c r="AC1157" i="11"/>
  <c r="AD1153" i="11"/>
  <c r="AC1153" i="11"/>
  <c r="AD1149" i="11"/>
  <c r="AC1149" i="11"/>
  <c r="AD1145" i="11"/>
  <c r="AC1145" i="11"/>
  <c r="AD1141" i="11"/>
  <c r="AC1141" i="11"/>
  <c r="AD1137" i="11"/>
  <c r="AC1137" i="11"/>
  <c r="AD1133" i="11"/>
  <c r="AC1133" i="11"/>
  <c r="AD1129" i="11"/>
  <c r="AC1129" i="11"/>
  <c r="AD1125" i="11"/>
  <c r="AC1125" i="11"/>
  <c r="AD1121" i="11"/>
  <c r="AC1121" i="11"/>
  <c r="AD1117" i="11"/>
  <c r="AC1117" i="11"/>
  <c r="AD1113" i="11"/>
  <c r="AC1113" i="11"/>
  <c r="AD1109" i="11"/>
  <c r="AC1109" i="11"/>
  <c r="AD1105" i="11"/>
  <c r="AC1105" i="11"/>
  <c r="AD1101" i="11"/>
  <c r="AC1101" i="11"/>
  <c r="AD1097" i="11"/>
  <c r="AC1097" i="11"/>
  <c r="AD1093" i="11"/>
  <c r="AC1093" i="11"/>
  <c r="AD1089" i="11"/>
  <c r="AC1089" i="11"/>
  <c r="AD1085" i="11"/>
  <c r="AC1085" i="11"/>
  <c r="AD1081" i="11"/>
  <c r="AC1081" i="11"/>
  <c r="AD1077" i="11"/>
  <c r="AC1077" i="11"/>
  <c r="AD1073" i="11"/>
  <c r="AC1073" i="11"/>
  <c r="AD1069" i="11"/>
  <c r="AC1069" i="11"/>
  <c r="AD1065" i="11"/>
  <c r="AC1065" i="11"/>
  <c r="AD1061" i="11"/>
  <c r="AC1061" i="11"/>
  <c r="AD1057" i="11"/>
  <c r="AC1057" i="11"/>
  <c r="AD1053" i="11"/>
  <c r="AC1053" i="11"/>
  <c r="AD1049" i="11"/>
  <c r="AC1049" i="11"/>
  <c r="AD1045" i="11"/>
  <c r="AC1045" i="11"/>
  <c r="AD1041" i="11"/>
  <c r="AC1041" i="11"/>
  <c r="AD1037" i="11"/>
  <c r="AC1037" i="11"/>
  <c r="AD1033" i="11"/>
  <c r="AC1033" i="11"/>
  <c r="AD1029" i="11"/>
  <c r="AC1029" i="11"/>
  <c r="AD1025" i="11"/>
  <c r="AC1025" i="11"/>
  <c r="AD1021" i="11"/>
  <c r="AC1021" i="11"/>
  <c r="AD1017" i="11"/>
  <c r="AC1017" i="11"/>
  <c r="AD1013" i="11"/>
  <c r="AC1013" i="11"/>
  <c r="AD1009" i="11"/>
  <c r="AC1009" i="11"/>
  <c r="AD1005" i="11"/>
  <c r="AC1005" i="11"/>
  <c r="AD1001" i="11"/>
  <c r="AC1001" i="11"/>
  <c r="AD997" i="11"/>
  <c r="AC997" i="11"/>
  <c r="AD993" i="11"/>
  <c r="AC993" i="11"/>
  <c r="AD989" i="11"/>
  <c r="AC989" i="11"/>
  <c r="AD985" i="11"/>
  <c r="AC985" i="11"/>
  <c r="AD981" i="11"/>
  <c r="AC981" i="11"/>
  <c r="AD977" i="11"/>
  <c r="AC977" i="11"/>
  <c r="AD973" i="11"/>
  <c r="AC973" i="11"/>
  <c r="AD969" i="11"/>
  <c r="AC969" i="11"/>
  <c r="AD965" i="11"/>
  <c r="AC965" i="11"/>
  <c r="AD961" i="11"/>
  <c r="AC961" i="11"/>
  <c r="AD957" i="11"/>
  <c r="AC957" i="11"/>
  <c r="AD953" i="11"/>
  <c r="AC953" i="11"/>
  <c r="AD949" i="11"/>
  <c r="AC949" i="11"/>
  <c r="AD945" i="11"/>
  <c r="AC945" i="11"/>
  <c r="AD941" i="11"/>
  <c r="AC941" i="11"/>
  <c r="AD937" i="11"/>
  <c r="AC937" i="11"/>
  <c r="AD933" i="11"/>
  <c r="AC933" i="11"/>
  <c r="AD929" i="11"/>
  <c r="AC929" i="11"/>
  <c r="AD925" i="11"/>
  <c r="AC925" i="11"/>
  <c r="AD921" i="11"/>
  <c r="AC921" i="11"/>
  <c r="AD917" i="11"/>
  <c r="AC917" i="11"/>
  <c r="AD913" i="11"/>
  <c r="AC913" i="11"/>
  <c r="AD909" i="11"/>
  <c r="AC909" i="11"/>
  <c r="AD905" i="11"/>
  <c r="AC905" i="11"/>
  <c r="AD901" i="11"/>
  <c r="AC901" i="11"/>
  <c r="AD897" i="11"/>
  <c r="AC897" i="11"/>
  <c r="AD893" i="11"/>
  <c r="AC893" i="11"/>
  <c r="AD889" i="11"/>
  <c r="AC889" i="11"/>
  <c r="AD885" i="11"/>
  <c r="AC885" i="11"/>
  <c r="AD881" i="11"/>
  <c r="AC881" i="11"/>
  <c r="AD877" i="11"/>
  <c r="AC877" i="11"/>
  <c r="AD873" i="11"/>
  <c r="AC873" i="11"/>
  <c r="AD869" i="11"/>
  <c r="AC869" i="11"/>
  <c r="AD865" i="11"/>
  <c r="AC865" i="11"/>
  <c r="AD861" i="11"/>
  <c r="AC861" i="11"/>
  <c r="AD857" i="11"/>
  <c r="AC857" i="11"/>
  <c r="AD853" i="11"/>
  <c r="AC853" i="11"/>
  <c r="AD849" i="11"/>
  <c r="AC849" i="11"/>
  <c r="AD845" i="11"/>
  <c r="AC845" i="11"/>
  <c r="AD841" i="11"/>
  <c r="AC841" i="11"/>
  <c r="AD837" i="11"/>
  <c r="AC837" i="11"/>
  <c r="AD833" i="11"/>
  <c r="AC833" i="11"/>
  <c r="AD829" i="11"/>
  <c r="AC829" i="11"/>
  <c r="AD825" i="11"/>
  <c r="AC825" i="11"/>
  <c r="AD821" i="11"/>
  <c r="AC821" i="11"/>
  <c r="AD817" i="11"/>
  <c r="AC817" i="11"/>
  <c r="AD813" i="11"/>
  <c r="AC813" i="11"/>
  <c r="AD809" i="11"/>
  <c r="AC809" i="11"/>
  <c r="AD805" i="11"/>
  <c r="AC805" i="11"/>
  <c r="AD801" i="11"/>
  <c r="AC801" i="11"/>
  <c r="AD797" i="11"/>
  <c r="AC797" i="11"/>
  <c r="AD793" i="11"/>
  <c r="AC793" i="11"/>
  <c r="AD789" i="11"/>
  <c r="AC789" i="11"/>
  <c r="AD785" i="11"/>
  <c r="AC785" i="11"/>
  <c r="AD781" i="11"/>
  <c r="AC781" i="11"/>
  <c r="AD777" i="11"/>
  <c r="AC777" i="11"/>
  <c r="AD773" i="11"/>
  <c r="AC773" i="11"/>
  <c r="AD769" i="11"/>
  <c r="AC769" i="11"/>
  <c r="AD765" i="11"/>
  <c r="AC765" i="11"/>
  <c r="AD761" i="11"/>
  <c r="AC761" i="11"/>
  <c r="AD757" i="11"/>
  <c r="AC757" i="11"/>
  <c r="AD753" i="11"/>
  <c r="AC753" i="11"/>
  <c r="AD749" i="11"/>
  <c r="AC749" i="11"/>
  <c r="AD745" i="11"/>
  <c r="AC745" i="11"/>
  <c r="AD741" i="11"/>
  <c r="AC741" i="11"/>
  <c r="AD737" i="11"/>
  <c r="AC737" i="11"/>
  <c r="AD733" i="11"/>
  <c r="AC733" i="11"/>
  <c r="AD729" i="11"/>
  <c r="AC729" i="11"/>
  <c r="AD725" i="11"/>
  <c r="AC725" i="11"/>
  <c r="AD721" i="11"/>
  <c r="AC721" i="11"/>
  <c r="AD717" i="11"/>
  <c r="AC717" i="11"/>
  <c r="AD713" i="11"/>
  <c r="AC713" i="11"/>
  <c r="AD709" i="11"/>
  <c r="AC709" i="11"/>
  <c r="AD705" i="11"/>
  <c r="AC705" i="11"/>
  <c r="AD701" i="11"/>
  <c r="AC701" i="11"/>
  <c r="AD697" i="11"/>
  <c r="AC697" i="11"/>
  <c r="AD693" i="11"/>
  <c r="AC693" i="11"/>
  <c r="AD689" i="11"/>
  <c r="AC689" i="11"/>
  <c r="AD685" i="11"/>
  <c r="AC685" i="11"/>
  <c r="AD681" i="11"/>
  <c r="AC681" i="11"/>
  <c r="AD677" i="11"/>
  <c r="AC677" i="11"/>
  <c r="AD673" i="11"/>
  <c r="AC673" i="11"/>
  <c r="AD669" i="11"/>
  <c r="AC669" i="11"/>
  <c r="AD665" i="11"/>
  <c r="AC665" i="11"/>
  <c r="AD661" i="11"/>
  <c r="AC661" i="11"/>
  <c r="AD657" i="11"/>
  <c r="AC657" i="11"/>
  <c r="AD653" i="11"/>
  <c r="AC653" i="11"/>
  <c r="AD649" i="11"/>
  <c r="AC649" i="11"/>
  <c r="AD645" i="11"/>
  <c r="AC645" i="11"/>
  <c r="AD641" i="11"/>
  <c r="AC641" i="11"/>
  <c r="AD637" i="11"/>
  <c r="AC637" i="11"/>
  <c r="AD633" i="11"/>
  <c r="AC633" i="11"/>
  <c r="AD629" i="11"/>
  <c r="AC629" i="11"/>
  <c r="AD625" i="11"/>
  <c r="AC625" i="11"/>
  <c r="AD621" i="11"/>
  <c r="AC621" i="11"/>
  <c r="AD617" i="11"/>
  <c r="AC617" i="11"/>
  <c r="AD613" i="11"/>
  <c r="AC613" i="11"/>
  <c r="AD609" i="11"/>
  <c r="AC609" i="11"/>
  <c r="AD605" i="11"/>
  <c r="AC605" i="11"/>
  <c r="AD601" i="11"/>
  <c r="AC601" i="11"/>
  <c r="AD597" i="11"/>
  <c r="AC597" i="11"/>
  <c r="AD593" i="11"/>
  <c r="AC593" i="11"/>
  <c r="AD589" i="11"/>
  <c r="AC589" i="11"/>
  <c r="AD585" i="11"/>
  <c r="AC585" i="11"/>
  <c r="AD581" i="11"/>
  <c r="AC581" i="11"/>
  <c r="AD577" i="11"/>
  <c r="AC577" i="11"/>
  <c r="AD573" i="11"/>
  <c r="AC573" i="11"/>
  <c r="AD569" i="11"/>
  <c r="AC569" i="11"/>
  <c r="AD565" i="11"/>
  <c r="AC565" i="11"/>
  <c r="AD561" i="11"/>
  <c r="AC561" i="11"/>
  <c r="AD557" i="11"/>
  <c r="AC557" i="11"/>
  <c r="AD553" i="11"/>
  <c r="AC553" i="11"/>
  <c r="AD549" i="11"/>
  <c r="AC549" i="11"/>
  <c r="AD545" i="11"/>
  <c r="AC545" i="11"/>
  <c r="AD541" i="11"/>
  <c r="AC541" i="11"/>
  <c r="AD537" i="11"/>
  <c r="AC537" i="11"/>
  <c r="AD533" i="11"/>
  <c r="AC533" i="11"/>
  <c r="AD529" i="11"/>
  <c r="AC529" i="11"/>
  <c r="AD525" i="11"/>
  <c r="AC525" i="11"/>
  <c r="AD521" i="11"/>
  <c r="AC521" i="11"/>
  <c r="AD517" i="11"/>
  <c r="AC517" i="11"/>
  <c r="AD513" i="11"/>
  <c r="AC513" i="11"/>
  <c r="AD509" i="11"/>
  <c r="AC509" i="11"/>
  <c r="AD505" i="11"/>
  <c r="AC505" i="11"/>
  <c r="AD501" i="11"/>
  <c r="AC501" i="11"/>
  <c r="AD497" i="11"/>
  <c r="AC497" i="11"/>
  <c r="AD493" i="11"/>
  <c r="AC493" i="11"/>
  <c r="AD489" i="11"/>
  <c r="AC489" i="11"/>
  <c r="AD485" i="11"/>
  <c r="AC485" i="11"/>
  <c r="AD481" i="11"/>
  <c r="AC481" i="11"/>
  <c r="AD477" i="11"/>
  <c r="AC477" i="11"/>
  <c r="AD473" i="11"/>
  <c r="AC473" i="11"/>
  <c r="AD469" i="11"/>
  <c r="AC469" i="11"/>
  <c r="AD465" i="11"/>
  <c r="AC465" i="11"/>
  <c r="AD461" i="11"/>
  <c r="AC461" i="11"/>
  <c r="AD457" i="11"/>
  <c r="AC457" i="11"/>
  <c r="AD453" i="11"/>
  <c r="AC453" i="11"/>
  <c r="AD449" i="11"/>
  <c r="AC449" i="11"/>
  <c r="AD445" i="11"/>
  <c r="AC445" i="11"/>
  <c r="AD441" i="11"/>
  <c r="AC441" i="11"/>
  <c r="AD437" i="11"/>
  <c r="AC437" i="11"/>
  <c r="AD433" i="11"/>
  <c r="AC433" i="11"/>
  <c r="AD429" i="11"/>
  <c r="AC429" i="11"/>
  <c r="AD425" i="11"/>
  <c r="AC425" i="11"/>
  <c r="AD421" i="11"/>
  <c r="AC421" i="11"/>
  <c r="AD417" i="11"/>
  <c r="AC417" i="11"/>
  <c r="AD413" i="11"/>
  <c r="AC413" i="11"/>
  <c r="AD409" i="11"/>
  <c r="AC409" i="11"/>
  <c r="AD405" i="11"/>
  <c r="AC405" i="11"/>
  <c r="AD401" i="11"/>
  <c r="AC401" i="11"/>
  <c r="AD397" i="11"/>
  <c r="AC397" i="11"/>
  <c r="AD393" i="11"/>
  <c r="AC393" i="11"/>
  <c r="AD389" i="11"/>
  <c r="AC389" i="11"/>
  <c r="AD385" i="11"/>
  <c r="AC385" i="11"/>
  <c r="AD381" i="11"/>
  <c r="AC381" i="11"/>
  <c r="AD377" i="11"/>
  <c r="AC377" i="11"/>
  <c r="AD373" i="11"/>
  <c r="AC373" i="11"/>
  <c r="AD369" i="11"/>
  <c r="AC369" i="11"/>
  <c r="AD365" i="11"/>
  <c r="AC365" i="11"/>
  <c r="AD361" i="11"/>
  <c r="AC361" i="11"/>
  <c r="AD357" i="11"/>
  <c r="AC357" i="11"/>
  <c r="AD353" i="11"/>
  <c r="AC353" i="11"/>
  <c r="AD349" i="11"/>
  <c r="AC349" i="11"/>
  <c r="AD345" i="11"/>
  <c r="AC345" i="11"/>
  <c r="AD341" i="11"/>
  <c r="AC341" i="11"/>
  <c r="AD337" i="11"/>
  <c r="AC337" i="11"/>
  <c r="AD333" i="11"/>
  <c r="AC333" i="11"/>
  <c r="AD329" i="11"/>
  <c r="AC329" i="11"/>
  <c r="AD325" i="11"/>
  <c r="AC325" i="11"/>
  <c r="AD321" i="11"/>
  <c r="AC321" i="11"/>
  <c r="AD317" i="11"/>
  <c r="AC317" i="11"/>
  <c r="AD313" i="11"/>
  <c r="AC313" i="11"/>
  <c r="AD309" i="11"/>
  <c r="AC309" i="11"/>
  <c r="AD305" i="11"/>
  <c r="AC305" i="11"/>
  <c r="AD301" i="11"/>
  <c r="AC301" i="11"/>
  <c r="AD297" i="11"/>
  <c r="AC297" i="11"/>
  <c r="AD293" i="11"/>
  <c r="AC293" i="11"/>
  <c r="AD289" i="11"/>
  <c r="AC289" i="11"/>
  <c r="AD285" i="11"/>
  <c r="AC285" i="11"/>
  <c r="AD281" i="11"/>
  <c r="AC281" i="11"/>
  <c r="AD277" i="11"/>
  <c r="AC277" i="11"/>
  <c r="AD273" i="11"/>
  <c r="AC273" i="11"/>
  <c r="AD269" i="11"/>
  <c r="AC269" i="11"/>
  <c r="AD265" i="11"/>
  <c r="AC265" i="11"/>
  <c r="AD261" i="11"/>
  <c r="AC261" i="11"/>
  <c r="AD257" i="11"/>
  <c r="AC257" i="11"/>
  <c r="AD253" i="11"/>
  <c r="AC253" i="11"/>
  <c r="AD249" i="11"/>
  <c r="AC249" i="11"/>
  <c r="AD245" i="11"/>
  <c r="AC245" i="11"/>
  <c r="AD241" i="11"/>
  <c r="AC241" i="11"/>
  <c r="AD237" i="11"/>
  <c r="AC237" i="11"/>
  <c r="AD233" i="11"/>
  <c r="AC233" i="11"/>
  <c r="AD229" i="11"/>
  <c r="AC229" i="11"/>
  <c r="AD225" i="11"/>
  <c r="AC225" i="11"/>
  <c r="AD221" i="11"/>
  <c r="AC221" i="11"/>
  <c r="AD217" i="11"/>
  <c r="AC217" i="11"/>
  <c r="AD213" i="11"/>
  <c r="AC213" i="11"/>
  <c r="AD209" i="11"/>
  <c r="AC209" i="11"/>
  <c r="AD205" i="11"/>
  <c r="AC205" i="11"/>
  <c r="AD201" i="11"/>
  <c r="AC201" i="11"/>
  <c r="AD197" i="11"/>
  <c r="AC197" i="11"/>
  <c r="AD193" i="11"/>
  <c r="AC193" i="11"/>
  <c r="AD189" i="11"/>
  <c r="AC189" i="11"/>
  <c r="AD185" i="11"/>
  <c r="AC185" i="11"/>
  <c r="AD181" i="11"/>
  <c r="AC181" i="11"/>
  <c r="AD177" i="11"/>
  <c r="AC177" i="11"/>
  <c r="AD173" i="11"/>
  <c r="AC173" i="11"/>
  <c r="AD169" i="11"/>
  <c r="AC169" i="11"/>
  <c r="AD165" i="11"/>
  <c r="AC165" i="11"/>
  <c r="AD161" i="11"/>
  <c r="AC161" i="11"/>
  <c r="AD157" i="11"/>
  <c r="AC157" i="11"/>
  <c r="AD153" i="11"/>
  <c r="AC153" i="11"/>
  <c r="AD149" i="11"/>
  <c r="AC149" i="11"/>
  <c r="AD145" i="11"/>
  <c r="AC145" i="11"/>
  <c r="AD141" i="11"/>
  <c r="AC141" i="11"/>
  <c r="AD137" i="11"/>
  <c r="AC137" i="11"/>
  <c r="AD133" i="11"/>
  <c r="AC133" i="11"/>
  <c r="AD129" i="11"/>
  <c r="AC129" i="11"/>
  <c r="AD125" i="11"/>
  <c r="AC125" i="11"/>
  <c r="AD121" i="11"/>
  <c r="AC121" i="11"/>
  <c r="AD117" i="11"/>
  <c r="AC117" i="11"/>
  <c r="AD113" i="11"/>
  <c r="AC113" i="11"/>
  <c r="AD109" i="11"/>
  <c r="AC109" i="11"/>
  <c r="AD105" i="11"/>
  <c r="AC105" i="11"/>
  <c r="AD101" i="11"/>
  <c r="AC101" i="11"/>
  <c r="AD97" i="11"/>
  <c r="AC97" i="11"/>
  <c r="AD93" i="11"/>
  <c r="AC93" i="11"/>
  <c r="AD89" i="11"/>
  <c r="AC89" i="11"/>
  <c r="AD85" i="11"/>
  <c r="AC85" i="11"/>
  <c r="AD81" i="11"/>
  <c r="AC81" i="11"/>
  <c r="AD77" i="11"/>
  <c r="AC77" i="11"/>
  <c r="AD73" i="11"/>
  <c r="AC73" i="11"/>
  <c r="AD69" i="11"/>
  <c r="AC69" i="11"/>
  <c r="AD65" i="11"/>
  <c r="AC65" i="11"/>
  <c r="AD61" i="11"/>
  <c r="AC61" i="11"/>
  <c r="AD57" i="11"/>
  <c r="AC57" i="11"/>
  <c r="AD53" i="11"/>
  <c r="AC53" i="11"/>
  <c r="AD49" i="11"/>
  <c r="AC49" i="11"/>
  <c r="AD45" i="11"/>
  <c r="AC45" i="11"/>
  <c r="AD41" i="11"/>
  <c r="AC41" i="11"/>
  <c r="AD37" i="11"/>
  <c r="AC37" i="11"/>
  <c r="AD33" i="11"/>
  <c r="AC33" i="11"/>
  <c r="AD29" i="11"/>
  <c r="AC29" i="11"/>
  <c r="AD25" i="11"/>
  <c r="AC25" i="11"/>
  <c r="AD21" i="11"/>
  <c r="AC21" i="11"/>
  <c r="AD17" i="11"/>
  <c r="AC17" i="11"/>
  <c r="AD13" i="11"/>
  <c r="AC13" i="11"/>
  <c r="AD9" i="11"/>
  <c r="AC9" i="11"/>
  <c r="AD2656" i="11"/>
  <c r="AC2656" i="11"/>
  <c r="AD2652" i="11"/>
  <c r="AC2652" i="11"/>
  <c r="AD2648" i="11"/>
  <c r="AC2648" i="11"/>
  <c r="AD2644" i="11"/>
  <c r="AC2644" i="11"/>
  <c r="AD2640" i="11"/>
  <c r="AC2640" i="11"/>
  <c r="AD2636" i="11"/>
  <c r="AC2636" i="11"/>
  <c r="AD2632" i="11"/>
  <c r="AC2632" i="11"/>
  <c r="AD2628" i="11"/>
  <c r="AC2628" i="11"/>
  <c r="AD2624" i="11"/>
  <c r="AC2624" i="11"/>
  <c r="AD2620" i="11"/>
  <c r="AC2620" i="11"/>
  <c r="AD2616" i="11"/>
  <c r="AC2616" i="11"/>
  <c r="AD2612" i="11"/>
  <c r="AC2612" i="11"/>
  <c r="AD2608" i="11"/>
  <c r="AC2608" i="11"/>
  <c r="AD2604" i="11"/>
  <c r="AC2604" i="11"/>
  <c r="AD2600" i="11"/>
  <c r="AC2600" i="11"/>
  <c r="AD2596" i="11"/>
  <c r="AC2596" i="11"/>
  <c r="AD2592" i="11"/>
  <c r="AC2592" i="11"/>
  <c r="AD2588" i="11"/>
  <c r="AC2588" i="11"/>
  <c r="AD2584" i="11"/>
  <c r="AC2584" i="11"/>
  <c r="AD2580" i="11"/>
  <c r="AC2580" i="11"/>
  <c r="AD2576" i="11"/>
  <c r="AC2576" i="11"/>
  <c r="AD2572" i="11"/>
  <c r="AC2572" i="11"/>
  <c r="AD2568" i="11"/>
  <c r="AC2568" i="11"/>
  <c r="AD2564" i="11"/>
  <c r="AC2564" i="11"/>
  <c r="AD2560" i="11"/>
  <c r="AC2560" i="11"/>
  <c r="AD2556" i="11"/>
  <c r="AC2556" i="11"/>
  <c r="AD2552" i="11"/>
  <c r="AC2552" i="11"/>
  <c r="AD2548" i="11"/>
  <c r="AC2548" i="11"/>
  <c r="AD2544" i="11"/>
  <c r="AC2544" i="11"/>
  <c r="AD2540" i="11"/>
  <c r="AC2540" i="11"/>
  <c r="AD2536" i="11"/>
  <c r="AC2536" i="11"/>
  <c r="AD2532" i="11"/>
  <c r="AC2532" i="11"/>
  <c r="AD2528" i="11"/>
  <c r="AC2528" i="11"/>
  <c r="AD2524" i="11"/>
  <c r="AC2524" i="11"/>
  <c r="AD2520" i="11"/>
  <c r="AC2520" i="11"/>
  <c r="AD2516" i="11"/>
  <c r="AC2516" i="11"/>
  <c r="AD2512" i="11"/>
  <c r="AC2512" i="11"/>
  <c r="AD2508" i="11"/>
  <c r="AC2508" i="11"/>
  <c r="AD2504" i="11"/>
  <c r="AC2504" i="11"/>
  <c r="AD2500" i="11"/>
  <c r="AC2500" i="11"/>
  <c r="AD2496" i="11"/>
  <c r="AC2496" i="11"/>
  <c r="AD2492" i="11"/>
  <c r="AC2492" i="11"/>
  <c r="AD2488" i="11"/>
  <c r="AC2488" i="11"/>
  <c r="AD2484" i="11"/>
  <c r="AC2484" i="11"/>
  <c r="AD2480" i="11"/>
  <c r="AC2480" i="11"/>
  <c r="AD2476" i="11"/>
  <c r="AC2476" i="11"/>
  <c r="AD2472" i="11"/>
  <c r="AC2472" i="11"/>
  <c r="AD2468" i="11"/>
  <c r="AC2468" i="11"/>
  <c r="AD2464" i="11"/>
  <c r="AC2464" i="11"/>
  <c r="AD2460" i="11"/>
  <c r="AC2460" i="11"/>
  <c r="AD2456" i="11"/>
  <c r="AC2456" i="11"/>
  <c r="AD2452" i="11"/>
  <c r="AC2452" i="11"/>
  <c r="AD2448" i="11"/>
  <c r="AC2448" i="11"/>
  <c r="AD2444" i="11"/>
  <c r="AC2444" i="11"/>
  <c r="AD2440" i="11"/>
  <c r="AC2440" i="11"/>
  <c r="AD2436" i="11"/>
  <c r="AC2436" i="11"/>
  <c r="AD2432" i="11"/>
  <c r="AC2432" i="11"/>
  <c r="AD2428" i="11"/>
  <c r="AC2428" i="11"/>
  <c r="AD2424" i="11"/>
  <c r="AC2424" i="11"/>
  <c r="AD2420" i="11"/>
  <c r="AC2420" i="11"/>
  <c r="AD2416" i="11"/>
  <c r="AC2416" i="11"/>
  <c r="AD2412" i="11"/>
  <c r="AC2412" i="11"/>
  <c r="AD2408" i="11"/>
  <c r="AC2408" i="11"/>
  <c r="AD2404" i="11"/>
  <c r="AC2404" i="11"/>
  <c r="AD2400" i="11"/>
  <c r="AC2400" i="11"/>
  <c r="AD2396" i="11"/>
  <c r="AC2396" i="11"/>
  <c r="AD2392" i="11"/>
  <c r="AC2392" i="11"/>
  <c r="AD2388" i="11"/>
  <c r="AC2388" i="11"/>
  <c r="AD2384" i="11"/>
  <c r="AC2384" i="11"/>
  <c r="AD2380" i="11"/>
  <c r="AC2380" i="11"/>
  <c r="AD2376" i="11"/>
  <c r="AC2376" i="11"/>
  <c r="AD2372" i="11"/>
  <c r="AC2372" i="11"/>
  <c r="AD2368" i="11"/>
  <c r="AC2368" i="11"/>
  <c r="AD2364" i="11"/>
  <c r="AC2364" i="11"/>
  <c r="AD2360" i="11"/>
  <c r="AC2360" i="11"/>
  <c r="AD2356" i="11"/>
  <c r="AC2356" i="11"/>
  <c r="AD2352" i="11"/>
  <c r="AC2352" i="11"/>
  <c r="AD2348" i="11"/>
  <c r="AC2348" i="11"/>
  <c r="AD2344" i="11"/>
  <c r="AC2344" i="11"/>
  <c r="AD2340" i="11"/>
  <c r="AC2340" i="11"/>
  <c r="AD2336" i="11"/>
  <c r="AC2336" i="11"/>
  <c r="AD2332" i="11"/>
  <c r="AC2332" i="11"/>
  <c r="AD2328" i="11"/>
  <c r="AC2328" i="11"/>
  <c r="AD2324" i="11"/>
  <c r="AC2324" i="11"/>
  <c r="AD2320" i="11"/>
  <c r="AC2320" i="11"/>
  <c r="AD2316" i="11"/>
  <c r="AC2316" i="11"/>
  <c r="AD2312" i="11"/>
  <c r="AC2312" i="11"/>
  <c r="AD2308" i="11"/>
  <c r="AC2308" i="11"/>
  <c r="AD2304" i="11"/>
  <c r="AC2304" i="11"/>
  <c r="AD2300" i="11"/>
  <c r="AC2300" i="11"/>
  <c r="AD2296" i="11"/>
  <c r="AC2296" i="11"/>
  <c r="AD2292" i="11"/>
  <c r="AC2292" i="11"/>
  <c r="AD2288" i="11"/>
  <c r="AC2288" i="11"/>
  <c r="AD2284" i="11"/>
  <c r="AC2284" i="11"/>
  <c r="AD2280" i="11"/>
  <c r="AC2280" i="11"/>
  <c r="AD2276" i="11"/>
  <c r="AC2276" i="11"/>
  <c r="AD2272" i="11"/>
  <c r="AC2272" i="11"/>
  <c r="AD2268" i="11"/>
  <c r="AC2268" i="11"/>
  <c r="AD2264" i="11"/>
  <c r="AC2264" i="11"/>
  <c r="AD2260" i="11"/>
  <c r="AC2260" i="11"/>
  <c r="AD2256" i="11"/>
  <c r="AC2256" i="11"/>
  <c r="AD2252" i="11"/>
  <c r="AC2252" i="11"/>
  <c r="AD2248" i="11"/>
  <c r="AC2248" i="11"/>
  <c r="AD2244" i="11"/>
  <c r="AC2244" i="11"/>
  <c r="AD2240" i="11"/>
  <c r="AC2240" i="11"/>
  <c r="AD2236" i="11"/>
  <c r="AC2236" i="11"/>
  <c r="AD2232" i="11"/>
  <c r="AC2232" i="11"/>
  <c r="AD2228" i="11"/>
  <c r="AC2228" i="11"/>
  <c r="AD2224" i="11"/>
  <c r="AC2224" i="11"/>
  <c r="AD2220" i="11"/>
  <c r="AC2220" i="11"/>
  <c r="AD2216" i="11"/>
  <c r="AC2216" i="11"/>
  <c r="AD2212" i="11"/>
  <c r="AC2212" i="11"/>
  <c r="AD2208" i="11"/>
  <c r="AC2208" i="11"/>
  <c r="AD2204" i="11"/>
  <c r="AC2204" i="11"/>
  <c r="AD2200" i="11"/>
  <c r="AC2200" i="11"/>
  <c r="AD2196" i="11"/>
  <c r="AC2196" i="11"/>
  <c r="AD2192" i="11"/>
  <c r="AC2192" i="11"/>
  <c r="AD2188" i="11"/>
  <c r="AC2188" i="11"/>
  <c r="AD2184" i="11"/>
  <c r="AC2184" i="11"/>
  <c r="AD2180" i="11"/>
  <c r="AC2180" i="11"/>
  <c r="AD2176" i="11"/>
  <c r="AC2176" i="11"/>
  <c r="AD2172" i="11"/>
  <c r="AC2172" i="11"/>
  <c r="AD2168" i="11"/>
  <c r="AC2168" i="11"/>
  <c r="AD2164" i="11"/>
  <c r="AC2164" i="11"/>
  <c r="AD2160" i="11"/>
  <c r="AC2160" i="11"/>
  <c r="AD2156" i="11"/>
  <c r="AC2156" i="11"/>
  <c r="AD2152" i="11"/>
  <c r="AC2152" i="11"/>
  <c r="AD2148" i="11"/>
  <c r="AC2148" i="11"/>
  <c r="AD2144" i="11"/>
  <c r="AC2144" i="11"/>
  <c r="AD2140" i="11"/>
  <c r="AC2140" i="11"/>
  <c r="AD2136" i="11"/>
  <c r="AC2136" i="11"/>
  <c r="AD2132" i="11"/>
  <c r="AC2132" i="11"/>
  <c r="AD2128" i="11"/>
  <c r="AC2128" i="11"/>
  <c r="AD2124" i="11"/>
  <c r="AC2124" i="11"/>
  <c r="AD2120" i="11"/>
  <c r="AC2120" i="11"/>
  <c r="AD2116" i="11"/>
  <c r="AC2116" i="11"/>
  <c r="AD2112" i="11"/>
  <c r="AC2112" i="11"/>
  <c r="AD2108" i="11"/>
  <c r="AC2108" i="11"/>
  <c r="AD2104" i="11"/>
  <c r="AC2104" i="11"/>
  <c r="AD2100" i="11"/>
  <c r="AC2100" i="11"/>
  <c r="AD2096" i="11"/>
  <c r="AC2096" i="11"/>
  <c r="AD2092" i="11"/>
  <c r="AC2092" i="11"/>
  <c r="AD2088" i="11"/>
  <c r="AC2088" i="11"/>
  <c r="AD2084" i="11"/>
  <c r="AC2084" i="11"/>
  <c r="AD2080" i="11"/>
  <c r="AC2080" i="11"/>
  <c r="AD2076" i="11"/>
  <c r="AC2076" i="11"/>
  <c r="AD2072" i="11"/>
  <c r="AC2072" i="11"/>
  <c r="AD2068" i="11"/>
  <c r="AC2068" i="11"/>
  <c r="AD2064" i="11"/>
  <c r="AC2064" i="11"/>
  <c r="AD2060" i="11"/>
  <c r="AC2060" i="11"/>
  <c r="AD2056" i="11"/>
  <c r="AC2056" i="11"/>
  <c r="AD2052" i="11"/>
  <c r="AC2052" i="11"/>
  <c r="AD2048" i="11"/>
  <c r="AC2048" i="11"/>
  <c r="AD2044" i="11"/>
  <c r="AC2044" i="11"/>
  <c r="AD2040" i="11"/>
  <c r="AC2040" i="11"/>
  <c r="AD2036" i="11"/>
  <c r="AC2036" i="11"/>
  <c r="AD2032" i="11"/>
  <c r="AC2032" i="11"/>
  <c r="AD2028" i="11"/>
  <c r="AC2028" i="11"/>
  <c r="AD2024" i="11"/>
  <c r="AC2024" i="11"/>
  <c r="AD2020" i="11"/>
  <c r="AC2020" i="11"/>
  <c r="AD2016" i="11"/>
  <c r="AC2016" i="11"/>
  <c r="AD2012" i="11"/>
  <c r="AC2012" i="11"/>
  <c r="AD2008" i="11"/>
  <c r="AC2008" i="11"/>
  <c r="AD2004" i="11"/>
  <c r="AC2004" i="11"/>
  <c r="AD2000" i="11"/>
  <c r="AC2000" i="11"/>
  <c r="AD1996" i="11"/>
  <c r="AC1996" i="11"/>
  <c r="AD1992" i="11"/>
  <c r="AC1992" i="11"/>
  <c r="AD1988" i="11"/>
  <c r="AC1988" i="11"/>
  <c r="AD1984" i="11"/>
  <c r="AC1984" i="11"/>
  <c r="AD1980" i="11"/>
  <c r="AC1980" i="11"/>
  <c r="AD1976" i="11"/>
  <c r="AC1976" i="11"/>
  <c r="AD1972" i="11"/>
  <c r="AC1972" i="11"/>
  <c r="AD1968" i="11"/>
  <c r="AC1968" i="11"/>
  <c r="AD1964" i="11"/>
  <c r="AC1964" i="11"/>
  <c r="AD1960" i="11"/>
  <c r="AC1960" i="11"/>
  <c r="AD1956" i="11"/>
  <c r="AC1956" i="11"/>
  <c r="AD1952" i="11"/>
  <c r="AC1952" i="11"/>
  <c r="AD1948" i="11"/>
  <c r="AC1948" i="11"/>
  <c r="AD1944" i="11"/>
  <c r="AC1944" i="11"/>
  <c r="AD1940" i="11"/>
  <c r="AC1940" i="11"/>
  <c r="AD1936" i="11"/>
  <c r="AC1936" i="11"/>
  <c r="AD1932" i="11"/>
  <c r="AC1932" i="11"/>
  <c r="AD1928" i="11"/>
  <c r="AC1928" i="11"/>
  <c r="AD1924" i="11"/>
  <c r="AC1924" i="11"/>
  <c r="AD1920" i="11"/>
  <c r="AC1920" i="11"/>
  <c r="AD1916" i="11"/>
  <c r="AC1916" i="11"/>
  <c r="AD1912" i="11"/>
  <c r="AC1912" i="11"/>
  <c r="AD1908" i="11"/>
  <c r="AC1908" i="11"/>
  <c r="AD1904" i="11"/>
  <c r="AC1904" i="11"/>
  <c r="AD1900" i="11"/>
  <c r="AC1900" i="11"/>
  <c r="AD1896" i="11"/>
  <c r="AC1896" i="11"/>
  <c r="AD1892" i="11"/>
  <c r="AC1892" i="11"/>
  <c r="AD1888" i="11"/>
  <c r="AC1888" i="11"/>
  <c r="AD1884" i="11"/>
  <c r="AC1884" i="11"/>
  <c r="AD1880" i="11"/>
  <c r="AC1880" i="11"/>
  <c r="AD1876" i="11"/>
  <c r="AC1876" i="11"/>
  <c r="AD1872" i="11"/>
  <c r="AC1872" i="11"/>
  <c r="AD1868" i="11"/>
  <c r="AC1868" i="11"/>
  <c r="AD1864" i="11"/>
  <c r="AC1864" i="11"/>
  <c r="AD1860" i="11"/>
  <c r="AC1860" i="11"/>
  <c r="AD1856" i="11"/>
  <c r="AC1856" i="11"/>
  <c r="AD1852" i="11"/>
  <c r="AC1852" i="11"/>
  <c r="AD1848" i="11"/>
  <c r="AC1848" i="11"/>
  <c r="AD1844" i="11"/>
  <c r="AC1844" i="11"/>
  <c r="AD1840" i="11"/>
  <c r="AC1840" i="11"/>
  <c r="AD1836" i="11"/>
  <c r="AC1836" i="11"/>
  <c r="AD1832" i="11"/>
  <c r="AC1832" i="11"/>
  <c r="AD1828" i="11"/>
  <c r="AC1828" i="11"/>
  <c r="AD1824" i="11"/>
  <c r="AC1824" i="11"/>
  <c r="AD1820" i="11"/>
  <c r="AC1820" i="11"/>
  <c r="AD1816" i="11"/>
  <c r="AC1816" i="11"/>
  <c r="AD1812" i="11"/>
  <c r="AC1812" i="11"/>
  <c r="AD1808" i="11"/>
  <c r="AC1808" i="11"/>
  <c r="AD1804" i="11"/>
  <c r="AC1804" i="11"/>
  <c r="AD1800" i="11"/>
  <c r="AC1800" i="11"/>
  <c r="AD1796" i="11"/>
  <c r="AC1796" i="11"/>
  <c r="AD1792" i="11"/>
  <c r="AC1792" i="11"/>
  <c r="AD1788" i="11"/>
  <c r="AC1788" i="11"/>
  <c r="AD1784" i="11"/>
  <c r="AC1784" i="11"/>
  <c r="AD1780" i="11"/>
  <c r="AC1780" i="11"/>
  <c r="AD1776" i="11"/>
  <c r="AC1776" i="11"/>
  <c r="AD1772" i="11"/>
  <c r="AC1772" i="11"/>
  <c r="AD1768" i="11"/>
  <c r="AC1768" i="11"/>
  <c r="AD1764" i="11"/>
  <c r="AC1764" i="11"/>
  <c r="AD1760" i="11"/>
  <c r="AC1760" i="11"/>
  <c r="AD1756" i="11"/>
  <c r="AC1756" i="11"/>
  <c r="AD1752" i="11"/>
  <c r="AC1752" i="11"/>
  <c r="AD1748" i="11"/>
  <c r="AC1748" i="11"/>
  <c r="AD1744" i="11"/>
  <c r="AC1744" i="11"/>
  <c r="AD1740" i="11"/>
  <c r="AC1740" i="11"/>
  <c r="AD1736" i="11"/>
  <c r="AC1736" i="11"/>
  <c r="AD1732" i="11"/>
  <c r="AC1732" i="11"/>
  <c r="AD1728" i="11"/>
  <c r="AC1728" i="11"/>
  <c r="AD1724" i="11"/>
  <c r="AC1724" i="11"/>
  <c r="AD1720" i="11"/>
  <c r="AC1720" i="11"/>
  <c r="AD1716" i="11"/>
  <c r="AC1716" i="11"/>
  <c r="AD1712" i="11"/>
  <c r="AC1712" i="11"/>
  <c r="AD1708" i="11"/>
  <c r="AC1708" i="11"/>
  <c r="AD1704" i="11"/>
  <c r="AC1704" i="11"/>
  <c r="AD1700" i="11"/>
  <c r="AC1700" i="11"/>
  <c r="AD1696" i="11"/>
  <c r="AC1696" i="11"/>
  <c r="AD1692" i="11"/>
  <c r="AC1692" i="11"/>
  <c r="AD1688" i="11"/>
  <c r="AC1688" i="11"/>
  <c r="AD1684" i="11"/>
  <c r="AC1684" i="11"/>
  <c r="AD1680" i="11"/>
  <c r="AC1680" i="11"/>
  <c r="AD1676" i="11"/>
  <c r="AC1676" i="11"/>
  <c r="AD1672" i="11"/>
  <c r="AC1672" i="11"/>
  <c r="AD1668" i="11"/>
  <c r="AC1668" i="11"/>
  <c r="AD1664" i="11"/>
  <c r="AC1664" i="11"/>
  <c r="AD1660" i="11"/>
  <c r="AC1660" i="11"/>
  <c r="AD1656" i="11"/>
  <c r="AC1656" i="11"/>
  <c r="AD1652" i="11"/>
  <c r="AC1652" i="11"/>
  <c r="AD1648" i="11"/>
  <c r="AC1648" i="11"/>
  <c r="AD1644" i="11"/>
  <c r="AC1644" i="11"/>
  <c r="AD1640" i="11"/>
  <c r="AC1640" i="11"/>
  <c r="AD1636" i="11"/>
  <c r="AC1636" i="11"/>
  <c r="AD1632" i="11"/>
  <c r="AC1632" i="11"/>
  <c r="AD1628" i="11"/>
  <c r="AC1628" i="11"/>
  <c r="AD1624" i="11"/>
  <c r="AC1624" i="11"/>
  <c r="AD1620" i="11"/>
  <c r="AC1620" i="11"/>
  <c r="AD1616" i="11"/>
  <c r="AC1616" i="11"/>
  <c r="AD1612" i="11"/>
  <c r="AC1612" i="11"/>
  <c r="AD1608" i="11"/>
  <c r="AC1608" i="11"/>
  <c r="AD1604" i="11"/>
  <c r="AC1604" i="11"/>
  <c r="AD1600" i="11"/>
  <c r="AC1600" i="11"/>
  <c r="AD1596" i="11"/>
  <c r="AC1596" i="11"/>
  <c r="AD1592" i="11"/>
  <c r="AC1592" i="11"/>
  <c r="AD1588" i="11"/>
  <c r="AC1588" i="11"/>
  <c r="AD1584" i="11"/>
  <c r="AC1584" i="11"/>
  <c r="AD1580" i="11"/>
  <c r="AC1580" i="11"/>
  <c r="AD1576" i="11"/>
  <c r="AC1576" i="11"/>
  <c r="AD1572" i="11"/>
  <c r="AC1572" i="11"/>
  <c r="AD1568" i="11"/>
  <c r="AC1568" i="11"/>
  <c r="AD1564" i="11"/>
  <c r="AC1564" i="11"/>
  <c r="AD1560" i="11"/>
  <c r="AC1560" i="11"/>
  <c r="AD1556" i="11"/>
  <c r="AC1556" i="11"/>
  <c r="AD1552" i="11"/>
  <c r="AC1552" i="11"/>
  <c r="AD1548" i="11"/>
  <c r="AC1548" i="11"/>
  <c r="AD1544" i="11"/>
  <c r="AC1544" i="11"/>
  <c r="AD1540" i="11"/>
  <c r="AC1540" i="11"/>
  <c r="AD1536" i="11"/>
  <c r="AC1536" i="11"/>
  <c r="AD1532" i="11"/>
  <c r="AC1532" i="11"/>
  <c r="AD1528" i="11"/>
  <c r="AC1528" i="11"/>
  <c r="AD1524" i="11"/>
  <c r="AC1524" i="11"/>
  <c r="AD1520" i="11"/>
  <c r="AC1520" i="11"/>
  <c r="AD1516" i="11"/>
  <c r="AC1516" i="11"/>
  <c r="AD1512" i="11"/>
  <c r="AC1512" i="11"/>
  <c r="AD1508" i="11"/>
  <c r="AC1508" i="11"/>
  <c r="AD1504" i="11"/>
  <c r="AC1504" i="11"/>
  <c r="AD1500" i="11"/>
  <c r="AC1500" i="11"/>
  <c r="AD1496" i="11"/>
  <c r="AC1496" i="11"/>
  <c r="AD1492" i="11"/>
  <c r="AC1492" i="11"/>
  <c r="AD1488" i="11"/>
  <c r="AC1488" i="11"/>
  <c r="AD1484" i="11"/>
  <c r="AC1484" i="11"/>
  <c r="AD1480" i="11"/>
  <c r="AC1480" i="11"/>
  <c r="AD1476" i="11"/>
  <c r="AC1476" i="11"/>
  <c r="AD1472" i="11"/>
  <c r="AC1472" i="11"/>
  <c r="AD1468" i="11"/>
  <c r="AC1468" i="11"/>
  <c r="AD1464" i="11"/>
  <c r="AC1464" i="11"/>
  <c r="AD1460" i="11"/>
  <c r="AC1460" i="11"/>
  <c r="AD1456" i="11"/>
  <c r="AC1456" i="11"/>
  <c r="AD1452" i="11"/>
  <c r="AC1452" i="11"/>
  <c r="AD1448" i="11"/>
  <c r="AC1448" i="11"/>
  <c r="AD1444" i="11"/>
  <c r="AC1444" i="11"/>
  <c r="AD1440" i="11"/>
  <c r="AC1440" i="11"/>
  <c r="AD1436" i="11"/>
  <c r="AC1436" i="11"/>
  <c r="AD1432" i="11"/>
  <c r="AC1432" i="11"/>
  <c r="AD1428" i="11"/>
  <c r="AC1428" i="11"/>
  <c r="AD1424" i="11"/>
  <c r="AC1424" i="11"/>
  <c r="AD1420" i="11"/>
  <c r="AC1420" i="11"/>
  <c r="AD1416" i="11"/>
  <c r="AC1416" i="11"/>
  <c r="AD1412" i="11"/>
  <c r="AC1412" i="11"/>
  <c r="AD1408" i="11"/>
  <c r="AC1408" i="11"/>
  <c r="AD1404" i="11"/>
  <c r="AC1404" i="11"/>
  <c r="AD1400" i="11"/>
  <c r="AC1400" i="11"/>
  <c r="AD1396" i="11"/>
  <c r="AC1396" i="11"/>
  <c r="AD1392" i="11"/>
  <c r="AC1392" i="11"/>
  <c r="AD1388" i="11"/>
  <c r="AC1388" i="11"/>
  <c r="AD1384" i="11"/>
  <c r="AC1384" i="11"/>
  <c r="AD1380" i="11"/>
  <c r="AC1380" i="11"/>
  <c r="AD1376" i="11"/>
  <c r="AC1376" i="11"/>
  <c r="AD1372" i="11"/>
  <c r="AC1372" i="11"/>
  <c r="AD1368" i="11"/>
  <c r="AC1368" i="11"/>
  <c r="AD1364" i="11"/>
  <c r="AC1364" i="11"/>
  <c r="AD1360" i="11"/>
  <c r="AC1360" i="11"/>
  <c r="AD1356" i="11"/>
  <c r="AC1356" i="11"/>
  <c r="AD1352" i="11"/>
  <c r="AC1352" i="11"/>
  <c r="AD1348" i="11"/>
  <c r="AC1348" i="11"/>
  <c r="AD1344" i="11"/>
  <c r="AC1344" i="11"/>
  <c r="AD1340" i="11"/>
  <c r="AC1340" i="11"/>
  <c r="AD1336" i="11"/>
  <c r="AC1336" i="11"/>
  <c r="AD1332" i="11"/>
  <c r="AC1332" i="11"/>
  <c r="AD1328" i="11"/>
  <c r="AC1328" i="11"/>
  <c r="AD1324" i="11"/>
  <c r="AC1324" i="11"/>
  <c r="AD1320" i="11"/>
  <c r="AC1320" i="11"/>
  <c r="AD1316" i="11"/>
  <c r="AC1316" i="11"/>
  <c r="AD1312" i="11"/>
  <c r="AC1312" i="11"/>
  <c r="AD1308" i="11"/>
  <c r="AC1308" i="11"/>
  <c r="AD1304" i="11"/>
  <c r="AC1304" i="11"/>
  <c r="AD1300" i="11"/>
  <c r="AC1300" i="11"/>
  <c r="AD1296" i="11"/>
  <c r="AC1296" i="11"/>
  <c r="AD1292" i="11"/>
  <c r="AC1292" i="11"/>
  <c r="AD1288" i="11"/>
  <c r="AC1288" i="11"/>
  <c r="AD1284" i="11"/>
  <c r="AC1284" i="11"/>
  <c r="AD1280" i="11"/>
  <c r="AC1280" i="11"/>
  <c r="AD1276" i="11"/>
  <c r="AC1276" i="11"/>
  <c r="AD1272" i="11"/>
  <c r="AC1272" i="11"/>
  <c r="AD1268" i="11"/>
  <c r="AC1268" i="11"/>
  <c r="AD1264" i="11"/>
  <c r="AC1264" i="11"/>
  <c r="AD1260" i="11"/>
  <c r="AC1260" i="11"/>
  <c r="AD1256" i="11"/>
  <c r="AC1256" i="11"/>
  <c r="AD1252" i="11"/>
  <c r="AC1252" i="11"/>
  <c r="AD1248" i="11"/>
  <c r="AC1248" i="11"/>
  <c r="AD1244" i="11"/>
  <c r="AC1244" i="11"/>
  <c r="AD1240" i="11"/>
  <c r="AC1240" i="11"/>
  <c r="AD1236" i="11"/>
  <c r="AC1236" i="11"/>
  <c r="AD1232" i="11"/>
  <c r="AC1232" i="11"/>
  <c r="AD1228" i="11"/>
  <c r="AC1228" i="11"/>
  <c r="AD1224" i="11"/>
  <c r="AC1224" i="11"/>
  <c r="AD1220" i="11"/>
  <c r="AC1220" i="11"/>
  <c r="AD1216" i="11"/>
  <c r="AC1216" i="11"/>
  <c r="AD1212" i="11"/>
  <c r="AC1212" i="11"/>
  <c r="AD1208" i="11"/>
  <c r="AC1208" i="11"/>
  <c r="AD1204" i="11"/>
  <c r="AC1204" i="11"/>
  <c r="AD1200" i="11"/>
  <c r="AC1200" i="11"/>
  <c r="AD1196" i="11"/>
  <c r="AC1196" i="11"/>
  <c r="AD1192" i="11"/>
  <c r="AC1192" i="11"/>
  <c r="AD1188" i="11"/>
  <c r="AC1188" i="11"/>
  <c r="AD1184" i="11"/>
  <c r="AC1184" i="11"/>
  <c r="AD1180" i="11"/>
  <c r="AC1180" i="11"/>
  <c r="AD1176" i="11"/>
  <c r="AC1176" i="11"/>
  <c r="AD1172" i="11"/>
  <c r="AC1172" i="11"/>
  <c r="AD1168" i="11"/>
  <c r="AC1168" i="11"/>
  <c r="AD1164" i="11"/>
  <c r="AC1164" i="11"/>
  <c r="AD1160" i="11"/>
  <c r="AC1160" i="11"/>
  <c r="AD1156" i="11"/>
  <c r="AC1156" i="11"/>
  <c r="AD1152" i="11"/>
  <c r="AC1152" i="11"/>
  <c r="AD1148" i="11"/>
  <c r="AC1148" i="11"/>
  <c r="AD1144" i="11"/>
  <c r="AC1144" i="11"/>
  <c r="AD1140" i="11"/>
  <c r="AC1140" i="11"/>
  <c r="AD1136" i="11"/>
  <c r="AC1136" i="11"/>
  <c r="AD1132" i="11"/>
  <c r="AC1132" i="11"/>
  <c r="AD1128" i="11"/>
  <c r="AC1128" i="11"/>
  <c r="AD1124" i="11"/>
  <c r="AC1124" i="11"/>
  <c r="AD1120" i="11"/>
  <c r="AC1120" i="11"/>
  <c r="AD1116" i="11"/>
  <c r="AC1116" i="11"/>
  <c r="AD1112" i="11"/>
  <c r="AC1112" i="11"/>
  <c r="AD1108" i="11"/>
  <c r="AC1108" i="11"/>
  <c r="AD1104" i="11"/>
  <c r="AC1104" i="11"/>
  <c r="AD1100" i="11"/>
  <c r="AC1100" i="11"/>
  <c r="AD1096" i="11"/>
  <c r="AC1096" i="11"/>
  <c r="AD1092" i="11"/>
  <c r="AC1092" i="11"/>
  <c r="AD1088" i="11"/>
  <c r="AC1088" i="11"/>
  <c r="AD1084" i="11"/>
  <c r="AC1084" i="11"/>
  <c r="AD1080" i="11"/>
  <c r="AC1080" i="11"/>
  <c r="AD1076" i="11"/>
  <c r="AC1076" i="11"/>
  <c r="AD1072" i="11"/>
  <c r="AC1072" i="11"/>
  <c r="AD1068" i="11"/>
  <c r="AC1068" i="11"/>
  <c r="AD1064" i="11"/>
  <c r="AC1064" i="11"/>
  <c r="AD1060" i="11"/>
  <c r="AC1060" i="11"/>
  <c r="AD1056" i="11"/>
  <c r="AC1056" i="11"/>
  <c r="AD1052" i="11"/>
  <c r="AC1052" i="11"/>
  <c r="AD1048" i="11"/>
  <c r="AC1048" i="11"/>
  <c r="AD1044" i="11"/>
  <c r="AC1044" i="11"/>
  <c r="AD1040" i="11"/>
  <c r="AC1040" i="11"/>
  <c r="AD1036" i="11"/>
  <c r="AC1036" i="11"/>
  <c r="AD1032" i="11"/>
  <c r="AC1032" i="11"/>
  <c r="AD1028" i="11"/>
  <c r="AC1028" i="11"/>
  <c r="AD1024" i="11"/>
  <c r="AC1024" i="11"/>
  <c r="AD1020" i="11"/>
  <c r="AC1020" i="11"/>
  <c r="AD1016" i="11"/>
  <c r="AC1016" i="11"/>
  <c r="AD1012" i="11"/>
  <c r="AC1012" i="11"/>
  <c r="AD1008" i="11"/>
  <c r="AC1008" i="11"/>
  <c r="AD1004" i="11"/>
  <c r="AC1004" i="11"/>
  <c r="AD1000" i="11"/>
  <c r="AC1000" i="11"/>
  <c r="AD996" i="11"/>
  <c r="AC996" i="11"/>
  <c r="AD992" i="11"/>
  <c r="AC992" i="11"/>
  <c r="AD988" i="11"/>
  <c r="AC988" i="11"/>
  <c r="AD984" i="11"/>
  <c r="AC984" i="11"/>
  <c r="AD980" i="11"/>
  <c r="AC980" i="11"/>
  <c r="AD976" i="11"/>
  <c r="AC976" i="11"/>
  <c r="AD972" i="11"/>
  <c r="AC972" i="11"/>
  <c r="AD968" i="11"/>
  <c r="AC968" i="11"/>
  <c r="AD964" i="11"/>
  <c r="AC964" i="11"/>
  <c r="AD960" i="11"/>
  <c r="AC960" i="11"/>
  <c r="AD956" i="11"/>
  <c r="AC956" i="11"/>
  <c r="AD952" i="11"/>
  <c r="AC952" i="11"/>
  <c r="AD948" i="11"/>
  <c r="AC948" i="11"/>
  <c r="AD944" i="11"/>
  <c r="AC944" i="11"/>
  <c r="AD940" i="11"/>
  <c r="AC940" i="11"/>
  <c r="AD936" i="11"/>
  <c r="AC936" i="11"/>
  <c r="AD932" i="11"/>
  <c r="AC932" i="11"/>
  <c r="AD928" i="11"/>
  <c r="AC928" i="11"/>
  <c r="AD924" i="11"/>
  <c r="AC924" i="11"/>
  <c r="AD920" i="11"/>
  <c r="AC920" i="11"/>
  <c r="AD916" i="11"/>
  <c r="AC916" i="11"/>
  <c r="AD912" i="11"/>
  <c r="AC912" i="11"/>
  <c r="AD908" i="11"/>
  <c r="AC908" i="11"/>
  <c r="AD904" i="11"/>
  <c r="AC904" i="11"/>
  <c r="AD900" i="11"/>
  <c r="AC900" i="11"/>
  <c r="AD896" i="11"/>
  <c r="AC896" i="11"/>
  <c r="AD892" i="11"/>
  <c r="AC892" i="11"/>
  <c r="AD888" i="11"/>
  <c r="AC888" i="11"/>
  <c r="AD884" i="11"/>
  <c r="AC884" i="11"/>
  <c r="AD880" i="11"/>
  <c r="AC880" i="11"/>
  <c r="AD876" i="11"/>
  <c r="AC876" i="11"/>
  <c r="AD872" i="11"/>
  <c r="AC872" i="11"/>
  <c r="AD868" i="11"/>
  <c r="AC868" i="11"/>
  <c r="AD864" i="11"/>
  <c r="AC864" i="11"/>
  <c r="AD860" i="11"/>
  <c r="AC860" i="11"/>
  <c r="AD856" i="11"/>
  <c r="AC856" i="11"/>
  <c r="AD852" i="11"/>
  <c r="AC852" i="11"/>
  <c r="AD848" i="11"/>
  <c r="AC848" i="11"/>
  <c r="AD844" i="11"/>
  <c r="AC844" i="11"/>
  <c r="AD840" i="11"/>
  <c r="AC840" i="11"/>
  <c r="AD836" i="11"/>
  <c r="AC836" i="11"/>
  <c r="AD832" i="11"/>
  <c r="AC832" i="11"/>
  <c r="AD828" i="11"/>
  <c r="AC828" i="11"/>
  <c r="AD824" i="11"/>
  <c r="AC824" i="11"/>
  <c r="AD820" i="11"/>
  <c r="AC820" i="11"/>
  <c r="AD816" i="11"/>
  <c r="AC816" i="11"/>
  <c r="AD812" i="11"/>
  <c r="AC812" i="11"/>
  <c r="AD808" i="11"/>
  <c r="AC808" i="11"/>
  <c r="AD804" i="11"/>
  <c r="AC804" i="11"/>
  <c r="AD800" i="11"/>
  <c r="AC800" i="11"/>
  <c r="AD796" i="11"/>
  <c r="AC796" i="11"/>
  <c r="AD792" i="11"/>
  <c r="AC792" i="11"/>
  <c r="AD788" i="11"/>
  <c r="AC788" i="11"/>
  <c r="AD784" i="11"/>
  <c r="AC784" i="11"/>
  <c r="AD780" i="11"/>
  <c r="AC780" i="11"/>
  <c r="AD776" i="11"/>
  <c r="AC776" i="11"/>
  <c r="AD772" i="11"/>
  <c r="AC772" i="11"/>
  <c r="AD768" i="11"/>
  <c r="AC768" i="11"/>
  <c r="AD764" i="11"/>
  <c r="AC764" i="11"/>
  <c r="AD760" i="11"/>
  <c r="AC760" i="11"/>
  <c r="AD756" i="11"/>
  <c r="AC756" i="11"/>
  <c r="AD752" i="11"/>
  <c r="AC752" i="11"/>
  <c r="AD748" i="11"/>
  <c r="AC748" i="11"/>
  <c r="AD744" i="11"/>
  <c r="AC744" i="11"/>
  <c r="AD740" i="11"/>
  <c r="AC740" i="11"/>
  <c r="AD736" i="11"/>
  <c r="AC736" i="11"/>
  <c r="AD732" i="11"/>
  <c r="AC732" i="11"/>
  <c r="AD728" i="11"/>
  <c r="AC728" i="11"/>
  <c r="AD724" i="11"/>
  <c r="AC724" i="11"/>
  <c r="AD720" i="11"/>
  <c r="AC720" i="11"/>
  <c r="AD716" i="11"/>
  <c r="AC716" i="11"/>
  <c r="AD712" i="11"/>
  <c r="AC712" i="11"/>
  <c r="AD708" i="11"/>
  <c r="AC708" i="11"/>
  <c r="AD704" i="11"/>
  <c r="AC704" i="11"/>
  <c r="AD700" i="11"/>
  <c r="AC700" i="11"/>
  <c r="AD696" i="11"/>
  <c r="AC696" i="11"/>
  <c r="AD692" i="11"/>
  <c r="AC692" i="11"/>
  <c r="AD688" i="11"/>
  <c r="AC688" i="11"/>
  <c r="AD684" i="11"/>
  <c r="AC684" i="11"/>
  <c r="AD680" i="11"/>
  <c r="AC680" i="11"/>
  <c r="AD676" i="11"/>
  <c r="AC676" i="11"/>
  <c r="AD672" i="11"/>
  <c r="AC672" i="11"/>
  <c r="AD668" i="11"/>
  <c r="AC668" i="11"/>
  <c r="AD664" i="11"/>
  <c r="AC664" i="11"/>
  <c r="AD660" i="11"/>
  <c r="AC660" i="11"/>
  <c r="AD656" i="11"/>
  <c r="AC656" i="11"/>
  <c r="AD652" i="11"/>
  <c r="AC652" i="11"/>
  <c r="AD648" i="11"/>
  <c r="AC648" i="11"/>
  <c r="AD644" i="11"/>
  <c r="AC644" i="11"/>
  <c r="AD640" i="11"/>
  <c r="AC640" i="11"/>
  <c r="AD636" i="11"/>
  <c r="AC636" i="11"/>
  <c r="AD632" i="11"/>
  <c r="AC632" i="11"/>
  <c r="AD628" i="11"/>
  <c r="AC628" i="11"/>
  <c r="AD624" i="11"/>
  <c r="AC624" i="11"/>
  <c r="AD620" i="11"/>
  <c r="AC620" i="11"/>
  <c r="AD616" i="11"/>
  <c r="AC616" i="11"/>
  <c r="AD612" i="11"/>
  <c r="AC612" i="11"/>
  <c r="AD608" i="11"/>
  <c r="AC608" i="11"/>
  <c r="AD604" i="11"/>
  <c r="AC604" i="11"/>
  <c r="AD600" i="11"/>
  <c r="AC600" i="11"/>
  <c r="AD596" i="11"/>
  <c r="AC596" i="11"/>
  <c r="AD592" i="11"/>
  <c r="AC592" i="11"/>
  <c r="AD588" i="11"/>
  <c r="AC588" i="11"/>
  <c r="AD584" i="11"/>
  <c r="AC584" i="11"/>
  <c r="AD580" i="11"/>
  <c r="AC580" i="11"/>
  <c r="AD576" i="11"/>
  <c r="AC576" i="11"/>
  <c r="AD572" i="11"/>
  <c r="AC572" i="11"/>
  <c r="AD568" i="11"/>
  <c r="AC568" i="11"/>
  <c r="AD564" i="11"/>
  <c r="AC564" i="11"/>
  <c r="AD560" i="11"/>
  <c r="AC560" i="11"/>
  <c r="AD556" i="11"/>
  <c r="AC556" i="11"/>
  <c r="AD552" i="11"/>
  <c r="AC552" i="11"/>
  <c r="AD548" i="11"/>
  <c r="AC548" i="11"/>
  <c r="AD544" i="11"/>
  <c r="AC544" i="11"/>
  <c r="AD540" i="11"/>
  <c r="AC540" i="11"/>
  <c r="AD536" i="11"/>
  <c r="AC536" i="11"/>
  <c r="AD532" i="11"/>
  <c r="AC532" i="11"/>
  <c r="AD528" i="11"/>
  <c r="AC528" i="11"/>
  <c r="AD524" i="11"/>
  <c r="AC524" i="11"/>
  <c r="AD520" i="11"/>
  <c r="AC520" i="11"/>
  <c r="AD516" i="11"/>
  <c r="AC516" i="11"/>
  <c r="AD512" i="11"/>
  <c r="AC512" i="11"/>
  <c r="AD508" i="11"/>
  <c r="AC508" i="11"/>
  <c r="AD504" i="11"/>
  <c r="AC504" i="11"/>
  <c r="AD500" i="11"/>
  <c r="AC500" i="11"/>
  <c r="AD496" i="11"/>
  <c r="AC496" i="11"/>
  <c r="AD492" i="11"/>
  <c r="AC492" i="11"/>
  <c r="AD488" i="11"/>
  <c r="AC488" i="11"/>
  <c r="AD484" i="11"/>
  <c r="AC484" i="11"/>
  <c r="AD480" i="11"/>
  <c r="AC480" i="11"/>
  <c r="AD476" i="11"/>
  <c r="AC476" i="11"/>
  <c r="AD472" i="11"/>
  <c r="AC472" i="11"/>
  <c r="AD468" i="11"/>
  <c r="AC468" i="11"/>
  <c r="AD464" i="11"/>
  <c r="AC464" i="11"/>
  <c r="AD460" i="11"/>
  <c r="AC460" i="11"/>
  <c r="AD456" i="11"/>
  <c r="AC456" i="11"/>
  <c r="AD452" i="11"/>
  <c r="AC452" i="11"/>
  <c r="AD448" i="11"/>
  <c r="AC448" i="11"/>
  <c r="AD444" i="11"/>
  <c r="AC444" i="11"/>
  <c r="AD440" i="11"/>
  <c r="AC440" i="11"/>
  <c r="AD436" i="11"/>
  <c r="AC436" i="11"/>
  <c r="AD432" i="11"/>
  <c r="AC432" i="11"/>
  <c r="AD428" i="11"/>
  <c r="AC428" i="11"/>
  <c r="AD424" i="11"/>
  <c r="AC424" i="11"/>
  <c r="AD420" i="11"/>
  <c r="AC420" i="11"/>
  <c r="AD416" i="11"/>
  <c r="AC416" i="11"/>
  <c r="AD412" i="11"/>
  <c r="AC412" i="11"/>
  <c r="AD408" i="11"/>
  <c r="AC408" i="11"/>
  <c r="AD404" i="11"/>
  <c r="AC404" i="11"/>
  <c r="AD400" i="11"/>
  <c r="AC400" i="11"/>
  <c r="AD396" i="11"/>
  <c r="AC396" i="11"/>
  <c r="AD392" i="11"/>
  <c r="AC392" i="11"/>
  <c r="AD388" i="11"/>
  <c r="AC388" i="11"/>
  <c r="AD384" i="11"/>
  <c r="AC384" i="11"/>
  <c r="AD380" i="11"/>
  <c r="AC380" i="11"/>
  <c r="AD376" i="11"/>
  <c r="AC376" i="11"/>
  <c r="AD372" i="11"/>
  <c r="AC372" i="11"/>
  <c r="AD368" i="11"/>
  <c r="AC368" i="11"/>
  <c r="AD364" i="11"/>
  <c r="AC364" i="11"/>
  <c r="AD360" i="11"/>
  <c r="AC360" i="11"/>
  <c r="AD356" i="11"/>
  <c r="AC356" i="11"/>
  <c r="AD352" i="11"/>
  <c r="AC352" i="11"/>
  <c r="AD348" i="11"/>
  <c r="AC348" i="11"/>
  <c r="AD344" i="11"/>
  <c r="AC344" i="11"/>
  <c r="AD340" i="11"/>
  <c r="AC340" i="11"/>
  <c r="AD336" i="11"/>
  <c r="AC336" i="11"/>
  <c r="AD332" i="11"/>
  <c r="AC332" i="11"/>
  <c r="AD328" i="11"/>
  <c r="AC328" i="11"/>
  <c r="AD324" i="11"/>
  <c r="AC324" i="11"/>
  <c r="AD320" i="11"/>
  <c r="AC320" i="11"/>
  <c r="AD316" i="11"/>
  <c r="AC316" i="11"/>
  <c r="AD312" i="11"/>
  <c r="AC312" i="11"/>
  <c r="AD308" i="11"/>
  <c r="AC308" i="11"/>
  <c r="AD304" i="11"/>
  <c r="AC304" i="11"/>
  <c r="AD300" i="11"/>
  <c r="AC300" i="11"/>
  <c r="AD296" i="11"/>
  <c r="AC296" i="11"/>
  <c r="AD292" i="11"/>
  <c r="AC292" i="11"/>
  <c r="AD288" i="11"/>
  <c r="AC288" i="11"/>
  <c r="AD284" i="11"/>
  <c r="AC284" i="11"/>
  <c r="AD280" i="11"/>
  <c r="AC280" i="11"/>
  <c r="AD276" i="11"/>
  <c r="AC276" i="11"/>
  <c r="AD272" i="11"/>
  <c r="AC272" i="11"/>
  <c r="AD268" i="11"/>
  <c r="AC268" i="11"/>
  <c r="AD264" i="11"/>
  <c r="AC264" i="11"/>
  <c r="AD260" i="11"/>
  <c r="AC260" i="11"/>
  <c r="AD256" i="11"/>
  <c r="AC256" i="11"/>
  <c r="AD252" i="11"/>
  <c r="AC252" i="11"/>
  <c r="AD248" i="11"/>
  <c r="AC248" i="11"/>
  <c r="AD244" i="11"/>
  <c r="AC244" i="11"/>
  <c r="AD240" i="11"/>
  <c r="AC240" i="11"/>
  <c r="AD236" i="11"/>
  <c r="AC236" i="11"/>
  <c r="AD232" i="11"/>
  <c r="AC232" i="11"/>
  <c r="AD228" i="11"/>
  <c r="AC228" i="11"/>
  <c r="AD224" i="11"/>
  <c r="AC224" i="11"/>
  <c r="AD220" i="11"/>
  <c r="AC220" i="11"/>
  <c r="AD216" i="11"/>
  <c r="AC216" i="11"/>
  <c r="AD212" i="11"/>
  <c r="AC212" i="11"/>
  <c r="AD208" i="11"/>
  <c r="AC208" i="11"/>
  <c r="AD204" i="11"/>
  <c r="AC204" i="11"/>
  <c r="AD200" i="11"/>
  <c r="AC200" i="11"/>
  <c r="AD196" i="11"/>
  <c r="AC196" i="11"/>
  <c r="AD192" i="11"/>
  <c r="AC192" i="11"/>
  <c r="AD188" i="11"/>
  <c r="AC188" i="11"/>
  <c r="AD184" i="11"/>
  <c r="AC184" i="11"/>
  <c r="AD180" i="11"/>
  <c r="AC180" i="11"/>
  <c r="AD176" i="11"/>
  <c r="AC176" i="11"/>
  <c r="AD172" i="11"/>
  <c r="AC172" i="11"/>
  <c r="AD168" i="11"/>
  <c r="AC168" i="11"/>
  <c r="AD164" i="11"/>
  <c r="AC164" i="11"/>
  <c r="AD160" i="11"/>
  <c r="AC160" i="11"/>
  <c r="AD156" i="11"/>
  <c r="AC156" i="11"/>
  <c r="AD152" i="11"/>
  <c r="AC152" i="11"/>
  <c r="AD148" i="11"/>
  <c r="AC148" i="11"/>
  <c r="AD144" i="11"/>
  <c r="AC144" i="11"/>
  <c r="AD140" i="11"/>
  <c r="AC140" i="11"/>
  <c r="AD136" i="11"/>
  <c r="AC136" i="11"/>
  <c r="AD132" i="11"/>
  <c r="AC132" i="11"/>
  <c r="AD128" i="11"/>
  <c r="AC128" i="11"/>
  <c r="AD124" i="11"/>
  <c r="AC124" i="11"/>
  <c r="AD120" i="11"/>
  <c r="AC120" i="11"/>
  <c r="AD116" i="11"/>
  <c r="AC116" i="11"/>
  <c r="AD112" i="11"/>
  <c r="AC112" i="11"/>
  <c r="AD108" i="11"/>
  <c r="AC108" i="11"/>
  <c r="AD104" i="11"/>
  <c r="AC104" i="11"/>
  <c r="AD100" i="11"/>
  <c r="AC100" i="11"/>
  <c r="AD96" i="11"/>
  <c r="AC96" i="11"/>
  <c r="AD92" i="11"/>
  <c r="AC92" i="11"/>
  <c r="AD88" i="11"/>
  <c r="AC88" i="11"/>
  <c r="AD84" i="11"/>
  <c r="AC84" i="11"/>
  <c r="AD80" i="11"/>
  <c r="AC80" i="11"/>
  <c r="AD76" i="11"/>
  <c r="AC76" i="11"/>
  <c r="AD72" i="11"/>
  <c r="AC72" i="11"/>
  <c r="AD68" i="11"/>
  <c r="AC68" i="11"/>
  <c r="AD64" i="11"/>
  <c r="AC64" i="11"/>
  <c r="AD60" i="11"/>
  <c r="AC60" i="11"/>
  <c r="AD56" i="11"/>
  <c r="AC56" i="11"/>
  <c r="AD52" i="11"/>
  <c r="AC52" i="11"/>
  <c r="AD48" i="11"/>
  <c r="AC48" i="11"/>
  <c r="AD44" i="11"/>
  <c r="AC44" i="11"/>
  <c r="AD40" i="11"/>
  <c r="AC40" i="11"/>
  <c r="AD36" i="11"/>
  <c r="AC36" i="11"/>
  <c r="AD32" i="11"/>
  <c r="AC32" i="11"/>
  <c r="AD28" i="11"/>
  <c r="AC28" i="11"/>
  <c r="AD24" i="11"/>
  <c r="AC24" i="11"/>
  <c r="AD20" i="11"/>
  <c r="AC20" i="11"/>
  <c r="AD16" i="11"/>
  <c r="AC16" i="11"/>
  <c r="AD12" i="11"/>
  <c r="AC12" i="11"/>
  <c r="AD8" i="11"/>
  <c r="AC8" i="11"/>
  <c r="I1" i="4"/>
  <c r="H1" i="4"/>
  <c r="L6" i="4" l="1"/>
  <c r="L16" i="4"/>
  <c r="L14" i="4"/>
  <c r="K42" i="4" l="1"/>
  <c r="K44" i="4"/>
  <c r="AB6" i="11" l="1"/>
  <c r="AB7" i="11"/>
  <c r="AB8" i="11"/>
  <c r="AB9" i="11"/>
  <c r="AB10" i="11"/>
  <c r="AB11" i="11"/>
  <c r="AB12" i="11"/>
  <c r="AB13" i="11"/>
  <c r="AB14" i="11"/>
  <c r="AB15" i="11"/>
  <c r="AB16" i="11"/>
  <c r="AB17" i="11"/>
  <c r="AB18" i="11"/>
  <c r="AB19" i="11"/>
  <c r="AB20" i="11"/>
  <c r="AB21" i="11"/>
  <c r="AB22" i="11"/>
  <c r="AB23" i="11"/>
  <c r="AB24" i="11"/>
  <c r="AB25" i="11"/>
  <c r="AB26" i="11"/>
  <c r="AB27" i="11"/>
  <c r="AB28" i="11"/>
  <c r="AB29" i="11"/>
  <c r="AB30" i="11"/>
  <c r="AB31" i="11"/>
  <c r="AB32" i="11"/>
  <c r="AB33" i="11"/>
  <c r="AB34" i="11"/>
  <c r="AB35" i="11"/>
  <c r="AB36" i="11"/>
  <c r="AB37" i="11"/>
  <c r="AB38" i="11"/>
  <c r="AB40" i="11"/>
  <c r="AB41" i="11"/>
  <c r="AB42" i="11"/>
  <c r="AB43" i="11"/>
  <c r="AB44" i="11"/>
  <c r="AB45" i="11"/>
  <c r="AB46" i="11"/>
  <c r="AB47" i="11"/>
  <c r="AB48" i="11"/>
  <c r="AB49" i="11"/>
  <c r="AB50" i="11"/>
  <c r="AB51" i="11"/>
  <c r="AB52" i="11"/>
  <c r="AB53" i="11"/>
  <c r="AB54" i="11"/>
  <c r="AB55" i="11"/>
  <c r="AB56" i="11"/>
  <c r="AB57" i="11"/>
  <c r="AB58" i="11"/>
  <c r="AB59" i="11"/>
  <c r="AB60" i="11"/>
  <c r="AB61" i="11"/>
  <c r="AB62" i="11"/>
  <c r="AB63" i="11"/>
  <c r="AB64" i="11"/>
  <c r="AB65" i="11"/>
  <c r="AB66" i="11"/>
  <c r="AB67" i="11"/>
  <c r="AB68" i="11"/>
  <c r="AB69" i="11"/>
  <c r="AB70" i="11"/>
  <c r="AB71" i="11"/>
  <c r="AB72" i="11"/>
  <c r="AB73" i="11"/>
  <c r="AB74" i="11"/>
  <c r="AB75" i="11"/>
  <c r="AB76" i="11"/>
  <c r="AB77" i="11"/>
  <c r="AB78" i="11"/>
  <c r="AB79" i="11"/>
  <c r="AB80" i="11"/>
  <c r="AB81" i="11"/>
  <c r="AB82" i="11"/>
  <c r="AB83" i="11"/>
  <c r="AB84" i="11"/>
  <c r="AB85" i="11"/>
  <c r="AB86" i="11"/>
  <c r="AB87" i="11"/>
  <c r="AB88" i="11"/>
  <c r="AB89" i="11"/>
  <c r="AB90" i="11"/>
  <c r="AB91" i="11"/>
  <c r="AB92" i="11"/>
  <c r="AB93" i="11"/>
  <c r="AB94" i="11"/>
  <c r="AB95" i="11"/>
  <c r="AB96" i="11"/>
  <c r="AB97" i="11"/>
  <c r="AB98" i="11"/>
  <c r="AB99" i="11"/>
  <c r="AB100" i="11"/>
  <c r="AB101" i="11"/>
  <c r="AB102" i="11"/>
  <c r="AB103" i="11"/>
  <c r="AB104" i="11"/>
  <c r="AB105" i="11"/>
  <c r="AB106" i="11"/>
  <c r="AB107" i="11"/>
  <c r="AB108" i="11"/>
  <c r="AB109" i="11"/>
  <c r="AB110" i="11"/>
  <c r="AB111" i="11"/>
  <c r="AB112" i="11"/>
  <c r="AB113" i="11"/>
  <c r="AB114" i="11"/>
  <c r="AB115" i="11"/>
  <c r="AB116" i="11"/>
  <c r="AB117" i="11"/>
  <c r="AB118" i="11"/>
  <c r="AB119" i="11"/>
  <c r="AB120" i="11"/>
  <c r="AB121" i="11"/>
  <c r="AB122" i="11"/>
  <c r="AB123" i="11"/>
  <c r="AB124" i="11"/>
  <c r="AB125" i="11"/>
  <c r="AB126" i="11"/>
  <c r="AB127" i="11"/>
  <c r="AB128" i="11"/>
  <c r="AB129" i="11"/>
  <c r="AB130" i="11"/>
  <c r="AB131" i="11"/>
  <c r="AB132" i="11"/>
  <c r="AB133" i="11"/>
  <c r="AB134" i="11"/>
  <c r="AB135" i="11"/>
  <c r="AB136" i="11"/>
  <c r="AB137" i="11"/>
  <c r="AB138" i="11"/>
  <c r="AB139" i="11"/>
  <c r="AB140" i="11"/>
  <c r="AB141" i="11"/>
  <c r="AB142" i="11"/>
  <c r="AB143" i="11"/>
  <c r="AB144" i="11"/>
  <c r="AB145" i="11"/>
  <c r="AB146" i="11"/>
  <c r="AB147" i="11"/>
  <c r="AB148" i="11"/>
  <c r="AB149" i="11"/>
  <c r="AB150" i="11"/>
  <c r="AB151" i="11"/>
  <c r="AB152" i="11"/>
  <c r="AB153" i="11"/>
  <c r="AB154" i="11"/>
  <c r="AB155" i="11"/>
  <c r="AB156" i="11"/>
  <c r="AB157" i="11"/>
  <c r="AB158" i="11"/>
  <c r="AB159" i="11"/>
  <c r="AB160" i="11"/>
  <c r="AB161" i="11"/>
  <c r="AB162" i="11"/>
  <c r="AB163" i="11"/>
  <c r="AB164" i="11"/>
  <c r="AB165" i="11"/>
  <c r="AB166" i="11"/>
  <c r="AB167" i="11"/>
  <c r="AB168" i="11"/>
  <c r="AB169" i="11"/>
  <c r="AB170" i="11"/>
  <c r="AB171" i="11"/>
  <c r="AB172" i="11"/>
  <c r="AB173" i="11"/>
  <c r="AB174" i="11"/>
  <c r="AB175" i="11"/>
  <c r="AB176" i="11"/>
  <c r="AB177" i="11"/>
  <c r="AB178" i="11"/>
  <c r="AB179" i="11"/>
  <c r="AB180" i="11"/>
  <c r="AB181" i="11"/>
  <c r="AB182" i="11"/>
  <c r="AB183" i="11"/>
  <c r="AB184" i="11"/>
  <c r="AB185" i="11"/>
  <c r="AB186" i="11"/>
  <c r="AB187" i="11"/>
  <c r="AB188" i="11"/>
  <c r="AB189" i="11"/>
  <c r="AB190" i="11"/>
  <c r="AB191" i="11"/>
  <c r="AB192" i="11"/>
  <c r="AB193" i="11"/>
  <c r="AB194" i="11"/>
  <c r="AB195" i="11"/>
  <c r="AB196" i="11"/>
  <c r="AB197" i="11"/>
  <c r="AB198" i="11"/>
  <c r="AB199" i="11"/>
  <c r="AB200" i="11"/>
  <c r="AB201" i="11"/>
  <c r="AB202" i="11"/>
  <c r="AB203" i="11"/>
  <c r="AB204" i="11"/>
  <c r="AB205" i="11"/>
  <c r="AB206" i="11"/>
  <c r="AB207" i="11"/>
  <c r="AB208" i="11"/>
  <c r="AB209" i="11"/>
  <c r="AB210" i="11"/>
  <c r="AB211" i="11"/>
  <c r="AB212" i="11"/>
  <c r="AB213" i="11"/>
  <c r="AB214" i="11"/>
  <c r="AB215" i="11"/>
  <c r="AB216" i="11"/>
  <c r="AB217" i="11"/>
  <c r="AB218" i="11"/>
  <c r="AB219" i="11"/>
  <c r="AB220" i="11"/>
  <c r="AB221" i="11"/>
  <c r="AB222" i="11"/>
  <c r="AB223" i="11"/>
  <c r="AB224" i="11"/>
  <c r="AB225" i="11"/>
  <c r="AB226" i="11"/>
  <c r="AB227" i="11"/>
  <c r="AB228" i="11"/>
  <c r="AB229" i="11"/>
  <c r="AB230" i="11"/>
  <c r="AB231" i="11"/>
  <c r="AB232" i="11"/>
  <c r="AB233" i="11"/>
  <c r="AB234" i="11"/>
  <c r="AB235" i="11"/>
  <c r="AB236" i="11"/>
  <c r="AB237" i="11"/>
  <c r="AB238" i="11"/>
  <c r="AB239" i="11"/>
  <c r="AB240" i="11"/>
  <c r="AB241" i="11"/>
  <c r="AB242" i="11"/>
  <c r="AB243" i="11"/>
  <c r="AB244" i="11"/>
  <c r="AB245" i="11"/>
  <c r="AB246" i="11"/>
  <c r="AB247" i="11"/>
  <c r="AB248" i="11"/>
  <c r="AB249" i="11"/>
  <c r="AB250" i="11"/>
  <c r="AB251" i="11"/>
  <c r="AB252" i="11"/>
  <c r="AB253" i="11"/>
  <c r="AB254" i="11"/>
  <c r="AB255" i="11"/>
  <c r="AB256" i="11"/>
  <c r="AB257" i="11"/>
  <c r="AB258" i="11"/>
  <c r="AB259" i="11"/>
  <c r="AB260" i="11"/>
  <c r="AB261" i="11"/>
  <c r="AB262" i="11"/>
  <c r="AB263" i="11"/>
  <c r="AB264" i="11"/>
  <c r="AB265" i="11"/>
  <c r="AB266" i="11"/>
  <c r="AB267" i="11"/>
  <c r="AB268" i="11"/>
  <c r="AB269" i="11"/>
  <c r="AB270" i="11"/>
  <c r="AB271" i="11"/>
  <c r="AB272" i="11"/>
  <c r="AB273" i="11"/>
  <c r="AB274" i="11"/>
  <c r="AB275" i="11"/>
  <c r="AB276" i="11"/>
  <c r="AB277" i="11"/>
  <c r="AB278" i="11"/>
  <c r="AB279" i="11"/>
  <c r="AB280" i="11"/>
  <c r="AB281" i="11"/>
  <c r="AB282" i="11"/>
  <c r="AB283" i="11"/>
  <c r="AB284" i="11"/>
  <c r="AB285" i="11"/>
  <c r="AB286" i="11"/>
  <c r="AB287" i="11"/>
  <c r="AB288" i="11"/>
  <c r="AB289" i="11"/>
  <c r="AB290" i="11"/>
  <c r="AB291" i="11"/>
  <c r="AB292" i="11"/>
  <c r="AB293" i="11"/>
  <c r="AB294" i="11"/>
  <c r="AB295" i="11"/>
  <c r="AB296" i="11"/>
  <c r="AB297" i="11"/>
  <c r="AB298" i="11"/>
  <c r="AB299" i="11"/>
  <c r="AB300" i="11"/>
  <c r="AB301" i="11"/>
  <c r="AB302" i="11"/>
  <c r="AB303" i="11"/>
  <c r="AB304" i="11"/>
  <c r="AB305" i="11"/>
  <c r="AB306" i="11"/>
  <c r="AB307" i="11"/>
  <c r="AB308" i="11"/>
  <c r="AB309" i="11"/>
  <c r="AB310" i="11"/>
  <c r="AB311" i="11"/>
  <c r="AB312" i="11"/>
  <c r="AB313" i="11"/>
  <c r="AB314" i="11"/>
  <c r="AB315" i="11"/>
  <c r="AB316" i="11"/>
  <c r="AB317" i="11"/>
  <c r="AB318" i="11"/>
  <c r="AB319" i="11"/>
  <c r="AB320" i="11"/>
  <c r="AB321" i="11"/>
  <c r="AB322" i="11"/>
  <c r="AB323" i="11"/>
  <c r="AB324" i="11"/>
  <c r="AB325" i="11"/>
  <c r="AB326" i="11"/>
  <c r="AB327" i="11"/>
  <c r="AB328" i="11"/>
  <c r="AB329" i="11"/>
  <c r="AB330" i="11"/>
  <c r="AB331" i="11"/>
  <c r="AB332" i="11"/>
  <c r="AB333" i="11"/>
  <c r="AB334" i="11"/>
  <c r="AB335" i="11"/>
  <c r="AB336" i="11"/>
  <c r="AB337" i="11"/>
  <c r="AB338" i="11"/>
  <c r="AB339" i="11"/>
  <c r="AB340" i="11"/>
  <c r="AB341" i="11"/>
  <c r="AB342" i="11"/>
  <c r="AB343" i="11"/>
  <c r="AB344" i="11"/>
  <c r="AB345" i="11"/>
  <c r="AB346" i="11"/>
  <c r="AB347" i="11"/>
  <c r="AB348" i="11"/>
  <c r="AB349" i="11"/>
  <c r="AB350" i="11"/>
  <c r="AB351" i="11"/>
  <c r="AB352" i="11"/>
  <c r="AB353" i="11"/>
  <c r="AB354" i="11"/>
  <c r="AB355" i="11"/>
  <c r="AB356" i="11"/>
  <c r="AB357" i="11"/>
  <c r="AB358" i="11"/>
  <c r="AB359" i="11"/>
  <c r="AB360" i="11"/>
  <c r="AB361" i="11"/>
  <c r="AB362" i="11"/>
  <c r="AB363" i="11"/>
  <c r="AB364" i="11"/>
  <c r="AB365" i="11"/>
  <c r="AB366" i="11"/>
  <c r="AB367" i="11"/>
  <c r="AB368" i="11"/>
  <c r="AB369" i="11"/>
  <c r="AB370" i="11"/>
  <c r="AB371" i="11"/>
  <c r="AB372" i="11"/>
  <c r="AB373" i="11"/>
  <c r="AB374" i="11"/>
  <c r="AB375" i="11"/>
  <c r="AB376" i="11"/>
  <c r="AB377" i="11"/>
  <c r="AB378" i="11"/>
  <c r="AB379" i="11"/>
  <c r="AB380" i="11"/>
  <c r="AB381" i="11"/>
  <c r="AB382" i="11"/>
  <c r="AB383" i="11"/>
  <c r="AB384" i="11"/>
  <c r="AB385" i="11"/>
  <c r="AB386" i="11"/>
  <c r="AB387" i="11"/>
  <c r="AB388" i="11"/>
  <c r="AB389" i="11"/>
  <c r="AB390" i="11"/>
  <c r="AB391" i="11"/>
  <c r="AB392" i="11"/>
  <c r="AB393" i="11"/>
  <c r="AB394" i="11"/>
  <c r="AB395" i="11"/>
  <c r="AB396" i="11"/>
  <c r="AB397" i="11"/>
  <c r="AB398" i="11"/>
  <c r="AB399" i="11"/>
  <c r="AB400" i="11"/>
  <c r="AB401" i="11"/>
  <c r="AB402" i="11"/>
  <c r="AB403" i="11"/>
  <c r="AB404" i="11"/>
  <c r="AB405" i="11"/>
  <c r="AB406" i="11"/>
  <c r="AB407" i="11"/>
  <c r="AB408" i="11"/>
  <c r="AB409" i="11"/>
  <c r="AB410" i="11"/>
  <c r="AB411" i="11"/>
  <c r="AB412" i="11"/>
  <c r="AB413" i="11"/>
  <c r="AB414" i="11"/>
  <c r="AB415" i="11"/>
  <c r="AB416" i="11"/>
  <c r="AB417" i="11"/>
  <c r="AB418" i="11"/>
  <c r="AB419" i="11"/>
  <c r="AB420" i="11"/>
  <c r="AB421" i="11"/>
  <c r="AB422" i="11"/>
  <c r="AB423" i="11"/>
  <c r="AB424" i="11"/>
  <c r="AB425" i="11"/>
  <c r="AB426" i="11"/>
  <c r="AB427" i="11"/>
  <c r="AB428" i="11"/>
  <c r="AB429" i="11"/>
  <c r="AB430" i="11"/>
  <c r="AB431" i="11"/>
  <c r="AB432" i="11"/>
  <c r="AB433" i="11"/>
  <c r="AB434" i="11"/>
  <c r="AB435" i="11"/>
  <c r="AB436" i="11"/>
  <c r="AB437" i="11"/>
  <c r="AB438" i="11"/>
  <c r="AB439" i="11"/>
  <c r="AB440" i="11"/>
  <c r="AB441" i="11"/>
  <c r="AB442" i="11"/>
  <c r="AB443" i="11"/>
  <c r="AB444" i="11"/>
  <c r="AB445" i="11"/>
  <c r="AB446" i="11"/>
  <c r="AB447" i="11"/>
  <c r="AB448" i="11"/>
  <c r="AB449" i="11"/>
  <c r="AB450" i="11"/>
  <c r="AB451" i="11"/>
  <c r="AB452" i="11"/>
  <c r="AB453" i="11"/>
  <c r="AB454" i="11"/>
  <c r="AB455" i="11"/>
  <c r="AB456" i="11"/>
  <c r="AB457" i="11"/>
  <c r="AB458" i="11"/>
  <c r="AB459" i="11"/>
  <c r="AB460" i="11"/>
  <c r="AB461" i="11"/>
  <c r="AB462" i="11"/>
  <c r="AB463" i="11"/>
  <c r="AB464" i="11"/>
  <c r="AB465" i="11"/>
  <c r="AB466" i="11"/>
  <c r="AB467" i="11"/>
  <c r="AB468" i="11"/>
  <c r="AB469" i="11"/>
  <c r="AB470" i="11"/>
  <c r="AB471" i="11"/>
  <c r="AB472" i="11"/>
  <c r="AB473" i="11"/>
  <c r="AB474" i="11"/>
  <c r="AB475" i="11"/>
  <c r="AB476" i="11"/>
  <c r="AB477" i="11"/>
  <c r="AB478" i="11"/>
  <c r="AB479" i="11"/>
  <c r="AB480" i="11"/>
  <c r="AB481" i="11"/>
  <c r="AB482" i="11"/>
  <c r="AB483" i="11"/>
  <c r="AB484" i="11"/>
  <c r="AB485" i="11"/>
  <c r="AB486" i="11"/>
  <c r="AB487" i="11"/>
  <c r="AB488" i="11"/>
  <c r="AB489" i="11"/>
  <c r="AB490" i="11"/>
  <c r="AB491" i="11"/>
  <c r="AB492" i="11"/>
  <c r="AB493" i="11"/>
  <c r="AB494" i="11"/>
  <c r="AB495" i="11"/>
  <c r="AB496" i="11"/>
  <c r="AB497" i="11"/>
  <c r="AB498" i="11"/>
  <c r="AB499" i="11"/>
  <c r="AB500" i="11"/>
  <c r="AB501" i="11"/>
  <c r="AB502" i="11"/>
  <c r="AB503" i="11"/>
  <c r="AB504" i="11"/>
  <c r="AB505" i="11"/>
  <c r="AB506" i="11"/>
  <c r="AB507" i="11"/>
  <c r="AB508" i="11"/>
  <c r="AB509" i="11"/>
  <c r="AB510" i="11"/>
  <c r="AB511" i="11"/>
  <c r="AB512" i="11"/>
  <c r="AB513" i="11"/>
  <c r="AB514" i="11"/>
  <c r="AB515" i="11"/>
  <c r="AB516" i="11"/>
  <c r="AB517" i="11"/>
  <c r="AB518" i="11"/>
  <c r="AB519" i="11"/>
  <c r="AB520" i="11"/>
  <c r="AB521" i="11"/>
  <c r="AB522" i="11"/>
  <c r="AB523" i="11"/>
  <c r="AB524" i="11"/>
  <c r="AB525" i="11"/>
  <c r="AB526" i="11"/>
  <c r="AB527" i="11"/>
  <c r="AB528" i="11"/>
  <c r="AB529" i="11"/>
  <c r="AB530" i="11"/>
  <c r="AB531" i="11"/>
  <c r="AB532" i="11"/>
  <c r="AB533" i="11"/>
  <c r="AB534" i="11"/>
  <c r="AB535" i="11"/>
  <c r="AB536" i="11"/>
  <c r="AB537" i="11"/>
  <c r="AB538" i="11"/>
  <c r="AB539" i="11"/>
  <c r="AB540" i="11"/>
  <c r="AB541" i="11"/>
  <c r="AB542" i="11"/>
  <c r="AB543" i="11"/>
  <c r="AB544" i="11"/>
  <c r="AB545" i="11"/>
  <c r="AB546" i="11"/>
  <c r="AB547" i="11"/>
  <c r="AB548" i="11"/>
  <c r="AB549" i="11"/>
  <c r="AB550" i="11"/>
  <c r="AB551" i="11"/>
  <c r="AB552" i="11"/>
  <c r="AB553" i="11"/>
  <c r="AB554" i="11"/>
  <c r="AB555" i="11"/>
  <c r="AB556" i="11"/>
  <c r="AB557" i="11"/>
  <c r="AB558" i="11"/>
  <c r="AB559" i="11"/>
  <c r="AB560" i="11"/>
  <c r="AB561" i="11"/>
  <c r="AB562" i="11"/>
  <c r="AB563" i="11"/>
  <c r="AB564" i="11"/>
  <c r="AB565" i="11"/>
  <c r="AB566" i="11"/>
  <c r="AB567" i="11"/>
  <c r="AB568" i="11"/>
  <c r="AB569" i="11"/>
  <c r="AB570" i="11"/>
  <c r="AB571" i="11"/>
  <c r="AB572" i="11"/>
  <c r="AB573" i="11"/>
  <c r="AB574" i="11"/>
  <c r="AB575" i="11"/>
  <c r="AB576" i="11"/>
  <c r="AB577" i="11"/>
  <c r="AB578" i="11"/>
  <c r="AB579" i="11"/>
  <c r="AB580" i="11"/>
  <c r="AB581" i="11"/>
  <c r="AB582" i="11"/>
  <c r="AB583" i="11"/>
  <c r="AB584" i="11"/>
  <c r="AB585" i="11"/>
  <c r="AB586" i="11"/>
  <c r="AB587" i="11"/>
  <c r="AB588" i="11"/>
  <c r="AB589" i="11"/>
  <c r="AB590" i="11"/>
  <c r="AB591" i="11"/>
  <c r="AB592" i="11"/>
  <c r="AB593" i="11"/>
  <c r="AB594" i="11"/>
  <c r="AB595" i="11"/>
  <c r="AB596" i="11"/>
  <c r="AB597" i="11"/>
  <c r="AB598" i="11"/>
  <c r="AB599" i="11"/>
  <c r="AB600" i="11"/>
  <c r="AB601" i="11"/>
  <c r="AB602" i="11"/>
  <c r="AB603" i="11"/>
  <c r="AB604" i="11"/>
  <c r="AB605" i="11"/>
  <c r="AB606" i="11"/>
  <c r="AB607" i="11"/>
  <c r="AB608" i="11"/>
  <c r="AB609" i="11"/>
  <c r="AB610" i="11"/>
  <c r="AB611" i="11"/>
  <c r="AB612" i="11"/>
  <c r="AB613" i="11"/>
  <c r="AB614" i="11"/>
  <c r="AB615" i="11"/>
  <c r="AB616" i="11"/>
  <c r="AB617" i="11"/>
  <c r="AB618" i="11"/>
  <c r="AB619" i="11"/>
  <c r="AB620" i="11"/>
  <c r="AB621" i="11"/>
  <c r="AB622" i="11"/>
  <c r="AB623" i="11"/>
  <c r="AB624" i="11"/>
  <c r="AB625" i="11"/>
  <c r="AB626" i="11"/>
  <c r="AB627" i="11"/>
  <c r="AB628" i="11"/>
  <c r="AB629" i="11"/>
  <c r="AB630" i="11"/>
  <c r="AB631" i="11"/>
  <c r="AB632" i="11"/>
  <c r="AB633" i="11"/>
  <c r="AB634" i="11"/>
  <c r="AB635" i="11"/>
  <c r="AB636" i="11"/>
  <c r="AB637" i="11"/>
  <c r="AB638" i="11"/>
  <c r="AB639" i="11"/>
  <c r="AB640" i="11"/>
  <c r="AB641" i="11"/>
  <c r="AB642" i="11"/>
  <c r="AB643" i="11"/>
  <c r="AB644" i="11"/>
  <c r="AB645" i="11"/>
  <c r="AB646" i="11"/>
  <c r="AB647" i="11"/>
  <c r="AB648" i="11"/>
  <c r="AB649" i="11"/>
  <c r="AB650" i="11"/>
  <c r="AB651" i="11"/>
  <c r="AB652" i="11"/>
  <c r="AB653" i="11"/>
  <c r="AB654" i="11"/>
  <c r="AB655" i="11"/>
  <c r="AB656" i="11"/>
  <c r="AB657" i="11"/>
  <c r="AB658" i="11"/>
  <c r="AB659" i="11"/>
  <c r="AB660" i="11"/>
  <c r="AB661" i="11"/>
  <c r="AB662" i="11"/>
  <c r="AB663" i="11"/>
  <c r="AB664" i="11"/>
  <c r="AB665" i="11"/>
  <c r="AB666" i="11"/>
  <c r="AB667" i="11"/>
  <c r="AB668" i="11"/>
  <c r="AB669" i="11"/>
  <c r="AB670" i="11"/>
  <c r="AB671" i="11"/>
  <c r="AB672" i="11"/>
  <c r="AB673" i="11"/>
  <c r="AB674" i="11"/>
  <c r="AB675" i="11"/>
  <c r="AB676" i="11"/>
  <c r="AB677" i="11"/>
  <c r="AB678" i="11"/>
  <c r="AB679" i="11"/>
  <c r="AB680" i="11"/>
  <c r="AB681" i="11"/>
  <c r="AB682" i="11"/>
  <c r="AB683" i="11"/>
  <c r="AB684" i="11"/>
  <c r="AB685" i="11"/>
  <c r="AB686" i="11"/>
  <c r="AB687" i="11"/>
  <c r="AB688" i="11"/>
  <c r="AB689" i="11"/>
  <c r="AB690" i="11"/>
  <c r="AB691" i="11"/>
  <c r="AB692" i="11"/>
  <c r="AB693" i="11"/>
  <c r="AB694" i="11"/>
  <c r="AB695" i="11"/>
  <c r="AB696" i="11"/>
  <c r="AB697" i="11"/>
  <c r="AB698" i="11"/>
  <c r="AB699" i="11"/>
  <c r="AB700" i="11"/>
  <c r="AB701" i="11"/>
  <c r="AB702" i="11"/>
  <c r="AB703" i="11"/>
  <c r="AB704" i="11"/>
  <c r="AB705" i="11"/>
  <c r="AB706" i="11"/>
  <c r="AB707" i="11"/>
  <c r="AB708" i="11"/>
  <c r="AB709" i="11"/>
  <c r="AB710" i="11"/>
  <c r="AB711" i="11"/>
  <c r="AB712" i="11"/>
  <c r="AB713" i="11"/>
  <c r="AB714" i="11"/>
  <c r="AB715" i="11"/>
  <c r="AB716" i="11"/>
  <c r="AB717" i="11"/>
  <c r="AB718" i="11"/>
  <c r="AB719" i="11"/>
  <c r="AB720" i="11"/>
  <c r="AB721" i="11"/>
  <c r="AB722" i="11"/>
  <c r="AB723" i="11"/>
  <c r="AB724" i="11"/>
  <c r="AB725" i="11"/>
  <c r="AB726" i="11"/>
  <c r="AB727" i="11"/>
  <c r="AB728" i="11"/>
  <c r="AB729" i="11"/>
  <c r="AB730" i="11"/>
  <c r="AB731" i="11"/>
  <c r="AB732" i="11"/>
  <c r="AB733" i="11"/>
  <c r="AB734" i="11"/>
  <c r="AB735" i="11"/>
  <c r="AB736" i="11"/>
  <c r="AB737" i="11"/>
  <c r="AB738" i="11"/>
  <c r="AB739" i="11"/>
  <c r="AB740" i="11"/>
  <c r="AB741" i="11"/>
  <c r="AB742" i="11"/>
  <c r="AB743" i="11"/>
  <c r="AB744" i="11"/>
  <c r="AB745" i="11"/>
  <c r="AB746" i="11"/>
  <c r="AB747" i="11"/>
  <c r="AB748" i="11"/>
  <c r="AB749" i="11"/>
  <c r="AB750" i="11"/>
  <c r="AB751" i="11"/>
  <c r="AB752" i="11"/>
  <c r="AB753" i="11"/>
  <c r="AB754" i="11"/>
  <c r="AB755" i="11"/>
  <c r="AB756" i="11"/>
  <c r="AB757" i="11"/>
  <c r="AB758" i="11"/>
  <c r="AB759" i="11"/>
  <c r="AB760" i="11"/>
  <c r="AB761" i="11"/>
  <c r="AB762" i="11"/>
  <c r="AB763" i="11"/>
  <c r="AB764" i="11"/>
  <c r="AB765" i="11"/>
  <c r="AB766" i="11"/>
  <c r="AB767" i="11"/>
  <c r="AB768" i="11"/>
  <c r="AB769" i="11"/>
  <c r="AB770" i="11"/>
  <c r="AB771" i="11"/>
  <c r="AB772" i="11"/>
  <c r="AB773" i="11"/>
  <c r="AB774" i="11"/>
  <c r="AB775" i="11"/>
  <c r="AB776" i="11"/>
  <c r="AB777" i="11"/>
  <c r="AB778" i="11"/>
  <c r="AB779" i="11"/>
  <c r="AB780" i="11"/>
  <c r="AB781" i="11"/>
  <c r="AB782" i="11"/>
  <c r="AB783" i="11"/>
  <c r="AB784" i="11"/>
  <c r="AB785" i="11"/>
  <c r="AB786" i="11"/>
  <c r="AB787" i="11"/>
  <c r="AB788" i="11"/>
  <c r="AB789" i="11"/>
  <c r="AB790" i="11"/>
  <c r="AB791" i="11"/>
  <c r="AB792" i="11"/>
  <c r="AB793" i="11"/>
  <c r="AB794" i="11"/>
  <c r="AB795" i="11"/>
  <c r="AB796" i="11"/>
  <c r="AB797" i="11"/>
  <c r="AB798" i="11"/>
  <c r="AB799" i="11"/>
  <c r="AB800" i="11"/>
  <c r="AB801" i="11"/>
  <c r="AB802" i="11"/>
  <c r="AB803" i="11"/>
  <c r="AB804" i="11"/>
  <c r="AB805" i="11"/>
  <c r="AB806" i="11"/>
  <c r="AB807" i="11"/>
  <c r="AB808" i="11"/>
  <c r="AB809" i="11"/>
  <c r="AB810" i="11"/>
  <c r="AB811" i="11"/>
  <c r="AB812" i="11"/>
  <c r="AB813" i="11"/>
  <c r="AB814" i="11"/>
  <c r="AB815" i="11"/>
  <c r="AB816" i="11"/>
  <c r="AB817" i="11"/>
  <c r="AB818" i="11"/>
  <c r="AB819" i="11"/>
  <c r="AB820" i="11"/>
  <c r="AB821" i="11"/>
  <c r="AB822" i="11"/>
  <c r="AB823" i="11"/>
  <c r="AB824" i="11"/>
  <c r="AB825" i="11"/>
  <c r="AB826" i="11"/>
  <c r="AB827" i="11"/>
  <c r="AB828" i="11"/>
  <c r="AB829" i="11"/>
  <c r="AB830" i="11"/>
  <c r="AB831" i="11"/>
  <c r="AB832" i="11"/>
  <c r="AB833" i="11"/>
  <c r="AB834" i="11"/>
  <c r="AB835" i="11"/>
  <c r="AB836" i="11"/>
  <c r="AB837" i="11"/>
  <c r="AB838" i="11"/>
  <c r="AB839" i="11"/>
  <c r="AB840" i="11"/>
  <c r="AB841" i="11"/>
  <c r="AB842" i="11"/>
  <c r="AB843" i="11"/>
  <c r="AB844" i="11"/>
  <c r="AB845" i="11"/>
  <c r="AB846" i="11"/>
  <c r="AB847" i="11"/>
  <c r="AB848" i="11"/>
  <c r="AB849" i="11"/>
  <c r="AB850" i="11"/>
  <c r="AB851" i="11"/>
  <c r="AB852" i="11"/>
  <c r="AB853" i="11"/>
  <c r="AB854" i="11"/>
  <c r="AB855" i="11"/>
  <c r="AB856" i="11"/>
  <c r="AB857" i="11"/>
  <c r="AB858" i="11"/>
  <c r="AB859" i="11"/>
  <c r="AB860" i="11"/>
  <c r="AB861" i="11"/>
  <c r="AB862" i="11"/>
  <c r="AB863" i="11"/>
  <c r="AB864" i="11"/>
  <c r="AB865" i="11"/>
  <c r="AB866" i="11"/>
  <c r="AB867" i="11"/>
  <c r="AB868" i="11"/>
  <c r="AB869" i="11"/>
  <c r="AB870" i="11"/>
  <c r="AB871" i="11"/>
  <c r="AB872" i="11"/>
  <c r="AB873" i="11"/>
  <c r="AB874" i="11"/>
  <c r="AB875" i="11"/>
  <c r="AB876" i="11"/>
  <c r="AB877" i="11"/>
  <c r="AB878" i="11"/>
  <c r="AB879" i="11"/>
  <c r="AB880" i="11"/>
  <c r="AB881" i="11"/>
  <c r="AB882" i="11"/>
  <c r="AB883" i="11"/>
  <c r="AB884" i="11"/>
  <c r="AB885" i="11"/>
  <c r="AB886" i="11"/>
  <c r="AB887" i="11"/>
  <c r="AB888" i="11"/>
  <c r="AB889" i="11"/>
  <c r="AB890" i="11"/>
  <c r="AB891" i="11"/>
  <c r="AB892" i="11"/>
  <c r="AB893" i="11"/>
  <c r="AB894" i="11"/>
  <c r="AB895" i="11"/>
  <c r="AB896" i="11"/>
  <c r="AB897" i="11"/>
  <c r="AB898" i="11"/>
  <c r="AB899" i="11"/>
  <c r="AB900" i="11"/>
  <c r="AB901" i="11"/>
  <c r="AB902" i="11"/>
  <c r="AB903" i="11"/>
  <c r="AB904" i="11"/>
  <c r="AB905" i="11"/>
  <c r="AB906" i="11"/>
  <c r="AB907" i="11"/>
  <c r="AB908" i="11"/>
  <c r="AB909" i="11"/>
  <c r="AB910" i="11"/>
  <c r="AB911" i="11"/>
  <c r="AB912" i="11"/>
  <c r="AB913" i="11"/>
  <c r="AB914" i="11"/>
  <c r="AB915" i="11"/>
  <c r="AB916" i="11"/>
  <c r="AB917" i="11"/>
  <c r="AB918" i="11"/>
  <c r="AB919" i="11"/>
  <c r="AB920" i="11"/>
  <c r="AB921" i="11"/>
  <c r="AB922" i="11"/>
  <c r="AB923" i="11"/>
  <c r="AB924" i="11"/>
  <c r="AB925" i="11"/>
  <c r="AB926" i="11"/>
  <c r="AB927" i="11"/>
  <c r="AB928" i="11"/>
  <c r="AB929" i="11"/>
  <c r="AB930" i="11"/>
  <c r="AB931" i="11"/>
  <c r="AB932" i="11"/>
  <c r="AB933" i="11"/>
  <c r="AB934" i="11"/>
  <c r="AB935" i="11"/>
  <c r="AB936" i="11"/>
  <c r="AB937" i="11"/>
  <c r="AB938" i="11"/>
  <c r="AB939" i="11"/>
  <c r="AB940" i="11"/>
  <c r="AB941" i="11"/>
  <c r="AB942" i="11"/>
  <c r="AB943" i="11"/>
  <c r="AB944" i="11"/>
  <c r="AB945" i="11"/>
  <c r="AB946" i="11"/>
  <c r="AB947" i="11"/>
  <c r="AB948" i="11"/>
  <c r="AB949" i="11"/>
  <c r="AB950" i="11"/>
  <c r="AB951" i="11"/>
  <c r="AB952" i="11"/>
  <c r="AB953" i="11"/>
  <c r="AB954" i="11"/>
  <c r="AB955" i="11"/>
  <c r="AB956" i="11"/>
  <c r="AB957" i="11"/>
  <c r="AB958" i="11"/>
  <c r="AB959" i="11"/>
  <c r="AB960" i="11"/>
  <c r="AB961" i="11"/>
  <c r="AB962" i="11"/>
  <c r="AB963" i="11"/>
  <c r="AB964" i="11"/>
  <c r="AB965" i="11"/>
  <c r="AB966" i="11"/>
  <c r="AB967" i="11"/>
  <c r="AB968" i="11"/>
  <c r="AB969" i="11"/>
  <c r="AB970" i="11"/>
  <c r="AB971" i="11"/>
  <c r="AB972" i="11"/>
  <c r="AB973" i="11"/>
  <c r="AB974" i="11"/>
  <c r="AB975" i="11"/>
  <c r="AB976" i="11"/>
  <c r="AB977" i="11"/>
  <c r="AB978" i="11"/>
  <c r="AB979" i="11"/>
  <c r="AB980" i="11"/>
  <c r="AB981" i="11"/>
  <c r="AB982" i="11"/>
  <c r="AB983" i="11"/>
  <c r="AB984" i="11"/>
  <c r="AB985" i="11"/>
  <c r="AB986" i="11"/>
  <c r="AB987" i="11"/>
  <c r="AB988" i="11"/>
  <c r="AB989" i="11"/>
  <c r="AB990" i="11"/>
  <c r="AB991" i="11"/>
  <c r="AB992" i="11"/>
  <c r="AB993" i="11"/>
  <c r="AB994" i="11"/>
  <c r="AB995" i="11"/>
  <c r="AB996" i="11"/>
  <c r="AB997" i="11"/>
  <c r="AB998" i="11"/>
  <c r="AB999" i="11"/>
  <c r="AB1000" i="11"/>
  <c r="AB1001" i="11"/>
  <c r="AB1002" i="11"/>
  <c r="AB1003" i="11"/>
  <c r="AB1004" i="11"/>
  <c r="AB1005" i="11"/>
  <c r="AB1006" i="11"/>
  <c r="AB1007" i="11"/>
  <c r="AB1008" i="11"/>
  <c r="AB1009" i="11"/>
  <c r="AB1010" i="11"/>
  <c r="AB1011" i="11"/>
  <c r="AB1012" i="11"/>
  <c r="AB1013" i="11"/>
  <c r="AB1014" i="11"/>
  <c r="AB1015" i="11"/>
  <c r="AB1016" i="11"/>
  <c r="AB1017" i="11"/>
  <c r="AB1018" i="11"/>
  <c r="AB1019" i="11"/>
  <c r="AB1020" i="11"/>
  <c r="AB1021" i="11"/>
  <c r="AB1022" i="11"/>
  <c r="AB1023" i="11"/>
  <c r="AB1024" i="11"/>
  <c r="AB1025" i="11"/>
  <c r="AB1026" i="11"/>
  <c r="AB1027" i="11"/>
  <c r="AB1028" i="11"/>
  <c r="AB1029" i="11"/>
  <c r="AB1030" i="11"/>
  <c r="AB1031" i="11"/>
  <c r="AB1032" i="11"/>
  <c r="AB1033" i="11"/>
  <c r="AB1034" i="11"/>
  <c r="AB1035" i="11"/>
  <c r="AB1036" i="11"/>
  <c r="AB1037" i="11"/>
  <c r="AB1038" i="11"/>
  <c r="AB1039" i="11"/>
  <c r="AB1040" i="11"/>
  <c r="AB1041" i="11"/>
  <c r="AB1042" i="11"/>
  <c r="AB1043" i="11"/>
  <c r="AB1044" i="11"/>
  <c r="AB1045" i="11"/>
  <c r="AB1046" i="11"/>
  <c r="AB1047" i="11"/>
  <c r="AB1048" i="11"/>
  <c r="AB1049" i="11"/>
  <c r="AB1050" i="11"/>
  <c r="AB1051" i="11"/>
  <c r="AB1052" i="11"/>
  <c r="AB1053" i="11"/>
  <c r="AB1054" i="11"/>
  <c r="AB1055" i="11"/>
  <c r="AB1056" i="11"/>
  <c r="AB1057" i="11"/>
  <c r="AB1058" i="11"/>
  <c r="AB1059" i="11"/>
  <c r="AB1060" i="11"/>
  <c r="AB1061" i="11"/>
  <c r="AB1062" i="11"/>
  <c r="AB1063" i="11"/>
  <c r="AB1064" i="11"/>
  <c r="AB1065" i="11"/>
  <c r="AB1066" i="11"/>
  <c r="AB1067" i="11"/>
  <c r="AB1068" i="11"/>
  <c r="AB1069" i="11"/>
  <c r="AB1070" i="11"/>
  <c r="AB1071" i="11"/>
  <c r="AB1072" i="11"/>
  <c r="AB1073" i="11"/>
  <c r="AB1074" i="11"/>
  <c r="AB1075" i="11"/>
  <c r="AB1076" i="11"/>
  <c r="AB1077" i="11"/>
  <c r="AB1078" i="11"/>
  <c r="AB1079" i="11"/>
  <c r="AB1080" i="11"/>
  <c r="AB1081" i="11"/>
  <c r="AB1082" i="11"/>
  <c r="AB1083" i="11"/>
  <c r="AB1084" i="11"/>
  <c r="AB1085" i="11"/>
  <c r="AB1086" i="11"/>
  <c r="AB1087" i="11"/>
  <c r="AB1088" i="11"/>
  <c r="AB1089" i="11"/>
  <c r="AB1090" i="11"/>
  <c r="AB1091" i="11"/>
  <c r="AB1092" i="11"/>
  <c r="AB1093" i="11"/>
  <c r="AB1094" i="11"/>
  <c r="AB1095" i="11"/>
  <c r="AB1096" i="11"/>
  <c r="AB1097" i="11"/>
  <c r="AB1098" i="11"/>
  <c r="AB1099" i="11"/>
  <c r="AB1100" i="11"/>
  <c r="AB1101" i="11"/>
  <c r="AB1102" i="11"/>
  <c r="AB1103" i="11"/>
  <c r="AB1104" i="11"/>
  <c r="AB1105" i="11"/>
  <c r="AB1106" i="11"/>
  <c r="AB1107" i="11"/>
  <c r="AB1108" i="11"/>
  <c r="AB1109" i="11"/>
  <c r="AB1110" i="11"/>
  <c r="AB1111" i="11"/>
  <c r="AB1112" i="11"/>
  <c r="AB1113" i="11"/>
  <c r="AB1114" i="11"/>
  <c r="AB1115" i="11"/>
  <c r="AB1116" i="11"/>
  <c r="AB1117" i="11"/>
  <c r="AB1118" i="11"/>
  <c r="AB1119" i="11"/>
  <c r="AB1120" i="11"/>
  <c r="AB1121" i="11"/>
  <c r="AB1122" i="11"/>
  <c r="AB1123" i="11"/>
  <c r="AB1124" i="11"/>
  <c r="AB1125" i="11"/>
  <c r="AB1126" i="11"/>
  <c r="AB1127" i="11"/>
  <c r="AB1128" i="11"/>
  <c r="AB1129" i="11"/>
  <c r="AB1130" i="11"/>
  <c r="AB1131" i="11"/>
  <c r="AB1132" i="11"/>
  <c r="AB1133" i="11"/>
  <c r="AB1134" i="11"/>
  <c r="AB1135" i="11"/>
  <c r="AB1136" i="11"/>
  <c r="AB1137" i="11"/>
  <c r="AB1138" i="11"/>
  <c r="AB1139" i="11"/>
  <c r="AB1140" i="11"/>
  <c r="AB1141" i="11"/>
  <c r="AB1142" i="11"/>
  <c r="AB1143" i="11"/>
  <c r="AB1144" i="11"/>
  <c r="AB1145" i="11"/>
  <c r="AB1146" i="11"/>
  <c r="AB1147" i="11"/>
  <c r="AB1148" i="11"/>
  <c r="AB1149" i="11"/>
  <c r="AB1150" i="11"/>
  <c r="AB1151" i="11"/>
  <c r="AB1152" i="11"/>
  <c r="AB1153" i="11"/>
  <c r="AB1154" i="11"/>
  <c r="AB1155" i="11"/>
  <c r="AB1156" i="11"/>
  <c r="AB1157" i="11"/>
  <c r="AB1158" i="11"/>
  <c r="AB1159" i="11"/>
  <c r="AB1160" i="11"/>
  <c r="AB1161" i="11"/>
  <c r="AB1162" i="11"/>
  <c r="AB1163" i="11"/>
  <c r="AB1164" i="11"/>
  <c r="AB1165" i="11"/>
  <c r="AB1166" i="11"/>
  <c r="AB1167" i="11"/>
  <c r="AB1168" i="11"/>
  <c r="AB1169" i="11"/>
  <c r="AB1170" i="11"/>
  <c r="AB1171" i="11"/>
  <c r="AB1172" i="11"/>
  <c r="AB1173" i="11"/>
  <c r="AB1174" i="11"/>
  <c r="AB1175" i="11"/>
  <c r="AB1176" i="11"/>
  <c r="AB1177" i="11"/>
  <c r="AB1178" i="11"/>
  <c r="AB1179" i="11"/>
  <c r="AB1180" i="11"/>
  <c r="AB1181" i="11"/>
  <c r="AB1182" i="11"/>
  <c r="AB1183" i="11"/>
  <c r="AB1184" i="11"/>
  <c r="AB1185" i="11"/>
  <c r="AB1186" i="11"/>
  <c r="AB1187" i="11"/>
  <c r="AB1188" i="11"/>
  <c r="AB1189" i="11"/>
  <c r="AB1190" i="11"/>
  <c r="AB1191" i="11"/>
  <c r="AB1192" i="11"/>
  <c r="AB1193" i="11"/>
  <c r="AB1194" i="11"/>
  <c r="AB1195" i="11"/>
  <c r="AB1196" i="11"/>
  <c r="AB1197" i="11"/>
  <c r="AB1198" i="11"/>
  <c r="AB1199" i="11"/>
  <c r="AB1200" i="11"/>
  <c r="AB1201" i="11"/>
  <c r="AB1202" i="11"/>
  <c r="AB1203" i="11"/>
  <c r="AB1204" i="11"/>
  <c r="AB1205" i="11"/>
  <c r="AB1206" i="11"/>
  <c r="AB1207" i="11"/>
  <c r="AB1208" i="11"/>
  <c r="AB1209" i="11"/>
  <c r="AB1210" i="11"/>
  <c r="AB1211" i="11"/>
  <c r="AB1212" i="11"/>
  <c r="AB1213" i="11"/>
  <c r="AB1214" i="11"/>
  <c r="AB1215" i="11"/>
  <c r="AB1216" i="11"/>
  <c r="AB1217" i="11"/>
  <c r="AB1218" i="11"/>
  <c r="AB1219" i="11"/>
  <c r="AB1220" i="11"/>
  <c r="AB1221" i="11"/>
  <c r="AB1222" i="11"/>
  <c r="AB1223" i="11"/>
  <c r="AB1224" i="11"/>
  <c r="AB1225" i="11"/>
  <c r="AB1226" i="11"/>
  <c r="AB1227" i="11"/>
  <c r="AB1228" i="11"/>
  <c r="AB1229" i="11"/>
  <c r="AB1230" i="11"/>
  <c r="AB1231" i="11"/>
  <c r="AB1232" i="11"/>
  <c r="AB1233" i="11"/>
  <c r="AB1234" i="11"/>
  <c r="AB1235" i="11"/>
  <c r="AB1236" i="11"/>
  <c r="AB1237" i="11"/>
  <c r="AB1238" i="11"/>
  <c r="AB1239" i="11"/>
  <c r="AB1240" i="11"/>
  <c r="AB1241" i="11"/>
  <c r="AB1242" i="11"/>
  <c r="AB1243" i="11"/>
  <c r="AB1244" i="11"/>
  <c r="AB1245" i="11"/>
  <c r="AB1246" i="11"/>
  <c r="AB1247" i="11"/>
  <c r="AB1248" i="11"/>
  <c r="AB1249" i="11"/>
  <c r="AB1250" i="11"/>
  <c r="AB1251" i="11"/>
  <c r="AB1252" i="11"/>
  <c r="AB1253" i="11"/>
  <c r="AB1254" i="11"/>
  <c r="AB1255" i="11"/>
  <c r="AB1256" i="11"/>
  <c r="AB1257" i="11"/>
  <c r="AB1258" i="11"/>
  <c r="AB1259" i="11"/>
  <c r="AB1260" i="11"/>
  <c r="AB1261" i="11"/>
  <c r="AB1262" i="11"/>
  <c r="AB1263" i="11"/>
  <c r="AB1264" i="11"/>
  <c r="AB1265" i="11"/>
  <c r="AB1266" i="11"/>
  <c r="AB1267" i="11"/>
  <c r="AB1268" i="11"/>
  <c r="AB1269" i="11"/>
  <c r="AB1270" i="11"/>
  <c r="AB1271" i="11"/>
  <c r="AB1272" i="11"/>
  <c r="AB1273" i="11"/>
  <c r="AB1274" i="11"/>
  <c r="AB1275" i="11"/>
  <c r="AB1276" i="11"/>
  <c r="AB1277" i="11"/>
  <c r="AB1278" i="11"/>
  <c r="AB1279" i="11"/>
  <c r="AB1280" i="11"/>
  <c r="AB1281" i="11"/>
  <c r="AB1282" i="11"/>
  <c r="AB1283" i="11"/>
  <c r="AB1284" i="11"/>
  <c r="AB1285" i="11"/>
  <c r="AB1286" i="11"/>
  <c r="AB1287" i="11"/>
  <c r="AB1288" i="11"/>
  <c r="AB1289" i="11"/>
  <c r="AB1290" i="11"/>
  <c r="AB1291" i="11"/>
  <c r="AB1292" i="11"/>
  <c r="AB1293" i="11"/>
  <c r="AB1294" i="11"/>
  <c r="AB1295" i="11"/>
  <c r="AB1296" i="11"/>
  <c r="AB1297" i="11"/>
  <c r="AB1298" i="11"/>
  <c r="AB1299" i="11"/>
  <c r="AB1300" i="11"/>
  <c r="AB1301" i="11"/>
  <c r="AB1302" i="11"/>
  <c r="AB1303" i="11"/>
  <c r="AB1304" i="11"/>
  <c r="AB1305" i="11"/>
  <c r="AB1306" i="11"/>
  <c r="AB1307" i="11"/>
  <c r="AB1308" i="11"/>
  <c r="AB1309" i="11"/>
  <c r="AB1310" i="11"/>
  <c r="AB1311" i="11"/>
  <c r="AB1312" i="11"/>
  <c r="AB1313" i="11"/>
  <c r="AB1314" i="11"/>
  <c r="AB1315" i="11"/>
  <c r="AB1316" i="11"/>
  <c r="AB1317" i="11"/>
  <c r="AB1318" i="11"/>
  <c r="AB1319" i="11"/>
  <c r="AB1320" i="11"/>
  <c r="AB1321" i="11"/>
  <c r="AB1322" i="11"/>
  <c r="AB1323" i="11"/>
  <c r="AB1324" i="11"/>
  <c r="AB1325" i="11"/>
  <c r="AB1326" i="11"/>
  <c r="AB1327" i="11"/>
  <c r="AB1328" i="11"/>
  <c r="AB1329" i="11"/>
  <c r="AB1330" i="11"/>
  <c r="AB1331" i="11"/>
  <c r="AB1332" i="11"/>
  <c r="AB1333" i="11"/>
  <c r="AB1334" i="11"/>
  <c r="AB1335" i="11"/>
  <c r="AB1336" i="11"/>
  <c r="AB1337" i="11"/>
  <c r="AB1338" i="11"/>
  <c r="AB1339" i="11"/>
  <c r="AB1340" i="11"/>
  <c r="AB1341" i="11"/>
  <c r="AB1342" i="11"/>
  <c r="AB1343" i="11"/>
  <c r="AB1344" i="11"/>
  <c r="AB1345" i="11"/>
  <c r="AB1346" i="11"/>
  <c r="AB1347" i="11"/>
  <c r="AB1348" i="11"/>
  <c r="AB1349" i="11"/>
  <c r="AB1350" i="11"/>
  <c r="AB1351" i="11"/>
  <c r="AB1352" i="11"/>
  <c r="AB1353" i="11"/>
  <c r="AB1354" i="11"/>
  <c r="AB1355" i="11"/>
  <c r="AB1356" i="11"/>
  <c r="AB1357" i="11"/>
  <c r="AB1358" i="11"/>
  <c r="AB1359" i="11"/>
  <c r="AB1360" i="11"/>
  <c r="AB1361" i="11"/>
  <c r="AB1362" i="11"/>
  <c r="AB1363" i="11"/>
  <c r="AB1364" i="11"/>
  <c r="AB1365" i="11"/>
  <c r="AB1366" i="11"/>
  <c r="AB1367" i="11"/>
  <c r="AB1368" i="11"/>
  <c r="AB1369" i="11"/>
  <c r="AB1370" i="11"/>
  <c r="AB1371" i="11"/>
  <c r="AB1372" i="11"/>
  <c r="AB1373" i="11"/>
  <c r="AB1374" i="11"/>
  <c r="AB1375" i="11"/>
  <c r="AB1376" i="11"/>
  <c r="AB1377" i="11"/>
  <c r="AB1378" i="11"/>
  <c r="AB1379" i="11"/>
  <c r="AB1380" i="11"/>
  <c r="AB1381" i="11"/>
  <c r="AB1382" i="11"/>
  <c r="AB1383" i="11"/>
  <c r="AB1384" i="11"/>
  <c r="AB1385" i="11"/>
  <c r="AB1386" i="11"/>
  <c r="AB1387" i="11"/>
  <c r="AB1388" i="11"/>
  <c r="AB1389" i="11"/>
  <c r="AB1390" i="11"/>
  <c r="AB1391" i="11"/>
  <c r="AB1392" i="11"/>
  <c r="AB1393" i="11"/>
  <c r="AB1394" i="11"/>
  <c r="AB1395" i="11"/>
  <c r="AB1396" i="11"/>
  <c r="AB1397" i="11"/>
  <c r="AB1398" i="11"/>
  <c r="AB1399" i="11"/>
  <c r="AB1400" i="11"/>
  <c r="AB1401" i="11"/>
  <c r="AB1402" i="11"/>
  <c r="AB1403" i="11"/>
  <c r="AB1404" i="11"/>
  <c r="AB1405" i="11"/>
  <c r="AB1406" i="11"/>
  <c r="AB1407" i="11"/>
  <c r="AB1408" i="11"/>
  <c r="AB1409" i="11"/>
  <c r="AB1410" i="11"/>
  <c r="AB1411" i="11"/>
  <c r="AB1412" i="11"/>
  <c r="AB1413" i="11"/>
  <c r="AB1414" i="11"/>
  <c r="AB1415" i="11"/>
  <c r="AB1416" i="11"/>
  <c r="AB1417" i="11"/>
  <c r="AB1418" i="11"/>
  <c r="AB1419" i="11"/>
  <c r="AB1420" i="11"/>
  <c r="AB1421" i="11"/>
  <c r="AB1422" i="11"/>
  <c r="AB1423" i="11"/>
  <c r="AB1424" i="11"/>
  <c r="AB1425" i="11"/>
  <c r="AB1426" i="11"/>
  <c r="AB1427" i="11"/>
  <c r="AB1428" i="11"/>
  <c r="AB1429" i="11"/>
  <c r="AB1430" i="11"/>
  <c r="AB1431" i="11"/>
  <c r="AB1432" i="11"/>
  <c r="AB1433" i="11"/>
  <c r="AB1434" i="11"/>
  <c r="AB1435" i="11"/>
  <c r="AB1436" i="11"/>
  <c r="AB1437" i="11"/>
  <c r="AB1438" i="11"/>
  <c r="AB1439" i="11"/>
  <c r="AB1440" i="11"/>
  <c r="AB1441" i="11"/>
  <c r="AB1442" i="11"/>
  <c r="AB1443" i="11"/>
  <c r="AB1444" i="11"/>
  <c r="AB1445" i="11"/>
  <c r="AB1446" i="11"/>
  <c r="AB1447" i="11"/>
  <c r="AB1448" i="11"/>
  <c r="AB1449" i="11"/>
  <c r="AB1450" i="11"/>
  <c r="AB1451" i="11"/>
  <c r="AB1452" i="11"/>
  <c r="AB1453" i="11"/>
  <c r="AB1454" i="11"/>
  <c r="AB1455" i="11"/>
  <c r="AB1456" i="11"/>
  <c r="AB1457" i="11"/>
  <c r="AB1458" i="11"/>
  <c r="AB1459" i="11"/>
  <c r="AB1460" i="11"/>
  <c r="AB1461" i="11"/>
  <c r="AB1462" i="11"/>
  <c r="AB1463" i="11"/>
  <c r="AB1464" i="11"/>
  <c r="AB1465" i="11"/>
  <c r="AB1466" i="11"/>
  <c r="AB1467" i="11"/>
  <c r="AB1468" i="11"/>
  <c r="AB1469" i="11"/>
  <c r="AB1470" i="11"/>
  <c r="AB1471" i="11"/>
  <c r="AB1472" i="11"/>
  <c r="AB1473" i="11"/>
  <c r="AB1474" i="11"/>
  <c r="AB1475" i="11"/>
  <c r="AB1476" i="11"/>
  <c r="AB1477" i="11"/>
  <c r="AB1478" i="11"/>
  <c r="AB1479" i="11"/>
  <c r="AB1480" i="11"/>
  <c r="AB1481" i="11"/>
  <c r="AB1482" i="11"/>
  <c r="AB1483" i="11"/>
  <c r="AB1484" i="11"/>
  <c r="AB1485" i="11"/>
  <c r="AB1486" i="11"/>
  <c r="AB1487" i="11"/>
  <c r="AB1488" i="11"/>
  <c r="AB1489" i="11"/>
  <c r="AB1490" i="11"/>
  <c r="AB1491" i="11"/>
  <c r="AB1492" i="11"/>
  <c r="AB1493" i="11"/>
  <c r="AB1494" i="11"/>
  <c r="AB1495" i="11"/>
  <c r="AB1496" i="11"/>
  <c r="AB1497" i="11"/>
  <c r="AB1498" i="11"/>
  <c r="AB1499" i="11"/>
  <c r="AB1500" i="11"/>
  <c r="AB1501" i="11"/>
  <c r="AB1502" i="11"/>
  <c r="AB1503" i="11"/>
  <c r="AB1504" i="11"/>
  <c r="AB1505" i="11"/>
  <c r="AB1506" i="11"/>
  <c r="AB1507" i="11"/>
  <c r="AB1508" i="11"/>
  <c r="AB1509" i="11"/>
  <c r="AB1510" i="11"/>
  <c r="AB1511" i="11"/>
  <c r="AB1512" i="11"/>
  <c r="AB1513" i="11"/>
  <c r="AB1514" i="11"/>
  <c r="AB1515" i="11"/>
  <c r="AB1516" i="11"/>
  <c r="AB1517" i="11"/>
  <c r="AB1518" i="11"/>
  <c r="AB1519" i="11"/>
  <c r="AB1520" i="11"/>
  <c r="AB1521" i="11"/>
  <c r="AB1522" i="11"/>
  <c r="AB1523" i="11"/>
  <c r="AB1524" i="11"/>
  <c r="AB1525" i="11"/>
  <c r="AB1526" i="11"/>
  <c r="AB1527" i="11"/>
  <c r="AB1528" i="11"/>
  <c r="AB1529" i="11"/>
  <c r="AB1530" i="11"/>
  <c r="AB1531" i="11"/>
  <c r="AB1532" i="11"/>
  <c r="AB1533" i="11"/>
  <c r="AB1534" i="11"/>
  <c r="AB1535" i="11"/>
  <c r="AB1536" i="11"/>
  <c r="AB1537" i="11"/>
  <c r="AB1538" i="11"/>
  <c r="AB1539" i="11"/>
  <c r="AB1540" i="11"/>
  <c r="AB1541" i="11"/>
  <c r="AB1542" i="11"/>
  <c r="AB1543" i="11"/>
  <c r="AB1544" i="11"/>
  <c r="AB1545" i="11"/>
  <c r="AB1546" i="11"/>
  <c r="AB1547" i="11"/>
  <c r="AB1548" i="11"/>
  <c r="AB1549" i="11"/>
  <c r="AB1550" i="11"/>
  <c r="AB1551" i="11"/>
  <c r="AB1552" i="11"/>
  <c r="AB1553" i="11"/>
  <c r="AB1554" i="11"/>
  <c r="AB1555" i="11"/>
  <c r="AB1556" i="11"/>
  <c r="AB1557" i="11"/>
  <c r="AB1558" i="11"/>
  <c r="AB1559" i="11"/>
  <c r="AB1560" i="11"/>
  <c r="AB1561" i="11"/>
  <c r="AB1562" i="11"/>
  <c r="AB1563" i="11"/>
  <c r="AB1564" i="11"/>
  <c r="AB1565" i="11"/>
  <c r="AB1566" i="11"/>
  <c r="AB1567" i="11"/>
  <c r="AB1568" i="11"/>
  <c r="AB1569" i="11"/>
  <c r="AB1570" i="11"/>
  <c r="AB1571" i="11"/>
  <c r="AB1572" i="11"/>
  <c r="AB1573" i="11"/>
  <c r="AB1574" i="11"/>
  <c r="AB1575" i="11"/>
  <c r="AB1576" i="11"/>
  <c r="AB1577" i="11"/>
  <c r="AB1578" i="11"/>
  <c r="AB1579" i="11"/>
  <c r="AB1580" i="11"/>
  <c r="AB1581" i="11"/>
  <c r="AB1582" i="11"/>
  <c r="AB1583" i="11"/>
  <c r="AB1584" i="11"/>
  <c r="AB1585" i="11"/>
  <c r="AB1586" i="11"/>
  <c r="AB1587" i="11"/>
  <c r="AB1588" i="11"/>
  <c r="AB1589" i="11"/>
  <c r="AB1590" i="11"/>
  <c r="AB1591" i="11"/>
  <c r="AB1592" i="11"/>
  <c r="AB1593" i="11"/>
  <c r="AB1594" i="11"/>
  <c r="AB1595" i="11"/>
  <c r="AB1596" i="11"/>
  <c r="AB1597" i="11"/>
  <c r="AB1598" i="11"/>
  <c r="AB1599" i="11"/>
  <c r="AB1600" i="11"/>
  <c r="AB1601" i="11"/>
  <c r="AB1602" i="11"/>
  <c r="AB1603" i="11"/>
  <c r="AB1604" i="11"/>
  <c r="AB1605" i="11"/>
  <c r="AB1606" i="11"/>
  <c r="AB1607" i="11"/>
  <c r="AB1608" i="11"/>
  <c r="AB1609" i="11"/>
  <c r="AB1610" i="11"/>
  <c r="AB1611" i="11"/>
  <c r="AB1612" i="11"/>
  <c r="AB1613" i="11"/>
  <c r="AB1614" i="11"/>
  <c r="AB1615" i="11"/>
  <c r="AB1616" i="11"/>
  <c r="AB1617" i="11"/>
  <c r="AB1618" i="11"/>
  <c r="AB1619" i="11"/>
  <c r="AB1620" i="11"/>
  <c r="AB1621" i="11"/>
  <c r="AB1622" i="11"/>
  <c r="AB1623" i="11"/>
  <c r="AB1624" i="11"/>
  <c r="AB1625" i="11"/>
  <c r="AB1626" i="11"/>
  <c r="AB1627" i="11"/>
  <c r="AB1628" i="11"/>
  <c r="AB1629" i="11"/>
  <c r="AB1630" i="11"/>
  <c r="AB1631" i="11"/>
  <c r="AB1632" i="11"/>
  <c r="AB1633" i="11"/>
  <c r="AB1634" i="11"/>
  <c r="AB1635" i="11"/>
  <c r="AB1636" i="11"/>
  <c r="AB1637" i="11"/>
  <c r="AB1638" i="11"/>
  <c r="AB1639" i="11"/>
  <c r="AB1640" i="11"/>
  <c r="AB1641" i="11"/>
  <c r="AB1642" i="11"/>
  <c r="AB1643" i="11"/>
  <c r="AB1644" i="11"/>
  <c r="AB1645" i="11"/>
  <c r="AB1646" i="11"/>
  <c r="AB1647" i="11"/>
  <c r="AB1648" i="11"/>
  <c r="AB1649" i="11"/>
  <c r="AB1650" i="11"/>
  <c r="AB1651" i="11"/>
  <c r="AB1652" i="11"/>
  <c r="AB1653" i="11"/>
  <c r="AB1654" i="11"/>
  <c r="AB1655" i="11"/>
  <c r="AB1656" i="11"/>
  <c r="AB1657" i="11"/>
  <c r="AB1658" i="11"/>
  <c r="AB1659" i="11"/>
  <c r="AB1660" i="11"/>
  <c r="AB1661" i="11"/>
  <c r="AB1662" i="11"/>
  <c r="AB1663" i="11"/>
  <c r="AB1664" i="11"/>
  <c r="AB1665" i="11"/>
  <c r="AB1666" i="11"/>
  <c r="AB1667" i="11"/>
  <c r="AB1668" i="11"/>
  <c r="AB1669" i="11"/>
  <c r="AB1670" i="11"/>
  <c r="AB1671" i="11"/>
  <c r="AB1672" i="11"/>
  <c r="AB1673" i="11"/>
  <c r="AB1674" i="11"/>
  <c r="AB1675" i="11"/>
  <c r="AB1676" i="11"/>
  <c r="AB1677" i="11"/>
  <c r="AB1678" i="11"/>
  <c r="AB1679" i="11"/>
  <c r="AB1680" i="11"/>
  <c r="AB1681" i="11"/>
  <c r="AB1682" i="11"/>
  <c r="AB1683" i="11"/>
  <c r="AB1684" i="11"/>
  <c r="AB1685" i="11"/>
  <c r="AB1686" i="11"/>
  <c r="AB1687" i="11"/>
  <c r="AB1688" i="11"/>
  <c r="AB1689" i="11"/>
  <c r="AB1690" i="11"/>
  <c r="AB1691" i="11"/>
  <c r="AB1692" i="11"/>
  <c r="AB1693" i="11"/>
  <c r="AB1694" i="11"/>
  <c r="AB1695" i="11"/>
  <c r="AB1696" i="11"/>
  <c r="AB1697" i="11"/>
  <c r="AB1698" i="11"/>
  <c r="AB1699" i="11"/>
  <c r="AB1700" i="11"/>
  <c r="AB1701" i="11"/>
  <c r="AB1702" i="11"/>
  <c r="AB1703" i="11"/>
  <c r="AB1704" i="11"/>
  <c r="AB1705" i="11"/>
  <c r="AB1706" i="11"/>
  <c r="AB1707" i="11"/>
  <c r="AB1708" i="11"/>
  <c r="AB1709" i="11"/>
  <c r="AB1710" i="11"/>
  <c r="AB1711" i="11"/>
  <c r="AB1712" i="11"/>
  <c r="AB1713" i="11"/>
  <c r="AB1714" i="11"/>
  <c r="AB1715" i="11"/>
  <c r="AB1716" i="11"/>
  <c r="AB1717" i="11"/>
  <c r="AB1718" i="11"/>
  <c r="AB1719" i="11"/>
  <c r="AB1720" i="11"/>
  <c r="AB1721" i="11"/>
  <c r="AB1722" i="11"/>
  <c r="AB1723" i="11"/>
  <c r="AB1724" i="11"/>
  <c r="AB1725" i="11"/>
  <c r="AB1726" i="11"/>
  <c r="AB1727" i="11"/>
  <c r="AB1728" i="11"/>
  <c r="AB1729" i="11"/>
  <c r="AB1730" i="11"/>
  <c r="AB1731" i="11"/>
  <c r="AB1732" i="11"/>
  <c r="AB1733" i="11"/>
  <c r="AB1734" i="11"/>
  <c r="AB1735" i="11"/>
  <c r="AB1736" i="11"/>
  <c r="AB1737" i="11"/>
  <c r="AB1738" i="11"/>
  <c r="AB1739" i="11"/>
  <c r="AB1740" i="11"/>
  <c r="AB1741" i="11"/>
  <c r="AB1742" i="11"/>
  <c r="AB1743" i="11"/>
  <c r="AB1744" i="11"/>
  <c r="AB1745" i="11"/>
  <c r="AB1746" i="11"/>
  <c r="AB1747" i="11"/>
  <c r="AB1748" i="11"/>
  <c r="AB1749" i="11"/>
  <c r="AB1750" i="11"/>
  <c r="AB1751" i="11"/>
  <c r="AB1752" i="11"/>
  <c r="AB1753" i="11"/>
  <c r="AB1754" i="11"/>
  <c r="AB1755" i="11"/>
  <c r="AB1756" i="11"/>
  <c r="AB1757" i="11"/>
  <c r="AB1758" i="11"/>
  <c r="AB1759" i="11"/>
  <c r="AB1760" i="11"/>
  <c r="AB1761" i="11"/>
  <c r="AB1762" i="11"/>
  <c r="AB1763" i="11"/>
  <c r="AB1764" i="11"/>
  <c r="AB1765" i="11"/>
  <c r="AB1766" i="11"/>
  <c r="AB1767" i="11"/>
  <c r="AB1768" i="11"/>
  <c r="AB1769" i="11"/>
  <c r="AB1770" i="11"/>
  <c r="AB1771" i="11"/>
  <c r="AB1772" i="11"/>
  <c r="AB1773" i="11"/>
  <c r="AB1774" i="11"/>
  <c r="AB1775" i="11"/>
  <c r="AB1776" i="11"/>
  <c r="AB1777" i="11"/>
  <c r="AB1778" i="11"/>
  <c r="AB1779" i="11"/>
  <c r="AB1780" i="11"/>
  <c r="AB1781" i="11"/>
  <c r="AB1782" i="11"/>
  <c r="AB1783" i="11"/>
  <c r="AB1784" i="11"/>
  <c r="AB1785" i="11"/>
  <c r="AB1786" i="11"/>
  <c r="AB1787" i="11"/>
  <c r="AB1788" i="11"/>
  <c r="AB1789" i="11"/>
  <c r="AB1790" i="11"/>
  <c r="AB1791" i="11"/>
  <c r="AB1792" i="11"/>
  <c r="AB1793" i="11"/>
  <c r="AB1794" i="11"/>
  <c r="AB1795" i="11"/>
  <c r="AB1796" i="11"/>
  <c r="AB1797" i="11"/>
  <c r="AB1798" i="11"/>
  <c r="AB1799" i="11"/>
  <c r="AB1800" i="11"/>
  <c r="AB1801" i="11"/>
  <c r="AB1802" i="11"/>
  <c r="AB1803" i="11"/>
  <c r="AB1804" i="11"/>
  <c r="AB1805" i="11"/>
  <c r="AB1806" i="11"/>
  <c r="AB1807" i="11"/>
  <c r="AB1808" i="11"/>
  <c r="AB1809" i="11"/>
  <c r="AB1810" i="11"/>
  <c r="AB1811" i="11"/>
  <c r="AB1812" i="11"/>
  <c r="AB1813" i="11"/>
  <c r="AB1814" i="11"/>
  <c r="AB1815" i="11"/>
  <c r="AB1816" i="11"/>
  <c r="AB1817" i="11"/>
  <c r="AB1818" i="11"/>
  <c r="AB1819" i="11"/>
  <c r="AB1820" i="11"/>
  <c r="AB1821" i="11"/>
  <c r="AB1822" i="11"/>
  <c r="AB1823" i="11"/>
  <c r="AB1824" i="11"/>
  <c r="AB1825" i="11"/>
  <c r="AB1826" i="11"/>
  <c r="AB1827" i="11"/>
  <c r="AB1828" i="11"/>
  <c r="AB1829" i="11"/>
  <c r="AB1830" i="11"/>
  <c r="AB1831" i="11"/>
  <c r="AB1832" i="11"/>
  <c r="AB1833" i="11"/>
  <c r="AB1834" i="11"/>
  <c r="AB1835" i="11"/>
  <c r="AB1836" i="11"/>
  <c r="AB1837" i="11"/>
  <c r="AB1838" i="11"/>
  <c r="AB1839" i="11"/>
  <c r="AB1840" i="11"/>
  <c r="AB1841" i="11"/>
  <c r="AB1842" i="11"/>
  <c r="AB1843" i="11"/>
  <c r="AB1844" i="11"/>
  <c r="AB1845" i="11"/>
  <c r="AB1846" i="11"/>
  <c r="AB1847" i="11"/>
  <c r="AB1848" i="11"/>
  <c r="AB1849" i="11"/>
  <c r="AB1850" i="11"/>
  <c r="AB1851" i="11"/>
  <c r="AB1852" i="11"/>
  <c r="AB1853" i="11"/>
  <c r="AB1854" i="11"/>
  <c r="AB1855" i="11"/>
  <c r="AB1856" i="11"/>
  <c r="AB1857" i="11"/>
  <c r="AB1858" i="11"/>
  <c r="AB1859" i="11"/>
  <c r="AB1860" i="11"/>
  <c r="AB1861" i="11"/>
  <c r="AB1862" i="11"/>
  <c r="AB1863" i="11"/>
  <c r="AB1864" i="11"/>
  <c r="AB1865" i="11"/>
  <c r="AB1866" i="11"/>
  <c r="AB1867" i="11"/>
  <c r="AB1868" i="11"/>
  <c r="AB1869" i="11"/>
  <c r="AB1870" i="11"/>
  <c r="AB1871" i="11"/>
  <c r="AB1872" i="11"/>
  <c r="AB1873" i="11"/>
  <c r="AB1874" i="11"/>
  <c r="AB1875" i="11"/>
  <c r="AB1876" i="11"/>
  <c r="AB1877" i="11"/>
  <c r="AB1878" i="11"/>
  <c r="AB1879" i="11"/>
  <c r="AB1880" i="11"/>
  <c r="AB1881" i="11"/>
  <c r="AB1882" i="11"/>
  <c r="AB1883" i="11"/>
  <c r="AB1884" i="11"/>
  <c r="AB1885" i="11"/>
  <c r="AB1886" i="11"/>
  <c r="AB1887" i="11"/>
  <c r="AB1888" i="11"/>
  <c r="AB1889" i="11"/>
  <c r="AB1890" i="11"/>
  <c r="AB1891" i="11"/>
  <c r="AB1892" i="11"/>
  <c r="AB1893" i="11"/>
  <c r="AB1894" i="11"/>
  <c r="AB1895" i="11"/>
  <c r="AB1896" i="11"/>
  <c r="AB1897" i="11"/>
  <c r="AB1898" i="11"/>
  <c r="AB1899" i="11"/>
  <c r="AB1900" i="11"/>
  <c r="AB1901" i="11"/>
  <c r="AB1902" i="11"/>
  <c r="AB1903" i="11"/>
  <c r="AB1904" i="11"/>
  <c r="AB1905" i="11"/>
  <c r="AB1906" i="11"/>
  <c r="AB1907" i="11"/>
  <c r="AB1908" i="11"/>
  <c r="AB1909" i="11"/>
  <c r="AB1910" i="11"/>
  <c r="AB1911" i="11"/>
  <c r="AB1912" i="11"/>
  <c r="AB1913" i="11"/>
  <c r="AB1914" i="11"/>
  <c r="AB1915" i="11"/>
  <c r="AB1916" i="11"/>
  <c r="AB1917" i="11"/>
  <c r="AB1918" i="11"/>
  <c r="AB1919" i="11"/>
  <c r="AB1920" i="11"/>
  <c r="AB1921" i="11"/>
  <c r="AB1922" i="11"/>
  <c r="AB1923" i="11"/>
  <c r="AB1924" i="11"/>
  <c r="AB1925" i="11"/>
  <c r="AB1926" i="11"/>
  <c r="AB1927" i="11"/>
  <c r="AB1928" i="11"/>
  <c r="AB1929" i="11"/>
  <c r="AB1930" i="11"/>
  <c r="AB1931" i="11"/>
  <c r="AB1932" i="11"/>
  <c r="AB1933" i="11"/>
  <c r="AB1934" i="11"/>
  <c r="AB1935" i="11"/>
  <c r="AB1936" i="11"/>
  <c r="AB1937" i="11"/>
  <c r="AB1938" i="11"/>
  <c r="AB1939" i="11"/>
  <c r="AB1940" i="11"/>
  <c r="AB1941" i="11"/>
  <c r="AB1942" i="11"/>
  <c r="AB1943" i="11"/>
  <c r="AB1944" i="11"/>
  <c r="AB1945" i="11"/>
  <c r="AB1946" i="11"/>
  <c r="AB1947" i="11"/>
  <c r="AB1948" i="11"/>
  <c r="AB1949" i="11"/>
  <c r="AB1950" i="11"/>
  <c r="AB1951" i="11"/>
  <c r="AB1952" i="11"/>
  <c r="AB1953" i="11"/>
  <c r="AB1954" i="11"/>
  <c r="AB1955" i="11"/>
  <c r="AB1956" i="11"/>
  <c r="AB1957" i="11"/>
  <c r="AB1958" i="11"/>
  <c r="AB1959" i="11"/>
  <c r="AB1960" i="11"/>
  <c r="AB1961" i="11"/>
  <c r="AB1962" i="11"/>
  <c r="AB1963" i="11"/>
  <c r="AB1964" i="11"/>
  <c r="AB1965" i="11"/>
  <c r="AB1966" i="11"/>
  <c r="AB1967" i="11"/>
  <c r="AB1968" i="11"/>
  <c r="AB1969" i="11"/>
  <c r="AB1970" i="11"/>
  <c r="AB1971" i="11"/>
  <c r="AB1972" i="11"/>
  <c r="AB1973" i="11"/>
  <c r="AB1974" i="11"/>
  <c r="AB1975" i="11"/>
  <c r="AB1976" i="11"/>
  <c r="AB1977" i="11"/>
  <c r="AB1978" i="11"/>
  <c r="AB1979" i="11"/>
  <c r="AB1980" i="11"/>
  <c r="AB1981" i="11"/>
  <c r="AB1982" i="11"/>
  <c r="AB1983" i="11"/>
  <c r="AB1984" i="11"/>
  <c r="AB1985" i="11"/>
  <c r="AB1986" i="11"/>
  <c r="AB1987" i="11"/>
  <c r="AB1988" i="11"/>
  <c r="AB1989" i="11"/>
  <c r="AB1990" i="11"/>
  <c r="AB1991" i="11"/>
  <c r="AB1992" i="11"/>
  <c r="AB1993" i="11"/>
  <c r="AB1994" i="11"/>
  <c r="AB1995" i="11"/>
  <c r="AB1996" i="11"/>
  <c r="AB1997" i="11"/>
  <c r="AB1998" i="11"/>
  <c r="AB1999" i="11"/>
  <c r="AB2000" i="11"/>
  <c r="AB2001" i="11"/>
  <c r="AB2002" i="11"/>
  <c r="AB2003" i="11"/>
  <c r="AB2004" i="11"/>
  <c r="AB2005" i="11"/>
  <c r="AB2006" i="11"/>
  <c r="AB2007" i="11"/>
  <c r="AB2008" i="11"/>
  <c r="AB2009" i="11"/>
  <c r="AB2010" i="11"/>
  <c r="AB2011" i="11"/>
  <c r="AB2012" i="11"/>
  <c r="AB2013" i="11"/>
  <c r="AB2014" i="11"/>
  <c r="AB2015" i="11"/>
  <c r="AB2016" i="11"/>
  <c r="AB2017" i="11"/>
  <c r="AB2018" i="11"/>
  <c r="AB2019" i="11"/>
  <c r="AB2020" i="11"/>
  <c r="AB2021" i="11"/>
  <c r="AB2022" i="11"/>
  <c r="AB2023" i="11"/>
  <c r="AB2024" i="11"/>
  <c r="AB2025" i="11"/>
  <c r="AB2026" i="11"/>
  <c r="AB2027" i="11"/>
  <c r="AB2028" i="11"/>
  <c r="AB2029" i="11"/>
  <c r="AB2030" i="11"/>
  <c r="AB2031" i="11"/>
  <c r="AB2032" i="11"/>
  <c r="AB2033" i="11"/>
  <c r="AB2034" i="11"/>
  <c r="AB2035" i="11"/>
  <c r="AB2036" i="11"/>
  <c r="AB2037" i="11"/>
  <c r="AB2038" i="11"/>
  <c r="AB2039" i="11"/>
  <c r="AB2040" i="11"/>
  <c r="AB2041" i="11"/>
  <c r="AB2042" i="11"/>
  <c r="AB2043" i="11"/>
  <c r="AB2044" i="11"/>
  <c r="AB2045" i="11"/>
  <c r="AB2046" i="11"/>
  <c r="AB2047" i="11"/>
  <c r="AB2048" i="11"/>
  <c r="AB2049" i="11"/>
  <c r="AB2050" i="11"/>
  <c r="AB2051" i="11"/>
  <c r="AB2052" i="11"/>
  <c r="AB2053" i="11"/>
  <c r="AB2054" i="11"/>
  <c r="AB2055" i="11"/>
  <c r="AB2056" i="11"/>
  <c r="AB2057" i="11"/>
  <c r="AB2058" i="11"/>
  <c r="AB2059" i="11"/>
  <c r="AB2060" i="11"/>
  <c r="AB2061" i="11"/>
  <c r="AB2062" i="11"/>
  <c r="AB2063" i="11"/>
  <c r="AB2064" i="11"/>
  <c r="AB2065" i="11"/>
  <c r="AB2066" i="11"/>
  <c r="AB2067" i="11"/>
  <c r="AB2068" i="11"/>
  <c r="AB2069" i="11"/>
  <c r="AB2070" i="11"/>
  <c r="AB2071" i="11"/>
  <c r="AB2072" i="11"/>
  <c r="AB2073" i="11"/>
  <c r="AB2074" i="11"/>
  <c r="AB2075" i="11"/>
  <c r="AB2076" i="11"/>
  <c r="AB2077" i="11"/>
  <c r="AB2078" i="11"/>
  <c r="AB2079" i="11"/>
  <c r="AB2080" i="11"/>
  <c r="AB2081" i="11"/>
  <c r="AB2082" i="11"/>
  <c r="AB2083" i="11"/>
  <c r="AB2084" i="11"/>
  <c r="AB2085" i="11"/>
  <c r="AB2086" i="11"/>
  <c r="AB2087" i="11"/>
  <c r="AB2088" i="11"/>
  <c r="AB2089" i="11"/>
  <c r="AB2090" i="11"/>
  <c r="AB2091" i="11"/>
  <c r="AB2092" i="11"/>
  <c r="AB2093" i="11"/>
  <c r="AB2094" i="11"/>
  <c r="AB2095" i="11"/>
  <c r="AB2096" i="11"/>
  <c r="AB2097" i="11"/>
  <c r="AB2098" i="11"/>
  <c r="AB2099" i="11"/>
  <c r="AB2100" i="11"/>
  <c r="AB2101" i="11"/>
  <c r="AB2102" i="11"/>
  <c r="AB2103" i="11"/>
  <c r="AB2104" i="11"/>
  <c r="AB2105" i="11"/>
  <c r="AB2106" i="11"/>
  <c r="AB2107" i="11"/>
  <c r="AB2108" i="11"/>
  <c r="AB2109" i="11"/>
  <c r="AB2110" i="11"/>
  <c r="AB2111" i="11"/>
  <c r="AB2112" i="11"/>
  <c r="AB2113" i="11"/>
  <c r="AB2114" i="11"/>
  <c r="AB2115" i="11"/>
  <c r="AB2116" i="11"/>
  <c r="AB2117" i="11"/>
  <c r="AB2118" i="11"/>
  <c r="AB2119" i="11"/>
  <c r="AB2120" i="11"/>
  <c r="AB2121" i="11"/>
  <c r="AB2122" i="11"/>
  <c r="AB2123" i="11"/>
  <c r="AB2124" i="11"/>
  <c r="AB2125" i="11"/>
  <c r="AB2126" i="11"/>
  <c r="AB2127" i="11"/>
  <c r="AB2128" i="11"/>
  <c r="AB2129" i="11"/>
  <c r="AB2130" i="11"/>
  <c r="AB2131" i="11"/>
  <c r="AB2132" i="11"/>
  <c r="AB2133" i="11"/>
  <c r="AB2134" i="11"/>
  <c r="AB2135" i="11"/>
  <c r="AB2136" i="11"/>
  <c r="AB2137" i="11"/>
  <c r="AB2138" i="11"/>
  <c r="AB2139" i="11"/>
  <c r="AB2140" i="11"/>
  <c r="AB2141" i="11"/>
  <c r="AB2142" i="11"/>
  <c r="AB2143" i="11"/>
  <c r="AB2144" i="11"/>
  <c r="AB2145" i="11"/>
  <c r="AB2146" i="11"/>
  <c r="AB2147" i="11"/>
  <c r="AB2148" i="11"/>
  <c r="AB2149" i="11"/>
  <c r="AB2150" i="11"/>
  <c r="AB2151" i="11"/>
  <c r="AB2152" i="11"/>
  <c r="AB2153" i="11"/>
  <c r="AB2154" i="11"/>
  <c r="AB2155" i="11"/>
  <c r="AB2156" i="11"/>
  <c r="AB2157" i="11"/>
  <c r="AB2158" i="11"/>
  <c r="AB2159" i="11"/>
  <c r="AB2160" i="11"/>
  <c r="AB2161" i="11"/>
  <c r="AB2162" i="11"/>
  <c r="AB2163" i="11"/>
  <c r="AB2164" i="11"/>
  <c r="AB2165" i="11"/>
  <c r="AB2166" i="11"/>
  <c r="AB2167" i="11"/>
  <c r="AB2168" i="11"/>
  <c r="AB2169" i="11"/>
  <c r="AB2170" i="11"/>
  <c r="AB2171" i="11"/>
  <c r="AB2172" i="11"/>
  <c r="AB2173" i="11"/>
  <c r="AB2174" i="11"/>
  <c r="AB2175" i="11"/>
  <c r="AB2176" i="11"/>
  <c r="AB2177" i="11"/>
  <c r="AB2178" i="11"/>
  <c r="AB2179" i="11"/>
  <c r="AB2180" i="11"/>
  <c r="AB2181" i="11"/>
  <c r="AB2182" i="11"/>
  <c r="AB2183" i="11"/>
  <c r="AB2184" i="11"/>
  <c r="AB2185" i="11"/>
  <c r="AB2186" i="11"/>
  <c r="AB2187" i="11"/>
  <c r="AB2188" i="11"/>
  <c r="AB2189" i="11"/>
  <c r="AB2190" i="11"/>
  <c r="AB2191" i="11"/>
  <c r="AB2192" i="11"/>
  <c r="AB2193" i="11"/>
  <c r="AB2194" i="11"/>
  <c r="AB2195" i="11"/>
  <c r="AB2196" i="11"/>
  <c r="AB2197" i="11"/>
  <c r="AB2198" i="11"/>
  <c r="AB2199" i="11"/>
  <c r="AB2200" i="11"/>
  <c r="AB2201" i="11"/>
  <c r="AB2202" i="11"/>
  <c r="AB2203" i="11"/>
  <c r="AB2204" i="11"/>
  <c r="AB2205" i="11"/>
  <c r="AB2206" i="11"/>
  <c r="AB2207" i="11"/>
  <c r="AB2208" i="11"/>
  <c r="AB2209" i="11"/>
  <c r="AB2210" i="11"/>
  <c r="AB2211" i="11"/>
  <c r="AB2212" i="11"/>
  <c r="AB2213" i="11"/>
  <c r="AB2214" i="11"/>
  <c r="AB2215" i="11"/>
  <c r="AB2216" i="11"/>
  <c r="AB2217" i="11"/>
  <c r="AB2218" i="11"/>
  <c r="AB2219" i="11"/>
  <c r="AB2220" i="11"/>
  <c r="AB2221" i="11"/>
  <c r="AB2222" i="11"/>
  <c r="AB2223" i="11"/>
  <c r="AB2224" i="11"/>
  <c r="AB2225" i="11"/>
  <c r="AB2226" i="11"/>
  <c r="AB2227" i="11"/>
  <c r="AB2228" i="11"/>
  <c r="AB2229" i="11"/>
  <c r="AB2230" i="11"/>
  <c r="AB2231" i="11"/>
  <c r="AB2232" i="11"/>
  <c r="AB2233" i="11"/>
  <c r="AB2234" i="11"/>
  <c r="AB2235" i="11"/>
  <c r="AB2236" i="11"/>
  <c r="AB2237" i="11"/>
  <c r="AB2238" i="11"/>
  <c r="AB2239" i="11"/>
  <c r="AB2240" i="11"/>
  <c r="AB2241" i="11"/>
  <c r="AB2242" i="11"/>
  <c r="AB2243" i="11"/>
  <c r="AB2244" i="11"/>
  <c r="AB2245" i="11"/>
  <c r="AB2246" i="11"/>
  <c r="AB2247" i="11"/>
  <c r="AB2248" i="11"/>
  <c r="AB2249" i="11"/>
  <c r="AB2250" i="11"/>
  <c r="AB2251" i="11"/>
  <c r="AB2252" i="11"/>
  <c r="AB2253" i="11"/>
  <c r="AB2254" i="11"/>
  <c r="AB2255" i="11"/>
  <c r="AB2256" i="11"/>
  <c r="AB2257" i="11"/>
  <c r="AB2258" i="11"/>
  <c r="AB2259" i="11"/>
  <c r="AB2260" i="11"/>
  <c r="AB2261" i="11"/>
  <c r="AB2262" i="11"/>
  <c r="AB2263" i="11"/>
  <c r="AB2264" i="11"/>
  <c r="AB2265" i="11"/>
  <c r="AB2266" i="11"/>
  <c r="AB2267" i="11"/>
  <c r="AB2268" i="11"/>
  <c r="AB2269" i="11"/>
  <c r="AB2270" i="11"/>
  <c r="AB2271" i="11"/>
  <c r="AB2272" i="11"/>
  <c r="AB2273" i="11"/>
  <c r="AB2274" i="11"/>
  <c r="AB2275" i="11"/>
  <c r="AB2276" i="11"/>
  <c r="AB2277" i="11"/>
  <c r="AB2278" i="11"/>
  <c r="AB2279" i="11"/>
  <c r="AB2280" i="11"/>
  <c r="AB2281" i="11"/>
  <c r="AB2282" i="11"/>
  <c r="AB2283" i="11"/>
  <c r="AB2284" i="11"/>
  <c r="AB2285" i="11"/>
  <c r="AB2286" i="11"/>
  <c r="AB2287" i="11"/>
  <c r="AB2288" i="11"/>
  <c r="AB2289" i="11"/>
  <c r="AB2290" i="11"/>
  <c r="AB2291" i="11"/>
  <c r="AB2292" i="11"/>
  <c r="AB2293" i="11"/>
  <c r="AB2294" i="11"/>
  <c r="AB2295" i="11"/>
  <c r="AB2296" i="11"/>
  <c r="AB2297" i="11"/>
  <c r="AB2298" i="11"/>
  <c r="AB2299" i="11"/>
  <c r="AB2300" i="11"/>
  <c r="AB2301" i="11"/>
  <c r="AB2302" i="11"/>
  <c r="AB2303" i="11"/>
  <c r="AB2304" i="11"/>
  <c r="AB2305" i="11"/>
  <c r="AB2306" i="11"/>
  <c r="AB2307" i="11"/>
  <c r="AB2308" i="11"/>
  <c r="AB2309" i="11"/>
  <c r="AB2310" i="11"/>
  <c r="AB2311" i="11"/>
  <c r="AB2312" i="11"/>
  <c r="AB2313" i="11"/>
  <c r="AB2314" i="11"/>
  <c r="AB2315" i="11"/>
  <c r="AB2316" i="11"/>
  <c r="AB2317" i="11"/>
  <c r="AB2318" i="11"/>
  <c r="AB2319" i="11"/>
  <c r="AB2320" i="11"/>
  <c r="AB2321" i="11"/>
  <c r="AB2322" i="11"/>
  <c r="AB2323" i="11"/>
  <c r="AB2324" i="11"/>
  <c r="AB2325" i="11"/>
  <c r="AB2326" i="11"/>
  <c r="AB2327" i="11"/>
  <c r="AB2328" i="11"/>
  <c r="AB2329" i="11"/>
  <c r="AB2330" i="11"/>
  <c r="AB2331" i="11"/>
  <c r="AB2332" i="11"/>
  <c r="AB2333" i="11"/>
  <c r="AB2334" i="11"/>
  <c r="AB2335" i="11"/>
  <c r="AB2336" i="11"/>
  <c r="AB2337" i="11"/>
  <c r="AB2338" i="11"/>
  <c r="AB2339" i="11"/>
  <c r="AB2340" i="11"/>
  <c r="AB2341" i="11"/>
  <c r="AB2342" i="11"/>
  <c r="AB2343" i="11"/>
  <c r="AB2344" i="11"/>
  <c r="AB2345" i="11"/>
  <c r="AB2346" i="11"/>
  <c r="AB2347" i="11"/>
  <c r="AB2348" i="11"/>
  <c r="AB2349" i="11"/>
  <c r="AB2350" i="11"/>
  <c r="AB2351" i="11"/>
  <c r="AB2352" i="11"/>
  <c r="AB2353" i="11"/>
  <c r="AB2354" i="11"/>
  <c r="AB2355" i="11"/>
  <c r="AB2356" i="11"/>
  <c r="AB2357" i="11"/>
  <c r="AB2358" i="11"/>
  <c r="AB2359" i="11"/>
  <c r="AB2360" i="11"/>
  <c r="AB2361" i="11"/>
  <c r="AB2362" i="11"/>
  <c r="AB2363" i="11"/>
  <c r="AB2364" i="11"/>
  <c r="AB2365" i="11"/>
  <c r="AB2366" i="11"/>
  <c r="AB2367" i="11"/>
  <c r="AB2368" i="11"/>
  <c r="AB2369" i="11"/>
  <c r="AB2370" i="11"/>
  <c r="AB2371" i="11"/>
  <c r="AB2372" i="11"/>
  <c r="AB2373" i="11"/>
  <c r="AB2374" i="11"/>
  <c r="AB2375" i="11"/>
  <c r="AB2376" i="11"/>
  <c r="AB2377" i="11"/>
  <c r="AB2378" i="11"/>
  <c r="AB2379" i="11"/>
  <c r="AB2380" i="11"/>
  <c r="AB2381" i="11"/>
  <c r="AB2382" i="11"/>
  <c r="AB2383" i="11"/>
  <c r="AB2384" i="11"/>
  <c r="AB2385" i="11"/>
  <c r="AB2386" i="11"/>
  <c r="AB2387" i="11"/>
  <c r="AB2388" i="11"/>
  <c r="AB2389" i="11"/>
  <c r="AB2390" i="11"/>
  <c r="AB2391" i="11"/>
  <c r="AB2392" i="11"/>
  <c r="AB2393" i="11"/>
  <c r="AB2394" i="11"/>
  <c r="AB2395" i="11"/>
  <c r="AB2396" i="11"/>
  <c r="AB2397" i="11"/>
  <c r="AB2398" i="11"/>
  <c r="AB2399" i="11"/>
  <c r="AB2400" i="11"/>
  <c r="AB2401" i="11"/>
  <c r="AB2402" i="11"/>
  <c r="AB2403" i="11"/>
  <c r="AB2404" i="11"/>
  <c r="AB2405" i="11"/>
  <c r="AB2406" i="11"/>
  <c r="AB2407" i="11"/>
  <c r="AB2408" i="11"/>
  <c r="AB2409" i="11"/>
  <c r="AB2410" i="11"/>
  <c r="AB2411" i="11"/>
  <c r="AB2412" i="11"/>
  <c r="AB2413" i="11"/>
  <c r="AB2414" i="11"/>
  <c r="AB2415" i="11"/>
  <c r="AB2416" i="11"/>
  <c r="AB2417" i="11"/>
  <c r="AB2418" i="11"/>
  <c r="AB2419" i="11"/>
  <c r="AB2420" i="11"/>
  <c r="AB2421" i="11"/>
  <c r="AB2422" i="11"/>
  <c r="AB2423" i="11"/>
  <c r="AB2424" i="11"/>
  <c r="AB2425" i="11"/>
  <c r="AB2426" i="11"/>
  <c r="AB2427" i="11"/>
  <c r="AB2428" i="11"/>
  <c r="AB2429" i="11"/>
  <c r="AB2430" i="11"/>
  <c r="AB2431" i="11"/>
  <c r="AB2432" i="11"/>
  <c r="AB2433" i="11"/>
  <c r="AB2434" i="11"/>
  <c r="AB2435" i="11"/>
  <c r="AB2436" i="11"/>
  <c r="AB2437" i="11"/>
  <c r="AB2438" i="11"/>
  <c r="AB2439" i="11"/>
  <c r="AB2440" i="11"/>
  <c r="AB2441" i="11"/>
  <c r="AB2442" i="11"/>
  <c r="AB2443" i="11"/>
  <c r="AB2444" i="11"/>
  <c r="AB2445" i="11"/>
  <c r="AB2446" i="11"/>
  <c r="AB2447" i="11"/>
  <c r="AB2448" i="11"/>
  <c r="AB2449" i="11"/>
  <c r="AB2450" i="11"/>
  <c r="AB2451" i="11"/>
  <c r="AB2452" i="11"/>
  <c r="AB2453" i="11"/>
  <c r="AB2454" i="11"/>
  <c r="AB2455" i="11"/>
  <c r="AB2456" i="11"/>
  <c r="AB2457" i="11"/>
  <c r="AB2458" i="11"/>
  <c r="AB2459" i="11"/>
  <c r="AB2460" i="11"/>
  <c r="AB2461" i="11"/>
  <c r="AB2462" i="11"/>
  <c r="AB2463" i="11"/>
  <c r="AB2464" i="11"/>
  <c r="AB2465" i="11"/>
  <c r="AB2466" i="11"/>
  <c r="AB2467" i="11"/>
  <c r="AB2468" i="11"/>
  <c r="AB2469" i="11"/>
  <c r="AB2470" i="11"/>
  <c r="AB2471" i="11"/>
  <c r="AB2472" i="11"/>
  <c r="AB2473" i="11"/>
  <c r="AB2474" i="11"/>
  <c r="AB2475" i="11"/>
  <c r="AB2476" i="11"/>
  <c r="AB2477" i="11"/>
  <c r="AB2478" i="11"/>
  <c r="AB2479" i="11"/>
  <c r="AB2480" i="11"/>
  <c r="AB2481" i="11"/>
  <c r="AB2482" i="11"/>
  <c r="AB2483" i="11"/>
  <c r="AB2484" i="11"/>
  <c r="AB2485" i="11"/>
  <c r="AB2486" i="11"/>
  <c r="AB2487" i="11"/>
  <c r="AB2488" i="11"/>
  <c r="AB2489" i="11"/>
  <c r="AB2490" i="11"/>
  <c r="AB2491" i="11"/>
  <c r="AB2492" i="11"/>
  <c r="AB2493" i="11"/>
  <c r="AB2494" i="11"/>
  <c r="AB2495" i="11"/>
  <c r="AB2496" i="11"/>
  <c r="AB2497" i="11"/>
  <c r="AB2498" i="11"/>
  <c r="AB2499" i="11"/>
  <c r="AB2500" i="11"/>
  <c r="AB2501" i="11"/>
  <c r="AB2502" i="11"/>
  <c r="AB2503" i="11"/>
  <c r="AB2504" i="11"/>
  <c r="AB2505" i="11"/>
  <c r="AB2506" i="11"/>
  <c r="AB2507" i="11"/>
  <c r="AB2508" i="11"/>
  <c r="AB2509" i="11"/>
  <c r="AB2510" i="11"/>
  <c r="AB2511" i="11"/>
  <c r="AB2512" i="11"/>
  <c r="AB2513" i="11"/>
  <c r="AB2514" i="11"/>
  <c r="AB2515" i="11"/>
  <c r="AB2516" i="11"/>
  <c r="AB2517" i="11"/>
  <c r="AB2518" i="11"/>
  <c r="AB2519" i="11"/>
  <c r="AB2520" i="11"/>
  <c r="AB2521" i="11"/>
  <c r="AB2522" i="11"/>
  <c r="AB2523" i="11"/>
  <c r="AB2524" i="11"/>
  <c r="AB2525" i="11"/>
  <c r="AB2526" i="11"/>
  <c r="AB2527" i="11"/>
  <c r="AB2528" i="11"/>
  <c r="AB2529" i="11"/>
  <c r="AB2530" i="11"/>
  <c r="AB2531" i="11"/>
  <c r="AB2532" i="11"/>
  <c r="AB2533" i="11"/>
  <c r="AB2534" i="11"/>
  <c r="AB2535" i="11"/>
  <c r="AB2536" i="11"/>
  <c r="AB2537" i="11"/>
  <c r="AB2538" i="11"/>
  <c r="AB2539" i="11"/>
  <c r="AB2540" i="11"/>
  <c r="AB2541" i="11"/>
  <c r="AB2542" i="11"/>
  <c r="AB2543" i="11"/>
  <c r="AB2544" i="11"/>
  <c r="AB2545" i="11"/>
  <c r="AB2546" i="11"/>
  <c r="AB2547" i="11"/>
  <c r="AB2548" i="11"/>
  <c r="AB2549" i="11"/>
  <c r="AB2550" i="11"/>
  <c r="AB2551" i="11"/>
  <c r="AB2552" i="11"/>
  <c r="AB2553" i="11"/>
  <c r="AB2554" i="11"/>
  <c r="AB2555" i="11"/>
  <c r="AB2556" i="11"/>
  <c r="AB2557" i="11"/>
  <c r="AB2558" i="11"/>
  <c r="AB2559" i="11"/>
  <c r="AB2560" i="11"/>
  <c r="AB2561" i="11"/>
  <c r="AB2562" i="11"/>
  <c r="AB2563" i="11"/>
  <c r="AB2564" i="11"/>
  <c r="AB2565" i="11"/>
  <c r="AB2566" i="11"/>
  <c r="AB2567" i="11"/>
  <c r="AB2568" i="11"/>
  <c r="AB2569" i="11"/>
  <c r="AB2570" i="11"/>
  <c r="AB2571" i="11"/>
  <c r="AB2572" i="11"/>
  <c r="AB2573" i="11"/>
  <c r="AB2574" i="11"/>
  <c r="AB2575" i="11"/>
  <c r="AB2576" i="11"/>
  <c r="AB2577" i="11"/>
  <c r="AB2578" i="11"/>
  <c r="AB2579" i="11"/>
  <c r="AB2580" i="11"/>
  <c r="AB2581" i="11"/>
  <c r="AB2582" i="11"/>
  <c r="AB2583" i="11"/>
  <c r="AB2584" i="11"/>
  <c r="AB2585" i="11"/>
  <c r="AB2586" i="11"/>
  <c r="AB2587" i="11"/>
  <c r="AB2588" i="11"/>
  <c r="AB2589" i="11"/>
  <c r="AB2590" i="11"/>
  <c r="AB2591" i="11"/>
  <c r="AB2592" i="11"/>
  <c r="AB2593" i="11"/>
  <c r="AB2594" i="11"/>
  <c r="AB2595" i="11"/>
  <c r="AB2596" i="11"/>
  <c r="AB2597" i="11"/>
  <c r="AB2598" i="11"/>
  <c r="AB2599" i="11"/>
  <c r="AB2600" i="11"/>
  <c r="AB2601" i="11"/>
  <c r="AB2602" i="11"/>
  <c r="AB2603" i="11"/>
  <c r="AB2604" i="11"/>
  <c r="AB2605" i="11"/>
  <c r="AB2606" i="11"/>
  <c r="AB2607" i="11"/>
  <c r="AB2608" i="11"/>
  <c r="AB2609" i="11"/>
  <c r="AB2610" i="11"/>
  <c r="AB2611" i="11"/>
  <c r="AB2612" i="11"/>
  <c r="AB2613" i="11"/>
  <c r="AB2614" i="11"/>
  <c r="AB2615" i="11"/>
  <c r="AB2616" i="11"/>
  <c r="AB2617" i="11"/>
  <c r="AB2618" i="11"/>
  <c r="AB2619" i="11"/>
  <c r="AB2620" i="11"/>
  <c r="AB2621" i="11"/>
  <c r="AB2622" i="11"/>
  <c r="AB2623" i="11"/>
  <c r="AB2624" i="11"/>
  <c r="AB2625" i="11"/>
  <c r="AB2626" i="11"/>
  <c r="AB2627" i="11"/>
  <c r="AB2628" i="11"/>
  <c r="AB2629" i="11"/>
  <c r="AB2630" i="11"/>
  <c r="AB2631" i="11"/>
  <c r="AB2632" i="11"/>
  <c r="AB2633" i="11"/>
  <c r="AB2634" i="11"/>
  <c r="AB2635" i="11"/>
  <c r="AB2636" i="11"/>
  <c r="AB2637" i="11"/>
  <c r="AB2638" i="11"/>
  <c r="AB2639" i="11"/>
  <c r="AB2640" i="11"/>
  <c r="AB2641" i="11"/>
  <c r="AB2642" i="11"/>
  <c r="AB2643" i="11"/>
  <c r="AB2644" i="11"/>
  <c r="AB2645" i="11"/>
  <c r="AB2646" i="11"/>
  <c r="AB2647" i="11"/>
  <c r="AB2648" i="11"/>
  <c r="AB2649" i="11"/>
  <c r="AB2650" i="11"/>
  <c r="AB2651" i="11"/>
  <c r="AB2652" i="11"/>
  <c r="AB2653" i="11"/>
  <c r="AB2654" i="11"/>
  <c r="AB2655" i="11"/>
  <c r="AB2656" i="11"/>
  <c r="AB2657" i="11"/>
  <c r="AB2658" i="11"/>
  <c r="AB2659" i="11"/>
  <c r="AB2660" i="11"/>
  <c r="AB2661" i="11"/>
  <c r="AB2662" i="11"/>
  <c r="AB2663" i="11"/>
  <c r="AB2664" i="11"/>
  <c r="AB2665" i="11"/>
  <c r="AB2666" i="11"/>
  <c r="AB2667" i="11"/>
  <c r="AB2668" i="11"/>
  <c r="AB2669" i="11"/>
  <c r="AB2670" i="11"/>
  <c r="AB2671" i="11"/>
  <c r="AB2672" i="11"/>
  <c r="AB2673" i="11"/>
  <c r="AB2674" i="11"/>
  <c r="AB2675" i="11"/>
  <c r="AB2676" i="11"/>
  <c r="AB2677" i="11"/>
  <c r="AB2678" i="11"/>
  <c r="AB2679" i="11"/>
  <c r="AB2680" i="11"/>
  <c r="AB2681" i="11"/>
  <c r="AB2682" i="11"/>
  <c r="AB2683" i="11"/>
  <c r="AB2684" i="11"/>
  <c r="AB2685" i="11"/>
  <c r="AB2686" i="11"/>
  <c r="AB2687" i="11"/>
  <c r="AB2688" i="11"/>
  <c r="AB2689" i="11"/>
  <c r="AB2690" i="11"/>
  <c r="AB2691" i="11"/>
  <c r="AB2692" i="11"/>
  <c r="AB2693" i="11"/>
  <c r="AB2694" i="11"/>
  <c r="AB2695" i="11"/>
  <c r="AB2696" i="11"/>
  <c r="AB2697" i="11"/>
  <c r="AB2698" i="11"/>
  <c r="AB2699" i="11"/>
  <c r="AB2700" i="11"/>
  <c r="AB2701" i="11"/>
  <c r="AB2702" i="11"/>
  <c r="AB2703" i="11"/>
  <c r="AB2704" i="11"/>
  <c r="AB2705" i="11"/>
  <c r="AB2706" i="11"/>
  <c r="AB2707" i="11"/>
  <c r="AB2708" i="11"/>
  <c r="AB2709" i="11"/>
  <c r="AB2710" i="11"/>
  <c r="AB2711" i="11"/>
  <c r="AB2712" i="11"/>
  <c r="AB2713" i="11"/>
  <c r="AB2714" i="11"/>
  <c r="AB2715" i="11"/>
  <c r="AB2716" i="11"/>
  <c r="AB2717" i="11"/>
  <c r="AB2718" i="11"/>
  <c r="AB2719" i="11"/>
  <c r="AB2720" i="11"/>
  <c r="AB2721" i="11"/>
  <c r="AB2722" i="11"/>
  <c r="AB2723" i="11"/>
  <c r="AB2724" i="11"/>
  <c r="AB2725" i="11"/>
  <c r="AB2726" i="11"/>
  <c r="AB2727" i="11"/>
  <c r="AB2728" i="11"/>
  <c r="AB2729" i="11"/>
  <c r="AB2730" i="11"/>
  <c r="AB2731" i="11"/>
  <c r="AB2732" i="11"/>
  <c r="AB2733" i="11"/>
  <c r="AB2734" i="11"/>
  <c r="AB2735" i="11"/>
  <c r="AB2736" i="11"/>
  <c r="AB2737" i="11"/>
  <c r="AB2738" i="11"/>
  <c r="AB2739" i="11"/>
  <c r="AB2740" i="11"/>
  <c r="AB2741" i="11"/>
  <c r="AB2742" i="11"/>
  <c r="AB2743" i="11"/>
  <c r="AB2744" i="11"/>
  <c r="AB2745" i="11"/>
  <c r="AB2746" i="11"/>
  <c r="AB2747" i="11"/>
  <c r="AB2748" i="11"/>
  <c r="AB2749" i="11"/>
  <c r="AB2750" i="11"/>
  <c r="AB2751" i="11"/>
  <c r="AB2752" i="11"/>
  <c r="AB2753" i="11"/>
  <c r="AB2754" i="11"/>
  <c r="AB2755" i="11"/>
  <c r="AB2756" i="11"/>
  <c r="AB2757" i="11"/>
  <c r="AB2758" i="11"/>
  <c r="AB2759" i="11"/>
  <c r="AB2760" i="11"/>
  <c r="AB2761" i="11"/>
  <c r="AB2762" i="11"/>
  <c r="AB2763" i="11"/>
  <c r="AB2764" i="11"/>
  <c r="AB2765" i="11"/>
  <c r="AB2766" i="11"/>
  <c r="AB2767" i="11"/>
  <c r="AB2768" i="11"/>
  <c r="AB2769" i="11"/>
  <c r="AB2770" i="11"/>
  <c r="AB2771" i="11"/>
  <c r="AB2772" i="11"/>
  <c r="AB2773" i="11"/>
  <c r="AB2774" i="11"/>
  <c r="AB2775" i="11"/>
  <c r="AB2776" i="11"/>
  <c r="AB2777" i="11"/>
  <c r="AB2778" i="11"/>
  <c r="AB2779" i="11"/>
  <c r="AB2780" i="11"/>
  <c r="AB2781" i="11"/>
  <c r="AB2782" i="11"/>
  <c r="AB2783" i="11"/>
  <c r="AB2784" i="11"/>
  <c r="AB2785" i="11"/>
  <c r="AB2786" i="11"/>
  <c r="AB2787" i="11"/>
  <c r="AB2788" i="11"/>
  <c r="AB2789" i="11"/>
  <c r="AB2790" i="11"/>
  <c r="AB2791" i="11"/>
  <c r="AB2792" i="11"/>
  <c r="AB2793" i="11"/>
  <c r="AB2794" i="11"/>
  <c r="AB2795" i="11"/>
  <c r="AB2796" i="11"/>
  <c r="AB2797" i="11"/>
  <c r="AB2798" i="11"/>
  <c r="AB2799" i="11"/>
  <c r="AB2800" i="11"/>
  <c r="AB2801" i="11"/>
  <c r="AB2802" i="11"/>
  <c r="AB2803" i="11"/>
  <c r="AB2804" i="11"/>
  <c r="AB2805" i="11"/>
  <c r="AB2806" i="11"/>
  <c r="AB2807" i="11"/>
  <c r="AB2808" i="11"/>
  <c r="AB2809" i="11"/>
  <c r="AB2810" i="11"/>
  <c r="AB2811" i="11"/>
  <c r="AB2812" i="11"/>
  <c r="AB2813" i="11"/>
  <c r="AB2814" i="11"/>
  <c r="AB2815" i="11"/>
  <c r="AB2816" i="11"/>
  <c r="AB2817" i="11"/>
  <c r="AB2818" i="11"/>
  <c r="AB2819" i="11"/>
  <c r="AB2820" i="11"/>
  <c r="AB2821" i="11"/>
  <c r="AB2822" i="11"/>
  <c r="AB2823" i="11"/>
  <c r="AB2824" i="11"/>
  <c r="AB2825" i="11"/>
  <c r="AB2826" i="11"/>
  <c r="AB2827" i="11"/>
  <c r="AB2828" i="11"/>
  <c r="AB2829" i="11"/>
  <c r="AB2830" i="11"/>
  <c r="AB2831" i="11"/>
  <c r="AB2832" i="11"/>
  <c r="AB2833" i="11"/>
  <c r="AB2834" i="11"/>
  <c r="AB2835" i="11"/>
  <c r="AB2836" i="11"/>
  <c r="AB2837" i="11"/>
  <c r="AB2838" i="11"/>
  <c r="AB2839" i="11"/>
  <c r="AB2840" i="11"/>
  <c r="AB2841" i="11"/>
  <c r="AB2842" i="11"/>
  <c r="AB2843" i="11"/>
  <c r="AB2844" i="11"/>
  <c r="AB2845" i="11"/>
  <c r="AB2846" i="11"/>
  <c r="AB2847" i="11"/>
  <c r="AB2848" i="11"/>
  <c r="AB2849" i="11"/>
  <c r="AB2850" i="11"/>
  <c r="AB2851" i="11"/>
  <c r="AB2852" i="11"/>
  <c r="AB2853" i="11"/>
  <c r="AB2854" i="11"/>
  <c r="AB2855" i="11"/>
  <c r="AB2856" i="11"/>
  <c r="AB2857" i="11"/>
  <c r="AB2858" i="11"/>
  <c r="AB2859" i="11"/>
  <c r="AB2860" i="11"/>
  <c r="AB2861" i="11"/>
  <c r="AB2862" i="11"/>
  <c r="AB2863" i="11"/>
  <c r="AB2864" i="11"/>
  <c r="AB2865" i="11"/>
  <c r="AB2866" i="11"/>
  <c r="AB2867" i="11"/>
  <c r="AB2868" i="11"/>
  <c r="AB2869" i="11"/>
  <c r="AB2870" i="11"/>
  <c r="AB2871" i="11"/>
  <c r="AB2872" i="11"/>
  <c r="AB2873" i="11"/>
  <c r="AB2874" i="11"/>
  <c r="AB2875" i="11"/>
  <c r="AB2876" i="11"/>
  <c r="AB2877" i="11"/>
  <c r="AB2878" i="11"/>
  <c r="AB2879" i="11"/>
  <c r="AB2880" i="11"/>
  <c r="AB2881" i="11"/>
  <c r="AB2882" i="11"/>
  <c r="AB2883" i="11"/>
  <c r="AB2884" i="11"/>
  <c r="AB2885" i="11"/>
  <c r="AB2886" i="11"/>
  <c r="AB2887" i="11"/>
  <c r="AB2888" i="11"/>
  <c r="AB2889" i="11"/>
  <c r="AB2890" i="11"/>
  <c r="AB2891" i="11"/>
  <c r="AB2892" i="11"/>
  <c r="AB2893" i="11"/>
  <c r="AB2894" i="11"/>
  <c r="AB2895" i="11"/>
  <c r="AB2896" i="11"/>
  <c r="AB2897" i="11"/>
  <c r="AB2898" i="11"/>
  <c r="AB2899" i="11"/>
  <c r="AB2900" i="11"/>
  <c r="AB2901" i="11"/>
  <c r="AB2902" i="11"/>
  <c r="AB2903" i="11"/>
  <c r="AB2904" i="11"/>
  <c r="AB2905" i="11"/>
  <c r="AB2906" i="11"/>
  <c r="AB2907" i="11"/>
  <c r="AB2908" i="11"/>
  <c r="AB2909" i="11"/>
  <c r="AB2910" i="11"/>
  <c r="AB2911" i="11"/>
  <c r="AB2912" i="11"/>
  <c r="AB2913" i="11"/>
  <c r="AB2914" i="11"/>
  <c r="AB2915" i="11"/>
  <c r="AB2916" i="11"/>
  <c r="AB2917" i="11"/>
  <c r="AB2918" i="11"/>
  <c r="AB2919" i="11"/>
  <c r="AB2920" i="11"/>
  <c r="AB2921" i="11"/>
  <c r="AB2922" i="11"/>
  <c r="AB2923" i="11"/>
  <c r="AB2924" i="11"/>
  <c r="AB2925" i="11"/>
  <c r="AB2926" i="11"/>
  <c r="AB2927" i="11"/>
  <c r="AB2928" i="11"/>
  <c r="AB2929" i="11"/>
  <c r="AB2930" i="11"/>
  <c r="AB2931" i="11"/>
  <c r="AB2932" i="11"/>
  <c r="AB2933" i="11"/>
  <c r="AB2934" i="11"/>
  <c r="AB2935" i="11"/>
  <c r="AB2936" i="11"/>
  <c r="AB2937" i="11"/>
  <c r="AB2938" i="11"/>
  <c r="AB2939" i="11"/>
  <c r="AB2940" i="11"/>
  <c r="AB2941" i="11"/>
  <c r="AB2942" i="11"/>
  <c r="AB2943" i="11"/>
  <c r="AB2944" i="11"/>
  <c r="AB2945" i="11"/>
  <c r="AB2946" i="11"/>
  <c r="AB2947" i="11"/>
  <c r="AB2948" i="11"/>
  <c r="AB2949" i="11"/>
  <c r="AB2950" i="11"/>
  <c r="AB2951" i="11"/>
  <c r="AB2952" i="11"/>
  <c r="AB2953" i="11"/>
  <c r="AB2954" i="11"/>
  <c r="AB2955" i="11"/>
  <c r="AB2956" i="11"/>
  <c r="AB2957" i="11"/>
  <c r="AB2958" i="11"/>
  <c r="AB2959" i="11"/>
  <c r="AB2960" i="11"/>
  <c r="AB2961" i="11"/>
  <c r="AB2962" i="11"/>
  <c r="AB2963" i="11"/>
  <c r="AB2964" i="11"/>
  <c r="AB2965" i="11"/>
  <c r="AB2966" i="11"/>
  <c r="AB2967" i="11"/>
  <c r="AB2968" i="11"/>
  <c r="AB2969" i="11"/>
  <c r="AB2970" i="11"/>
  <c r="AB2971" i="11"/>
  <c r="AB2972" i="11"/>
  <c r="AB2973" i="11"/>
  <c r="AB2974" i="11"/>
  <c r="AB2975" i="11"/>
  <c r="AB2976" i="11"/>
  <c r="AB2977" i="11"/>
  <c r="AB2978" i="11"/>
  <c r="AB2979" i="11"/>
  <c r="AB2980" i="11"/>
  <c r="AB2981" i="11"/>
  <c r="AB2982" i="11"/>
  <c r="AB2983" i="11"/>
  <c r="AB2984" i="11"/>
  <c r="AB2985" i="11"/>
  <c r="AB2986" i="11"/>
  <c r="AB2987" i="11"/>
  <c r="AB2988" i="11"/>
  <c r="AB2989" i="11"/>
  <c r="AB2990" i="11"/>
  <c r="AB2991" i="11"/>
  <c r="AB2992" i="11"/>
  <c r="AB2993" i="11"/>
  <c r="AB2994" i="11"/>
  <c r="AB2995" i="11"/>
  <c r="AB2996" i="11"/>
  <c r="AB2997" i="11"/>
  <c r="AB2998" i="11"/>
  <c r="AB2999" i="11"/>
  <c r="AB3000" i="11"/>
  <c r="AB3001" i="11"/>
  <c r="AB3002" i="11"/>
  <c r="AB3003" i="11"/>
  <c r="AB3004" i="11"/>
  <c r="AB3005" i="11"/>
  <c r="AB3006" i="11"/>
  <c r="AB3007" i="11"/>
  <c r="AB3008" i="11"/>
  <c r="AB3009" i="11"/>
  <c r="AB3010" i="11"/>
  <c r="AB3011" i="11"/>
  <c r="AB3012" i="11"/>
  <c r="AB3013" i="11"/>
  <c r="AB3014" i="11"/>
  <c r="AB3015" i="11"/>
  <c r="AB3016" i="11"/>
  <c r="AB3017" i="11"/>
  <c r="AB3018" i="11"/>
  <c r="AB3019" i="11"/>
  <c r="AB3020" i="11"/>
  <c r="AB3021" i="11"/>
  <c r="AB3022" i="11"/>
  <c r="AB3023" i="11"/>
  <c r="AB3024" i="11"/>
  <c r="AB3025" i="11"/>
  <c r="AB3026" i="11"/>
  <c r="AB3027" i="11"/>
  <c r="AB3028" i="11"/>
  <c r="AB3029" i="11"/>
  <c r="AB3030" i="11"/>
  <c r="AB3031" i="11"/>
  <c r="AB3032" i="11"/>
  <c r="AB3033" i="11"/>
  <c r="AB3034" i="11"/>
  <c r="AB3035" i="11"/>
  <c r="AB3036" i="11"/>
  <c r="AB3037" i="11"/>
  <c r="AB3038" i="11"/>
  <c r="AB3039" i="11"/>
  <c r="AB3040" i="11"/>
  <c r="AB3041" i="11"/>
  <c r="AB3042" i="11"/>
  <c r="AB3043" i="11"/>
  <c r="AB3044" i="11"/>
  <c r="AB3045" i="11"/>
  <c r="AB3046" i="11"/>
  <c r="AB3047" i="11"/>
  <c r="AB3048" i="11"/>
  <c r="AB3049" i="11"/>
  <c r="AB3050" i="11"/>
  <c r="AB3051" i="11"/>
  <c r="AB3052" i="11"/>
  <c r="AB3053" i="11"/>
  <c r="AB3054" i="11"/>
  <c r="AB3055" i="11"/>
  <c r="AB3056" i="11"/>
  <c r="AB3057" i="11"/>
  <c r="AB3058" i="11"/>
  <c r="AB3059" i="11"/>
  <c r="AB3060" i="11"/>
  <c r="AB3061" i="11"/>
  <c r="AB3062" i="11"/>
  <c r="AB3063" i="11"/>
  <c r="AB3064" i="11"/>
  <c r="AB3065" i="11"/>
  <c r="AB3066" i="11"/>
  <c r="AB3067" i="11"/>
  <c r="AB3068" i="11"/>
  <c r="AB3069" i="11"/>
  <c r="AB3070" i="11"/>
  <c r="AB3071" i="11"/>
  <c r="AB3072" i="11"/>
  <c r="AB3073" i="11"/>
  <c r="AB3074" i="11"/>
  <c r="AB3075" i="11"/>
  <c r="AB3076" i="11"/>
  <c r="AB3077" i="11"/>
  <c r="AB3078" i="11"/>
  <c r="AB3079" i="11"/>
  <c r="AB3080" i="11"/>
  <c r="AB3081" i="11"/>
  <c r="AB3082" i="11"/>
  <c r="AB3083" i="11"/>
  <c r="AB3084" i="11"/>
  <c r="AB3085" i="11"/>
  <c r="AB3086" i="11"/>
  <c r="AB3087" i="11"/>
  <c r="AB3088" i="11"/>
  <c r="AB3089" i="11"/>
  <c r="AB3090" i="11"/>
  <c r="AB3091" i="11"/>
  <c r="AB3092" i="11"/>
  <c r="AB3093" i="11"/>
  <c r="AB3094" i="11"/>
  <c r="AB3095" i="11"/>
  <c r="AB3096" i="11"/>
  <c r="AB3097" i="11"/>
  <c r="AB3098" i="11"/>
  <c r="AB3099" i="11"/>
  <c r="AB3100" i="11"/>
  <c r="AB3101" i="11"/>
  <c r="AB3102" i="11"/>
  <c r="AB3103" i="11"/>
  <c r="AB3104" i="11"/>
  <c r="AB3105" i="11"/>
  <c r="AB3106" i="11"/>
  <c r="AB3107" i="11"/>
  <c r="AB3108" i="11"/>
  <c r="AB3109" i="11"/>
  <c r="AB3110" i="11"/>
  <c r="AB3111" i="11"/>
  <c r="AB3112" i="11"/>
  <c r="AB3113" i="11"/>
  <c r="AB3114" i="11"/>
  <c r="AB3115" i="11"/>
  <c r="AB3116" i="11"/>
  <c r="AB3117" i="11"/>
  <c r="AB3118" i="11"/>
  <c r="AB3119" i="11"/>
  <c r="AB3120" i="11"/>
  <c r="AB3121" i="11"/>
  <c r="AB3122" i="11"/>
  <c r="AB3123" i="11"/>
  <c r="AB3124" i="11"/>
  <c r="AB3125" i="11"/>
  <c r="AB3126" i="11"/>
  <c r="AB3127" i="11"/>
  <c r="AB3128" i="11"/>
  <c r="AB3129" i="11"/>
  <c r="AB3130" i="11"/>
  <c r="AB3131" i="11"/>
  <c r="AB3132" i="11"/>
  <c r="AB3133" i="11"/>
  <c r="AB3134" i="11"/>
  <c r="AB3135" i="11"/>
  <c r="AB3136" i="11"/>
  <c r="AB3137" i="11"/>
  <c r="AB3138" i="11"/>
  <c r="AB3139" i="11"/>
  <c r="AB3140" i="11"/>
  <c r="AB3141" i="11"/>
  <c r="AB3142" i="11"/>
  <c r="AB3143" i="11"/>
  <c r="AB3144" i="11"/>
  <c r="AB3145" i="11"/>
  <c r="AB3146" i="11"/>
  <c r="AB3147" i="11"/>
  <c r="AB3148" i="11"/>
  <c r="AB3149" i="11"/>
  <c r="AB3150" i="11"/>
  <c r="AB3151" i="11"/>
  <c r="AB3152" i="11"/>
  <c r="AB3153" i="11"/>
  <c r="AB3154" i="11"/>
  <c r="AB3155" i="11"/>
  <c r="AB3156" i="11"/>
  <c r="AB3157" i="11"/>
  <c r="AB3158" i="11"/>
  <c r="AB3159" i="11"/>
  <c r="AB3160" i="11"/>
  <c r="AB3161" i="11"/>
  <c r="AB3162" i="11"/>
  <c r="AB3163" i="11"/>
  <c r="AB3164" i="11"/>
  <c r="AB3165" i="11"/>
  <c r="AB3166" i="11"/>
  <c r="AB3167" i="11"/>
  <c r="AB3168" i="11"/>
  <c r="AB3169" i="11"/>
  <c r="AB3170" i="11"/>
  <c r="AB3171" i="11"/>
  <c r="AB3172" i="11"/>
  <c r="AB3173" i="11"/>
  <c r="AB3174" i="11"/>
  <c r="AB3175" i="11"/>
  <c r="AB3176" i="11"/>
  <c r="AB3177" i="11"/>
  <c r="AB3178" i="11"/>
  <c r="AB3179" i="11"/>
  <c r="AB3180" i="11"/>
  <c r="AB3181" i="11"/>
  <c r="AB3182" i="11"/>
  <c r="AB3183" i="11"/>
  <c r="AB3184" i="11"/>
  <c r="AB3185" i="11"/>
  <c r="AB3186" i="11"/>
  <c r="AB3187" i="11"/>
  <c r="AB3188" i="11"/>
  <c r="AB3189" i="11"/>
  <c r="AB3190" i="11"/>
  <c r="AB3191" i="11"/>
  <c r="AB3192" i="11"/>
  <c r="AB3193" i="11"/>
  <c r="AB3194" i="11"/>
  <c r="AB3195" i="11"/>
  <c r="AB3196" i="11"/>
  <c r="AB3197" i="11"/>
  <c r="AB3198" i="11"/>
  <c r="AB3199" i="11"/>
  <c r="AB3200" i="11"/>
  <c r="AB3201" i="11"/>
  <c r="AB3202" i="11"/>
  <c r="AB3203" i="11"/>
  <c r="AB3204" i="11"/>
  <c r="AB3205" i="11"/>
  <c r="AB3206" i="11"/>
  <c r="AB3207" i="11"/>
  <c r="AB3208" i="11"/>
  <c r="AB3209" i="11"/>
  <c r="AB3210" i="11"/>
  <c r="AB3211" i="11"/>
  <c r="AB3212" i="11"/>
  <c r="AB3213" i="11"/>
  <c r="AB3214" i="11"/>
  <c r="AB3215" i="11"/>
  <c r="AB3216" i="11"/>
  <c r="AB3217" i="11"/>
  <c r="AB3218" i="11"/>
  <c r="AB3219" i="11"/>
  <c r="AB3220" i="11"/>
  <c r="AB3221" i="11"/>
  <c r="AB3222" i="11"/>
  <c r="AB3223" i="11"/>
  <c r="AB3224" i="11"/>
  <c r="AB3225" i="11"/>
  <c r="AB3226" i="11"/>
  <c r="AB3227" i="11"/>
  <c r="AB3228" i="11"/>
  <c r="AB3229" i="11"/>
  <c r="AB3230" i="11"/>
  <c r="AB3231" i="11"/>
  <c r="AB3232" i="11"/>
  <c r="AB3233" i="11"/>
  <c r="AB3234" i="11"/>
  <c r="AB3235" i="11"/>
  <c r="AB3236" i="11"/>
  <c r="AB3237" i="11"/>
  <c r="AB3238" i="11"/>
  <c r="AB3239" i="11"/>
  <c r="AB3240" i="11"/>
  <c r="AB3241" i="11"/>
  <c r="AB3242" i="11"/>
  <c r="AB3243" i="11"/>
  <c r="AB3244" i="11"/>
  <c r="AB3245" i="11"/>
  <c r="AB3246" i="11"/>
  <c r="AB3247" i="11"/>
  <c r="AB3248" i="11"/>
  <c r="AB3249" i="11"/>
  <c r="AB3250" i="11"/>
  <c r="AB3251" i="11"/>
  <c r="AB3252" i="11"/>
  <c r="AB3253" i="11"/>
  <c r="AB3254" i="11"/>
  <c r="AB3255" i="11"/>
  <c r="AB3256" i="11"/>
  <c r="AB3257" i="11"/>
  <c r="AB3258" i="11"/>
  <c r="AB3259" i="11"/>
  <c r="AB3260" i="11"/>
  <c r="AB3261" i="11"/>
  <c r="AB3262" i="11"/>
  <c r="AB3263" i="11"/>
  <c r="AB3264" i="11"/>
  <c r="AB3265" i="11"/>
  <c r="AB3266" i="11"/>
  <c r="AB3267" i="11"/>
  <c r="AB3268" i="11"/>
  <c r="AB3269" i="11"/>
  <c r="AB3270" i="11"/>
  <c r="AB3271" i="11"/>
  <c r="AB3272" i="11"/>
  <c r="AB3273" i="11"/>
  <c r="AB3274" i="11"/>
  <c r="AB3275" i="11"/>
  <c r="AB3276" i="11"/>
  <c r="AB3277" i="11"/>
  <c r="AB3278" i="11"/>
  <c r="AB3279" i="11"/>
  <c r="AB3280" i="11"/>
  <c r="AB3281" i="11"/>
  <c r="AB3282" i="11"/>
  <c r="AB3283" i="11"/>
  <c r="AB3284" i="11"/>
  <c r="AB3285" i="11"/>
  <c r="AB3286" i="11"/>
  <c r="AB3287" i="11"/>
  <c r="AB3288" i="11"/>
  <c r="AB3289" i="11"/>
  <c r="AB3290" i="11"/>
  <c r="AB3291" i="11"/>
  <c r="AB3292" i="11"/>
  <c r="AB3293" i="11"/>
  <c r="AB3294" i="11"/>
  <c r="AB3295" i="11"/>
  <c r="AB3296" i="11"/>
  <c r="AB3297" i="11"/>
  <c r="AB3298" i="11"/>
  <c r="AB3299" i="11"/>
  <c r="AB3300" i="11"/>
  <c r="AB3301" i="11"/>
  <c r="AB3302" i="11"/>
  <c r="AB3303" i="11"/>
  <c r="AB3304" i="11"/>
  <c r="AB3305" i="11"/>
  <c r="AB3306" i="11"/>
  <c r="AB3307" i="11"/>
  <c r="AB3308" i="11"/>
  <c r="AB3309" i="11"/>
  <c r="AB3310" i="11"/>
  <c r="AB3311" i="11"/>
  <c r="AB3312" i="11"/>
  <c r="AB3313" i="11"/>
  <c r="AB3314" i="11"/>
  <c r="AB3315" i="11"/>
  <c r="AB3316" i="11"/>
  <c r="AB3317" i="11"/>
  <c r="AB3318" i="11"/>
  <c r="AB3319" i="11"/>
  <c r="AB3320" i="11"/>
  <c r="AB3321" i="11"/>
  <c r="AB3322" i="11"/>
  <c r="AB3323" i="11"/>
  <c r="AB3324" i="11"/>
  <c r="AB3325" i="11"/>
  <c r="AB3326" i="11"/>
  <c r="AB3327" i="11"/>
  <c r="AB3328" i="11"/>
  <c r="AB3329" i="11"/>
  <c r="AB3330" i="11"/>
  <c r="AB3331" i="11"/>
  <c r="AB3332" i="11"/>
  <c r="AB3333" i="11"/>
  <c r="AB3334" i="11"/>
  <c r="AB3335" i="11"/>
  <c r="AB3336" i="11"/>
  <c r="AB3337" i="11"/>
  <c r="AB3338" i="11"/>
  <c r="AB3339" i="11"/>
  <c r="AB3340" i="11"/>
  <c r="AB3341" i="11"/>
  <c r="AB3342" i="11"/>
  <c r="AB3343" i="11"/>
  <c r="AB3344" i="11"/>
  <c r="AB3345" i="11"/>
  <c r="AB3346" i="11"/>
  <c r="AB3347" i="11"/>
  <c r="AB3348" i="11"/>
  <c r="AB3349" i="11"/>
  <c r="AB3350" i="11"/>
  <c r="AB3351" i="11"/>
  <c r="AB3352" i="11"/>
  <c r="AB3353" i="11"/>
  <c r="AB3354" i="11"/>
  <c r="AB3355" i="11"/>
  <c r="AB3356" i="11"/>
  <c r="AB3357" i="11"/>
  <c r="AB3358" i="11"/>
  <c r="AB3359" i="11"/>
  <c r="AB3360" i="11"/>
  <c r="AB3361" i="11"/>
  <c r="AB3362" i="11"/>
  <c r="AB3363" i="11"/>
  <c r="AB3364" i="11"/>
  <c r="AB3365" i="11"/>
  <c r="AB3366" i="11"/>
  <c r="AB3367" i="11"/>
  <c r="AB3368" i="11"/>
  <c r="AB3369" i="11"/>
  <c r="AB3370" i="11"/>
  <c r="AB3371" i="11"/>
  <c r="AB3372" i="11"/>
  <c r="AB3373" i="11"/>
  <c r="AB3374" i="11"/>
  <c r="AB3375" i="11"/>
  <c r="AB3376" i="11"/>
  <c r="AB3377" i="11"/>
  <c r="AB3378" i="11"/>
  <c r="AB3379" i="11"/>
  <c r="AB3380" i="11"/>
  <c r="AB3381" i="11"/>
  <c r="AB3382" i="11"/>
  <c r="AB3383" i="11"/>
  <c r="AB3384" i="11"/>
  <c r="AB3385" i="11"/>
  <c r="AB3386" i="11"/>
  <c r="AB3387" i="11"/>
  <c r="AB3388" i="11"/>
  <c r="AB3389" i="11"/>
  <c r="AB3390" i="11"/>
  <c r="AB3391" i="11"/>
  <c r="AB3392" i="11"/>
  <c r="AB3393" i="11"/>
  <c r="AB3394" i="11"/>
  <c r="AB3395" i="11"/>
  <c r="AB3396" i="11"/>
  <c r="AB3397" i="11"/>
  <c r="AB3398" i="11"/>
  <c r="AB3399" i="11"/>
  <c r="AB3400" i="11"/>
  <c r="AB3401" i="11"/>
  <c r="AB3402" i="11"/>
  <c r="AB3403" i="11"/>
  <c r="AB3404" i="11"/>
  <c r="AB3405" i="11"/>
  <c r="AB3406" i="11"/>
  <c r="AB3407" i="11"/>
  <c r="AB3408" i="11"/>
  <c r="AB3409" i="11"/>
  <c r="AB3410" i="11"/>
  <c r="AB3411" i="11"/>
  <c r="AB3412" i="11"/>
  <c r="AB3413" i="11"/>
  <c r="AB3414" i="11"/>
  <c r="AB3415" i="11"/>
  <c r="AB3416" i="11"/>
  <c r="AB3417" i="11"/>
  <c r="AB3418" i="11"/>
  <c r="AB3419" i="11"/>
  <c r="AB3420" i="11"/>
  <c r="AB3421" i="11"/>
  <c r="AB3422" i="11"/>
  <c r="AB3423" i="11"/>
  <c r="AB3424" i="11"/>
  <c r="AB3425" i="11"/>
  <c r="AB3426" i="11"/>
  <c r="AB3427" i="11"/>
  <c r="AB3428" i="11"/>
  <c r="AB3429" i="11"/>
  <c r="AB3430" i="11"/>
  <c r="AB3431" i="11"/>
  <c r="AB3432" i="11"/>
  <c r="AB3433" i="11"/>
  <c r="AB3434" i="11"/>
  <c r="AB3435" i="11"/>
  <c r="AB3436" i="11"/>
  <c r="AB3437" i="11"/>
  <c r="AB3438" i="11"/>
  <c r="AB3439" i="11"/>
  <c r="AB3440" i="11"/>
  <c r="AB3441" i="11"/>
  <c r="AB3442" i="11"/>
  <c r="AB3443" i="11"/>
  <c r="AB3444" i="11"/>
  <c r="AB3445" i="11"/>
  <c r="AB3446" i="11"/>
  <c r="AB3447" i="11"/>
  <c r="AB3448" i="11"/>
  <c r="AB3449" i="11"/>
  <c r="AB3450" i="11"/>
  <c r="AB3451" i="11"/>
  <c r="AB3452" i="11"/>
  <c r="AB3453" i="11"/>
  <c r="AB3454" i="11"/>
  <c r="AB3455" i="11"/>
  <c r="AB3456" i="11"/>
  <c r="AB3457" i="11"/>
  <c r="AB3458" i="11"/>
  <c r="AB3459" i="11"/>
  <c r="AB3460" i="11"/>
  <c r="AB3461" i="11"/>
  <c r="AB3462" i="11"/>
  <c r="AB3463" i="11"/>
  <c r="AB3464" i="11"/>
  <c r="AB3465" i="11"/>
  <c r="AB3466" i="11"/>
  <c r="AB3467" i="11"/>
  <c r="AB3468" i="11"/>
  <c r="AB3469" i="11"/>
  <c r="AB3470" i="11"/>
  <c r="AB3471" i="11"/>
  <c r="AB3472" i="11"/>
  <c r="AB3473" i="11"/>
  <c r="AB3474" i="11"/>
  <c r="AB3475" i="11"/>
  <c r="AB3476" i="11"/>
  <c r="AB3477" i="11"/>
  <c r="AB3478" i="11"/>
  <c r="AB3479" i="11"/>
  <c r="AB3480" i="11"/>
  <c r="AB3481" i="11"/>
  <c r="AB3482" i="11"/>
  <c r="AB3483" i="11"/>
  <c r="AB3484" i="11"/>
  <c r="AB3485" i="11"/>
  <c r="AB3486" i="11"/>
  <c r="AB3487" i="11"/>
  <c r="AB3488" i="11"/>
  <c r="AB3489" i="11"/>
  <c r="AB3490" i="11"/>
  <c r="AB3491" i="11"/>
  <c r="AB3492" i="11"/>
  <c r="AB3493" i="11"/>
  <c r="AB3494" i="11"/>
  <c r="AB3495" i="11"/>
  <c r="AB3496" i="11"/>
  <c r="AB3497" i="11"/>
  <c r="AB3498" i="11"/>
  <c r="AB3499" i="11"/>
  <c r="AB3500" i="11"/>
  <c r="AB3501" i="11"/>
  <c r="AB3502" i="11"/>
  <c r="AB3503" i="11"/>
  <c r="AB3504" i="11"/>
  <c r="AB3505" i="11"/>
  <c r="AB3506" i="11"/>
  <c r="AB3507" i="11"/>
  <c r="AB3508" i="11"/>
  <c r="AB3509" i="11"/>
  <c r="AB3510" i="11"/>
  <c r="AB3511" i="11"/>
  <c r="AB3512" i="11"/>
  <c r="AB3513" i="11"/>
  <c r="AB3514" i="11"/>
  <c r="AB3515" i="11"/>
  <c r="AB3516" i="11"/>
  <c r="AB3517" i="11"/>
  <c r="AB3518" i="11"/>
  <c r="AB3519" i="11"/>
  <c r="AB3520" i="11"/>
  <c r="AB3521" i="11"/>
  <c r="AB3522" i="11"/>
  <c r="AB3523" i="11"/>
  <c r="AB3524" i="11"/>
  <c r="AB3525" i="11"/>
  <c r="AB3526" i="11"/>
  <c r="AB3527" i="11"/>
  <c r="AB3528" i="11"/>
  <c r="AB3529" i="11"/>
  <c r="AB3530" i="11"/>
  <c r="AB3531" i="11"/>
  <c r="AB3532" i="11"/>
  <c r="AB3533" i="11"/>
  <c r="AB3534" i="11"/>
  <c r="AB3535" i="11"/>
  <c r="AB3536" i="11"/>
  <c r="AB3537" i="11"/>
  <c r="AB3538" i="11"/>
  <c r="AB3539" i="11"/>
  <c r="AB3540" i="11"/>
  <c r="AB3541" i="11"/>
  <c r="AB3542" i="11"/>
  <c r="AB3543" i="11"/>
  <c r="AB3544" i="11"/>
  <c r="AB3545" i="11"/>
  <c r="AB3546" i="11"/>
  <c r="AB3547" i="11"/>
  <c r="AB3548" i="11"/>
  <c r="AB3549" i="11"/>
  <c r="AB3550" i="11"/>
  <c r="AB3551" i="11"/>
  <c r="AB3552" i="11"/>
  <c r="AB3553" i="11"/>
  <c r="AB3554" i="11"/>
  <c r="AB3555" i="11"/>
  <c r="AB3556" i="11"/>
  <c r="AB3557" i="11"/>
  <c r="AB3558" i="11"/>
  <c r="AB3559" i="11"/>
  <c r="AB3560" i="11"/>
  <c r="AB3561" i="11"/>
  <c r="AB3562" i="11"/>
  <c r="AB3563" i="11"/>
  <c r="AB3564" i="11"/>
  <c r="AB3565" i="11"/>
  <c r="AB3566" i="11"/>
  <c r="AB3567" i="11"/>
  <c r="AB3568" i="11"/>
  <c r="AB3569" i="11"/>
  <c r="AB3570" i="11"/>
  <c r="AB3571" i="11"/>
  <c r="AB3572" i="11"/>
  <c r="AB3573" i="11"/>
  <c r="AB3574" i="11"/>
  <c r="AB3575" i="11"/>
  <c r="AB3576" i="11"/>
  <c r="AB3577" i="11"/>
  <c r="AB3578" i="11"/>
  <c r="AB3579" i="11"/>
  <c r="AB3580" i="11"/>
  <c r="AB3581" i="11"/>
  <c r="AB3582" i="11"/>
  <c r="AB3583" i="11"/>
  <c r="AB3584" i="11"/>
  <c r="AB3585" i="11"/>
  <c r="AB3586" i="11"/>
  <c r="AB3587" i="11"/>
  <c r="AB3588" i="11"/>
  <c r="AB3589" i="11"/>
  <c r="AB3590" i="11"/>
  <c r="AB3591" i="11"/>
  <c r="AB3592" i="11"/>
  <c r="AB3593" i="11"/>
  <c r="AB3594" i="11"/>
  <c r="AB3595" i="11"/>
  <c r="AB3596" i="11"/>
  <c r="AB3597" i="11"/>
  <c r="AB3598" i="11"/>
  <c r="AB3599" i="11"/>
  <c r="AB3600" i="11"/>
  <c r="AB3601" i="11"/>
  <c r="AB3602" i="11"/>
  <c r="AB3603" i="11"/>
  <c r="AB3604" i="11"/>
  <c r="AB3605" i="11"/>
  <c r="AB3606" i="11"/>
  <c r="AB3607" i="11"/>
  <c r="AB3608" i="11"/>
  <c r="AB3609" i="11"/>
  <c r="AB3610" i="11"/>
  <c r="AB3611" i="11"/>
  <c r="AB3612" i="11"/>
  <c r="AB3613" i="11"/>
  <c r="AB3614" i="11"/>
  <c r="AB3615" i="11"/>
  <c r="AB3616" i="11"/>
  <c r="AB3617" i="11"/>
  <c r="AB3618" i="11"/>
  <c r="AB3619" i="11"/>
  <c r="AB3620" i="11"/>
  <c r="AB3621" i="11"/>
  <c r="AB3622" i="11"/>
  <c r="AB3623" i="11"/>
  <c r="AB3624" i="11"/>
  <c r="AB3625" i="11"/>
  <c r="AB3626" i="11"/>
  <c r="AB3627" i="11"/>
  <c r="AB3628" i="11"/>
  <c r="AB3629" i="11"/>
  <c r="AB3630" i="11"/>
  <c r="AB3631" i="11"/>
  <c r="AB3632" i="11"/>
  <c r="AB3633" i="11"/>
  <c r="AB3634" i="11"/>
  <c r="AB3635" i="11"/>
  <c r="AB3636" i="11"/>
  <c r="AB3637" i="11"/>
  <c r="AB3638" i="11"/>
  <c r="AB3639" i="11"/>
  <c r="AB3640" i="11"/>
  <c r="AB3641" i="11"/>
  <c r="AB3642" i="11"/>
  <c r="AB3643" i="11"/>
  <c r="AB3644" i="11"/>
  <c r="AB3645" i="11"/>
  <c r="AB3646" i="11"/>
  <c r="AB3647" i="11"/>
  <c r="AB3648" i="11"/>
  <c r="AB3649" i="11"/>
  <c r="AB3650" i="11"/>
  <c r="AB3651" i="11"/>
  <c r="AB3652" i="11"/>
  <c r="AB3653" i="11"/>
  <c r="AB3654" i="11"/>
  <c r="AB3655" i="11"/>
  <c r="AB3656" i="11"/>
  <c r="AB3657" i="11"/>
  <c r="AB3658" i="11"/>
  <c r="AB3659" i="11"/>
  <c r="AB3660" i="11"/>
  <c r="AB3661" i="11"/>
  <c r="AB3662" i="11"/>
  <c r="AB3663" i="11"/>
  <c r="AB3664" i="11"/>
  <c r="AB3665" i="11"/>
  <c r="AB3666" i="11"/>
  <c r="AB3667" i="11"/>
  <c r="AB3668" i="11"/>
  <c r="AB3669" i="11"/>
  <c r="AB3670" i="11"/>
  <c r="AB3671" i="11"/>
  <c r="AB3672" i="11"/>
  <c r="AB3673" i="11"/>
  <c r="AB3674" i="11"/>
  <c r="AB3675" i="11"/>
  <c r="AB3676" i="11"/>
  <c r="AB3677" i="11"/>
  <c r="AB3678" i="11"/>
  <c r="AB3679" i="11"/>
  <c r="AB3680" i="11"/>
  <c r="AB3681" i="11"/>
  <c r="AB3682" i="11"/>
  <c r="AB3683" i="11"/>
  <c r="AB3684" i="11"/>
  <c r="AB3685" i="11"/>
  <c r="AB3686" i="11"/>
  <c r="AB3687" i="11"/>
  <c r="AB3688" i="11"/>
  <c r="AB3689" i="11"/>
  <c r="AB3690" i="11"/>
  <c r="AB3691" i="11"/>
  <c r="AB3692" i="11"/>
  <c r="AB3693" i="11"/>
  <c r="AB3694" i="11"/>
  <c r="AB3695" i="11"/>
  <c r="AB3696" i="11"/>
  <c r="AB3697" i="11"/>
  <c r="AB3698" i="11"/>
  <c r="AB3699" i="11"/>
  <c r="AB3700" i="11"/>
  <c r="AB3701" i="11"/>
  <c r="AB3702" i="11"/>
  <c r="AB3703" i="11"/>
  <c r="AB3704" i="11"/>
  <c r="AB3705" i="11"/>
  <c r="AB3706" i="11"/>
  <c r="AB3707" i="11"/>
  <c r="AB3708" i="11"/>
  <c r="AB3709" i="11"/>
  <c r="AB3710" i="11"/>
  <c r="AB3711" i="11"/>
  <c r="AB3712" i="11"/>
  <c r="AB3713" i="11"/>
  <c r="AB3714" i="11"/>
  <c r="AB3715" i="11"/>
  <c r="AB3716" i="11"/>
  <c r="AB3717" i="11"/>
  <c r="AB3718" i="11"/>
  <c r="AB3719" i="11"/>
  <c r="AB3720" i="11"/>
  <c r="AB3721" i="11"/>
  <c r="AB3722" i="11"/>
  <c r="AB3723" i="11"/>
  <c r="AB3724" i="11"/>
  <c r="AB3725" i="11"/>
  <c r="AB3726" i="11"/>
  <c r="AB3727" i="11"/>
  <c r="AB3728" i="11"/>
  <c r="AB3729" i="11"/>
  <c r="AB3730" i="11"/>
  <c r="AB3731" i="11"/>
  <c r="AB3732" i="11"/>
  <c r="AB3733" i="11"/>
  <c r="AB3734" i="11"/>
  <c r="AB3735" i="11"/>
  <c r="AB3736" i="11"/>
  <c r="AB3737" i="11"/>
  <c r="AB3738" i="11"/>
  <c r="AB3739" i="11"/>
  <c r="AB3740" i="11"/>
  <c r="AB3741" i="11"/>
  <c r="AB3742" i="11"/>
  <c r="AB3743" i="11"/>
  <c r="AB3744" i="11"/>
  <c r="AB3745" i="11"/>
  <c r="AB3746" i="11"/>
  <c r="AB3747" i="11"/>
  <c r="AB3748" i="11"/>
  <c r="AB3749" i="11"/>
  <c r="AB3750" i="11"/>
  <c r="AB3751" i="11"/>
  <c r="AB3752" i="11"/>
  <c r="AB3753" i="11"/>
  <c r="AB3754" i="11"/>
  <c r="AB3755" i="11"/>
  <c r="AB3756" i="11"/>
  <c r="AB3757" i="11"/>
  <c r="AB3758" i="11"/>
  <c r="AB3759" i="11"/>
  <c r="AB3760" i="11"/>
  <c r="AB3761" i="11"/>
  <c r="AB3762" i="11"/>
  <c r="AB3763" i="11"/>
  <c r="AB3764" i="11"/>
  <c r="AB3765" i="11"/>
  <c r="AB3766" i="11"/>
  <c r="AB3767" i="11"/>
  <c r="AB3768" i="11"/>
  <c r="AB3769" i="11"/>
  <c r="AB3770" i="11"/>
  <c r="AB3771" i="11"/>
  <c r="AB3772" i="11"/>
  <c r="AB3773" i="11"/>
  <c r="AB3774" i="11"/>
  <c r="AB3775" i="11"/>
  <c r="AB3776" i="11"/>
  <c r="AB3777" i="11"/>
  <c r="AB3778" i="11"/>
  <c r="AB3779" i="11"/>
  <c r="AB3780" i="11"/>
  <c r="AB3781" i="11"/>
  <c r="AB3782" i="11"/>
  <c r="AB3783" i="11"/>
  <c r="AB3784" i="11"/>
  <c r="AB3785" i="11"/>
  <c r="AB3786" i="11"/>
  <c r="AB3787" i="11"/>
  <c r="AB3788" i="11"/>
  <c r="AB3789" i="11"/>
  <c r="AB3790" i="11"/>
  <c r="AB3791" i="11"/>
  <c r="AB3792" i="11"/>
  <c r="AB3793" i="11"/>
  <c r="AB3794" i="11"/>
  <c r="AB3795" i="11"/>
  <c r="AB3796" i="11"/>
  <c r="AB3797" i="11"/>
  <c r="AB3798" i="11"/>
  <c r="AB3799" i="11"/>
  <c r="AB3800" i="11"/>
  <c r="AB3801" i="11"/>
  <c r="AB3802" i="11"/>
  <c r="AB3803" i="11"/>
  <c r="AB3804" i="11"/>
  <c r="AB3805" i="11"/>
  <c r="AB3806" i="11"/>
  <c r="AB3807" i="11"/>
  <c r="AB3808" i="11"/>
  <c r="AB3809" i="11"/>
  <c r="AB3810" i="11"/>
  <c r="AB3811" i="11"/>
  <c r="AB3812" i="11"/>
  <c r="AB3813" i="11"/>
  <c r="AB3814" i="11"/>
  <c r="AB3815" i="11"/>
  <c r="AB3816" i="11"/>
  <c r="AB3817" i="11"/>
  <c r="AB3818" i="11"/>
  <c r="AB3819" i="11"/>
  <c r="AB3820" i="11"/>
  <c r="AB3821" i="11"/>
  <c r="AB3822" i="11"/>
  <c r="AB3823" i="11"/>
  <c r="AB3824" i="11"/>
  <c r="AB3825" i="11"/>
  <c r="AB3826" i="11"/>
  <c r="AB3827" i="11"/>
  <c r="AB3828" i="11"/>
  <c r="AB3829" i="11"/>
  <c r="AB3830" i="11"/>
  <c r="AB3831" i="11"/>
  <c r="AB3832" i="11"/>
  <c r="AB3833" i="11"/>
  <c r="AB3834" i="11"/>
  <c r="AB3835" i="11"/>
  <c r="AB3836" i="11"/>
  <c r="AB3837" i="11"/>
  <c r="AB3838" i="11"/>
  <c r="AB3839" i="11"/>
  <c r="AB3840" i="11"/>
  <c r="AB3841" i="11"/>
  <c r="AB3842" i="11"/>
  <c r="AB3843" i="11"/>
  <c r="AB3844" i="11"/>
  <c r="AB3845" i="11"/>
  <c r="AB3846" i="11"/>
  <c r="AB3847" i="11"/>
  <c r="AB3848" i="11"/>
  <c r="AB3849" i="11"/>
  <c r="AB3850" i="11"/>
  <c r="AB3851" i="11"/>
  <c r="AB3852" i="11"/>
  <c r="AB3853" i="11"/>
  <c r="AB3854" i="11"/>
  <c r="AB3855" i="11"/>
  <c r="AB3856" i="11"/>
  <c r="AB3857" i="11"/>
  <c r="AB3858" i="11"/>
  <c r="AB3859" i="11"/>
  <c r="AB3860" i="11"/>
  <c r="AB3861" i="11"/>
  <c r="AB3862" i="11"/>
  <c r="AB3863" i="11"/>
  <c r="AB3864" i="11"/>
  <c r="AB3865" i="11"/>
  <c r="AB3866" i="11"/>
  <c r="AB3867" i="11"/>
  <c r="AB3868" i="11"/>
  <c r="AB3869" i="11"/>
  <c r="AB3870" i="11"/>
  <c r="AB3871" i="11"/>
  <c r="AB3872" i="11"/>
  <c r="AB3873" i="11"/>
  <c r="AB3874" i="11"/>
  <c r="AB3875" i="11"/>
  <c r="AB3876" i="11"/>
  <c r="AB3877" i="11"/>
  <c r="AB3878" i="11"/>
  <c r="AB3879" i="11"/>
  <c r="AB3880" i="11"/>
  <c r="AB3881" i="11"/>
  <c r="AB3882" i="11"/>
  <c r="AB3883" i="11"/>
  <c r="AB3884" i="11"/>
  <c r="AB3885" i="11"/>
  <c r="AB3886" i="11"/>
  <c r="AB3887" i="11"/>
  <c r="AB3888" i="11"/>
  <c r="AB3889" i="11"/>
  <c r="AB3890" i="11"/>
  <c r="AB3891" i="11"/>
  <c r="AB3892" i="11"/>
  <c r="AB3893" i="11"/>
  <c r="AB3894" i="11"/>
  <c r="AB3895" i="11"/>
  <c r="AB3896" i="11"/>
  <c r="AB3897" i="11"/>
  <c r="AB3898" i="11"/>
  <c r="AB3899" i="11"/>
  <c r="AB3900" i="11"/>
  <c r="AB3901" i="11"/>
  <c r="AB3902" i="11"/>
  <c r="AB3903" i="11"/>
  <c r="AB3904" i="11"/>
  <c r="AB3905" i="11"/>
  <c r="AB3906" i="11"/>
  <c r="AB3907" i="11"/>
  <c r="AB3908" i="11"/>
  <c r="AB3909" i="11"/>
  <c r="AB3910" i="11"/>
  <c r="AB3911" i="11"/>
  <c r="AB3912" i="11"/>
  <c r="AB3913" i="11"/>
  <c r="AB3914" i="11"/>
  <c r="AB3915" i="11"/>
  <c r="AB3916" i="11"/>
  <c r="AB3917" i="11"/>
  <c r="AB3918" i="11"/>
  <c r="AB3919" i="11"/>
  <c r="AB3920" i="11"/>
  <c r="AB3921" i="11"/>
  <c r="AB3922" i="11"/>
  <c r="AB3923" i="11"/>
  <c r="AB3924" i="11"/>
  <c r="AB3925" i="11"/>
  <c r="AB3926" i="11"/>
  <c r="AB3927" i="11"/>
  <c r="AB3928" i="11"/>
  <c r="AB3929" i="11"/>
  <c r="AB3930" i="11"/>
  <c r="AB3931" i="11"/>
  <c r="AB3932" i="11"/>
  <c r="AB3933" i="11"/>
  <c r="AB3934" i="11"/>
  <c r="AB3935" i="11"/>
  <c r="AB3936" i="11"/>
  <c r="AB3937" i="11"/>
  <c r="AB3938" i="11"/>
  <c r="AB3939" i="11"/>
  <c r="AB3940" i="11"/>
  <c r="AB3941" i="11"/>
  <c r="AB3942" i="11"/>
  <c r="AB3943" i="11"/>
  <c r="AB3944" i="11"/>
  <c r="AB3945" i="11"/>
  <c r="AB3946" i="11"/>
  <c r="AB3947" i="11"/>
  <c r="AB3948" i="11"/>
  <c r="AB3949" i="11"/>
  <c r="AB3950" i="11"/>
  <c r="AB3951" i="11"/>
  <c r="AB3952" i="11"/>
  <c r="AB3953" i="11"/>
  <c r="AB3954" i="11"/>
  <c r="AB3955" i="11"/>
  <c r="AB3956" i="11"/>
  <c r="AB3957" i="11"/>
  <c r="AB3958" i="11"/>
  <c r="AB3959" i="11"/>
  <c r="AB3960" i="11"/>
  <c r="AB3961" i="11"/>
  <c r="AB3962" i="11"/>
  <c r="AB3963" i="11"/>
  <c r="AB3964" i="11"/>
  <c r="AB3965" i="11"/>
  <c r="AB3966" i="11"/>
  <c r="AB3967" i="11"/>
  <c r="AB3968" i="11"/>
  <c r="AB3969" i="11"/>
  <c r="AB3970" i="11"/>
  <c r="AB3971" i="11"/>
  <c r="AB3972" i="11"/>
  <c r="AB3973" i="11"/>
  <c r="AB3974" i="11"/>
  <c r="AB3975" i="11"/>
  <c r="AB3976" i="11"/>
  <c r="AB3977" i="11"/>
  <c r="AB3978" i="11"/>
  <c r="AB3979" i="11"/>
  <c r="AB3980" i="11"/>
  <c r="AB3981" i="11"/>
  <c r="AB3982" i="11"/>
  <c r="AB3983" i="11"/>
  <c r="AB3984" i="11"/>
  <c r="AB3985" i="11"/>
  <c r="AB3986" i="11"/>
  <c r="AB3987" i="11"/>
  <c r="AB3988" i="11"/>
  <c r="AB3989" i="11"/>
  <c r="AB3990" i="11"/>
  <c r="AB3991" i="11"/>
  <c r="AB3992" i="11"/>
  <c r="AB3993" i="11"/>
  <c r="AB3994" i="11"/>
  <c r="AB3995" i="11"/>
  <c r="AB3996" i="11"/>
  <c r="AB3997" i="11"/>
  <c r="AB3998" i="11"/>
  <c r="AB3999" i="11"/>
  <c r="AB4000" i="11"/>
  <c r="AB4001" i="11"/>
  <c r="AB4002" i="11"/>
  <c r="AB4003" i="11"/>
  <c r="AB4004" i="11"/>
  <c r="AB4005" i="11"/>
  <c r="AB4006" i="11"/>
  <c r="AB4007" i="11"/>
  <c r="AB4008" i="11"/>
  <c r="AB4009" i="11"/>
  <c r="AB4010" i="11"/>
  <c r="AB4011" i="11"/>
  <c r="AB4012" i="11"/>
  <c r="AB4013" i="11"/>
  <c r="AB4014" i="11"/>
  <c r="AB4015" i="11"/>
  <c r="AB4016" i="11"/>
  <c r="AB4017" i="11"/>
  <c r="AB4018" i="11"/>
  <c r="AB4019" i="11"/>
  <c r="AB4020" i="11"/>
  <c r="AB4021" i="11"/>
  <c r="AB4022" i="11"/>
  <c r="AB4023" i="11"/>
  <c r="AB4024" i="11"/>
  <c r="AB4025" i="11"/>
  <c r="AB4026" i="11"/>
  <c r="AB4027" i="11"/>
  <c r="AB4028" i="11"/>
  <c r="AB4029" i="11"/>
  <c r="AB4030" i="11"/>
  <c r="AB4031" i="11"/>
  <c r="AB4032" i="11"/>
  <c r="AB4033" i="11"/>
  <c r="AB4034" i="11"/>
  <c r="AB4035" i="11"/>
  <c r="AB4036" i="11"/>
  <c r="AB4037" i="11"/>
  <c r="AB4038" i="11"/>
  <c r="AB4039" i="11"/>
  <c r="AB4040" i="11"/>
  <c r="AB4041" i="11"/>
  <c r="AB4042" i="11"/>
  <c r="AB4043" i="11"/>
  <c r="AB4044" i="11"/>
  <c r="AB4045" i="11"/>
  <c r="AB4046" i="11"/>
  <c r="AB4047" i="11"/>
  <c r="AB4048" i="11"/>
  <c r="AB4049" i="11"/>
  <c r="AB4050" i="11"/>
  <c r="AB4051" i="11"/>
  <c r="AB4052" i="11"/>
  <c r="AB4053" i="11"/>
  <c r="AB4054" i="11"/>
  <c r="AB4055" i="11"/>
  <c r="AB4056" i="11"/>
  <c r="AB4057" i="11"/>
  <c r="AB4058" i="11"/>
  <c r="AB4059" i="11"/>
  <c r="AB4060" i="11"/>
  <c r="AB4061" i="11"/>
  <c r="AB4062" i="11"/>
  <c r="AB4063" i="11"/>
  <c r="AB4064" i="11"/>
  <c r="AB4065" i="11"/>
  <c r="AB4066" i="11"/>
  <c r="AB4067" i="11"/>
  <c r="AB4068" i="11"/>
  <c r="AB4069" i="11"/>
  <c r="AB4070" i="11"/>
  <c r="AB4071" i="11"/>
  <c r="AB4072" i="11"/>
  <c r="AB4073" i="11"/>
  <c r="AB4074" i="11"/>
  <c r="AB4075" i="11"/>
  <c r="AB4076" i="11"/>
  <c r="AB4077" i="11"/>
  <c r="AB4078" i="11"/>
  <c r="AB4079" i="11"/>
  <c r="AB4080" i="11"/>
  <c r="AB4081" i="11"/>
  <c r="AB4082" i="11"/>
  <c r="AB4083" i="11"/>
  <c r="AB4084" i="11"/>
  <c r="AB4085" i="11"/>
  <c r="AB4086" i="11"/>
  <c r="AB4087" i="11"/>
  <c r="AB4088" i="11"/>
  <c r="AB4089" i="11"/>
  <c r="AB4090" i="11"/>
  <c r="AB4091" i="11"/>
  <c r="AB4092" i="11"/>
  <c r="AB4093" i="11"/>
  <c r="AB4094" i="11"/>
  <c r="AB4095" i="11"/>
  <c r="AB4096" i="11"/>
  <c r="AB4097" i="11"/>
  <c r="AB4098" i="11"/>
  <c r="AB4099" i="11"/>
  <c r="AB4100" i="11"/>
  <c r="AB4101" i="11"/>
  <c r="AB4102" i="11"/>
  <c r="AB4103" i="11"/>
  <c r="AB4104" i="11"/>
  <c r="AB4105" i="11"/>
  <c r="AB4106" i="11"/>
  <c r="AB4107" i="11"/>
  <c r="AB4108" i="11"/>
  <c r="AB4109" i="11"/>
  <c r="AB4110" i="11"/>
  <c r="AB4111" i="11"/>
  <c r="AB4112" i="11"/>
  <c r="AB4113" i="11"/>
  <c r="AB4114" i="11"/>
  <c r="AB4115" i="11"/>
  <c r="AB4116" i="11"/>
  <c r="AB4117" i="11"/>
  <c r="AB4118" i="11"/>
  <c r="AB4119" i="11"/>
  <c r="AB4120" i="11"/>
  <c r="AB4121" i="11"/>
  <c r="AB4122" i="11"/>
  <c r="AB4123" i="11"/>
  <c r="AB4124" i="11"/>
  <c r="AB4125" i="11"/>
  <c r="AB4126" i="11"/>
  <c r="AB4127" i="11"/>
  <c r="AB4128" i="11"/>
  <c r="AB4129" i="11"/>
  <c r="AB4130" i="11"/>
  <c r="AB4131" i="11"/>
  <c r="AB4132" i="11"/>
  <c r="AB4133" i="11"/>
  <c r="AB4134" i="11"/>
  <c r="AB4135" i="11"/>
  <c r="AB4136" i="11"/>
  <c r="AB4137" i="11"/>
  <c r="AB4138" i="11"/>
  <c r="AB4139" i="11"/>
  <c r="AB4140" i="11"/>
  <c r="AB4141" i="11"/>
  <c r="AB4142" i="11"/>
  <c r="AB4143" i="11"/>
  <c r="AB4144" i="11"/>
  <c r="AB4145" i="11"/>
  <c r="AB4146" i="11"/>
  <c r="AB4147" i="11"/>
  <c r="AB4148" i="11"/>
  <c r="AB4149" i="11"/>
  <c r="AB4150" i="11"/>
  <c r="AB4151" i="11"/>
  <c r="AB4152" i="11"/>
  <c r="AB4153" i="11"/>
  <c r="AB4154" i="11"/>
  <c r="AB4155" i="11"/>
  <c r="AB4156" i="11"/>
  <c r="AB4157" i="11"/>
  <c r="AB4158" i="11"/>
  <c r="AB4159" i="11"/>
  <c r="AB4160" i="11"/>
  <c r="AB4161" i="11"/>
  <c r="AB4162" i="11"/>
  <c r="AB4163" i="11"/>
  <c r="AB4164" i="11"/>
  <c r="AB4165" i="11"/>
  <c r="AB4166" i="11"/>
  <c r="AB4167" i="11"/>
  <c r="AB4168" i="11"/>
  <c r="AB4169" i="11"/>
  <c r="AB4170" i="11"/>
  <c r="AB4171" i="11"/>
  <c r="AB4172" i="11"/>
  <c r="AB4173" i="11"/>
  <c r="AB4174" i="11"/>
  <c r="AB4175" i="11"/>
  <c r="AB4176" i="11"/>
  <c r="AB4177" i="11"/>
  <c r="AB4178" i="11"/>
  <c r="AB4179" i="11"/>
  <c r="AB4180" i="11"/>
  <c r="AB4181" i="11"/>
  <c r="AB4182" i="11"/>
  <c r="AB4183" i="11"/>
  <c r="AB4184" i="11"/>
  <c r="AB4185" i="11"/>
  <c r="AB4186" i="11"/>
  <c r="AB4187" i="11"/>
  <c r="AB4188" i="11"/>
  <c r="AB4189" i="11"/>
  <c r="AB4190" i="11"/>
  <c r="AB4191" i="11"/>
  <c r="AB4192" i="11"/>
  <c r="AB4193" i="11"/>
  <c r="AB4194" i="11"/>
  <c r="AB4195" i="11"/>
  <c r="AB4196" i="11"/>
  <c r="AB4197" i="11"/>
  <c r="AB4198" i="11"/>
  <c r="AB4199" i="11"/>
  <c r="AB4200" i="11"/>
  <c r="AB4201" i="11"/>
  <c r="AB4202" i="11"/>
  <c r="AB4203" i="11"/>
  <c r="AB4204" i="11"/>
  <c r="AB4205" i="11"/>
  <c r="AB4206" i="11"/>
  <c r="AB4207" i="11"/>
  <c r="AB4208" i="11"/>
  <c r="AB4209" i="11"/>
  <c r="AB4210" i="11"/>
  <c r="AB4211" i="11"/>
  <c r="AB4212" i="11"/>
  <c r="AB4213" i="11"/>
  <c r="AB4214" i="11"/>
  <c r="AB4215" i="11"/>
  <c r="AB4216" i="11"/>
  <c r="AB4217" i="11"/>
  <c r="AB4218" i="11"/>
  <c r="AB4219" i="11"/>
  <c r="AB4220" i="11"/>
  <c r="AB4221" i="11"/>
  <c r="AB4222" i="11"/>
  <c r="AB4223" i="11"/>
  <c r="AB4224" i="11"/>
  <c r="AB4225" i="11"/>
  <c r="AB4226" i="11"/>
  <c r="AB4227" i="11"/>
  <c r="AB4228" i="11"/>
  <c r="AB4229" i="11"/>
  <c r="AB4230" i="11"/>
  <c r="AB4231" i="11"/>
  <c r="AB4232" i="11"/>
  <c r="AB4233" i="11"/>
  <c r="AB4234" i="11"/>
  <c r="AB4235" i="11"/>
  <c r="AB4236" i="11"/>
  <c r="AB4237" i="11"/>
  <c r="AB4238" i="11"/>
  <c r="AB4239" i="11"/>
  <c r="AB4240" i="11"/>
  <c r="AB4241" i="11"/>
  <c r="AB4242" i="11"/>
  <c r="AB4243" i="11"/>
  <c r="AB4244" i="11"/>
  <c r="AB4245" i="11"/>
  <c r="AB4246" i="11"/>
  <c r="AB4247" i="11"/>
  <c r="AB4248" i="11"/>
  <c r="AB4249" i="11"/>
  <c r="AB4250" i="11"/>
  <c r="AB4251" i="11"/>
  <c r="AB4252" i="11"/>
  <c r="AB4253" i="11"/>
  <c r="AB4254" i="11"/>
  <c r="AB4255" i="11"/>
  <c r="AB4256" i="11"/>
  <c r="AB4257" i="11"/>
  <c r="AB4258" i="11"/>
  <c r="AB4259" i="11"/>
  <c r="AB4260" i="11"/>
  <c r="AB4261" i="11"/>
  <c r="AB4262" i="11"/>
  <c r="AB4263" i="11"/>
  <c r="AB4264" i="11"/>
  <c r="AB4265" i="11"/>
  <c r="AB4266" i="11"/>
  <c r="AB4267" i="11"/>
  <c r="AB4268" i="11"/>
  <c r="AB4269" i="11"/>
  <c r="AB4270" i="11"/>
  <c r="AB4271" i="11"/>
  <c r="AB4272" i="11"/>
  <c r="AB4273" i="11"/>
  <c r="AB4274" i="11"/>
  <c r="AB4275" i="11"/>
  <c r="AB4276" i="11"/>
  <c r="AB4277" i="11"/>
  <c r="AB4278" i="11"/>
  <c r="AB4279" i="11"/>
  <c r="AB4280" i="11"/>
  <c r="AB4281" i="11"/>
  <c r="AB4282" i="11"/>
  <c r="AB4283" i="11"/>
  <c r="AB4284" i="11"/>
  <c r="AB4285" i="11"/>
  <c r="AB4286" i="11"/>
  <c r="AB4287" i="11"/>
  <c r="AB4288" i="11"/>
  <c r="AB4289" i="11"/>
  <c r="AB4290" i="11"/>
  <c r="AB4291" i="11"/>
  <c r="AB4292" i="11"/>
  <c r="AB4293" i="11"/>
  <c r="AB4294" i="11"/>
  <c r="AB4295" i="11"/>
  <c r="AB4296" i="11"/>
  <c r="AB4297" i="11"/>
  <c r="AB4298" i="11"/>
  <c r="AB4299" i="11"/>
  <c r="AB4300" i="11"/>
  <c r="AB4301" i="11"/>
  <c r="AB4302" i="11"/>
  <c r="AB4303" i="11"/>
  <c r="AB4304" i="11"/>
  <c r="AB4305" i="11"/>
  <c r="AB4306" i="11"/>
  <c r="AB4307" i="11"/>
  <c r="AB4308" i="11"/>
  <c r="AB4309" i="11"/>
  <c r="AB4310" i="11"/>
  <c r="AB4311" i="11"/>
  <c r="AB4312" i="11"/>
  <c r="AB4313" i="11"/>
  <c r="AB4314" i="11"/>
  <c r="AB4315" i="11"/>
  <c r="AB4316" i="11"/>
  <c r="AB4317" i="11"/>
  <c r="AB4318" i="11"/>
  <c r="AB4319" i="11"/>
  <c r="AB4320" i="11"/>
  <c r="AB4321" i="11"/>
  <c r="AB4322" i="11"/>
  <c r="AB4323" i="11"/>
  <c r="AB4324" i="11"/>
  <c r="AB4325" i="11"/>
  <c r="AB4326" i="11"/>
  <c r="AB4327" i="11"/>
  <c r="AB4328" i="11"/>
  <c r="AB4329" i="11"/>
  <c r="AB4330" i="11"/>
  <c r="AB4331" i="11"/>
  <c r="AB4332" i="11"/>
  <c r="AB4333" i="11"/>
  <c r="AB4334" i="11"/>
  <c r="AB4335" i="11"/>
  <c r="AB4336" i="11"/>
  <c r="AB4337" i="11"/>
  <c r="AB4338" i="11"/>
  <c r="AB4339" i="11"/>
  <c r="AB4340" i="11"/>
  <c r="AB4341" i="11"/>
  <c r="AB4342" i="11"/>
  <c r="AB4343" i="11"/>
  <c r="AB4344" i="11"/>
  <c r="AB4345" i="11"/>
  <c r="AB4346" i="11"/>
  <c r="AB4347" i="11"/>
  <c r="AB4348" i="11"/>
  <c r="AB4349" i="11"/>
  <c r="AB4350" i="11"/>
  <c r="AB4351" i="11"/>
  <c r="AB4352" i="11"/>
  <c r="AB4353" i="11"/>
  <c r="AB4354" i="11"/>
  <c r="AB4355" i="11"/>
  <c r="AB4356" i="11"/>
  <c r="AB4357" i="11"/>
  <c r="AB4358" i="11"/>
  <c r="AB4359" i="11"/>
  <c r="AB4360" i="11"/>
  <c r="AB4361" i="11"/>
  <c r="AB4362" i="11"/>
  <c r="AB4363" i="11"/>
  <c r="AB4364" i="11"/>
  <c r="AB4365" i="11"/>
  <c r="AB4366" i="11"/>
  <c r="AB4367" i="11"/>
  <c r="AB4368" i="11"/>
  <c r="AB4369" i="11"/>
  <c r="AB4370" i="11"/>
  <c r="AB4371" i="11"/>
  <c r="AB4372" i="11"/>
  <c r="AB4373" i="11"/>
  <c r="AB4374" i="11"/>
  <c r="AB4375" i="11"/>
  <c r="AB4376" i="11"/>
  <c r="AB4377" i="11"/>
  <c r="AB4378" i="11"/>
  <c r="AB4379" i="11"/>
  <c r="AB4380" i="11"/>
  <c r="AB4381" i="11"/>
  <c r="AB4382" i="11"/>
  <c r="AB4383" i="11"/>
  <c r="AB4384" i="11"/>
  <c r="AB4385" i="11"/>
  <c r="AB4386" i="11"/>
  <c r="AB4387" i="11"/>
  <c r="AB4388" i="11"/>
  <c r="AB4389" i="11"/>
  <c r="AB4390" i="11"/>
  <c r="AB4391" i="11"/>
  <c r="AB4392" i="11"/>
  <c r="AB4393" i="11"/>
  <c r="AB4394" i="11"/>
  <c r="AB4395" i="11"/>
  <c r="AB4396" i="11"/>
  <c r="AB4397" i="11"/>
  <c r="AB4398" i="11"/>
  <c r="AB4399" i="11"/>
  <c r="AB4400" i="11"/>
  <c r="AB4401" i="11"/>
  <c r="AB4402" i="11"/>
  <c r="AB4403" i="11"/>
  <c r="AB4404" i="11"/>
  <c r="AB4405" i="11"/>
  <c r="AB4406" i="11"/>
  <c r="AB4407" i="11"/>
  <c r="AB4408" i="11"/>
  <c r="AB4409" i="11"/>
  <c r="AB4410" i="11"/>
  <c r="AB4411" i="11"/>
  <c r="AB4412" i="11"/>
  <c r="AB4413" i="11"/>
  <c r="AB4414" i="11"/>
  <c r="AB4415" i="11"/>
  <c r="AB4416" i="11"/>
  <c r="AB4417" i="11"/>
  <c r="AB4418" i="11"/>
  <c r="AB4419" i="11"/>
  <c r="AB4420" i="11"/>
  <c r="AB4421" i="11"/>
  <c r="AB4422" i="11"/>
  <c r="AB4423" i="11"/>
  <c r="AB4424" i="11"/>
  <c r="AB4425" i="11"/>
  <c r="AB4426" i="11"/>
  <c r="AB4427" i="11"/>
  <c r="AB4428" i="11"/>
  <c r="AB4429" i="11"/>
  <c r="AB4430" i="11"/>
  <c r="AB4431" i="11"/>
  <c r="AB4432" i="11"/>
  <c r="AB4433" i="11"/>
  <c r="AB4434" i="11"/>
  <c r="AB4435" i="11"/>
  <c r="AB4436" i="11"/>
  <c r="AB4437" i="11"/>
  <c r="AB4438" i="11"/>
  <c r="AB4439" i="11"/>
  <c r="AB4440" i="11"/>
  <c r="AB4441" i="11"/>
  <c r="AB4442" i="11"/>
  <c r="AB4443" i="11"/>
  <c r="AB4444" i="11"/>
  <c r="AB4445" i="11"/>
  <c r="AB4446" i="11"/>
  <c r="AB4447" i="11"/>
  <c r="AB4448" i="11"/>
  <c r="AB4449" i="11"/>
  <c r="AB4450" i="11"/>
  <c r="AB4451" i="11"/>
  <c r="AB4452" i="11"/>
  <c r="AB4453" i="11"/>
  <c r="AB4454" i="11"/>
  <c r="AB4455" i="11"/>
  <c r="AB4456" i="11"/>
  <c r="AB4457" i="11"/>
  <c r="AB4458" i="11"/>
  <c r="AB4459" i="11"/>
  <c r="AB4460" i="11"/>
  <c r="AB4461" i="11"/>
  <c r="AB4462" i="11"/>
  <c r="AB4463" i="11"/>
  <c r="AB4464" i="11"/>
  <c r="AB4465" i="11"/>
  <c r="AB4466" i="11"/>
  <c r="AB4467" i="11"/>
  <c r="AB4468" i="11"/>
  <c r="AB4469" i="11"/>
  <c r="AB4470" i="11"/>
  <c r="AB4471" i="11"/>
  <c r="AB4472" i="11"/>
  <c r="AB4473" i="11"/>
  <c r="AB4474" i="11"/>
  <c r="AB4475" i="11"/>
  <c r="AB4476" i="11"/>
  <c r="AB4477" i="11"/>
  <c r="AB4478" i="11"/>
  <c r="AB4479" i="11"/>
  <c r="AB4480" i="11"/>
  <c r="AB4481" i="11"/>
  <c r="AB4482" i="11"/>
  <c r="AB4483" i="11"/>
  <c r="AB4484" i="11"/>
  <c r="AB4485" i="11"/>
  <c r="AB4486" i="11"/>
  <c r="AB4487" i="11"/>
  <c r="AB4488" i="11"/>
  <c r="AB4489" i="11"/>
  <c r="AB4490" i="11"/>
  <c r="AB4491" i="11"/>
  <c r="AB4492" i="11"/>
  <c r="AB4493" i="11"/>
  <c r="AB4494" i="11"/>
  <c r="AB4495" i="11"/>
  <c r="AB4496" i="11"/>
  <c r="AB4497" i="11"/>
  <c r="AB4498" i="11"/>
  <c r="AB4499" i="11"/>
  <c r="AB4500" i="11"/>
  <c r="AB4501" i="11"/>
  <c r="AB4502" i="11"/>
  <c r="AB4503" i="11"/>
  <c r="AB4504" i="11"/>
  <c r="AB4505" i="11"/>
  <c r="AB4506" i="11"/>
  <c r="AB4507" i="11"/>
  <c r="AB4508" i="11"/>
  <c r="AB4509" i="11"/>
  <c r="AB4510" i="11"/>
  <c r="AB4511" i="11"/>
  <c r="AB4512" i="11"/>
  <c r="AB4513" i="11"/>
  <c r="AB4514" i="11"/>
  <c r="AB4515" i="11"/>
  <c r="AB4516" i="11"/>
  <c r="AB4517" i="11"/>
  <c r="AB4518" i="11"/>
  <c r="AB4519" i="11"/>
  <c r="AB4520" i="11"/>
  <c r="AB4521" i="11"/>
  <c r="AB4522" i="11"/>
  <c r="AB4523" i="11"/>
  <c r="AB4524" i="11"/>
  <c r="AB4525" i="11"/>
  <c r="AB4526" i="11"/>
  <c r="AB4527" i="11"/>
  <c r="AB4528" i="11"/>
  <c r="AB4529" i="11"/>
  <c r="AB4530" i="11"/>
  <c r="AB4531" i="11"/>
  <c r="AB4532" i="11"/>
  <c r="AB4533" i="11"/>
  <c r="AB4534" i="11"/>
  <c r="AB4535" i="11"/>
  <c r="AB4536" i="11"/>
  <c r="AB4537" i="11"/>
  <c r="AB4538" i="11"/>
  <c r="AB4539" i="11"/>
  <c r="AB4540" i="11"/>
  <c r="AB4541" i="11"/>
  <c r="AB4542" i="11"/>
  <c r="AB4543" i="11"/>
  <c r="AB4544" i="11"/>
  <c r="AB4545" i="11"/>
  <c r="AB4546" i="11"/>
  <c r="AB4547" i="11"/>
  <c r="AB4548" i="11"/>
  <c r="AB4549" i="11"/>
  <c r="AB4550" i="11"/>
  <c r="AB4551" i="11"/>
  <c r="AB4552" i="11"/>
  <c r="AB4553" i="11"/>
  <c r="AB4554" i="11"/>
  <c r="AB4555" i="11"/>
  <c r="AB4556" i="11"/>
  <c r="AB4557" i="11"/>
  <c r="AB4558" i="11"/>
  <c r="AB4559" i="11"/>
  <c r="AB4560" i="11"/>
  <c r="AB4561" i="11"/>
  <c r="AB4562" i="11"/>
  <c r="AB4563" i="11"/>
  <c r="AB4564" i="11"/>
  <c r="AB4565" i="11"/>
  <c r="AB4566" i="11"/>
  <c r="AB4567" i="11"/>
  <c r="AB4568" i="11"/>
  <c r="AB4569" i="11"/>
  <c r="AB4570" i="11"/>
  <c r="AB4571" i="11"/>
  <c r="AB4572" i="11"/>
  <c r="AB4573" i="11"/>
  <c r="AB4574" i="11"/>
  <c r="AB4575" i="11"/>
  <c r="AB4576" i="11"/>
  <c r="AB4577" i="11"/>
  <c r="AB4578" i="11"/>
  <c r="AB4579" i="11"/>
  <c r="AB4580" i="11"/>
  <c r="AB4581" i="11"/>
  <c r="AB4582" i="11"/>
  <c r="AB4583" i="11"/>
  <c r="AB4584" i="11"/>
  <c r="AB4585" i="11"/>
  <c r="AB4586" i="11"/>
  <c r="AB4587" i="11"/>
  <c r="AB4588" i="11"/>
  <c r="AB4589" i="11"/>
  <c r="AB4590" i="11"/>
  <c r="AB4591" i="11"/>
  <c r="AB4592" i="11"/>
  <c r="AB4593" i="11"/>
  <c r="AB4594" i="11"/>
  <c r="AB4595" i="11"/>
  <c r="AB4596" i="11"/>
  <c r="AB4597" i="11"/>
  <c r="AB4598" i="11"/>
  <c r="AB4599" i="11"/>
  <c r="AB4600" i="11"/>
  <c r="AB4601" i="11"/>
  <c r="AB4602" i="11"/>
  <c r="AB4603" i="11"/>
  <c r="AB4604" i="11"/>
  <c r="AB4605" i="11"/>
  <c r="AB4606" i="11"/>
  <c r="AB4607" i="11"/>
  <c r="AB4608" i="11"/>
  <c r="AB4609" i="11"/>
  <c r="AB4610" i="11"/>
  <c r="AB4611" i="11"/>
  <c r="AB4612" i="11"/>
  <c r="AB4613" i="11"/>
  <c r="AB4614" i="11"/>
  <c r="AB4615" i="11"/>
  <c r="AB4616" i="11"/>
  <c r="AB4617" i="11"/>
  <c r="AB4618" i="11"/>
  <c r="AB4619" i="11"/>
  <c r="AB4620" i="11"/>
  <c r="AB4621" i="11"/>
  <c r="AB4622" i="11"/>
  <c r="AB4623" i="11"/>
  <c r="AB4624" i="11"/>
  <c r="AB4625" i="11"/>
  <c r="AB4626" i="11"/>
  <c r="AB4627" i="11"/>
  <c r="AB4628" i="11"/>
  <c r="AB4629" i="11"/>
  <c r="AB4630" i="11"/>
  <c r="AB4631" i="11"/>
  <c r="AB4632" i="11"/>
  <c r="AB4633" i="11"/>
  <c r="AB4634" i="11"/>
  <c r="AB4635" i="11"/>
  <c r="AB4636" i="11"/>
  <c r="AB4637" i="11"/>
  <c r="AB4638" i="11"/>
  <c r="AB4639" i="11"/>
  <c r="AB4640" i="11"/>
  <c r="AB4641" i="11"/>
  <c r="AB4642" i="11"/>
  <c r="AB4643" i="11"/>
  <c r="AB4644" i="11"/>
  <c r="AB4645" i="11"/>
  <c r="AB4646" i="11"/>
  <c r="AB4647" i="11"/>
  <c r="AB4648" i="11"/>
  <c r="AB4649" i="11"/>
  <c r="AB4650" i="11"/>
  <c r="AB4651" i="11"/>
  <c r="AB4652" i="11"/>
  <c r="AB4653" i="11"/>
  <c r="AB4654" i="11"/>
  <c r="AB4655" i="11"/>
  <c r="AB4656" i="11"/>
  <c r="AB4657" i="11"/>
  <c r="AB4658" i="11"/>
  <c r="AB4659" i="11"/>
  <c r="AB4660" i="11"/>
  <c r="AB4661" i="11"/>
  <c r="AB4662" i="11"/>
  <c r="AB4663" i="11"/>
  <c r="AB4664" i="11"/>
  <c r="AB4665" i="11"/>
  <c r="AB4666" i="11"/>
  <c r="AB4667" i="11"/>
  <c r="AB4668" i="11"/>
  <c r="AB4669" i="11"/>
  <c r="AB4670" i="11"/>
  <c r="AB4671" i="11"/>
  <c r="AB4672" i="11"/>
  <c r="AB4673" i="11"/>
  <c r="AB4674" i="11"/>
  <c r="AB4675" i="11"/>
  <c r="AB4676" i="11"/>
  <c r="AB4677" i="11"/>
  <c r="AB4678" i="11"/>
  <c r="AB4679" i="11"/>
  <c r="AB4680" i="11"/>
  <c r="AB4681" i="11"/>
  <c r="AB4682" i="11"/>
  <c r="AB4683" i="11"/>
  <c r="AB4684" i="11"/>
  <c r="AB4685" i="11"/>
  <c r="AB4686" i="11"/>
  <c r="AB4687" i="11"/>
  <c r="AB4688" i="11"/>
  <c r="AB4689" i="11"/>
  <c r="AB4690" i="11"/>
  <c r="AB4691" i="11"/>
  <c r="AB4692" i="11"/>
  <c r="AB4693" i="11"/>
  <c r="AB4694" i="11"/>
  <c r="AB4695" i="11"/>
  <c r="AB4696" i="11"/>
  <c r="AB4697" i="11"/>
  <c r="AB4698" i="11"/>
  <c r="AB4699" i="11"/>
  <c r="AB4700" i="11"/>
  <c r="AB4701" i="11"/>
  <c r="AB4702" i="11"/>
  <c r="AB4703" i="11"/>
  <c r="AB4704" i="11"/>
  <c r="AB4705" i="11"/>
  <c r="AB4706" i="11"/>
  <c r="AB4707" i="11"/>
  <c r="AB4708" i="11"/>
  <c r="AB4709" i="11"/>
  <c r="AB4710" i="11"/>
  <c r="AB4711" i="11"/>
  <c r="AB4712" i="11"/>
  <c r="AB4713" i="11"/>
  <c r="AB4714" i="11"/>
  <c r="AB4715" i="11"/>
  <c r="AB4716" i="11"/>
  <c r="AB4717" i="11"/>
  <c r="AB4718" i="11"/>
  <c r="AB4719" i="11"/>
  <c r="AB4720" i="11"/>
  <c r="AB4721" i="11"/>
  <c r="AB4722" i="11"/>
  <c r="AB4723" i="11"/>
  <c r="AB4724" i="11"/>
  <c r="AB4725" i="11"/>
  <c r="AB4726" i="11"/>
  <c r="AB4727" i="11"/>
  <c r="AB4728" i="11"/>
  <c r="AB4729" i="11"/>
  <c r="AB4730" i="11"/>
  <c r="AB4731" i="11"/>
  <c r="AB4732" i="11"/>
  <c r="AB4733" i="11"/>
  <c r="AB4734" i="11"/>
  <c r="AB4735" i="11"/>
  <c r="AB4736" i="11"/>
  <c r="AB4737" i="11"/>
  <c r="AB4738" i="11"/>
  <c r="AB4739" i="11"/>
  <c r="AB4740" i="11"/>
  <c r="AB4741" i="11"/>
  <c r="AB4742" i="11"/>
  <c r="AB4743" i="11"/>
  <c r="AB4744" i="11"/>
  <c r="AB4745" i="11"/>
  <c r="AB4746" i="11"/>
  <c r="AB4747" i="11"/>
  <c r="AB4748" i="11"/>
  <c r="AB4749" i="11"/>
  <c r="AB4750" i="11"/>
  <c r="AB4751" i="11"/>
  <c r="AB4752" i="11"/>
  <c r="AB4753" i="11"/>
  <c r="AB4754" i="11"/>
  <c r="AB4755" i="11"/>
  <c r="AB4756" i="11"/>
  <c r="AB4757" i="11"/>
  <c r="AB4758" i="11"/>
  <c r="AB4759" i="11"/>
  <c r="AB4760" i="11"/>
  <c r="AB4761" i="11"/>
  <c r="AB4762" i="11"/>
  <c r="AB4763" i="11"/>
  <c r="AB4764" i="11"/>
  <c r="AB4765" i="11"/>
  <c r="AB4766" i="11"/>
  <c r="AB4767" i="11"/>
  <c r="AB4768" i="11"/>
  <c r="AB4769" i="11"/>
  <c r="AB4770" i="11"/>
  <c r="AB4771" i="11"/>
  <c r="AB4772" i="11"/>
  <c r="AB4773" i="11"/>
  <c r="AB4774" i="11"/>
  <c r="AB4775" i="11"/>
  <c r="AB4776" i="11"/>
  <c r="AB4777" i="11"/>
  <c r="AB4778" i="11"/>
  <c r="AB4779" i="11"/>
  <c r="AB4780" i="11"/>
  <c r="AB4781" i="11"/>
  <c r="AB4782" i="11"/>
  <c r="AB4783" i="11"/>
  <c r="AB4784" i="11"/>
  <c r="AB4785" i="11"/>
  <c r="AB4786" i="11"/>
  <c r="AB4787" i="11"/>
  <c r="AB4788" i="11"/>
  <c r="AB4789" i="11"/>
  <c r="AB4790" i="11"/>
  <c r="AB4791" i="11"/>
  <c r="AB4792" i="11"/>
  <c r="AB4793" i="11"/>
  <c r="AB4794" i="11"/>
  <c r="AB4795" i="11"/>
  <c r="AB4796" i="11"/>
  <c r="AB4797" i="11"/>
  <c r="AB4798" i="11"/>
  <c r="AB4799" i="11"/>
  <c r="AB4800" i="11"/>
  <c r="AB4801" i="11"/>
  <c r="AB4802" i="11"/>
  <c r="AB4803" i="11"/>
  <c r="AB4804" i="11"/>
  <c r="AB4805" i="11"/>
  <c r="AB4806" i="11"/>
  <c r="AB4807" i="11"/>
  <c r="AB4808" i="11"/>
  <c r="AB4809" i="11"/>
  <c r="AB4810" i="11"/>
  <c r="AB4811" i="11"/>
  <c r="AB4812" i="11"/>
  <c r="AB4813" i="11"/>
  <c r="AB4814" i="11"/>
  <c r="AB4815" i="11"/>
  <c r="AB4816" i="11"/>
  <c r="AB4817" i="11"/>
  <c r="AB4818" i="11"/>
  <c r="AB4819" i="11"/>
  <c r="AB4820" i="11"/>
  <c r="AB4821" i="11"/>
  <c r="AB4822" i="11"/>
  <c r="AB4823" i="11"/>
  <c r="AB4824" i="11"/>
  <c r="AB4825" i="11"/>
  <c r="AB4826" i="11"/>
  <c r="AB4827" i="11"/>
  <c r="AB4828" i="11"/>
  <c r="AB4829" i="11"/>
  <c r="AB4830" i="11"/>
  <c r="AB4831" i="11"/>
  <c r="AB4832" i="11"/>
  <c r="AB4833" i="11"/>
  <c r="AB4834" i="11"/>
  <c r="AB4835" i="11"/>
  <c r="AB4836" i="11"/>
  <c r="AB4837" i="11"/>
  <c r="AB4838" i="11"/>
  <c r="AB4839" i="11"/>
  <c r="AB4840" i="11"/>
  <c r="AB4841" i="11"/>
  <c r="AB4842" i="11"/>
  <c r="AB4843" i="11"/>
  <c r="AB4844" i="11"/>
  <c r="AB4845" i="11"/>
  <c r="AB4846" i="11"/>
  <c r="AB4847" i="11"/>
  <c r="AB4848" i="11"/>
  <c r="AB4849" i="11"/>
  <c r="AB4850" i="11"/>
  <c r="AB4851" i="11"/>
  <c r="AB4852" i="11"/>
  <c r="AB4853" i="11"/>
  <c r="AB4854" i="11"/>
  <c r="AB4855" i="11"/>
  <c r="AB4856" i="11"/>
  <c r="AB4857" i="11"/>
  <c r="AB4858" i="11"/>
  <c r="AB4859" i="11"/>
  <c r="AB4860" i="11"/>
  <c r="AB4861" i="11"/>
  <c r="AB4862" i="11"/>
  <c r="AB4863" i="11"/>
  <c r="AB4864" i="11"/>
  <c r="AB4865" i="11"/>
  <c r="AB4866" i="11"/>
  <c r="AB4867" i="11"/>
  <c r="AB4868" i="11"/>
  <c r="AB4869" i="11"/>
  <c r="AB4870" i="11"/>
  <c r="AB4871" i="11"/>
  <c r="AB4872" i="11"/>
  <c r="AB4873" i="11"/>
  <c r="AB4874" i="11"/>
  <c r="AB4875" i="11"/>
  <c r="AB4876" i="11"/>
  <c r="AB4877" i="11"/>
  <c r="AB4878" i="11"/>
  <c r="AB4879" i="11"/>
  <c r="AB4880" i="11"/>
  <c r="AB4881" i="11"/>
  <c r="AB4882" i="11"/>
  <c r="AB4883" i="11"/>
  <c r="AB4884" i="11"/>
  <c r="AB4885" i="11"/>
  <c r="AB4886" i="11"/>
  <c r="AB4887" i="11"/>
  <c r="AB4888" i="11"/>
  <c r="AB4889" i="11"/>
  <c r="AB4890" i="11"/>
  <c r="AB4891" i="11"/>
  <c r="AB4892" i="11"/>
  <c r="AB4893" i="11"/>
  <c r="AB4894" i="11"/>
  <c r="AB4895" i="11"/>
  <c r="AB4896" i="11"/>
  <c r="AB4897" i="11"/>
  <c r="AB4898" i="11"/>
  <c r="AB4899" i="11"/>
  <c r="AB4900" i="11"/>
  <c r="AB4901" i="11"/>
  <c r="AB4902" i="11"/>
  <c r="AB4903" i="11"/>
  <c r="AB4904" i="11"/>
  <c r="AB4905" i="11"/>
  <c r="AB4906" i="11"/>
  <c r="AB4907" i="11"/>
  <c r="AB4908" i="11"/>
  <c r="AB4909" i="11"/>
  <c r="AB4910" i="11"/>
  <c r="AB4911" i="11"/>
  <c r="AB4912" i="11"/>
  <c r="AB4913" i="11"/>
  <c r="AB4914" i="11"/>
  <c r="AB4915" i="11"/>
  <c r="AB4916" i="11"/>
  <c r="AB4917" i="11"/>
  <c r="AB4918" i="11"/>
  <c r="AB4919" i="11"/>
  <c r="AB4920" i="11"/>
  <c r="AB4921" i="11"/>
  <c r="AB4922" i="11"/>
  <c r="AB4923" i="11"/>
  <c r="AB4924" i="11"/>
  <c r="AB4925" i="11"/>
  <c r="AB4926" i="11"/>
  <c r="AB4927" i="11"/>
  <c r="AB4928" i="11"/>
  <c r="AB4929" i="11"/>
  <c r="AB4930" i="11"/>
  <c r="AB4931" i="11"/>
  <c r="AB4932" i="11"/>
  <c r="AB4933" i="11"/>
  <c r="AB4934" i="11"/>
  <c r="AB4935" i="11"/>
  <c r="AB4936" i="11"/>
  <c r="AB4937" i="11"/>
  <c r="AB4938" i="11"/>
  <c r="AB4939" i="11"/>
  <c r="AB4940" i="11"/>
  <c r="AB4941" i="11"/>
  <c r="AB4942" i="11"/>
  <c r="AB4943" i="11"/>
  <c r="AB4944" i="11"/>
  <c r="AB4945" i="11"/>
  <c r="AB4946" i="11"/>
  <c r="AB4947" i="11"/>
  <c r="AB4948" i="11"/>
  <c r="AB4949" i="11"/>
  <c r="AB4950" i="11"/>
  <c r="AB4951" i="11"/>
  <c r="AB4952" i="11"/>
  <c r="AB4953" i="11"/>
  <c r="AB4954" i="11"/>
  <c r="AB4955" i="11"/>
  <c r="AB4956" i="11"/>
  <c r="AB4957" i="11"/>
  <c r="AB4958" i="11"/>
  <c r="AB4959" i="11"/>
  <c r="AB4960" i="11"/>
  <c r="AB4961" i="11"/>
  <c r="AB4962" i="11"/>
  <c r="AB4963" i="11"/>
  <c r="AB4964" i="11"/>
  <c r="AB4965" i="11"/>
  <c r="AB4966" i="11"/>
  <c r="AB4967" i="11"/>
  <c r="AB4968" i="11"/>
  <c r="AB4969" i="11"/>
  <c r="AB4970" i="11"/>
  <c r="AB4971" i="11"/>
  <c r="AB4972" i="11"/>
  <c r="AB4973" i="11"/>
  <c r="AB4974" i="11"/>
  <c r="AB4975" i="11"/>
  <c r="AB4976" i="11"/>
  <c r="AB4977" i="11"/>
  <c r="AB4978" i="11"/>
  <c r="AB4979" i="11"/>
  <c r="AB4980" i="11"/>
  <c r="AB4981" i="11"/>
  <c r="AB4982" i="11"/>
  <c r="AB4983" i="11"/>
  <c r="AB4984" i="11"/>
  <c r="AB4985" i="11"/>
  <c r="AB4986" i="11"/>
  <c r="AB4987" i="11"/>
  <c r="AB4988" i="11"/>
  <c r="AB4989" i="11"/>
  <c r="AB4990" i="11"/>
  <c r="AB4991" i="11"/>
  <c r="AB4992" i="11"/>
  <c r="AB4993" i="11"/>
  <c r="AB4994" i="11"/>
  <c r="AB4995" i="11"/>
  <c r="AB4996" i="11"/>
  <c r="AB4997" i="11"/>
  <c r="AB4998" i="11"/>
  <c r="AB4999" i="11"/>
  <c r="AB5000" i="11"/>
  <c r="AB5" i="11"/>
  <c r="R4" i="11" l="1"/>
  <c r="Q4" i="11"/>
  <c r="I4" i="11"/>
  <c r="J4" i="11"/>
  <c r="K4" i="11"/>
  <c r="L4" i="11"/>
  <c r="M4" i="11"/>
  <c r="N4" i="11"/>
  <c r="O4" i="11"/>
  <c r="B12" i="3"/>
  <c r="G1" i="4" s="1"/>
  <c r="B11" i="3"/>
  <c r="F1" i="4" s="1"/>
  <c r="B5" i="3"/>
  <c r="B4" i="3"/>
  <c r="K12" i="4" l="1"/>
  <c r="K10" i="4"/>
  <c r="K8" i="4"/>
  <c r="K6" i="4"/>
  <c r="K16" i="4" l="1"/>
  <c r="K14" i="4"/>
  <c r="K66" i="4"/>
  <c r="K64" i="4"/>
  <c r="K62" i="4"/>
  <c r="K60" i="4"/>
  <c r="K58" i="4"/>
  <c r="K56" i="4"/>
  <c r="K54" i="4"/>
  <c r="K52" i="4"/>
  <c r="K50" i="4"/>
  <c r="K48" i="4"/>
  <c r="K46" i="4"/>
  <c r="K40" i="4"/>
  <c r="K38" i="4"/>
  <c r="K36" i="4"/>
  <c r="K34" i="4"/>
  <c r="K32" i="4"/>
  <c r="K30" i="4"/>
  <c r="K28" i="4"/>
  <c r="K26" i="4"/>
  <c r="K24" i="4"/>
  <c r="K22" i="4"/>
  <c r="K20" i="4"/>
  <c r="K18" i="4"/>
  <c r="B5" i="4" l="1"/>
  <c r="B10" i="3"/>
  <c r="B9" i="3"/>
  <c r="B8" i="3"/>
  <c r="B7" i="3"/>
  <c r="B6" i="3"/>
  <c r="B3" i="3"/>
  <c r="P4" i="11"/>
  <c r="B4" i="4"/>
  <c r="I62" i="4"/>
  <c r="F42" i="4"/>
  <c r="F18" i="4"/>
  <c r="H52" i="4"/>
  <c r="I42" i="4"/>
  <c r="E66" i="4"/>
  <c r="G66" i="4"/>
  <c r="H26" i="4"/>
  <c r="E52" i="4"/>
  <c r="G22" i="4"/>
  <c r="I46" i="4"/>
  <c r="I24" i="4"/>
  <c r="H44" i="4"/>
  <c r="E32" i="4"/>
  <c r="G12" i="4"/>
  <c r="F52" i="4"/>
  <c r="E36" i="4"/>
  <c r="H32" i="4"/>
  <c r="I58" i="4"/>
  <c r="G50" i="4"/>
  <c r="F22" i="4"/>
  <c r="E12" i="4"/>
  <c r="H14" i="4"/>
  <c r="F12" i="4"/>
  <c r="I20" i="4"/>
  <c r="H56" i="4"/>
  <c r="E38" i="4"/>
  <c r="I14" i="4"/>
  <c r="F40" i="4"/>
  <c r="G36" i="4"/>
  <c r="I52" i="4"/>
  <c r="I66" i="4"/>
  <c r="F44" i="4"/>
  <c r="G62" i="4"/>
  <c r="G58" i="4"/>
  <c r="I48" i="4"/>
  <c r="G44" i="4"/>
  <c r="F14" i="4"/>
  <c r="I26" i="4"/>
  <c r="I34" i="4"/>
  <c r="G32" i="4"/>
  <c r="F10" i="4"/>
  <c r="E14" i="4"/>
  <c r="G20" i="4"/>
  <c r="H34" i="4"/>
  <c r="E34" i="4"/>
  <c r="G38" i="4"/>
  <c r="F30" i="4"/>
  <c r="E20" i="4"/>
  <c r="G34" i="4"/>
  <c r="I60" i="4"/>
  <c r="F36" i="4"/>
  <c r="F50" i="4"/>
  <c r="E24" i="4"/>
  <c r="G46" i="4"/>
  <c r="I22" i="4"/>
  <c r="H54" i="4"/>
  <c r="F24" i="4"/>
  <c r="H48" i="4"/>
  <c r="H58" i="4"/>
  <c r="G42" i="4"/>
  <c r="G24" i="4"/>
  <c r="H20" i="4"/>
  <c r="F56" i="4"/>
  <c r="H36" i="4"/>
  <c r="E42" i="4"/>
  <c r="I32" i="4"/>
  <c r="G26" i="4"/>
  <c r="F26" i="4"/>
  <c r="I16" i="4"/>
  <c r="F28" i="4"/>
  <c r="H38" i="4"/>
  <c r="H62" i="4"/>
  <c r="F62" i="4"/>
  <c r="I54" i="4"/>
  <c r="G8" i="4"/>
  <c r="E16" i="4"/>
  <c r="I56" i="4"/>
  <c r="I6" i="4"/>
  <c r="E48" i="4"/>
  <c r="F64" i="4"/>
  <c r="I50" i="4"/>
  <c r="H40" i="4"/>
  <c r="G56" i="4"/>
  <c r="F38" i="4"/>
  <c r="E46" i="4"/>
  <c r="H42" i="4"/>
  <c r="F66" i="4"/>
  <c r="E54" i="4"/>
  <c r="H60" i="4"/>
  <c r="E28" i="4"/>
  <c r="G52" i="4"/>
  <c r="H18" i="4"/>
  <c r="F48" i="4"/>
  <c r="G60" i="4"/>
  <c r="I8" i="4"/>
  <c r="E56" i="4"/>
  <c r="H28" i="4"/>
  <c r="E6" i="4"/>
  <c r="H50" i="4"/>
  <c r="H64" i="4"/>
  <c r="F60" i="4"/>
  <c r="I12" i="4"/>
  <c r="I30" i="4"/>
  <c r="G16" i="4"/>
  <c r="E60" i="4"/>
  <c r="F8" i="4"/>
  <c r="H8" i="4"/>
  <c r="H22" i="4"/>
  <c r="F20" i="4"/>
  <c r="G48" i="4"/>
  <c r="E30" i="4"/>
  <c r="E26" i="4"/>
  <c r="G10" i="4"/>
  <c r="H12" i="4"/>
  <c r="G28" i="4"/>
  <c r="I38" i="4"/>
  <c r="E10" i="4"/>
  <c r="G18" i="4"/>
  <c r="F32" i="4"/>
  <c r="G30" i="4"/>
  <c r="E8" i="4"/>
  <c r="I40" i="4"/>
  <c r="H10" i="4"/>
  <c r="E22" i="4"/>
  <c r="H30" i="4"/>
  <c r="H66" i="4"/>
  <c r="I36" i="4"/>
  <c r="E18" i="4"/>
  <c r="E64" i="4"/>
  <c r="F34" i="4"/>
  <c r="H46" i="4"/>
  <c r="G40" i="4"/>
  <c r="F46" i="4"/>
  <c r="I10" i="4"/>
  <c r="I44" i="4"/>
  <c r="G14" i="4"/>
  <c r="E58" i="4"/>
  <c r="H24" i="4"/>
  <c r="H16" i="4"/>
  <c r="I28" i="4"/>
  <c r="G54" i="4"/>
  <c r="I18" i="4"/>
  <c r="E40" i="4"/>
  <c r="F54" i="4"/>
  <c r="I64" i="4"/>
  <c r="F16" i="4"/>
  <c r="F58" i="4"/>
  <c r="G64" i="4"/>
  <c r="E44" i="4"/>
  <c r="E50" i="4"/>
  <c r="E62" i="4"/>
  <c r="J48" i="4" l="1"/>
  <c r="M48" i="4" s="1"/>
  <c r="J46" i="4"/>
  <c r="M46" i="4" s="1"/>
  <c r="J44" i="4"/>
  <c r="M44" i="4" s="1"/>
  <c r="J42" i="4"/>
  <c r="M42" i="4" s="1"/>
  <c r="J40" i="4"/>
  <c r="M40" i="4" s="1"/>
  <c r="J38" i="4"/>
  <c r="M38" i="4" s="1"/>
  <c r="J36" i="4"/>
  <c r="M36" i="4" s="1"/>
  <c r="J34" i="4"/>
  <c r="M34" i="4" s="1"/>
  <c r="J32" i="4"/>
  <c r="M32" i="4" s="1"/>
  <c r="J30" i="4"/>
  <c r="M30" i="4" s="1"/>
  <c r="J28" i="4"/>
  <c r="M28" i="4" s="1"/>
  <c r="J26" i="4"/>
  <c r="M26" i="4" s="1"/>
  <c r="J24" i="4"/>
  <c r="M24" i="4" s="1"/>
  <c r="J22" i="4"/>
  <c r="M22" i="4" s="1"/>
  <c r="J20" i="4"/>
  <c r="M20" i="4" s="1"/>
  <c r="J18" i="4"/>
  <c r="M18" i="4" s="1"/>
  <c r="J10" i="4"/>
  <c r="N10" i="4" s="1"/>
  <c r="E11" i="4" l="1"/>
  <c r="F11" i="4"/>
  <c r="G11" i="4"/>
  <c r="H11" i="4"/>
  <c r="I11" i="4"/>
  <c r="E1" i="4" l="1"/>
  <c r="D1" i="4"/>
  <c r="C1" i="4"/>
  <c r="B1" i="4"/>
  <c r="I3" i="4" l="1"/>
  <c r="G5" i="4"/>
  <c r="F5" i="4"/>
  <c r="E5" i="4"/>
  <c r="H5" i="4"/>
  <c r="Q8" i="10"/>
  <c r="Q66" i="10"/>
  <c r="Q64" i="10"/>
  <c r="Q62" i="10"/>
  <c r="Q60" i="10"/>
  <c r="Q58" i="10"/>
  <c r="Q56" i="10"/>
  <c r="Q54" i="10"/>
  <c r="Q52" i="10"/>
  <c r="Q50" i="10"/>
  <c r="Q48" i="10"/>
  <c r="Q46" i="10"/>
  <c r="Q44" i="10"/>
  <c r="Q42" i="10"/>
  <c r="Q40" i="10"/>
  <c r="Q38" i="10"/>
  <c r="Q36" i="10"/>
  <c r="Q34" i="10"/>
  <c r="Q32" i="10"/>
  <c r="Q30" i="10"/>
  <c r="Q28" i="10"/>
  <c r="Q26" i="10"/>
  <c r="Q24" i="10"/>
  <c r="Q22" i="10"/>
  <c r="Q20" i="10"/>
  <c r="Q18" i="10"/>
  <c r="Q16" i="10"/>
  <c r="Q14" i="10"/>
  <c r="Q12" i="10"/>
  <c r="Q10" i="10"/>
  <c r="B6" i="10" l="1"/>
  <c r="A6" i="10"/>
  <c r="G7" i="10" s="1"/>
  <c r="O7" i="10" l="1"/>
  <c r="J7" i="10"/>
  <c r="M7" i="10"/>
  <c r="D7" i="10"/>
  <c r="F7" i="10"/>
  <c r="I7" i="10"/>
  <c r="L7" i="10"/>
  <c r="B7" i="10" l="1"/>
  <c r="A7" i="10"/>
  <c r="J64" i="4" l="1"/>
  <c r="A38" i="4"/>
  <c r="J52" i="4"/>
  <c r="M52" i="4" s="1"/>
  <c r="J62" i="4"/>
  <c r="M62" i="4" s="1"/>
  <c r="J14" i="4"/>
  <c r="M14" i="4" s="1"/>
  <c r="J56" i="4"/>
  <c r="M56" i="4" s="1"/>
  <c r="J66" i="4"/>
  <c r="M66" i="4" s="1"/>
  <c r="J12" i="4"/>
  <c r="N12" i="4" s="1"/>
  <c r="J60" i="4"/>
  <c r="M60" i="4" s="1"/>
  <c r="J50" i="4"/>
  <c r="M50" i="4" s="1"/>
  <c r="A24" i="4"/>
  <c r="J58" i="4"/>
  <c r="M58" i="4" s="1"/>
  <c r="A40" i="4"/>
  <c r="J54" i="4"/>
  <c r="M54" i="4" s="1"/>
  <c r="J16" i="4"/>
  <c r="A36" i="4"/>
  <c r="A26" i="4"/>
  <c r="J8" i="4"/>
  <c r="N8" i="4" s="1"/>
  <c r="A22" i="4"/>
  <c r="E17" i="4" l="1"/>
  <c r="M16" i="4"/>
  <c r="A64" i="4"/>
  <c r="M64" i="4"/>
  <c r="N14" i="4"/>
  <c r="P6" i="4"/>
  <c r="N28" i="4"/>
  <c r="A28" i="4"/>
  <c r="N58" i="4"/>
  <c r="A58" i="4"/>
  <c r="N60" i="4"/>
  <c r="A60" i="4"/>
  <c r="N32" i="4"/>
  <c r="A32" i="4"/>
  <c r="N56" i="4"/>
  <c r="A56" i="4"/>
  <c r="N52" i="4"/>
  <c r="A52" i="4"/>
  <c r="N54" i="4"/>
  <c r="A54" i="4"/>
  <c r="N46" i="4"/>
  <c r="A46" i="4"/>
  <c r="N48" i="4"/>
  <c r="A48" i="4"/>
  <c r="N20" i="4"/>
  <c r="A20" i="4"/>
  <c r="N34" i="4"/>
  <c r="A34" i="4"/>
  <c r="N30" i="4"/>
  <c r="A30" i="4"/>
  <c r="N50" i="4"/>
  <c r="A50" i="4"/>
  <c r="N42" i="4"/>
  <c r="A42" i="4"/>
  <c r="N66" i="4"/>
  <c r="A66" i="4"/>
  <c r="N62" i="4"/>
  <c r="A62" i="4"/>
  <c r="N44" i="4"/>
  <c r="A44" i="4"/>
  <c r="N18" i="4"/>
  <c r="A18" i="4"/>
  <c r="N16" i="4"/>
  <c r="N38" i="4"/>
  <c r="E39" i="4"/>
  <c r="N40" i="4"/>
  <c r="E41" i="4"/>
  <c r="E23" i="4"/>
  <c r="N22" i="4"/>
  <c r="E25" i="4"/>
  <c r="N24" i="4"/>
  <c r="E27" i="4"/>
  <c r="N26" i="4"/>
  <c r="I65" i="4"/>
  <c r="N64" i="4"/>
  <c r="I37" i="4"/>
  <c r="N36" i="4"/>
  <c r="P7" i="4"/>
  <c r="E15" i="4"/>
  <c r="G15" i="4"/>
  <c r="F15" i="4"/>
  <c r="H9" i="4"/>
  <c r="I9" i="4"/>
  <c r="G9" i="4"/>
  <c r="E9" i="4"/>
  <c r="G42" i="10"/>
  <c r="G43" i="10" s="1"/>
  <c r="J42" i="10"/>
  <c r="J43" i="10" s="1"/>
  <c r="D38" i="10"/>
  <c r="D39" i="10" s="1"/>
  <c r="G32" i="10"/>
  <c r="G33" i="10" s="1"/>
  <c r="D22" i="10"/>
  <c r="D23" i="10" s="1"/>
  <c r="M22" i="10"/>
  <c r="M23" i="10" s="1"/>
  <c r="G66" i="10"/>
  <c r="G67" i="10" s="1"/>
  <c r="M44" i="10"/>
  <c r="M45" i="10" s="1"/>
  <c r="J34" i="10"/>
  <c r="J35" i="10" s="1"/>
  <c r="G60" i="10"/>
  <c r="G61" i="10" s="1"/>
  <c r="G22" i="10"/>
  <c r="G23" i="10" s="1"/>
  <c r="D34" i="10"/>
  <c r="D35" i="10" s="1"/>
  <c r="D36" i="10"/>
  <c r="D37" i="10" s="1"/>
  <c r="D54" i="10"/>
  <c r="D55" i="10" s="1"/>
  <c r="D44" i="10"/>
  <c r="D45" i="10" s="1"/>
  <c r="D58" i="10"/>
  <c r="D59" i="10" s="1"/>
  <c r="M32" i="10"/>
  <c r="M33" i="10" s="1"/>
  <c r="D12" i="10"/>
  <c r="D13" i="10" s="1"/>
  <c r="M60" i="10"/>
  <c r="M61" i="10" s="1"/>
  <c r="G30" i="10"/>
  <c r="G31" i="10" s="1"/>
  <c r="G54" i="10"/>
  <c r="G55" i="10" s="1"/>
  <c r="G38" i="10"/>
  <c r="G39" i="10" s="1"/>
  <c r="D42" i="10"/>
  <c r="D43" i="10" s="1"/>
  <c r="D52" i="10"/>
  <c r="D53" i="10" s="1"/>
  <c r="D60" i="10"/>
  <c r="D61" i="10" s="1"/>
  <c r="J56" i="10"/>
  <c r="J57" i="10" s="1"/>
  <c r="M24" i="10"/>
  <c r="M25" i="10" s="1"/>
  <c r="J10" i="10"/>
  <c r="J11" i="10" s="1"/>
  <c r="D32" i="10"/>
  <c r="D33" i="10" s="1"/>
  <c r="M10" i="10"/>
  <c r="M11" i="10" s="1"/>
  <c r="G64" i="10"/>
  <c r="G65" i="10" s="1"/>
  <c r="M12" i="10"/>
  <c r="M13" i="10" s="1"/>
  <c r="G58" i="10"/>
  <c r="G59" i="10" s="1"/>
  <c r="D46" i="10"/>
  <c r="D47" i="10" s="1"/>
  <c r="G14" i="10"/>
  <c r="G15" i="10" s="1"/>
  <c r="D28" i="10"/>
  <c r="D29" i="10" s="1"/>
  <c r="G16" i="10"/>
  <c r="G17" i="10" s="1"/>
  <c r="D14" i="10"/>
  <c r="D15" i="10" s="1"/>
  <c r="M28" i="10"/>
  <c r="M29" i="10" s="1"/>
  <c r="J50" i="10"/>
  <c r="J51" i="10" s="1"/>
  <c r="J60" i="10"/>
  <c r="J61" i="10" s="1"/>
  <c r="G52" i="10"/>
  <c r="G53" i="10" s="1"/>
  <c r="M54" i="10"/>
  <c r="M55" i="10" s="1"/>
  <c r="M52" i="10"/>
  <c r="M53" i="10" s="1"/>
  <c r="M16" i="10"/>
  <c r="M17" i="10" s="1"/>
  <c r="J8" i="10"/>
  <c r="J9" i="10" s="1"/>
  <c r="M38" i="10"/>
  <c r="M39" i="10" s="1"/>
  <c r="G56" i="10"/>
  <c r="G57" i="10" s="1"/>
  <c r="G50" i="10"/>
  <c r="G51" i="10" s="1"/>
  <c r="G46" i="10"/>
  <c r="G47" i="10" s="1"/>
  <c r="J24" i="10"/>
  <c r="D24" i="10"/>
  <c r="D25" i="10" s="1"/>
  <c r="M18" i="10"/>
  <c r="M19" i="10" s="1"/>
  <c r="J22" i="10"/>
  <c r="J23" i="10" s="1"/>
  <c r="G34" i="10"/>
  <c r="G35" i="10" s="1"/>
  <c r="J36" i="10"/>
  <c r="J37" i="10" s="1"/>
  <c r="J66" i="10"/>
  <c r="J67" i="10" s="1"/>
  <c r="M46" i="10"/>
  <c r="M47" i="10" s="1"/>
  <c r="M42" i="10"/>
  <c r="J62" i="10"/>
  <c r="J63" i="10" s="1"/>
  <c r="J54" i="10"/>
  <c r="J55" i="10" s="1"/>
  <c r="J28" i="10"/>
  <c r="J29" i="10" s="1"/>
  <c r="G24" i="10"/>
  <c r="G25" i="10" s="1"/>
  <c r="J64" i="10"/>
  <c r="J65" i="10" s="1"/>
  <c r="D26" i="10"/>
  <c r="D27" i="10" s="1"/>
  <c r="M48" i="10"/>
  <c r="M49" i="10" s="1"/>
  <c r="D48" i="10"/>
  <c r="D49" i="10" s="1"/>
  <c r="M62" i="10"/>
  <c r="M63" i="10" s="1"/>
  <c r="D18" i="10"/>
  <c r="D19" i="10" s="1"/>
  <c r="G40" i="10"/>
  <c r="G41" i="10" s="1"/>
  <c r="J16" i="10"/>
  <c r="J17" i="10" s="1"/>
  <c r="J20" i="10"/>
  <c r="J21" i="10" s="1"/>
  <c r="D8" i="10"/>
  <c r="D9" i="10" s="1"/>
  <c r="D62" i="10"/>
  <c r="D63" i="10" s="1"/>
  <c r="M50" i="10"/>
  <c r="M51" i="10" s="1"/>
  <c r="J30" i="10"/>
  <c r="J31" i="10" s="1"/>
  <c r="J26" i="10"/>
  <c r="J27" i="10" s="1"/>
  <c r="M26" i="10"/>
  <c r="D20" i="10"/>
  <c r="D21" i="10" s="1"/>
  <c r="G8" i="10"/>
  <c r="G9" i="10" s="1"/>
  <c r="G44" i="10"/>
  <c r="G45" i="10" s="1"/>
  <c r="J52" i="10"/>
  <c r="J53" i="10" s="1"/>
  <c r="M8" i="10"/>
  <c r="M9" i="10" s="1"/>
  <c r="M40" i="10"/>
  <c r="M41" i="10" s="1"/>
  <c r="D56" i="10"/>
  <c r="D57" i="10" s="1"/>
  <c r="M30" i="10"/>
  <c r="M31" i="10" s="1"/>
  <c r="G26" i="10"/>
  <c r="G27" i="10" s="1"/>
  <c r="D30" i="10"/>
  <c r="D31" i="10" s="1"/>
  <c r="M36" i="10"/>
  <c r="M37" i="10" s="1"/>
  <c r="G48" i="10"/>
  <c r="G49" i="10" s="1"/>
  <c r="D50" i="10"/>
  <c r="D51" i="10" s="1"/>
  <c r="M64" i="10"/>
  <c r="M65" i="10" s="1"/>
  <c r="J40" i="10"/>
  <c r="J41" i="10" s="1"/>
  <c r="J44" i="10"/>
  <c r="J45" i="10" s="1"/>
  <c r="M34" i="10"/>
  <c r="M35" i="10" s="1"/>
  <c r="D40" i="10"/>
  <c r="D41" i="10" s="1"/>
  <c r="D64" i="10"/>
  <c r="D65" i="10" s="1"/>
  <c r="G20" i="10"/>
  <c r="G21" i="10" s="1"/>
  <c r="G36" i="10"/>
  <c r="G37" i="10" s="1"/>
  <c r="M14" i="10"/>
  <c r="M15" i="10" s="1"/>
  <c r="G28" i="10"/>
  <c r="D10" i="10"/>
  <c r="D11" i="10" s="1"/>
  <c r="J46" i="10"/>
  <c r="J47" i="10" s="1"/>
  <c r="G10" i="10"/>
  <c r="G11" i="10" s="1"/>
  <c r="M56" i="10"/>
  <c r="M57" i="10" s="1"/>
  <c r="M66" i="10"/>
  <c r="M67" i="10" s="1"/>
  <c r="J48" i="10"/>
  <c r="J49" i="10" s="1"/>
  <c r="G12" i="10"/>
  <c r="G13" i="10" s="1"/>
  <c r="M20" i="10"/>
  <c r="M21" i="10" s="1"/>
  <c r="G62" i="10"/>
  <c r="G63" i="10" s="1"/>
  <c r="J12" i="10"/>
  <c r="J13" i="10" s="1"/>
  <c r="D16" i="10"/>
  <c r="D17" i="10" s="1"/>
  <c r="J58" i="10"/>
  <c r="J59" i="10" s="1"/>
  <c r="J14" i="10"/>
  <c r="J15" i="10" s="1"/>
  <c r="G18" i="10"/>
  <c r="G19" i="10" s="1"/>
  <c r="J32" i="10"/>
  <c r="M58" i="10"/>
  <c r="M59" i="10" s="1"/>
  <c r="J18" i="10"/>
  <c r="J19" i="10" s="1"/>
  <c r="D66" i="10"/>
  <c r="D67" i="10" s="1"/>
  <c r="J38" i="10"/>
  <c r="G29" i="10"/>
  <c r="G23" i="4"/>
  <c r="H23" i="4"/>
  <c r="G27" i="4"/>
  <c r="H27" i="4"/>
  <c r="H55" i="4"/>
  <c r="G55" i="4"/>
  <c r="H59" i="4"/>
  <c r="G59" i="4"/>
  <c r="H61" i="4"/>
  <c r="G61" i="4"/>
  <c r="H33" i="4"/>
  <c r="G33" i="4"/>
  <c r="H57" i="4"/>
  <c r="G57" i="4"/>
  <c r="G53" i="4"/>
  <c r="H53" i="4"/>
  <c r="H29" i="4"/>
  <c r="G29" i="4"/>
  <c r="H41" i="4"/>
  <c r="G41" i="4"/>
  <c r="H25" i="4"/>
  <c r="G25" i="4"/>
  <c r="G47" i="4"/>
  <c r="H47" i="4"/>
  <c r="H49" i="4"/>
  <c r="G49" i="4"/>
  <c r="H21" i="4"/>
  <c r="G21" i="4"/>
  <c r="G39" i="4"/>
  <c r="H39" i="4"/>
  <c r="G37" i="4"/>
  <c r="H37" i="4"/>
  <c r="H19" i="4"/>
  <c r="G19" i="4"/>
  <c r="H35" i="4"/>
  <c r="G35" i="4"/>
  <c r="H13" i="4"/>
  <c r="G13" i="4"/>
  <c r="H15" i="4"/>
  <c r="G65" i="4"/>
  <c r="H65" i="4"/>
  <c r="H45" i="4"/>
  <c r="G45" i="4"/>
  <c r="H17" i="4"/>
  <c r="G17" i="4"/>
  <c r="G31" i="4"/>
  <c r="H31" i="4"/>
  <c r="H51" i="4"/>
  <c r="G51" i="4"/>
  <c r="G43" i="4"/>
  <c r="H43" i="4"/>
  <c r="H67" i="4"/>
  <c r="G67" i="4"/>
  <c r="G63" i="4"/>
  <c r="H63" i="4"/>
  <c r="E37" i="4"/>
  <c r="E19" i="4"/>
  <c r="E35" i="4"/>
  <c r="I13" i="4"/>
  <c r="I15" i="4"/>
  <c r="E65" i="4"/>
  <c r="I45" i="4"/>
  <c r="I31" i="4"/>
  <c r="E51" i="4"/>
  <c r="I43" i="4"/>
  <c r="E67" i="4"/>
  <c r="I63" i="4"/>
  <c r="F23" i="4"/>
  <c r="F27" i="4"/>
  <c r="E55" i="4"/>
  <c r="F59" i="4"/>
  <c r="F61" i="4"/>
  <c r="E33" i="4"/>
  <c r="F57" i="4"/>
  <c r="F53" i="4"/>
  <c r="I29" i="4"/>
  <c r="I41" i="4"/>
  <c r="F25" i="4"/>
  <c r="F47" i="4"/>
  <c r="E49" i="4"/>
  <c r="F21" i="4"/>
  <c r="I33" i="4"/>
  <c r="I53" i="4"/>
  <c r="I35" i="4"/>
  <c r="I39" i="4"/>
  <c r="F63" i="4"/>
  <c r="I51" i="4"/>
  <c r="I19" i="4"/>
  <c r="F19" i="4"/>
  <c r="E57" i="4"/>
  <c r="F45" i="4"/>
  <c r="E53" i="4"/>
  <c r="I67" i="4"/>
  <c r="I59" i="4"/>
  <c r="E29" i="4"/>
  <c r="F41" i="4"/>
  <c r="I55" i="4"/>
  <c r="I47" i="4"/>
  <c r="E43" i="4"/>
  <c r="F43" i="4"/>
  <c r="I21" i="4"/>
  <c r="E31" i="4"/>
  <c r="E59" i="4"/>
  <c r="E47" i="4"/>
  <c r="F35" i="4"/>
  <c r="E63" i="4"/>
  <c r="F65" i="4"/>
  <c r="I57" i="4"/>
  <c r="F31" i="4"/>
  <c r="E61" i="4"/>
  <c r="I17" i="4"/>
  <c r="F67" i="4"/>
  <c r="F33" i="4"/>
  <c r="I25" i="4"/>
  <c r="F29" i="4"/>
  <c r="F37" i="4"/>
  <c r="I61" i="4"/>
  <c r="F13" i="4"/>
  <c r="I27" i="4"/>
  <c r="E13" i="4"/>
  <c r="F17" i="4"/>
  <c r="E45" i="4"/>
  <c r="F9" i="4"/>
  <c r="I23" i="4"/>
  <c r="F51" i="4"/>
  <c r="F49" i="4"/>
  <c r="E21" i="4"/>
  <c r="F55" i="4"/>
  <c r="F39" i="4"/>
  <c r="I49" i="4"/>
  <c r="AB56" i="10"/>
  <c r="Y46" i="10"/>
  <c r="V66" i="10"/>
  <c r="S46" i="10"/>
  <c r="X36" i="10"/>
  <c r="Z16" i="10"/>
  <c r="Y22" i="10"/>
  <c r="S30" i="10"/>
  <c r="U8" i="10"/>
  <c r="Z50" i="10"/>
  <c r="X42" i="10"/>
  <c r="W42" i="10"/>
  <c r="R16" i="10"/>
  <c r="AA30" i="10"/>
  <c r="W40" i="10"/>
  <c r="S26" i="10"/>
  <c r="T30" i="10"/>
  <c r="S16" i="10"/>
  <c r="U22" i="10"/>
  <c r="AA58" i="10"/>
  <c r="AA54" i="10"/>
  <c r="W64" i="10"/>
  <c r="AA66" i="10"/>
  <c r="AC62" i="10"/>
  <c r="W48" i="10"/>
  <c r="V36" i="10"/>
  <c r="T44" i="10"/>
  <c r="U40" i="10"/>
  <c r="R24" i="10"/>
  <c r="R38" i="10"/>
  <c r="AC36" i="10"/>
  <c r="Z40" i="10"/>
  <c r="Z66" i="10"/>
  <c r="AC16" i="10"/>
  <c r="R26" i="10"/>
  <c r="S18" i="10"/>
  <c r="W44" i="10"/>
  <c r="AB14" i="10"/>
  <c r="Y50" i="10"/>
  <c r="W58" i="10"/>
  <c r="T12" i="10"/>
  <c r="V40" i="10"/>
  <c r="Y20" i="10"/>
  <c r="T60" i="10"/>
  <c r="U46" i="10"/>
  <c r="R64" i="10"/>
  <c r="T22" i="10"/>
  <c r="U28" i="10"/>
  <c r="S24" i="10"/>
  <c r="X14" i="10"/>
  <c r="S66" i="10"/>
  <c r="V46" i="10"/>
  <c r="Z42" i="10"/>
  <c r="X34" i="10"/>
  <c r="U24" i="10"/>
  <c r="V10" i="10"/>
  <c r="S42" i="10"/>
  <c r="W22" i="10"/>
  <c r="W20" i="10"/>
  <c r="Z34" i="10"/>
  <c r="AC54" i="10"/>
  <c r="AC64" i="10"/>
  <c r="T58" i="10"/>
  <c r="V28" i="10"/>
  <c r="U44" i="10"/>
  <c r="Y10" i="10"/>
  <c r="T28" i="10"/>
  <c r="T34" i="10"/>
  <c r="AB28" i="10"/>
  <c r="X50" i="10"/>
  <c r="Z22" i="10"/>
  <c r="W18" i="10"/>
  <c r="Y44" i="10"/>
  <c r="V14" i="10"/>
  <c r="V18" i="10"/>
  <c r="Y16" i="10"/>
  <c r="X58" i="10"/>
  <c r="R58" i="10"/>
  <c r="V34" i="10"/>
  <c r="S36" i="10"/>
  <c r="AB22" i="10"/>
  <c r="T18" i="10"/>
  <c r="Z54" i="10"/>
  <c r="AC42" i="10"/>
  <c r="Z32" i="10"/>
  <c r="G6" i="4"/>
  <c r="Z62" i="10"/>
  <c r="Y26" i="10"/>
  <c r="T52" i="10"/>
  <c r="Z46" i="10"/>
  <c r="Y30" i="10"/>
  <c r="Y62" i="10"/>
  <c r="W52" i="10"/>
  <c r="Z60" i="10"/>
  <c r="V62" i="10"/>
  <c r="R28" i="10"/>
  <c r="AB12" i="10"/>
  <c r="Z18" i="10"/>
  <c r="T14" i="10"/>
  <c r="AB66" i="10"/>
  <c r="X28" i="10"/>
  <c r="R54" i="10"/>
  <c r="AA40" i="10"/>
  <c r="U56" i="10"/>
  <c r="AC52" i="10"/>
  <c r="R60" i="10"/>
  <c r="R32" i="10"/>
  <c r="AC12" i="10"/>
  <c r="X32" i="10"/>
  <c r="S22" i="10"/>
  <c r="V48" i="10"/>
  <c r="X52" i="10"/>
  <c r="U38" i="10"/>
  <c r="AB38" i="10"/>
  <c r="Y60" i="10"/>
  <c r="X60" i="10"/>
  <c r="T56" i="10"/>
  <c r="Y52" i="10"/>
  <c r="AB62" i="10"/>
  <c r="X8" i="10"/>
  <c r="AC14" i="10"/>
  <c r="U10" i="10"/>
  <c r="AC66" i="10"/>
  <c r="X56" i="10"/>
  <c r="AB16" i="10"/>
  <c r="R30" i="10"/>
  <c r="V56" i="10"/>
  <c r="U58" i="10"/>
  <c r="Y66" i="10"/>
  <c r="H6" i="4"/>
  <c r="Z58" i="10"/>
  <c r="W54" i="10"/>
  <c r="S20" i="10"/>
  <c r="Z48" i="10"/>
  <c r="W30" i="10"/>
  <c r="Z26" i="10"/>
  <c r="AB30" i="10"/>
  <c r="AA16" i="10"/>
  <c r="T20" i="10"/>
  <c r="W56" i="10"/>
  <c r="W16" i="10"/>
  <c r="Z20" i="10"/>
  <c r="S10" i="10"/>
  <c r="AB54" i="10"/>
  <c r="X30" i="10"/>
  <c r="V30" i="10"/>
  <c r="AA60" i="10"/>
  <c r="U42" i="10"/>
  <c r="AA64" i="10"/>
  <c r="AA56" i="10"/>
  <c r="X18" i="10"/>
  <c r="X38" i="10"/>
  <c r="AA42" i="10"/>
  <c r="U52" i="10"/>
  <c r="AC8" i="10"/>
  <c r="Z12" i="10"/>
  <c r="AB20" i="10"/>
  <c r="AB60" i="10"/>
  <c r="T16" i="10"/>
  <c r="R12" i="10"/>
  <c r="V42" i="10"/>
  <c r="U26" i="10"/>
  <c r="T42" i="10"/>
  <c r="V38" i="10"/>
  <c r="U32" i="10"/>
  <c r="U34" i="10"/>
  <c r="T8" i="10"/>
  <c r="Y42" i="10"/>
  <c r="AA36" i="10"/>
  <c r="R40" i="10"/>
  <c r="AB50" i="10"/>
  <c r="W26" i="10"/>
  <c r="AA46" i="10"/>
  <c r="Y8" i="10"/>
  <c r="U50" i="10"/>
  <c r="V32" i="10"/>
  <c r="Z14" i="10"/>
  <c r="X20" i="10"/>
  <c r="W46" i="10"/>
  <c r="Y14" i="10"/>
  <c r="AB32" i="10"/>
  <c r="R62" i="10"/>
  <c r="X40" i="10"/>
  <c r="X44" i="10"/>
  <c r="AC56" i="10"/>
  <c r="AC20" i="10"/>
  <c r="Y48" i="10"/>
  <c r="R50" i="10"/>
  <c r="V20" i="10"/>
  <c r="AB48" i="10"/>
  <c r="Y64" i="10"/>
  <c r="AB26" i="10"/>
  <c r="U60" i="10"/>
  <c r="X46" i="10"/>
  <c r="Y18" i="10"/>
  <c r="V44" i="10"/>
  <c r="AC34" i="10"/>
  <c r="X12" i="10"/>
  <c r="W62" i="10"/>
  <c r="W36" i="10"/>
  <c r="W8" i="10"/>
  <c r="AB18" i="10"/>
  <c r="V50" i="10"/>
  <c r="AC60" i="10"/>
  <c r="Y58" i="10"/>
  <c r="R8" i="10"/>
  <c r="V58" i="10"/>
  <c r="AA10" i="10"/>
  <c r="AA26" i="10"/>
  <c r="W66" i="10"/>
  <c r="Z38" i="10"/>
  <c r="Y54" i="10"/>
  <c r="Z8" i="10"/>
  <c r="AA32" i="10"/>
  <c r="X62" i="10"/>
  <c r="Y38" i="10"/>
  <c r="R42" i="10"/>
  <c r="Y12" i="10"/>
  <c r="AA22" i="10"/>
  <c r="Z52" i="10"/>
  <c r="R34" i="10"/>
  <c r="AB10" i="10"/>
  <c r="X64" i="10"/>
  <c r="V60" i="10"/>
  <c r="R10" i="10"/>
  <c r="AA8" i="10"/>
  <c r="U12" i="10"/>
  <c r="AC32" i="10"/>
  <c r="Z36" i="10"/>
  <c r="U62" i="10"/>
  <c r="Z28" i="10"/>
  <c r="AB40" i="10"/>
  <c r="S64" i="10"/>
  <c r="Z44" i="10"/>
  <c r="S44" i="10"/>
  <c r="Z24" i="10"/>
  <c r="W32" i="10"/>
  <c r="T46" i="10"/>
  <c r="V8" i="10"/>
  <c r="U18" i="10"/>
  <c r="AC58" i="10"/>
  <c r="R36" i="10"/>
  <c r="AC24" i="10"/>
  <c r="S8" i="10"/>
  <c r="AA52" i="10"/>
  <c r="AB42" i="10"/>
  <c r="AA24" i="10"/>
  <c r="V24" i="10"/>
  <c r="Y36" i="10"/>
  <c r="T54" i="10"/>
  <c r="V54" i="10"/>
  <c r="X10" i="10"/>
  <c r="AB44" i="10"/>
  <c r="S48" i="10"/>
  <c r="S62" i="10"/>
  <c r="R18" i="10"/>
  <c r="S14" i="10"/>
  <c r="V52" i="10"/>
  <c r="AA48" i="10"/>
  <c r="Y32" i="10"/>
  <c r="V22" i="10"/>
  <c r="AC40" i="10"/>
  <c r="AC30" i="10"/>
  <c r="AC22" i="10"/>
  <c r="S12" i="10"/>
  <c r="R46" i="10"/>
  <c r="Y28" i="10"/>
  <c r="Y56" i="10"/>
  <c r="Z10" i="10"/>
  <c r="AC26" i="10"/>
  <c r="R56" i="10"/>
  <c r="T26" i="10"/>
  <c r="R66" i="10"/>
  <c r="R48" i="10"/>
  <c r="X26" i="10"/>
  <c r="AA28" i="10"/>
  <c r="U66" i="10"/>
  <c r="Z56" i="10"/>
  <c r="T40" i="10"/>
  <c r="X48" i="10"/>
  <c r="V16" i="10"/>
  <c r="AC48" i="10"/>
  <c r="Z30" i="10"/>
  <c r="AB46" i="10"/>
  <c r="AA34" i="10"/>
  <c r="U48" i="10"/>
  <c r="W34" i="10"/>
  <c r="S40" i="10"/>
  <c r="U64" i="10"/>
  <c r="AB34" i="10"/>
  <c r="AC50" i="10"/>
  <c r="AA62" i="10"/>
  <c r="W60" i="10"/>
  <c r="W38" i="10"/>
  <c r="AC28" i="10"/>
  <c r="S50" i="10"/>
  <c r="T24" i="10"/>
  <c r="AC10" i="10"/>
  <c r="AA38" i="10"/>
  <c r="Z64" i="10"/>
  <c r="X24" i="10"/>
  <c r="S32" i="10"/>
  <c r="V26" i="10"/>
  <c r="S52" i="10"/>
  <c r="R44" i="10"/>
  <c r="AA44" i="10"/>
  <c r="Y40" i="10"/>
  <c r="T64" i="10"/>
  <c r="Y24" i="10"/>
  <c r="W10" i="10"/>
  <c r="W50" i="10"/>
  <c r="F6" i="4"/>
  <c r="U30" i="10"/>
  <c r="V64" i="10"/>
  <c r="U16" i="10"/>
  <c r="S60" i="10"/>
  <c r="W14" i="10"/>
  <c r="AC44" i="10"/>
  <c r="U54" i="10"/>
  <c r="AA12" i="10"/>
  <c r="AA18" i="10"/>
  <c r="AB36" i="10"/>
  <c r="AB52" i="10"/>
  <c r="U20" i="10"/>
  <c r="S28" i="10"/>
  <c r="AB24" i="10"/>
  <c r="X54" i="10"/>
  <c r="AB64" i="10"/>
  <c r="AA50" i="10"/>
  <c r="T32" i="10"/>
  <c r="AC46" i="10"/>
  <c r="W28" i="10"/>
  <c r="X66" i="10"/>
  <c r="R20" i="10"/>
  <c r="U14" i="10"/>
  <c r="S34" i="10"/>
  <c r="S54" i="10"/>
  <c r="AC38" i="10"/>
  <c r="AA14" i="10"/>
  <c r="Y34" i="10"/>
  <c r="AB8" i="10"/>
  <c r="T66" i="10"/>
  <c r="S38" i="10"/>
  <c r="X22" i="10"/>
  <c r="T50" i="10"/>
  <c r="AB58" i="10"/>
  <c r="U36" i="10"/>
  <c r="R14" i="10"/>
  <c r="X16" i="10"/>
  <c r="S56" i="10"/>
  <c r="V12" i="10"/>
  <c r="T38" i="10"/>
  <c r="S58" i="10"/>
  <c r="AC18" i="10"/>
  <c r="W12" i="10"/>
  <c r="R52" i="10"/>
  <c r="W24" i="10"/>
  <c r="T48" i="10"/>
  <c r="AA20" i="10"/>
  <c r="T36" i="10"/>
  <c r="R22" i="10"/>
  <c r="T62" i="10"/>
  <c r="T10" i="10"/>
  <c r="J6" i="4" l="1"/>
  <c r="M6" i="4" s="1"/>
  <c r="P38" i="10"/>
  <c r="P39" i="10" s="1"/>
  <c r="P36" i="10"/>
  <c r="P37" i="10" s="1"/>
  <c r="P42" i="10"/>
  <c r="P43" i="10" s="1"/>
  <c r="P56" i="10"/>
  <c r="P57" i="10" s="1"/>
  <c r="P50" i="10"/>
  <c r="P51" i="10" s="1"/>
  <c r="P58" i="10"/>
  <c r="P59" i="10" s="1"/>
  <c r="M43" i="10"/>
  <c r="P26" i="10"/>
  <c r="P27" i="10" s="1"/>
  <c r="P24" i="10"/>
  <c r="P25" i="10" s="1"/>
  <c r="P32" i="10"/>
  <c r="P33" i="10" s="1"/>
  <c r="P8" i="10"/>
  <c r="P9" i="10" s="1"/>
  <c r="P44" i="10"/>
  <c r="P45" i="10" s="1"/>
  <c r="P22" i="10"/>
  <c r="P23" i="10" s="1"/>
  <c r="P46" i="10"/>
  <c r="P47" i="10" s="1"/>
  <c r="M27" i="10"/>
  <c r="P62" i="10"/>
  <c r="P63" i="10" s="1"/>
  <c r="P18" i="10"/>
  <c r="P19" i="10" s="1"/>
  <c r="P14" i="10"/>
  <c r="P15" i="10" s="1"/>
  <c r="P54" i="10"/>
  <c r="P55" i="10" s="1"/>
  <c r="P34" i="10"/>
  <c r="P35" i="10" s="1"/>
  <c r="J39" i="10"/>
  <c r="P60" i="10"/>
  <c r="P61" i="10" s="1"/>
  <c r="J25" i="10"/>
  <c r="P28" i="10"/>
  <c r="P29" i="10" s="1"/>
  <c r="P10" i="10"/>
  <c r="P11" i="10" s="1"/>
  <c r="P52" i="10"/>
  <c r="P53" i="10" s="1"/>
  <c r="P64" i="10"/>
  <c r="P65" i="10" s="1"/>
  <c r="P30" i="10"/>
  <c r="P31" i="10" s="1"/>
  <c r="P40" i="10"/>
  <c r="P41" i="10" s="1"/>
  <c r="P12" i="10"/>
  <c r="P13" i="10" s="1"/>
  <c r="P66" i="10"/>
  <c r="P67" i="10" s="1"/>
  <c r="P48" i="10"/>
  <c r="P49" i="10" s="1"/>
  <c r="J33" i="10"/>
  <c r="P20" i="10"/>
  <c r="P21" i="10" s="1"/>
  <c r="P16" i="10"/>
  <c r="P17" i="10" s="1"/>
  <c r="O8" i="4" l="1"/>
  <c r="O6" i="4"/>
  <c r="E7" i="4"/>
  <c r="O7" i="4"/>
  <c r="H7" i="4"/>
  <c r="F7" i="4"/>
  <c r="I7" i="4"/>
  <c r="G7" i="4"/>
  <c r="N6" i="4"/>
</calcChain>
</file>

<file path=xl/comments1.xml><?xml version="1.0" encoding="utf-8"?>
<comments xmlns="http://schemas.openxmlformats.org/spreadsheetml/2006/main">
  <authors>
    <author>小牧市</author>
  </authors>
  <commentList>
    <comment ref="E68" authorId="0" shapeId="0">
      <text>
        <r>
          <rPr>
            <b/>
            <sz val="8"/>
            <color indexed="81"/>
            <rFont val="MS P ゴシック"/>
            <family val="3"/>
            <charset val="128"/>
          </rPr>
          <t xml:space="preserve">①選択肢４つ×②選択肢４つならＵ列参照
or
①選択肢４つ×②選択肢２つならＹ列参照
or
①選択肢２つ×②選択肢４つならＡＣ列参照
or
①選択肢２つ×②選択肢２つなら
　①の回答が「１」かつ②の回答が「１」
　かつ設問の条件「男など」の計
</t>
        </r>
      </text>
    </comment>
    <comment ref="H68" authorId="0" shapeId="0">
      <text>
        <r>
          <rPr>
            <b/>
            <sz val="8"/>
            <color indexed="81"/>
            <rFont val="MS P ゴシック"/>
            <family val="3"/>
            <charset val="128"/>
          </rPr>
          <t>①選択肢４つ×②選択肢４つならＴ列参照
or
①選択肢４つ×②選択肢２つならＸ列参照
or
①選択肢２つ×②選択肢４つならＡＢ列参照
or
①選択肢２つ×②選択肢２つなら
　①の回答が「１」かつ②の回答が「２」
　かつ設問の条件「男など」の計</t>
        </r>
      </text>
    </comment>
    <comment ref="K68" authorId="0" shapeId="0">
      <text>
        <r>
          <rPr>
            <b/>
            <sz val="8"/>
            <color indexed="81"/>
            <rFont val="MS P ゴシック"/>
            <family val="3"/>
            <charset val="128"/>
          </rPr>
          <t>①選択肢４つ×②選択肢４つならＳ列参照
or
①選択肢４つ×②選択肢２つならＷ列参照
or
①選択肢２つ×②選択肢４つならＡＡ列参照
or
①選択肢２つ×②選択肢２つなら
　①の回答が「２」かつ②の回答が「１」
　かつ設問の条件「男など」の計</t>
        </r>
      </text>
    </comment>
    <comment ref="O68" authorId="0" shapeId="0">
      <text>
        <r>
          <rPr>
            <b/>
            <sz val="8"/>
            <color indexed="81"/>
            <rFont val="MS P ゴシック"/>
            <family val="3"/>
            <charset val="128"/>
          </rPr>
          <t>①選択肢４つ×②選択肢４つならＲ列参照
or
①選択肢４つ×②選択肢２つならＶ列参照
or
①選択肢２つ×②選択肢４つならＺ列参照
or
①選択肢２つ×②選択肢２つなら
　①の回答が「２」かつ②の回答が「２」
　かつ設問の条件「男など」の計</t>
        </r>
      </text>
    </comment>
  </commentList>
</comments>
</file>

<file path=xl/sharedStrings.xml><?xml version="1.0" encoding="utf-8"?>
<sst xmlns="http://schemas.openxmlformats.org/spreadsheetml/2006/main" count="37496" uniqueCount="5126">
  <si>
    <t>性別</t>
  </si>
  <si>
    <t>未回答
/
非該当</t>
    <rPh sb="0" eb="3">
      <t>ミカイトウ</t>
    </rPh>
    <rPh sb="6" eb="9">
      <t>ヒガイトウ</t>
    </rPh>
    <phoneticPr fontId="23"/>
  </si>
  <si>
    <t>全体</t>
    <rPh sb="0" eb="2">
      <t>ゼンタイ</t>
    </rPh>
    <phoneticPr fontId="23"/>
  </si>
  <si>
    <t>回答数</t>
    <rPh sb="0" eb="3">
      <t>カイトウスウ</t>
    </rPh>
    <phoneticPr fontId="23"/>
  </si>
  <si>
    <t>割合</t>
    <rPh sb="0" eb="2">
      <t>ワリアイ</t>
    </rPh>
    <phoneticPr fontId="23"/>
  </si>
  <si>
    <t>性別</t>
    <rPh sb="0" eb="2">
      <t>セイベツ</t>
    </rPh>
    <phoneticPr fontId="23"/>
  </si>
  <si>
    <t>男性</t>
    <rPh sb="0" eb="2">
      <t>ダンセイ</t>
    </rPh>
    <phoneticPr fontId="23"/>
  </si>
  <si>
    <t>女性</t>
    <rPh sb="0" eb="2">
      <t>ジョセイ</t>
    </rPh>
    <phoneticPr fontId="23"/>
  </si>
  <si>
    <t>学年別</t>
    <rPh sb="0" eb="3">
      <t>ガクネンベツ</t>
    </rPh>
    <phoneticPr fontId="23"/>
  </si>
  <si>
    <t>小学５年生</t>
    <rPh sb="0" eb="2">
      <t>ショウガク</t>
    </rPh>
    <rPh sb="3" eb="5">
      <t>ネンセイ</t>
    </rPh>
    <phoneticPr fontId="23"/>
  </si>
  <si>
    <t>中学２年生</t>
    <rPh sb="0" eb="2">
      <t>チュウガク</t>
    </rPh>
    <rPh sb="3" eb="5">
      <t>ネンセイ</t>
    </rPh>
    <phoneticPr fontId="23"/>
  </si>
  <si>
    <t>学校別</t>
    <rPh sb="0" eb="2">
      <t>ガッコウ</t>
    </rPh>
    <rPh sb="2" eb="3">
      <t>ベツ</t>
    </rPh>
    <phoneticPr fontId="23"/>
  </si>
  <si>
    <t>小牧小学校</t>
    <rPh sb="0" eb="2">
      <t>コマキ</t>
    </rPh>
    <rPh sb="2" eb="5">
      <t>ショウガッコウ</t>
    </rPh>
    <phoneticPr fontId="23"/>
  </si>
  <si>
    <t>村中小学校</t>
    <rPh sb="0" eb="2">
      <t>ムラナカ</t>
    </rPh>
    <rPh sb="2" eb="5">
      <t>ショウガッコウ</t>
    </rPh>
    <phoneticPr fontId="23"/>
  </si>
  <si>
    <t>小牧南小学校</t>
    <rPh sb="0" eb="2">
      <t>コマキ</t>
    </rPh>
    <rPh sb="2" eb="3">
      <t>ミナミ</t>
    </rPh>
    <rPh sb="3" eb="6">
      <t>ショウガッコウ</t>
    </rPh>
    <phoneticPr fontId="23"/>
  </si>
  <si>
    <t>三ツ渕小学校</t>
    <phoneticPr fontId="23"/>
  </si>
  <si>
    <t>味岡小学校</t>
    <rPh sb="0" eb="2">
      <t>アジオカ</t>
    </rPh>
    <rPh sb="2" eb="5">
      <t>ショウガッコウ</t>
    </rPh>
    <phoneticPr fontId="23"/>
  </si>
  <si>
    <t>篠岡小学校</t>
    <rPh sb="0" eb="2">
      <t>シノオカ</t>
    </rPh>
    <rPh sb="2" eb="5">
      <t>ショウガッコウ</t>
    </rPh>
    <phoneticPr fontId="23"/>
  </si>
  <si>
    <t>北里小学校</t>
    <phoneticPr fontId="23"/>
  </si>
  <si>
    <t>米野小学校</t>
    <phoneticPr fontId="23"/>
  </si>
  <si>
    <t>一色小学校</t>
    <phoneticPr fontId="23"/>
  </si>
  <si>
    <t>小木小学校</t>
    <phoneticPr fontId="23"/>
  </si>
  <si>
    <t>小牧原小学校</t>
    <phoneticPr fontId="23"/>
  </si>
  <si>
    <t>本庄小学校</t>
    <phoneticPr fontId="23"/>
  </si>
  <si>
    <t>陶小学校</t>
    <phoneticPr fontId="23"/>
  </si>
  <si>
    <t>光ヶ丘小学校</t>
    <phoneticPr fontId="23"/>
  </si>
  <si>
    <t>大城小学校</t>
    <phoneticPr fontId="23"/>
  </si>
  <si>
    <t>小牧中学校</t>
    <phoneticPr fontId="23"/>
  </si>
  <si>
    <t>味岡中学校</t>
    <phoneticPr fontId="23"/>
  </si>
  <si>
    <t>篠岡中学校</t>
    <rPh sb="0" eb="1">
      <t>シノ</t>
    </rPh>
    <rPh sb="1" eb="2">
      <t>オカ</t>
    </rPh>
    <phoneticPr fontId="23"/>
  </si>
  <si>
    <t>北里中学校</t>
    <phoneticPr fontId="23"/>
  </si>
  <si>
    <t>応時中学校</t>
    <phoneticPr fontId="23"/>
  </si>
  <si>
    <t>岩崎中学校</t>
    <phoneticPr fontId="23"/>
  </si>
  <si>
    <t>桃陵中学校</t>
    <phoneticPr fontId="23"/>
  </si>
  <si>
    <t>小牧西中学校</t>
    <phoneticPr fontId="23"/>
  </si>
  <si>
    <t>光ヶ丘中学校</t>
    <phoneticPr fontId="23"/>
  </si>
  <si>
    <t>×</t>
    <phoneticPr fontId="23"/>
  </si>
  <si>
    <t>三ツ渕小学校</t>
    <phoneticPr fontId="23"/>
  </si>
  <si>
    <t>北里小学校</t>
    <phoneticPr fontId="23"/>
  </si>
  <si>
    <t>米野小学校</t>
    <phoneticPr fontId="23"/>
  </si>
  <si>
    <t>一色小学校</t>
    <phoneticPr fontId="23"/>
  </si>
  <si>
    <t>小木小学校</t>
    <phoneticPr fontId="23"/>
  </si>
  <si>
    <t>小牧原小学校</t>
    <phoneticPr fontId="23"/>
  </si>
  <si>
    <t>本庄小学校</t>
    <phoneticPr fontId="23"/>
  </si>
  <si>
    <t>桃ヶ丘小学校</t>
    <phoneticPr fontId="23"/>
  </si>
  <si>
    <t>陶小学校</t>
    <phoneticPr fontId="23"/>
  </si>
  <si>
    <t>光ヶ丘小学校</t>
    <phoneticPr fontId="23"/>
  </si>
  <si>
    <t>大城小学校</t>
    <phoneticPr fontId="23"/>
  </si>
  <si>
    <t>小牧中学校</t>
    <phoneticPr fontId="23"/>
  </si>
  <si>
    <t>味岡中学校</t>
    <phoneticPr fontId="23"/>
  </si>
  <si>
    <t>北里中学校</t>
    <phoneticPr fontId="23"/>
  </si>
  <si>
    <t>応時中学校</t>
    <phoneticPr fontId="23"/>
  </si>
  <si>
    <t>岩崎中学校</t>
    <phoneticPr fontId="23"/>
  </si>
  <si>
    <t>桃陵中学校</t>
    <phoneticPr fontId="23"/>
  </si>
  <si>
    <t>小牧西中学校</t>
    <phoneticPr fontId="23"/>
  </si>
  <si>
    <t>光ヶ丘中学校</t>
    <phoneticPr fontId="23"/>
  </si>
  <si>
    <t>①</t>
    <phoneticPr fontId="23"/>
  </si>
  <si>
    <t>②</t>
    <phoneticPr fontId="23"/>
  </si>
  <si>
    <t>×</t>
    <phoneticPr fontId="23"/>
  </si>
  <si>
    <t>Q3</t>
    <phoneticPr fontId="23"/>
  </si>
  <si>
    <t>●質問項目</t>
    <rPh sb="1" eb="3">
      <t>シツモン</t>
    </rPh>
    <rPh sb="3" eb="5">
      <t>コウモク</t>
    </rPh>
    <phoneticPr fontId="23"/>
  </si>
  <si>
    <t>給食が楽しみか[問3]</t>
    <rPh sb="8" eb="9">
      <t>トイ</t>
    </rPh>
    <phoneticPr fontId="23"/>
  </si>
  <si>
    <t>まわりの人の愛情を感じたことがあるか[問5]</t>
    <rPh sb="19" eb="20">
      <t>トイ</t>
    </rPh>
    <phoneticPr fontId="23"/>
  </si>
  <si>
    <t>今の自分を好きといえるか[問6]</t>
    <rPh sb="13" eb="14">
      <t>トイ</t>
    </rPh>
    <phoneticPr fontId="23"/>
  </si>
  <si>
    <t>学校が楽しいか[問2]</t>
    <rPh sb="8" eb="9">
      <t>トイ</t>
    </rPh>
    <phoneticPr fontId="23"/>
  </si>
  <si>
    <t>Q5
×Q6</t>
    <phoneticPr fontId="23"/>
  </si>
  <si>
    <t>まわりの人の愛情を感じたことがあるこどものうち、自分を好きと答えた割合[問5]×[問6]</t>
    <rPh sb="24" eb="26">
      <t>ジブン</t>
    </rPh>
    <rPh sb="27" eb="28">
      <t>ス</t>
    </rPh>
    <rPh sb="30" eb="31">
      <t>コタ</t>
    </rPh>
    <rPh sb="33" eb="35">
      <t>ワリアイ</t>
    </rPh>
    <rPh sb="36" eb="37">
      <t>トイ</t>
    </rPh>
    <rPh sb="41" eb="42">
      <t>トイ</t>
    </rPh>
    <phoneticPr fontId="23"/>
  </si>
  <si>
    <t>Q5'
×Q6</t>
    <phoneticPr fontId="23"/>
  </si>
  <si>
    <t>まわりの人の愛情を感じたことが「ない」こどものうち、自分を好きと答えた割合[問5']×[問6]</t>
    <rPh sb="26" eb="28">
      <t>ジブン</t>
    </rPh>
    <rPh sb="29" eb="30">
      <t>ス</t>
    </rPh>
    <rPh sb="32" eb="33">
      <t>コタ</t>
    </rPh>
    <rPh sb="35" eb="37">
      <t>ワリアイ</t>
    </rPh>
    <rPh sb="38" eb="39">
      <t>トイ</t>
    </rPh>
    <rPh sb="44" eb="45">
      <t>トイ</t>
    </rPh>
    <phoneticPr fontId="23"/>
  </si>
  <si>
    <t>朝食を食べているか[問4]</t>
    <phoneticPr fontId="23"/>
  </si>
  <si>
    <t>①設問選択肢数×②設問選択肢数</t>
    <rPh sb="1" eb="3">
      <t>セツモン</t>
    </rPh>
    <rPh sb="3" eb="6">
      <t>センタクシ</t>
    </rPh>
    <rPh sb="6" eb="7">
      <t>スウ</t>
    </rPh>
    <rPh sb="9" eb="11">
      <t>セツモン</t>
    </rPh>
    <rPh sb="11" eb="14">
      <t>センタクシ</t>
    </rPh>
    <rPh sb="14" eb="15">
      <t>スウ</t>
    </rPh>
    <phoneticPr fontId="23"/>
  </si>
  <si>
    <t>①2×②2 は「市民」シート上で集計</t>
    <rPh sb="8" eb="10">
      <t>シミン</t>
    </rPh>
    <rPh sb="14" eb="15">
      <t>ジョウ</t>
    </rPh>
    <rPh sb="16" eb="18">
      <t>シュウケイ</t>
    </rPh>
    <phoneticPr fontId="23"/>
  </si>
  <si>
    <t>｛(4,4)+(4,3)+(3,4)+(4,4)｝×属性</t>
    <rPh sb="26" eb="28">
      <t>ゾクセイ</t>
    </rPh>
    <phoneticPr fontId="23"/>
  </si>
  <si>
    <t>｛(1,1)+(1,2)+(2,1)+(2,2)｝×属性</t>
    <phoneticPr fontId="23"/>
  </si>
  <si>
    <t>｛(1,1)+(2,1)｝×属性</t>
    <phoneticPr fontId="23"/>
  </si>
  <si>
    <t>｛(2,4)+(2,3)｝×属性</t>
    <phoneticPr fontId="23"/>
  </si>
  <si>
    <t>｛(2,1)+(2,2)｝×属性</t>
    <phoneticPr fontId="23"/>
  </si>
  <si>
    <t>①4×②4</t>
    <phoneticPr fontId="23"/>
  </si>
  <si>
    <t>①4×②2</t>
    <phoneticPr fontId="23"/>
  </si>
  <si>
    <t>①2×②4</t>
    <phoneticPr fontId="23"/>
  </si>
  <si>
    <t>｛(4,2)+(4,1)+(3,2)+(3,1)｝×属性</t>
    <phoneticPr fontId="23"/>
  </si>
  <si>
    <t>｛(1,4)+(1,3)+(2,4)+(2,3)｝×属性</t>
    <phoneticPr fontId="23"/>
  </si>
  <si>
    <t>｛(4,1)+(3,1)｝×属性</t>
    <phoneticPr fontId="23"/>
  </si>
  <si>
    <t>｛(4,2)+(3,2)｝×属性</t>
    <phoneticPr fontId="23"/>
  </si>
  <si>
    <t>｛(1,2)+(2,2)｝×属性</t>
    <phoneticPr fontId="23"/>
  </si>
  <si>
    <t>｛(1,4)+(1,3)｝×属性</t>
    <phoneticPr fontId="23"/>
  </si>
  <si>
    <t>｛(1,1)+(1,2)｝×属性</t>
    <phoneticPr fontId="23"/>
  </si>
  <si>
    <t>回答番号</t>
  </si>
  <si>
    <t>受付番号</t>
  </si>
  <si>
    <t>回答日時</t>
  </si>
  <si>
    <t>申請状況</t>
  </si>
  <si>
    <t>申請状況補足</t>
  </si>
  <si>
    <t>申請方式</t>
  </si>
  <si>
    <t>処理状況</t>
  </si>
  <si>
    <t>処理状況補足</t>
  </si>
  <si>
    <t>1:select</t>
  </si>
  <si>
    <t>2:select</t>
  </si>
  <si>
    <t>3:select</t>
  </si>
  <si>
    <t>4:select</t>
  </si>
  <si>
    <t>5:select</t>
  </si>
  <si>
    <t>6:select</t>
  </si>
  <si>
    <t>学校名</t>
  </si>
  <si>
    <t>あなたは学校が楽しいですか？</t>
    <phoneticPr fontId="32"/>
  </si>
  <si>
    <t>あなたは給食が楽しみですか？</t>
  </si>
  <si>
    <t>あなたはふだん朝食を食べますか？</t>
  </si>
  <si>
    <t>あなたは日常生活において、自転車に乗るときにヘルメットを着用していますか？</t>
  </si>
  <si>
    <t>受付</t>
  </si>
  <si>
    <t>オンライン</t>
  </si>
  <si>
    <t>男</t>
  </si>
  <si>
    <t>どちらかといえば楽しい</t>
  </si>
  <si>
    <t>どちらかといえば楽しみ</t>
  </si>
  <si>
    <t>週に2～3日食べている</t>
  </si>
  <si>
    <t>はい</t>
  </si>
  <si>
    <t>楽しい</t>
  </si>
  <si>
    <t>楽しみ</t>
  </si>
  <si>
    <t>ほとんど毎日食べている</t>
  </si>
  <si>
    <t>週に4～5日食べている</t>
  </si>
  <si>
    <t>女</t>
  </si>
  <si>
    <t>いいえ</t>
  </si>
  <si>
    <t>楽しみではない</t>
  </si>
  <si>
    <t>その他</t>
  </si>
  <si>
    <t>楽しくない</t>
  </si>
  <si>
    <t>どちらかといえば楽しみではない</t>
  </si>
  <si>
    <t>ほとんど食べていない</t>
  </si>
  <si>
    <t>どちらかといえば楽しくない</t>
  </si>
  <si>
    <t>小牧小学校</t>
  </si>
  <si>
    <t>小牧中学校</t>
  </si>
  <si>
    <t>三ツ渕小学校</t>
  </si>
  <si>
    <t>味岡小学校</t>
  </si>
  <si>
    <t>小牧西中学校</t>
  </si>
  <si>
    <t>選択肢数</t>
    <rPh sb="0" eb="3">
      <t>センタクシ</t>
    </rPh>
    <rPh sb="3" eb="4">
      <t>スウ</t>
    </rPh>
    <phoneticPr fontId="23"/>
  </si>
  <si>
    <t>楽しい</t>
    <rPh sb="0" eb="1">
      <t>タノ</t>
    </rPh>
    <phoneticPr fontId="23"/>
  </si>
  <si>
    <t>どちらかといえば楽しい</t>
    <rPh sb="8" eb="9">
      <t>タノ</t>
    </rPh>
    <phoneticPr fontId="23"/>
  </si>
  <si>
    <t>どちらかといえば楽しくない</t>
    <rPh sb="8" eb="9">
      <t>タノ</t>
    </rPh>
    <phoneticPr fontId="23"/>
  </si>
  <si>
    <t>楽しくない</t>
    <rPh sb="0" eb="1">
      <t>タノ</t>
    </rPh>
    <phoneticPr fontId="23"/>
  </si>
  <si>
    <t>■回答選択肢</t>
    <rPh sb="1" eb="3">
      <t>カイトウ</t>
    </rPh>
    <rPh sb="3" eb="6">
      <t>センタクシ</t>
    </rPh>
    <phoneticPr fontId="23"/>
  </si>
  <si>
    <t>楽しみ</t>
    <rPh sb="0" eb="1">
      <t>タノ</t>
    </rPh>
    <phoneticPr fontId="23"/>
  </si>
  <si>
    <t>どちらかといえば楽しみ</t>
    <rPh sb="8" eb="9">
      <t>タノ</t>
    </rPh>
    <phoneticPr fontId="23"/>
  </si>
  <si>
    <t>どちらかといえば楽しみではない</t>
    <rPh sb="8" eb="9">
      <t>タノ</t>
    </rPh>
    <phoneticPr fontId="23"/>
  </si>
  <si>
    <t>楽しみではない</t>
    <rPh sb="0" eb="1">
      <t>タノ</t>
    </rPh>
    <phoneticPr fontId="23"/>
  </si>
  <si>
    <t>ほとんど毎日食べている</t>
    <rPh sb="4" eb="6">
      <t>マイニチ</t>
    </rPh>
    <rPh sb="6" eb="7">
      <t>タ</t>
    </rPh>
    <phoneticPr fontId="23"/>
  </si>
  <si>
    <t>週に4～5日食べている</t>
    <rPh sb="0" eb="1">
      <t>シュウ</t>
    </rPh>
    <rPh sb="5" eb="6">
      <t>ニチ</t>
    </rPh>
    <rPh sb="6" eb="7">
      <t>タ</t>
    </rPh>
    <phoneticPr fontId="23"/>
  </si>
  <si>
    <t>週に2～3日食べている</t>
    <rPh sb="0" eb="1">
      <t>シュウ</t>
    </rPh>
    <rPh sb="5" eb="6">
      <t>ニチ</t>
    </rPh>
    <rPh sb="6" eb="7">
      <t>タ</t>
    </rPh>
    <phoneticPr fontId="23"/>
  </si>
  <si>
    <t>ほとんど食べていない</t>
    <rPh sb="4" eb="5">
      <t>タ</t>
    </rPh>
    <phoneticPr fontId="23"/>
  </si>
  <si>
    <t>はい</t>
    <phoneticPr fontId="23"/>
  </si>
  <si>
    <t>いいえ</t>
    <phoneticPr fontId="23"/>
  </si>
  <si>
    <t>あなたは学校が楽しいですか？</t>
  </si>
  <si>
    <t>男</t>
    <rPh sb="0" eb="1">
      <t>オトコ</t>
    </rPh>
    <phoneticPr fontId="23"/>
  </si>
  <si>
    <t>女</t>
    <rPh sb="0" eb="1">
      <t>オンナ</t>
    </rPh>
    <phoneticPr fontId="23"/>
  </si>
  <si>
    <t>その他</t>
    <rPh sb="2" eb="3">
      <t>タ</t>
    </rPh>
    <phoneticPr fontId="23"/>
  </si>
  <si>
    <t>その他</t>
    <rPh sb="2" eb="3">
      <t>タ</t>
    </rPh>
    <phoneticPr fontId="23"/>
  </si>
  <si>
    <t>（参考）
エラーチェック</t>
    <rPh sb="1" eb="3">
      <t>サンコウ</t>
    </rPh>
    <phoneticPr fontId="23"/>
  </si>
  <si>
    <t>選択肢：番号</t>
    <rPh sb="0" eb="3">
      <t>センタクシ</t>
    </rPh>
    <rPh sb="4" eb="6">
      <t>バンゴウ</t>
    </rPh>
    <phoneticPr fontId="23"/>
  </si>
  <si>
    <t>10:select</t>
  </si>
  <si>
    <t>11:select</t>
  </si>
  <si>
    <t>12:select</t>
  </si>
  <si>
    <t>13:select</t>
  </si>
  <si>
    <t>小学校</t>
    <rPh sb="0" eb="3">
      <t>ショウガッコウ</t>
    </rPh>
    <phoneticPr fontId="23"/>
  </si>
  <si>
    <t>中学校</t>
    <rPh sb="0" eb="3">
      <t>チュウガッコウ</t>
    </rPh>
    <phoneticPr fontId="32"/>
  </si>
  <si>
    <t>自分の良いところ、悪いところも含めて、今の自分を好きといえますか？</t>
  </si>
  <si>
    <t>一色小学校</t>
    <rPh sb="0" eb="2">
      <t>イッシキ</t>
    </rPh>
    <rPh sb="2" eb="5">
      <t>ショウガッコウ</t>
    </rPh>
    <phoneticPr fontId="23"/>
  </si>
  <si>
    <t>大城小学校</t>
    <rPh sb="0" eb="2">
      <t>オオシロ</t>
    </rPh>
    <rPh sb="2" eb="5">
      <t>ショウガッコウ</t>
    </rPh>
    <phoneticPr fontId="23"/>
  </si>
  <si>
    <t>北里小学校</t>
    <rPh sb="0" eb="2">
      <t>キタザト</t>
    </rPh>
    <rPh sb="2" eb="5">
      <t>ショウガッコウ</t>
    </rPh>
    <phoneticPr fontId="23"/>
  </si>
  <si>
    <t>小木小学校</t>
    <rPh sb="0" eb="2">
      <t>コキ</t>
    </rPh>
    <rPh sb="2" eb="5">
      <t>ショウガッコウ</t>
    </rPh>
    <phoneticPr fontId="23"/>
  </si>
  <si>
    <t>小牧小学校</t>
    <rPh sb="0" eb="2">
      <t>コマキ</t>
    </rPh>
    <rPh sb="2" eb="5">
      <t>ショウガッコウ</t>
    </rPh>
    <phoneticPr fontId="23"/>
  </si>
  <si>
    <t>小牧原小学校</t>
    <rPh sb="0" eb="2">
      <t>コマキ</t>
    </rPh>
    <rPh sb="2" eb="3">
      <t>ハラ</t>
    </rPh>
    <rPh sb="3" eb="6">
      <t>ショウガッコウ</t>
    </rPh>
    <phoneticPr fontId="23"/>
  </si>
  <si>
    <t>小牧南小学校</t>
    <rPh sb="0" eb="2">
      <t>コマキ</t>
    </rPh>
    <rPh sb="2" eb="3">
      <t>ミナミ</t>
    </rPh>
    <rPh sb="3" eb="6">
      <t>ショウガッコウ</t>
    </rPh>
    <phoneticPr fontId="23"/>
  </si>
  <si>
    <t>米野小学校</t>
    <rPh sb="0" eb="2">
      <t>コメノ</t>
    </rPh>
    <phoneticPr fontId="23"/>
  </si>
  <si>
    <t>篠岡小学校</t>
    <rPh sb="0" eb="2">
      <t>シノオカ</t>
    </rPh>
    <phoneticPr fontId="23"/>
  </si>
  <si>
    <t>陶小学校</t>
    <rPh sb="0" eb="1">
      <t>スエ</t>
    </rPh>
    <phoneticPr fontId="23"/>
  </si>
  <si>
    <t>光ヶ丘小学校</t>
    <rPh sb="0" eb="3">
      <t>ヒカリガオカ</t>
    </rPh>
    <phoneticPr fontId="23"/>
  </si>
  <si>
    <t>本庄小学校</t>
    <rPh sb="0" eb="2">
      <t>ホンジョウ</t>
    </rPh>
    <rPh sb="2" eb="5">
      <t>ショウガッコウ</t>
    </rPh>
    <phoneticPr fontId="23"/>
  </si>
  <si>
    <t>三ツ渕小学校</t>
    <rPh sb="0" eb="1">
      <t>ミ</t>
    </rPh>
    <rPh sb="2" eb="3">
      <t>ブチ</t>
    </rPh>
    <phoneticPr fontId="23"/>
  </si>
  <si>
    <t>村中小学校</t>
    <rPh sb="0" eb="2">
      <t>ムラナカ</t>
    </rPh>
    <rPh sb="2" eb="5">
      <t>ショウガッコウ</t>
    </rPh>
    <phoneticPr fontId="23"/>
  </si>
  <si>
    <t>味岡中学校</t>
    <rPh sb="0" eb="2">
      <t>アジオカ</t>
    </rPh>
    <rPh sb="2" eb="5">
      <t>チュウガッコウ</t>
    </rPh>
    <phoneticPr fontId="23"/>
  </si>
  <si>
    <t>岩崎中学校</t>
    <rPh sb="0" eb="2">
      <t>イワサキ</t>
    </rPh>
    <rPh sb="2" eb="5">
      <t>チュウガッコウ</t>
    </rPh>
    <phoneticPr fontId="23"/>
  </si>
  <si>
    <t>応時中学校</t>
    <rPh sb="0" eb="2">
      <t>オウジ</t>
    </rPh>
    <phoneticPr fontId="23"/>
  </si>
  <si>
    <t>北里中学校</t>
    <rPh sb="0" eb="2">
      <t>キタザト</t>
    </rPh>
    <phoneticPr fontId="23"/>
  </si>
  <si>
    <t>小牧中学校</t>
    <rPh sb="0" eb="2">
      <t>コマキ</t>
    </rPh>
    <phoneticPr fontId="23"/>
  </si>
  <si>
    <t>小牧西中学校</t>
    <rPh sb="0" eb="2">
      <t>コマキ</t>
    </rPh>
    <rPh sb="2" eb="3">
      <t>ニシ</t>
    </rPh>
    <phoneticPr fontId="23"/>
  </si>
  <si>
    <t>篠岡中学校</t>
    <rPh sb="0" eb="2">
      <t>シノオカ</t>
    </rPh>
    <phoneticPr fontId="23"/>
  </si>
  <si>
    <t>桃陵中学校</t>
    <rPh sb="0" eb="2">
      <t>トウリョウ</t>
    </rPh>
    <phoneticPr fontId="23"/>
  </si>
  <si>
    <t>光ヶ丘中学校</t>
    <rPh sb="0" eb="3">
      <t>ヒカリガオカ</t>
    </rPh>
    <phoneticPr fontId="23"/>
  </si>
  <si>
    <t>好き</t>
  </si>
  <si>
    <t>好き</t>
    <rPh sb="0" eb="1">
      <t>ス</t>
    </rPh>
    <phoneticPr fontId="23"/>
  </si>
  <si>
    <t>どちらかといえば好き</t>
  </si>
  <si>
    <t>どちらかといえば好き</t>
    <rPh sb="8" eb="9">
      <t>ス</t>
    </rPh>
    <phoneticPr fontId="23"/>
  </si>
  <si>
    <t>どちらかといえば好きではない</t>
  </si>
  <si>
    <t>どちらかといえば好きではない</t>
    <rPh sb="8" eb="9">
      <t>ス</t>
    </rPh>
    <phoneticPr fontId="23"/>
  </si>
  <si>
    <t>好きではない</t>
  </si>
  <si>
    <t>好きではない</t>
    <rPh sb="0" eb="1">
      <t>ス</t>
    </rPh>
    <phoneticPr fontId="23"/>
  </si>
  <si>
    <t>【中学校】</t>
  </si>
  <si>
    <t>【小学校】</t>
  </si>
  <si>
    <t>PV00271571</t>
  </si>
  <si>
    <t>2022-05-09T15:02:14</t>
  </si>
  <si>
    <t>PV00271411</t>
  </si>
  <si>
    <t>PV00271386</t>
  </si>
  <si>
    <t>2022-05-09T15:01:37</t>
  </si>
  <si>
    <t>PV00271258</t>
  </si>
  <si>
    <t>2022-05-09T15:01:28</t>
  </si>
  <si>
    <t>PV00271114</t>
  </si>
  <si>
    <t>2022-05-09T15:01:20</t>
  </si>
  <si>
    <t>PV00271011</t>
  </si>
  <si>
    <t>2022-05-09T15:00:57</t>
  </si>
  <si>
    <t>PV00270931</t>
  </si>
  <si>
    <t>2022-05-09T15:00:45</t>
  </si>
  <si>
    <t>PV00270801</t>
  </si>
  <si>
    <t>2022-05-09T15:00:18</t>
  </si>
  <si>
    <t>PV00270781</t>
  </si>
  <si>
    <t>2022-05-09T15:00:16</t>
  </si>
  <si>
    <t>PV00270650</t>
  </si>
  <si>
    <t>2022-05-09T15:00:06</t>
  </si>
  <si>
    <t>PV00270528</t>
  </si>
  <si>
    <t>2022-05-09T14:59:57</t>
  </si>
  <si>
    <t>PV00270448</t>
  </si>
  <si>
    <t>2022-05-09T14:59:52</t>
  </si>
  <si>
    <t>PV00270364</t>
  </si>
  <si>
    <t>2022-05-09T14:59:49</t>
  </si>
  <si>
    <t>PV00270295</t>
  </si>
  <si>
    <t>2022-05-09T14:59:37</t>
  </si>
  <si>
    <t>PV00270136</t>
  </si>
  <si>
    <t>2022-05-09T14:58:47</t>
  </si>
  <si>
    <t>PV00270062</t>
  </si>
  <si>
    <t>2022-05-09T14:58:43</t>
  </si>
  <si>
    <t>PV00269964</t>
  </si>
  <si>
    <t>2022-05-09T14:58:34</t>
  </si>
  <si>
    <t>PV00269837</t>
  </si>
  <si>
    <t>2022-05-09T14:57:40</t>
  </si>
  <si>
    <t>PV00269799</t>
  </si>
  <si>
    <t>2022-05-09T14:28:04</t>
  </si>
  <si>
    <t>PV00269681</t>
  </si>
  <si>
    <t>2022-05-09T14:24:33</t>
  </si>
  <si>
    <t>PV00269587</t>
  </si>
  <si>
    <t>PV00269445</t>
  </si>
  <si>
    <t>2022-05-09T14:12:07</t>
  </si>
  <si>
    <t>PV00269324</t>
  </si>
  <si>
    <t>2022-05-09T14:11:50</t>
  </si>
  <si>
    <t>PV00269203</t>
  </si>
  <si>
    <t>2022-05-09T13:34:00</t>
  </si>
  <si>
    <t>PV00269110</t>
  </si>
  <si>
    <t>2022-05-09T13:33:23</t>
  </si>
  <si>
    <t>PV00269013</t>
  </si>
  <si>
    <t>2022-05-09T13:33:15</t>
  </si>
  <si>
    <t>PV00268929</t>
  </si>
  <si>
    <t>2022-05-09T13:33:05</t>
  </si>
  <si>
    <t>PV00268876</t>
  </si>
  <si>
    <t>2022-05-09T13:33:00</t>
  </si>
  <si>
    <t>PV00268795</t>
  </si>
  <si>
    <t>2022-05-09T13:32:58</t>
  </si>
  <si>
    <t>PV00268675</t>
  </si>
  <si>
    <t>2022-05-09T13:32:52</t>
  </si>
  <si>
    <t>PV00268587</t>
  </si>
  <si>
    <t>2022-05-09T13:32:47</t>
  </si>
  <si>
    <t>PV00268495</t>
  </si>
  <si>
    <t>2022-05-09T13:32:44</t>
  </si>
  <si>
    <t>PV00268362</t>
  </si>
  <si>
    <t>2022-05-09T13:32:43</t>
  </si>
  <si>
    <t>PV00268277</t>
  </si>
  <si>
    <t>2022-05-09T13:32:42</t>
  </si>
  <si>
    <t>PV00268152</t>
  </si>
  <si>
    <t>2022-05-09T13:32:38</t>
  </si>
  <si>
    <t>PV00268006</t>
  </si>
  <si>
    <t>2022-05-09T13:32:31</t>
  </si>
  <si>
    <t>PV00267943</t>
  </si>
  <si>
    <t>PV00267813</t>
  </si>
  <si>
    <t>2022-05-09T13:32:30</t>
  </si>
  <si>
    <t>PV00267751</t>
  </si>
  <si>
    <t>PV00267652</t>
  </si>
  <si>
    <t>PV00267527</t>
  </si>
  <si>
    <t>PV00267431</t>
  </si>
  <si>
    <t>2022-05-09T13:32:29</t>
  </si>
  <si>
    <t>PV00267384</t>
  </si>
  <si>
    <t>2022-05-09T13:32:28</t>
  </si>
  <si>
    <t>PV00267210</t>
  </si>
  <si>
    <t>2022-05-09T13:32:26</t>
  </si>
  <si>
    <t>PV00267193</t>
  </si>
  <si>
    <t>2022-05-09T13:32:24</t>
  </si>
  <si>
    <t>PV00267045</t>
  </si>
  <si>
    <t>PV00266960</t>
  </si>
  <si>
    <t>2022-05-09T13:32:23</t>
  </si>
  <si>
    <t>PV00266852</t>
  </si>
  <si>
    <t>2022-05-09T13:32:13</t>
  </si>
  <si>
    <t>PV00266752</t>
  </si>
  <si>
    <t>2022-05-09T13:32:10</t>
  </si>
  <si>
    <t>PV00266614</t>
  </si>
  <si>
    <t>2022-05-09T13:32:08</t>
  </si>
  <si>
    <t>PV00266567</t>
  </si>
  <si>
    <t>2022-05-09T13:32:06</t>
  </si>
  <si>
    <t>PV00266422</t>
  </si>
  <si>
    <t>2022-05-09T13:32:02</t>
  </si>
  <si>
    <t>PV00266360</t>
  </si>
  <si>
    <t>2022-05-09T13:31:58</t>
  </si>
  <si>
    <t>PV00266261</t>
  </si>
  <si>
    <t>2022-05-09T13:31:56</t>
  </si>
  <si>
    <t>PV00266136</t>
  </si>
  <si>
    <t>2022-05-09T13:31:46</t>
  </si>
  <si>
    <t>PV00266019</t>
  </si>
  <si>
    <t>2022-05-09T13:31:44</t>
  </si>
  <si>
    <t>PV00265911</t>
  </si>
  <si>
    <t>2022-05-09T13:31:29</t>
  </si>
  <si>
    <t>PV00265890</t>
  </si>
  <si>
    <t>2022-05-09T13:31:14</t>
  </si>
  <si>
    <t>PV00265776</t>
  </si>
  <si>
    <t>PV00265695</t>
  </si>
  <si>
    <t>2022-05-09T13:31:02</t>
  </si>
  <si>
    <t>PV00265584</t>
  </si>
  <si>
    <t>2022-05-09T13:30:48</t>
  </si>
  <si>
    <t>PV00265453</t>
  </si>
  <si>
    <t>2022-05-09T13:05:01</t>
  </si>
  <si>
    <t>PV00265320</t>
  </si>
  <si>
    <t>2022-05-09T13:04:40</t>
  </si>
  <si>
    <t>PV00265202</t>
  </si>
  <si>
    <t>2022-05-09T13:04:38</t>
  </si>
  <si>
    <t>PV00265132</t>
  </si>
  <si>
    <t>2022-05-09T13:04:35</t>
  </si>
  <si>
    <t>PV00265042</t>
  </si>
  <si>
    <t>2022-05-09T13:04:23</t>
  </si>
  <si>
    <t>PV00264965</t>
  </si>
  <si>
    <t>2022-05-09T13:04:05</t>
  </si>
  <si>
    <t>PV00264897</t>
  </si>
  <si>
    <t>2022-05-09T13:03:59</t>
  </si>
  <si>
    <t>PV00264777</t>
  </si>
  <si>
    <t>2022-05-09T13:03:54</t>
  </si>
  <si>
    <t>PV00264633</t>
  </si>
  <si>
    <t>2022-05-09T13:03:35</t>
  </si>
  <si>
    <t>PV00264599</t>
  </si>
  <si>
    <t>2022-05-09T13:03:33</t>
  </si>
  <si>
    <t>PV00264461</t>
  </si>
  <si>
    <t>2022-05-09T13:03:24</t>
  </si>
  <si>
    <t>PV00264353</t>
  </si>
  <si>
    <t>2022-05-09T13:03:23</t>
  </si>
  <si>
    <t>PV00264239</t>
  </si>
  <si>
    <t>2022-05-09T13:03:12</t>
  </si>
  <si>
    <t>PV00264190</t>
  </si>
  <si>
    <t>PV00264077</t>
  </si>
  <si>
    <t>2022-05-09T13:03:05</t>
  </si>
  <si>
    <t>PV00263983</t>
  </si>
  <si>
    <t>2022-05-09T13:02:58</t>
  </si>
  <si>
    <t>PV00263899</t>
  </si>
  <si>
    <t>2022-05-09T13:02:47</t>
  </si>
  <si>
    <t>PV00263753</t>
  </si>
  <si>
    <t>PV00263641</t>
  </si>
  <si>
    <t>2022-05-09T13:02:37</t>
  </si>
  <si>
    <t>PV00263542</t>
  </si>
  <si>
    <t>2022-05-09T13:02:32</t>
  </si>
  <si>
    <t>PV00263407</t>
  </si>
  <si>
    <t>PV00263352</t>
  </si>
  <si>
    <t>2022-05-09T13:02:31</t>
  </si>
  <si>
    <t>PV00263230</t>
  </si>
  <si>
    <t>2022-05-09T13:02:29</t>
  </si>
  <si>
    <t>PV00263172</t>
  </si>
  <si>
    <t>2022-05-09T13:02:17</t>
  </si>
  <si>
    <t>PV00263047</t>
  </si>
  <si>
    <t>2022-05-09T13:02:09</t>
  </si>
  <si>
    <t>PV00262933</t>
  </si>
  <si>
    <t>PV00262835</t>
  </si>
  <si>
    <t>2022-05-09T13:01:38</t>
  </si>
  <si>
    <t>PV00262789</t>
  </si>
  <si>
    <t>2022-05-09T13:01:30</t>
  </si>
  <si>
    <t>PV00262653</t>
  </si>
  <si>
    <t>2022-05-09T13:01:15</t>
  </si>
  <si>
    <t>PV00262588</t>
  </si>
  <si>
    <t>2022-05-09T12:50:20</t>
  </si>
  <si>
    <t>PV00262420</t>
  </si>
  <si>
    <t>2022-05-09T12:44:25</t>
  </si>
  <si>
    <t>PV00262339</t>
  </si>
  <si>
    <t>2022-05-09T12:44:08</t>
  </si>
  <si>
    <t>PV00262257</t>
  </si>
  <si>
    <t>2022-05-09T12:43:14</t>
  </si>
  <si>
    <t>PV00262186</t>
  </si>
  <si>
    <t>2022-05-09T12:43:00</t>
  </si>
  <si>
    <t>PV00262038</t>
  </si>
  <si>
    <t>PV00261911</t>
  </si>
  <si>
    <t>2022-05-09T12:42:55</t>
  </si>
  <si>
    <t>PV00261877</t>
  </si>
  <si>
    <t>2022-05-09T12:42:52</t>
  </si>
  <si>
    <t>PV00261785</t>
  </si>
  <si>
    <t>2022-05-09T12:42:36</t>
  </si>
  <si>
    <t>PV00261602</t>
  </si>
  <si>
    <t>PV00261563</t>
  </si>
  <si>
    <t>2022-05-09T12:42:34</t>
  </si>
  <si>
    <t>PV00261440</t>
  </si>
  <si>
    <t>2022-05-09T12:42:07</t>
  </si>
  <si>
    <t>PV00261320</t>
  </si>
  <si>
    <t>2022-05-09T12:42:06</t>
  </si>
  <si>
    <t>PV00261292</t>
  </si>
  <si>
    <t>2022-05-09T12:41:58</t>
  </si>
  <si>
    <t>PV00261142</t>
  </si>
  <si>
    <t>2022-05-09T12:41:35</t>
  </si>
  <si>
    <t>PV00261073</t>
  </si>
  <si>
    <t>2022-05-09T12:41:28</t>
  </si>
  <si>
    <t>PV00260999</t>
  </si>
  <si>
    <t>2022-05-09T12:40:58</t>
  </si>
  <si>
    <t>PV00260845</t>
  </si>
  <si>
    <t>2022-05-09T12:40:52</t>
  </si>
  <si>
    <t>PV00260754</t>
  </si>
  <si>
    <t>2022-05-09T12:40:33</t>
  </si>
  <si>
    <t>PV00260691</t>
  </si>
  <si>
    <t>2022-05-09T12:40:13</t>
  </si>
  <si>
    <t>PV00260527</t>
  </si>
  <si>
    <t>2022-05-09T12:40:02</t>
  </si>
  <si>
    <t>PV00260453</t>
  </si>
  <si>
    <t>2022-05-09T12:39:44</t>
  </si>
  <si>
    <t>PV00260360</t>
  </si>
  <si>
    <t>2022-05-09T12:39:06</t>
  </si>
  <si>
    <t>PV00260290</t>
  </si>
  <si>
    <t>2022-05-09T12:38:57</t>
  </si>
  <si>
    <t>PV00260197</t>
  </si>
  <si>
    <t>2022-05-09T12:38:50</t>
  </si>
  <si>
    <t>PV00260000</t>
  </si>
  <si>
    <t>2022-05-09T12:38:43</t>
  </si>
  <si>
    <t>PV00259982</t>
  </si>
  <si>
    <t>2022-05-09T12:37:59</t>
  </si>
  <si>
    <t>PV00259892</t>
  </si>
  <si>
    <t>2022-05-09T11:45:30</t>
  </si>
  <si>
    <t>PV00259743</t>
  </si>
  <si>
    <t>2022-05-09T11:45:08</t>
  </si>
  <si>
    <t>PV00259652</t>
  </si>
  <si>
    <t>2022-05-09T11:44:28</t>
  </si>
  <si>
    <t>PV00259577</t>
  </si>
  <si>
    <t>2022-05-09T11:14:04</t>
  </si>
  <si>
    <t>PV00259460</t>
  </si>
  <si>
    <t>2022-05-09T11:12:24</t>
  </si>
  <si>
    <t>PV00259312</t>
  </si>
  <si>
    <t>2022-05-09T11:12:19</t>
  </si>
  <si>
    <t>PV00259291</t>
  </si>
  <si>
    <t>2022-05-09T11:12:10</t>
  </si>
  <si>
    <t>PV00259112</t>
  </si>
  <si>
    <t>2022-05-09T11:11:47</t>
  </si>
  <si>
    <t>PV00259035</t>
  </si>
  <si>
    <t>2022-05-09T11:11:36</t>
  </si>
  <si>
    <t>PV00258939</t>
  </si>
  <si>
    <t>2022-05-09T11:11:35</t>
  </si>
  <si>
    <t>PV00258844</t>
  </si>
  <si>
    <t>2022-05-09T11:11:34</t>
  </si>
  <si>
    <t>PV00258743</t>
  </si>
  <si>
    <t>PV00258605</t>
  </si>
  <si>
    <t>2022-05-09T11:11:27</t>
  </si>
  <si>
    <t>PV00258583</t>
  </si>
  <si>
    <t>2022-05-09T11:11:20</t>
  </si>
  <si>
    <t>PV00258487</t>
  </si>
  <si>
    <t>2022-05-09T11:11:14</t>
  </si>
  <si>
    <t>PV00258381</t>
  </si>
  <si>
    <t>PV00258218</t>
  </si>
  <si>
    <t>2022-05-09T11:11:13</t>
  </si>
  <si>
    <t>PV00258169</t>
  </si>
  <si>
    <t>2022-05-09T11:11:07</t>
  </si>
  <si>
    <t>PV00258007</t>
  </si>
  <si>
    <t>2022-05-09T11:10:57</t>
  </si>
  <si>
    <t>PV00257966</t>
  </si>
  <si>
    <t>2022-05-09T11:10:54</t>
  </si>
  <si>
    <t>PV00257812</t>
  </si>
  <si>
    <t>2022-05-09T11:10:40</t>
  </si>
  <si>
    <t>PV00257729</t>
  </si>
  <si>
    <t>2022-05-09T11:10:31</t>
  </si>
  <si>
    <t>PV00257678</t>
  </si>
  <si>
    <t>2022-05-09T11:10:21</t>
  </si>
  <si>
    <t>PV00257528</t>
  </si>
  <si>
    <t>2022-05-09T11:10:15</t>
  </si>
  <si>
    <t>PV00257413</t>
  </si>
  <si>
    <t>2022-05-09T11:10:11</t>
  </si>
  <si>
    <t>PV00257344</t>
  </si>
  <si>
    <t>2022-05-09T11:09:32</t>
  </si>
  <si>
    <t>PV00257260</t>
  </si>
  <si>
    <t>2022-05-09T11:09:31</t>
  </si>
  <si>
    <t>PV00257129</t>
  </si>
  <si>
    <t>2022-05-09T08:40:33</t>
  </si>
  <si>
    <t>PV00257015</t>
  </si>
  <si>
    <t>2022-05-09T08:34:46</t>
  </si>
  <si>
    <t>PV00256970</t>
  </si>
  <si>
    <t>2022-05-09T08:33:04</t>
  </si>
  <si>
    <t>PV00256815</t>
  </si>
  <si>
    <t>2022-05-09T08:31:53</t>
  </si>
  <si>
    <t>PV00256707</t>
  </si>
  <si>
    <t>2022-05-09T08:31:17</t>
  </si>
  <si>
    <t>PV00256664</t>
  </si>
  <si>
    <t>2022-05-09T08:31:10</t>
  </si>
  <si>
    <t>PV00256593</t>
  </si>
  <si>
    <t>2022-05-09T08:31:01</t>
  </si>
  <si>
    <t>PV00256494</t>
  </si>
  <si>
    <t>2022-05-09T08:30:58</t>
  </si>
  <si>
    <t>PV00256390</t>
  </si>
  <si>
    <t>2022-05-09T08:30:36</t>
  </si>
  <si>
    <t>PV00256289</t>
  </si>
  <si>
    <t>2022-05-09T08:30:34</t>
  </si>
  <si>
    <t>PV00256129</t>
  </si>
  <si>
    <t>2022-05-09T08:30:30</t>
  </si>
  <si>
    <t>PV00256084</t>
  </si>
  <si>
    <t>2022-05-09T08:30:20</t>
  </si>
  <si>
    <t>PV00255926</t>
  </si>
  <si>
    <t>2022-05-09T08:30:18</t>
  </si>
  <si>
    <t>PV00255899</t>
  </si>
  <si>
    <t>PV00255798</t>
  </si>
  <si>
    <t>PV00255613</t>
  </si>
  <si>
    <t>2022-05-09T08:30:16</t>
  </si>
  <si>
    <t>PV00255519</t>
  </si>
  <si>
    <t>2022-05-09T08:30:13</t>
  </si>
  <si>
    <t>PV00255400</t>
  </si>
  <si>
    <t>2022-05-09T08:30:12</t>
  </si>
  <si>
    <t>PV00255376</t>
  </si>
  <si>
    <t>2022-05-09T08:30:04</t>
  </si>
  <si>
    <t>PV00255236</t>
  </si>
  <si>
    <t>2022-05-09T08:30:03</t>
  </si>
  <si>
    <t>PV00255106</t>
  </si>
  <si>
    <t>2022-05-09T08:29:55</t>
  </si>
  <si>
    <t>PV00255013</t>
  </si>
  <si>
    <t>2022-05-09T08:29:52</t>
  </si>
  <si>
    <t>PV00254929</t>
  </si>
  <si>
    <t>PV00254816</t>
  </si>
  <si>
    <t>2022-05-09T08:29:36</t>
  </si>
  <si>
    <t>PV00254792</t>
  </si>
  <si>
    <t>2022-05-09T08:29:23</t>
  </si>
  <si>
    <t>PV00254667</t>
  </si>
  <si>
    <t>2022-05-09T08:29:21</t>
  </si>
  <si>
    <t>PV00254538</t>
  </si>
  <si>
    <t>2022-05-09T08:29:06</t>
  </si>
  <si>
    <t>PV00254484</t>
  </si>
  <si>
    <t>2022-05-09T08:28:31</t>
  </si>
  <si>
    <t>PV00254327</t>
  </si>
  <si>
    <t>2022-05-09T08:28:08</t>
  </si>
  <si>
    <t>PV00254288</t>
  </si>
  <si>
    <t>2022-05-09T08:27:24</t>
  </si>
  <si>
    <t>PV00254170</t>
  </si>
  <si>
    <t>2022-05-09T08:27:11</t>
  </si>
  <si>
    <t>PV00254030</t>
  </si>
  <si>
    <t>PV00253950</t>
  </si>
  <si>
    <t>2022-05-09T08:26:49</t>
  </si>
  <si>
    <t>PV00253807</t>
  </si>
  <si>
    <t>2022-05-09T08:26:43</t>
  </si>
  <si>
    <t>PV00253736</t>
  </si>
  <si>
    <t>2022-05-09T08:26:41</t>
  </si>
  <si>
    <t>PV00253674</t>
  </si>
  <si>
    <t>2022-05-09T08:26:09</t>
  </si>
  <si>
    <t>【小学校】1</t>
    <rPh sb="1" eb="4">
      <t>ショウガッコウ</t>
    </rPh>
    <phoneticPr fontId="23"/>
  </si>
  <si>
    <t>【中学校】2</t>
    <phoneticPr fontId="23"/>
  </si>
  <si>
    <r>
      <t>【貼付用】児童・生徒アンケートlist!Z</t>
    </r>
    <r>
      <rPr>
        <sz val="11"/>
        <color theme="1"/>
        <rFont val="ＭＳ Ｐゴシック"/>
        <family val="2"/>
        <charset val="128"/>
      </rPr>
      <t>5:</t>
    </r>
    <r>
      <rPr>
        <sz val="11"/>
        <color theme="1"/>
        <rFont val="ＭＳ Ｐゴシック"/>
        <family val="2"/>
        <charset val="128"/>
      </rPr>
      <t>Z</t>
    </r>
    <r>
      <rPr>
        <sz val="11"/>
        <color theme="1"/>
        <rFont val="ＭＳ Ｐゴシック"/>
        <family val="2"/>
        <charset val="128"/>
      </rPr>
      <t>5000</t>
    </r>
    <rPh sb="1" eb="2">
      <t>ハ</t>
    </rPh>
    <rPh sb="2" eb="3">
      <t>ツ</t>
    </rPh>
    <phoneticPr fontId="23"/>
  </si>
  <si>
    <r>
      <t>【貼付用】児童・生徒アンケートlist!S</t>
    </r>
    <r>
      <rPr>
        <sz val="11"/>
        <color theme="1"/>
        <rFont val="ＭＳ Ｐゴシック"/>
        <family val="2"/>
        <charset val="128"/>
      </rPr>
      <t>5:</t>
    </r>
    <r>
      <rPr>
        <sz val="11"/>
        <color theme="1"/>
        <rFont val="ＭＳ Ｐゴシック"/>
        <family val="2"/>
        <charset val="128"/>
      </rPr>
      <t>S</t>
    </r>
    <r>
      <rPr>
        <sz val="11"/>
        <color theme="1"/>
        <rFont val="ＭＳ Ｐゴシック"/>
        <family val="2"/>
        <charset val="128"/>
      </rPr>
      <t>5000</t>
    </r>
    <phoneticPr fontId="23"/>
  </si>
  <si>
    <t>【貼付用】児童・生徒アンケートlist!T5:T5000</t>
    <phoneticPr fontId="23"/>
  </si>
  <si>
    <r>
      <t>【貼付用】児童・生徒アンケートlist!U</t>
    </r>
    <r>
      <rPr>
        <sz val="11"/>
        <color theme="1"/>
        <rFont val="ＭＳ Ｐゴシック"/>
        <family val="2"/>
        <charset val="128"/>
      </rPr>
      <t>5:</t>
    </r>
    <r>
      <rPr>
        <sz val="11"/>
        <color theme="1"/>
        <rFont val="ＭＳ Ｐゴシック"/>
        <family val="2"/>
        <charset val="128"/>
      </rPr>
      <t>U</t>
    </r>
    <r>
      <rPr>
        <sz val="11"/>
        <color theme="1"/>
        <rFont val="ＭＳ Ｐゴシック"/>
        <family val="2"/>
        <charset val="128"/>
      </rPr>
      <t>5000</t>
    </r>
    <phoneticPr fontId="23"/>
  </si>
  <si>
    <r>
      <t>【貼付用】児童・生徒アンケートlist!V</t>
    </r>
    <r>
      <rPr>
        <sz val="11"/>
        <color theme="1"/>
        <rFont val="ＭＳ Ｐゴシック"/>
        <family val="2"/>
        <charset val="128"/>
      </rPr>
      <t>5:</t>
    </r>
    <r>
      <rPr>
        <sz val="11"/>
        <color theme="1"/>
        <rFont val="ＭＳ Ｐゴシック"/>
        <family val="2"/>
        <charset val="128"/>
      </rPr>
      <t>V</t>
    </r>
    <r>
      <rPr>
        <sz val="11"/>
        <color theme="1"/>
        <rFont val="ＭＳ Ｐゴシック"/>
        <family val="2"/>
        <charset val="128"/>
      </rPr>
      <t>5000</t>
    </r>
    <phoneticPr fontId="23"/>
  </si>
  <si>
    <r>
      <t>【貼付用】児童・生徒アンケートlist!W</t>
    </r>
    <r>
      <rPr>
        <sz val="11"/>
        <color theme="1"/>
        <rFont val="ＭＳ Ｐゴシック"/>
        <family val="2"/>
        <charset val="128"/>
      </rPr>
      <t>5:</t>
    </r>
    <r>
      <rPr>
        <sz val="11"/>
        <color theme="1"/>
        <rFont val="ＭＳ Ｐゴシック"/>
        <family val="2"/>
        <charset val="128"/>
      </rPr>
      <t>W</t>
    </r>
    <r>
      <rPr>
        <sz val="11"/>
        <color theme="1"/>
        <rFont val="ＭＳ Ｐゴシック"/>
        <family val="2"/>
        <charset val="128"/>
      </rPr>
      <t>5000</t>
    </r>
    <phoneticPr fontId="23"/>
  </si>
  <si>
    <r>
      <t>【貼付用】児童・生徒アンケートlist!X</t>
    </r>
    <r>
      <rPr>
        <sz val="11"/>
        <color theme="1"/>
        <rFont val="ＭＳ Ｐゴシック"/>
        <family val="2"/>
        <charset val="128"/>
      </rPr>
      <t>5:</t>
    </r>
    <r>
      <rPr>
        <sz val="11"/>
        <color theme="1"/>
        <rFont val="ＭＳ Ｐゴシック"/>
        <family val="2"/>
        <charset val="128"/>
      </rPr>
      <t>X</t>
    </r>
    <r>
      <rPr>
        <sz val="11"/>
        <color theme="1"/>
        <rFont val="ＭＳ Ｐゴシック"/>
        <family val="2"/>
        <charset val="128"/>
      </rPr>
      <t>5000</t>
    </r>
    <phoneticPr fontId="23"/>
  </si>
  <si>
    <r>
      <t>【貼付用】児童・生徒アンケートlist!J</t>
    </r>
    <r>
      <rPr>
        <sz val="11"/>
        <color theme="1"/>
        <rFont val="ＭＳ Ｐゴシック"/>
        <family val="2"/>
        <charset val="128"/>
      </rPr>
      <t>5:</t>
    </r>
    <r>
      <rPr>
        <sz val="11"/>
        <color theme="1"/>
        <rFont val="ＭＳ Ｐゴシック"/>
        <family val="2"/>
        <charset val="128"/>
      </rPr>
      <t>J</t>
    </r>
    <r>
      <rPr>
        <sz val="11"/>
        <color theme="1"/>
        <rFont val="ＭＳ Ｐゴシック"/>
        <family val="2"/>
        <charset val="128"/>
      </rPr>
      <t>5000</t>
    </r>
    <phoneticPr fontId="23"/>
  </si>
  <si>
    <r>
      <t>【貼付用】児童・生徒アンケートlist!K</t>
    </r>
    <r>
      <rPr>
        <sz val="11"/>
        <color theme="1"/>
        <rFont val="ＭＳ Ｐゴシック"/>
        <family val="2"/>
        <charset val="128"/>
      </rPr>
      <t>5:</t>
    </r>
    <r>
      <rPr>
        <sz val="11"/>
        <color theme="1"/>
        <rFont val="ＭＳ Ｐゴシック"/>
        <family val="2"/>
        <charset val="128"/>
      </rPr>
      <t>K</t>
    </r>
    <r>
      <rPr>
        <sz val="11"/>
        <color theme="1"/>
        <rFont val="ＭＳ Ｐゴシック"/>
        <family val="2"/>
        <charset val="128"/>
      </rPr>
      <t>5000</t>
    </r>
    <phoneticPr fontId="23"/>
  </si>
  <si>
    <t>PV00399664</t>
  </si>
  <si>
    <t>2022-05-17T10:54:49</t>
  </si>
  <si>
    <t>小牧南小学校</t>
  </si>
  <si>
    <t>PV00399557</t>
  </si>
  <si>
    <t>2022-05-17T10:54:25</t>
  </si>
  <si>
    <t>PV00399451</t>
  </si>
  <si>
    <t>2022-05-17T10:54:22</t>
  </si>
  <si>
    <t>PV00399344</t>
  </si>
  <si>
    <t>2022-05-17T10:54:17</t>
  </si>
  <si>
    <t>PV00399263</t>
  </si>
  <si>
    <t>2022-05-17T10:54:12</t>
  </si>
  <si>
    <t>PV00399119</t>
  </si>
  <si>
    <t>2022-05-17T10:54:06</t>
  </si>
  <si>
    <t>PV00399097</t>
  </si>
  <si>
    <t>2022-05-17T10:53:19</t>
  </si>
  <si>
    <t>PV00398961</t>
  </si>
  <si>
    <t>2022-05-17T10:53:11</t>
  </si>
  <si>
    <t>PV00398889</t>
  </si>
  <si>
    <t>2022-05-17T10:52:37</t>
  </si>
  <si>
    <t>PV00398776</t>
  </si>
  <si>
    <t>2022-05-17T10:52:36</t>
  </si>
  <si>
    <t>PV00398621</t>
  </si>
  <si>
    <t>2022-05-17T10:52:35</t>
  </si>
  <si>
    <t>PV00398546</t>
  </si>
  <si>
    <t>2022-05-17T10:52:29</t>
  </si>
  <si>
    <t>PV00398416</t>
  </si>
  <si>
    <t>2022-05-17T10:52:28</t>
  </si>
  <si>
    <t>PV00398380</t>
  </si>
  <si>
    <t>2022-05-17T10:52:21</t>
  </si>
  <si>
    <t>PV00398280</t>
  </si>
  <si>
    <t>2022-05-17T10:52:20</t>
  </si>
  <si>
    <t>PV00398152</t>
  </si>
  <si>
    <t>PV00398002</t>
  </si>
  <si>
    <t>2022-05-17T10:52:13</t>
  </si>
  <si>
    <t>PV00397902</t>
  </si>
  <si>
    <t>2022-05-17T10:52:12</t>
  </si>
  <si>
    <t>PV00397872</t>
  </si>
  <si>
    <t>PV00397767</t>
  </si>
  <si>
    <t>2022-05-17T10:52:00</t>
  </si>
  <si>
    <t>PV00397640</t>
  </si>
  <si>
    <t>2022-05-17T10:51:42</t>
  </si>
  <si>
    <t>PV00397548</t>
  </si>
  <si>
    <t>2022-05-17T10:51:41</t>
  </si>
  <si>
    <t>PV00397485</t>
  </si>
  <si>
    <t>2022-05-17T10:51:39</t>
  </si>
  <si>
    <t>PV00397315</t>
  </si>
  <si>
    <t>2022-05-17T10:51:32</t>
  </si>
  <si>
    <t>PV00397285</t>
  </si>
  <si>
    <t>2022-05-17T10:51:25</t>
  </si>
  <si>
    <t>PV00397182</t>
  </si>
  <si>
    <t>2022-05-17T10:51:22</t>
  </si>
  <si>
    <t>PV00397033</t>
  </si>
  <si>
    <t>2022-05-17T10:51:21</t>
  </si>
  <si>
    <t>PV00396939</t>
  </si>
  <si>
    <t>2022-05-17T10:51:17</t>
  </si>
  <si>
    <t>PV00396830</t>
  </si>
  <si>
    <t>2022-05-17T10:51:16</t>
  </si>
  <si>
    <t>PV00396742</t>
  </si>
  <si>
    <t>2022-05-17T10:51:10</t>
  </si>
  <si>
    <t>PV00396690</t>
  </si>
  <si>
    <t>2022-05-17T10:51:09</t>
  </si>
  <si>
    <t>PV00396593</t>
  </si>
  <si>
    <t>2022-05-17T10:51:00</t>
  </si>
  <si>
    <t>PV00396421</t>
  </si>
  <si>
    <t>2022-05-17T10:50:38</t>
  </si>
  <si>
    <t>PV00396324</t>
  </si>
  <si>
    <t>2022-05-17T08:27:23</t>
  </si>
  <si>
    <t>村中小学校</t>
  </si>
  <si>
    <t>PV00396276</t>
  </si>
  <si>
    <t>2022-05-17T08:26:13</t>
  </si>
  <si>
    <t>PV00396182</t>
  </si>
  <si>
    <t>2022-05-16T15:27:00</t>
  </si>
  <si>
    <t>光ヶ丘中学校</t>
  </si>
  <si>
    <t>PV00396089</t>
  </si>
  <si>
    <t>2022-05-16T13:40:33</t>
  </si>
  <si>
    <t>陶小学校</t>
  </si>
  <si>
    <t>PV00395961</t>
  </si>
  <si>
    <t>2022-05-16T13:37:00</t>
  </si>
  <si>
    <t>PV00395830</t>
  </si>
  <si>
    <t>2022-05-16T13:28:18</t>
  </si>
  <si>
    <t>PV00395742</t>
  </si>
  <si>
    <t>2022-05-16T13:04:37</t>
  </si>
  <si>
    <t>PV00395617</t>
  </si>
  <si>
    <t>2022-05-16T11:37:04</t>
  </si>
  <si>
    <t>PV00395538</t>
  </si>
  <si>
    <t>2022-05-16T11:32:09</t>
  </si>
  <si>
    <t>北里小学校</t>
  </si>
  <si>
    <t>PV00395423</t>
  </si>
  <si>
    <t>2022-05-16T10:22:43</t>
  </si>
  <si>
    <t>PV00395372</t>
  </si>
  <si>
    <t>2022-05-16T10:14:43</t>
  </si>
  <si>
    <t>米野小学校</t>
  </si>
  <si>
    <t>PV00395246</t>
  </si>
  <si>
    <t>2022-05-16T09:37:10</t>
  </si>
  <si>
    <t>PV00395121</t>
  </si>
  <si>
    <t>2022-05-16T09:35:58</t>
  </si>
  <si>
    <t>PV00395064</t>
  </si>
  <si>
    <t>2022-05-16T09:35:53</t>
  </si>
  <si>
    <t>PV00394962</t>
  </si>
  <si>
    <t>2022-05-16T08:40:16</t>
  </si>
  <si>
    <t>PV00394802</t>
  </si>
  <si>
    <t>2022-05-16T08:27:46</t>
  </si>
  <si>
    <t>PV00394753</t>
  </si>
  <si>
    <t>2022-05-16T08:27:13</t>
  </si>
  <si>
    <t>篠岡中学校</t>
  </si>
  <si>
    <t>PV00394621</t>
  </si>
  <si>
    <t>2022-05-16T08:26:06</t>
  </si>
  <si>
    <t>PV00394511</t>
  </si>
  <si>
    <t>2022-05-16T08:25:43</t>
  </si>
  <si>
    <t>PV00394482</t>
  </si>
  <si>
    <t>2022-05-16T08:25:34</t>
  </si>
  <si>
    <t>PV00394314</t>
  </si>
  <si>
    <t>2022-05-16T08:25:31</t>
  </si>
  <si>
    <t>PV00394247</t>
  </si>
  <si>
    <t>2022-05-16T08:25:25</t>
  </si>
  <si>
    <t>PV00394147</t>
  </si>
  <si>
    <t>2022-05-16T08:24:54</t>
  </si>
  <si>
    <t>PV00394060</t>
  </si>
  <si>
    <t>2022-05-16T08:24:39</t>
  </si>
  <si>
    <t>PV00393924</t>
  </si>
  <si>
    <t>2022-05-16T08:24:36</t>
  </si>
  <si>
    <t>PV00393886</t>
  </si>
  <si>
    <t>2022-05-16T08:24:34</t>
  </si>
  <si>
    <t>PV00393742</t>
  </si>
  <si>
    <t>2022-05-16T08:23:58</t>
  </si>
  <si>
    <t>PV00393671</t>
  </si>
  <si>
    <t>2022-05-16T08:23:42</t>
  </si>
  <si>
    <t>PV00393598</t>
  </si>
  <si>
    <t>2022-05-16T08:23:39</t>
  </si>
  <si>
    <t>PV00393459</t>
  </si>
  <si>
    <t>2022-05-16T08:23:31</t>
  </si>
  <si>
    <t>PV00393360</t>
  </si>
  <si>
    <t>2022-05-16T08:23:25</t>
  </si>
  <si>
    <t>PV00393258</t>
  </si>
  <si>
    <t>2022-05-16T08:23:24</t>
  </si>
  <si>
    <t>PV00393180</t>
  </si>
  <si>
    <t>2022-05-16T08:23:23</t>
  </si>
  <si>
    <t>PV00393042</t>
  </si>
  <si>
    <t>2022-05-16T08:23:20</t>
  </si>
  <si>
    <t>PV00392908</t>
  </si>
  <si>
    <t>2022-05-16T08:23:07</t>
  </si>
  <si>
    <t>PV00392868</t>
  </si>
  <si>
    <t>2022-05-16T08:22:39</t>
  </si>
  <si>
    <t>PV00392728</t>
  </si>
  <si>
    <t>2022-05-16T08:22:36</t>
  </si>
  <si>
    <t>PV00392613</t>
  </si>
  <si>
    <t>2022-05-16T08:22:29</t>
  </si>
  <si>
    <t>PV00392565</t>
  </si>
  <si>
    <t>2022-05-16T08:22:21</t>
  </si>
  <si>
    <t>PV00392408</t>
  </si>
  <si>
    <t>2022-05-16T08:22:17</t>
  </si>
  <si>
    <t>PV00392345</t>
  </si>
  <si>
    <t>2022-05-16T08:22:14</t>
  </si>
  <si>
    <t>PV00392262</t>
  </si>
  <si>
    <t>2022-05-16T08:22:11</t>
  </si>
  <si>
    <t>PV00392147</t>
  </si>
  <si>
    <t>2022-05-16T08:22:06</t>
  </si>
  <si>
    <t>PV00392089</t>
  </si>
  <si>
    <t>PV00391946</t>
  </si>
  <si>
    <t>2022-05-16T08:22:05</t>
  </si>
  <si>
    <t>PV00391812</t>
  </si>
  <si>
    <t>2022-05-16T08:22:04</t>
  </si>
  <si>
    <t>PV00391726</t>
  </si>
  <si>
    <t>2022-05-16T08:22:02</t>
  </si>
  <si>
    <t>PV00391613</t>
  </si>
  <si>
    <t>2022-05-16T08:22:00</t>
  </si>
  <si>
    <t>PV00391558</t>
  </si>
  <si>
    <t>2022-05-16T08:21:58</t>
  </si>
  <si>
    <t>PV00391489</t>
  </si>
  <si>
    <t>2022-05-16T08:21:54</t>
  </si>
  <si>
    <t>PV00391334</t>
  </si>
  <si>
    <t>2022-05-16T08:21:49</t>
  </si>
  <si>
    <t>PV00391286</t>
  </si>
  <si>
    <t>2022-05-16T08:21:45</t>
  </si>
  <si>
    <t>PV00391169</t>
  </si>
  <si>
    <t>2022-05-16T08:21:44</t>
  </si>
  <si>
    <t>PV00391083</t>
  </si>
  <si>
    <t>2022-05-16T08:21:38</t>
  </si>
  <si>
    <t>PV00390936</t>
  </si>
  <si>
    <t>2022-05-16T08:21:37</t>
  </si>
  <si>
    <t>PV00390802</t>
  </si>
  <si>
    <t>PV00390777</t>
  </si>
  <si>
    <t>2022-05-16T08:21:35</t>
  </si>
  <si>
    <t>PV00390653</t>
  </si>
  <si>
    <t>PV00390573</t>
  </si>
  <si>
    <t>2022-05-16T08:21:34</t>
  </si>
  <si>
    <t>PV00390473</t>
  </si>
  <si>
    <t>PV00390348</t>
  </si>
  <si>
    <t>2022-05-16T08:21:33</t>
  </si>
  <si>
    <t>PV00390268</t>
  </si>
  <si>
    <t>PV00390137</t>
  </si>
  <si>
    <t>2022-05-16T08:21:30</t>
  </si>
  <si>
    <t>PV00390051</t>
  </si>
  <si>
    <t>2022-05-16T08:21:25</t>
  </si>
  <si>
    <t>PV00389957</t>
  </si>
  <si>
    <t>2022-05-16T08:21:22</t>
  </si>
  <si>
    <t>PV00389863</t>
  </si>
  <si>
    <t>2022-05-16T08:21:20</t>
  </si>
  <si>
    <t>PV00389784</t>
  </si>
  <si>
    <t>2022-05-16T08:21:17</t>
  </si>
  <si>
    <t>PV00389631</t>
  </si>
  <si>
    <t>2022-05-16T08:21:15</t>
  </si>
  <si>
    <t>PV00389578</t>
  </si>
  <si>
    <t>PV00389472</t>
  </si>
  <si>
    <t>2022-05-16T08:21:14</t>
  </si>
  <si>
    <t>PV00389329</t>
  </si>
  <si>
    <t>2022-05-16T08:21:12</t>
  </si>
  <si>
    <t>PV00389247</t>
  </si>
  <si>
    <t>2022-05-16T08:21:10</t>
  </si>
  <si>
    <t>PV00389186</t>
  </si>
  <si>
    <t>PV00389000</t>
  </si>
  <si>
    <t>2022-05-16T08:21:08</t>
  </si>
  <si>
    <t>PV00388994</t>
  </si>
  <si>
    <t>PV00388839</t>
  </si>
  <si>
    <t>2022-05-16T08:21:06</t>
  </si>
  <si>
    <t>PV00388764</t>
  </si>
  <si>
    <t>2022-05-16T08:21:05</t>
  </si>
  <si>
    <t>PV00388679</t>
  </si>
  <si>
    <t>2022-05-16T08:21:04</t>
  </si>
  <si>
    <t>PV00388536</t>
  </si>
  <si>
    <t>2022-05-16T08:20:56</t>
  </si>
  <si>
    <t>PV00388409</t>
  </si>
  <si>
    <t>PV00388397</t>
  </si>
  <si>
    <t>2022-05-16T08:20:54</t>
  </si>
  <si>
    <t>PV00388281</t>
  </si>
  <si>
    <t>2022-05-16T08:20:53</t>
  </si>
  <si>
    <t>PV00388194</t>
  </si>
  <si>
    <t>2022-05-16T08:20:51</t>
  </si>
  <si>
    <t>PV00388078</t>
  </si>
  <si>
    <t>2022-05-16T08:20:50</t>
  </si>
  <si>
    <t>PV00387971</t>
  </si>
  <si>
    <t>2022-05-16T08:20:46</t>
  </si>
  <si>
    <t>PV00387826</t>
  </si>
  <si>
    <t>2022-05-16T08:20:45</t>
  </si>
  <si>
    <t>PV00387741</t>
  </si>
  <si>
    <t>2022-05-16T08:20:40</t>
  </si>
  <si>
    <t>PV00387620</t>
  </si>
  <si>
    <t>PV00387506</t>
  </si>
  <si>
    <t>2022-05-16T08:20:36</t>
  </si>
  <si>
    <t>PV00387455</t>
  </si>
  <si>
    <t>2022-05-16T08:20:33</t>
  </si>
  <si>
    <t>PV00387341</t>
  </si>
  <si>
    <t>2022-05-16T08:20:32</t>
  </si>
  <si>
    <t>PV00387283</t>
  </si>
  <si>
    <t>2022-05-16T08:20:30</t>
  </si>
  <si>
    <t>PV00387152</t>
  </si>
  <si>
    <t>2022-05-16T08:20:29</t>
  </si>
  <si>
    <t>PV00387096</t>
  </si>
  <si>
    <t>2022-05-16T08:20:27</t>
  </si>
  <si>
    <t>PV00386981</t>
  </si>
  <si>
    <t>2022-05-16T08:20:23</t>
  </si>
  <si>
    <t>PV00386844</t>
  </si>
  <si>
    <t>2022-05-16T08:20:20</t>
  </si>
  <si>
    <t>PV00386788</t>
  </si>
  <si>
    <t>PV00386655</t>
  </si>
  <si>
    <t>2022-05-16T08:20:19</t>
  </si>
  <si>
    <t>PV00386564</t>
  </si>
  <si>
    <t>2022-05-16T08:20:18</t>
  </si>
  <si>
    <t>PV00386477</t>
  </si>
  <si>
    <t>2022-05-16T08:20:17</t>
  </si>
  <si>
    <t>PV00386327</t>
  </si>
  <si>
    <t>2022-05-16T08:20:15</t>
  </si>
  <si>
    <t>PV00386295</t>
  </si>
  <si>
    <t>2022-05-16T08:20:12</t>
  </si>
  <si>
    <t>PV00386108</t>
  </si>
  <si>
    <t>2022-05-16T08:20:08</t>
  </si>
  <si>
    <t>PV00386037</t>
  </si>
  <si>
    <t>2022-05-16T08:20:07</t>
  </si>
  <si>
    <t>PV00385982</t>
  </si>
  <si>
    <t>2022-05-16T08:20:04</t>
  </si>
  <si>
    <t>PV00385808</t>
  </si>
  <si>
    <t>2022-05-16T08:20:03</t>
  </si>
  <si>
    <t>PV00385783</t>
  </si>
  <si>
    <t>2022-05-16T08:20:02</t>
  </si>
  <si>
    <t>PV00385619</t>
  </si>
  <si>
    <t>2022-05-16T08:19:52</t>
  </si>
  <si>
    <t>PV00385581</t>
  </si>
  <si>
    <t>2022-05-16T08:19:45</t>
  </si>
  <si>
    <t>PV00385473</t>
  </si>
  <si>
    <t>2022-05-16T08:19:44</t>
  </si>
  <si>
    <t>PV00385383</t>
  </si>
  <si>
    <t>2022-05-16T08:19:31</t>
  </si>
  <si>
    <t>PV00385224</t>
  </si>
  <si>
    <t>2022-05-16T08:19:28</t>
  </si>
  <si>
    <t>PV00385169</t>
  </si>
  <si>
    <t>2022-05-16T08:19:27</t>
  </si>
  <si>
    <t>PV00385061</t>
  </si>
  <si>
    <t>PV00384953</t>
  </si>
  <si>
    <t>2022-05-16T08:19:26</t>
  </si>
  <si>
    <t>PV00384873</t>
  </si>
  <si>
    <t>PV00384776</t>
  </si>
  <si>
    <t>2022-05-16T08:19:24</t>
  </si>
  <si>
    <t>PV00384663</t>
  </si>
  <si>
    <t>2022-05-16T08:19:21</t>
  </si>
  <si>
    <t>PV00384573</t>
  </si>
  <si>
    <t>2022-05-16T08:19:19</t>
  </si>
  <si>
    <t>PV00384489</t>
  </si>
  <si>
    <t>2022-05-16T08:19:18</t>
  </si>
  <si>
    <t>PV00384318</t>
  </si>
  <si>
    <t>2022-05-16T08:19:17</t>
  </si>
  <si>
    <t>PV00384287</t>
  </si>
  <si>
    <t>PV00384136</t>
  </si>
  <si>
    <t>2022-05-16T08:19:05</t>
  </si>
  <si>
    <t>PV00384046</t>
  </si>
  <si>
    <t>2022-05-16T08:19:03</t>
  </si>
  <si>
    <t>PV00383924</t>
  </si>
  <si>
    <t>2022-05-16T08:19:02</t>
  </si>
  <si>
    <t>PV00383866</t>
  </si>
  <si>
    <t>2022-05-16T08:18:57</t>
  </si>
  <si>
    <t>PV00383765</t>
  </si>
  <si>
    <t>2022-05-16T08:18:51</t>
  </si>
  <si>
    <t>PV00383653</t>
  </si>
  <si>
    <t>2022-05-16T08:18:48</t>
  </si>
  <si>
    <t>PV00383531</t>
  </si>
  <si>
    <t>2022-05-16T08:18:47</t>
  </si>
  <si>
    <t>PV00383422</t>
  </si>
  <si>
    <t>2022-05-16T08:18:39</t>
  </si>
  <si>
    <t>PV00383347</t>
  </si>
  <si>
    <t>2022-05-16T08:18:32</t>
  </si>
  <si>
    <t>PV00383214</t>
  </si>
  <si>
    <t>2022-05-16T08:18:31</t>
  </si>
  <si>
    <t>PV00383121</t>
  </si>
  <si>
    <t>2022-05-16T08:18:29</t>
  </si>
  <si>
    <t>PV00383097</t>
  </si>
  <si>
    <t>2022-05-16T08:18:28</t>
  </si>
  <si>
    <t>PV00382954</t>
  </si>
  <si>
    <t>2022-05-16T08:18:27</t>
  </si>
  <si>
    <t>PV00382886</t>
  </si>
  <si>
    <t>PV00382761</t>
  </si>
  <si>
    <t>2022-05-16T08:18:22</t>
  </si>
  <si>
    <t>PV00382682</t>
  </si>
  <si>
    <t>2022-05-16T08:18:17</t>
  </si>
  <si>
    <t>PV00382503</t>
  </si>
  <si>
    <t>2022-05-16T08:18:15</t>
  </si>
  <si>
    <t>PV00382489</t>
  </si>
  <si>
    <t>PV00382356</t>
  </si>
  <si>
    <t>2022-05-16T08:18:14</t>
  </si>
  <si>
    <t>PV00382288</t>
  </si>
  <si>
    <t>2022-05-16T08:18:12</t>
  </si>
  <si>
    <t>PV00382124</t>
  </si>
  <si>
    <t>2022-05-16T08:18:09</t>
  </si>
  <si>
    <t>PV00382019</t>
  </si>
  <si>
    <t>2022-05-16T08:18:03</t>
  </si>
  <si>
    <t>PV00381989</t>
  </si>
  <si>
    <t>2022-05-16T08:18:02</t>
  </si>
  <si>
    <t>PV00381854</t>
  </si>
  <si>
    <t>2022-05-16T08:17:59</t>
  </si>
  <si>
    <t>PV00381748</t>
  </si>
  <si>
    <t>2022-05-16T08:17:57</t>
  </si>
  <si>
    <t>PV00381654</t>
  </si>
  <si>
    <t>PV00381575</t>
  </si>
  <si>
    <t>2022-05-16T08:17:49</t>
  </si>
  <si>
    <t>PV00381497</t>
  </si>
  <si>
    <t>2022-05-16T08:17:41</t>
  </si>
  <si>
    <t>PV00381322</t>
  </si>
  <si>
    <t>2022-05-16T08:17:39</t>
  </si>
  <si>
    <t>PV00381298</t>
  </si>
  <si>
    <t>2022-05-16T08:17:37</t>
  </si>
  <si>
    <t>PV00381184</t>
  </si>
  <si>
    <t>2022-05-16T08:17:34</t>
  </si>
  <si>
    <t>PV00381053</t>
  </si>
  <si>
    <t>2022-05-16T08:17:22</t>
  </si>
  <si>
    <t>PV00380950</t>
  </si>
  <si>
    <t>2022-05-16T08:17:19</t>
  </si>
  <si>
    <t>PV00380896</t>
  </si>
  <si>
    <t>2022-05-16T08:17:14</t>
  </si>
  <si>
    <t>PV00380758</t>
  </si>
  <si>
    <t>2022-05-16T08:17:02</t>
  </si>
  <si>
    <t>PV00380663</t>
  </si>
  <si>
    <t>2022-05-16T08:16:06</t>
  </si>
  <si>
    <t>PV00380524</t>
  </si>
  <si>
    <t>2022-05-16T08:15:59</t>
  </si>
  <si>
    <t>PV00380442</t>
  </si>
  <si>
    <t>2022-05-16T08:15:55</t>
  </si>
  <si>
    <t>PV00380381</t>
  </si>
  <si>
    <t>2022-05-16T08:15:53</t>
  </si>
  <si>
    <t>PV00380292</t>
  </si>
  <si>
    <t>2022-05-16T08:15:20</t>
  </si>
  <si>
    <t>PV00380169</t>
  </si>
  <si>
    <t>2022-05-16T08:14:55</t>
  </si>
  <si>
    <t>PV00380028</t>
  </si>
  <si>
    <t>2022-05-16T08:14:49</t>
  </si>
  <si>
    <t>PV00379920</t>
  </si>
  <si>
    <t>2022-05-16T08:14:41</t>
  </si>
  <si>
    <t>PV00379892</t>
  </si>
  <si>
    <t>2022-05-16T08:14:31</t>
  </si>
  <si>
    <t>PV00379797</t>
  </si>
  <si>
    <t>2022-05-16T08:13:40</t>
  </si>
  <si>
    <t>PV00379630</t>
  </si>
  <si>
    <t>2022-05-16T08:13:38</t>
  </si>
  <si>
    <t>PV00379560</t>
  </si>
  <si>
    <t>2022-05-16T08:11:37</t>
  </si>
  <si>
    <t>PV00379490</t>
  </si>
  <si>
    <t>2022-05-16T08:10:01</t>
  </si>
  <si>
    <t>PV00379328</t>
  </si>
  <si>
    <t>2022-05-16T08:10:00</t>
  </si>
  <si>
    <t>PV00379204</t>
  </si>
  <si>
    <t>2022-05-15T21:19:00</t>
  </si>
  <si>
    <t>小牧原小学校</t>
  </si>
  <si>
    <t>PV00379158</t>
  </si>
  <si>
    <t>2022-05-13T19:18:19</t>
  </si>
  <si>
    <t>PV00379004</t>
  </si>
  <si>
    <t>2022-05-13T16:18:31</t>
  </si>
  <si>
    <t>PV00378916</t>
  </si>
  <si>
    <t>2022-05-13T15:24:21</t>
  </si>
  <si>
    <t>桃陵中学校</t>
  </si>
  <si>
    <t>PV00378857</t>
  </si>
  <si>
    <t>2022-05-13T15:17:00</t>
  </si>
  <si>
    <t>PV00378764</t>
  </si>
  <si>
    <t>2022-05-13T15:15:54</t>
  </si>
  <si>
    <t>PV00378683</t>
  </si>
  <si>
    <t>2022-05-13T15:15:36</t>
  </si>
  <si>
    <t>PV00378524</t>
  </si>
  <si>
    <t>2022-05-13T15:14:56</t>
  </si>
  <si>
    <t>PV00378493</t>
  </si>
  <si>
    <t>2022-05-13T15:14:51</t>
  </si>
  <si>
    <t>PV00378397</t>
  </si>
  <si>
    <t>2022-05-13T15:14:38</t>
  </si>
  <si>
    <t>PV00378207</t>
  </si>
  <si>
    <t>2022-05-13T15:14:31</t>
  </si>
  <si>
    <t>PV00378185</t>
  </si>
  <si>
    <t>2022-05-13T15:13:38</t>
  </si>
  <si>
    <t>PV00378068</t>
  </si>
  <si>
    <t>2022-05-13T15:13:10</t>
  </si>
  <si>
    <t>PV00377973</t>
  </si>
  <si>
    <t>2022-05-13T15:08:01</t>
  </si>
  <si>
    <t>PV00377829</t>
  </si>
  <si>
    <t>2022-05-13T15:08:00</t>
  </si>
  <si>
    <t>PV00377752</t>
  </si>
  <si>
    <t>2022-05-13T15:07:38</t>
  </si>
  <si>
    <t>PV00377669</t>
  </si>
  <si>
    <t>2022-05-13T15:06:05</t>
  </si>
  <si>
    <t>PV00377549</t>
  </si>
  <si>
    <t>2022-05-13T15:06:03</t>
  </si>
  <si>
    <t>PV00377469</t>
  </si>
  <si>
    <t>2022-05-13T15:06:01</t>
  </si>
  <si>
    <t>PV00377313</t>
  </si>
  <si>
    <t>2022-05-13T15:05:05</t>
  </si>
  <si>
    <t>PV00377209</t>
  </si>
  <si>
    <t>2022-05-13T15:04:17</t>
  </si>
  <si>
    <t>PV00377158</t>
  </si>
  <si>
    <t>2022-05-13T15:03:42</t>
  </si>
  <si>
    <t>PV00377018</t>
  </si>
  <si>
    <t>2022-05-13T15:02:35</t>
  </si>
  <si>
    <t>PV00376994</t>
  </si>
  <si>
    <t>2022-05-13T15:02:33</t>
  </si>
  <si>
    <t>PV00376824</t>
  </si>
  <si>
    <t>2022-05-13T15:02:03</t>
  </si>
  <si>
    <t>PV00376750</t>
  </si>
  <si>
    <t>2022-05-13T15:02:02</t>
  </si>
  <si>
    <t>PV00376636</t>
  </si>
  <si>
    <t>2022-05-13T15:02:01</t>
  </si>
  <si>
    <t>PV00376579</t>
  </si>
  <si>
    <t>PV00376405</t>
  </si>
  <si>
    <t>2022-05-13T15:01:55</t>
  </si>
  <si>
    <t>PV00376398</t>
  </si>
  <si>
    <t>2022-05-13T15:01:42</t>
  </si>
  <si>
    <t>PV00376261</t>
  </si>
  <si>
    <t>2022-05-13T15:01:34</t>
  </si>
  <si>
    <t>PV00376109</t>
  </si>
  <si>
    <t>2022-05-13T15:01:28</t>
  </si>
  <si>
    <t>PV00376016</t>
  </si>
  <si>
    <t>2022-05-13T15:01:11</t>
  </si>
  <si>
    <t>PV00375932</t>
  </si>
  <si>
    <t>2022-05-13T15:01:09</t>
  </si>
  <si>
    <t>PV00375816</t>
  </si>
  <si>
    <t>PV00375786</t>
  </si>
  <si>
    <t>2022-05-13T15:00:56</t>
  </si>
  <si>
    <t>PV00375604</t>
  </si>
  <si>
    <t>2022-05-13T15:00:51</t>
  </si>
  <si>
    <t>PV00375506</t>
  </si>
  <si>
    <t>2022-05-13T15:00:50</t>
  </si>
  <si>
    <t>PV00375474</t>
  </si>
  <si>
    <t>2022-05-13T15:00:48</t>
  </si>
  <si>
    <t>PV00375304</t>
  </si>
  <si>
    <t>PV00375262</t>
  </si>
  <si>
    <t>2022-05-13T15:00:44</t>
  </si>
  <si>
    <t>PV00375179</t>
  </si>
  <si>
    <t>2022-05-13T15:00:41</t>
  </si>
  <si>
    <t>PV00375019</t>
  </si>
  <si>
    <t>2022-05-13T15:00:40</t>
  </si>
  <si>
    <t>PV00374926</t>
  </si>
  <si>
    <t>2022-05-13T15:00:39</t>
  </si>
  <si>
    <t>PV00374851</t>
  </si>
  <si>
    <t>2022-05-13T15:00:33</t>
  </si>
  <si>
    <t>PV00374785</t>
  </si>
  <si>
    <t>2022-05-13T15:00:29</t>
  </si>
  <si>
    <t>PV00374636</t>
  </si>
  <si>
    <t>2022-05-13T15:00:27</t>
  </si>
  <si>
    <t>PV00374550</t>
  </si>
  <si>
    <t>2022-05-13T15:00:15</t>
  </si>
  <si>
    <t>PV00374411</t>
  </si>
  <si>
    <t>2022-05-13T15:00:02</t>
  </si>
  <si>
    <t>PV00374389</t>
  </si>
  <si>
    <t>2022-05-13T15:00:00</t>
  </si>
  <si>
    <t>PV00374216</t>
  </si>
  <si>
    <t>2022-05-13T14:59:54</t>
  </si>
  <si>
    <t>PV00374148</t>
  </si>
  <si>
    <t>2022-05-13T14:59:52</t>
  </si>
  <si>
    <t>PV00374008</t>
  </si>
  <si>
    <t>2022-05-13T14:59:46</t>
  </si>
  <si>
    <t>PV00373963</t>
  </si>
  <si>
    <t>2022-05-13T14:59:40</t>
  </si>
  <si>
    <t>PV00373828</t>
  </si>
  <si>
    <t>2022-05-13T14:59:35</t>
  </si>
  <si>
    <t>PV00373760</t>
  </si>
  <si>
    <t>2022-05-13T14:59:30</t>
  </si>
  <si>
    <t>PV00373658</t>
  </si>
  <si>
    <t>PV00373592</t>
  </si>
  <si>
    <t>2022-05-13T14:59:28</t>
  </si>
  <si>
    <t>PV00373472</t>
  </si>
  <si>
    <t>2022-05-13T14:59:22</t>
  </si>
  <si>
    <t>PV00373390</t>
  </si>
  <si>
    <t>2022-05-13T14:59:16</t>
  </si>
  <si>
    <t>PV00373289</t>
  </si>
  <si>
    <t>2022-05-13T14:59:14</t>
  </si>
  <si>
    <t>PV00373159</t>
  </si>
  <si>
    <t>2022-05-13T14:59:13</t>
  </si>
  <si>
    <t>PV00373099</t>
  </si>
  <si>
    <t>2022-05-13T14:59:03</t>
  </si>
  <si>
    <t>PV00372914</t>
  </si>
  <si>
    <t>PV00372895</t>
  </si>
  <si>
    <t>2022-05-13T14:59:01</t>
  </si>
  <si>
    <t>PV00372710</t>
  </si>
  <si>
    <t>PV00372688</t>
  </si>
  <si>
    <t>2022-05-13T14:58:59</t>
  </si>
  <si>
    <t>PV00372529</t>
  </si>
  <si>
    <t>PV00372498</t>
  </si>
  <si>
    <t>PV00372354</t>
  </si>
  <si>
    <t>PV00372275</t>
  </si>
  <si>
    <t>2022-05-13T14:58:45</t>
  </si>
  <si>
    <t>PV00372100</t>
  </si>
  <si>
    <t>2022-05-13T14:58:41</t>
  </si>
  <si>
    <t>PV00372070</t>
  </si>
  <si>
    <t>PV00371931</t>
  </si>
  <si>
    <t>2022-05-13T14:58:37</t>
  </si>
  <si>
    <t>PV00371850</t>
  </si>
  <si>
    <t>2022-05-13T14:58:36</t>
  </si>
  <si>
    <t>PV00371735</t>
  </si>
  <si>
    <t>PV00371620</t>
  </si>
  <si>
    <t>2022-05-13T14:58:34</t>
  </si>
  <si>
    <t>PV00371549</t>
  </si>
  <si>
    <t>2022-05-13T14:58:30</t>
  </si>
  <si>
    <t>PV00371421</t>
  </si>
  <si>
    <t>2022-05-13T14:58:20</t>
  </si>
  <si>
    <t>PV00371326</t>
  </si>
  <si>
    <t>2022-05-13T14:58:13</t>
  </si>
  <si>
    <t>PV00371200</t>
  </si>
  <si>
    <t>2022-05-13T14:58:11</t>
  </si>
  <si>
    <t>PV00371179</t>
  </si>
  <si>
    <t>2022-05-13T14:58:02</t>
  </si>
  <si>
    <t>PV00371054</t>
  </si>
  <si>
    <t>2022-05-13T14:58:01</t>
  </si>
  <si>
    <t>PV00370933</t>
  </si>
  <si>
    <t>2022-05-13T14:57:57</t>
  </si>
  <si>
    <t>PV00370825</t>
  </si>
  <si>
    <t>PV00370707</t>
  </si>
  <si>
    <t>2022-05-13T14:57:46</t>
  </si>
  <si>
    <t>PV00370684</t>
  </si>
  <si>
    <t>2022-05-13T14:57:38</t>
  </si>
  <si>
    <t>PV00370536</t>
  </si>
  <si>
    <t>2022-05-13T14:57:36</t>
  </si>
  <si>
    <t>PV00370467</t>
  </si>
  <si>
    <t>2022-05-13T14:57:32</t>
  </si>
  <si>
    <t>PV00370367</t>
  </si>
  <si>
    <t>2022-05-13T14:57:28</t>
  </si>
  <si>
    <t>PV00370222</t>
  </si>
  <si>
    <t>PV00370118</t>
  </si>
  <si>
    <t>2022-05-13T14:57:27</t>
  </si>
  <si>
    <t>PV00370091</t>
  </si>
  <si>
    <t>2022-05-13T14:57:17</t>
  </si>
  <si>
    <t>PV00369983</t>
  </si>
  <si>
    <t>2022-05-13T14:57:16</t>
  </si>
  <si>
    <t>PV00369857</t>
  </si>
  <si>
    <t>2022-05-13T14:57:15</t>
  </si>
  <si>
    <t>PV00369758</t>
  </si>
  <si>
    <t>2022-05-13T14:57:14</t>
  </si>
  <si>
    <t>PV00369624</t>
  </si>
  <si>
    <t>2022-05-13T14:57:09</t>
  </si>
  <si>
    <t>PV00369523</t>
  </si>
  <si>
    <t>2022-05-13T14:57:07</t>
  </si>
  <si>
    <t>PV00369489</t>
  </si>
  <si>
    <t>PV00369343</t>
  </si>
  <si>
    <t>2022-05-13T14:57:06</t>
  </si>
  <si>
    <t>PV00369256</t>
  </si>
  <si>
    <t>2022-05-13T14:57:02</t>
  </si>
  <si>
    <t>PV00369174</t>
  </si>
  <si>
    <t>2022-05-13T14:57:01</t>
  </si>
  <si>
    <t>PV00369014</t>
  </si>
  <si>
    <t>2022-05-13T14:56:55</t>
  </si>
  <si>
    <t>PV00368956</t>
  </si>
  <si>
    <t>2022-05-13T14:56:52</t>
  </si>
  <si>
    <t>PV00368841</t>
  </si>
  <si>
    <t>PV00368777</t>
  </si>
  <si>
    <t>PV00368679</t>
  </si>
  <si>
    <t>2022-05-13T14:56:51</t>
  </si>
  <si>
    <t>PV00368555</t>
  </si>
  <si>
    <t>2022-05-13T14:56:50</t>
  </si>
  <si>
    <t>PV00368449</t>
  </si>
  <si>
    <t>PV00368367</t>
  </si>
  <si>
    <t>2022-05-13T14:56:49</t>
  </si>
  <si>
    <t>PV00368224</t>
  </si>
  <si>
    <t>2022-05-13T14:56:45</t>
  </si>
  <si>
    <t>PV00368195</t>
  </si>
  <si>
    <t>2022-05-13T14:56:43</t>
  </si>
  <si>
    <t>PV00368004</t>
  </si>
  <si>
    <t>2022-05-13T14:56:42</t>
  </si>
  <si>
    <t>PV00367922</t>
  </si>
  <si>
    <t>2022-05-13T14:56:40</t>
  </si>
  <si>
    <t>PV00367804</t>
  </si>
  <si>
    <t>2022-05-13T14:56:38</t>
  </si>
  <si>
    <t>PV00367703</t>
  </si>
  <si>
    <t>2022-05-13T14:56:36</t>
  </si>
  <si>
    <t>PV00367632</t>
  </si>
  <si>
    <t>2022-05-13T14:56:33</t>
  </si>
  <si>
    <t>PV00367557</t>
  </si>
  <si>
    <t>2022-05-13T14:56:30</t>
  </si>
  <si>
    <t>PV00367412</t>
  </si>
  <si>
    <t>2022-05-13T14:56:29</t>
  </si>
  <si>
    <t>PV00367356</t>
  </si>
  <si>
    <t>PV00367294</t>
  </si>
  <si>
    <t>2022-05-13T14:56:28</t>
  </si>
  <si>
    <t>PV00367104</t>
  </si>
  <si>
    <t>2022-05-13T14:56:26</t>
  </si>
  <si>
    <t>PV00367062</t>
  </si>
  <si>
    <t>2022-05-13T14:56:19</t>
  </si>
  <si>
    <t>PV00366986</t>
  </si>
  <si>
    <t>2022-05-13T14:56:17</t>
  </si>
  <si>
    <t>PV00366894</t>
  </si>
  <si>
    <t>2022-05-13T14:56:15</t>
  </si>
  <si>
    <t>PV00366725</t>
  </si>
  <si>
    <t>2022-05-13T14:56:11</t>
  </si>
  <si>
    <t>PV00366602</t>
  </si>
  <si>
    <t>2022-05-13T14:56:10</t>
  </si>
  <si>
    <t>PV00366589</t>
  </si>
  <si>
    <t>PV00366487</t>
  </si>
  <si>
    <t>2022-05-13T14:56:09</t>
  </si>
  <si>
    <t>PV00366372</t>
  </si>
  <si>
    <t>2022-05-13T14:56:04</t>
  </si>
  <si>
    <t>PV00366256</t>
  </si>
  <si>
    <t>2022-05-13T14:55:58</t>
  </si>
  <si>
    <t>PV00366141</t>
  </si>
  <si>
    <t>2022-05-13T14:55:56</t>
  </si>
  <si>
    <t>PV00366057</t>
  </si>
  <si>
    <t>2022-05-13T14:55:55</t>
  </si>
  <si>
    <t>PV00365994</t>
  </si>
  <si>
    <t>2022-05-13T14:55:54</t>
  </si>
  <si>
    <t>PV00365895</t>
  </si>
  <si>
    <t>2022-05-13T14:55:53</t>
  </si>
  <si>
    <t>PV00365793</t>
  </si>
  <si>
    <t>2022-05-13T14:55:52</t>
  </si>
  <si>
    <t>PV00365640</t>
  </si>
  <si>
    <t>2022-05-13T14:55:39</t>
  </si>
  <si>
    <t>PV00365559</t>
  </si>
  <si>
    <t>2022-05-13T14:55:36</t>
  </si>
  <si>
    <t>PV00365498</t>
  </si>
  <si>
    <t>PV00365343</t>
  </si>
  <si>
    <t>2022-05-13T14:55:33</t>
  </si>
  <si>
    <t>PV00365219</t>
  </si>
  <si>
    <t>2022-05-13T13:52:35</t>
  </si>
  <si>
    <t>PV00365177</t>
  </si>
  <si>
    <t>2022-05-13T13:27:06</t>
  </si>
  <si>
    <t>PV00365060</t>
  </si>
  <si>
    <t>2022-05-13T11:19:34</t>
  </si>
  <si>
    <t>PV00364949</t>
  </si>
  <si>
    <t>2022-05-13T10:27:18</t>
  </si>
  <si>
    <t>PV00364828</t>
  </si>
  <si>
    <t>2022-05-13T10:24:24</t>
  </si>
  <si>
    <t>PV00364754</t>
  </si>
  <si>
    <t>2022-05-13T10:24:11</t>
  </si>
  <si>
    <t>PV00364689</t>
  </si>
  <si>
    <t>2022-05-13T10:23:43</t>
  </si>
  <si>
    <t>PV00364577</t>
  </si>
  <si>
    <t>2022-05-13T10:23:39</t>
  </si>
  <si>
    <t>PV00364421</t>
  </si>
  <si>
    <t>2022-05-13T10:23:28</t>
  </si>
  <si>
    <t>PV00364375</t>
  </si>
  <si>
    <t>2022-05-13T10:23:11</t>
  </si>
  <si>
    <t>PV00364267</t>
  </si>
  <si>
    <t>2022-05-13T10:23:01</t>
  </si>
  <si>
    <t>PV00364188</t>
  </si>
  <si>
    <t>2022-05-13T10:22:59</t>
  </si>
  <si>
    <t>PV00364069</t>
  </si>
  <si>
    <t>2022-05-13T10:22:54</t>
  </si>
  <si>
    <t>PV00363919</t>
  </si>
  <si>
    <t>2022-05-13T10:22:44</t>
  </si>
  <si>
    <t>PV00363847</t>
  </si>
  <si>
    <t>PV00363719</t>
  </si>
  <si>
    <t>2022-05-13T10:22:40</t>
  </si>
  <si>
    <t>PV00363677</t>
  </si>
  <si>
    <t>2022-05-13T10:22:37</t>
  </si>
  <si>
    <t>PV00363501</t>
  </si>
  <si>
    <t>2022-05-13T10:22:36</t>
  </si>
  <si>
    <t>PV00363433</t>
  </si>
  <si>
    <t>2022-05-13T10:22:28</t>
  </si>
  <si>
    <t>PV00363353</t>
  </si>
  <si>
    <t>2022-05-13T10:22:27</t>
  </si>
  <si>
    <t>PV00363292</t>
  </si>
  <si>
    <t>2022-05-13T10:22:24</t>
  </si>
  <si>
    <t>PV00363112</t>
  </si>
  <si>
    <t>2022-05-13T10:22:23</t>
  </si>
  <si>
    <t>PV00363003</t>
  </si>
  <si>
    <t>2022-05-13T10:22:19</t>
  </si>
  <si>
    <t>PV00362982</t>
  </si>
  <si>
    <t>2022-05-13T10:22:15</t>
  </si>
  <si>
    <t>PV00362892</t>
  </si>
  <si>
    <t>2022-05-13T10:22:05</t>
  </si>
  <si>
    <t>PV00362773</t>
  </si>
  <si>
    <t>2022-05-13T10:22:04</t>
  </si>
  <si>
    <t>PV00362692</t>
  </si>
  <si>
    <t>2022-05-13T10:21:57</t>
  </si>
  <si>
    <t>PV00362561</t>
  </si>
  <si>
    <t>2022-05-13T10:21:46</t>
  </si>
  <si>
    <t>PV00362461</t>
  </si>
  <si>
    <t>2022-05-13T10:21:45</t>
  </si>
  <si>
    <t>PV00362353</t>
  </si>
  <si>
    <t>2022-05-13T10:21:44</t>
  </si>
  <si>
    <t>PV00362299</t>
  </si>
  <si>
    <t>2022-05-13T10:21:42</t>
  </si>
  <si>
    <t>PV00362198</t>
  </si>
  <si>
    <t>PV00362001</t>
  </si>
  <si>
    <t>2022-05-13T10:21:41</t>
  </si>
  <si>
    <t>PV00361950</t>
  </si>
  <si>
    <t>2022-05-13T10:21:38</t>
  </si>
  <si>
    <t>PV00361833</t>
  </si>
  <si>
    <t>2022-05-13T10:21:35</t>
  </si>
  <si>
    <t>PV00361789</t>
  </si>
  <si>
    <t>2022-05-13T10:21:21</t>
  </si>
  <si>
    <t>PV00361626</t>
  </si>
  <si>
    <t>2022-05-13T09:24:36</t>
  </si>
  <si>
    <t>PV00361564</t>
  </si>
  <si>
    <t>2022-05-13T09:13:15</t>
  </si>
  <si>
    <t>PV00361498</t>
  </si>
  <si>
    <t>2022-05-13T09:13:07</t>
  </si>
  <si>
    <t>PV00361390</t>
  </si>
  <si>
    <t>PV00361230</t>
  </si>
  <si>
    <t>2022-05-13T09:12:53</t>
  </si>
  <si>
    <t>PV00361175</t>
  </si>
  <si>
    <t>2022-05-13T09:12:49</t>
  </si>
  <si>
    <t>PV00361046</t>
  </si>
  <si>
    <t>2022-05-13T09:12:40</t>
  </si>
  <si>
    <t>PV00360967</t>
  </si>
  <si>
    <t>2022-05-13T09:12:37</t>
  </si>
  <si>
    <t>PV00360875</t>
  </si>
  <si>
    <t>2022-05-13T09:12:24</t>
  </si>
  <si>
    <t>PV00360740</t>
  </si>
  <si>
    <t>PV00360628</t>
  </si>
  <si>
    <t>PV00360551</t>
  </si>
  <si>
    <t>2022-05-13T09:12:20</t>
  </si>
  <si>
    <t>PV00360476</t>
  </si>
  <si>
    <t>2022-05-13T09:12:17</t>
  </si>
  <si>
    <t>PV00360303</t>
  </si>
  <si>
    <t>2022-05-13T09:12:12</t>
  </si>
  <si>
    <t>PV00360282</t>
  </si>
  <si>
    <t>2022-05-13T09:12:08</t>
  </si>
  <si>
    <t>PV00360143</t>
  </si>
  <si>
    <t>2022-05-13T09:12:04</t>
  </si>
  <si>
    <t>PV00360024</t>
  </si>
  <si>
    <t>2022-05-13T09:12:03</t>
  </si>
  <si>
    <t>PV00359932</t>
  </si>
  <si>
    <t>2022-05-13T09:12:02</t>
  </si>
  <si>
    <t>PV00359800</t>
  </si>
  <si>
    <t>2022-05-13T09:12:01</t>
  </si>
  <si>
    <t>PV00359766</t>
  </si>
  <si>
    <t>2022-05-13T09:11:59</t>
  </si>
  <si>
    <t>PV00359691</t>
  </si>
  <si>
    <t>2022-05-13T09:11:48</t>
  </si>
  <si>
    <t>PV00359564</t>
  </si>
  <si>
    <t>PV00359447</t>
  </si>
  <si>
    <t>PV00359372</t>
  </si>
  <si>
    <t>2022-05-13T09:11:45</t>
  </si>
  <si>
    <t>PV00359283</t>
  </si>
  <si>
    <t>2022-05-13T09:11:44</t>
  </si>
  <si>
    <t>PV00359126</t>
  </si>
  <si>
    <t>2022-05-13T09:11:41</t>
  </si>
  <si>
    <t>PV00359054</t>
  </si>
  <si>
    <t>2022-05-13T09:11:40</t>
  </si>
  <si>
    <t>PV00358914</t>
  </si>
  <si>
    <t>2022-05-13T09:11:39</t>
  </si>
  <si>
    <t>PV00358855</t>
  </si>
  <si>
    <t>2022-05-13T09:11:38</t>
  </si>
  <si>
    <t>PV00358785</t>
  </si>
  <si>
    <t>2022-05-13T09:11:37</t>
  </si>
  <si>
    <t>PV00358607</t>
  </si>
  <si>
    <t>2022-05-13T09:11:34</t>
  </si>
  <si>
    <t>PV00358529</t>
  </si>
  <si>
    <t>2022-05-13T09:11:27</t>
  </si>
  <si>
    <t>PV00358496</t>
  </si>
  <si>
    <t>2022-05-13T09:11:22</t>
  </si>
  <si>
    <t>PV00358368</t>
  </si>
  <si>
    <t>2022-05-13T09:11:11</t>
  </si>
  <si>
    <t>PV00358279</t>
  </si>
  <si>
    <t>2022-05-13T09:11:06</t>
  </si>
  <si>
    <t>PV00358128</t>
  </si>
  <si>
    <t>2022-05-13T09:11:04</t>
  </si>
  <si>
    <t>PV00358087</t>
  </si>
  <si>
    <t>2022-05-13T09:10:42</t>
  </si>
  <si>
    <t>PV00357908</t>
  </si>
  <si>
    <t>PV00357867</t>
  </si>
  <si>
    <t>2022-05-13T09:09:54</t>
  </si>
  <si>
    <t>PV00357731</t>
  </si>
  <si>
    <t>2022-05-13T08:52:02</t>
  </si>
  <si>
    <t>PV00357612</t>
  </si>
  <si>
    <t>2022-05-13T08:51:34</t>
  </si>
  <si>
    <t>PV00357505</t>
  </si>
  <si>
    <t>2022-05-13T08:51:10</t>
  </si>
  <si>
    <t>PV00357405</t>
  </si>
  <si>
    <t>2022-05-13T08:50:50</t>
  </si>
  <si>
    <t>PV00357344</t>
  </si>
  <si>
    <t>2022-05-13T08:50:46</t>
  </si>
  <si>
    <t>PV00357251</t>
  </si>
  <si>
    <t>2022-05-13T08:50:35</t>
  </si>
  <si>
    <t>PV00357150</t>
  </si>
  <si>
    <t>2022-05-13T08:50:33</t>
  </si>
  <si>
    <t>PV00357029</t>
  </si>
  <si>
    <t>2022-05-13T08:50:31</t>
  </si>
  <si>
    <t>PV00356960</t>
  </si>
  <si>
    <t>2022-05-13T08:50:30</t>
  </si>
  <si>
    <t>PV00356868</t>
  </si>
  <si>
    <t>2022-05-13T08:50:29</t>
  </si>
  <si>
    <t>PV00356747</t>
  </si>
  <si>
    <t>2022-05-13T08:50:28</t>
  </si>
  <si>
    <t>PV00356649</t>
  </si>
  <si>
    <t>PV00356567</t>
  </si>
  <si>
    <t>2022-05-13T08:50:26</t>
  </si>
  <si>
    <t>PV00356493</t>
  </si>
  <si>
    <t>2022-05-13T08:50:05</t>
  </si>
  <si>
    <t>PV00356385</t>
  </si>
  <si>
    <t>PV00356275</t>
  </si>
  <si>
    <t>2022-05-13T08:49:59</t>
  </si>
  <si>
    <t>PV00356129</t>
  </si>
  <si>
    <t>2022-05-13T08:49:57</t>
  </si>
  <si>
    <t>PV00356083</t>
  </si>
  <si>
    <t>2022-05-13T08:49:54</t>
  </si>
  <si>
    <t>PV00355983</t>
  </si>
  <si>
    <t>2022-05-13T08:49:52</t>
  </si>
  <si>
    <t>PV00355870</t>
  </si>
  <si>
    <t>2022-05-13T08:49:47</t>
  </si>
  <si>
    <t>PV00355741</t>
  </si>
  <si>
    <t>2022-05-13T08:49:46</t>
  </si>
  <si>
    <t>PV00355647</t>
  </si>
  <si>
    <t>2022-05-13T08:49:43</t>
  </si>
  <si>
    <t>PV00355577</t>
  </si>
  <si>
    <t>2022-05-13T08:49:41</t>
  </si>
  <si>
    <t>PV00355481</t>
  </si>
  <si>
    <t>2022-05-13T08:49:39</t>
  </si>
  <si>
    <t>PV00355360</t>
  </si>
  <si>
    <t>PV00355214</t>
  </si>
  <si>
    <t>2022-05-13T08:49:38</t>
  </si>
  <si>
    <t>PV00355190</t>
  </si>
  <si>
    <t>2022-05-13T08:49:36</t>
  </si>
  <si>
    <t>PV00355011</t>
  </si>
  <si>
    <t>2022-05-13T08:49:31</t>
  </si>
  <si>
    <t>PV00354985</t>
  </si>
  <si>
    <t>2022-05-13T08:49:25</t>
  </si>
  <si>
    <t>PV00354844</t>
  </si>
  <si>
    <t>2022-05-13T08:49:22</t>
  </si>
  <si>
    <t>PV00354702</t>
  </si>
  <si>
    <t>2022-05-13T08:49:21</t>
  </si>
  <si>
    <t>PV00354665</t>
  </si>
  <si>
    <t>PV00354594</t>
  </si>
  <si>
    <t>PV00354470</t>
  </si>
  <si>
    <t>2022-05-13T08:49:18</t>
  </si>
  <si>
    <t>PV00354377</t>
  </si>
  <si>
    <t>2022-05-13T08:49:14</t>
  </si>
  <si>
    <t>PV00354237</t>
  </si>
  <si>
    <t>2022-05-13T08:49:13</t>
  </si>
  <si>
    <t>PV00354156</t>
  </si>
  <si>
    <t>2022-05-13T08:49:01</t>
  </si>
  <si>
    <t>PV00354010</t>
  </si>
  <si>
    <t>2022-05-13T08:35:06</t>
  </si>
  <si>
    <t>小木小学校</t>
  </si>
  <si>
    <t>PV00353949</t>
  </si>
  <si>
    <t>2022-05-13T08:34:19</t>
  </si>
  <si>
    <t>PV00353827</t>
  </si>
  <si>
    <t>2022-05-13T08:33:58</t>
  </si>
  <si>
    <t>PV00353715</t>
  </si>
  <si>
    <t>2022-05-13T08:33:07</t>
  </si>
  <si>
    <t>PV00353665</t>
  </si>
  <si>
    <t>2022-05-13T08:32:57</t>
  </si>
  <si>
    <t>PV00353536</t>
  </si>
  <si>
    <t>2022-05-13T08:32:50</t>
  </si>
  <si>
    <t>PV00353474</t>
  </si>
  <si>
    <t>2022-05-13T08:32:25</t>
  </si>
  <si>
    <t>PV00353324</t>
  </si>
  <si>
    <t>2022-05-13T08:32:22</t>
  </si>
  <si>
    <t>PV00353234</t>
  </si>
  <si>
    <t>2022-05-13T08:32:17</t>
  </si>
  <si>
    <t>PV00353160</t>
  </si>
  <si>
    <t>2022-05-13T08:32:14</t>
  </si>
  <si>
    <t>PV00353037</t>
  </si>
  <si>
    <t>2022-05-13T08:32:07</t>
  </si>
  <si>
    <t>PV00352997</t>
  </si>
  <si>
    <t>2022-05-13T08:32:04</t>
  </si>
  <si>
    <t>PV00352818</t>
  </si>
  <si>
    <t>2022-05-13T08:32:03</t>
  </si>
  <si>
    <t>PV00352798</t>
  </si>
  <si>
    <t>2022-05-13T08:32:00</t>
  </si>
  <si>
    <t>PV00352643</t>
  </si>
  <si>
    <t>2022-05-13T08:31:55</t>
  </si>
  <si>
    <t>PV00352528</t>
  </si>
  <si>
    <t>2022-05-13T08:31:34</t>
  </si>
  <si>
    <t>PV00352472</t>
  </si>
  <si>
    <t>2022-05-13T08:31:28</t>
  </si>
  <si>
    <t>PV00352341</t>
  </si>
  <si>
    <t>2022-05-13T08:31:23</t>
  </si>
  <si>
    <t>PV00352231</t>
  </si>
  <si>
    <t>2022-05-13T08:31:21</t>
  </si>
  <si>
    <t>PV00352184</t>
  </si>
  <si>
    <t>2022-05-13T08:31:13</t>
  </si>
  <si>
    <t>PV00352013</t>
  </si>
  <si>
    <t>2022-05-13T08:29:24</t>
  </si>
  <si>
    <t>PV00351920</t>
  </si>
  <si>
    <t>2022-05-13T08:29:19</t>
  </si>
  <si>
    <t>PV00351829</t>
  </si>
  <si>
    <t>2022-05-13T08:27:23</t>
  </si>
  <si>
    <t>PV00351707</t>
  </si>
  <si>
    <t>2022-05-13T08:26:52</t>
  </si>
  <si>
    <t>PV00351641</t>
  </si>
  <si>
    <t>2022-05-13T08:26:34</t>
  </si>
  <si>
    <t>PV00351559</t>
  </si>
  <si>
    <t>2022-05-13T08:26:33</t>
  </si>
  <si>
    <t>PV00351490</t>
  </si>
  <si>
    <t>2022-05-13T08:26:29</t>
  </si>
  <si>
    <t>PV00351322</t>
  </si>
  <si>
    <t>2022-05-13T08:26:25</t>
  </si>
  <si>
    <t>PV00351289</t>
  </si>
  <si>
    <t>2022-05-13T08:26:20</t>
  </si>
  <si>
    <t>PV00351120</t>
  </si>
  <si>
    <t>2022-05-13T08:26:14</t>
  </si>
  <si>
    <t>PV00351063</t>
  </si>
  <si>
    <t>2022-05-13T08:26:06</t>
  </si>
  <si>
    <t>PV00350937</t>
  </si>
  <si>
    <t>2022-05-13T08:25:53</t>
  </si>
  <si>
    <t>PV00350819</t>
  </si>
  <si>
    <t>2022-05-13T08:25:43</t>
  </si>
  <si>
    <t>PV00350716</t>
  </si>
  <si>
    <t>2022-05-13T08:25:40</t>
  </si>
  <si>
    <t>PV00350602</t>
  </si>
  <si>
    <t>2022-05-13T08:25:39</t>
  </si>
  <si>
    <t>PV00350505</t>
  </si>
  <si>
    <t>2022-05-13T08:25:36</t>
  </si>
  <si>
    <t>PV00350435</t>
  </si>
  <si>
    <t>2022-05-13T08:25:35</t>
  </si>
  <si>
    <t>PV00350333</t>
  </si>
  <si>
    <t>2022-05-13T08:25:30</t>
  </si>
  <si>
    <t>PV00350272</t>
  </si>
  <si>
    <t>2022-05-13T08:25:29</t>
  </si>
  <si>
    <t>PV00350151</t>
  </si>
  <si>
    <t>2022-05-13T08:25:18</t>
  </si>
  <si>
    <t>PV00350042</t>
  </si>
  <si>
    <t>PV00349908</t>
  </si>
  <si>
    <t>2022-05-13T08:25:16</t>
  </si>
  <si>
    <t>PV00349881</t>
  </si>
  <si>
    <t>2022-05-13T08:25:13</t>
  </si>
  <si>
    <t>PV00349740</t>
  </si>
  <si>
    <t>2022-05-13T08:24:58</t>
  </si>
  <si>
    <t>PV00349696</t>
  </si>
  <si>
    <t>2022-05-13T08:24:53</t>
  </si>
  <si>
    <t>PV00349542</t>
  </si>
  <si>
    <t>2022-05-13T08:24:51</t>
  </si>
  <si>
    <t>PV00349479</t>
  </si>
  <si>
    <t>PV00349346</t>
  </si>
  <si>
    <t>PV00349212</t>
  </si>
  <si>
    <t>2022-05-13T08:24:48</t>
  </si>
  <si>
    <t>PV00349108</t>
  </si>
  <si>
    <t>2022-05-13T08:24:47</t>
  </si>
  <si>
    <t>PV00349034</t>
  </si>
  <si>
    <t>2022-05-13T08:24:45</t>
  </si>
  <si>
    <t>PV00348918</t>
  </si>
  <si>
    <t>PV00348857</t>
  </si>
  <si>
    <t>2022-05-13T08:24:44</t>
  </si>
  <si>
    <t>PV00348740</t>
  </si>
  <si>
    <t>2022-05-13T08:24:43</t>
  </si>
  <si>
    <t>PV00348629</t>
  </si>
  <si>
    <t>2022-05-13T08:24:42</t>
  </si>
  <si>
    <t>PV00348580</t>
  </si>
  <si>
    <t>2022-05-13T08:24:40</t>
  </si>
  <si>
    <t>PV00348455</t>
  </si>
  <si>
    <t>2022-05-13T08:24:39</t>
  </si>
  <si>
    <t>PV00348374</t>
  </si>
  <si>
    <t>2022-05-13T08:24:32</t>
  </si>
  <si>
    <t>PV00348290</t>
  </si>
  <si>
    <t>2022-05-13T08:24:19</t>
  </si>
  <si>
    <t>PV00348134</t>
  </si>
  <si>
    <t>2022-05-13T08:24:17</t>
  </si>
  <si>
    <t>PV00348083</t>
  </si>
  <si>
    <t>2022-05-13T08:24:10</t>
  </si>
  <si>
    <t>PV00347925</t>
  </si>
  <si>
    <t>2022-05-13T08:24:04</t>
  </si>
  <si>
    <t>PV00347850</t>
  </si>
  <si>
    <t>2022-05-13T08:24:02</t>
  </si>
  <si>
    <t>PV00347737</t>
  </si>
  <si>
    <t>2022-05-13T08:23:58</t>
  </si>
  <si>
    <t>PV00347681</t>
  </si>
  <si>
    <t>2022-05-13T08:23:55</t>
  </si>
  <si>
    <t>PV00347510</t>
  </si>
  <si>
    <t>PV00347450</t>
  </si>
  <si>
    <t>2022-05-13T08:23:51</t>
  </si>
  <si>
    <t>PV00347363</t>
  </si>
  <si>
    <t>PV00347251</t>
  </si>
  <si>
    <t>2022-05-13T08:23:50</t>
  </si>
  <si>
    <t>PV00347178</t>
  </si>
  <si>
    <t>PV00347057</t>
  </si>
  <si>
    <t>PV00346968</t>
  </si>
  <si>
    <t>2022-05-13T08:23:41</t>
  </si>
  <si>
    <t>PV00346884</t>
  </si>
  <si>
    <t>PV00346780</t>
  </si>
  <si>
    <t>2022-05-13T08:23:39</t>
  </si>
  <si>
    <t>PV00346637</t>
  </si>
  <si>
    <t>2022-05-13T08:23:35</t>
  </si>
  <si>
    <t>PV00346564</t>
  </si>
  <si>
    <t>2022-05-13T08:23:25</t>
  </si>
  <si>
    <t>PV00346418</t>
  </si>
  <si>
    <t>PV00346351</t>
  </si>
  <si>
    <t>2022-05-13T08:23:22</t>
  </si>
  <si>
    <t>PV00346200</t>
  </si>
  <si>
    <t>2022-05-13T08:23:11</t>
  </si>
  <si>
    <t>PV00346189</t>
  </si>
  <si>
    <t>2022-05-13T08:23:08</t>
  </si>
  <si>
    <t>PV00346092</t>
  </si>
  <si>
    <t>2022-05-13T08:23:07</t>
  </si>
  <si>
    <t>PV00345949</t>
  </si>
  <si>
    <t>PV00345800</t>
  </si>
  <si>
    <t>2022-05-13T08:23:00</t>
  </si>
  <si>
    <t>PV00345776</t>
  </si>
  <si>
    <t>PV00345693</t>
  </si>
  <si>
    <t>2022-05-13T08:22:59</t>
  </si>
  <si>
    <t>PV00345523</t>
  </si>
  <si>
    <t>2022-05-13T08:22:37</t>
  </si>
  <si>
    <t>PV00345415</t>
  </si>
  <si>
    <t>2022-05-13T08:22:26</t>
  </si>
  <si>
    <t>PV00345333</t>
  </si>
  <si>
    <t>PV00345234</t>
  </si>
  <si>
    <t>2022-05-13T08:22:22</t>
  </si>
  <si>
    <t>PV00345192</t>
  </si>
  <si>
    <t>PV00345063</t>
  </si>
  <si>
    <t>2022-05-13T08:22:21</t>
  </si>
  <si>
    <t>PV00344926</t>
  </si>
  <si>
    <t>2022-05-13T08:22:17</t>
  </si>
  <si>
    <t>PV00344857</t>
  </si>
  <si>
    <t>2022-05-13T08:22:05</t>
  </si>
  <si>
    <t>PV00344722</t>
  </si>
  <si>
    <t>2022-05-13T08:22:01</t>
  </si>
  <si>
    <t>PV00344625</t>
  </si>
  <si>
    <t>2022-05-13T08:21:45</t>
  </si>
  <si>
    <t>PV00344557</t>
  </si>
  <si>
    <t>2022-05-13T08:21:39</t>
  </si>
  <si>
    <t>PV00344474</t>
  </si>
  <si>
    <t>2022-05-13T08:21:33</t>
  </si>
  <si>
    <t>PV00344391</t>
  </si>
  <si>
    <t>2022-05-13T08:20:20</t>
  </si>
  <si>
    <t>PV00344256</t>
  </si>
  <si>
    <t>PV00344172</t>
  </si>
  <si>
    <t>2022-05-13T08:20:11</t>
  </si>
  <si>
    <t>PV00344055</t>
  </si>
  <si>
    <t>2022-05-13T08:19:13</t>
  </si>
  <si>
    <t>PV00343996</t>
  </si>
  <si>
    <t>2022-05-13T08:19:04</t>
  </si>
  <si>
    <t>PV00343874</t>
  </si>
  <si>
    <t>2022-05-13T08:18:55</t>
  </si>
  <si>
    <t>PV00343772</t>
  </si>
  <si>
    <t>2022-05-13T08:18:16</t>
  </si>
  <si>
    <t>PV00343618</t>
  </si>
  <si>
    <t>2022-05-13T08:18:01</t>
  </si>
  <si>
    <t>PV00343576</t>
  </si>
  <si>
    <t>2022-05-13T08:17:54</t>
  </si>
  <si>
    <t>PV00343445</t>
  </si>
  <si>
    <t>2022-05-13T08:17:49</t>
  </si>
  <si>
    <t>PV00343344</t>
  </si>
  <si>
    <t>2022-05-13T08:17:47</t>
  </si>
  <si>
    <t>PV00343250</t>
  </si>
  <si>
    <t>2022-05-13T08:17:46</t>
  </si>
  <si>
    <t>PV00343141</t>
  </si>
  <si>
    <t>2022-05-13T08:17:44</t>
  </si>
  <si>
    <t>PV00343072</t>
  </si>
  <si>
    <t>2022-05-13T08:17:31</t>
  </si>
  <si>
    <t>PV00342930</t>
  </si>
  <si>
    <t>2022-05-13T08:16:54</t>
  </si>
  <si>
    <t>PV00342848</t>
  </si>
  <si>
    <t>2022-05-13T08:16:39</t>
  </si>
  <si>
    <t>PV00342756</t>
  </si>
  <si>
    <t>2022-05-13T08:16:32</t>
  </si>
  <si>
    <t>PV00342639</t>
  </si>
  <si>
    <t>2022-05-13T08:16:22</t>
  </si>
  <si>
    <t>PV00342540</t>
  </si>
  <si>
    <t>2022-05-13T08:16:17</t>
  </si>
  <si>
    <t>PV00342412</t>
  </si>
  <si>
    <t>2022-05-13T08:16:11</t>
  </si>
  <si>
    <t>PV00342321</t>
  </si>
  <si>
    <t>2022-05-13T08:15:54</t>
  </si>
  <si>
    <t>PV00342225</t>
  </si>
  <si>
    <t>2022-05-13T08:15:43</t>
  </si>
  <si>
    <t>PV00342174</t>
  </si>
  <si>
    <t>2022-05-13T08:15:26</t>
  </si>
  <si>
    <t>PV00342094</t>
  </si>
  <si>
    <t>2022-05-13T08:15:22</t>
  </si>
  <si>
    <t>PV00341920</t>
  </si>
  <si>
    <t>2022-05-13T08:14:55</t>
  </si>
  <si>
    <t>PV00341894</t>
  </si>
  <si>
    <t>2022-05-13T08:14:53</t>
  </si>
  <si>
    <t>PV00341789</t>
  </si>
  <si>
    <t>2022-05-13T08:14:49</t>
  </si>
  <si>
    <t>PV00341660</t>
  </si>
  <si>
    <t>2022-05-13T08:14:38</t>
  </si>
  <si>
    <t>PV00341570</t>
  </si>
  <si>
    <t>2022-05-13T08:14:24</t>
  </si>
  <si>
    <t>PV00341439</t>
  </si>
  <si>
    <t>2022-05-13T08:14:21</t>
  </si>
  <si>
    <t>PV00341355</t>
  </si>
  <si>
    <t>2022-05-13T08:14:19</t>
  </si>
  <si>
    <t>PV00341284</t>
  </si>
  <si>
    <t>2022-05-13T08:13:20</t>
  </si>
  <si>
    <t>PV00341183</t>
  </si>
  <si>
    <t>2022-05-13T08:13:16</t>
  </si>
  <si>
    <t>PV00341002</t>
  </si>
  <si>
    <t>2022-05-13T08:12:44</t>
  </si>
  <si>
    <t>PV00340957</t>
  </si>
  <si>
    <t>2022-05-13T08:12:17</t>
  </si>
  <si>
    <t>PV00340823</t>
  </si>
  <si>
    <t>2022-05-13T08:11:46</t>
  </si>
  <si>
    <t>PV00340755</t>
  </si>
  <si>
    <t>2022-05-13T08:11:39</t>
  </si>
  <si>
    <t>PV00340675</t>
  </si>
  <si>
    <t>2022-05-13T08:11:16</t>
  </si>
  <si>
    <t>PV00340534</t>
  </si>
  <si>
    <t>2022-05-13T08:11:13</t>
  </si>
  <si>
    <t>PV00340431</t>
  </si>
  <si>
    <t>2022-05-13T08:11:12</t>
  </si>
  <si>
    <t>PV00340303</t>
  </si>
  <si>
    <t>2022-05-13T08:11:07</t>
  </si>
  <si>
    <t>PV00340201</t>
  </si>
  <si>
    <t>2022-05-13T08:10:51</t>
  </si>
  <si>
    <t>PV00340146</t>
  </si>
  <si>
    <t>2022-05-13T08:10:44</t>
  </si>
  <si>
    <t>PV00340043</t>
  </si>
  <si>
    <t>2022-05-13T08:10:41</t>
  </si>
  <si>
    <t>PV00339924</t>
  </si>
  <si>
    <t>2022-05-13T08:10:39</t>
  </si>
  <si>
    <t>PV00339841</t>
  </si>
  <si>
    <t>2022-05-13T08:10:38</t>
  </si>
  <si>
    <t>PV00339776</t>
  </si>
  <si>
    <t>2022-05-13T08:10:29</t>
  </si>
  <si>
    <t>PV00339694</t>
  </si>
  <si>
    <t>2022-05-13T08:10:10</t>
  </si>
  <si>
    <t>PV00339552</t>
  </si>
  <si>
    <t>2022-05-13T08:10:06</t>
  </si>
  <si>
    <t>PV00339480</t>
  </si>
  <si>
    <t>2022-05-13T08:10:03</t>
  </si>
  <si>
    <t>PV00339368</t>
  </si>
  <si>
    <t>2022-05-13T08:09:33</t>
  </si>
  <si>
    <t>PV00339234</t>
  </si>
  <si>
    <t>2022-05-13T08:09:23</t>
  </si>
  <si>
    <t>PV00339145</t>
  </si>
  <si>
    <t>2022-05-13T08:09:09</t>
  </si>
  <si>
    <t>PV00339054</t>
  </si>
  <si>
    <t>2022-05-13T08:09:03</t>
  </si>
  <si>
    <t>PV00338908</t>
  </si>
  <si>
    <t>2022-05-13T08:08:44</t>
  </si>
  <si>
    <t>PV00338851</t>
  </si>
  <si>
    <t>2022-05-13T08:08:28</t>
  </si>
  <si>
    <t>PV00338749</t>
  </si>
  <si>
    <t>2022-05-13T08:08:17</t>
  </si>
  <si>
    <t>PV00338699</t>
  </si>
  <si>
    <t>2022-05-13T08:08:09</t>
  </si>
  <si>
    <t>PV00338521</t>
  </si>
  <si>
    <t>2022-05-13T08:08:05</t>
  </si>
  <si>
    <t>PV00338471</t>
  </si>
  <si>
    <t>2022-05-12T18:16:59</t>
  </si>
  <si>
    <t>岩崎中学校</t>
  </si>
  <si>
    <t>PV00338349</t>
  </si>
  <si>
    <t>2022-05-12T15:57:09</t>
  </si>
  <si>
    <t>PV00338232</t>
  </si>
  <si>
    <t>2022-05-12T15:10:56</t>
  </si>
  <si>
    <t>PV00338171</t>
  </si>
  <si>
    <t>2022-05-12T15:09:08</t>
  </si>
  <si>
    <t>PV00338077</t>
  </si>
  <si>
    <t>2022-05-12T13:51:35</t>
  </si>
  <si>
    <t>PV00337957</t>
  </si>
  <si>
    <t>2022-05-12T13:51:28</t>
  </si>
  <si>
    <t>PV00337804</t>
  </si>
  <si>
    <t>2022-05-12T13:51:24</t>
  </si>
  <si>
    <t>PV00337743</t>
  </si>
  <si>
    <t>2022-05-12T13:51:22</t>
  </si>
  <si>
    <t>PV00337657</t>
  </si>
  <si>
    <t>2022-05-12T13:51:20</t>
  </si>
  <si>
    <t>PV00337590</t>
  </si>
  <si>
    <t>PV00337485</t>
  </si>
  <si>
    <t>PV00337372</t>
  </si>
  <si>
    <t>2022-05-12T13:51:18</t>
  </si>
  <si>
    <t>PV00337246</t>
  </si>
  <si>
    <t>2022-05-12T13:51:14</t>
  </si>
  <si>
    <t>PV00337140</t>
  </si>
  <si>
    <t>PV00337031</t>
  </si>
  <si>
    <t>PV00336908</t>
  </si>
  <si>
    <t>2022-05-12T13:51:13</t>
  </si>
  <si>
    <t>PV00336802</t>
  </si>
  <si>
    <t>PV00336765</t>
  </si>
  <si>
    <t>2022-05-12T13:51:12</t>
  </si>
  <si>
    <t>PV00336685</t>
  </si>
  <si>
    <t>2022-05-12T13:51:11</t>
  </si>
  <si>
    <t>PV00336527</t>
  </si>
  <si>
    <t>2022-05-12T13:51:09</t>
  </si>
  <si>
    <t>PV00336475</t>
  </si>
  <si>
    <t>PV00336322</t>
  </si>
  <si>
    <t>PV00336257</t>
  </si>
  <si>
    <t>PV00336194</t>
  </si>
  <si>
    <t>2022-05-12T13:51:08</t>
  </si>
  <si>
    <t>PV00336011</t>
  </si>
  <si>
    <t>PV00335987</t>
  </si>
  <si>
    <t>PV00335800</t>
  </si>
  <si>
    <t>PV00335793</t>
  </si>
  <si>
    <t>PV00335679</t>
  </si>
  <si>
    <t>PV00335517</t>
  </si>
  <si>
    <t>PV00335485</t>
  </si>
  <si>
    <t>PV00335338</t>
  </si>
  <si>
    <t>PV00335252</t>
  </si>
  <si>
    <t>PV00335135</t>
  </si>
  <si>
    <t>2022-05-12T13:51:07</t>
  </si>
  <si>
    <t>PV00335002</t>
  </si>
  <si>
    <t>PV00334933</t>
  </si>
  <si>
    <t>PV00334889</t>
  </si>
  <si>
    <t>PV00334769</t>
  </si>
  <si>
    <t>PV00334655</t>
  </si>
  <si>
    <t>2022-05-12T13:11:18</t>
  </si>
  <si>
    <t>PV00334543</t>
  </si>
  <si>
    <t>2022-05-12T13:11:00</t>
  </si>
  <si>
    <t>PV00334461</t>
  </si>
  <si>
    <t>2022-05-12T13:10:25</t>
  </si>
  <si>
    <t>PV00334389</t>
  </si>
  <si>
    <t>2022-05-12T13:10:22</t>
  </si>
  <si>
    <t>PV00334298</t>
  </si>
  <si>
    <t>2022-05-12T13:10:13</t>
  </si>
  <si>
    <t>PV00334150</t>
  </si>
  <si>
    <t>2022-05-12T13:10:12</t>
  </si>
  <si>
    <t>PV00334024</t>
  </si>
  <si>
    <t>2022-05-12T13:10:10</t>
  </si>
  <si>
    <t>PV00333996</t>
  </si>
  <si>
    <t>2022-05-12T13:10:08</t>
  </si>
  <si>
    <t>PV00333887</t>
  </si>
  <si>
    <t>2022-05-12T13:10:07</t>
  </si>
  <si>
    <t>PV00333774</t>
  </si>
  <si>
    <t>2022-05-12T13:10:06</t>
  </si>
  <si>
    <t>PV00333638</t>
  </si>
  <si>
    <t>2022-05-12T13:10:05</t>
  </si>
  <si>
    <t>PV00333547</t>
  </si>
  <si>
    <t>PV00333406</t>
  </si>
  <si>
    <t>PV00333302</t>
  </si>
  <si>
    <t>PV00333292</t>
  </si>
  <si>
    <t>2022-05-12T13:10:04</t>
  </si>
  <si>
    <t>PV00333180</t>
  </si>
  <si>
    <t>2022-05-12T13:10:03</t>
  </si>
  <si>
    <t>PV00333007</t>
  </si>
  <si>
    <t>PV00332920</t>
  </si>
  <si>
    <t>PV00332862</t>
  </si>
  <si>
    <t>2022-05-12T13:10:02</t>
  </si>
  <si>
    <t>PV00332790</t>
  </si>
  <si>
    <t>PV00332613</t>
  </si>
  <si>
    <t>PV00332540</t>
  </si>
  <si>
    <t>2022-05-12T13:10:01</t>
  </si>
  <si>
    <t>PV00332459</t>
  </si>
  <si>
    <t>PV00332305</t>
  </si>
  <si>
    <t>2022-05-12T13:10:00</t>
  </si>
  <si>
    <t>PV00332267</t>
  </si>
  <si>
    <t>PV00332112</t>
  </si>
  <si>
    <t>PV00332093</t>
  </si>
  <si>
    <t>PV00331954</t>
  </si>
  <si>
    <t>PV00331866</t>
  </si>
  <si>
    <t>PV00331789</t>
  </si>
  <si>
    <t>PV00331616</t>
  </si>
  <si>
    <t>PV00331548</t>
  </si>
  <si>
    <t>2022-05-12T13:09:59</t>
  </si>
  <si>
    <t>PV00331453</t>
  </si>
  <si>
    <t>2022-05-12T13:09:58</t>
  </si>
  <si>
    <t>PV00331320</t>
  </si>
  <si>
    <t>2022-05-12T11:06:44</t>
  </si>
  <si>
    <t>PV00331224</t>
  </si>
  <si>
    <t>2022-05-12T11:05:16</t>
  </si>
  <si>
    <t>PV00331153</t>
  </si>
  <si>
    <t>2022-05-12T11:05:09</t>
  </si>
  <si>
    <t>PV00331094</t>
  </si>
  <si>
    <t>2022-05-12T11:05:07</t>
  </si>
  <si>
    <t>PV00330949</t>
  </si>
  <si>
    <t>2022-05-12T11:05:04</t>
  </si>
  <si>
    <t>PV00330890</t>
  </si>
  <si>
    <t>2022-05-12T11:04:58</t>
  </si>
  <si>
    <t>PV00330747</t>
  </si>
  <si>
    <t>2022-05-12T11:04:55</t>
  </si>
  <si>
    <t>PV00330614</t>
  </si>
  <si>
    <t>2022-05-12T11:04:53</t>
  </si>
  <si>
    <t>PV00330570</t>
  </si>
  <si>
    <t>2022-05-12T11:04:52</t>
  </si>
  <si>
    <t>PV00330447</t>
  </si>
  <si>
    <t>PV00330390</t>
  </si>
  <si>
    <t>2022-05-12T11:04:50</t>
  </si>
  <si>
    <t>PV00330252</t>
  </si>
  <si>
    <t>PV00330188</t>
  </si>
  <si>
    <t>2022-05-12T11:04:49</t>
  </si>
  <si>
    <t>PV00330095</t>
  </si>
  <si>
    <t>PV00329983</t>
  </si>
  <si>
    <t>2022-05-12T11:04:46</t>
  </si>
  <si>
    <t>PV00329880</t>
  </si>
  <si>
    <t>2022-05-12T11:04:45</t>
  </si>
  <si>
    <t>PV00329773</t>
  </si>
  <si>
    <t>PV00329697</t>
  </si>
  <si>
    <t>2022-05-12T11:04:43</t>
  </si>
  <si>
    <t>PV00329597</t>
  </si>
  <si>
    <t>2022-05-12T11:04:42</t>
  </si>
  <si>
    <t>PV00329489</t>
  </si>
  <si>
    <t>PV00329352</t>
  </si>
  <si>
    <t>2022-05-12T11:04:41</t>
  </si>
  <si>
    <t>PV00329299</t>
  </si>
  <si>
    <t>2022-05-12T11:04:40</t>
  </si>
  <si>
    <t>PV00329168</t>
  </si>
  <si>
    <t>2022-05-12T11:04:39</t>
  </si>
  <si>
    <t>PV00329086</t>
  </si>
  <si>
    <t>PV00328964</t>
  </si>
  <si>
    <t>2022-05-12T11:04:37</t>
  </si>
  <si>
    <t>PV00328851</t>
  </si>
  <si>
    <t>PV00328776</t>
  </si>
  <si>
    <t>2022-05-12T11:04:30</t>
  </si>
  <si>
    <t>PV00328646</t>
  </si>
  <si>
    <t>2022-05-12T11:04:28</t>
  </si>
  <si>
    <t>PV00328575</t>
  </si>
  <si>
    <t>2022-05-12T11:04:26</t>
  </si>
  <si>
    <t>PV00328402</t>
  </si>
  <si>
    <t>2022-05-12T11:04:25</t>
  </si>
  <si>
    <t>PV00328333</t>
  </si>
  <si>
    <t>2022-05-12T11:04:24</t>
  </si>
  <si>
    <t>PV00328224</t>
  </si>
  <si>
    <t>PV00328107</t>
  </si>
  <si>
    <t>2022-05-12T11:04:22</t>
  </si>
  <si>
    <t>PV00328088</t>
  </si>
  <si>
    <t>2022-05-12T11:04:21</t>
  </si>
  <si>
    <t>PV00327907</t>
  </si>
  <si>
    <t>2022-05-12T11:04:12</t>
  </si>
  <si>
    <t>PV00327823</t>
  </si>
  <si>
    <t>2022-05-12T11:03:58</t>
  </si>
  <si>
    <t>PV00327711</t>
  </si>
  <si>
    <t>2022-05-12T11:03:56</t>
  </si>
  <si>
    <t>PV00327652</t>
  </si>
  <si>
    <t>2022-05-12T11:03:41</t>
  </si>
  <si>
    <t>PV00327553</t>
  </si>
  <si>
    <t>2022-05-12T10:43:59</t>
  </si>
  <si>
    <t>PV00327486</t>
  </si>
  <si>
    <t>2022-05-12T10:43:57</t>
  </si>
  <si>
    <t>PV00327333</t>
  </si>
  <si>
    <t>2022-05-12T10:42:40</t>
  </si>
  <si>
    <t>PV00327288</t>
  </si>
  <si>
    <t>2022-05-12T10:42:38</t>
  </si>
  <si>
    <t>PV00327114</t>
  </si>
  <si>
    <t>2022-05-12T10:42:13</t>
  </si>
  <si>
    <t>PV00327028</t>
  </si>
  <si>
    <t>2022-05-12T10:41:48</t>
  </si>
  <si>
    <t>PV00326918</t>
  </si>
  <si>
    <t>2022-05-12T10:41:37</t>
  </si>
  <si>
    <t>PV00326889</t>
  </si>
  <si>
    <t>2022-05-12T10:41:30</t>
  </si>
  <si>
    <t>PV00326774</t>
  </si>
  <si>
    <t>2022-05-12T10:41:29</t>
  </si>
  <si>
    <t>PV00326678</t>
  </si>
  <si>
    <t>2022-05-12T10:41:26</t>
  </si>
  <si>
    <t>PV00326525</t>
  </si>
  <si>
    <t>2022-05-12T10:41:23</t>
  </si>
  <si>
    <t>PV00326482</t>
  </si>
  <si>
    <t>2022-05-12T10:41:16</t>
  </si>
  <si>
    <t>PV00326356</t>
  </si>
  <si>
    <t>2022-05-12T10:41:12</t>
  </si>
  <si>
    <t>PV00326284</t>
  </si>
  <si>
    <t>2022-05-12T10:41:11</t>
  </si>
  <si>
    <t>PV00326124</t>
  </si>
  <si>
    <t>2022-05-12T10:41:09</t>
  </si>
  <si>
    <t>PV00326042</t>
  </si>
  <si>
    <t>2022-05-12T10:41:02</t>
  </si>
  <si>
    <t>PV00325916</t>
  </si>
  <si>
    <t>2022-05-12T10:41:00</t>
  </si>
  <si>
    <t>PV00325879</t>
  </si>
  <si>
    <t>2022-05-12T10:40:52</t>
  </si>
  <si>
    <t>PV00325700</t>
  </si>
  <si>
    <t>2022-05-12T10:40:42</t>
  </si>
  <si>
    <t>PV00325623</t>
  </si>
  <si>
    <t>2022-05-12T10:40:41</t>
  </si>
  <si>
    <t>PV00325545</t>
  </si>
  <si>
    <t>2022-05-12T10:40:28</t>
  </si>
  <si>
    <t>PV00325464</t>
  </si>
  <si>
    <t>2022-05-12T10:40:22</t>
  </si>
  <si>
    <t>PV00325356</t>
  </si>
  <si>
    <t>2022-05-12T10:40:14</t>
  </si>
  <si>
    <t>PV00325282</t>
  </si>
  <si>
    <t>2022-05-12T10:40:05</t>
  </si>
  <si>
    <t>PV00325188</t>
  </si>
  <si>
    <t>2022-05-12T10:40:04</t>
  </si>
  <si>
    <t>PV00325075</t>
  </si>
  <si>
    <t>PV00324931</t>
  </si>
  <si>
    <t>2022-05-12T10:40:03</t>
  </si>
  <si>
    <t>PV00324801</t>
  </si>
  <si>
    <t>2022-05-12T10:40:02</t>
  </si>
  <si>
    <t>PV00324705</t>
  </si>
  <si>
    <t>PV00324601</t>
  </si>
  <si>
    <t>2022-05-12T10:39:59</t>
  </si>
  <si>
    <t>PV00324570</t>
  </si>
  <si>
    <t>2022-05-12T10:39:58</t>
  </si>
  <si>
    <t>PV00324424</t>
  </si>
  <si>
    <t>PV00324347</t>
  </si>
  <si>
    <t>2022-05-12T10:39:57</t>
  </si>
  <si>
    <t>PV00324247</t>
  </si>
  <si>
    <t>PV00324111</t>
  </si>
  <si>
    <t>2022-05-12T10:39:56</t>
  </si>
  <si>
    <t>PV00324027</t>
  </si>
  <si>
    <t>PV00323911</t>
  </si>
  <si>
    <t>2022-05-12T10:39:43</t>
  </si>
  <si>
    <t>PV00323893</t>
  </si>
  <si>
    <t>2022-05-12T10:37:39</t>
  </si>
  <si>
    <t>PV00323762</t>
  </si>
  <si>
    <t>2022-05-12T10:33:53</t>
  </si>
  <si>
    <t>PV00323679</t>
  </si>
  <si>
    <t>2022-05-12T10:33:25</t>
  </si>
  <si>
    <t>PV00323547</t>
  </si>
  <si>
    <t>2022-05-12T08:58:29</t>
  </si>
  <si>
    <t>PV00323486</t>
  </si>
  <si>
    <t>2022-05-12T08:57:11</t>
  </si>
  <si>
    <t>PV00323313</t>
  </si>
  <si>
    <t>2022-05-12T08:56:59</t>
  </si>
  <si>
    <t>PV00323295</t>
  </si>
  <si>
    <t>2022-05-12T08:56:45</t>
  </si>
  <si>
    <t>PV00323167</t>
  </si>
  <si>
    <t>2022-05-12T08:56:42</t>
  </si>
  <si>
    <t>PV00323091</t>
  </si>
  <si>
    <t>2022-05-12T08:56:38</t>
  </si>
  <si>
    <t>PV00322974</t>
  </si>
  <si>
    <t>2022-05-12T08:56:30</t>
  </si>
  <si>
    <t>PV00322886</t>
  </si>
  <si>
    <t>2022-05-12T08:56:28</t>
  </si>
  <si>
    <t>PV00322755</t>
  </si>
  <si>
    <t>2022-05-12T08:56:17</t>
  </si>
  <si>
    <t>PV00322696</t>
  </si>
  <si>
    <t>2022-05-12T08:56:16</t>
  </si>
  <si>
    <t>PV00322506</t>
  </si>
  <si>
    <t>2022-05-12T08:56:06</t>
  </si>
  <si>
    <t>PV00322422</t>
  </si>
  <si>
    <t>PV00322314</t>
  </si>
  <si>
    <t>2022-05-12T08:56:04</t>
  </si>
  <si>
    <t>PV00322299</t>
  </si>
  <si>
    <t>PV00322199</t>
  </si>
  <si>
    <t>2022-05-12T08:56:02</t>
  </si>
  <si>
    <t>PV00322028</t>
  </si>
  <si>
    <t>2022-05-12T08:56:00</t>
  </si>
  <si>
    <t>PV00321972</t>
  </si>
  <si>
    <t>PV00321892</t>
  </si>
  <si>
    <t>PV00321721</t>
  </si>
  <si>
    <t>2022-05-12T08:55:58</t>
  </si>
  <si>
    <t>PV00321641</t>
  </si>
  <si>
    <t>2022-05-12T08:55:57</t>
  </si>
  <si>
    <t>PV00321519</t>
  </si>
  <si>
    <t>2022-05-12T08:55:54</t>
  </si>
  <si>
    <t>PV00321414</t>
  </si>
  <si>
    <t>2022-05-12T08:55:53</t>
  </si>
  <si>
    <t>PV00321339</t>
  </si>
  <si>
    <t>2022-05-12T08:55:48</t>
  </si>
  <si>
    <t>PV00321284</t>
  </si>
  <si>
    <t>2022-05-12T08:55:47</t>
  </si>
  <si>
    <t>PV00321108</t>
  </si>
  <si>
    <t>PV00321070</t>
  </si>
  <si>
    <t>2022-05-12T08:55:34</t>
  </si>
  <si>
    <t>PV00320979</t>
  </si>
  <si>
    <t>2022-05-12T08:55:33</t>
  </si>
  <si>
    <t>PV00320895</t>
  </si>
  <si>
    <t>2022-05-12T08:55:10</t>
  </si>
  <si>
    <t>PV00320721</t>
  </si>
  <si>
    <t>2022-05-12T08:55:04</t>
  </si>
  <si>
    <t>PV00320615</t>
  </si>
  <si>
    <t>2022-05-12T08:52:32</t>
  </si>
  <si>
    <t>PV00320595</t>
  </si>
  <si>
    <t>PV00320421</t>
  </si>
  <si>
    <t>2022-05-12T08:51:52</t>
  </si>
  <si>
    <t>PV00320313</t>
  </si>
  <si>
    <t>2022-05-12T08:51:50</t>
  </si>
  <si>
    <t>PV00320271</t>
  </si>
  <si>
    <t>2022-05-12T08:51:20</t>
  </si>
  <si>
    <t>PV00320169</t>
  </si>
  <si>
    <t>2022-05-12T08:51:11</t>
  </si>
  <si>
    <t>PV00320072</t>
  </si>
  <si>
    <t>2022-05-12T08:50:47</t>
  </si>
  <si>
    <t>PV00319972</t>
  </si>
  <si>
    <t>2022-05-12T08:50:45</t>
  </si>
  <si>
    <t>PV00319897</t>
  </si>
  <si>
    <t>2022-05-12T08:50:44</t>
  </si>
  <si>
    <t>PV00319776</t>
  </si>
  <si>
    <t>2022-05-12T08:50:43</t>
  </si>
  <si>
    <t>PV00319655</t>
  </si>
  <si>
    <t>2022-05-12T08:50:41</t>
  </si>
  <si>
    <t>PV00319523</t>
  </si>
  <si>
    <t>2022-05-12T08:50:37</t>
  </si>
  <si>
    <t>PV00319443</t>
  </si>
  <si>
    <t>2022-05-12T08:50:31</t>
  </si>
  <si>
    <t>PV00319368</t>
  </si>
  <si>
    <t>PV00319275</t>
  </si>
  <si>
    <t>2022-05-12T08:50:30</t>
  </si>
  <si>
    <t>PV00319111</t>
  </si>
  <si>
    <t>2022-05-12T08:50:29</t>
  </si>
  <si>
    <t>PV00319039</t>
  </si>
  <si>
    <t>2022-05-12T08:50:22</t>
  </si>
  <si>
    <t>PV00318942</t>
  </si>
  <si>
    <t>2022-05-12T08:50:17</t>
  </si>
  <si>
    <t>PV00318888</t>
  </si>
  <si>
    <t>2022-05-12T08:50:15</t>
  </si>
  <si>
    <t>PV00318723</t>
  </si>
  <si>
    <t>2022-05-12T08:50:12</t>
  </si>
  <si>
    <t>PV00318655</t>
  </si>
  <si>
    <t>2022-05-12T08:50:03</t>
  </si>
  <si>
    <t>PV00318521</t>
  </si>
  <si>
    <t>PV00318429</t>
  </si>
  <si>
    <t>2022-05-12T08:50:00</t>
  </si>
  <si>
    <t>PV00318350</t>
  </si>
  <si>
    <t>2022-05-12T08:49:54</t>
  </si>
  <si>
    <t>PV00318222</t>
  </si>
  <si>
    <t>2022-05-12T08:49:47</t>
  </si>
  <si>
    <t>PV00318166</t>
  </si>
  <si>
    <t>2022-05-12T08:49:44</t>
  </si>
  <si>
    <t>PV00318047</t>
  </si>
  <si>
    <t>2022-05-12T08:49:41</t>
  </si>
  <si>
    <t>PV00317900</t>
  </si>
  <si>
    <t>2022-05-12T08:49:39</t>
  </si>
  <si>
    <t>PV00317880</t>
  </si>
  <si>
    <t>2022-05-12T08:49:26</t>
  </si>
  <si>
    <t>PV00317769</t>
  </si>
  <si>
    <t>2022-05-12T08:49:18</t>
  </si>
  <si>
    <t>PV00317629</t>
  </si>
  <si>
    <t>2022-05-12T08:49:17</t>
  </si>
  <si>
    <t>PV00317510</t>
  </si>
  <si>
    <t>2022-05-12T08:47:44</t>
  </si>
  <si>
    <t>PV00317418</t>
  </si>
  <si>
    <t>2022-05-12T08:47:28</t>
  </si>
  <si>
    <t>PV00317388</t>
  </si>
  <si>
    <t>2022-05-12T08:47:21</t>
  </si>
  <si>
    <t>PV00317217</t>
  </si>
  <si>
    <t>2022-05-12T08:46:59</t>
  </si>
  <si>
    <t>PV00317112</t>
  </si>
  <si>
    <t>2022-05-12T08:46:32</t>
  </si>
  <si>
    <t>PV00317019</t>
  </si>
  <si>
    <t>2022-05-12T08:46:23</t>
  </si>
  <si>
    <t>PV00316968</t>
  </si>
  <si>
    <t>2022-05-12T08:46:16</t>
  </si>
  <si>
    <t>PV00316845</t>
  </si>
  <si>
    <t>2022-05-12T08:46:07</t>
  </si>
  <si>
    <t>PV00316748</t>
  </si>
  <si>
    <t>2022-05-12T08:46:04</t>
  </si>
  <si>
    <t>PV00316663</t>
  </si>
  <si>
    <t>2022-05-12T08:46:02</t>
  </si>
  <si>
    <t>PV00316515</t>
  </si>
  <si>
    <t>2022-05-12T08:45:59</t>
  </si>
  <si>
    <t>PV00316411</t>
  </si>
  <si>
    <t>2022-05-12T08:45:55</t>
  </si>
  <si>
    <t>PV00316335</t>
  </si>
  <si>
    <t>2022-05-12T08:45:54</t>
  </si>
  <si>
    <t>PV00316294</t>
  </si>
  <si>
    <t>2022-05-12T08:45:53</t>
  </si>
  <si>
    <t>PV00316158</t>
  </si>
  <si>
    <t>2022-05-12T08:45:52</t>
  </si>
  <si>
    <t>PV00316078</t>
  </si>
  <si>
    <t>PV00315931</t>
  </si>
  <si>
    <t>2022-05-12T08:45:50</t>
  </si>
  <si>
    <t>PV00315816</t>
  </si>
  <si>
    <t>PV00315775</t>
  </si>
  <si>
    <t>2022-05-12T08:45:43</t>
  </si>
  <si>
    <t>PV00315671</t>
  </si>
  <si>
    <t>PV00315573</t>
  </si>
  <si>
    <t>2022-05-12T08:45:41</t>
  </si>
  <si>
    <t>PV00315492</t>
  </si>
  <si>
    <t>2022-05-12T08:45:21</t>
  </si>
  <si>
    <t>PV00315359</t>
  </si>
  <si>
    <t>2022-05-12T08:45:13</t>
  </si>
  <si>
    <t>PV00315257</t>
  </si>
  <si>
    <t>2022-05-12T08:45:12</t>
  </si>
  <si>
    <t>PV00315163</t>
  </si>
  <si>
    <t>2022-05-12T08:45:05</t>
  </si>
  <si>
    <t>PV00315012</t>
  </si>
  <si>
    <t>2022-05-12T08:45:03</t>
  </si>
  <si>
    <t>PV00314984</t>
  </si>
  <si>
    <t>PV00314866</t>
  </si>
  <si>
    <t>2022-05-12T08:44:59</t>
  </si>
  <si>
    <t>PV00314769</t>
  </si>
  <si>
    <t>2022-05-12T08:44:58</t>
  </si>
  <si>
    <t>PV00314651</t>
  </si>
  <si>
    <t>2022-05-12T08:44:54</t>
  </si>
  <si>
    <t>PV00314534</t>
  </si>
  <si>
    <t>PV00314487</t>
  </si>
  <si>
    <t>2022-05-12T08:44:35</t>
  </si>
  <si>
    <t>PV00314304</t>
  </si>
  <si>
    <t>2022-05-12T08:44:32</t>
  </si>
  <si>
    <t>PV00314212</t>
  </si>
  <si>
    <t>2022-05-12T08:43:05</t>
  </si>
  <si>
    <t>PV00314190</t>
  </si>
  <si>
    <t>2022-05-12T08:30:54</t>
  </si>
  <si>
    <t>PV00314035</t>
  </si>
  <si>
    <t>2022-05-12T08:30:36</t>
  </si>
  <si>
    <t>PV00313914</t>
  </si>
  <si>
    <t>2022-05-12T08:30:35</t>
  </si>
  <si>
    <t>PV00313875</t>
  </si>
  <si>
    <t>2022-05-12T08:29:18</t>
  </si>
  <si>
    <t>PV00313767</t>
  </si>
  <si>
    <t>2022-05-12T08:28:40</t>
  </si>
  <si>
    <t>PV00313607</t>
  </si>
  <si>
    <t>2022-05-12T08:28:28</t>
  </si>
  <si>
    <t>PV00313536</t>
  </si>
  <si>
    <t>2022-05-12T08:28:23</t>
  </si>
  <si>
    <t>PV00313441</t>
  </si>
  <si>
    <t>2022-05-12T08:28:19</t>
  </si>
  <si>
    <t>PV00313395</t>
  </si>
  <si>
    <t>2022-05-12T08:28:02</t>
  </si>
  <si>
    <t>PV00313233</t>
  </si>
  <si>
    <t>2022-05-12T08:27:53</t>
  </si>
  <si>
    <t>PV00313153</t>
  </si>
  <si>
    <t>PV00313057</t>
  </si>
  <si>
    <t>2022-05-12T08:27:49</t>
  </si>
  <si>
    <t>PV00312902</t>
  </si>
  <si>
    <t>2022-05-12T08:27:30</t>
  </si>
  <si>
    <t>PV00312805</t>
  </si>
  <si>
    <t>2022-05-12T08:27:28</t>
  </si>
  <si>
    <t>PV00312734</t>
  </si>
  <si>
    <t>2022-05-12T08:27:26</t>
  </si>
  <si>
    <t>PV00312622</t>
  </si>
  <si>
    <t>2022-05-12T08:27:22</t>
  </si>
  <si>
    <t>PV00312547</t>
  </si>
  <si>
    <t>2022-05-12T08:27:20</t>
  </si>
  <si>
    <t>PV00312445</t>
  </si>
  <si>
    <t>2022-05-12T08:27:02</t>
  </si>
  <si>
    <t>PV00312332</t>
  </si>
  <si>
    <t>2022-05-12T08:26:55</t>
  </si>
  <si>
    <t>PV00312208</t>
  </si>
  <si>
    <t>2022-05-12T08:26:52</t>
  </si>
  <si>
    <t>PV00312186</t>
  </si>
  <si>
    <t>2022-05-12T08:26:51</t>
  </si>
  <si>
    <t>PV00312077</t>
  </si>
  <si>
    <t>2022-05-12T08:26:50</t>
  </si>
  <si>
    <t>PV00311902</t>
  </si>
  <si>
    <t>2022-05-12T08:26:49</t>
  </si>
  <si>
    <t>PV00311801</t>
  </si>
  <si>
    <t>2022-05-12T08:26:48</t>
  </si>
  <si>
    <t>PV00311707</t>
  </si>
  <si>
    <t>2022-05-12T08:26:42</t>
  </si>
  <si>
    <t>PV00311642</t>
  </si>
  <si>
    <t>2022-05-12T08:26:40</t>
  </si>
  <si>
    <t>PV00311580</t>
  </si>
  <si>
    <t>2022-05-12T08:26:38</t>
  </si>
  <si>
    <t>PV00311426</t>
  </si>
  <si>
    <t>2022-05-12T08:26:37</t>
  </si>
  <si>
    <t>PV00311384</t>
  </si>
  <si>
    <t>2022-05-12T08:26:35</t>
  </si>
  <si>
    <t>PV00311236</t>
  </si>
  <si>
    <t>2022-05-12T08:26:31</t>
  </si>
  <si>
    <t>PV00311155</t>
  </si>
  <si>
    <t>2022-05-12T08:26:21</t>
  </si>
  <si>
    <t>PV00311086</t>
  </si>
  <si>
    <t>2022-05-12T08:26:18</t>
  </si>
  <si>
    <t>PV00310951</t>
  </si>
  <si>
    <t>PV00310869</t>
  </si>
  <si>
    <t>2022-05-12T08:26:16</t>
  </si>
  <si>
    <t>PV00310774</t>
  </si>
  <si>
    <t>2022-05-12T08:26:14</t>
  </si>
  <si>
    <t>PV00310640</t>
  </si>
  <si>
    <t>PV00310585</t>
  </si>
  <si>
    <t>2022-05-12T08:26:11</t>
  </si>
  <si>
    <t>PV00310449</t>
  </si>
  <si>
    <t>PV00310390</t>
  </si>
  <si>
    <t>PV00310259</t>
  </si>
  <si>
    <t>2022-05-12T08:26:07</t>
  </si>
  <si>
    <t>PV00310141</t>
  </si>
  <si>
    <t>2022-05-12T08:26:04</t>
  </si>
  <si>
    <t>PV00310085</t>
  </si>
  <si>
    <t>2022-05-12T08:26:00</t>
  </si>
  <si>
    <t>PV00309969</t>
  </si>
  <si>
    <t>2022-05-12T08:25:57</t>
  </si>
  <si>
    <t>PV00309848</t>
  </si>
  <si>
    <t>2022-05-12T08:25:56</t>
  </si>
  <si>
    <t>PV00309735</t>
  </si>
  <si>
    <t>2022-05-12T08:25:54</t>
  </si>
  <si>
    <t>PV00309638</t>
  </si>
  <si>
    <t>2022-05-12T08:25:51</t>
  </si>
  <si>
    <t>PV00309517</t>
  </si>
  <si>
    <t>2022-05-12T08:25:49</t>
  </si>
  <si>
    <t>PV00309477</t>
  </si>
  <si>
    <t>2022-05-12T08:25:40</t>
  </si>
  <si>
    <t>PV00309339</t>
  </si>
  <si>
    <t>2022-05-12T08:25:38</t>
  </si>
  <si>
    <t>PV00309235</t>
  </si>
  <si>
    <t>2022-05-12T08:25:37</t>
  </si>
  <si>
    <t>PV00309141</t>
  </si>
  <si>
    <t>PV00309057</t>
  </si>
  <si>
    <t>2022-05-12T08:25:36</t>
  </si>
  <si>
    <t>PV00308988</t>
  </si>
  <si>
    <t>PV00308845</t>
  </si>
  <si>
    <t>2022-05-12T08:25:29</t>
  </si>
  <si>
    <t>PV00308776</t>
  </si>
  <si>
    <t>PV00308602</t>
  </si>
  <si>
    <t>2022-05-12T08:25:23</t>
  </si>
  <si>
    <t>PV00308545</t>
  </si>
  <si>
    <t>2022-05-12T08:25:22</t>
  </si>
  <si>
    <t>PV00308422</t>
  </si>
  <si>
    <t>2022-05-12T08:25:12</t>
  </si>
  <si>
    <t>PV00308363</t>
  </si>
  <si>
    <t>2022-05-12T08:25:05</t>
  </si>
  <si>
    <t>PV00308232</t>
  </si>
  <si>
    <t>2022-05-12T08:24:54</t>
  </si>
  <si>
    <t>PV00308104</t>
  </si>
  <si>
    <t>2022-05-12T08:24:44</t>
  </si>
  <si>
    <t>PV00308097</t>
  </si>
  <si>
    <t>2022-05-12T08:24:41</t>
  </si>
  <si>
    <t>PV00307944</t>
  </si>
  <si>
    <t>2022-05-12T08:24:36</t>
  </si>
  <si>
    <t>PV00307896</t>
  </si>
  <si>
    <t>2022-05-11T21:29:01</t>
  </si>
  <si>
    <t>本庄小学校</t>
  </si>
  <si>
    <t>PV00307759</t>
  </si>
  <si>
    <t>2022-05-11T21:28:22</t>
  </si>
  <si>
    <t>PV00307683</t>
  </si>
  <si>
    <t>2022-05-11T20:12:14</t>
  </si>
  <si>
    <t>PV00307507</t>
  </si>
  <si>
    <t>2022-05-11T17:16:18</t>
  </si>
  <si>
    <t>PV00307485</t>
  </si>
  <si>
    <t>2022-05-11T16:51:37</t>
  </si>
  <si>
    <t>PV00307392</t>
  </si>
  <si>
    <t>2022-05-11T15:29:01</t>
  </si>
  <si>
    <t>PV00307226</t>
  </si>
  <si>
    <t>2022-05-11T15:28:23</t>
  </si>
  <si>
    <t>PV00307160</t>
  </si>
  <si>
    <t>2022-05-11T15:28:13</t>
  </si>
  <si>
    <t>PV00307024</t>
  </si>
  <si>
    <t>2022-05-11T15:28:02</t>
  </si>
  <si>
    <t>PV00306994</t>
  </si>
  <si>
    <t>PV00306817</t>
  </si>
  <si>
    <t>2022-05-11T15:27:47</t>
  </si>
  <si>
    <t>PV00306748</t>
  </si>
  <si>
    <t>2022-05-11T15:27:44</t>
  </si>
  <si>
    <t>PV00306695</t>
  </si>
  <si>
    <t>2022-05-11T15:27:38</t>
  </si>
  <si>
    <t>PV00306558</t>
  </si>
  <si>
    <t>2022-05-11T15:27:36</t>
  </si>
  <si>
    <t>PV00306451</t>
  </si>
  <si>
    <t>PV00306359</t>
  </si>
  <si>
    <t>2022-05-11T15:27:32</t>
  </si>
  <si>
    <t>PV00306297</t>
  </si>
  <si>
    <t>2022-05-11T15:27:28</t>
  </si>
  <si>
    <t>PV00306122</t>
  </si>
  <si>
    <t>2022-05-11T15:27:26</t>
  </si>
  <si>
    <t>PV00306019</t>
  </si>
  <si>
    <t>2022-05-11T15:27:25</t>
  </si>
  <si>
    <t>PV00305917</t>
  </si>
  <si>
    <t>2022-05-11T15:27:24</t>
  </si>
  <si>
    <t>PV00305810</t>
  </si>
  <si>
    <t>2022-05-11T15:27:18</t>
  </si>
  <si>
    <t>PV00305774</t>
  </si>
  <si>
    <t>2022-05-11T15:27:17</t>
  </si>
  <si>
    <t>PV00305683</t>
  </si>
  <si>
    <t>2022-05-11T15:27:15</t>
  </si>
  <si>
    <t>PV00305532</t>
  </si>
  <si>
    <t>2022-05-11T15:27:14</t>
  </si>
  <si>
    <t>PV00305417</t>
  </si>
  <si>
    <t>2022-05-11T15:27:12</t>
  </si>
  <si>
    <t>PV00305351</t>
  </si>
  <si>
    <t>PV00305201</t>
  </si>
  <si>
    <t>2022-05-11T15:27:09</t>
  </si>
  <si>
    <t>PV00305117</t>
  </si>
  <si>
    <t>2022-05-11T15:27:08</t>
  </si>
  <si>
    <t>PV00305041</t>
  </si>
  <si>
    <t>2022-05-11T15:26:58</t>
  </si>
  <si>
    <t>PV00304927</t>
  </si>
  <si>
    <t>2022-05-11T15:26:56</t>
  </si>
  <si>
    <t>PV00304875</t>
  </si>
  <si>
    <t>2022-05-11T15:26:53</t>
  </si>
  <si>
    <t>PV00304710</t>
  </si>
  <si>
    <t>PV00304664</t>
  </si>
  <si>
    <t>PV00304598</t>
  </si>
  <si>
    <t>2022-05-11T15:26:51</t>
  </si>
  <si>
    <t>PV00304422</t>
  </si>
  <si>
    <t>2022-05-11T15:26:45</t>
  </si>
  <si>
    <t>PV00304369</t>
  </si>
  <si>
    <t>PV00304280</t>
  </si>
  <si>
    <t>2022-05-11T15:26:41</t>
  </si>
  <si>
    <t>PV00304131</t>
  </si>
  <si>
    <t>2022-05-11T15:26:40</t>
  </si>
  <si>
    <t>PV00304016</t>
  </si>
  <si>
    <t>2022-05-11T15:26:29</t>
  </si>
  <si>
    <t>PV00303951</t>
  </si>
  <si>
    <t>2022-05-11T14:44:44</t>
  </si>
  <si>
    <t>PV00303897</t>
  </si>
  <si>
    <t>2022-05-11T14:44:03</t>
  </si>
  <si>
    <t>PV00303724</t>
  </si>
  <si>
    <t>2022-05-11T14:44:00</t>
  </si>
  <si>
    <t>PV00303641</t>
  </si>
  <si>
    <t>2022-05-11T14:43:58</t>
  </si>
  <si>
    <t>PV00303573</t>
  </si>
  <si>
    <t>PV00303439</t>
  </si>
  <si>
    <t>2022-05-11T14:43:57</t>
  </si>
  <si>
    <t>PV00303378</t>
  </si>
  <si>
    <t>2022-05-11T14:43:56</t>
  </si>
  <si>
    <t>PV00303207</t>
  </si>
  <si>
    <t>2022-05-11T14:43:55</t>
  </si>
  <si>
    <t>PV00303101</t>
  </si>
  <si>
    <t>PV00303077</t>
  </si>
  <si>
    <t>2022-05-11T14:43:54</t>
  </si>
  <si>
    <t>PV00302927</t>
  </si>
  <si>
    <t>PV00302868</t>
  </si>
  <si>
    <t>PV00302729</t>
  </si>
  <si>
    <t>PV00302616</t>
  </si>
  <si>
    <t>PV00302597</t>
  </si>
  <si>
    <t>PV00302458</t>
  </si>
  <si>
    <t>2022-05-11T14:43:53</t>
  </si>
  <si>
    <t>PV00302365</t>
  </si>
  <si>
    <t>PV00302203</t>
  </si>
  <si>
    <t>PV00302180</t>
  </si>
  <si>
    <t>PV00302027</t>
  </si>
  <si>
    <t>PV00301999</t>
  </si>
  <si>
    <t>PV00301891</t>
  </si>
  <si>
    <t>2022-05-11T14:23:50</t>
  </si>
  <si>
    <t>篠岡小学校</t>
  </si>
  <si>
    <t>PV00301709</t>
  </si>
  <si>
    <t>2022-05-11T14:23:45</t>
  </si>
  <si>
    <t>PV00301672</t>
  </si>
  <si>
    <t>2022-05-11T14:22:48</t>
  </si>
  <si>
    <t>PV00301524</t>
  </si>
  <si>
    <t>2022-05-11T14:22:22</t>
  </si>
  <si>
    <t>PV00301476</t>
  </si>
  <si>
    <t>2022-05-11T14:21:50</t>
  </si>
  <si>
    <t>PV00301369</t>
  </si>
  <si>
    <t>2022-05-11T14:21:24</t>
  </si>
  <si>
    <t>PV00301283</t>
  </si>
  <si>
    <t>2022-05-11T14:21:21</t>
  </si>
  <si>
    <t>PV00301179</t>
  </si>
  <si>
    <t>2022-05-11T14:21:20</t>
  </si>
  <si>
    <t>PV00301039</t>
  </si>
  <si>
    <t>2022-05-11T14:21:11</t>
  </si>
  <si>
    <t>PV00300991</t>
  </si>
  <si>
    <t>2022-05-11T14:21:07</t>
  </si>
  <si>
    <t>PV00300882</t>
  </si>
  <si>
    <t>2022-05-11T14:21:06</t>
  </si>
  <si>
    <t>PV00300719</t>
  </si>
  <si>
    <t>2022-05-11T14:21:00</t>
  </si>
  <si>
    <t>PV00300625</t>
  </si>
  <si>
    <t>2022-05-11T14:20:59</t>
  </si>
  <si>
    <t>PV00300515</t>
  </si>
  <si>
    <t>2022-05-11T14:20:57</t>
  </si>
  <si>
    <t>PV00300449</t>
  </si>
  <si>
    <t>2022-05-11T14:20:33</t>
  </si>
  <si>
    <t>PV00300322</t>
  </si>
  <si>
    <t>2022-05-11T14:20:32</t>
  </si>
  <si>
    <t>PV00300220</t>
  </si>
  <si>
    <t>2022-05-11T14:20:23</t>
  </si>
  <si>
    <t>PV00300199</t>
  </si>
  <si>
    <t>2022-05-11T14:20:19</t>
  </si>
  <si>
    <t>PV00300095</t>
  </si>
  <si>
    <t>2022-05-11T14:20:11</t>
  </si>
  <si>
    <t>PV00299961</t>
  </si>
  <si>
    <t>2022-05-11T14:20:09</t>
  </si>
  <si>
    <t>PV00299819</t>
  </si>
  <si>
    <t>2022-05-11T14:20:03</t>
  </si>
  <si>
    <t>PV00299759</t>
  </si>
  <si>
    <t>2022-05-11T14:19:59</t>
  </si>
  <si>
    <t>PV00299613</t>
  </si>
  <si>
    <t>2022-05-11T14:19:57</t>
  </si>
  <si>
    <t>PV00299577</t>
  </si>
  <si>
    <t>PV00299479</t>
  </si>
  <si>
    <t>2022-05-11T14:19:55</t>
  </si>
  <si>
    <t>PV00299360</t>
  </si>
  <si>
    <t>PV00299219</t>
  </si>
  <si>
    <t>2022-05-11T14:19:48</t>
  </si>
  <si>
    <t>PV00299143</t>
  </si>
  <si>
    <t>2022-05-11T14:19:47</t>
  </si>
  <si>
    <t>PV00299056</t>
  </si>
  <si>
    <t>2022-05-11T14:19:46</t>
  </si>
  <si>
    <t>PV00298987</t>
  </si>
  <si>
    <t>2022-05-11T14:19:33</t>
  </si>
  <si>
    <t>PV00298822</t>
  </si>
  <si>
    <t>2022-05-11T14:19:26</t>
  </si>
  <si>
    <t>PV00298717</t>
  </si>
  <si>
    <t>PV00298629</t>
  </si>
  <si>
    <t>2022-05-11T13:02:21</t>
  </si>
  <si>
    <t>PV00298522</t>
  </si>
  <si>
    <t>2022-05-11T11:49:44</t>
  </si>
  <si>
    <t>PV00298447</t>
  </si>
  <si>
    <t>2022-05-11T11:44:26</t>
  </si>
  <si>
    <t>PV00298369</t>
  </si>
  <si>
    <t>2022-05-11T11:44:04</t>
  </si>
  <si>
    <t>PV00298236</t>
  </si>
  <si>
    <t>2022-05-11T11:43:55</t>
  </si>
  <si>
    <t>PV00298169</t>
  </si>
  <si>
    <t>2022-05-11T11:43:53</t>
  </si>
  <si>
    <t>PV00298024</t>
  </si>
  <si>
    <t>2022-05-11T11:43:16</t>
  </si>
  <si>
    <t>PV00297992</t>
  </si>
  <si>
    <t>2022-05-11T11:43:12</t>
  </si>
  <si>
    <t>PV00297804</t>
  </si>
  <si>
    <t>2022-05-11T11:43:08</t>
  </si>
  <si>
    <t>PV00297730</t>
  </si>
  <si>
    <t>2022-05-11T11:42:59</t>
  </si>
  <si>
    <t>PV00297675</t>
  </si>
  <si>
    <t>2022-05-11T11:42:55</t>
  </si>
  <si>
    <t>PV00297535</t>
  </si>
  <si>
    <t>2022-05-11T11:42:53</t>
  </si>
  <si>
    <t>PV00297433</t>
  </si>
  <si>
    <t>PV00297315</t>
  </si>
  <si>
    <t>2022-05-11T11:42:50</t>
  </si>
  <si>
    <t>PV00297275</t>
  </si>
  <si>
    <t>2022-05-11T11:42:47</t>
  </si>
  <si>
    <t>PV00297128</t>
  </si>
  <si>
    <t>2022-05-11T11:42:43</t>
  </si>
  <si>
    <t>PV00297023</t>
  </si>
  <si>
    <t>2022-05-11T11:42:42</t>
  </si>
  <si>
    <t>PV00296970</t>
  </si>
  <si>
    <t>2022-05-11T11:42:30</t>
  </si>
  <si>
    <t>PV00296801</t>
  </si>
  <si>
    <t>2022-05-11T11:42:17</t>
  </si>
  <si>
    <t>PV00296773</t>
  </si>
  <si>
    <t>PV00296694</t>
  </si>
  <si>
    <t>2022-05-11T11:41:50</t>
  </si>
  <si>
    <t>PV00296550</t>
  </si>
  <si>
    <t>2022-05-11T11:41:32</t>
  </si>
  <si>
    <t>PV00296464</t>
  </si>
  <si>
    <t>2022-05-11T11:33:34</t>
  </si>
  <si>
    <t>北里中学校</t>
  </si>
  <si>
    <t>PV00296373</t>
  </si>
  <si>
    <t>2022-05-11T11:33:25</t>
  </si>
  <si>
    <t>PV00296290</t>
  </si>
  <si>
    <t>2022-05-11T11:33:18</t>
  </si>
  <si>
    <t>PV00296198</t>
  </si>
  <si>
    <t>PV00296058</t>
  </si>
  <si>
    <t>2022-05-11T11:33:09</t>
  </si>
  <si>
    <t>PV00295917</t>
  </si>
  <si>
    <t>2022-05-11T11:32:46</t>
  </si>
  <si>
    <t>PV00295874</t>
  </si>
  <si>
    <t>2022-05-11T11:32:02</t>
  </si>
  <si>
    <t>PV00295768</t>
  </si>
  <si>
    <t>2022-05-11T11:31:56</t>
  </si>
  <si>
    <t>PV00295601</t>
  </si>
  <si>
    <t>2022-05-11T11:31:47</t>
  </si>
  <si>
    <t>PV00295518</t>
  </si>
  <si>
    <t>2022-05-11T11:31:43</t>
  </si>
  <si>
    <t>PV00295455</t>
  </si>
  <si>
    <t>2022-05-11T11:31:40</t>
  </si>
  <si>
    <t>PV00295334</t>
  </si>
  <si>
    <t>2022-05-11T11:31:30</t>
  </si>
  <si>
    <t>PV00295216</t>
  </si>
  <si>
    <t>2022-05-11T11:31:23</t>
  </si>
  <si>
    <t>PV00295166</t>
  </si>
  <si>
    <t>2022-05-11T11:30:26</t>
  </si>
  <si>
    <t>PV00295075</t>
  </si>
  <si>
    <t>2022-05-11T11:18:14</t>
  </si>
  <si>
    <t>PV00294916</t>
  </si>
  <si>
    <t>2022-05-11T11:18:07</t>
  </si>
  <si>
    <t>PV00294867</t>
  </si>
  <si>
    <t>2022-05-11T11:18:06</t>
  </si>
  <si>
    <t>PV00294707</t>
  </si>
  <si>
    <t>2022-05-11T11:17:56</t>
  </si>
  <si>
    <t>PV00294645</t>
  </si>
  <si>
    <t>2022-05-11T11:17:52</t>
  </si>
  <si>
    <t>PV00294505</t>
  </si>
  <si>
    <t>2022-05-11T11:17:35</t>
  </si>
  <si>
    <t>PV00294434</t>
  </si>
  <si>
    <t>PV00294361</t>
  </si>
  <si>
    <t>2022-05-11T11:17:29</t>
  </si>
  <si>
    <t>PV00294292</t>
  </si>
  <si>
    <t>2022-05-11T11:17:22</t>
  </si>
  <si>
    <t>PV00294163</t>
  </si>
  <si>
    <t>2022-05-11T11:17:13</t>
  </si>
  <si>
    <t>PV00294067</t>
  </si>
  <si>
    <t>2022-05-11T11:17:12</t>
  </si>
  <si>
    <t>PV00293995</t>
  </si>
  <si>
    <t>2022-05-11T11:17:02</t>
  </si>
  <si>
    <t>PV00293872</t>
  </si>
  <si>
    <t>2022-05-11T11:17:01</t>
  </si>
  <si>
    <t>PV00293799</t>
  </si>
  <si>
    <t>2022-05-11T11:16:02</t>
  </si>
  <si>
    <t>PV00293636</t>
  </si>
  <si>
    <t>2022-05-11T11:15:58</t>
  </si>
  <si>
    <t>PV00293505</t>
  </si>
  <si>
    <t>2022-05-11T11:15:11</t>
  </si>
  <si>
    <t>PV00293460</t>
  </si>
  <si>
    <t>2022-05-11T10:35:42</t>
  </si>
  <si>
    <t>PV00293319</t>
  </si>
  <si>
    <t>2022-05-11T09:28:56</t>
  </si>
  <si>
    <t>PV00293223</t>
  </si>
  <si>
    <t>2022-05-11T08:44:05</t>
  </si>
  <si>
    <t>PV00293156</t>
  </si>
  <si>
    <t>2022-05-11T08:43:08</t>
  </si>
  <si>
    <t>PV00293082</t>
  </si>
  <si>
    <t>2022-05-11T08:42:44</t>
  </si>
  <si>
    <t>PV00292900</t>
  </si>
  <si>
    <t>2022-05-11T08:42:04</t>
  </si>
  <si>
    <t>PV00292822</t>
  </si>
  <si>
    <t>2022-05-11T08:42:00</t>
  </si>
  <si>
    <t>PV00292750</t>
  </si>
  <si>
    <t>2022-05-11T08:41:29</t>
  </si>
  <si>
    <t>PV00292617</t>
  </si>
  <si>
    <t>2022-05-11T08:41:26</t>
  </si>
  <si>
    <t>PV00292582</t>
  </si>
  <si>
    <t>2022-05-11T08:41:25</t>
  </si>
  <si>
    <t>PV00292430</t>
  </si>
  <si>
    <t>2022-05-11T08:41:19</t>
  </si>
  <si>
    <t>PV00292333</t>
  </si>
  <si>
    <t>2022-05-11T08:41:17</t>
  </si>
  <si>
    <t>PV00292214</t>
  </si>
  <si>
    <t>2022-05-11T08:41:14</t>
  </si>
  <si>
    <t>PV00292181</t>
  </si>
  <si>
    <t>2022-05-11T08:41:11</t>
  </si>
  <si>
    <t>PV00292093</t>
  </si>
  <si>
    <t>PV00291933</t>
  </si>
  <si>
    <t>2022-05-11T08:41:06</t>
  </si>
  <si>
    <t>PV00291845</t>
  </si>
  <si>
    <t>2022-05-11T08:40:57</t>
  </si>
  <si>
    <t>PV00291788</t>
  </si>
  <si>
    <t>2022-05-11T08:40:54</t>
  </si>
  <si>
    <t>PV00291694</t>
  </si>
  <si>
    <t>2022-05-11T08:40:53</t>
  </si>
  <si>
    <t>PV00291576</t>
  </si>
  <si>
    <t>2022-05-11T08:40:49</t>
  </si>
  <si>
    <t>PV00291443</t>
  </si>
  <si>
    <t>2022-05-11T08:40:42</t>
  </si>
  <si>
    <t>PV00291370</t>
  </si>
  <si>
    <t>2022-05-11T08:40:32</t>
  </si>
  <si>
    <t>PV00291204</t>
  </si>
  <si>
    <t>2022-05-11T08:40:22</t>
  </si>
  <si>
    <t>PV00291175</t>
  </si>
  <si>
    <t>2022-05-11T08:40:21</t>
  </si>
  <si>
    <t>PV00291068</t>
  </si>
  <si>
    <t>2022-05-11T08:40:20</t>
  </si>
  <si>
    <t>PV00290960</t>
  </si>
  <si>
    <t>2022-05-11T08:40:17</t>
  </si>
  <si>
    <t>PV00290839</t>
  </si>
  <si>
    <t>PV00290797</t>
  </si>
  <si>
    <t>2022-05-11T08:40:16</t>
  </si>
  <si>
    <t>PV00290670</t>
  </si>
  <si>
    <t>2022-05-11T08:40:14</t>
  </si>
  <si>
    <t>PV00290549</t>
  </si>
  <si>
    <t>2022-05-11T08:40:04</t>
  </si>
  <si>
    <t>PV00290453</t>
  </si>
  <si>
    <t>2022-05-11T08:40:03</t>
  </si>
  <si>
    <t>PV00290301</t>
  </si>
  <si>
    <t>2022-05-11T08:39:59</t>
  </si>
  <si>
    <t>PV00290294</t>
  </si>
  <si>
    <t>2022-05-11T08:39:53</t>
  </si>
  <si>
    <t>PV00290179</t>
  </si>
  <si>
    <t>2022-05-11T08:39:49</t>
  </si>
  <si>
    <t>PV00290043</t>
  </si>
  <si>
    <t>2022-05-11T08:39:42</t>
  </si>
  <si>
    <t>PV00289997</t>
  </si>
  <si>
    <t>2022-05-11T08:39:39</t>
  </si>
  <si>
    <t>PV00289869</t>
  </si>
  <si>
    <t>2022-05-11T08:39:31</t>
  </si>
  <si>
    <t>PV00289718</t>
  </si>
  <si>
    <t>2022-05-11T08:39:13</t>
  </si>
  <si>
    <t>PV00289633</t>
  </si>
  <si>
    <t>2022-05-11T08:39:08</t>
  </si>
  <si>
    <t>PV00289590</t>
  </si>
  <si>
    <t>2022-05-11T08:39:03</t>
  </si>
  <si>
    <t>PV00289493</t>
  </si>
  <si>
    <t>2022-05-11T08:35:41</t>
  </si>
  <si>
    <t>PV00289318</t>
  </si>
  <si>
    <t>2022-05-11T08:34:41</t>
  </si>
  <si>
    <t>PV00289284</t>
  </si>
  <si>
    <t>2022-05-11T08:28:45</t>
  </si>
  <si>
    <t>PV00289164</t>
  </si>
  <si>
    <t>2022-05-11T08:27:21</t>
  </si>
  <si>
    <t>PV00289088</t>
  </si>
  <si>
    <t>2022-05-11T08:25:48</t>
  </si>
  <si>
    <t>PV00288941</t>
  </si>
  <si>
    <t>2022-05-11T08:25:14</t>
  </si>
  <si>
    <t>PV00288816</t>
  </si>
  <si>
    <t>2022-05-11T08:24:55</t>
  </si>
  <si>
    <t>PV00288709</t>
  </si>
  <si>
    <t>2022-05-11T08:24:25</t>
  </si>
  <si>
    <t>PV00288600</t>
  </si>
  <si>
    <t>2022-05-11T08:24:20</t>
  </si>
  <si>
    <t>PV00288505</t>
  </si>
  <si>
    <t>2022-05-11T08:24:12</t>
  </si>
  <si>
    <t>PV00288449</t>
  </si>
  <si>
    <t>2022-05-11T08:23:47</t>
  </si>
  <si>
    <t>PV00288391</t>
  </si>
  <si>
    <t>PV00288226</t>
  </si>
  <si>
    <t>2022-05-11T08:23:45</t>
  </si>
  <si>
    <t>PV00288159</t>
  </si>
  <si>
    <t>2022-05-11T08:23:38</t>
  </si>
  <si>
    <t>PV00288052</t>
  </si>
  <si>
    <t>2022-05-11T08:23:37</t>
  </si>
  <si>
    <t>PV00287947</t>
  </si>
  <si>
    <t>2022-05-11T08:23:35</t>
  </si>
  <si>
    <t>PV00287843</t>
  </si>
  <si>
    <t>2022-05-11T08:23:33</t>
  </si>
  <si>
    <t>PV00287775</t>
  </si>
  <si>
    <t>2022-05-11T08:23:31</t>
  </si>
  <si>
    <t>PV00287648</t>
  </si>
  <si>
    <t>2022-05-11T08:23:30</t>
  </si>
  <si>
    <t>PV00287520</t>
  </si>
  <si>
    <t>2022-05-11T08:23:29</t>
  </si>
  <si>
    <t>PV00287456</t>
  </si>
  <si>
    <t>2022-05-11T08:23:27</t>
  </si>
  <si>
    <t>PV00287390</t>
  </si>
  <si>
    <t>2022-05-11T08:23:21</t>
  </si>
  <si>
    <t>PV00287233</t>
  </si>
  <si>
    <t>2022-05-11T08:23:16</t>
  </si>
  <si>
    <t>PV00287165</t>
  </si>
  <si>
    <t>2022-05-11T08:23:11</t>
  </si>
  <si>
    <t>PV00287028</t>
  </si>
  <si>
    <t>PV00286952</t>
  </si>
  <si>
    <t>2022-05-11T08:23:05</t>
  </si>
  <si>
    <t>PV00286853</t>
  </si>
  <si>
    <t>2022-05-11T08:23:03</t>
  </si>
  <si>
    <t>PV00286772</t>
  </si>
  <si>
    <t>2022-05-11T08:23:02</t>
  </si>
  <si>
    <t>PV00286618</t>
  </si>
  <si>
    <t>2022-05-11T08:22:58</t>
  </si>
  <si>
    <t>PV00286516</t>
  </si>
  <si>
    <t>PV00286408</t>
  </si>
  <si>
    <t>2022-05-11T08:22:53</t>
  </si>
  <si>
    <t>PV00286367</t>
  </si>
  <si>
    <t>2022-05-11T08:22:51</t>
  </si>
  <si>
    <t>PV00286248</t>
  </si>
  <si>
    <t>2022-05-11T08:22:45</t>
  </si>
  <si>
    <t>PV00286156</t>
  </si>
  <si>
    <t>2022-05-11T08:22:44</t>
  </si>
  <si>
    <t>PV00286026</t>
  </si>
  <si>
    <t>2022-05-11T08:22:40</t>
  </si>
  <si>
    <t>PV00285938</t>
  </si>
  <si>
    <t>2022-05-11T08:22:37</t>
  </si>
  <si>
    <t>PV00285803</t>
  </si>
  <si>
    <t>2022-05-11T08:22:35</t>
  </si>
  <si>
    <t>PV00285724</t>
  </si>
  <si>
    <t>2022-05-11T08:22:31</t>
  </si>
  <si>
    <t>PV00285639</t>
  </si>
  <si>
    <t>2022-05-11T08:22:29</t>
  </si>
  <si>
    <t>PV00285520</t>
  </si>
  <si>
    <t>2022-05-11T08:22:18</t>
  </si>
  <si>
    <t>PV00285491</t>
  </si>
  <si>
    <t>2022-05-11T08:22:10</t>
  </si>
  <si>
    <t>PV00285352</t>
  </si>
  <si>
    <t>2022-05-11T08:22:01</t>
  </si>
  <si>
    <t>PV00285209</t>
  </si>
  <si>
    <t>PV00285178</t>
  </si>
  <si>
    <t>2022-05-11T08:22:00</t>
  </si>
  <si>
    <t>PV00285063</t>
  </si>
  <si>
    <t>2022-05-11T08:21:51</t>
  </si>
  <si>
    <t>PV00284955</t>
  </si>
  <si>
    <t>2022-05-11T08:21:45</t>
  </si>
  <si>
    <t>PV00284871</t>
  </si>
  <si>
    <t>2022-05-11T08:21:44</t>
  </si>
  <si>
    <t>PV00284743</t>
  </si>
  <si>
    <t>2022-05-11T08:21:39</t>
  </si>
  <si>
    <t>PV00284685</t>
  </si>
  <si>
    <t>2022-05-11T08:21:38</t>
  </si>
  <si>
    <t>PV00284541</t>
  </si>
  <si>
    <t>2022-05-11T08:21:37</t>
  </si>
  <si>
    <t>PV00284425</t>
  </si>
  <si>
    <t>2022-05-11T08:21:34</t>
  </si>
  <si>
    <t>PV00284375</t>
  </si>
  <si>
    <t>2022-05-11T08:21:33</t>
  </si>
  <si>
    <t>PV00284252</t>
  </si>
  <si>
    <t>PV00284117</t>
  </si>
  <si>
    <t>2022-05-11T08:21:25</t>
  </si>
  <si>
    <t>PV00284003</t>
  </si>
  <si>
    <t>2022-05-11T08:21:23</t>
  </si>
  <si>
    <t>PV00283982</t>
  </si>
  <si>
    <t>PV00283805</t>
  </si>
  <si>
    <t>2022-05-11T08:21:14</t>
  </si>
  <si>
    <t>PV00283784</t>
  </si>
  <si>
    <t>2022-05-11T08:21:09</t>
  </si>
  <si>
    <t>PV00283686</t>
  </si>
  <si>
    <t>2022-05-11T08:20:53</t>
  </si>
  <si>
    <t>PV00283559</t>
  </si>
  <si>
    <t>2022-05-11T08:20:51</t>
  </si>
  <si>
    <t>PV00283443</t>
  </si>
  <si>
    <t>2022-05-11T08:20:50</t>
  </si>
  <si>
    <t>PV00283390</t>
  </si>
  <si>
    <t>2022-05-11T08:20:45</t>
  </si>
  <si>
    <t>PV00283221</t>
  </si>
  <si>
    <t>2022-05-11T08:20:25</t>
  </si>
  <si>
    <t>PV00283115</t>
  </si>
  <si>
    <t>2022-05-11T08:20:18</t>
  </si>
  <si>
    <t>PV00283024</t>
  </si>
  <si>
    <t>2022-05-11T08:19:54</t>
  </si>
  <si>
    <t>PV00282935</t>
  </si>
  <si>
    <t>2022-05-11T08:19:43</t>
  </si>
  <si>
    <t>PV00282887</t>
  </si>
  <si>
    <t>2022-05-11T08:19:39</t>
  </si>
  <si>
    <t>PV00282776</t>
  </si>
  <si>
    <t>2022-05-11T08:19:35</t>
  </si>
  <si>
    <t>PV00282675</t>
  </si>
  <si>
    <t>2022-05-11T08:19:34</t>
  </si>
  <si>
    <t>PV00282548</t>
  </si>
  <si>
    <t>2022-05-11T08:19:27</t>
  </si>
  <si>
    <t>PV00282414</t>
  </si>
  <si>
    <t>2022-05-11T08:19:02</t>
  </si>
  <si>
    <t>PV00282335</t>
  </si>
  <si>
    <t>2022-05-11T08:18:58</t>
  </si>
  <si>
    <t>PV00282210</t>
  </si>
  <si>
    <t>2022-05-11T08:18:55</t>
  </si>
  <si>
    <t>PV00282164</t>
  </si>
  <si>
    <t>2022-05-11T08:18:53</t>
  </si>
  <si>
    <t>PV00282009</t>
  </si>
  <si>
    <t>2022-05-11T08:18:48</t>
  </si>
  <si>
    <t>PV00281926</t>
  </si>
  <si>
    <t>2022-05-11T08:18:45</t>
  </si>
  <si>
    <t>PV00281814</t>
  </si>
  <si>
    <t>2022-05-11T08:18:27</t>
  </si>
  <si>
    <t>PV00281783</t>
  </si>
  <si>
    <t>2022-05-11T08:18:18</t>
  </si>
  <si>
    <t>PV00281614</t>
  </si>
  <si>
    <t>PV00281520</t>
  </si>
  <si>
    <t>2022-05-11T08:17:49</t>
  </si>
  <si>
    <t>PV00281472</t>
  </si>
  <si>
    <t>2022-05-11T08:17:47</t>
  </si>
  <si>
    <t>PV00281300</t>
  </si>
  <si>
    <t>2022-05-11T08:17:34</t>
  </si>
  <si>
    <t>PV00281267</t>
  </si>
  <si>
    <t>PV00281132</t>
  </si>
  <si>
    <t>2022-05-11T08:17:27</t>
  </si>
  <si>
    <t>PV00281095</t>
  </si>
  <si>
    <t>2022-05-11T08:17:23</t>
  </si>
  <si>
    <t>PV00280971</t>
  </si>
  <si>
    <t>2022-05-11T08:17:07</t>
  </si>
  <si>
    <t>PV00280821</t>
  </si>
  <si>
    <t>2022-05-11T08:16:58</t>
  </si>
  <si>
    <t>PV00280726</t>
  </si>
  <si>
    <t>2022-05-11T08:16:15</t>
  </si>
  <si>
    <t>PV00280663</t>
  </si>
  <si>
    <t>2022-05-11T08:16:11</t>
  </si>
  <si>
    <t>PV00280513</t>
  </si>
  <si>
    <t>2022-05-11T08:16:05</t>
  </si>
  <si>
    <t>PV00280486</t>
  </si>
  <si>
    <t>2022-05-11T08:15:58</t>
  </si>
  <si>
    <t>PV00280383</t>
  </si>
  <si>
    <t>PV00280271</t>
  </si>
  <si>
    <t>2022-05-11T08:15:11</t>
  </si>
  <si>
    <t>PV00280130</t>
  </si>
  <si>
    <t>2022-05-11T08:14:31</t>
  </si>
  <si>
    <t>PV00280086</t>
  </si>
  <si>
    <t>2022-05-11T08:14:24</t>
  </si>
  <si>
    <t>PV00279997</t>
  </si>
  <si>
    <t>2022-05-11T08:13:44</t>
  </si>
  <si>
    <t>PV00279852</t>
  </si>
  <si>
    <t>2022-05-11T08:13:07</t>
  </si>
  <si>
    <t>PV00279759</t>
  </si>
  <si>
    <t>2022-05-11T08:12:51</t>
  </si>
  <si>
    <t>PV00279607</t>
  </si>
  <si>
    <t>2022-05-11T08:12:46</t>
  </si>
  <si>
    <t>PV00279521</t>
  </si>
  <si>
    <t>2022-05-11T08:12:20</t>
  </si>
  <si>
    <t>PV00279492</t>
  </si>
  <si>
    <t>2022-05-11T08:12:19</t>
  </si>
  <si>
    <t>PV00279323</t>
  </si>
  <si>
    <t>2022-05-11T08:11:51</t>
  </si>
  <si>
    <t>PV00279267</t>
  </si>
  <si>
    <t>2022-05-11T08:11:10</t>
  </si>
  <si>
    <t>PV00279133</t>
  </si>
  <si>
    <t>2022-05-11T08:11:01</t>
  </si>
  <si>
    <t>PV00279085</t>
  </si>
  <si>
    <t>2022-05-11T08:10:51</t>
  </si>
  <si>
    <t>PV00278929</t>
  </si>
  <si>
    <t>2022-05-11T08:10:31</t>
  </si>
  <si>
    <t>PV00278811</t>
  </si>
  <si>
    <t>2022-05-11T08:10:26</t>
  </si>
  <si>
    <t>PV00278757</t>
  </si>
  <si>
    <t>2022-05-11T08:08:41</t>
  </si>
  <si>
    <t>PV00278694</t>
  </si>
  <si>
    <t>2022-05-11T08:08:25</t>
  </si>
  <si>
    <t>PV00278500</t>
  </si>
  <si>
    <t>2022-05-11T08:07:32</t>
  </si>
  <si>
    <t>PV00278455</t>
  </si>
  <si>
    <t>2022-05-11T08:07:27</t>
  </si>
  <si>
    <t>PV00278362</t>
  </si>
  <si>
    <t>2022-05-11T08:06:22</t>
  </si>
  <si>
    <t>PV00278276</t>
  </si>
  <si>
    <t>2022-05-10T08:52:57</t>
  </si>
  <si>
    <t>PV00278198</t>
  </si>
  <si>
    <t>2022-05-10T08:52:21</t>
  </si>
  <si>
    <t>PV00278067</t>
  </si>
  <si>
    <t>PV00277938</t>
  </si>
  <si>
    <t>2022-05-10T08:52:18</t>
  </si>
  <si>
    <t>PV00277887</t>
  </si>
  <si>
    <t>2022-05-10T08:52:15</t>
  </si>
  <si>
    <t>PV00277712</t>
  </si>
  <si>
    <t>2022-05-10T08:52:14</t>
  </si>
  <si>
    <t>PV00277667</t>
  </si>
  <si>
    <t>2022-05-10T08:52:13</t>
  </si>
  <si>
    <t>PV00277555</t>
  </si>
  <si>
    <t>2022-05-10T08:52:10</t>
  </si>
  <si>
    <t>PV00277482</t>
  </si>
  <si>
    <t>2022-05-10T08:52:06</t>
  </si>
  <si>
    <t>PV00277301</t>
  </si>
  <si>
    <t>PV00277253</t>
  </si>
  <si>
    <t>2022-05-10T08:52:03</t>
  </si>
  <si>
    <t>PV00277113</t>
  </si>
  <si>
    <t>2022-05-10T08:51:52</t>
  </si>
  <si>
    <t>PV00277078</t>
  </si>
  <si>
    <t>2022-05-10T08:51:49</t>
  </si>
  <si>
    <t>PV00276937</t>
  </si>
  <si>
    <t>PV00276808</t>
  </si>
  <si>
    <t>2022-05-10T08:51:47</t>
  </si>
  <si>
    <t>PV00276755</t>
  </si>
  <si>
    <t>PV00276634</t>
  </si>
  <si>
    <t>2022-05-10T08:51:46</t>
  </si>
  <si>
    <t>PV00276527</t>
  </si>
  <si>
    <t>PV00276451</t>
  </si>
  <si>
    <t>2022-05-10T08:51:45</t>
  </si>
  <si>
    <t>PV00276319</t>
  </si>
  <si>
    <t>PV00276269</t>
  </si>
  <si>
    <t>PV00276193</t>
  </si>
  <si>
    <t>PV00276030</t>
  </si>
  <si>
    <t>2022-05-10T08:51:31</t>
  </si>
  <si>
    <t>PV00275923</t>
  </si>
  <si>
    <t>PV00275859</t>
  </si>
  <si>
    <t>2022-05-10T08:51:28</t>
  </si>
  <si>
    <t>PV00275746</t>
  </si>
  <si>
    <t>2022-05-10T08:51:24</t>
  </si>
  <si>
    <t>PV00275664</t>
  </si>
  <si>
    <t>PV00275581</t>
  </si>
  <si>
    <t>2022-05-10T08:51:17</t>
  </si>
  <si>
    <t>PV00275401</t>
  </si>
  <si>
    <t>2022-05-10T08:51:13</t>
  </si>
  <si>
    <t>PV00275310</t>
  </si>
  <si>
    <t>2022-05-10T08:51:08</t>
  </si>
  <si>
    <t>PV00275271</t>
  </si>
  <si>
    <t>2022-05-10T08:50:59</t>
  </si>
  <si>
    <t>PV00275146</t>
  </si>
  <si>
    <t>2022-05-10T08:50:52</t>
  </si>
  <si>
    <t>PV00275065</t>
  </si>
  <si>
    <t>2022-05-10T08:50:42</t>
  </si>
  <si>
    <t>PV00274993</t>
  </si>
  <si>
    <t>2022-05-10T08:50:28</t>
  </si>
  <si>
    <t>PV00274899</t>
  </si>
  <si>
    <t>PV00274721</t>
  </si>
  <si>
    <t>2022-05-10T08:50:25</t>
  </si>
  <si>
    <t>PV00274617</t>
  </si>
  <si>
    <t>2022-05-10T08:50:04</t>
  </si>
  <si>
    <t>PV00274557</t>
  </si>
  <si>
    <t>2022-05-10T08:43:27</t>
  </si>
  <si>
    <t>PV00274429</t>
  </si>
  <si>
    <t>2022-05-10T08:43:11</t>
  </si>
  <si>
    <t>PV00274330</t>
  </si>
  <si>
    <t>2022-05-10T08:43:03</t>
  </si>
  <si>
    <t>PV00274210</t>
  </si>
  <si>
    <t>PV00274149</t>
  </si>
  <si>
    <t>2022-05-10T08:42:57</t>
  </si>
  <si>
    <t>PV00274044</t>
  </si>
  <si>
    <t>2022-05-10T08:42:56</t>
  </si>
  <si>
    <t>PV00273964</t>
  </si>
  <si>
    <t>PV00273822</t>
  </si>
  <si>
    <t>PV00273740</t>
  </si>
  <si>
    <t>2022-05-10T08:42:55</t>
  </si>
  <si>
    <t>PV00273678</t>
  </si>
  <si>
    <t>2022-05-10T08:42:52</t>
  </si>
  <si>
    <t>PV00273503</t>
  </si>
  <si>
    <t>2022-05-10T08:42:51</t>
  </si>
  <si>
    <t>PV00273467</t>
  </si>
  <si>
    <t>2022-05-10T08:42:49</t>
  </si>
  <si>
    <t>PV00273371</t>
  </si>
  <si>
    <t>PV00273294</t>
  </si>
  <si>
    <t>2022-05-10T08:42:48</t>
  </si>
  <si>
    <t>PV00273109</t>
  </si>
  <si>
    <t>2022-05-10T08:42:47</t>
  </si>
  <si>
    <t>PV00273006</t>
  </si>
  <si>
    <t>2022-05-10T08:42:44</t>
  </si>
  <si>
    <t>PV00272951</t>
  </si>
  <si>
    <t>2022-05-10T08:42:39</t>
  </si>
  <si>
    <t>PV00272851</t>
  </si>
  <si>
    <t>2022-05-10T08:42:35</t>
  </si>
  <si>
    <t>PV00272760</t>
  </si>
  <si>
    <t>2022-05-10T08:42:23</t>
  </si>
  <si>
    <t>PV00272634</t>
  </si>
  <si>
    <t>2022-05-10T08:42:21</t>
  </si>
  <si>
    <t>PV00272597</t>
  </si>
  <si>
    <t>PV00272473</t>
  </si>
  <si>
    <t>2022-05-10T08:42:18</t>
  </si>
  <si>
    <t>PV00272382</t>
  </si>
  <si>
    <t>PV00272207</t>
  </si>
  <si>
    <t>2022-05-10T08:42:16</t>
  </si>
  <si>
    <t>PV00272103</t>
  </si>
  <si>
    <t>2022-05-10T08:41:57</t>
  </si>
  <si>
    <t>PV00272068</t>
  </si>
  <si>
    <t>2022-05-10T08:41:49</t>
  </si>
  <si>
    <t>PV00271906</t>
  </si>
  <si>
    <t>2022-05-09T15:07:00</t>
  </si>
  <si>
    <t>PV00271867</t>
  </si>
  <si>
    <t>2022-05-09T15:05:38</t>
  </si>
  <si>
    <t>PV00271726</t>
  </si>
  <si>
    <t>2022-05-09T15:05:24</t>
  </si>
  <si>
    <t>PV00271601</t>
  </si>
  <si>
    <t>2022-05-09T15:05:22</t>
  </si>
  <si>
    <t>↓</t>
    <phoneticPr fontId="23"/>
  </si>
  <si>
    <t>回答</t>
    <rPh sb="0" eb="2">
      <t>カイトウ</t>
    </rPh>
    <phoneticPr fontId="23"/>
  </si>
  <si>
    <t>PV00448954</t>
  </si>
  <si>
    <t>2022-05-19T14:04:34</t>
  </si>
  <si>
    <t>桃ヶ丘小学校</t>
  </si>
  <si>
    <t>PV00448829</t>
  </si>
  <si>
    <t>2022-05-19T14:03:31</t>
  </si>
  <si>
    <t>PV00448777</t>
  </si>
  <si>
    <t>2022-05-19T14:03:20</t>
  </si>
  <si>
    <t>PV00448632</t>
  </si>
  <si>
    <t>2022-05-19T14:03:11</t>
  </si>
  <si>
    <t>PV00448542</t>
  </si>
  <si>
    <t>2022-05-19T14:03:09</t>
  </si>
  <si>
    <t>PV00448440</t>
  </si>
  <si>
    <t>2022-05-19T14:02:53</t>
  </si>
  <si>
    <t>PV00448364</t>
  </si>
  <si>
    <t>2022-05-19T14:02:50</t>
  </si>
  <si>
    <t>PV00448231</t>
  </si>
  <si>
    <t>2022-05-19T14:02:26</t>
  </si>
  <si>
    <t>PV00448132</t>
  </si>
  <si>
    <t>2022-05-19T14:02:24</t>
  </si>
  <si>
    <t>PV00448086</t>
  </si>
  <si>
    <t>2022-05-19T14:02:06</t>
  </si>
  <si>
    <t>PV00447985</t>
  </si>
  <si>
    <t>2022-05-19T14:01:55</t>
  </si>
  <si>
    <t>PV00447810</t>
  </si>
  <si>
    <t>2022-05-19T14:01:53</t>
  </si>
  <si>
    <t>PV00447708</t>
  </si>
  <si>
    <t>2022-05-19T14:01:46</t>
  </si>
  <si>
    <t>PV00447660</t>
  </si>
  <si>
    <t>2022-05-19T14:01:44</t>
  </si>
  <si>
    <t>PV00447533</t>
  </si>
  <si>
    <t>2022-05-19T14:01:40</t>
  </si>
  <si>
    <t>PV00447480</t>
  </si>
  <si>
    <t>2022-05-19T14:01:39</t>
  </si>
  <si>
    <t>PV00447310</t>
  </si>
  <si>
    <t>2022-05-19T14:01:34</t>
  </si>
  <si>
    <t>PV00447274</t>
  </si>
  <si>
    <t>2022-05-19T14:01:33</t>
  </si>
  <si>
    <t>PV00447121</t>
  </si>
  <si>
    <t>PV00447062</t>
  </si>
  <si>
    <t>2022-05-19T14:01:28</t>
  </si>
  <si>
    <t>PV00446952</t>
  </si>
  <si>
    <t>2022-05-19T14:01:24</t>
  </si>
  <si>
    <t>PV00446878</t>
  </si>
  <si>
    <t>2022-05-19T14:01:21</t>
  </si>
  <si>
    <t>PV00446776</t>
  </si>
  <si>
    <t>PV00446645</t>
  </si>
  <si>
    <t>PV00446505</t>
  </si>
  <si>
    <t>2022-05-19T14:01:20</t>
  </si>
  <si>
    <t>PV00446408</t>
  </si>
  <si>
    <t>2022-05-19T14:01:18</t>
  </si>
  <si>
    <t>PV00446312</t>
  </si>
  <si>
    <t>2022-05-19T14:01:15</t>
  </si>
  <si>
    <t>PV00446299</t>
  </si>
  <si>
    <t>2022-05-19T14:01:14</t>
  </si>
  <si>
    <t>PV00446120</t>
  </si>
  <si>
    <t>2022-05-19T14:01:13</t>
  </si>
  <si>
    <t>PV00446020</t>
  </si>
  <si>
    <t>2022-05-19T14:01:12</t>
  </si>
  <si>
    <t>PV00445948</t>
  </si>
  <si>
    <t>2022-05-19T14:01:11</t>
  </si>
  <si>
    <t>PV00445853</t>
  </si>
  <si>
    <t>PV00445719</t>
  </si>
  <si>
    <t>2022-05-19T14:01:10</t>
  </si>
  <si>
    <t>PV00445671</t>
  </si>
  <si>
    <t>PV00445591</t>
  </si>
  <si>
    <t>2022-05-19T14:01:07</t>
  </si>
  <si>
    <t>PV00445405</t>
  </si>
  <si>
    <t>2022-05-19T14:01:05</t>
  </si>
  <si>
    <t>PV00445334</t>
  </si>
  <si>
    <t>2022-05-19T14:01:04</t>
  </si>
  <si>
    <t>PV00445273</t>
  </si>
  <si>
    <t>PV00445109</t>
  </si>
  <si>
    <t>PV00445089</t>
  </si>
  <si>
    <t>2022-05-19T14:01:03</t>
  </si>
  <si>
    <t>PV00444903</t>
  </si>
  <si>
    <t>2022-05-19T14:01:02</t>
  </si>
  <si>
    <t>PV00444813</t>
  </si>
  <si>
    <t>2022-05-19T14:01:01</t>
  </si>
  <si>
    <t>光ヶ丘小学校</t>
  </si>
  <si>
    <t>PV00444710</t>
  </si>
  <si>
    <t>2022-05-19T14:00:58</t>
  </si>
  <si>
    <t>PV00444622</t>
  </si>
  <si>
    <t>PV00444538</t>
  </si>
  <si>
    <t>PV00444449</t>
  </si>
  <si>
    <t>2022-05-19T14:00:56</t>
  </si>
  <si>
    <t>PV00444341</t>
  </si>
  <si>
    <t>PV00444252</t>
  </si>
  <si>
    <t>2022-05-19T14:00:54</t>
  </si>
  <si>
    <t>PV00444142</t>
  </si>
  <si>
    <t>2022-05-19T14:00:53</t>
  </si>
  <si>
    <t>PV00444077</t>
  </si>
  <si>
    <t>2022-05-19T14:00:51</t>
  </si>
  <si>
    <t>PV00443943</t>
  </si>
  <si>
    <t>2022-05-19T14:00:48</t>
  </si>
  <si>
    <t>PV00443869</t>
  </si>
  <si>
    <t>PV00443745</t>
  </si>
  <si>
    <t>2022-05-19T14:00:46</t>
  </si>
  <si>
    <t>PV00443656</t>
  </si>
  <si>
    <t>2022-05-19T14:00:44</t>
  </si>
  <si>
    <t>PV00443503</t>
  </si>
  <si>
    <t>2022-05-19T14:00:39</t>
  </si>
  <si>
    <t>PV00443415</t>
  </si>
  <si>
    <t>PV00443399</t>
  </si>
  <si>
    <t>2022-05-19T14:00:37</t>
  </si>
  <si>
    <t>PV00443263</t>
  </si>
  <si>
    <t>PV00443195</t>
  </si>
  <si>
    <t>2022-05-19T14:00:34</t>
  </si>
  <si>
    <t>PV00443065</t>
  </si>
  <si>
    <t>2022-05-19T14:00:32</t>
  </si>
  <si>
    <t>PV00442958</t>
  </si>
  <si>
    <t>2022-05-19T14:00:30</t>
  </si>
  <si>
    <t>PV00442886</t>
  </si>
  <si>
    <t>PV00442708</t>
  </si>
  <si>
    <t>2022-05-19T14:00:26</t>
  </si>
  <si>
    <t>PV00442673</t>
  </si>
  <si>
    <t>2022-05-19T14:00:25</t>
  </si>
  <si>
    <t>PV00442577</t>
  </si>
  <si>
    <t>2022-05-19T14:00:24</t>
  </si>
  <si>
    <t>PV00442441</t>
  </si>
  <si>
    <t>2022-05-19T14:00:21</t>
  </si>
  <si>
    <t>PV00442379</t>
  </si>
  <si>
    <t>2022-05-19T14:00:20</t>
  </si>
  <si>
    <t>PV00442298</t>
  </si>
  <si>
    <t>2022-05-19T14:00:18</t>
  </si>
  <si>
    <t>PV00442149</t>
  </si>
  <si>
    <t>2022-05-19T14:00:16</t>
  </si>
  <si>
    <t>PV00442096</t>
  </si>
  <si>
    <t>2022-05-19T14:00:12</t>
  </si>
  <si>
    <t>PV00441924</t>
  </si>
  <si>
    <t>PV00441817</t>
  </si>
  <si>
    <t>2022-05-19T14:00:07</t>
  </si>
  <si>
    <t>PV00441778</t>
  </si>
  <si>
    <t>2022-05-19T14:00:03</t>
  </si>
  <si>
    <t>PV00441603</t>
  </si>
  <si>
    <t>2022-05-19T13:59:57</t>
  </si>
  <si>
    <t>PV00441569</t>
  </si>
  <si>
    <t>2022-05-19T13:59:54</t>
  </si>
  <si>
    <t>PV00441486</t>
  </si>
  <si>
    <t>2022-05-19T13:59:48</t>
  </si>
  <si>
    <t>PV00441397</t>
  </si>
  <si>
    <t>2022-05-19T13:59:47</t>
  </si>
  <si>
    <t>PV00441265</t>
  </si>
  <si>
    <t>PV00441193</t>
  </si>
  <si>
    <t>2022-05-19T13:59:37</t>
  </si>
  <si>
    <t>PV00441081</t>
  </si>
  <si>
    <t>2022-05-19T13:59:33</t>
  </si>
  <si>
    <t>PV00440937</t>
  </si>
  <si>
    <t>PV00440823</t>
  </si>
  <si>
    <t>PV00440790</t>
  </si>
  <si>
    <t>2022-05-19T13:59:28</t>
  </si>
  <si>
    <t>PV00440606</t>
  </si>
  <si>
    <t>2022-05-19T13:59:04</t>
  </si>
  <si>
    <t>PV00440519</t>
  </si>
  <si>
    <t>2022-05-19T13:59:03</t>
  </si>
  <si>
    <t>PV00440464</t>
  </si>
  <si>
    <t>2022-05-19T13:57:49</t>
  </si>
  <si>
    <t>PV00440333</t>
  </si>
  <si>
    <t>2022-05-19T13:54:09</t>
  </si>
  <si>
    <t>PV00440234</t>
  </si>
  <si>
    <t>2022-05-19T13:53:26</t>
  </si>
  <si>
    <t>PV00440168</t>
  </si>
  <si>
    <t>2022-05-19T13:46:22</t>
  </si>
  <si>
    <t>PV00440000</t>
  </si>
  <si>
    <t>2022-05-19T13:08:21</t>
  </si>
  <si>
    <t>PV00439989</t>
  </si>
  <si>
    <t>2022-05-19T12:37:00</t>
  </si>
  <si>
    <t>応時中学校</t>
  </si>
  <si>
    <t>PV00439854</t>
  </si>
  <si>
    <t>2022-05-19T12:19:36</t>
  </si>
  <si>
    <t>PV00439772</t>
  </si>
  <si>
    <t>2022-05-19T12:17:21</t>
  </si>
  <si>
    <t>PV00439601</t>
  </si>
  <si>
    <t>2022-05-19T12:16:12</t>
  </si>
  <si>
    <t>PV00439540</t>
  </si>
  <si>
    <t>PV00439444</t>
  </si>
  <si>
    <t>2022-05-19T12:15:58</t>
  </si>
  <si>
    <t>PV00439391</t>
  </si>
  <si>
    <t>2022-05-19T12:15:50</t>
  </si>
  <si>
    <t>PV00439232</t>
  </si>
  <si>
    <t>2022-05-19T12:15:36</t>
  </si>
  <si>
    <t>PV00439112</t>
  </si>
  <si>
    <t>PV00439000</t>
  </si>
  <si>
    <t>2022-05-19T12:15:35</t>
  </si>
  <si>
    <t>PV00438965</t>
  </si>
  <si>
    <t>PV00438890</t>
  </si>
  <si>
    <t>2022-05-19T12:15:31</t>
  </si>
  <si>
    <t>PV00438743</t>
  </si>
  <si>
    <t>PV00438695</t>
  </si>
  <si>
    <t>2022-05-19T12:15:18</t>
  </si>
  <si>
    <t>PV00438536</t>
  </si>
  <si>
    <t>PV00438470</t>
  </si>
  <si>
    <t>2022-05-19T12:15:16</t>
  </si>
  <si>
    <t>PV00438306</t>
  </si>
  <si>
    <t>2022-05-19T12:15:05</t>
  </si>
  <si>
    <t>PV00438267</t>
  </si>
  <si>
    <t>2022-05-19T12:14:59</t>
  </si>
  <si>
    <t>PV00438141</t>
  </si>
  <si>
    <t>2022-05-19T12:14:57</t>
  </si>
  <si>
    <t>PV00438016</t>
  </si>
  <si>
    <t>PV00437959</t>
  </si>
  <si>
    <t>2022-05-19T12:14:56</t>
  </si>
  <si>
    <t>PV00437863</t>
  </si>
  <si>
    <t>PV00437710</t>
  </si>
  <si>
    <t>2022-05-19T12:14:55</t>
  </si>
  <si>
    <t>PV00437620</t>
  </si>
  <si>
    <t>2022-05-19T12:14:51</t>
  </si>
  <si>
    <t>PV00437552</t>
  </si>
  <si>
    <t>2022-05-19T12:14:49</t>
  </si>
  <si>
    <t>PV00437449</t>
  </si>
  <si>
    <t>PV00437324</t>
  </si>
  <si>
    <t>2022-05-19T12:14:46</t>
  </si>
  <si>
    <t>PV00437259</t>
  </si>
  <si>
    <t>2022-05-19T12:14:43</t>
  </si>
  <si>
    <t>PV00437194</t>
  </si>
  <si>
    <t>2022-05-19T12:14:38</t>
  </si>
  <si>
    <t>PV00437090</t>
  </si>
  <si>
    <t>2022-05-19T12:14:37</t>
  </si>
  <si>
    <t>PV00436907</t>
  </si>
  <si>
    <t>2022-05-19T12:14:25</t>
  </si>
  <si>
    <t>PV00436877</t>
  </si>
  <si>
    <t>2022-05-19T12:14:23</t>
  </si>
  <si>
    <t>PV00436791</t>
  </si>
  <si>
    <t>2022-05-19T12:14:14</t>
  </si>
  <si>
    <t>PV00436635</t>
  </si>
  <si>
    <t>PV00436518</t>
  </si>
  <si>
    <t>2022-05-19T12:14:11</t>
  </si>
  <si>
    <t>PV00436494</t>
  </si>
  <si>
    <t>2022-05-19T12:11:07</t>
  </si>
  <si>
    <t>PV00436310</t>
  </si>
  <si>
    <t>2022-05-19T12:09:00</t>
  </si>
  <si>
    <t>PV00436293</t>
  </si>
  <si>
    <t>2022-05-19T12:08:50</t>
  </si>
  <si>
    <t>PV00436120</t>
  </si>
  <si>
    <t>2022-05-19T12:08:49</t>
  </si>
  <si>
    <t>PV00436052</t>
  </si>
  <si>
    <t>2022-05-19T12:08:39</t>
  </si>
  <si>
    <t>PV00435993</t>
  </si>
  <si>
    <t>2022-05-19T12:08:38</t>
  </si>
  <si>
    <t>PV00435821</t>
  </si>
  <si>
    <t>PV00435722</t>
  </si>
  <si>
    <t>2022-05-19T12:08:37</t>
  </si>
  <si>
    <t>PV00435604</t>
  </si>
  <si>
    <t>2022-05-19T12:08:34</t>
  </si>
  <si>
    <t>PV00435526</t>
  </si>
  <si>
    <t>2022-05-19T12:08:32</t>
  </si>
  <si>
    <t>PV00435408</t>
  </si>
  <si>
    <t>2022-05-19T12:08:31</t>
  </si>
  <si>
    <t>PV00435334</t>
  </si>
  <si>
    <t>2022-05-19T12:08:30</t>
  </si>
  <si>
    <t>PV00435283</t>
  </si>
  <si>
    <t>PV00435198</t>
  </si>
  <si>
    <t>PV00435068</t>
  </si>
  <si>
    <t>PV00434934</t>
  </si>
  <si>
    <t>2022-05-19T12:08:29</t>
  </si>
  <si>
    <t>PV00434884</t>
  </si>
  <si>
    <t>2022-05-19T12:08:28</t>
  </si>
  <si>
    <t>PV00434757</t>
  </si>
  <si>
    <t>PV00434607</t>
  </si>
  <si>
    <t>2022-05-19T12:08:27</t>
  </si>
  <si>
    <t>PV00434551</t>
  </si>
  <si>
    <t>2022-05-19T12:08:26</t>
  </si>
  <si>
    <t>PV00434403</t>
  </si>
  <si>
    <t>PV00434313</t>
  </si>
  <si>
    <t>2022-05-19T12:08:25</t>
  </si>
  <si>
    <t>PV00434206</t>
  </si>
  <si>
    <t>PV00434170</t>
  </si>
  <si>
    <t>2022-05-19T12:08:23</t>
  </si>
  <si>
    <t>PV00434009</t>
  </si>
  <si>
    <t>PV00433974</t>
  </si>
  <si>
    <t>PV00433872</t>
  </si>
  <si>
    <t>PV00433790</t>
  </si>
  <si>
    <t>2022-05-19T12:08:20</t>
  </si>
  <si>
    <t>PV00433657</t>
  </si>
  <si>
    <t>PV00433527</t>
  </si>
  <si>
    <t>2022-05-19T12:08:19</t>
  </si>
  <si>
    <t>PV00433487</t>
  </si>
  <si>
    <t>2022-05-19T12:08:12</t>
  </si>
  <si>
    <t>PV00433354</t>
  </si>
  <si>
    <t>2022-05-19T12:08:04</t>
  </si>
  <si>
    <t>PV00433216</t>
  </si>
  <si>
    <t>2022-05-19T12:07:59</t>
  </si>
  <si>
    <t>PV00433108</t>
  </si>
  <si>
    <t>2022-05-19T12:07:54</t>
  </si>
  <si>
    <t>PV00433003</t>
  </si>
  <si>
    <t>2022-05-19T12:07:52</t>
  </si>
  <si>
    <t>PV00432950</t>
  </si>
  <si>
    <t>2022-05-19T12:07:34</t>
  </si>
  <si>
    <t>PV00432856</t>
  </si>
  <si>
    <t>2022-05-19T12:06:10</t>
  </si>
  <si>
    <t>PV00432760</t>
  </si>
  <si>
    <t>2022-05-19T12:05:50</t>
  </si>
  <si>
    <t>PV00432671</t>
  </si>
  <si>
    <t>2022-05-19T12:05:46</t>
  </si>
  <si>
    <t>PV00432574</t>
  </si>
  <si>
    <t>2022-05-19T12:05:42</t>
  </si>
  <si>
    <t>PV00432495</t>
  </si>
  <si>
    <t>PV00432340</t>
  </si>
  <si>
    <t>2022-05-19T12:05:40</t>
  </si>
  <si>
    <t>PV00432202</t>
  </si>
  <si>
    <t>2022-05-19T12:05:38</t>
  </si>
  <si>
    <t>PV00432101</t>
  </si>
  <si>
    <t>2022-05-19T12:05:35</t>
  </si>
  <si>
    <t>PV00432057</t>
  </si>
  <si>
    <t>2022-05-19T12:05:30</t>
  </si>
  <si>
    <t>PV00431998</t>
  </si>
  <si>
    <t>2022-05-19T12:05:29</t>
  </si>
  <si>
    <t>PV00431893</t>
  </si>
  <si>
    <t>PV00431731</t>
  </si>
  <si>
    <t>2022-05-19T12:05:28</t>
  </si>
  <si>
    <t>PV00431628</t>
  </si>
  <si>
    <t>2022-05-19T12:05:26</t>
  </si>
  <si>
    <t>PV00431540</t>
  </si>
  <si>
    <t>2022-05-19T12:05:20</t>
  </si>
  <si>
    <t>PV00431415</t>
  </si>
  <si>
    <t>2022-05-19T12:05:15</t>
  </si>
  <si>
    <t>PV00431349</t>
  </si>
  <si>
    <t>PV00431231</t>
  </si>
  <si>
    <t>2022-05-19T12:05:06</t>
  </si>
  <si>
    <t>PV00431146</t>
  </si>
  <si>
    <t>2022-05-19T12:05:02</t>
  </si>
  <si>
    <t>PV00431044</t>
  </si>
  <si>
    <t>2022-05-19T12:05:01</t>
  </si>
  <si>
    <t>PV00430947</t>
  </si>
  <si>
    <t>2022-05-19T12:04:59</t>
  </si>
  <si>
    <t>PV00430872</t>
  </si>
  <si>
    <t>2022-05-19T12:04:56</t>
  </si>
  <si>
    <t>PV00430743</t>
  </si>
  <si>
    <t>2022-05-19T12:04:50</t>
  </si>
  <si>
    <t>PV00430670</t>
  </si>
  <si>
    <t>2022-05-19T12:04:48</t>
  </si>
  <si>
    <t>PV00430564</t>
  </si>
  <si>
    <t>2022-05-19T12:04:46</t>
  </si>
  <si>
    <t>PV00430477</t>
  </si>
  <si>
    <t>2022-05-19T12:04:43</t>
  </si>
  <si>
    <t>PV00430387</t>
  </si>
  <si>
    <t>2022-05-19T12:04:38</t>
  </si>
  <si>
    <t>PV00430239</t>
  </si>
  <si>
    <t>2022-05-19T12:04:36</t>
  </si>
  <si>
    <t>PV00430138</t>
  </si>
  <si>
    <t>2022-05-19T12:04:35</t>
  </si>
  <si>
    <t>PV00430052</t>
  </si>
  <si>
    <t>PV00429925</t>
  </si>
  <si>
    <t>PV00429885</t>
  </si>
  <si>
    <t>2022-05-19T12:04:30</t>
  </si>
  <si>
    <t>PV00429756</t>
  </si>
  <si>
    <t>2022-05-19T12:04:29</t>
  </si>
  <si>
    <t>PV00429694</t>
  </si>
  <si>
    <t>2022-05-19T12:04:28</t>
  </si>
  <si>
    <t>PV00429594</t>
  </si>
  <si>
    <t>PV00429428</t>
  </si>
  <si>
    <t>PV00429362</t>
  </si>
  <si>
    <t>2022-05-19T12:04:26</t>
  </si>
  <si>
    <t>PV00429210</t>
  </si>
  <si>
    <t>2022-05-19T12:04:20</t>
  </si>
  <si>
    <t>PV00429159</t>
  </si>
  <si>
    <t>2022-05-19T12:04:19</t>
  </si>
  <si>
    <t>PV00429004</t>
  </si>
  <si>
    <t>2022-05-19T12:03:58</t>
  </si>
  <si>
    <t>PV00428954</t>
  </si>
  <si>
    <t>2022-05-19T12:02:23</t>
  </si>
  <si>
    <t>PV00428845</t>
  </si>
  <si>
    <t>2022-05-19T12:01:11</t>
  </si>
  <si>
    <t>PV00428729</t>
  </si>
  <si>
    <t>2022-05-19T12:00:51</t>
  </si>
  <si>
    <t>PV00428604</t>
  </si>
  <si>
    <t>2022-05-19T12:00:45</t>
  </si>
  <si>
    <t>PV00428590</t>
  </si>
  <si>
    <t>2022-05-19T12:00:42</t>
  </si>
  <si>
    <t>PV00428430</t>
  </si>
  <si>
    <t>2022-05-19T12:00:40</t>
  </si>
  <si>
    <t>PV00428317</t>
  </si>
  <si>
    <t>2022-05-19T12:00:39</t>
  </si>
  <si>
    <t>PV00428271</t>
  </si>
  <si>
    <t>2022-05-19T12:00:38</t>
  </si>
  <si>
    <t>PV00428162</t>
  </si>
  <si>
    <t>2022-05-19T12:00:28</t>
  </si>
  <si>
    <t>PV00428013</t>
  </si>
  <si>
    <t>2022-05-19T12:00:27</t>
  </si>
  <si>
    <t>PV00427999</t>
  </si>
  <si>
    <t>PV00427870</t>
  </si>
  <si>
    <t>2022-05-19T12:00:18</t>
  </si>
  <si>
    <t>PV00427703</t>
  </si>
  <si>
    <t>2022-05-19T12:00:12</t>
  </si>
  <si>
    <t>PV00427664</t>
  </si>
  <si>
    <t>2022-05-19T12:00:11</t>
  </si>
  <si>
    <t>PV00427517</t>
  </si>
  <si>
    <t>PV00427449</t>
  </si>
  <si>
    <t>PV00427353</t>
  </si>
  <si>
    <t>2022-05-19T12:00:09</t>
  </si>
  <si>
    <t>PV00427233</t>
  </si>
  <si>
    <t>PV00427118</t>
  </si>
  <si>
    <t>2022-05-19T12:00:06</t>
  </si>
  <si>
    <t>PV00427094</t>
  </si>
  <si>
    <t>2022-05-19T12:00:01</t>
  </si>
  <si>
    <t>PV00426936</t>
  </si>
  <si>
    <t>2022-05-19T11:59:53</t>
  </si>
  <si>
    <t>PV00426890</t>
  </si>
  <si>
    <t>PV00426795</t>
  </si>
  <si>
    <t>2022-05-19T11:59:51</t>
  </si>
  <si>
    <t>PV00426617</t>
  </si>
  <si>
    <t>2022-05-19T11:59:41</t>
  </si>
  <si>
    <t>PV00426531</t>
  </si>
  <si>
    <t>2022-05-19T11:59:36</t>
  </si>
  <si>
    <t>PV00426479</t>
  </si>
  <si>
    <t>2022-05-19T11:59:33</t>
  </si>
  <si>
    <t>PV00426393</t>
  </si>
  <si>
    <t>2022-05-19T11:59:21</t>
  </si>
  <si>
    <t>PV00426279</t>
  </si>
  <si>
    <t>2022-05-19T11:59:17</t>
  </si>
  <si>
    <t>PV00426184</t>
  </si>
  <si>
    <t>2022-05-19T11:59:16</t>
  </si>
  <si>
    <t>PV00426010</t>
  </si>
  <si>
    <t>2022-05-19T11:59:05</t>
  </si>
  <si>
    <t>PV00425948</t>
  </si>
  <si>
    <t>2022-05-19T11:59:03</t>
  </si>
  <si>
    <t>PV00425849</t>
  </si>
  <si>
    <t>2022-05-19T11:59:00</t>
  </si>
  <si>
    <t>PV00425723</t>
  </si>
  <si>
    <t>2022-05-19T11:58:57</t>
  </si>
  <si>
    <t>PV00425607</t>
  </si>
  <si>
    <t>2022-05-19T11:58:48</t>
  </si>
  <si>
    <t>PV00425563</t>
  </si>
  <si>
    <t>2022-05-19T11:58:47</t>
  </si>
  <si>
    <t>PV00425480</t>
  </si>
  <si>
    <t>2022-05-19T11:58:40</t>
  </si>
  <si>
    <t>PV00425311</t>
  </si>
  <si>
    <t>2022-05-19T11:58:01</t>
  </si>
  <si>
    <t>PV00425210</t>
  </si>
  <si>
    <t>2022-05-19T11:57:49</t>
  </si>
  <si>
    <t>PV00425169</t>
  </si>
  <si>
    <t>2022-05-19T11:57:48</t>
  </si>
  <si>
    <t>PV00425087</t>
  </si>
  <si>
    <t>2022-05-19T11:57:41</t>
  </si>
  <si>
    <t>PV00424950</t>
  </si>
  <si>
    <t>PV00424835</t>
  </si>
  <si>
    <t>2022-05-19T11:57:40</t>
  </si>
  <si>
    <t>PV00424717</t>
  </si>
  <si>
    <t>PV00424697</t>
  </si>
  <si>
    <t>2022-05-19T11:57:39</t>
  </si>
  <si>
    <t>PV00424579</t>
  </si>
  <si>
    <t>2022-05-19T11:57:38</t>
  </si>
  <si>
    <t>PV00424417</t>
  </si>
  <si>
    <t>2022-05-19T11:57:37</t>
  </si>
  <si>
    <t>PV00424344</t>
  </si>
  <si>
    <t>2022-05-19T11:57:35</t>
  </si>
  <si>
    <t>PV00424275</t>
  </si>
  <si>
    <t>2022-05-19T11:57:33</t>
  </si>
  <si>
    <t>PV00424113</t>
  </si>
  <si>
    <t>2022-05-19T11:57:32</t>
  </si>
  <si>
    <t>PV00424059</t>
  </si>
  <si>
    <t>2022-05-19T11:57:31</t>
  </si>
  <si>
    <t>PV00423997</t>
  </si>
  <si>
    <t>2022-05-19T11:57:29</t>
  </si>
  <si>
    <t>PV00423825</t>
  </si>
  <si>
    <t>2022-05-19T11:57:27</t>
  </si>
  <si>
    <t>PV00423761</t>
  </si>
  <si>
    <t>2022-05-19T11:57:26</t>
  </si>
  <si>
    <t>PV00423613</t>
  </si>
  <si>
    <t>2022-05-19T11:57:25</t>
  </si>
  <si>
    <t>PV00423505</t>
  </si>
  <si>
    <t>PV00423421</t>
  </si>
  <si>
    <t>2022-05-19T11:57:24</t>
  </si>
  <si>
    <t>PV00423346</t>
  </si>
  <si>
    <t>PV00423269</t>
  </si>
  <si>
    <t>PV00423119</t>
  </si>
  <si>
    <t>PV00423064</t>
  </si>
  <si>
    <t>PV00422960</t>
  </si>
  <si>
    <t>PV00422866</t>
  </si>
  <si>
    <t>PV00422791</t>
  </si>
  <si>
    <t>PV00422679</t>
  </si>
  <si>
    <t>2022-05-19T11:57:23</t>
  </si>
  <si>
    <t>PV00422585</t>
  </si>
  <si>
    <t>PV00422458</t>
  </si>
  <si>
    <t>PV00422343</t>
  </si>
  <si>
    <t>PV00422287</t>
  </si>
  <si>
    <t>2022-05-19T11:57:20</t>
  </si>
  <si>
    <t>PV00422121</t>
  </si>
  <si>
    <t>PV00422065</t>
  </si>
  <si>
    <t>2022-05-19T11:57:18</t>
  </si>
  <si>
    <t>PV00421905</t>
  </si>
  <si>
    <t>PV00421822</t>
  </si>
  <si>
    <t>2022-05-19T11:57:17</t>
  </si>
  <si>
    <t>PV00421706</t>
  </si>
  <si>
    <t>2022-05-19T11:57:12</t>
  </si>
  <si>
    <t>PV00421655</t>
  </si>
  <si>
    <t>2022-05-19T11:57:05</t>
  </si>
  <si>
    <t>PV00421552</t>
  </si>
  <si>
    <t>PV00421408</t>
  </si>
  <si>
    <t>2022-05-19T11:57:03</t>
  </si>
  <si>
    <t>PV00421340</t>
  </si>
  <si>
    <t>2022-05-19T11:57:01</t>
  </si>
  <si>
    <t>PV00421203</t>
  </si>
  <si>
    <t>2022-05-19T11:56:59</t>
  </si>
  <si>
    <t>PV00421148</t>
  </si>
  <si>
    <t>2022-05-19T11:56:55</t>
  </si>
  <si>
    <t>PV00421044</t>
  </si>
  <si>
    <t>2022-05-19T11:56:54</t>
  </si>
  <si>
    <t>PV00420901</t>
  </si>
  <si>
    <t>2022-05-19T11:56:53</t>
  </si>
  <si>
    <t>PV00420809</t>
  </si>
  <si>
    <t>2022-05-19T11:56:52</t>
  </si>
  <si>
    <t>PV00420716</t>
  </si>
  <si>
    <t>2022-05-19T11:56:51</t>
  </si>
  <si>
    <t>PV00420676</t>
  </si>
  <si>
    <t>2022-05-19T11:56:49</t>
  </si>
  <si>
    <t>PV00420583</t>
  </si>
  <si>
    <t>2022-05-19T11:56:46</t>
  </si>
  <si>
    <t>PV00420483</t>
  </si>
  <si>
    <t>2022-05-19T11:56:44</t>
  </si>
  <si>
    <t>PV00420394</t>
  </si>
  <si>
    <t>PV00420266</t>
  </si>
  <si>
    <t>2022-05-19T11:56:43</t>
  </si>
  <si>
    <t>PV00420194</t>
  </si>
  <si>
    <t>2022-05-19T11:56:42</t>
  </si>
  <si>
    <t>PV00420029</t>
  </si>
  <si>
    <t>2022-05-19T11:56:37</t>
  </si>
  <si>
    <t>PV00419935</t>
  </si>
  <si>
    <t>2022-05-19T11:56:36</t>
  </si>
  <si>
    <t>PV00419801</t>
  </si>
  <si>
    <t>PV00419772</t>
  </si>
  <si>
    <t>2022-05-19T11:56:34</t>
  </si>
  <si>
    <t>PV00419615</t>
  </si>
  <si>
    <t>2022-05-19T11:56:33</t>
  </si>
  <si>
    <t>PV00419577</t>
  </si>
  <si>
    <t>2022-05-19T11:56:22</t>
  </si>
  <si>
    <t>PV00419482</t>
  </si>
  <si>
    <t>PV00419379</t>
  </si>
  <si>
    <t>2022-05-19T11:56:11</t>
  </si>
  <si>
    <t>PV00419245</t>
  </si>
  <si>
    <t>2022-05-19T11:56:07</t>
  </si>
  <si>
    <t>PV00419163</t>
  </si>
  <si>
    <t>2022-05-19T11:56:02</t>
  </si>
  <si>
    <t>PV00419023</t>
  </si>
  <si>
    <t>PV00418979</t>
  </si>
  <si>
    <t>2022-05-19T11:56:00</t>
  </si>
  <si>
    <t>PV00418815</t>
  </si>
  <si>
    <t>2022-05-19T11:55:48</t>
  </si>
  <si>
    <t>PV00418772</t>
  </si>
  <si>
    <t>2022-05-19T11:55:41</t>
  </si>
  <si>
    <t>PV00418672</t>
  </si>
  <si>
    <t>2022-05-19T11:55:35</t>
  </si>
  <si>
    <t>PV00418532</t>
  </si>
  <si>
    <t>2022-05-19T11:55:28</t>
  </si>
  <si>
    <t>PV00418401</t>
  </si>
  <si>
    <t>2022-05-19T11:47:43</t>
  </si>
  <si>
    <t>PV00418315</t>
  </si>
  <si>
    <t>2022-05-19T11:46:59</t>
  </si>
  <si>
    <t>PV00418251</t>
  </si>
  <si>
    <t>2022-05-19T11:46:51</t>
  </si>
  <si>
    <t>PV00418184</t>
  </si>
  <si>
    <t>2022-05-19T11:46:10</t>
  </si>
  <si>
    <t>PV00418054</t>
  </si>
  <si>
    <t>2022-05-19T11:46:07</t>
  </si>
  <si>
    <t>PV00417999</t>
  </si>
  <si>
    <t>2022-05-19T11:45:46</t>
  </si>
  <si>
    <t>PV00417830</t>
  </si>
  <si>
    <t>2022-05-19T11:45:35</t>
  </si>
  <si>
    <t>PV00417767</t>
  </si>
  <si>
    <t>2022-05-19T11:45:34</t>
  </si>
  <si>
    <t>PV00417662</t>
  </si>
  <si>
    <t>2022-05-19T11:45:29</t>
  </si>
  <si>
    <t>PV00417597</t>
  </si>
  <si>
    <t>2022-05-19T11:45:22</t>
  </si>
  <si>
    <t>PV00417486</t>
  </si>
  <si>
    <t>2022-05-19T11:45:15</t>
  </si>
  <si>
    <t>PV00417391</t>
  </si>
  <si>
    <t>2022-05-19T11:45:13</t>
  </si>
  <si>
    <t>PV00417208</t>
  </si>
  <si>
    <t>2022-05-19T11:45:05</t>
  </si>
  <si>
    <t>PV00417111</t>
  </si>
  <si>
    <t>2022-05-19T11:44:55</t>
  </si>
  <si>
    <t>PV00417010</t>
  </si>
  <si>
    <t>PV00416955</t>
  </si>
  <si>
    <t>2022-05-19T11:44:54</t>
  </si>
  <si>
    <t>PV00416821</t>
  </si>
  <si>
    <t>2022-05-19T11:44:45</t>
  </si>
  <si>
    <t>PV00416700</t>
  </si>
  <si>
    <t>2022-05-19T11:44:44</t>
  </si>
  <si>
    <t>PV00416623</t>
  </si>
  <si>
    <t>2022-05-19T11:44:37</t>
  </si>
  <si>
    <t>PV00416590</t>
  </si>
  <si>
    <t>2022-05-19T11:44:23</t>
  </si>
  <si>
    <t>PV00416423</t>
  </si>
  <si>
    <t>2022-05-19T11:44:17</t>
  </si>
  <si>
    <t>PV00416353</t>
  </si>
  <si>
    <t>PV00416298</t>
  </si>
  <si>
    <t>2022-05-19T11:44:15</t>
  </si>
  <si>
    <t>PV00416116</t>
  </si>
  <si>
    <t>2022-05-19T11:44:12</t>
  </si>
  <si>
    <t>PV00416066</t>
  </si>
  <si>
    <t>PV00415959</t>
  </si>
  <si>
    <t>2022-05-19T11:44:03</t>
  </si>
  <si>
    <t>PV00415826</t>
  </si>
  <si>
    <t>PV00415718</t>
  </si>
  <si>
    <t>2022-05-19T11:44:01</t>
  </si>
  <si>
    <t>PV00415628</t>
  </si>
  <si>
    <t>2022-05-19T11:43:55</t>
  </si>
  <si>
    <t>PV00415513</t>
  </si>
  <si>
    <t>2022-05-19T11:43:53</t>
  </si>
  <si>
    <t>PV00415496</t>
  </si>
  <si>
    <t>2022-05-19T11:43:48</t>
  </si>
  <si>
    <t>PV00415364</t>
  </si>
  <si>
    <t>PV00415265</t>
  </si>
  <si>
    <t>2022-05-19T11:43:47</t>
  </si>
  <si>
    <t>PV00415190</t>
  </si>
  <si>
    <t>2022-05-19T11:43:42</t>
  </si>
  <si>
    <t>PV00415068</t>
  </si>
  <si>
    <t>2022-05-19T11:43:23</t>
  </si>
  <si>
    <t>PV00414934</t>
  </si>
  <si>
    <t>2022-05-19T11:43:13</t>
  </si>
  <si>
    <t>PV00414852</t>
  </si>
  <si>
    <t>2022-05-19T11:43:10</t>
  </si>
  <si>
    <t>PV00414701</t>
  </si>
  <si>
    <t>2022-05-19T11:43:03</t>
  </si>
  <si>
    <t>PV00414642</t>
  </si>
  <si>
    <t>2022-05-18T13:17:24</t>
  </si>
  <si>
    <t>PV00414529</t>
  </si>
  <si>
    <t>2022-05-18T13:17:23</t>
  </si>
  <si>
    <t>PV00414456</t>
  </si>
  <si>
    <t>2022-05-18T13:08:39</t>
  </si>
  <si>
    <t>PV00414348</t>
  </si>
  <si>
    <t>2022-05-18T10:42:19</t>
  </si>
  <si>
    <t>PV00414263</t>
  </si>
  <si>
    <t>2022-05-18T10:42:00</t>
  </si>
  <si>
    <t>PV00414103</t>
  </si>
  <si>
    <t>2022-05-18T09:59:12</t>
  </si>
  <si>
    <t>PV00414084</t>
  </si>
  <si>
    <t>2022-05-18T09:57:12</t>
  </si>
  <si>
    <t>PV00413969</t>
  </si>
  <si>
    <t>2022-05-18T09:53:28</t>
  </si>
  <si>
    <t>PV00413888</t>
  </si>
  <si>
    <t>2022-05-18T09:53:14</t>
  </si>
  <si>
    <t>PV00413792</t>
  </si>
  <si>
    <t>2022-05-18T09:52:55</t>
  </si>
  <si>
    <t>PV00413694</t>
  </si>
  <si>
    <t>2022-05-18T09:52:42</t>
  </si>
  <si>
    <t>PV00413503</t>
  </si>
  <si>
    <t>2022-05-18T09:51:45</t>
  </si>
  <si>
    <t>PV00413408</t>
  </si>
  <si>
    <t>2022-05-18T09:51:18</t>
  </si>
  <si>
    <t>PV00413379</t>
  </si>
  <si>
    <t>2022-05-18T09:51:02</t>
  </si>
  <si>
    <t>PV00413280</t>
  </si>
  <si>
    <t>2022-05-18T09:50:32</t>
  </si>
  <si>
    <t>PV00413166</t>
  </si>
  <si>
    <t>2022-05-18T09:49:57</t>
  </si>
  <si>
    <t>PV00413034</t>
  </si>
  <si>
    <t>2022-05-18T09:49:54</t>
  </si>
  <si>
    <t>PV00412915</t>
  </si>
  <si>
    <t>2022-05-18T09:49:48</t>
  </si>
  <si>
    <t>PV00412839</t>
  </si>
  <si>
    <t>2022-05-18T09:49:45</t>
  </si>
  <si>
    <t>PV00412704</t>
  </si>
  <si>
    <t>2022-05-18T09:49:35</t>
  </si>
  <si>
    <t>PV00412684</t>
  </si>
  <si>
    <t>2022-05-18T09:49:26</t>
  </si>
  <si>
    <t>PV00412523</t>
  </si>
  <si>
    <t>2022-05-18T09:49:23</t>
  </si>
  <si>
    <t>PV00412482</t>
  </si>
  <si>
    <t>2022-05-18T09:49:21</t>
  </si>
  <si>
    <t>PV00412342</t>
  </si>
  <si>
    <t>2022-05-18T09:49:17</t>
  </si>
  <si>
    <t>PV00412264</t>
  </si>
  <si>
    <t>2022-05-18T09:49:15</t>
  </si>
  <si>
    <t>PV00412141</t>
  </si>
  <si>
    <t>2022-05-18T09:49:11</t>
  </si>
  <si>
    <t>PV00412083</t>
  </si>
  <si>
    <t>2022-05-18T09:49:07</t>
  </si>
  <si>
    <t>PV00411935</t>
  </si>
  <si>
    <t>2022-05-18T09:48:48</t>
  </si>
  <si>
    <t>PV00411823</t>
  </si>
  <si>
    <t>2022-05-18T09:48:33</t>
  </si>
  <si>
    <t>PV00411758</t>
  </si>
  <si>
    <t>2022-05-18T09:48:32</t>
  </si>
  <si>
    <t>PV00411671</t>
  </si>
  <si>
    <t>2022-05-18T09:48:28</t>
  </si>
  <si>
    <t>PV00411569</t>
  </si>
  <si>
    <t>2022-05-18T09:48:24</t>
  </si>
  <si>
    <t>PV00411409</t>
  </si>
  <si>
    <t>2022-05-18T09:47:54</t>
  </si>
  <si>
    <t>PV00411314</t>
  </si>
  <si>
    <t>2022-05-18T09:38:38</t>
  </si>
  <si>
    <t>PV00411252</t>
  </si>
  <si>
    <t>2022-05-18T09:38:27</t>
  </si>
  <si>
    <t>PV00411107</t>
  </si>
  <si>
    <t>2022-05-18T09:38:19</t>
  </si>
  <si>
    <t>PV00411079</t>
  </si>
  <si>
    <t>2022-05-18T09:38:16</t>
  </si>
  <si>
    <t>PV00410995</t>
  </si>
  <si>
    <t>2022-05-18T09:38:11</t>
  </si>
  <si>
    <t>PV00410849</t>
  </si>
  <si>
    <t>2022-05-18T09:38:06</t>
  </si>
  <si>
    <t>PV00410761</t>
  </si>
  <si>
    <t>PV00410692</t>
  </si>
  <si>
    <t>2022-05-18T09:38:03</t>
  </si>
  <si>
    <t>PV00410566</t>
  </si>
  <si>
    <t>2022-05-18T09:38:01</t>
  </si>
  <si>
    <t>PV00410478</t>
  </si>
  <si>
    <t>2022-05-18T09:37:53</t>
  </si>
  <si>
    <t>PV00410336</t>
  </si>
  <si>
    <t>PV00410229</t>
  </si>
  <si>
    <t>2022-05-18T09:37:48</t>
  </si>
  <si>
    <t>PV00410199</t>
  </si>
  <si>
    <t>2022-05-18T09:37:33</t>
  </si>
  <si>
    <t>PV00410036</t>
  </si>
  <si>
    <t>2022-05-18T09:37:29</t>
  </si>
  <si>
    <t>PV00409913</t>
  </si>
  <si>
    <t>2022-05-18T09:37:18</t>
  </si>
  <si>
    <t>PV00409878</t>
  </si>
  <si>
    <t>2022-05-18T09:37:11</t>
  </si>
  <si>
    <t>PV00409725</t>
  </si>
  <si>
    <t>2022-05-18T09:37:10</t>
  </si>
  <si>
    <t>PV00409617</t>
  </si>
  <si>
    <t>2022-05-18T09:37:04</t>
  </si>
  <si>
    <t>PV00409555</t>
  </si>
  <si>
    <t>2022-05-18T09:37:02</t>
  </si>
  <si>
    <t>PV00409405</t>
  </si>
  <si>
    <t>2022-05-18T09:36:48</t>
  </si>
  <si>
    <t>PV00409371</t>
  </si>
  <si>
    <t>2022-05-18T09:36:28</t>
  </si>
  <si>
    <t>PV00409243</t>
  </si>
  <si>
    <t>2022-05-18T09:35:31</t>
  </si>
  <si>
    <t>PV00409175</t>
  </si>
  <si>
    <t>2022-05-18T09:34:58</t>
  </si>
  <si>
    <t>PV00409069</t>
  </si>
  <si>
    <t>2022-05-18T09:34:37</t>
  </si>
  <si>
    <t>PV00408977</t>
  </si>
  <si>
    <t>2022-05-18T08:52:14</t>
  </si>
  <si>
    <t>PV00408877</t>
  </si>
  <si>
    <t>2022-05-18T08:49:58</t>
  </si>
  <si>
    <t>PV00408791</t>
  </si>
  <si>
    <t>2022-05-18T08:49:46</t>
  </si>
  <si>
    <t>PV00408670</t>
  </si>
  <si>
    <t>2022-05-18T08:49:31</t>
  </si>
  <si>
    <t>PV00408574</t>
  </si>
  <si>
    <t>2022-05-18T08:49:16</t>
  </si>
  <si>
    <t>PV00408453</t>
  </si>
  <si>
    <t>2022-05-18T08:49:13</t>
  </si>
  <si>
    <t>PV00408393</t>
  </si>
  <si>
    <t>2022-05-18T08:49:11</t>
  </si>
  <si>
    <t>PV00408245</t>
  </si>
  <si>
    <t>2022-05-18T08:49:09</t>
  </si>
  <si>
    <t>PV00408136</t>
  </si>
  <si>
    <t>2022-05-18T08:49:05</t>
  </si>
  <si>
    <t>PV00408030</t>
  </si>
  <si>
    <t>2022-05-18T08:48:59</t>
  </si>
  <si>
    <t>PV00407973</t>
  </si>
  <si>
    <t>2022-05-18T08:48:57</t>
  </si>
  <si>
    <t>PV00407838</t>
  </si>
  <si>
    <t>2022-05-18T08:48:54</t>
  </si>
  <si>
    <t>PV00407705</t>
  </si>
  <si>
    <t>2022-05-18T08:48:52</t>
  </si>
  <si>
    <t>PV00407677</t>
  </si>
  <si>
    <t>2022-05-18T08:48:47</t>
  </si>
  <si>
    <t>PV00407549</t>
  </si>
  <si>
    <t>2022-05-18T08:48:44</t>
  </si>
  <si>
    <t>PV00407474</t>
  </si>
  <si>
    <t>2022-05-18T08:48:40</t>
  </si>
  <si>
    <t>PV00407366</t>
  </si>
  <si>
    <t>2022-05-18T08:48:37</t>
  </si>
  <si>
    <t>PV00407220</t>
  </si>
  <si>
    <t>2022-05-18T08:48:34</t>
  </si>
  <si>
    <t>PV00407138</t>
  </si>
  <si>
    <t>2022-05-18T08:48:30</t>
  </si>
  <si>
    <t>PV00407085</t>
  </si>
  <si>
    <t>2022-05-18T08:48:29</t>
  </si>
  <si>
    <t>PV00406928</t>
  </si>
  <si>
    <t>2022-05-18T08:48:28</t>
  </si>
  <si>
    <t>PV00406824</t>
  </si>
  <si>
    <t>2022-05-18T08:48:27</t>
  </si>
  <si>
    <t>PV00406719</t>
  </si>
  <si>
    <t>2022-05-18T08:48:12</t>
  </si>
  <si>
    <t>PV00406657</t>
  </si>
  <si>
    <t>2022-05-18T08:48:11</t>
  </si>
  <si>
    <t>PV00406532</t>
  </si>
  <si>
    <t>2022-05-18T08:48:10</t>
  </si>
  <si>
    <t>PV00406481</t>
  </si>
  <si>
    <t>2022-05-18T08:48:08</t>
  </si>
  <si>
    <t>PV00406379</t>
  </si>
  <si>
    <t>2022-05-18T08:47:51</t>
  </si>
  <si>
    <t>PV00406217</t>
  </si>
  <si>
    <t>2022-05-18T08:47:42</t>
  </si>
  <si>
    <t>PV00406186</t>
  </si>
  <si>
    <t>2022-05-18T08:47:31</t>
  </si>
  <si>
    <t>PV00406027</t>
  </si>
  <si>
    <t>2022-05-18T08:47:16</t>
  </si>
  <si>
    <t>PV00405927</t>
  </si>
  <si>
    <t>2022-05-17T19:28:11</t>
  </si>
  <si>
    <t>PV00405898</t>
  </si>
  <si>
    <t>2022-05-17T13:50:48</t>
  </si>
  <si>
    <t>PV00405700</t>
  </si>
  <si>
    <t>2022-05-17T13:50:42</t>
  </si>
  <si>
    <t>PV00405601</t>
  </si>
  <si>
    <t>2022-05-17T13:50:00</t>
  </si>
  <si>
    <t>PV00405510</t>
  </si>
  <si>
    <t>2022-05-17T13:49:44</t>
  </si>
  <si>
    <t>PV00405435</t>
  </si>
  <si>
    <t>2022-05-17T13:49:37</t>
  </si>
  <si>
    <t>PV00405360</t>
  </si>
  <si>
    <t>2022-05-17T13:49:32</t>
  </si>
  <si>
    <t>PV00405293</t>
  </si>
  <si>
    <t>2022-05-17T13:49:29</t>
  </si>
  <si>
    <t>PV00405117</t>
  </si>
  <si>
    <t>2022-05-17T13:49:24</t>
  </si>
  <si>
    <t>PV00405021</t>
  </si>
  <si>
    <t>2022-05-17T13:49:23</t>
  </si>
  <si>
    <t>PV00404924</t>
  </si>
  <si>
    <t>2022-05-17T13:49:15</t>
  </si>
  <si>
    <t>PV00404864</t>
  </si>
  <si>
    <t>2022-05-17T13:49:12</t>
  </si>
  <si>
    <t>PV00404748</t>
  </si>
  <si>
    <t>2022-05-17T13:49:05</t>
  </si>
  <si>
    <t>PV00404608</t>
  </si>
  <si>
    <t>2022-05-17T13:49:01</t>
  </si>
  <si>
    <t>PV00404570</t>
  </si>
  <si>
    <t>2022-05-17T13:48:55</t>
  </si>
  <si>
    <t>PV00404448</t>
  </si>
  <si>
    <t>2022-05-17T13:48:47</t>
  </si>
  <si>
    <t>PV00404327</t>
  </si>
  <si>
    <t>2022-05-17T13:48:46</t>
  </si>
  <si>
    <t>PV00404269</t>
  </si>
  <si>
    <t>2022-05-17T13:48:41</t>
  </si>
  <si>
    <t>PV00404114</t>
  </si>
  <si>
    <t>2022-05-17T13:48:40</t>
  </si>
  <si>
    <t>PV00404032</t>
  </si>
  <si>
    <t>2022-05-17T13:48:39</t>
  </si>
  <si>
    <t>PV00403940</t>
  </si>
  <si>
    <t>2022-05-17T13:48:38</t>
  </si>
  <si>
    <t>PV00403813</t>
  </si>
  <si>
    <t>PV00403792</t>
  </si>
  <si>
    <t>PV00403615</t>
  </si>
  <si>
    <t>PV00403516</t>
  </si>
  <si>
    <t>2022-05-17T13:48:37</t>
  </si>
  <si>
    <t>PV00403458</t>
  </si>
  <si>
    <t>2022-05-17T13:48:24</t>
  </si>
  <si>
    <t>PV00403336</t>
  </si>
  <si>
    <t>PV00403208</t>
  </si>
  <si>
    <t>2022-05-17T13:48:16</t>
  </si>
  <si>
    <t>PV00403187</t>
  </si>
  <si>
    <t>PV00403005</t>
  </si>
  <si>
    <t>2022-05-17T13:48:12</t>
  </si>
  <si>
    <t>PV00402992</t>
  </si>
  <si>
    <t>2022-05-17T13:48:04</t>
  </si>
  <si>
    <t>PV00402857</t>
  </si>
  <si>
    <t>2022-05-17T13:47:55</t>
  </si>
  <si>
    <t>PV00402730</t>
  </si>
  <si>
    <t>2022-05-17T11:46:41</t>
  </si>
  <si>
    <t>PV00402607</t>
  </si>
  <si>
    <t>2022-05-17T11:46:24</t>
  </si>
  <si>
    <t>PV00402525</t>
  </si>
  <si>
    <t>2022-05-17T11:45:51</t>
  </si>
  <si>
    <t>PV00402417</t>
  </si>
  <si>
    <t>2022-05-17T11:45:46</t>
  </si>
  <si>
    <t>PV00402346</t>
  </si>
  <si>
    <t>2022-05-17T11:45:44</t>
  </si>
  <si>
    <t>PV00402224</t>
  </si>
  <si>
    <t>2022-05-17T11:45:39</t>
  </si>
  <si>
    <t>PV00402181</t>
  </si>
  <si>
    <t>2022-05-17T11:45:36</t>
  </si>
  <si>
    <t>PV00402009</t>
  </si>
  <si>
    <t>2022-05-17T11:45:35</t>
  </si>
  <si>
    <t>PV00401996</t>
  </si>
  <si>
    <t>2022-05-17T11:45:25</t>
  </si>
  <si>
    <t>PV00401863</t>
  </si>
  <si>
    <t>2022-05-17T11:45:23</t>
  </si>
  <si>
    <t>PV00401780</t>
  </si>
  <si>
    <t>2022-05-17T11:45:22</t>
  </si>
  <si>
    <t>PV00401677</t>
  </si>
  <si>
    <t>2022-05-17T11:45:18</t>
  </si>
  <si>
    <t>PV00401565</t>
  </si>
  <si>
    <t>2022-05-17T11:45:14</t>
  </si>
  <si>
    <t>PV00401498</t>
  </si>
  <si>
    <t>2022-05-17T11:44:57</t>
  </si>
  <si>
    <t>PV00401315</t>
  </si>
  <si>
    <t>2022-05-17T11:44:55</t>
  </si>
  <si>
    <t>PV00401238</t>
  </si>
  <si>
    <t>2022-05-17T11:44:53</t>
  </si>
  <si>
    <t>PV00401144</t>
  </si>
  <si>
    <t>2022-05-17T11:44:51</t>
  </si>
  <si>
    <t>PV00401089</t>
  </si>
  <si>
    <t>2022-05-17T11:44:50</t>
  </si>
  <si>
    <t>PV00400936</t>
  </si>
  <si>
    <t>2022-05-17T11:44:43</t>
  </si>
  <si>
    <t>PV00400874</t>
  </si>
  <si>
    <t>2022-05-17T11:44:35</t>
  </si>
  <si>
    <t>PV00400749</t>
  </si>
  <si>
    <t>2022-05-17T11:44:32</t>
  </si>
  <si>
    <t>PV00400611</t>
  </si>
  <si>
    <t>2022-05-17T11:44:17</t>
  </si>
  <si>
    <t>PV00400502</t>
  </si>
  <si>
    <t>2022-05-17T11:44:10</t>
  </si>
  <si>
    <t>PV00400424</t>
  </si>
  <si>
    <t>2022-05-17T11:44:09</t>
  </si>
  <si>
    <t>PV00400377</t>
  </si>
  <si>
    <t>PV00400225</t>
  </si>
  <si>
    <t>2022-05-17T11:43:52</t>
  </si>
  <si>
    <t>PV00400184</t>
  </si>
  <si>
    <t>2022-05-17T11:43:46</t>
  </si>
  <si>
    <t>PV00400011</t>
  </si>
  <si>
    <t>2022-05-17T11:43:43</t>
  </si>
  <si>
    <t>PV00399966</t>
  </si>
  <si>
    <t>2022-05-17T11:43:34</t>
  </si>
  <si>
    <t>PV00399858</t>
  </si>
  <si>
    <t>2022-05-17T11:43:26</t>
  </si>
  <si>
    <t>PV00399757</t>
  </si>
  <si>
    <t>2022-05-17T11:42:55</t>
  </si>
  <si>
    <r>
      <t>桃</t>
    </r>
    <r>
      <rPr>
        <sz val="11"/>
        <color rgb="FFFF0000"/>
        <rFont val="ＭＳ Ｐゴシック"/>
        <family val="3"/>
        <charset val="128"/>
        <scheme val="minor"/>
      </rPr>
      <t>ヶ</t>
    </r>
    <r>
      <rPr>
        <sz val="11"/>
        <color theme="1"/>
        <rFont val="ＭＳ Ｐゴシック"/>
        <family val="2"/>
        <charset val="128"/>
        <scheme val="minor"/>
      </rPr>
      <t>丘小学校</t>
    </r>
    <rPh sb="0" eb="3">
      <t>モモガオカ</t>
    </rPh>
    <rPh sb="3" eb="6">
      <t>ショウガッコウ</t>
    </rPh>
    <phoneticPr fontId="23"/>
  </si>
  <si>
    <r>
      <t>桃</t>
    </r>
    <r>
      <rPr>
        <sz val="11"/>
        <color rgb="FFFF0000"/>
        <rFont val="ＭＳ Ｐゴシック"/>
        <family val="3"/>
        <charset val="128"/>
        <scheme val="minor"/>
      </rPr>
      <t>ヶ</t>
    </r>
    <r>
      <rPr>
        <sz val="11"/>
        <color theme="1"/>
        <rFont val="ＭＳ Ｐゴシック"/>
        <family val="2"/>
        <charset val="128"/>
        <scheme val="minor"/>
      </rPr>
      <t>丘小学校</t>
    </r>
    <rPh sb="0" eb="1">
      <t>モモ</t>
    </rPh>
    <rPh sb="2" eb="3">
      <t>オカ</t>
    </rPh>
    <rPh sb="3" eb="6">
      <t>ショウガッコウ</t>
    </rPh>
    <phoneticPr fontId="23"/>
  </si>
  <si>
    <t>桃ヶ丘小学校</t>
    <rPh sb="0" eb="3">
      <t>モモガオカ</t>
    </rPh>
    <phoneticPr fontId="23"/>
  </si>
  <si>
    <t>PV00477987</t>
  </si>
  <si>
    <t>2022-05-20T09:34:23</t>
  </si>
  <si>
    <t>PV00477862</t>
  </si>
  <si>
    <t>2022-05-20T09:08:37</t>
  </si>
  <si>
    <t>PV00477723</t>
  </si>
  <si>
    <t>2022-05-20T09:00:38</t>
  </si>
  <si>
    <t>大城小学校</t>
  </si>
  <si>
    <t>PV00477613</t>
  </si>
  <si>
    <t>2022-05-20T09:00:24</t>
  </si>
  <si>
    <t>PV00477585</t>
  </si>
  <si>
    <t>2022-05-20T09:00:22</t>
  </si>
  <si>
    <t>PV00477405</t>
  </si>
  <si>
    <t>2022-05-20T09:00:20</t>
  </si>
  <si>
    <t>PV00477329</t>
  </si>
  <si>
    <t>2022-05-20T09:00:16</t>
  </si>
  <si>
    <t>PV00477208</t>
  </si>
  <si>
    <t>2022-05-20T09:00:08</t>
  </si>
  <si>
    <t>PV00477198</t>
  </si>
  <si>
    <t>2022-05-20T09:00:04</t>
  </si>
  <si>
    <t>PV00477091</t>
  </si>
  <si>
    <t>2022-05-20T08:59:56</t>
  </si>
  <si>
    <t>PV00476982</t>
  </si>
  <si>
    <t>PV00476801</t>
  </si>
  <si>
    <t>2022-05-20T08:59:51</t>
  </si>
  <si>
    <t>PV00476779</t>
  </si>
  <si>
    <t>2022-05-20T08:59:30</t>
  </si>
  <si>
    <t>PV00476664</t>
  </si>
  <si>
    <t>2022-05-20T08:59:11</t>
  </si>
  <si>
    <t>PV00476559</t>
  </si>
  <si>
    <t>2022-05-20T08:59:02</t>
  </si>
  <si>
    <t>PV00476412</t>
  </si>
  <si>
    <t>2022-05-20T08:58:44</t>
  </si>
  <si>
    <t>PV00476335</t>
  </si>
  <si>
    <t>2022-05-20T08:58:42</t>
  </si>
  <si>
    <t>PV00476237</t>
  </si>
  <si>
    <t>PV00476172</t>
  </si>
  <si>
    <t>2022-05-20T08:58:36</t>
  </si>
  <si>
    <t>PV00476057</t>
  </si>
  <si>
    <t>PV00475976</t>
  </si>
  <si>
    <t>PV00475860</t>
  </si>
  <si>
    <t>2022-05-20T08:58:35</t>
  </si>
  <si>
    <t>PV00475725</t>
  </si>
  <si>
    <t>2022-05-20T08:58:26</t>
  </si>
  <si>
    <t>PV00475609</t>
  </si>
  <si>
    <t>2022-05-20T08:58:25</t>
  </si>
  <si>
    <t>PV00475588</t>
  </si>
  <si>
    <t>2022-05-20T08:54:16</t>
  </si>
  <si>
    <t>PV00475478</t>
  </si>
  <si>
    <t>2022-05-20T08:44:52</t>
  </si>
  <si>
    <t>PV00475330</t>
  </si>
  <si>
    <t>2022-05-20T08:40:11</t>
  </si>
  <si>
    <t>PV00475248</t>
  </si>
  <si>
    <t>2022-05-20T08:39:54</t>
  </si>
  <si>
    <t>PV00475182</t>
  </si>
  <si>
    <t>2022-05-20T08:30:25</t>
  </si>
  <si>
    <t>PV00475061</t>
  </si>
  <si>
    <t>2022-05-20T08:30:19</t>
  </si>
  <si>
    <t>PV00474944</t>
  </si>
  <si>
    <t>2022-05-20T08:30:17</t>
  </si>
  <si>
    <t>PV00474811</t>
  </si>
  <si>
    <t>2022-05-20T08:29:09</t>
  </si>
  <si>
    <t>PV00474724</t>
  </si>
  <si>
    <t>2022-05-20T08:28:36</t>
  </si>
  <si>
    <t>PV00474694</t>
  </si>
  <si>
    <t>2022-05-20T08:27:40</t>
  </si>
  <si>
    <t>PV00474587</t>
  </si>
  <si>
    <t>2022-05-20T08:27:37</t>
  </si>
  <si>
    <t>PV00474447</t>
  </si>
  <si>
    <t>2022-05-20T08:27:36</t>
  </si>
  <si>
    <t>PV00474319</t>
  </si>
  <si>
    <t>2022-05-20T08:27:28</t>
  </si>
  <si>
    <t>PV00474288</t>
  </si>
  <si>
    <t>PV00474102</t>
  </si>
  <si>
    <t>2022-05-20T08:27:27</t>
  </si>
  <si>
    <t>PV00474036</t>
  </si>
  <si>
    <t>2022-05-20T08:27:11</t>
  </si>
  <si>
    <t>PV00473967</t>
  </si>
  <si>
    <t>2022-05-20T08:27:10</t>
  </si>
  <si>
    <t>PV00473876</t>
  </si>
  <si>
    <t>2022-05-20T08:26:48</t>
  </si>
  <si>
    <t>PV00473740</t>
  </si>
  <si>
    <t>2022-05-20T08:26:47</t>
  </si>
  <si>
    <t>PV00473651</t>
  </si>
  <si>
    <t>2022-05-20T08:26:39</t>
  </si>
  <si>
    <t>PV00473527</t>
  </si>
  <si>
    <t>2022-05-20T08:26:38</t>
  </si>
  <si>
    <t>PV00473414</t>
  </si>
  <si>
    <t>2022-05-20T08:26:37</t>
  </si>
  <si>
    <t>PV00473398</t>
  </si>
  <si>
    <t>2022-05-20T08:26:33</t>
  </si>
  <si>
    <t>PV00473288</t>
  </si>
  <si>
    <t>2022-05-20T08:26:28</t>
  </si>
  <si>
    <t>PV00473160</t>
  </si>
  <si>
    <t>PV00473099</t>
  </si>
  <si>
    <t>2022-05-20T08:26:18</t>
  </si>
  <si>
    <t>PV00472976</t>
  </si>
  <si>
    <t>2022-05-20T08:26:17</t>
  </si>
  <si>
    <t>PV00472848</t>
  </si>
  <si>
    <t>2022-05-20T08:26:15</t>
  </si>
  <si>
    <t>PV00472796</t>
  </si>
  <si>
    <t>2022-05-20T08:26:14</t>
  </si>
  <si>
    <t>PV00472653</t>
  </si>
  <si>
    <t>2022-05-20T08:26:11</t>
  </si>
  <si>
    <t>PV00472559</t>
  </si>
  <si>
    <t>2022-05-20T08:26:10</t>
  </si>
  <si>
    <t>PV00472430</t>
  </si>
  <si>
    <t>2022-05-20T08:26:09</t>
  </si>
  <si>
    <t>PV00472383</t>
  </si>
  <si>
    <t>2022-05-20T08:26:08</t>
  </si>
  <si>
    <t>PV00472297</t>
  </si>
  <si>
    <t>2022-05-20T08:26:05</t>
  </si>
  <si>
    <t>PV00472186</t>
  </si>
  <si>
    <t>PV00472038</t>
  </si>
  <si>
    <t>2022-05-20T08:25:58</t>
  </si>
  <si>
    <t>PV00471989</t>
  </si>
  <si>
    <t>2022-05-20T08:25:55</t>
  </si>
  <si>
    <t>PV00471839</t>
  </si>
  <si>
    <t>2022-05-20T08:25:49</t>
  </si>
  <si>
    <t>PV00471770</t>
  </si>
  <si>
    <t>2022-05-20T08:25:46</t>
  </si>
  <si>
    <t>PV00471604</t>
  </si>
  <si>
    <t>2022-05-20T08:25:45</t>
  </si>
  <si>
    <t>PV00471554</t>
  </si>
  <si>
    <t>2022-05-20T08:25:43</t>
  </si>
  <si>
    <t>PV00471430</t>
  </si>
  <si>
    <t>2022-05-20T08:25:42</t>
  </si>
  <si>
    <t>PV00471360</t>
  </si>
  <si>
    <t>2022-05-20T08:25:39</t>
  </si>
  <si>
    <t>PV00471250</t>
  </si>
  <si>
    <t>2022-05-20T08:25:38</t>
  </si>
  <si>
    <t>PV00471180</t>
  </si>
  <si>
    <t>2022-05-20T08:25:35</t>
  </si>
  <si>
    <t>PV00471004</t>
  </si>
  <si>
    <t>PV00470920</t>
  </si>
  <si>
    <t>2022-05-20T08:25:32</t>
  </si>
  <si>
    <t>PV00470885</t>
  </si>
  <si>
    <t>2022-05-20T08:25:29</t>
  </si>
  <si>
    <t>PV00470745</t>
  </si>
  <si>
    <t>2022-05-20T08:25:20</t>
  </si>
  <si>
    <t>PV00470646</t>
  </si>
  <si>
    <t>2022-05-20T08:25:19</t>
  </si>
  <si>
    <t>PV00470540</t>
  </si>
  <si>
    <t>2022-05-20T08:25:11</t>
  </si>
  <si>
    <t>PV00470404</t>
  </si>
  <si>
    <t>2022-05-20T08:25:10</t>
  </si>
  <si>
    <t>PV00470331</t>
  </si>
  <si>
    <t>PV00470260</t>
  </si>
  <si>
    <t>2022-05-20T08:25:05</t>
  </si>
  <si>
    <t>PV00470100</t>
  </si>
  <si>
    <t>2022-05-20T08:25:04</t>
  </si>
  <si>
    <t>PV00470035</t>
  </si>
  <si>
    <t>2022-05-20T08:25:02</t>
  </si>
  <si>
    <t>PV00469988</t>
  </si>
  <si>
    <t>PV00469863</t>
  </si>
  <si>
    <t>2022-05-20T08:25:00</t>
  </si>
  <si>
    <t>PV00469734</t>
  </si>
  <si>
    <t>2022-05-20T08:24:59</t>
  </si>
  <si>
    <t>PV00469654</t>
  </si>
  <si>
    <t>2022-05-20T08:24:58</t>
  </si>
  <si>
    <t>PV00469558</t>
  </si>
  <si>
    <t>2022-05-20T08:24:57</t>
  </si>
  <si>
    <t>PV00469479</t>
  </si>
  <si>
    <t>2022-05-20T08:24:56</t>
  </si>
  <si>
    <t>PV00469371</t>
  </si>
  <si>
    <t>PV00469202</t>
  </si>
  <si>
    <t>PV00469188</t>
  </si>
  <si>
    <t>2022-05-20T08:24:55</t>
  </si>
  <si>
    <t>PV00469045</t>
  </si>
  <si>
    <t>2022-05-20T08:24:53</t>
  </si>
  <si>
    <t>PV00468931</t>
  </si>
  <si>
    <t>2022-05-20T08:24:52</t>
  </si>
  <si>
    <t>PV00468872</t>
  </si>
  <si>
    <t>2022-05-20T08:24:51</t>
  </si>
  <si>
    <t>PV00468767</t>
  </si>
  <si>
    <t>PV00468652</t>
  </si>
  <si>
    <t>PV00468531</t>
  </si>
  <si>
    <t>2022-05-20T08:24:50</t>
  </si>
  <si>
    <t>PV00468436</t>
  </si>
  <si>
    <t>2022-05-20T08:24:47</t>
  </si>
  <si>
    <t>PV00468381</t>
  </si>
  <si>
    <t>PV00468220</t>
  </si>
  <si>
    <t>2022-05-20T08:24:46</t>
  </si>
  <si>
    <t>PV00468151</t>
  </si>
  <si>
    <t>2022-05-20T08:24:41</t>
  </si>
  <si>
    <t>PV00468007</t>
  </si>
  <si>
    <t>PV00467966</t>
  </si>
  <si>
    <t>2022-05-20T08:24:38</t>
  </si>
  <si>
    <t>PV00467800</t>
  </si>
  <si>
    <t>2022-05-20T08:24:37</t>
  </si>
  <si>
    <t>PV00467721</t>
  </si>
  <si>
    <t>2022-05-20T08:24:35</t>
  </si>
  <si>
    <t>PV00467698</t>
  </si>
  <si>
    <t>PV00467551</t>
  </si>
  <si>
    <t>2022-05-20T08:24:33</t>
  </si>
  <si>
    <t>PV00467408</t>
  </si>
  <si>
    <t>2022-05-20T08:24:32</t>
  </si>
  <si>
    <t>PV00467301</t>
  </si>
  <si>
    <t>2022-05-20T08:24:29</t>
  </si>
  <si>
    <t>PV00467288</t>
  </si>
  <si>
    <t>2022-05-20T08:24:28</t>
  </si>
  <si>
    <t>PV00467170</t>
  </si>
  <si>
    <t>PV00467062</t>
  </si>
  <si>
    <t>2022-05-20T08:24:27</t>
  </si>
  <si>
    <t>PV00466956</t>
  </si>
  <si>
    <t>2022-05-20T08:24:23</t>
  </si>
  <si>
    <t>PV00466866</t>
  </si>
  <si>
    <t>2022-05-20T08:24:22</t>
  </si>
  <si>
    <t>PV00466734</t>
  </si>
  <si>
    <t>2022-05-20T08:24:20</t>
  </si>
  <si>
    <t>PV00466657</t>
  </si>
  <si>
    <t>PV00466564</t>
  </si>
  <si>
    <t>PV00466420</t>
  </si>
  <si>
    <t>2022-05-20T08:24:17</t>
  </si>
  <si>
    <t>PV00466306</t>
  </si>
  <si>
    <t>2022-05-20T08:24:16</t>
  </si>
  <si>
    <t>PV00466246</t>
  </si>
  <si>
    <t>2022-05-20T08:24:14</t>
  </si>
  <si>
    <t>PV00466197</t>
  </si>
  <si>
    <t>2022-05-20T08:24:13</t>
  </si>
  <si>
    <t>PV00466064</t>
  </si>
  <si>
    <t>PV00465905</t>
  </si>
  <si>
    <t>PV00465821</t>
  </si>
  <si>
    <t>2022-05-20T08:24:12</t>
  </si>
  <si>
    <t>PV00465700</t>
  </si>
  <si>
    <t>2022-05-20T08:24:11</t>
  </si>
  <si>
    <t>PV00465670</t>
  </si>
  <si>
    <t>2022-05-20T08:24:05</t>
  </si>
  <si>
    <t>PV00465580</t>
  </si>
  <si>
    <t>2022-05-20T08:24:04</t>
  </si>
  <si>
    <t>PV00465404</t>
  </si>
  <si>
    <t>2022-05-20T08:24:03</t>
  </si>
  <si>
    <t>PV00465325</t>
  </si>
  <si>
    <t>2022-05-20T08:24:02</t>
  </si>
  <si>
    <t>PV00465298</t>
  </si>
  <si>
    <t>PV00465159</t>
  </si>
  <si>
    <t>2022-05-20T08:24:00</t>
  </si>
  <si>
    <t>PV00465081</t>
  </si>
  <si>
    <t>PV00464986</t>
  </si>
  <si>
    <t>2022-05-20T08:23:59</t>
  </si>
  <si>
    <t>PV00464851</t>
  </si>
  <si>
    <t>PV00464762</t>
  </si>
  <si>
    <t>PV00464641</t>
  </si>
  <si>
    <t>2022-05-20T08:23:58</t>
  </si>
  <si>
    <t>PV00464544</t>
  </si>
  <si>
    <t>PV00464452</t>
  </si>
  <si>
    <t>2022-05-20T08:23:57</t>
  </si>
  <si>
    <t>PV00464333</t>
  </si>
  <si>
    <t>PV00464249</t>
  </si>
  <si>
    <t>2022-05-20T08:23:55</t>
  </si>
  <si>
    <t>PV00464112</t>
  </si>
  <si>
    <t>2022-05-20T08:23:54</t>
  </si>
  <si>
    <t>PV00464032</t>
  </si>
  <si>
    <t>2022-05-20T08:23:51</t>
  </si>
  <si>
    <t>PV00463944</t>
  </si>
  <si>
    <t>PV00463839</t>
  </si>
  <si>
    <t>2022-05-20T08:23:50</t>
  </si>
  <si>
    <t>PV00463732</t>
  </si>
  <si>
    <t>2022-05-20T08:23:49</t>
  </si>
  <si>
    <t>PV00463638</t>
  </si>
  <si>
    <t>2022-05-20T08:23:48</t>
  </si>
  <si>
    <t>PV00463562</t>
  </si>
  <si>
    <t>PV00463480</t>
  </si>
  <si>
    <t>2022-05-20T08:23:46</t>
  </si>
  <si>
    <t>PV00463364</t>
  </si>
  <si>
    <t>2022-05-20T08:23:45</t>
  </si>
  <si>
    <t>PV00463281</t>
  </si>
  <si>
    <t>PV00463113</t>
  </si>
  <si>
    <t>2022-05-20T08:23:44</t>
  </si>
  <si>
    <t>PV00463089</t>
  </si>
  <si>
    <t>PV00462969</t>
  </si>
  <si>
    <t>2022-05-20T08:23:42</t>
  </si>
  <si>
    <t>PV00462896</t>
  </si>
  <si>
    <t>PV00462776</t>
  </si>
  <si>
    <t>PV00462606</t>
  </si>
  <si>
    <t>2022-05-20T08:23:41</t>
  </si>
  <si>
    <t>PV00462563</t>
  </si>
  <si>
    <t>PV00462433</t>
  </si>
  <si>
    <t>2022-05-20T08:23:40</t>
  </si>
  <si>
    <t>PV00462385</t>
  </si>
  <si>
    <t>2022-05-20T08:23:38</t>
  </si>
  <si>
    <t>PV00462253</t>
  </si>
  <si>
    <t>PV00462115</t>
  </si>
  <si>
    <t>2022-05-20T08:23:37</t>
  </si>
  <si>
    <t>PV00462003</t>
  </si>
  <si>
    <t>PV00461916</t>
  </si>
  <si>
    <t>PV00461864</t>
  </si>
  <si>
    <t>PV00461774</t>
  </si>
  <si>
    <t>2022-05-20T08:23:36</t>
  </si>
  <si>
    <t>PV00461686</t>
  </si>
  <si>
    <t>PV00461552</t>
  </si>
  <si>
    <t>2022-05-20T08:23:35</t>
  </si>
  <si>
    <t>PV00461405</t>
  </si>
  <si>
    <t>PV00461319</t>
  </si>
  <si>
    <t>PV00461243</t>
  </si>
  <si>
    <t>2022-05-20T08:23:32</t>
  </si>
  <si>
    <t>PV00461124</t>
  </si>
  <si>
    <t>2022-05-20T08:23:31</t>
  </si>
  <si>
    <t>PV00461060</t>
  </si>
  <si>
    <t>PV00460990</t>
  </si>
  <si>
    <t>PV00460890</t>
  </si>
  <si>
    <t>2022-05-20T08:23:30</t>
  </si>
  <si>
    <t>PV00460757</t>
  </si>
  <si>
    <t>PV00460669</t>
  </si>
  <si>
    <t>PV00460562</t>
  </si>
  <si>
    <t>2022-05-20T08:23:26</t>
  </si>
  <si>
    <t>PV00460481</t>
  </si>
  <si>
    <t>2022-05-20T08:23:25</t>
  </si>
  <si>
    <t>PV00460387</t>
  </si>
  <si>
    <t>PV00460255</t>
  </si>
  <si>
    <t>PV00460151</t>
  </si>
  <si>
    <t>PV00460049</t>
  </si>
  <si>
    <t>2022-05-20T08:23:24</t>
  </si>
  <si>
    <t>PV00459969</t>
  </si>
  <si>
    <t>PV00459884</t>
  </si>
  <si>
    <t>PV00459799</t>
  </si>
  <si>
    <t>2022-05-20T08:23:23</t>
  </si>
  <si>
    <t>PV00459679</t>
  </si>
  <si>
    <t>PV00459563</t>
  </si>
  <si>
    <t>2022-05-20T08:23:22</t>
  </si>
  <si>
    <t>PV00459489</t>
  </si>
  <si>
    <t>2022-05-20T08:23:21</t>
  </si>
  <si>
    <t>PV00459307</t>
  </si>
  <si>
    <t>PV00459284</t>
  </si>
  <si>
    <t>PV00459190</t>
  </si>
  <si>
    <t>2022-05-20T08:23:20</t>
  </si>
  <si>
    <t>PV00459036</t>
  </si>
  <si>
    <t>2022-05-20T08:23:19</t>
  </si>
  <si>
    <t>PV00458922</t>
  </si>
  <si>
    <t>2022-05-20T08:23:18</t>
  </si>
  <si>
    <t>PV00458851</t>
  </si>
  <si>
    <t>PV00458759</t>
  </si>
  <si>
    <t>2022-05-20T08:23:17</t>
  </si>
  <si>
    <t>PV00458676</t>
  </si>
  <si>
    <t>PV00458573</t>
  </si>
  <si>
    <t>2022-05-20T08:23:16</t>
  </si>
  <si>
    <t>PV00458421</t>
  </si>
  <si>
    <t>PV00458325</t>
  </si>
  <si>
    <t>2022-05-20T08:23:14</t>
  </si>
  <si>
    <t>PV00458239</t>
  </si>
  <si>
    <t>2022-05-20T08:23:13</t>
  </si>
  <si>
    <t>PV00458192</t>
  </si>
  <si>
    <t>PV00458035</t>
  </si>
  <si>
    <t>PV00457904</t>
  </si>
  <si>
    <t>PV00457855</t>
  </si>
  <si>
    <t>2022-05-20T08:23:10</t>
  </si>
  <si>
    <t>PV00457727</t>
  </si>
  <si>
    <t>PV00457609</t>
  </si>
  <si>
    <t>2022-05-20T08:23:09</t>
  </si>
  <si>
    <t>PV00457564</t>
  </si>
  <si>
    <t>PV00457454</t>
  </si>
  <si>
    <t>2022-05-20T08:23:08</t>
  </si>
  <si>
    <t>PV00457367</t>
  </si>
  <si>
    <t>2022-05-20T08:23:06</t>
  </si>
  <si>
    <t>PV00457228</t>
  </si>
  <si>
    <t>PV00457177</t>
  </si>
  <si>
    <t>PV00457075</t>
  </si>
  <si>
    <t>2022-05-20T08:23:05</t>
  </si>
  <si>
    <t>PV00456956</t>
  </si>
  <si>
    <t>2022-05-20T08:23:03</t>
  </si>
  <si>
    <t>PV00456841</t>
  </si>
  <si>
    <t>2022-05-20T08:23:02</t>
  </si>
  <si>
    <t>PV00456748</t>
  </si>
  <si>
    <t>PV00456668</t>
  </si>
  <si>
    <t>PV00456567</t>
  </si>
  <si>
    <t>2022-05-20T08:23:01</t>
  </si>
  <si>
    <t>PV00456438</t>
  </si>
  <si>
    <t>PV00456371</t>
  </si>
  <si>
    <t>2022-05-20T08:22:59</t>
  </si>
  <si>
    <t>PV00456266</t>
  </si>
  <si>
    <t>PV00456188</t>
  </si>
  <si>
    <t>2022-05-20T08:22:58</t>
  </si>
  <si>
    <t>PV00456056</t>
  </si>
  <si>
    <t>2022-05-20T08:22:56</t>
  </si>
  <si>
    <t>PV00455919</t>
  </si>
  <si>
    <t>PV00455887</t>
  </si>
  <si>
    <t>2022-05-20T08:22:55</t>
  </si>
  <si>
    <t>PV00455726</t>
  </si>
  <si>
    <t>2022-05-20T08:22:54</t>
  </si>
  <si>
    <t>PV00455654</t>
  </si>
  <si>
    <t>2022-05-20T08:22:53</t>
  </si>
  <si>
    <t>PV00455511</t>
  </si>
  <si>
    <t>PV00455489</t>
  </si>
  <si>
    <t>2022-05-20T08:22:52</t>
  </si>
  <si>
    <t>PV00455325</t>
  </si>
  <si>
    <t>2022-05-20T08:22:50</t>
  </si>
  <si>
    <t>PV00455204</t>
  </si>
  <si>
    <t>PV00455108</t>
  </si>
  <si>
    <t>PV00455099</t>
  </si>
  <si>
    <t>2022-05-20T08:22:49</t>
  </si>
  <si>
    <t>PV00454986</t>
  </si>
  <si>
    <t>2022-05-20T08:22:48</t>
  </si>
  <si>
    <t>PV00454871</t>
  </si>
  <si>
    <t>PV00454703</t>
  </si>
  <si>
    <t>2022-05-20T08:22:44</t>
  </si>
  <si>
    <t>PV00454638</t>
  </si>
  <si>
    <t>2022-05-20T08:22:43</t>
  </si>
  <si>
    <t>PV00454551</t>
  </si>
  <si>
    <t>PV00454428</t>
  </si>
  <si>
    <t>2022-05-20T08:22:42</t>
  </si>
  <si>
    <t>PV00454365</t>
  </si>
  <si>
    <t>2022-05-20T08:22:41</t>
  </si>
  <si>
    <t>PV00454246</t>
  </si>
  <si>
    <t>PV00454172</t>
  </si>
  <si>
    <t>2022-05-20T08:22:40</t>
  </si>
  <si>
    <t>PV00454072</t>
  </si>
  <si>
    <t>PV00453933</t>
  </si>
  <si>
    <t>2022-05-20T08:22:39</t>
  </si>
  <si>
    <t>PV00453838</t>
  </si>
  <si>
    <t>2022-05-20T08:22:38</t>
  </si>
  <si>
    <t>PV00453706</t>
  </si>
  <si>
    <t>PV00453633</t>
  </si>
  <si>
    <t>2022-05-20T08:22:37</t>
  </si>
  <si>
    <t>PV00453575</t>
  </si>
  <si>
    <t>2022-05-20T08:22:36</t>
  </si>
  <si>
    <t>PV00453494</t>
  </si>
  <si>
    <t>2022-05-20T08:22:32</t>
  </si>
  <si>
    <t>PV00453333</t>
  </si>
  <si>
    <t>2022-05-20T08:22:29</t>
  </si>
  <si>
    <t>PV00453249</t>
  </si>
  <si>
    <t>2022-05-20T08:22:28</t>
  </si>
  <si>
    <t>PV00453128</t>
  </si>
  <si>
    <t>PV00453022</t>
  </si>
  <si>
    <t>2022-05-20T08:22:25</t>
  </si>
  <si>
    <t>PV00452917</t>
  </si>
  <si>
    <t>PV00452865</t>
  </si>
  <si>
    <t>2022-05-20T08:22:24</t>
  </si>
  <si>
    <t>PV00452713</t>
  </si>
  <si>
    <t>2022-05-20T08:22:19</t>
  </si>
  <si>
    <t>PV00452636</t>
  </si>
  <si>
    <t>2022-05-20T08:22:18</t>
  </si>
  <si>
    <t>PV00452513</t>
  </si>
  <si>
    <t>2022-05-20T08:22:16</t>
  </si>
  <si>
    <t>PV00452475</t>
  </si>
  <si>
    <t>2022-05-20T08:22:13</t>
  </si>
  <si>
    <t>PV00452362</t>
  </si>
  <si>
    <t>2022-05-20T08:22:07</t>
  </si>
  <si>
    <t>PV00452246</t>
  </si>
  <si>
    <t>2022-05-20T08:22:04</t>
  </si>
  <si>
    <t>PV00452171</t>
  </si>
  <si>
    <t>2022-05-20T08:22:00</t>
  </si>
  <si>
    <t>PV00452057</t>
  </si>
  <si>
    <t>PV00451927</t>
  </si>
  <si>
    <t>PV00451841</t>
  </si>
  <si>
    <t>2022-05-20T08:21:57</t>
  </si>
  <si>
    <t>PV00451755</t>
  </si>
  <si>
    <t>PV00451697</t>
  </si>
  <si>
    <t>PV00451551</t>
  </si>
  <si>
    <t>2022-05-20T08:21:56</t>
  </si>
  <si>
    <t>PV00451407</t>
  </si>
  <si>
    <t>2022-05-20T08:21:54</t>
  </si>
  <si>
    <t>PV00451339</t>
  </si>
  <si>
    <t>2022-05-20T08:21:45</t>
  </si>
  <si>
    <t>PV00451262</t>
  </si>
  <si>
    <t>2022-05-20T08:21:34</t>
  </si>
  <si>
    <t>PV00451181</t>
  </si>
  <si>
    <t>2022-05-20T08:21:28</t>
  </si>
  <si>
    <t>PV00451038</t>
  </si>
  <si>
    <t>2022-05-20T08:21:23</t>
  </si>
  <si>
    <t>PV00450978</t>
  </si>
  <si>
    <t>2022-05-20T08:21:21</t>
  </si>
  <si>
    <t>PV00450884</t>
  </si>
  <si>
    <t>2022-05-20T08:21:13</t>
  </si>
  <si>
    <t>PV00450749</t>
  </si>
  <si>
    <t>2022-05-20T08:21:08</t>
  </si>
  <si>
    <t>PV00450684</t>
  </si>
  <si>
    <t>PV00450517</t>
  </si>
  <si>
    <t>2022-05-20T08:21:05</t>
  </si>
  <si>
    <t>PV00450438</t>
  </si>
  <si>
    <t>2022-05-20T08:21:01</t>
  </si>
  <si>
    <t>PV00450315</t>
  </si>
  <si>
    <t>2022-05-20T08:20:59</t>
  </si>
  <si>
    <t>PV00450268</t>
  </si>
  <si>
    <t>2022-05-20T08:20:55</t>
  </si>
  <si>
    <t>PV00450143</t>
  </si>
  <si>
    <t>2022-05-20T08:20:54</t>
  </si>
  <si>
    <t>PV00450093</t>
  </si>
  <si>
    <t>2022-05-20T08:20:38</t>
  </si>
  <si>
    <t>PV00449931</t>
  </si>
  <si>
    <t>2022-05-20T08:20:33</t>
  </si>
  <si>
    <t>PV00449806</t>
  </si>
  <si>
    <t>2022-05-20T08:20:30</t>
  </si>
  <si>
    <t>PV00449732</t>
  </si>
  <si>
    <t>2022-05-20T08:20:20</t>
  </si>
  <si>
    <t>PV00449654</t>
  </si>
  <si>
    <t>2022-05-20T08:20:15</t>
  </si>
  <si>
    <t>PV00449515</t>
  </si>
  <si>
    <t>2022-05-20T08:20:11</t>
  </si>
  <si>
    <t>PV00449407</t>
  </si>
  <si>
    <t>2022-05-20T08:19:56</t>
  </si>
  <si>
    <t>PV00449384</t>
  </si>
  <si>
    <t>2022-05-20T08:19:53</t>
  </si>
  <si>
    <t>PV00449224</t>
  </si>
  <si>
    <t>2022-05-20T08:19:44</t>
  </si>
  <si>
    <t>PV00449134</t>
  </si>
  <si>
    <t>2022-05-20T08:19:35</t>
  </si>
  <si>
    <t>PV00449040</t>
  </si>
  <si>
    <t>2022-05-20T08:19:08</t>
  </si>
  <si>
    <t>学校基本調査
R4.5.1時点</t>
    <rPh sb="0" eb="2">
      <t>ガッコウ</t>
    </rPh>
    <rPh sb="2" eb="4">
      <t>キホン</t>
    </rPh>
    <rPh sb="4" eb="6">
      <t>チョウサ</t>
    </rPh>
    <rPh sb="13" eb="15">
      <t>ジテン</t>
    </rPh>
    <phoneticPr fontId="23"/>
  </si>
  <si>
    <t>学校基本調査と実回答数の差</t>
    <rPh sb="0" eb="2">
      <t>ガッコウ</t>
    </rPh>
    <rPh sb="2" eb="4">
      <t>キホン</t>
    </rPh>
    <rPh sb="4" eb="6">
      <t>チョウサ</t>
    </rPh>
    <rPh sb="7" eb="8">
      <t>ジツ</t>
    </rPh>
    <rPh sb="8" eb="11">
      <t>カイトウスウ</t>
    </rPh>
    <rPh sb="12" eb="13">
      <t>サ</t>
    </rPh>
    <phoneticPr fontId="23"/>
  </si>
  <si>
    <t>PV00514879</t>
  </si>
  <si>
    <t>2022-05-20T15:54:51</t>
  </si>
  <si>
    <t>味岡中学校</t>
  </si>
  <si>
    <t>PV00514758</t>
  </si>
  <si>
    <t>2022-05-20T15:21:04</t>
  </si>
  <si>
    <t>PV00514606</t>
  </si>
  <si>
    <t>2022-05-20T15:20:32</t>
  </si>
  <si>
    <t>PV00514563</t>
  </si>
  <si>
    <t>2022-05-20T15:19:29</t>
  </si>
  <si>
    <t>PV00514415</t>
  </si>
  <si>
    <t>2022-05-20T15:19:09</t>
  </si>
  <si>
    <t>PV00514362</t>
  </si>
  <si>
    <t>2022-05-20T15:19:06</t>
  </si>
  <si>
    <t>PV00514256</t>
  </si>
  <si>
    <t>2022-05-20T15:19:01</t>
  </si>
  <si>
    <t>PV00514105</t>
  </si>
  <si>
    <t>2022-05-20T15:18:55</t>
  </si>
  <si>
    <t>PV00514053</t>
  </si>
  <si>
    <t>PV00513936</t>
  </si>
  <si>
    <t>2022-05-20T15:18:46</t>
  </si>
  <si>
    <t>PV00513886</t>
  </si>
  <si>
    <t>2022-05-20T15:18:37</t>
  </si>
  <si>
    <t>PV00513773</t>
  </si>
  <si>
    <t>2022-05-20T15:18:27</t>
  </si>
  <si>
    <t>PV00513621</t>
  </si>
  <si>
    <t>2022-05-20T15:18:26</t>
  </si>
  <si>
    <t>PV00513555</t>
  </si>
  <si>
    <t>PV00513418</t>
  </si>
  <si>
    <t>2022-05-20T15:18:24</t>
  </si>
  <si>
    <t>PV00513394</t>
  </si>
  <si>
    <t>2022-05-20T15:18:22</t>
  </si>
  <si>
    <t>PV00513255</t>
  </si>
  <si>
    <t>2022-05-20T15:18:21</t>
  </si>
  <si>
    <t>PV00513108</t>
  </si>
  <si>
    <t>2022-05-20T15:18:19</t>
  </si>
  <si>
    <t>PV00513096</t>
  </si>
  <si>
    <t>PV00512908</t>
  </si>
  <si>
    <t>2022-05-20T15:18:18</t>
  </si>
  <si>
    <t>PV00512840</t>
  </si>
  <si>
    <t>2022-05-20T15:18:12</t>
  </si>
  <si>
    <t>PV00512732</t>
  </si>
  <si>
    <t>2022-05-20T15:18:10</t>
  </si>
  <si>
    <t>PV00512619</t>
  </si>
  <si>
    <t>2022-05-20T15:18:09</t>
  </si>
  <si>
    <t>PV00512574</t>
  </si>
  <si>
    <t>PV00512421</t>
  </si>
  <si>
    <t>2022-05-20T15:18:08</t>
  </si>
  <si>
    <t>PV00512372</t>
  </si>
  <si>
    <t>2022-05-20T15:18:06</t>
  </si>
  <si>
    <t>PV00512284</t>
  </si>
  <si>
    <t>PV00512128</t>
  </si>
  <si>
    <t>2022-05-20T15:18:04</t>
  </si>
  <si>
    <t>PV00512021</t>
  </si>
  <si>
    <t>2022-05-20T15:18:02</t>
  </si>
  <si>
    <t>PV00511956</t>
  </si>
  <si>
    <t>2022-05-20T15:18:01</t>
  </si>
  <si>
    <t>PV00511890</t>
  </si>
  <si>
    <t>2022-05-20T15:17:59</t>
  </si>
  <si>
    <t>PV00511787</t>
  </si>
  <si>
    <t>2022-05-20T15:17:54</t>
  </si>
  <si>
    <t>PV00511623</t>
  </si>
  <si>
    <t>2022-05-20T15:17:51</t>
  </si>
  <si>
    <t>PV00511571</t>
  </si>
  <si>
    <t>2022-05-20T15:17:50</t>
  </si>
  <si>
    <t>PV00511450</t>
  </si>
  <si>
    <t>2022-05-20T15:17:48</t>
  </si>
  <si>
    <t>PV00511353</t>
  </si>
  <si>
    <t>2022-05-20T15:17:35</t>
  </si>
  <si>
    <t>PV00511214</t>
  </si>
  <si>
    <t>2022-05-20T14:58:52</t>
  </si>
  <si>
    <t>PV00511194</t>
  </si>
  <si>
    <t>2022-05-20T14:58:32</t>
  </si>
  <si>
    <t>一色小学校</t>
  </si>
  <si>
    <t>PV00511077</t>
  </si>
  <si>
    <t>2022-05-20T14:57:43</t>
  </si>
  <si>
    <t>PV00510944</t>
  </si>
  <si>
    <t>2022-05-20T14:57:32</t>
  </si>
  <si>
    <t>PV00510890</t>
  </si>
  <si>
    <t>2022-05-20T14:57:02</t>
  </si>
  <si>
    <t>PV00510783</t>
  </si>
  <si>
    <t>2022-05-20T14:55:54</t>
  </si>
  <si>
    <t>PV00510659</t>
  </si>
  <si>
    <t>2022-05-20T14:55:22</t>
  </si>
  <si>
    <t>PV00510564</t>
  </si>
  <si>
    <t>2022-05-20T14:55:10</t>
  </si>
  <si>
    <t>PV00510434</t>
  </si>
  <si>
    <t>2022-05-20T14:55:03</t>
  </si>
  <si>
    <t>PV00510394</t>
  </si>
  <si>
    <t>2022-05-20T14:55:01</t>
  </si>
  <si>
    <t>PV00510278</t>
  </si>
  <si>
    <t>2022-05-20T14:54:52</t>
  </si>
  <si>
    <t>PV00510118</t>
  </si>
  <si>
    <t>PV00510003</t>
  </si>
  <si>
    <t>2022-05-20T14:54:51</t>
  </si>
  <si>
    <t>PV00509916</t>
  </si>
  <si>
    <t>2022-05-20T14:54:49</t>
  </si>
  <si>
    <t>PV00509864</t>
  </si>
  <si>
    <t>2022-05-20T14:54:38</t>
  </si>
  <si>
    <t>PV00509756</t>
  </si>
  <si>
    <t>2022-05-20T14:54:37</t>
  </si>
  <si>
    <t>PV00509697</t>
  </si>
  <si>
    <t>2022-05-20T14:54:32</t>
  </si>
  <si>
    <t>PV00509576</t>
  </si>
  <si>
    <t>2022-05-20T14:54:24</t>
  </si>
  <si>
    <t>PV00509455</t>
  </si>
  <si>
    <t>2022-05-20T14:54:22</t>
  </si>
  <si>
    <t>PV00509389</t>
  </si>
  <si>
    <t>2022-05-20T14:54:17</t>
  </si>
  <si>
    <t>PV00509294</t>
  </si>
  <si>
    <t>2022-05-20T14:54:14</t>
  </si>
  <si>
    <t>PV00509114</t>
  </si>
  <si>
    <t>2022-05-20T14:54:07</t>
  </si>
  <si>
    <t>PV00509032</t>
  </si>
  <si>
    <t>PV00508939</t>
  </si>
  <si>
    <t>2022-05-20T14:54:06</t>
  </si>
  <si>
    <t>PV00508851</t>
  </si>
  <si>
    <t>2022-05-20T14:54:00</t>
  </si>
  <si>
    <t>PV00508712</t>
  </si>
  <si>
    <t>2022-05-20T14:53:59</t>
  </si>
  <si>
    <t>PV00508690</t>
  </si>
  <si>
    <t>2022-05-20T14:53:57</t>
  </si>
  <si>
    <t>PV00508586</t>
  </si>
  <si>
    <t>2022-05-20T14:53:56</t>
  </si>
  <si>
    <t>PV00508434</t>
  </si>
  <si>
    <t>2022-05-20T14:53:54</t>
  </si>
  <si>
    <t>PV00508349</t>
  </si>
  <si>
    <t>2022-05-20T14:53:49</t>
  </si>
  <si>
    <t>PV00508289</t>
  </si>
  <si>
    <t>2022-05-20T14:53:47</t>
  </si>
  <si>
    <t>PV00508190</t>
  </si>
  <si>
    <t>2022-05-20T14:53:44</t>
  </si>
  <si>
    <t>PV00508066</t>
  </si>
  <si>
    <t>2022-05-20T14:53:43</t>
  </si>
  <si>
    <t>PV00507932</t>
  </si>
  <si>
    <t>2022-05-20T14:53:34</t>
  </si>
  <si>
    <t>PV00507802</t>
  </si>
  <si>
    <t>2022-05-20T14:53:30</t>
  </si>
  <si>
    <t>PV00507709</t>
  </si>
  <si>
    <t>2022-05-20T14:53:24</t>
  </si>
  <si>
    <t>PV00507672</t>
  </si>
  <si>
    <t>2022-05-20T14:53:18</t>
  </si>
  <si>
    <t>PV00507519</t>
  </si>
  <si>
    <t>2022-05-20T14:53:08</t>
  </si>
  <si>
    <t>PV00507436</t>
  </si>
  <si>
    <t>2022-05-20T14:53:07</t>
  </si>
  <si>
    <t>PV00507358</t>
  </si>
  <si>
    <t>2022-05-20T14:52:58</t>
  </si>
  <si>
    <t>PV00507236</t>
  </si>
  <si>
    <t>2022-05-20T14:52:19</t>
  </si>
  <si>
    <t>PV00507152</t>
  </si>
  <si>
    <t>2022-05-20T14:51:56</t>
  </si>
  <si>
    <t>PV00507010</t>
  </si>
  <si>
    <t>2022-05-20T14:51:46</t>
  </si>
  <si>
    <t>PV00506979</t>
  </si>
  <si>
    <t>2022-05-20T14:51:07</t>
  </si>
  <si>
    <t>PV00506833</t>
  </si>
  <si>
    <t>2022-05-20T14:51:00</t>
  </si>
  <si>
    <t>PV00506762</t>
  </si>
  <si>
    <t>2022-05-20T14:50:20</t>
  </si>
  <si>
    <t>PV00506696</t>
  </si>
  <si>
    <t>2022-05-20T14:50:02</t>
  </si>
  <si>
    <t>PV00506508</t>
  </si>
  <si>
    <t>2022-05-20T14:49:26</t>
  </si>
  <si>
    <t>PV00506467</t>
  </si>
  <si>
    <t>2022-05-20T14:49:19</t>
  </si>
  <si>
    <t>PV00506378</t>
  </si>
  <si>
    <t>2022-05-20T14:48:57</t>
  </si>
  <si>
    <t>PV00506291</t>
  </si>
  <si>
    <t>2022-05-20T14:48:56</t>
  </si>
  <si>
    <t>PV00506191</t>
  </si>
  <si>
    <t>2022-05-20T14:48:45</t>
  </si>
  <si>
    <t>PV00506019</t>
  </si>
  <si>
    <t>2022-05-20T14:48:40</t>
  </si>
  <si>
    <t>PV00505947</t>
  </si>
  <si>
    <t>2022-05-20T14:48:36</t>
  </si>
  <si>
    <t>PV00505875</t>
  </si>
  <si>
    <t>PV00505731</t>
  </si>
  <si>
    <t>2022-05-20T14:48:05</t>
  </si>
  <si>
    <t>PV00505698</t>
  </si>
  <si>
    <t>2022-05-20T14:47:56</t>
  </si>
  <si>
    <t>PV00505519</t>
  </si>
  <si>
    <t>2022-05-20T14:47:38</t>
  </si>
  <si>
    <t>PV00505475</t>
  </si>
  <si>
    <t>2022-05-20T14:47:22</t>
  </si>
  <si>
    <t>PV00505302</t>
  </si>
  <si>
    <t>2022-05-20T14:47:14</t>
  </si>
  <si>
    <t>PV00505261</t>
  </si>
  <si>
    <t>2022-05-20T14:46:34</t>
  </si>
  <si>
    <t>PV00505111</t>
  </si>
  <si>
    <t>2022-05-20T14:46:23</t>
  </si>
  <si>
    <t>PV00505089</t>
  </si>
  <si>
    <t>2022-05-20T14:46:11</t>
  </si>
  <si>
    <t>PV00504985</t>
  </si>
  <si>
    <t>2022-05-20T14:45:57</t>
  </si>
  <si>
    <t>PV00504832</t>
  </si>
  <si>
    <t>2022-05-20T14:45:47</t>
  </si>
  <si>
    <t>PV00504743</t>
  </si>
  <si>
    <t>2022-05-20T14:45:44</t>
  </si>
  <si>
    <t>PV00504608</t>
  </si>
  <si>
    <t>2022-05-20T14:45:38</t>
  </si>
  <si>
    <t>PV00504591</t>
  </si>
  <si>
    <t>PV00504411</t>
  </si>
  <si>
    <t>2022-05-20T14:45:36</t>
  </si>
  <si>
    <t>PV00504375</t>
  </si>
  <si>
    <t>2022-05-20T14:45:35</t>
  </si>
  <si>
    <t>PV00504239</t>
  </si>
  <si>
    <t>PV00504135</t>
  </si>
  <si>
    <t>2022-05-20T14:45:31</t>
  </si>
  <si>
    <t>PV00504015</t>
  </si>
  <si>
    <t>PV00503954</t>
  </si>
  <si>
    <t>2022-05-20T14:45:20</t>
  </si>
  <si>
    <t>PV00503857</t>
  </si>
  <si>
    <t>2022-05-20T14:45:18</t>
  </si>
  <si>
    <t>PV00503791</t>
  </si>
  <si>
    <t>2022-05-20T14:45:15</t>
  </si>
  <si>
    <t>PV00503678</t>
  </si>
  <si>
    <t>2022-05-20T14:45:09</t>
  </si>
  <si>
    <t>PV00503563</t>
  </si>
  <si>
    <t>2022-05-20T14:45:06</t>
  </si>
  <si>
    <t>PV00503462</t>
  </si>
  <si>
    <t>2022-05-20T14:44:52</t>
  </si>
  <si>
    <t>PV00503327</t>
  </si>
  <si>
    <t>2022-05-20T14:44:47</t>
  </si>
  <si>
    <t>PV00503264</t>
  </si>
  <si>
    <t>2022-05-20T14:44:43</t>
  </si>
  <si>
    <t>PV00503183</t>
  </si>
  <si>
    <t>2022-05-20T14:44:39</t>
  </si>
  <si>
    <t>PV00503084</t>
  </si>
  <si>
    <t>2022-05-20T14:44:37</t>
  </si>
  <si>
    <t>PV00502934</t>
  </si>
  <si>
    <t>2022-05-20T14:44:31</t>
  </si>
  <si>
    <t>PV00502836</t>
  </si>
  <si>
    <t>2022-05-20T14:44:28</t>
  </si>
  <si>
    <t>PV00502712</t>
  </si>
  <si>
    <t>2022-05-20T14:44:14</t>
  </si>
  <si>
    <t>PV00502677</t>
  </si>
  <si>
    <t>PV00502516</t>
  </si>
  <si>
    <t>2022-05-20T14:44:09</t>
  </si>
  <si>
    <t>PV00502483</t>
  </si>
  <si>
    <t>PV00502370</t>
  </si>
  <si>
    <t>2022-05-20T14:43:54</t>
  </si>
  <si>
    <t>PV00502293</t>
  </si>
  <si>
    <t>2022-05-20T14:43:53</t>
  </si>
  <si>
    <t>PV00502143</t>
  </si>
  <si>
    <t>2022-05-20T14:43:48</t>
  </si>
  <si>
    <t>PV00502089</t>
  </si>
  <si>
    <t>2022-05-20T14:43:45</t>
  </si>
  <si>
    <t>PV00501939</t>
  </si>
  <si>
    <t>2022-05-20T14:43:41</t>
  </si>
  <si>
    <t>PV00501806</t>
  </si>
  <si>
    <t>2022-05-20T14:43:40</t>
  </si>
  <si>
    <t>PV00501769</t>
  </si>
  <si>
    <t>2022-05-20T14:43:33</t>
  </si>
  <si>
    <t>PV00501664</t>
  </si>
  <si>
    <t>PV00501580</t>
  </si>
  <si>
    <t>2022-05-20T14:43:27</t>
  </si>
  <si>
    <t>PV00501468</t>
  </si>
  <si>
    <t>2022-05-20T14:43:21</t>
  </si>
  <si>
    <t>PV00501353</t>
  </si>
  <si>
    <t>2022-05-20T14:41:43</t>
  </si>
  <si>
    <t>PV00501213</t>
  </si>
  <si>
    <t>2022-05-20T14:41:30</t>
  </si>
  <si>
    <t>PV00501152</t>
  </si>
  <si>
    <t>2022-05-20T14:41:29</t>
  </si>
  <si>
    <t>PV00501027</t>
  </si>
  <si>
    <t>2022-05-20T14:41:28</t>
  </si>
  <si>
    <t>PV00500926</t>
  </si>
  <si>
    <t>2022-05-20T14:41:20</t>
  </si>
  <si>
    <t>PV00500883</t>
  </si>
  <si>
    <t>2022-05-20T14:41:17</t>
  </si>
  <si>
    <t>PV00500757</t>
  </si>
  <si>
    <t>2022-05-20T14:41:14</t>
  </si>
  <si>
    <t>PV00500665</t>
  </si>
  <si>
    <t>2022-05-20T14:41:13</t>
  </si>
  <si>
    <t>PV00500528</t>
  </si>
  <si>
    <t>2022-05-20T14:41:12</t>
  </si>
  <si>
    <t>PV00500438</t>
  </si>
  <si>
    <t>2022-05-20T14:41:08</t>
  </si>
  <si>
    <t>PV00500378</t>
  </si>
  <si>
    <t>2022-05-20T14:41:06</t>
  </si>
  <si>
    <t>PV00500292</t>
  </si>
  <si>
    <t>2022-05-20T14:41:05</t>
  </si>
  <si>
    <t>PV00500158</t>
  </si>
  <si>
    <t>2022-05-20T14:41:04</t>
  </si>
  <si>
    <t>PV00500061</t>
  </si>
  <si>
    <t>2022-05-20T14:40:55</t>
  </si>
  <si>
    <t>PV00499944</t>
  </si>
  <si>
    <t>2022-05-20T14:40:53</t>
  </si>
  <si>
    <t>PV00499878</t>
  </si>
  <si>
    <t>2022-05-20T14:40:48</t>
  </si>
  <si>
    <t>PV00499720</t>
  </si>
  <si>
    <t>PV00499695</t>
  </si>
  <si>
    <t>2022-05-20T14:40:46</t>
  </si>
  <si>
    <t>PV00499501</t>
  </si>
  <si>
    <t>2022-05-20T14:40:43</t>
  </si>
  <si>
    <t>PV00499478</t>
  </si>
  <si>
    <t>2022-05-20T14:40:39</t>
  </si>
  <si>
    <t>PV00499380</t>
  </si>
  <si>
    <t>2022-05-20T14:40:36</t>
  </si>
  <si>
    <t>PV00499200</t>
  </si>
  <si>
    <t>2022-05-20T14:40:35</t>
  </si>
  <si>
    <t>PV00499165</t>
  </si>
  <si>
    <t>2022-05-20T14:40:30</t>
  </si>
  <si>
    <t>PV00499027</t>
  </si>
  <si>
    <t>2022-05-20T14:40:26</t>
  </si>
  <si>
    <t>PV00498948</t>
  </si>
  <si>
    <t>2022-05-20T14:40:22</t>
  </si>
  <si>
    <t>PV00498820</t>
  </si>
  <si>
    <t>2022-05-20T14:40:21</t>
  </si>
  <si>
    <t>PV00498784</t>
  </si>
  <si>
    <t>2022-05-20T14:40:16</t>
  </si>
  <si>
    <t>PV00498630</t>
  </si>
  <si>
    <t>2022-05-20T14:40:14</t>
  </si>
  <si>
    <t>PV00498520</t>
  </si>
  <si>
    <t>2022-05-20T14:40:08</t>
  </si>
  <si>
    <t>PV00498470</t>
  </si>
  <si>
    <t>2022-05-20T14:40:02</t>
  </si>
  <si>
    <t>PV00498386</t>
  </si>
  <si>
    <t>2022-05-20T14:39:57</t>
  </si>
  <si>
    <t>PV00498269</t>
  </si>
  <si>
    <t>2022-05-20T14:39:45</t>
  </si>
  <si>
    <t>PV00498107</t>
  </si>
  <si>
    <t>2022-05-20T14:39:32</t>
  </si>
  <si>
    <t>PV00498035</t>
  </si>
  <si>
    <t>2022-05-20T14:37:16</t>
  </si>
  <si>
    <t>PV00497900</t>
  </si>
  <si>
    <t>2022-05-20T14:37:06</t>
  </si>
  <si>
    <t>PV00497881</t>
  </si>
  <si>
    <t>2022-05-20T14:36:58</t>
  </si>
  <si>
    <t>PV00497749</t>
  </si>
  <si>
    <t>2022-05-20T14:36:48</t>
  </si>
  <si>
    <t>PV00497638</t>
  </si>
  <si>
    <t>2022-05-20T14:36:47</t>
  </si>
  <si>
    <t>PV00497563</t>
  </si>
  <si>
    <t>PV00497414</t>
  </si>
  <si>
    <t>2022-05-20T14:36:33</t>
  </si>
  <si>
    <t>PV00497368</t>
  </si>
  <si>
    <t>2022-05-20T14:36:25</t>
  </si>
  <si>
    <t>PV00497236</t>
  </si>
  <si>
    <t>2022-05-20T14:36:23</t>
  </si>
  <si>
    <t>PV00497135</t>
  </si>
  <si>
    <t>2022-05-20T14:36:19</t>
  </si>
  <si>
    <t>PV00497002</t>
  </si>
  <si>
    <t>2022-05-20T14:36:15</t>
  </si>
  <si>
    <t>PV00496964</t>
  </si>
  <si>
    <t>2022-05-20T14:36:11</t>
  </si>
  <si>
    <t>PV00496827</t>
  </si>
  <si>
    <t>2022-05-20T14:36:09</t>
  </si>
  <si>
    <t>PV00496739</t>
  </si>
  <si>
    <t>2022-05-20T14:36:08</t>
  </si>
  <si>
    <t>PV00496611</t>
  </si>
  <si>
    <t>2022-05-20T14:36:06</t>
  </si>
  <si>
    <t>PV00496528</t>
  </si>
  <si>
    <t>2022-05-20T14:36:04</t>
  </si>
  <si>
    <t>PV00496488</t>
  </si>
  <si>
    <t>2022-05-20T14:36:01</t>
  </si>
  <si>
    <t>PV00496301</t>
  </si>
  <si>
    <t>2022-05-20T14:35:58</t>
  </si>
  <si>
    <t>PV00496295</t>
  </si>
  <si>
    <t>2022-05-20T14:35:50</t>
  </si>
  <si>
    <t>PV00496100</t>
  </si>
  <si>
    <t>2022-05-20T14:35:44</t>
  </si>
  <si>
    <t>PV00496093</t>
  </si>
  <si>
    <t>2022-05-20T14:35:42</t>
  </si>
  <si>
    <t>PV00495986</t>
  </si>
  <si>
    <t>2022-05-20T14:35:35</t>
  </si>
  <si>
    <t>PV00495808</t>
  </si>
  <si>
    <t>2022-05-20T14:35:28</t>
  </si>
  <si>
    <t>PV00495791</t>
  </si>
  <si>
    <t>2022-05-20T14:35:27</t>
  </si>
  <si>
    <t>PV00495609</t>
  </si>
  <si>
    <t>2022-05-20T14:35:21</t>
  </si>
  <si>
    <t>PV00495596</t>
  </si>
  <si>
    <t>2022-05-20T14:35:15</t>
  </si>
  <si>
    <t>PV00495482</t>
  </si>
  <si>
    <t>2022-05-20T14:35:13</t>
  </si>
  <si>
    <t>PV00495396</t>
  </si>
  <si>
    <t>PV00495205</t>
  </si>
  <si>
    <t>2022-05-20T14:35:11</t>
  </si>
  <si>
    <t>PV00495134</t>
  </si>
  <si>
    <t>2022-05-20T14:35:01</t>
  </si>
  <si>
    <t>PV00495071</t>
  </si>
  <si>
    <t>2022-05-20T14:35:00</t>
  </si>
  <si>
    <t>PV00494985</t>
  </si>
  <si>
    <t>2022-05-20T14:34:49</t>
  </si>
  <si>
    <t>PV00494862</t>
  </si>
  <si>
    <t>2022-05-20T14:34:40</t>
  </si>
  <si>
    <t>PV00494777</t>
  </si>
  <si>
    <t>2022-05-20T14:34:24</t>
  </si>
  <si>
    <t>PV00494625</t>
  </si>
  <si>
    <t>2022-05-20T14:34:23</t>
  </si>
  <si>
    <t>PV00494593</t>
  </si>
  <si>
    <t>2022-05-20T14:34:12</t>
  </si>
  <si>
    <t>PV00494429</t>
  </si>
  <si>
    <t>2022-05-20T14:34:02</t>
  </si>
  <si>
    <t>PV00494370</t>
  </si>
  <si>
    <t>2022-05-20T14:33:40</t>
  </si>
  <si>
    <t>PV00494234</t>
  </si>
  <si>
    <t>2022-05-20T14:33:25</t>
  </si>
  <si>
    <t>PV00494136</t>
  </si>
  <si>
    <t>2022-05-20T14:33:15</t>
  </si>
  <si>
    <t>PV00494039</t>
  </si>
  <si>
    <t>2022-05-20T14:33:00</t>
  </si>
  <si>
    <t>PV00493971</t>
  </si>
  <si>
    <t>2022-05-20T14:32:56</t>
  </si>
  <si>
    <t>PV00493815</t>
  </si>
  <si>
    <t>PV00493789</t>
  </si>
  <si>
    <t>2022-05-20T14:32:53</t>
  </si>
  <si>
    <t>PV00493673</t>
  </si>
  <si>
    <t>2022-05-20T14:32:45</t>
  </si>
  <si>
    <t>PV00493540</t>
  </si>
  <si>
    <t>PV00493496</t>
  </si>
  <si>
    <t>PV00493341</t>
  </si>
  <si>
    <t>2022-05-20T14:32:44</t>
  </si>
  <si>
    <t>PV00493278</t>
  </si>
  <si>
    <t>2022-05-20T14:32:39</t>
  </si>
  <si>
    <t>PV00493172</t>
  </si>
  <si>
    <t>2022-05-20T14:32:38</t>
  </si>
  <si>
    <t>PV00493023</t>
  </si>
  <si>
    <t>2022-05-20T14:32:32</t>
  </si>
  <si>
    <t>PV00492910</t>
  </si>
  <si>
    <t>2022-05-20T14:32:31</t>
  </si>
  <si>
    <t>PV00492882</t>
  </si>
  <si>
    <t>2022-05-20T14:32:28</t>
  </si>
  <si>
    <t>PV00492737</t>
  </si>
  <si>
    <t>2022-05-20T14:32:23</t>
  </si>
  <si>
    <t>PV00492694</t>
  </si>
  <si>
    <t>PV00492588</t>
  </si>
  <si>
    <t>2022-05-20T14:32:22</t>
  </si>
  <si>
    <t>PV00492414</t>
  </si>
  <si>
    <t>2022-05-20T14:32:19</t>
  </si>
  <si>
    <t>PV00492343</t>
  </si>
  <si>
    <t>2022-05-20T14:32:18</t>
  </si>
  <si>
    <t>PV00492219</t>
  </si>
  <si>
    <t>2022-05-20T14:32:16</t>
  </si>
  <si>
    <t>PV00492122</t>
  </si>
  <si>
    <t>PV00492041</t>
  </si>
  <si>
    <t>2022-05-20T14:32:12</t>
  </si>
  <si>
    <t>PV00491987</t>
  </si>
  <si>
    <t>2022-05-20T14:32:11</t>
  </si>
  <si>
    <t>PV00491830</t>
  </si>
  <si>
    <t>PV00491777</t>
  </si>
  <si>
    <t>2022-05-20T14:32:10</t>
  </si>
  <si>
    <t>PV00491623</t>
  </si>
  <si>
    <t>2022-05-20T14:32:07</t>
  </si>
  <si>
    <t>PV00491580</t>
  </si>
  <si>
    <t>2022-05-20T14:32:03</t>
  </si>
  <si>
    <t>PV00491492</t>
  </si>
  <si>
    <t>2022-05-20T14:31:56</t>
  </si>
  <si>
    <t>PV00491311</t>
  </si>
  <si>
    <t>PV00491218</t>
  </si>
  <si>
    <t>2022-05-20T14:31:55</t>
  </si>
  <si>
    <t>PV00491184</t>
  </si>
  <si>
    <t>2022-05-20T14:31:53</t>
  </si>
  <si>
    <t>PV00491027</t>
  </si>
  <si>
    <t>2022-05-20T14:31:48</t>
  </si>
  <si>
    <t>PV00490983</t>
  </si>
  <si>
    <t>2022-05-20T14:31:46</t>
  </si>
  <si>
    <t>PV00490835</t>
  </si>
  <si>
    <t>2022-05-20T14:31:40</t>
  </si>
  <si>
    <t>PV00490763</t>
  </si>
  <si>
    <t>2022-05-20T14:31:37</t>
  </si>
  <si>
    <t>PV00490632</t>
  </si>
  <si>
    <t>2022-05-20T14:31:24</t>
  </si>
  <si>
    <t>PV00490575</t>
  </si>
  <si>
    <t>2022-05-20T14:31:14</t>
  </si>
  <si>
    <t>PV00490463</t>
  </si>
  <si>
    <t>2022-05-20T14:31:04</t>
  </si>
  <si>
    <t>PV00490389</t>
  </si>
  <si>
    <t>2022-05-20T14:31:03</t>
  </si>
  <si>
    <t>PV00490252</t>
  </si>
  <si>
    <t>2022-05-20T14:30:56</t>
  </si>
  <si>
    <t>PV00490114</t>
  </si>
  <si>
    <t>2022-05-20T14:30:52</t>
  </si>
  <si>
    <t>PV00490094</t>
  </si>
  <si>
    <t>2022-05-20T14:30:43</t>
  </si>
  <si>
    <t>PV00489923</t>
  </si>
  <si>
    <t>PV00489870</t>
  </si>
  <si>
    <t>2022-05-20T14:30:42</t>
  </si>
  <si>
    <t>PV00489791</t>
  </si>
  <si>
    <t>2022-05-20T14:30:40</t>
  </si>
  <si>
    <t>PV00489685</t>
  </si>
  <si>
    <t>2022-05-20T14:30:39</t>
  </si>
  <si>
    <t>PV00489519</t>
  </si>
  <si>
    <t>2022-05-20T14:30:32</t>
  </si>
  <si>
    <t>PV00489470</t>
  </si>
  <si>
    <t>2022-05-20T14:30:09</t>
  </si>
  <si>
    <t>PV00489390</t>
  </si>
  <si>
    <t>2022-05-20T14:30:00</t>
  </si>
  <si>
    <t>PV00489298</t>
  </si>
  <si>
    <t>2022-05-20T14:29:44</t>
  </si>
  <si>
    <t>PV00489153</t>
  </si>
  <si>
    <t>2022-05-20T14:29:41</t>
  </si>
  <si>
    <t>PV00489056</t>
  </si>
  <si>
    <t>2022-05-20T14:29:36</t>
  </si>
  <si>
    <t>PV00488962</t>
  </si>
  <si>
    <t>2022-05-20T14:29:26</t>
  </si>
  <si>
    <t>PV00488839</t>
  </si>
  <si>
    <t>2022-05-20T14:29:18</t>
  </si>
  <si>
    <t>PV00488752</t>
  </si>
  <si>
    <t>PV00488699</t>
  </si>
  <si>
    <t>2022-05-20T14:29:17</t>
  </si>
  <si>
    <t>PV00488540</t>
  </si>
  <si>
    <t>2022-05-20T14:29:14</t>
  </si>
  <si>
    <t>PV00488489</t>
  </si>
  <si>
    <t>2022-05-20T14:29:13</t>
  </si>
  <si>
    <t>PV00488390</t>
  </si>
  <si>
    <t>2022-05-20T14:29:12</t>
  </si>
  <si>
    <t>PV00488204</t>
  </si>
  <si>
    <t>2022-05-20T14:28:59</t>
  </si>
  <si>
    <t>PV00488164</t>
  </si>
  <si>
    <t>2022-05-20T14:28:29</t>
  </si>
  <si>
    <t>PV00488086</t>
  </si>
  <si>
    <t>2022-05-20T14:28:28</t>
  </si>
  <si>
    <t>PV00487957</t>
  </si>
  <si>
    <t>2022-05-20T14:28:24</t>
  </si>
  <si>
    <t>PV00487869</t>
  </si>
  <si>
    <t>2022-05-20T14:28:21</t>
  </si>
  <si>
    <t>PV00487715</t>
  </si>
  <si>
    <t>2022-05-20T14:28:01</t>
  </si>
  <si>
    <t>PV00487664</t>
  </si>
  <si>
    <t>2022-05-20T14:27:57</t>
  </si>
  <si>
    <t>PV00487503</t>
  </si>
  <si>
    <t>2022-05-20T14:27:48</t>
  </si>
  <si>
    <t>PV00487407</t>
  </si>
  <si>
    <t>2022-05-20T14:27:38</t>
  </si>
  <si>
    <t>PV00487301</t>
  </si>
  <si>
    <t>2022-05-20T14:27:30</t>
  </si>
  <si>
    <t>PV00487268</t>
  </si>
  <si>
    <t>2022-05-20T14:27:29</t>
  </si>
  <si>
    <t>PV00487130</t>
  </si>
  <si>
    <t>2022-05-20T14:26:06</t>
  </si>
  <si>
    <t>PV00487048</t>
  </si>
  <si>
    <t>2022-05-20T13:53:40</t>
  </si>
  <si>
    <t>PV00486959</t>
  </si>
  <si>
    <t>2022-05-20T13:53:37</t>
  </si>
  <si>
    <t>PV00486808</t>
  </si>
  <si>
    <t>2022-05-20T13:53:21</t>
  </si>
  <si>
    <t>PV00486797</t>
  </si>
  <si>
    <t>2022-05-20T13:53:12</t>
  </si>
  <si>
    <t>PV00486676</t>
  </si>
  <si>
    <t>2022-05-20T13:52:56</t>
  </si>
  <si>
    <t>PV00486541</t>
  </si>
  <si>
    <t>2022-05-20T13:52:49</t>
  </si>
  <si>
    <t>PV00486453</t>
  </si>
  <si>
    <t>2022-05-20T13:52:36</t>
  </si>
  <si>
    <t>PV00486386</t>
  </si>
  <si>
    <t>2022-05-20T13:52:35</t>
  </si>
  <si>
    <t>PV00486241</t>
  </si>
  <si>
    <t>2022-05-20T13:52:26</t>
  </si>
  <si>
    <t>PV00486164</t>
  </si>
  <si>
    <t>2022-05-20T13:52:25</t>
  </si>
  <si>
    <t>PV00486074</t>
  </si>
  <si>
    <t>2022-05-20T13:52:24</t>
  </si>
  <si>
    <t>PV00485912</t>
  </si>
  <si>
    <t>2022-05-20T13:52:19</t>
  </si>
  <si>
    <t>PV00485884</t>
  </si>
  <si>
    <t>2022-05-20T13:52:16</t>
  </si>
  <si>
    <t>PV00485793</t>
  </si>
  <si>
    <t>2022-05-20T13:52:10</t>
  </si>
  <si>
    <t>PV00485600</t>
  </si>
  <si>
    <t>2022-05-20T13:52:09</t>
  </si>
  <si>
    <t>PV00485559</t>
  </si>
  <si>
    <t>2022-05-20T13:52:08</t>
  </si>
  <si>
    <t>PV00485420</t>
  </si>
  <si>
    <t>2022-05-20T13:51:57</t>
  </si>
  <si>
    <t>PV00485315</t>
  </si>
  <si>
    <t>2022-05-20T13:51:52</t>
  </si>
  <si>
    <t>PV00485235</t>
  </si>
  <si>
    <t>2022-05-20T13:51:47</t>
  </si>
  <si>
    <t>PV00485153</t>
  </si>
  <si>
    <t>2022-05-20T13:51:42</t>
  </si>
  <si>
    <t>PV00485036</t>
  </si>
  <si>
    <t>2022-05-20T13:51:40</t>
  </si>
  <si>
    <t>PV00484902</t>
  </si>
  <si>
    <t>2022-05-20T13:51:34</t>
  </si>
  <si>
    <t>PV00484865</t>
  </si>
  <si>
    <t>2022-05-20T13:51:32</t>
  </si>
  <si>
    <t>PV00484758</t>
  </si>
  <si>
    <t>2022-05-20T13:51:30</t>
  </si>
  <si>
    <t>PV00484657</t>
  </si>
  <si>
    <t>2022-05-20T13:51:29</t>
  </si>
  <si>
    <t>PV00484565</t>
  </si>
  <si>
    <t>2022-05-20T13:51:22</t>
  </si>
  <si>
    <t>PV00484485</t>
  </si>
  <si>
    <t>2022-05-20T13:51:16</t>
  </si>
  <si>
    <t>PV00484337</t>
  </si>
  <si>
    <t>2022-05-20T13:51:14</t>
  </si>
  <si>
    <t>PV00484257</t>
  </si>
  <si>
    <t>2022-05-20T13:50:41</t>
  </si>
  <si>
    <t>PV00484131</t>
  </si>
  <si>
    <t>2022-05-20T13:50:34</t>
  </si>
  <si>
    <t>PV00484065</t>
  </si>
  <si>
    <t>2022-05-20T13:50:05</t>
  </si>
  <si>
    <t>PV00483910</t>
  </si>
  <si>
    <t>2022-05-20T13:49:56</t>
  </si>
  <si>
    <t>PV00483846</t>
  </si>
  <si>
    <t>2022-05-20T13:49:48</t>
  </si>
  <si>
    <t>PV00483795</t>
  </si>
  <si>
    <t>2022-05-20T13:49:46</t>
  </si>
  <si>
    <t>PV00483631</t>
  </si>
  <si>
    <t>2022-05-20T13:49:07</t>
  </si>
  <si>
    <t>PV00483547</t>
  </si>
  <si>
    <t>2022-05-20T13:48:59</t>
  </si>
  <si>
    <t>PV00483485</t>
  </si>
  <si>
    <t>2022-05-20T13:17:30</t>
  </si>
  <si>
    <t>PV00483345</t>
  </si>
  <si>
    <t>2022-05-20T13:16:17</t>
  </si>
  <si>
    <t>PV00483260</t>
  </si>
  <si>
    <t>2022-05-20T13:16:13</t>
  </si>
  <si>
    <t>PV00483130</t>
  </si>
  <si>
    <t>2022-05-20T13:15:29</t>
  </si>
  <si>
    <t>PV00483073</t>
  </si>
  <si>
    <t>2022-05-20T13:15:27</t>
  </si>
  <si>
    <t>PV00482944</t>
  </si>
  <si>
    <t>2022-05-20T13:15:26</t>
  </si>
  <si>
    <t>PV00482828</t>
  </si>
  <si>
    <t>2022-05-20T13:15:24</t>
  </si>
  <si>
    <t>PV00482724</t>
  </si>
  <si>
    <t>PV00482697</t>
  </si>
  <si>
    <t>2022-05-20T13:15:20</t>
  </si>
  <si>
    <t>PV00482532</t>
  </si>
  <si>
    <t>PV00482431</t>
  </si>
  <si>
    <t>2022-05-20T13:15:19</t>
  </si>
  <si>
    <t>PV00482391</t>
  </si>
  <si>
    <t>2022-05-20T13:15:12</t>
  </si>
  <si>
    <t>PV00482295</t>
  </si>
  <si>
    <t>2022-05-20T13:15:11</t>
  </si>
  <si>
    <t>PV00482101</t>
  </si>
  <si>
    <t>2022-05-20T13:15:10</t>
  </si>
  <si>
    <t>PV00482077</t>
  </si>
  <si>
    <t>2022-05-20T13:15:08</t>
  </si>
  <si>
    <t>PV00481980</t>
  </si>
  <si>
    <t>PV00481817</t>
  </si>
  <si>
    <t>2022-05-20T13:15:07</t>
  </si>
  <si>
    <t>PV00481781</t>
  </si>
  <si>
    <t>2022-05-20T13:15:05</t>
  </si>
  <si>
    <t>PV00481654</t>
  </si>
  <si>
    <t>2022-05-20T13:15:02</t>
  </si>
  <si>
    <t>PV00481503</t>
  </si>
  <si>
    <t>PV00481448</t>
  </si>
  <si>
    <t>2022-05-20T13:15:01</t>
  </si>
  <si>
    <t>PV00481392</t>
  </si>
  <si>
    <t>PV00481270</t>
  </si>
  <si>
    <t>2022-05-20T13:15:00</t>
  </si>
  <si>
    <t>PV00481144</t>
  </si>
  <si>
    <t>2022-05-20T13:14:57</t>
  </si>
  <si>
    <t>PV00481050</t>
  </si>
  <si>
    <t>2022-05-20T13:14:55</t>
  </si>
  <si>
    <t>PV00480901</t>
  </si>
  <si>
    <t>2022-05-20T13:14:54</t>
  </si>
  <si>
    <t>PV00480891</t>
  </si>
  <si>
    <t>2022-05-20T13:14:50</t>
  </si>
  <si>
    <t>PV00480775</t>
  </si>
  <si>
    <t>2022-05-20T13:14:44</t>
  </si>
  <si>
    <t>PV00480646</t>
  </si>
  <si>
    <t>2022-05-20T13:14:41</t>
  </si>
  <si>
    <t>PV00480559</t>
  </si>
  <si>
    <t>2022-05-20T13:14:40</t>
  </si>
  <si>
    <t>PV00480404</t>
  </si>
  <si>
    <t>2022-05-20T13:14:34</t>
  </si>
  <si>
    <t>PV00480307</t>
  </si>
  <si>
    <t>2022-05-20T13:14:27</t>
  </si>
  <si>
    <t>PV00480258</t>
  </si>
  <si>
    <t>2022-05-20T13:14:26</t>
  </si>
  <si>
    <t>PV00480176</t>
  </si>
  <si>
    <t>2022-05-20T12:06:41</t>
  </si>
  <si>
    <t>PV00480002</t>
  </si>
  <si>
    <t>2022-05-20T12:06:06</t>
  </si>
  <si>
    <t>PV00479947</t>
  </si>
  <si>
    <t>2022-05-20T12:05:55</t>
  </si>
  <si>
    <t>PV00479847</t>
  </si>
  <si>
    <t>2022-05-20T12:05:44</t>
  </si>
  <si>
    <t>PV00479798</t>
  </si>
  <si>
    <t>2022-05-20T12:05:38</t>
  </si>
  <si>
    <t>PV00479620</t>
  </si>
  <si>
    <t>2022-05-20T12:05:17</t>
  </si>
  <si>
    <t>PV00479575</t>
  </si>
  <si>
    <t>2022-05-20T12:05:08</t>
  </si>
  <si>
    <t>PV00479468</t>
  </si>
  <si>
    <t>2022-05-20T12:05:07</t>
  </si>
  <si>
    <t>PV00479394</t>
  </si>
  <si>
    <t>2022-05-20T12:05:06</t>
  </si>
  <si>
    <t>PV00479209</t>
  </si>
  <si>
    <t>2022-05-20T12:04:56</t>
  </si>
  <si>
    <t>PV00479101</t>
  </si>
  <si>
    <t>2022-05-20T12:04:54</t>
  </si>
  <si>
    <t>PV00479060</t>
  </si>
  <si>
    <t>2022-05-20T12:04:53</t>
  </si>
  <si>
    <t>PV00478937</t>
  </si>
  <si>
    <t>2022-05-20T12:04:47</t>
  </si>
  <si>
    <t>PV00478808</t>
  </si>
  <si>
    <t>2022-05-20T12:04:41</t>
  </si>
  <si>
    <t>PV00478758</t>
  </si>
  <si>
    <t>2022-05-20T12:04:40</t>
  </si>
  <si>
    <t>PV00478658</t>
  </si>
  <si>
    <t>2022-05-20T12:04:31</t>
  </si>
  <si>
    <t>PV00478549</t>
  </si>
  <si>
    <t>2022-05-20T12:04:23</t>
  </si>
  <si>
    <t>PV00478435</t>
  </si>
  <si>
    <t>2022-05-20T12:04:22</t>
  </si>
  <si>
    <t>PV00478381</t>
  </si>
  <si>
    <t>2022-05-20T12:04:17</t>
  </si>
  <si>
    <t>PV00478212</t>
  </si>
  <si>
    <t>PV00478109</t>
  </si>
  <si>
    <t>2022-05-20T12:04:11</t>
  </si>
  <si>
    <t>PV00478076</t>
  </si>
  <si>
    <t>2022-05-20T12:04:00</t>
  </si>
  <si>
    <t>PV00514965</t>
  </si>
  <si>
    <t>2022-05-20T17:39:52</t>
  </si>
  <si>
    <t>PV00518778</t>
  </si>
  <si>
    <t>2022-05-26T09:47:24</t>
  </si>
  <si>
    <t>PV00518662</t>
  </si>
  <si>
    <t>2022-05-26T09:47:20</t>
  </si>
  <si>
    <t>PV00518589</t>
  </si>
  <si>
    <t>PV00518438</t>
  </si>
  <si>
    <t>2022-05-26T09:47:12</t>
  </si>
  <si>
    <t>PV00518323</t>
  </si>
  <si>
    <t>2022-05-26T09:47:11</t>
  </si>
  <si>
    <t>PV00518222</t>
  </si>
  <si>
    <t>2022-05-26T09:47:07</t>
  </si>
  <si>
    <t>PV00518139</t>
  </si>
  <si>
    <t>2022-05-26T09:47:05</t>
  </si>
  <si>
    <t>PV00518088</t>
  </si>
  <si>
    <t>2022-05-26T09:46:59</t>
  </si>
  <si>
    <t>PV00517928</t>
  </si>
  <si>
    <t>2022-05-26T09:46:58</t>
  </si>
  <si>
    <t>PV00517899</t>
  </si>
  <si>
    <t>2022-05-26T09:46:54</t>
  </si>
  <si>
    <t>PV00517726</t>
  </si>
  <si>
    <t>PV00517691</t>
  </si>
  <si>
    <t>2022-05-26T09:46:51</t>
  </si>
  <si>
    <t>PV00517588</t>
  </si>
  <si>
    <t>2022-05-26T09:46:50</t>
  </si>
  <si>
    <t>PV00517425</t>
  </si>
  <si>
    <t>2022-05-26T09:46:48</t>
  </si>
  <si>
    <t>PV00517354</t>
  </si>
  <si>
    <t>2022-05-26T09:46:47</t>
  </si>
  <si>
    <t>PV00517224</t>
  </si>
  <si>
    <t>PV00517161</t>
  </si>
  <si>
    <t>2022-05-26T09:46:44</t>
  </si>
  <si>
    <t>PV00517062</t>
  </si>
  <si>
    <t>2022-05-26T09:46:43</t>
  </si>
  <si>
    <t>PV00516912</t>
  </si>
  <si>
    <t>PV00516844</t>
  </si>
  <si>
    <t>2022-05-26T09:46:42</t>
  </si>
  <si>
    <t>PV00516735</t>
  </si>
  <si>
    <t>PV00516608</t>
  </si>
  <si>
    <t>2022-05-26T09:46:41</t>
  </si>
  <si>
    <t>PV00516560</t>
  </si>
  <si>
    <t>PV00516472</t>
  </si>
  <si>
    <t>PV00516365</t>
  </si>
  <si>
    <t>2022-05-26T09:46:40</t>
  </si>
  <si>
    <t>PV00516251</t>
  </si>
  <si>
    <t>PV00516118</t>
  </si>
  <si>
    <t>2022-05-26T09:46:33</t>
  </si>
  <si>
    <t>PV00516095</t>
  </si>
  <si>
    <t>2022-05-26T09:46:22</t>
  </si>
  <si>
    <t>PV00515936</t>
  </si>
  <si>
    <t>2022-05-26T09:46:21</t>
  </si>
  <si>
    <t>PV00515846</t>
  </si>
  <si>
    <t>2022-05-26T09:46:05</t>
  </si>
  <si>
    <t>PV00515772</t>
  </si>
  <si>
    <t>2022-05-26T09:45:49</t>
  </si>
  <si>
    <t>PV00515605</t>
  </si>
  <si>
    <t>2022-05-26T09:44:34</t>
  </si>
  <si>
    <t>PV00515532</t>
  </si>
  <si>
    <t>2022-05-26T09:44:08</t>
  </si>
  <si>
    <t>PV00515498</t>
  </si>
  <si>
    <t>2022-05-24T12:15:48</t>
  </si>
  <si>
    <t>PV00515367</t>
  </si>
  <si>
    <t>2022-05-23T15:07:40</t>
  </si>
  <si>
    <t>PV00515265</t>
  </si>
  <si>
    <t>2022-05-23T08:31:10</t>
  </si>
  <si>
    <t>PV00515115</t>
  </si>
  <si>
    <t>2022-05-23T08:27:11</t>
  </si>
  <si>
    <t>PV00515030</t>
  </si>
  <si>
    <t>2022-05-21T22:39:09</t>
  </si>
  <si>
    <t>Q12
×Q13</t>
    <phoneticPr fontId="23"/>
  </si>
  <si>
    <t>Q12'
×Q13</t>
    <phoneticPr fontId="23"/>
  </si>
  <si>
    <r>
      <t>【貼付用】児童・生徒アンケートlist!Y</t>
    </r>
    <r>
      <rPr>
        <sz val="11"/>
        <color theme="1"/>
        <rFont val="ＭＳ Ｐゴシック"/>
        <family val="2"/>
        <charset val="128"/>
      </rPr>
      <t>5:</t>
    </r>
    <r>
      <rPr>
        <sz val="11"/>
        <color theme="1"/>
        <rFont val="ＭＳ Ｐゴシック"/>
        <family val="2"/>
        <charset val="128"/>
      </rPr>
      <t>Y</t>
    </r>
    <r>
      <rPr>
        <sz val="11"/>
        <color theme="1"/>
        <rFont val="ＭＳ Ｐゴシック"/>
        <family val="2"/>
        <charset val="128"/>
      </rPr>
      <t>5000</t>
    </r>
    <phoneticPr fontId="23"/>
  </si>
  <si>
    <r>
      <t>【貼付用】児童・生徒アンケートlist!</t>
    </r>
    <r>
      <rPr>
        <sz val="11"/>
        <color theme="1"/>
        <rFont val="ＭＳ Ｐゴシック"/>
        <family val="2"/>
        <charset val="128"/>
      </rPr>
      <t>AC5:AC5000</t>
    </r>
    <phoneticPr fontId="23"/>
  </si>
  <si>
    <r>
      <t>【貼付用】児童・生徒アンケートlist!</t>
    </r>
    <r>
      <rPr>
        <sz val="11"/>
        <color theme="1"/>
        <rFont val="ＭＳ Ｐゴシック"/>
        <family val="2"/>
        <charset val="128"/>
      </rPr>
      <t>AD5:AD5000</t>
    </r>
    <phoneticPr fontId="23"/>
  </si>
  <si>
    <t>「あなたがいてくれてよかった」「あなたのことが大好きだよ」という気持ちを家族やまわりの人から聞いたことがありますか？</t>
    <phoneticPr fontId="23"/>
  </si>
  <si>
    <t>「あなたがいてくれてよかった」「あなたのことが大好きだよ」という気持ちを家族やまわりの人から聞いたことがあるこどものうち、今の自分を好きと答えた割合</t>
    <rPh sb="61" eb="62">
      <t>イマ</t>
    </rPh>
    <phoneticPr fontId="23"/>
  </si>
  <si>
    <t>「あなたがいてくれてよかった」「あなたのことが大好きだよ」という気持ちを家族やまわりの人から聞いたことが「ない」こどものうち、今の自分を好きと答えた割合</t>
    <rPh sb="63" eb="64">
      <t>イマ</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</si>
</sst>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quot;Q&quot;###"/>
  </numFmts>
  <fonts count="42">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color indexed="10"/>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2"/>
      <charset val="128"/>
      <scheme val="minor"/>
    </font>
    <font>
      <b/>
      <sz val="8"/>
      <color indexed="81"/>
      <name val="MS P ゴシック"/>
      <family val="3"/>
      <charset val="128"/>
    </font>
    <font>
      <sz val="6"/>
      <name val="ＭＳ Ｐゴシック"/>
      <family val="2"/>
      <charset val="128"/>
    </font>
    <font>
      <b/>
      <sz val="11"/>
      <color rgb="FFFFFF00"/>
      <name val="ＭＳ Ｐゴシック"/>
      <family val="3"/>
      <charset val="128"/>
      <scheme val="minor"/>
    </font>
    <font>
      <sz val="11"/>
      <color rgb="FFFFFF00"/>
      <name val="ＭＳ Ｐゴシック"/>
      <family val="3"/>
      <charset val="128"/>
      <scheme val="minor"/>
    </font>
    <font>
      <sz val="9"/>
      <color rgb="FFFFFF00"/>
      <name val="ＭＳ Ｐゴシック"/>
      <family val="3"/>
      <charset val="128"/>
      <scheme val="minor"/>
    </font>
    <font>
      <sz val="11"/>
      <color rgb="FFFF0000"/>
      <name val="ＭＳ Ｐゴシック"/>
      <family val="3"/>
      <charset val="128"/>
      <scheme val="minor"/>
    </font>
    <font>
      <i/>
      <sz val="11"/>
      <color rgb="FFFF0000"/>
      <name val="ＭＳ Ｐゴシック"/>
      <family val="3"/>
      <charset val="128"/>
      <scheme val="minor"/>
    </font>
    <font>
      <i/>
      <sz val="11"/>
      <color theme="1"/>
      <name val="ＭＳ Ｐゴシック"/>
      <family val="3"/>
      <charset val="128"/>
      <scheme val="minor"/>
    </font>
    <font>
      <i/>
      <sz val="8"/>
      <color theme="1"/>
      <name val="ＭＳ Ｐゴシック"/>
      <family val="3"/>
      <charset val="128"/>
      <scheme val="minor"/>
    </font>
    <font>
      <i/>
      <sz val="9"/>
      <color theme="1"/>
      <name val="ＭＳ Ｐゴシック"/>
      <family val="3"/>
      <charset val="128"/>
      <scheme val="minor"/>
    </font>
    <font>
      <i/>
      <sz val="6"/>
      <color theme="1"/>
      <name val="ＭＳ Ｐゴシック"/>
      <family val="3"/>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rgb="FFFFCCFF"/>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ouble">
        <color indexed="64"/>
      </right>
      <top/>
      <bottom/>
      <diagonal/>
    </border>
    <border>
      <left style="double">
        <color indexed="64"/>
      </left>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diagonal/>
    </border>
  </borders>
  <cellStyleXfs count="44">
    <xf numFmtId="0" fontId="0" fillId="0" borderId="0">
      <alignment vertical="center"/>
    </xf>
    <xf numFmtId="0" fontId="7" fillId="0" borderId="0" applyNumberFormat="0" applyFill="0" applyBorder="0" applyAlignment="0" applyProtection="0">
      <alignment vertical="center"/>
    </xf>
    <xf numFmtId="0" fontId="8" fillId="0" borderId="1"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4" fillId="5" borderId="4" applyNumberFormat="0" applyAlignment="0" applyProtection="0">
      <alignment vertical="center"/>
    </xf>
    <xf numFmtId="0" fontId="15" fillId="6" borderId="5" applyNumberFormat="0" applyAlignment="0" applyProtection="0">
      <alignment vertical="center"/>
    </xf>
    <xf numFmtId="0" fontId="16" fillId="6" borderId="4" applyNumberFormat="0" applyAlignment="0" applyProtection="0">
      <alignment vertical="center"/>
    </xf>
    <xf numFmtId="0" fontId="17" fillId="0" borderId="6" applyNumberFormat="0" applyFill="0" applyAlignment="0" applyProtection="0">
      <alignment vertical="center"/>
    </xf>
    <xf numFmtId="0" fontId="18" fillId="7" borderId="7" applyNumberFormat="0" applyAlignment="0" applyProtection="0">
      <alignment vertical="center"/>
    </xf>
    <xf numFmtId="0" fontId="19" fillId="0" borderId="0" applyNumberFormat="0" applyFill="0" applyBorder="0" applyAlignment="0" applyProtection="0">
      <alignment vertical="center"/>
    </xf>
    <xf numFmtId="0" fontId="6" fillId="8" borderId="8" applyNumberFormat="0" applyFont="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22" fillId="32" borderId="0" applyNumberFormat="0" applyBorder="0" applyAlignment="0" applyProtection="0">
      <alignment vertical="center"/>
    </xf>
    <xf numFmtId="0" fontId="5" fillId="0" borderId="0">
      <alignment vertical="center"/>
    </xf>
    <xf numFmtId="0" fontId="4" fillId="0" borderId="0">
      <alignment vertical="center"/>
    </xf>
  </cellStyleXfs>
  <cellXfs count="156">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24" fillId="33" borderId="0" xfId="0" applyFont="1" applyFill="1" applyAlignment="1">
      <alignment horizontal="center" vertical="center" textRotation="255" wrapText="1"/>
    </xf>
    <xf numFmtId="0" fontId="24" fillId="0" borderId="0" xfId="0" applyFont="1" applyAlignment="1">
      <alignment horizontal="center" vertical="center" textRotation="255" wrapText="1"/>
    </xf>
    <xf numFmtId="0" fontId="25" fillId="0" borderId="12" xfId="0" applyFont="1" applyBorder="1" applyAlignment="1">
      <alignment horizontal="center" vertical="center"/>
    </xf>
    <xf numFmtId="0" fontId="25" fillId="33" borderId="13" xfId="0" applyFont="1" applyFill="1" applyBorder="1" applyAlignment="1">
      <alignment horizontal="center" vertical="center"/>
    </xf>
    <xf numFmtId="0" fontId="25" fillId="0" borderId="13" xfId="0" applyFont="1" applyBorder="1" applyAlignment="1">
      <alignment horizontal="center" vertical="center"/>
    </xf>
    <xf numFmtId="0" fontId="25" fillId="33" borderId="14" xfId="0" applyFont="1" applyFill="1" applyBorder="1" applyAlignment="1">
      <alignment horizontal="center" vertical="center"/>
    </xf>
    <xf numFmtId="0" fontId="26" fillId="0" borderId="15" xfId="0" applyFont="1" applyBorder="1" applyAlignment="1">
      <alignment vertical="center"/>
    </xf>
    <xf numFmtId="0" fontId="25" fillId="0" borderId="16" xfId="0" applyFont="1" applyBorder="1" applyAlignment="1">
      <alignment horizontal="center" vertical="center"/>
    </xf>
    <xf numFmtId="176" fontId="25" fillId="33" borderId="17" xfId="0" applyNumberFormat="1" applyFont="1" applyFill="1" applyBorder="1" applyAlignment="1">
      <alignment horizontal="center" vertical="center"/>
    </xf>
    <xf numFmtId="176" fontId="25" fillId="0" borderId="17" xfId="0" applyNumberFormat="1" applyFont="1" applyBorder="1" applyAlignment="1">
      <alignment horizontal="center" vertical="center"/>
    </xf>
    <xf numFmtId="176" fontId="25" fillId="33" borderId="18" xfId="0" applyNumberFormat="1" applyFont="1" applyFill="1" applyBorder="1" applyAlignment="1">
      <alignment horizontal="center" vertical="center"/>
    </xf>
    <xf numFmtId="0" fontId="25" fillId="0" borderId="15" xfId="0" applyFont="1" applyBorder="1" applyAlignment="1">
      <alignment vertical="center"/>
    </xf>
    <xf numFmtId="0" fontId="25" fillId="33" borderId="14" xfId="0" applyNumberFormat="1" applyFont="1" applyFill="1" applyBorder="1" applyAlignment="1">
      <alignment horizontal="center" vertical="center"/>
    </xf>
    <xf numFmtId="0" fontId="0" fillId="0" borderId="15" xfId="0" applyBorder="1">
      <alignment vertical="center"/>
    </xf>
    <xf numFmtId="0" fontId="25" fillId="0" borderId="20" xfId="0" applyFont="1" applyBorder="1" applyAlignment="1">
      <alignment horizontal="center" vertical="center"/>
    </xf>
    <xf numFmtId="176" fontId="25" fillId="33" borderId="21" xfId="0" applyNumberFormat="1" applyFont="1" applyFill="1" applyBorder="1" applyAlignment="1">
      <alignment horizontal="center" vertical="center"/>
    </xf>
    <xf numFmtId="176" fontId="25" fillId="0" borderId="21" xfId="0" applyNumberFormat="1" applyFont="1" applyBorder="1" applyAlignment="1">
      <alignment horizontal="center" vertical="center"/>
    </xf>
    <xf numFmtId="176" fontId="25" fillId="33" borderId="22" xfId="0" applyNumberFormat="1" applyFont="1" applyFill="1" applyBorder="1" applyAlignment="1">
      <alignment horizontal="center" vertical="center"/>
    </xf>
    <xf numFmtId="0" fontId="25" fillId="0" borderId="24" xfId="0" applyFont="1" applyBorder="1" applyAlignment="1">
      <alignment horizontal="center" vertical="center"/>
    </xf>
    <xf numFmtId="0" fontId="25" fillId="33" borderId="0" xfId="0" applyFont="1" applyFill="1" applyBorder="1" applyAlignment="1">
      <alignment horizontal="center" vertical="center"/>
    </xf>
    <xf numFmtId="0" fontId="25" fillId="0" borderId="0" xfId="0" applyFont="1" applyBorder="1" applyAlignment="1">
      <alignment horizontal="center" vertical="center"/>
    </xf>
    <xf numFmtId="0" fontId="25" fillId="33" borderId="25" xfId="0" applyNumberFormat="1" applyFont="1" applyFill="1" applyBorder="1" applyAlignment="1">
      <alignment horizontal="center" vertical="center"/>
    </xf>
    <xf numFmtId="0" fontId="25" fillId="33" borderId="25" xfId="0" applyFont="1" applyFill="1" applyBorder="1" applyAlignment="1">
      <alignment horizontal="center" vertical="center"/>
    </xf>
    <xf numFmtId="0" fontId="25" fillId="0" borderId="23" xfId="0" applyFont="1" applyBorder="1" applyAlignment="1">
      <alignment horizontal="center" vertical="center"/>
    </xf>
    <xf numFmtId="0" fontId="25" fillId="33" borderId="31" xfId="0" applyFont="1" applyFill="1" applyBorder="1" applyAlignment="1">
      <alignment horizontal="center" vertical="center"/>
    </xf>
    <xf numFmtId="0" fontId="25" fillId="0" borderId="31" xfId="0" applyFont="1" applyBorder="1" applyAlignment="1">
      <alignment horizontal="center" vertical="center"/>
    </xf>
    <xf numFmtId="0" fontId="30" fillId="0" borderId="0" xfId="0" applyFont="1">
      <alignment vertical="center"/>
    </xf>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24" fillId="33" borderId="0" xfId="0" applyFont="1" applyFill="1" applyAlignment="1">
      <alignment horizontal="center" vertical="center" textRotation="255" wrapText="1"/>
    </xf>
    <xf numFmtId="0" fontId="25" fillId="0" borderId="12" xfId="0" applyFont="1" applyBorder="1" applyAlignment="1">
      <alignment horizontal="center" vertical="center"/>
    </xf>
    <xf numFmtId="0" fontId="25" fillId="33" borderId="14" xfId="0" applyFont="1" applyFill="1" applyBorder="1" applyAlignment="1">
      <alignment horizontal="center" vertical="center"/>
    </xf>
    <xf numFmtId="0" fontId="25" fillId="0" borderId="16" xfId="0" applyFont="1" applyBorder="1" applyAlignment="1">
      <alignment horizontal="center" vertical="center"/>
    </xf>
    <xf numFmtId="176" fontId="25" fillId="33" borderId="18" xfId="0" applyNumberFormat="1" applyFont="1" applyFill="1" applyBorder="1" applyAlignment="1">
      <alignment horizontal="center" vertical="center"/>
    </xf>
    <xf numFmtId="0" fontId="25" fillId="33" borderId="14" xfId="0" applyNumberFormat="1" applyFont="1" applyFill="1" applyBorder="1" applyAlignment="1">
      <alignment horizontal="center" vertical="center"/>
    </xf>
    <xf numFmtId="0" fontId="25" fillId="0" borderId="20" xfId="0" applyFont="1" applyBorder="1" applyAlignment="1">
      <alignment horizontal="center" vertical="center"/>
    </xf>
    <xf numFmtId="176" fontId="25" fillId="33" borderId="22" xfId="0" applyNumberFormat="1" applyFont="1" applyFill="1" applyBorder="1" applyAlignment="1">
      <alignment horizontal="center" vertical="center"/>
    </xf>
    <xf numFmtId="0" fontId="25" fillId="0" borderId="24" xfId="0" applyFont="1" applyBorder="1" applyAlignment="1">
      <alignment horizontal="center" vertical="center"/>
    </xf>
    <xf numFmtId="0" fontId="25" fillId="33" borderId="25" xfId="0" applyNumberFormat="1" applyFont="1" applyFill="1" applyBorder="1" applyAlignment="1">
      <alignment horizontal="center" vertical="center"/>
    </xf>
    <xf numFmtId="0" fontId="25" fillId="33" borderId="25" xfId="0" applyFont="1" applyFill="1" applyBorder="1" applyAlignment="1">
      <alignment horizontal="center" vertical="center"/>
    </xf>
    <xf numFmtId="0" fontId="25" fillId="0" borderId="23" xfId="0" applyFont="1" applyBorder="1" applyAlignment="1">
      <alignment horizontal="center" vertical="center"/>
    </xf>
    <xf numFmtId="0" fontId="0" fillId="0" borderId="0" xfId="0" applyFont="1" applyAlignment="1">
      <alignment vertical="center" wrapText="1"/>
    </xf>
    <xf numFmtId="0" fontId="26" fillId="0" borderId="0" xfId="0" applyFont="1" applyFill="1" applyAlignment="1">
      <alignment vertical="center" wrapText="1"/>
    </xf>
    <xf numFmtId="0" fontId="27" fillId="0" borderId="0" xfId="0" applyFont="1">
      <alignment vertical="center"/>
    </xf>
    <xf numFmtId="0" fontId="0" fillId="34" borderId="0" xfId="0" applyFill="1">
      <alignment vertical="center"/>
    </xf>
    <xf numFmtId="0" fontId="28" fillId="0" borderId="0" xfId="0" applyFont="1" applyAlignment="1">
      <alignment horizontal="right" vertical="center"/>
    </xf>
    <xf numFmtId="0" fontId="29" fillId="0" borderId="0" xfId="0" applyFont="1" applyFill="1" applyAlignment="1">
      <alignment horizontal="right" vertical="center"/>
    </xf>
    <xf numFmtId="0" fontId="0" fillId="0" borderId="0" xfId="0" applyFill="1" applyAlignment="1">
      <alignment horizontal="center" vertical="center"/>
    </xf>
    <xf numFmtId="0" fontId="27" fillId="0" borderId="0" xfId="0" applyFont="1" applyFill="1" applyAlignment="1">
      <alignment horizontal="center" vertical="center"/>
    </xf>
    <xf numFmtId="0" fontId="0" fillId="0" borderId="0" xfId="0" applyFill="1">
      <alignment vertical="center"/>
    </xf>
    <xf numFmtId="0" fontId="27" fillId="0" borderId="0" xfId="0" applyFont="1" applyAlignment="1">
      <alignment horizontal="center" vertical="center"/>
    </xf>
    <xf numFmtId="0" fontId="22" fillId="0" borderId="0" xfId="0" applyFont="1" applyAlignment="1">
      <alignment horizontal="center" vertical="center"/>
    </xf>
    <xf numFmtId="0" fontId="24" fillId="33" borderId="0" xfId="0" applyFont="1" applyFill="1" applyAlignment="1">
      <alignment horizontal="center" vertical="center" textRotation="255" shrinkToFit="1"/>
    </xf>
    <xf numFmtId="0" fontId="24" fillId="0" borderId="0" xfId="0" applyFont="1" applyAlignment="1">
      <alignment horizontal="center" vertical="center" textRotation="255" shrinkToFit="1"/>
    </xf>
    <xf numFmtId="0" fontId="26" fillId="34" borderId="15" xfId="0" applyFont="1" applyFill="1" applyBorder="1" applyAlignment="1">
      <alignment vertical="center"/>
    </xf>
    <xf numFmtId="0" fontId="26" fillId="0" borderId="0" xfId="0" applyFont="1" applyBorder="1">
      <alignment vertical="center"/>
    </xf>
    <xf numFmtId="0" fontId="26" fillId="0" borderId="0" xfId="0" applyFont="1">
      <alignment vertical="center"/>
    </xf>
    <xf numFmtId="0" fontId="26" fillId="34" borderId="15" xfId="0" applyFont="1" applyFill="1" applyBorder="1">
      <alignment vertical="center"/>
    </xf>
    <xf numFmtId="0" fontId="0" fillId="34" borderId="15" xfId="0" applyFill="1" applyBorder="1">
      <alignment vertical="center"/>
    </xf>
    <xf numFmtId="0" fontId="0" fillId="0" borderId="0" xfId="0" applyBorder="1">
      <alignment vertical="center"/>
    </xf>
    <xf numFmtId="0" fontId="19" fillId="0" borderId="0" xfId="0" applyFont="1" applyAlignment="1">
      <alignment vertical="center" wrapText="1"/>
    </xf>
    <xf numFmtId="0" fontId="19" fillId="0" borderId="0" xfId="0" applyFont="1">
      <alignment vertical="center"/>
    </xf>
    <xf numFmtId="0" fontId="0" fillId="0" borderId="40" xfId="0" applyBorder="1">
      <alignment vertical="center"/>
    </xf>
    <xf numFmtId="0" fontId="0" fillId="0" borderId="31" xfId="0" applyBorder="1">
      <alignment vertical="center"/>
    </xf>
    <xf numFmtId="0" fontId="0" fillId="0" borderId="41" xfId="0" applyBorder="1">
      <alignment vertical="center"/>
    </xf>
    <xf numFmtId="0" fontId="0" fillId="0" borderId="36" xfId="0" applyBorder="1">
      <alignment vertical="center"/>
    </xf>
    <xf numFmtId="0" fontId="0" fillId="0" borderId="21" xfId="0" applyBorder="1">
      <alignment vertical="center"/>
    </xf>
    <xf numFmtId="0" fontId="0" fillId="0" borderId="42" xfId="0" applyBorder="1">
      <alignment vertical="center"/>
    </xf>
    <xf numFmtId="0" fontId="0" fillId="0" borderId="30" xfId="0" applyBorder="1" applyAlignment="1">
      <alignment vertical="center" wrapText="1"/>
    </xf>
    <xf numFmtId="0" fontId="22" fillId="0" borderId="0" xfId="0" applyFont="1" applyFill="1">
      <alignment vertical="center"/>
    </xf>
    <xf numFmtId="0" fontId="22" fillId="0" borderId="0" xfId="0" applyFont="1">
      <alignment vertical="center"/>
    </xf>
    <xf numFmtId="0" fontId="22" fillId="35" borderId="0" xfId="0" applyFont="1" applyFill="1" applyAlignment="1">
      <alignment vertical="center" wrapText="1"/>
    </xf>
    <xf numFmtId="0" fontId="25" fillId="0" borderId="20" xfId="0" applyFont="1" applyBorder="1" applyAlignment="1">
      <alignment horizontal="center" vertical="center"/>
    </xf>
    <xf numFmtId="0" fontId="25" fillId="0" borderId="23" xfId="0" applyFont="1" applyBorder="1" applyAlignment="1">
      <alignment horizontal="center" vertical="center"/>
    </xf>
    <xf numFmtId="0" fontId="25" fillId="33" borderId="31" xfId="0" applyFont="1" applyFill="1" applyBorder="1" applyAlignment="1">
      <alignment horizontal="center" vertical="center"/>
    </xf>
    <xf numFmtId="176" fontId="25" fillId="33" borderId="21" xfId="0" applyNumberFormat="1" applyFont="1" applyFill="1" applyBorder="1" applyAlignment="1">
      <alignment horizontal="center" vertical="center"/>
    </xf>
    <xf numFmtId="0" fontId="25" fillId="33" borderId="13" xfId="0" applyFont="1" applyFill="1" applyBorder="1" applyAlignment="1">
      <alignment horizontal="center" vertical="center"/>
    </xf>
    <xf numFmtId="0" fontId="5" fillId="0" borderId="0" xfId="42">
      <alignment vertical="center"/>
    </xf>
    <xf numFmtId="0" fontId="0" fillId="36" borderId="30" xfId="0" applyFill="1" applyBorder="1" applyAlignment="1">
      <alignment vertical="center" wrapText="1"/>
    </xf>
    <xf numFmtId="177" fontId="0" fillId="33" borderId="30" xfId="0" applyNumberFormat="1" applyFill="1" applyBorder="1">
      <alignment vertical="center"/>
    </xf>
    <xf numFmtId="177" fontId="0" fillId="36" borderId="30" xfId="0" applyNumberFormat="1" applyFill="1" applyBorder="1">
      <alignment vertical="center"/>
    </xf>
    <xf numFmtId="0" fontId="5" fillId="37" borderId="30" xfId="42" applyFill="1" applyBorder="1">
      <alignment vertical="center"/>
    </xf>
    <xf numFmtId="0" fontId="0" fillId="0" borderId="0" xfId="0" applyFill="1" applyBorder="1">
      <alignment vertical="center"/>
    </xf>
    <xf numFmtId="0" fontId="25" fillId="33" borderId="43" xfId="0" applyNumberFormat="1" applyFont="1" applyFill="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wrapText="1"/>
    </xf>
    <xf numFmtId="0" fontId="26" fillId="0" borderId="0" xfId="0" applyFont="1" applyBorder="1" applyAlignment="1">
      <alignment vertical="center"/>
    </xf>
    <xf numFmtId="0" fontId="25" fillId="0" borderId="0" xfId="0" applyFont="1" applyBorder="1" applyAlignment="1">
      <alignment vertical="center"/>
    </xf>
    <xf numFmtId="0" fontId="34" fillId="0" borderId="0" xfId="0" applyFont="1" applyAlignment="1">
      <alignment horizontal="center" vertical="center"/>
    </xf>
    <xf numFmtId="0" fontId="33" fillId="0" borderId="30" xfId="0" applyFont="1" applyBorder="1" applyAlignment="1">
      <alignment horizontal="centerContinuous" vertical="center" wrapText="1"/>
    </xf>
    <xf numFmtId="0" fontId="34" fillId="0" borderId="30" xfId="0" applyFont="1" applyBorder="1" applyAlignment="1">
      <alignment horizontal="centerContinuous" vertical="center"/>
    </xf>
    <xf numFmtId="0" fontId="34" fillId="0" borderId="30" xfId="0" applyFont="1" applyBorder="1" applyAlignment="1">
      <alignment horizontal="center" vertical="center"/>
    </xf>
    <xf numFmtId="0" fontId="35" fillId="0" borderId="30" xfId="0" applyFont="1" applyBorder="1" applyAlignment="1">
      <alignment vertical="center"/>
    </xf>
    <xf numFmtId="0" fontId="34" fillId="0" borderId="30" xfId="0" applyFont="1" applyBorder="1">
      <alignment vertical="center"/>
    </xf>
    <xf numFmtId="0" fontId="0" fillId="0" borderId="0" xfId="0" applyAlignment="1">
      <alignment horizontal="right" vertical="center"/>
    </xf>
    <xf numFmtId="0" fontId="3" fillId="0" borderId="0" xfId="42" applyFont="1">
      <alignment vertical="center"/>
    </xf>
    <xf numFmtId="0" fontId="4" fillId="37" borderId="30" xfId="42" applyFont="1" applyFill="1" applyBorder="1" applyAlignment="1">
      <alignment horizontal="left" vertical="center"/>
    </xf>
    <xf numFmtId="0" fontId="5" fillId="37" borderId="30" xfId="42" applyFill="1" applyBorder="1" applyAlignment="1">
      <alignment horizontal="left" vertical="center"/>
    </xf>
    <xf numFmtId="0" fontId="5" fillId="0" borderId="0" xfId="42" applyAlignment="1">
      <alignment horizontal="left" vertical="center"/>
    </xf>
    <xf numFmtId="0" fontId="3" fillId="37" borderId="30" xfId="42" quotePrefix="1" applyFont="1" applyFill="1" applyBorder="1">
      <alignment vertical="center"/>
    </xf>
    <xf numFmtId="0" fontId="37" fillId="0" borderId="0" xfId="0" applyFont="1" applyAlignment="1">
      <alignment vertical="center" wrapText="1"/>
    </xf>
    <xf numFmtId="0" fontId="38" fillId="0" borderId="0" xfId="0" applyFont="1">
      <alignment vertical="center"/>
    </xf>
    <xf numFmtId="0" fontId="39" fillId="0" borderId="0" xfId="0" applyFont="1" applyAlignment="1">
      <alignment horizontal="center" vertical="center" wrapText="1"/>
    </xf>
    <xf numFmtId="0" fontId="38" fillId="0" borderId="0" xfId="0" applyFont="1" applyBorder="1" applyAlignment="1">
      <alignment vertical="center"/>
    </xf>
    <xf numFmtId="0" fontId="40" fillId="0" borderId="0" xfId="0" applyFont="1" applyBorder="1" applyAlignment="1">
      <alignment vertical="center"/>
    </xf>
    <xf numFmtId="0" fontId="38" fillId="0" borderId="0" xfId="0" applyFont="1" applyBorder="1">
      <alignment vertical="center"/>
    </xf>
    <xf numFmtId="0" fontId="41" fillId="0" borderId="0" xfId="0" applyFont="1" applyAlignment="1">
      <alignment horizontal="center" vertical="center" wrapText="1"/>
    </xf>
    <xf numFmtId="0" fontId="0" fillId="33" borderId="30" xfId="0" applyFill="1" applyBorder="1" applyAlignment="1">
      <alignment vertical="center" wrapText="1"/>
    </xf>
    <xf numFmtId="0" fontId="0" fillId="33" borderId="0" xfId="0" applyFill="1" applyAlignment="1" applyProtection="1">
      <alignment horizontal="center" vertical="center" shrinkToFit="1"/>
      <protection locked="0"/>
    </xf>
    <xf numFmtId="0" fontId="2" fillId="0" borderId="0" xfId="42" applyFont="1">
      <alignment vertical="center"/>
    </xf>
    <xf numFmtId="0" fontId="2" fillId="37" borderId="30" xfId="42" quotePrefix="1" applyFont="1" applyFill="1" applyBorder="1">
      <alignment vertical="center"/>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0" fillId="0" borderId="39" xfId="0" applyBorder="1" applyAlignment="1">
      <alignment horizontal="left" vertical="center" shrinkToFit="1"/>
    </xf>
    <xf numFmtId="0" fontId="0" fillId="36" borderId="37" xfId="0" applyFill="1" applyBorder="1" applyAlignment="1">
      <alignment horizontal="left" vertical="center"/>
    </xf>
    <xf numFmtId="0" fontId="0" fillId="36" borderId="38" xfId="0" applyFill="1" applyBorder="1" applyAlignment="1">
      <alignment horizontal="left" vertical="center"/>
    </xf>
    <xf numFmtId="0" fontId="0" fillId="36" borderId="39" xfId="0" applyFill="1" applyBorder="1" applyAlignment="1">
      <alignment horizontal="left" vertical="center"/>
    </xf>
    <xf numFmtId="0" fontId="24" fillId="0" borderId="30" xfId="0" applyFont="1" applyBorder="1" applyAlignment="1">
      <alignment horizontal="center" vertical="center"/>
    </xf>
    <xf numFmtId="0" fontId="24" fillId="0" borderId="32" xfId="0" applyFont="1" applyBorder="1" applyAlignment="1">
      <alignment horizontal="center" vertical="center"/>
    </xf>
    <xf numFmtId="0" fontId="25" fillId="0" borderId="28" xfId="0" applyFont="1" applyBorder="1" applyAlignment="1">
      <alignment horizontal="center" vertical="center" textRotation="255"/>
    </xf>
    <xf numFmtId="0" fontId="25" fillId="0" borderId="29" xfId="0" applyFont="1" applyBorder="1" applyAlignment="1">
      <alignment horizontal="center" vertical="center" textRotation="255"/>
    </xf>
    <xf numFmtId="0" fontId="24" fillId="0" borderId="20" xfId="0" applyFont="1" applyBorder="1" applyAlignment="1">
      <alignment horizontal="center" vertical="center"/>
    </xf>
    <xf numFmtId="0" fontId="0" fillId="33" borderId="0" xfId="0" applyFill="1" applyAlignment="1" applyProtection="1">
      <alignment horizontal="center" vertical="center" shrinkToFit="1"/>
      <protection locked="0"/>
    </xf>
    <xf numFmtId="0" fontId="25" fillId="0" borderId="23" xfId="0" applyFont="1" applyBorder="1" applyAlignment="1">
      <alignment horizontal="center" vertical="center"/>
    </xf>
    <xf numFmtId="0" fontId="25" fillId="0" borderId="20" xfId="0" applyFont="1" applyBorder="1" applyAlignment="1">
      <alignment horizontal="center" vertical="center"/>
    </xf>
    <xf numFmtId="0" fontId="25" fillId="0" borderId="27" xfId="0" applyFont="1" applyBorder="1" applyAlignment="1">
      <alignment horizontal="center" vertical="center" textRotation="255"/>
    </xf>
    <xf numFmtId="0" fontId="25" fillId="0" borderId="12" xfId="0" applyFont="1" applyBorder="1" applyAlignment="1">
      <alignment horizontal="center" vertical="center"/>
    </xf>
    <xf numFmtId="0" fontId="25" fillId="0" borderId="30" xfId="0" applyFont="1" applyBorder="1" applyAlignment="1">
      <alignment horizontal="center" vertical="center"/>
    </xf>
    <xf numFmtId="0" fontId="25" fillId="0" borderId="16"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5" fillId="0" borderId="19" xfId="0" applyFont="1" applyBorder="1" applyAlignment="1">
      <alignment horizontal="center" vertical="center" textRotation="255"/>
    </xf>
    <xf numFmtId="0" fontId="25" fillId="0" borderId="15" xfId="0" applyFont="1" applyBorder="1" applyAlignment="1">
      <alignment horizontal="center" vertical="center" textRotation="255"/>
    </xf>
    <xf numFmtId="0" fontId="25" fillId="0" borderId="26" xfId="0" applyFont="1" applyBorder="1" applyAlignment="1">
      <alignment horizontal="center" vertical="center" textRotation="255"/>
    </xf>
    <xf numFmtId="0" fontId="25" fillId="0" borderId="24" xfId="0" applyFont="1" applyBorder="1" applyAlignment="1">
      <alignment horizontal="center" vertical="center"/>
    </xf>
    <xf numFmtId="0" fontId="0" fillId="33" borderId="0" xfId="0" applyFill="1" applyAlignment="1" applyProtection="1">
      <alignment horizontal="center" vertical="center"/>
      <protection locked="0"/>
    </xf>
    <xf numFmtId="0" fontId="25" fillId="33" borderId="33" xfId="0" applyFont="1" applyFill="1" applyBorder="1" applyAlignment="1">
      <alignment horizontal="center" vertical="center" wrapText="1"/>
    </xf>
    <xf numFmtId="0" fontId="25" fillId="33" borderId="13" xfId="0" applyFont="1" applyFill="1" applyBorder="1" applyAlignment="1">
      <alignment horizontal="center" vertical="center"/>
    </xf>
    <xf numFmtId="176" fontId="25" fillId="33" borderId="34" xfId="0" applyNumberFormat="1" applyFont="1" applyFill="1" applyBorder="1" applyAlignment="1">
      <alignment horizontal="center" vertical="center"/>
    </xf>
    <xf numFmtId="176" fontId="25" fillId="33" borderId="17" xfId="0" applyNumberFormat="1" applyFont="1" applyFill="1" applyBorder="1" applyAlignment="1">
      <alignment horizontal="center" vertical="center"/>
    </xf>
    <xf numFmtId="176" fontId="25" fillId="0" borderId="17" xfId="0" applyNumberFormat="1" applyFont="1" applyFill="1" applyBorder="1" applyAlignment="1">
      <alignment horizontal="center" vertical="center"/>
    </xf>
    <xf numFmtId="0" fontId="25" fillId="0" borderId="13" xfId="0" applyFont="1" applyFill="1" applyBorder="1" applyAlignment="1">
      <alignment horizontal="center" vertical="center"/>
    </xf>
    <xf numFmtId="176" fontId="25" fillId="33" borderId="35" xfId="0" applyNumberFormat="1" applyFont="1" applyFill="1" applyBorder="1" applyAlignment="1">
      <alignment horizontal="center" vertical="center"/>
    </xf>
    <xf numFmtId="176" fontId="25" fillId="33" borderId="0" xfId="0" applyNumberFormat="1" applyFont="1" applyFill="1" applyBorder="1" applyAlignment="1">
      <alignment horizontal="center" vertical="center"/>
    </xf>
    <xf numFmtId="176" fontId="25" fillId="0" borderId="21" xfId="0" applyNumberFormat="1" applyFont="1" applyFill="1" applyBorder="1" applyAlignment="1">
      <alignment horizontal="center" vertical="center"/>
    </xf>
    <xf numFmtId="176" fontId="25" fillId="33" borderId="21" xfId="0" applyNumberFormat="1" applyFont="1" applyFill="1" applyBorder="1" applyAlignment="1">
      <alignment horizontal="center" vertical="center"/>
    </xf>
    <xf numFmtId="0" fontId="25" fillId="33" borderId="31" xfId="0" applyFont="1" applyFill="1" applyBorder="1" applyAlignment="1">
      <alignment horizontal="center" vertical="center"/>
    </xf>
    <xf numFmtId="0" fontId="25" fillId="0" borderId="31" xfId="0" applyFont="1" applyFill="1" applyBorder="1" applyAlignment="1">
      <alignment horizontal="center" vertical="center"/>
    </xf>
    <xf numFmtId="176" fontId="25" fillId="33" borderId="36"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25" fillId="33" borderId="0" xfId="0" applyFont="1" applyFill="1" applyBorder="1" applyAlignment="1">
      <alignment horizontal="center" vertical="center"/>
    </xf>
    <xf numFmtId="176" fontId="25" fillId="0" borderId="0" xfId="0" applyNumberFormat="1" applyFont="1" applyFill="1"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良い" xfId="6" builtinId="26" customBuiltin="1"/>
  </cellStyles>
  <dxfs count="125">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b/>
        <i val="0"/>
        <color rgb="FFFF0000"/>
      </font>
    </dxf>
    <dxf>
      <font>
        <b/>
        <i val="0"/>
        <strike val="0"/>
        <color rgb="FFFFFF00"/>
      </font>
    </dxf>
    <dxf>
      <font>
        <b/>
        <i val="0"/>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s>
  <tableStyles count="0" defaultTableStyle="TableStyleMedium2" defaultPivotStyle="PivotStyleLight16"/>
  <colors>
    <mruColors>
      <color rgb="FFFF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Y46"/>
  <sheetViews>
    <sheetView zoomScaleNormal="100" zoomScaleSheetLayoutView="100" workbookViewId="0"/>
  </sheetViews>
  <sheetFormatPr defaultRowHeight="13.5"/>
  <cols>
    <col min="1" max="1" width="6.375" customWidth="1"/>
  </cols>
  <sheetData>
    <row r="2" spans="1:25">
      <c r="A2" s="30" t="s">
        <v>60</v>
      </c>
      <c r="J2" t="s">
        <v>135</v>
      </c>
    </row>
    <row r="3" spans="1:25" s="30" customFormat="1">
      <c r="A3" s="83">
        <v>1</v>
      </c>
      <c r="B3" s="115" t="str">
        <f>【貼付用】児童・生徒アンケートlist!I$2</f>
        <v>学校名</v>
      </c>
      <c r="C3" s="116"/>
      <c r="D3" s="116"/>
      <c r="E3" s="116"/>
      <c r="F3" s="116"/>
      <c r="G3" s="116"/>
      <c r="H3" s="116"/>
      <c r="I3" s="117"/>
      <c r="J3" s="30" t="s">
        <v>192</v>
      </c>
      <c r="K3" s="30" t="s">
        <v>191</v>
      </c>
    </row>
    <row r="4" spans="1:25" s="30" customFormat="1">
      <c r="A4" s="83">
        <v>10</v>
      </c>
      <c r="B4" s="115" t="str">
        <f>【貼付用】児童・生徒アンケートlist!J$2</f>
        <v>小学校</v>
      </c>
      <c r="C4" s="116"/>
      <c r="D4" s="116"/>
      <c r="E4" s="116"/>
      <c r="F4" s="116"/>
      <c r="G4" s="116"/>
      <c r="H4" s="116"/>
      <c r="I4" s="117"/>
      <c r="J4" s="30" t="s">
        <v>16</v>
      </c>
      <c r="K4" s="30" t="s">
        <v>160</v>
      </c>
      <c r="L4" s="30" t="s">
        <v>161</v>
      </c>
      <c r="M4" s="86" t="s">
        <v>162</v>
      </c>
      <c r="N4" s="86" t="s">
        <v>163</v>
      </c>
      <c r="O4" s="86" t="s">
        <v>164</v>
      </c>
      <c r="P4" s="86" t="s">
        <v>165</v>
      </c>
      <c r="Q4" s="86" t="s">
        <v>166</v>
      </c>
      <c r="R4" s="86" t="s">
        <v>167</v>
      </c>
      <c r="S4" s="86" t="s">
        <v>168</v>
      </c>
      <c r="T4" s="86" t="s">
        <v>169</v>
      </c>
      <c r="U4" s="86" t="s">
        <v>170</v>
      </c>
      <c r="V4" s="86" t="s">
        <v>171</v>
      </c>
      <c r="W4" s="86" t="s">
        <v>172</v>
      </c>
      <c r="X4" s="86" t="s">
        <v>173</v>
      </c>
      <c r="Y4" s="86" t="s">
        <v>3838</v>
      </c>
    </row>
    <row r="5" spans="1:25" s="30" customFormat="1">
      <c r="A5" s="83">
        <v>11</v>
      </c>
      <c r="B5" s="115" t="str">
        <f>【貼付用】児童・生徒アンケートlist!K$2</f>
        <v>中学校</v>
      </c>
      <c r="C5" s="116"/>
      <c r="D5" s="116"/>
      <c r="E5" s="116"/>
      <c r="F5" s="116"/>
      <c r="G5" s="116"/>
      <c r="H5" s="116"/>
      <c r="I5" s="117"/>
      <c r="J5" s="30" t="s">
        <v>174</v>
      </c>
      <c r="K5" s="30" t="s">
        <v>175</v>
      </c>
      <c r="L5" s="30" t="s">
        <v>176</v>
      </c>
      <c r="M5" s="30" t="s">
        <v>177</v>
      </c>
      <c r="N5" s="86" t="s">
        <v>178</v>
      </c>
      <c r="O5" s="86" t="s">
        <v>179</v>
      </c>
      <c r="P5" s="86" t="s">
        <v>180</v>
      </c>
      <c r="Q5" s="86" t="s">
        <v>181</v>
      </c>
      <c r="R5" s="86" t="s">
        <v>182</v>
      </c>
    </row>
    <row r="6" spans="1:25" s="30" customFormat="1">
      <c r="A6" s="83">
        <v>2</v>
      </c>
      <c r="B6" s="115" t="str">
        <f>【貼付用】児童・生徒アンケートlist!L$2</f>
        <v>性別</v>
      </c>
      <c r="C6" s="116"/>
      <c r="D6" s="116"/>
      <c r="E6" s="116"/>
      <c r="F6" s="116"/>
      <c r="G6" s="116"/>
      <c r="H6" s="116"/>
      <c r="I6" s="117"/>
      <c r="J6" s="30" t="s">
        <v>147</v>
      </c>
      <c r="K6" s="30" t="s">
        <v>148</v>
      </c>
      <c r="L6" s="30" t="s">
        <v>149</v>
      </c>
    </row>
    <row r="7" spans="1:25">
      <c r="A7" s="83">
        <v>3</v>
      </c>
      <c r="B7" s="115" t="str">
        <f>【貼付用】児童・生徒アンケートlist!M$2</f>
        <v>あなたは学校が楽しいですか？</v>
      </c>
      <c r="C7" s="116"/>
      <c r="D7" s="116"/>
      <c r="E7" s="116"/>
      <c r="F7" s="116"/>
      <c r="G7" s="116"/>
      <c r="H7" s="116"/>
      <c r="I7" s="117"/>
      <c r="J7" t="s">
        <v>131</v>
      </c>
      <c r="K7" t="s">
        <v>132</v>
      </c>
      <c r="L7" t="s">
        <v>133</v>
      </c>
      <c r="M7" t="s">
        <v>134</v>
      </c>
    </row>
    <row r="8" spans="1:25">
      <c r="A8" s="83">
        <v>4</v>
      </c>
      <c r="B8" s="115" t="str">
        <f>【貼付用】児童・生徒アンケートlist!N$2</f>
        <v>あなたは給食が楽しみですか？</v>
      </c>
      <c r="C8" s="116"/>
      <c r="D8" s="116"/>
      <c r="E8" s="116"/>
      <c r="F8" s="116"/>
      <c r="G8" s="116"/>
      <c r="H8" s="116"/>
      <c r="I8" s="117"/>
      <c r="J8" s="30" t="s">
        <v>136</v>
      </c>
      <c r="K8" s="30" t="s">
        <v>137</v>
      </c>
      <c r="L8" s="30" t="s">
        <v>138</v>
      </c>
      <c r="M8" s="30" t="s">
        <v>139</v>
      </c>
    </row>
    <row r="9" spans="1:25">
      <c r="A9" s="83">
        <v>5</v>
      </c>
      <c r="B9" s="115" t="str">
        <f>【貼付用】児童・生徒アンケートlist!O$2</f>
        <v>あなたはふだん朝食を食べますか？</v>
      </c>
      <c r="C9" s="116"/>
      <c r="D9" s="116"/>
      <c r="E9" s="116"/>
      <c r="F9" s="116"/>
      <c r="G9" s="116"/>
      <c r="H9" s="116"/>
      <c r="I9" s="117"/>
      <c r="J9" s="86" t="s">
        <v>140</v>
      </c>
      <c r="K9" t="s">
        <v>141</v>
      </c>
      <c r="L9" s="30" t="s">
        <v>142</v>
      </c>
      <c r="M9" s="86" t="s">
        <v>143</v>
      </c>
    </row>
    <row r="10" spans="1:25">
      <c r="A10" s="83">
        <v>6</v>
      </c>
      <c r="B10" s="115" t="str">
        <f>【貼付用】児童・生徒アンケートlist!P$2</f>
        <v>あなたは日常生活において、自転車に乗るときにヘルメットを着用していますか？</v>
      </c>
      <c r="C10" s="116"/>
      <c r="D10" s="116"/>
      <c r="E10" s="116"/>
      <c r="F10" s="116"/>
      <c r="G10" s="116"/>
      <c r="H10" s="116"/>
      <c r="I10" s="117"/>
      <c r="J10" s="86" t="s">
        <v>144</v>
      </c>
      <c r="K10" t="s">
        <v>145</v>
      </c>
    </row>
    <row r="11" spans="1:25" s="30" customFormat="1">
      <c r="A11" s="83">
        <v>12</v>
      </c>
      <c r="B11" s="115" t="str">
        <f>【貼付用】児童・生徒アンケートlist!Q$2</f>
        <v>「あなたがいてくれてよかった」「あなたのことが大好きだよ」という気持ちを家族やまわりの人から聞いたことがありますか？</v>
      </c>
      <c r="C11" s="116"/>
      <c r="D11" s="116"/>
      <c r="E11" s="116"/>
      <c r="F11" s="116"/>
      <c r="G11" s="116"/>
      <c r="H11" s="116"/>
      <c r="I11" s="117"/>
      <c r="J11" s="86" t="s">
        <v>144</v>
      </c>
      <c r="K11" s="30" t="s">
        <v>145</v>
      </c>
      <c r="M11" s="86"/>
    </row>
    <row r="12" spans="1:25" s="30" customFormat="1">
      <c r="A12" s="83">
        <v>13</v>
      </c>
      <c r="B12" s="115" t="str">
        <f>【貼付用】児童・生徒アンケートlist!R$2</f>
        <v>自分の良いところ、悪いところも含めて、今の自分を好きといえますか？</v>
      </c>
      <c r="C12" s="116"/>
      <c r="D12" s="116"/>
      <c r="E12" s="116"/>
      <c r="F12" s="116"/>
      <c r="G12" s="116"/>
      <c r="H12" s="116"/>
      <c r="I12" s="117"/>
      <c r="J12" s="86" t="s">
        <v>184</v>
      </c>
      <c r="K12" s="30" t="s">
        <v>186</v>
      </c>
      <c r="L12" s="30" t="s">
        <v>188</v>
      </c>
      <c r="M12" s="86" t="s">
        <v>190</v>
      </c>
    </row>
    <row r="13" spans="1:25" s="30" customFormat="1" ht="27">
      <c r="A13" s="111" t="s">
        <v>5118</v>
      </c>
      <c r="B13" s="115" t="str">
        <f>【貼付用】児童・生徒アンケートlist!AC$2</f>
        <v>「あなたがいてくれてよかった」「あなたのことが大好きだよ」という気持ちを家族やまわりの人から聞いたことがあるこどものうち、今の自分を好きと答えた割合</v>
      </c>
      <c r="C13" s="116"/>
      <c r="D13" s="116"/>
      <c r="E13" s="116"/>
      <c r="F13" s="116"/>
      <c r="G13" s="116"/>
      <c r="H13" s="116"/>
      <c r="I13" s="117"/>
      <c r="J13" s="86" t="s">
        <v>184</v>
      </c>
      <c r="K13" s="30" t="s">
        <v>186</v>
      </c>
      <c r="L13" s="30" t="s">
        <v>188</v>
      </c>
      <c r="M13" s="86" t="s">
        <v>190</v>
      </c>
    </row>
    <row r="14" spans="1:25" s="30" customFormat="1" ht="27">
      <c r="A14" s="111" t="s">
        <v>5119</v>
      </c>
      <c r="B14" s="115" t="str">
        <f>【貼付用】児童・生徒アンケートlist!AD$2</f>
        <v>「あなたがいてくれてよかった」「あなたのことが大好きだよ」という気持ちを家族やまわりの人から聞いたことが「ない」こどものうち、今の自分を好きと答えた割合</v>
      </c>
      <c r="C14" s="116"/>
      <c r="D14" s="116"/>
      <c r="E14" s="116"/>
      <c r="F14" s="116"/>
      <c r="G14" s="116"/>
      <c r="H14" s="116"/>
      <c r="I14" s="117"/>
      <c r="J14" s="86" t="s">
        <v>184</v>
      </c>
      <c r="K14" s="30" t="s">
        <v>186</v>
      </c>
      <c r="L14" s="30" t="s">
        <v>188</v>
      </c>
      <c r="M14" s="86" t="s">
        <v>190</v>
      </c>
    </row>
    <row r="15" spans="1:25" hidden="1">
      <c r="A15" s="84" t="s">
        <v>59</v>
      </c>
      <c r="B15" s="118" t="s">
        <v>63</v>
      </c>
      <c r="C15" s="119"/>
      <c r="D15" s="119"/>
      <c r="E15" s="119"/>
      <c r="F15" s="119"/>
      <c r="G15" s="119"/>
      <c r="H15" s="119"/>
      <c r="I15" s="120"/>
    </row>
    <row r="16" spans="1:25" ht="27" hidden="1">
      <c r="A16" s="82" t="s">
        <v>65</v>
      </c>
      <c r="B16" s="118" t="s">
        <v>66</v>
      </c>
      <c r="C16" s="119"/>
      <c r="D16" s="119"/>
      <c r="E16" s="119"/>
      <c r="F16" s="119"/>
      <c r="G16" s="119"/>
      <c r="H16" s="119"/>
      <c r="I16" s="120"/>
    </row>
    <row r="17" spans="1:25" ht="27" hidden="1">
      <c r="A17" s="82" t="s">
        <v>67</v>
      </c>
      <c r="B17" s="118" t="s">
        <v>68</v>
      </c>
      <c r="C17" s="119"/>
      <c r="D17" s="119"/>
      <c r="E17" s="119"/>
      <c r="F17" s="119"/>
      <c r="G17" s="119"/>
      <c r="H17" s="119"/>
      <c r="I17" s="120"/>
    </row>
    <row r="18" spans="1:25" hidden="1">
      <c r="I18" s="98" t="s">
        <v>152</v>
      </c>
      <c r="J18">
        <v>1</v>
      </c>
      <c r="K18">
        <v>2</v>
      </c>
      <c r="L18">
        <v>3</v>
      </c>
      <c r="M18">
        <v>4</v>
      </c>
    </row>
    <row r="19" spans="1:25" hidden="1">
      <c r="I19" s="98" t="s">
        <v>533</v>
      </c>
      <c r="J19">
        <v>1</v>
      </c>
      <c r="K19">
        <v>2</v>
      </c>
      <c r="L19">
        <v>3</v>
      </c>
      <c r="M19">
        <v>4</v>
      </c>
      <c r="N19">
        <v>5</v>
      </c>
      <c r="O19">
        <v>6</v>
      </c>
      <c r="P19">
        <v>7</v>
      </c>
      <c r="Q19">
        <v>8</v>
      </c>
      <c r="R19">
        <v>9</v>
      </c>
      <c r="S19">
        <v>10</v>
      </c>
      <c r="T19">
        <v>11</v>
      </c>
      <c r="U19">
        <v>12</v>
      </c>
      <c r="V19">
        <v>13</v>
      </c>
      <c r="W19">
        <v>14</v>
      </c>
      <c r="X19">
        <v>15</v>
      </c>
      <c r="Y19">
        <v>16</v>
      </c>
    </row>
    <row r="20" spans="1:25" hidden="1">
      <c r="I20" s="98" t="s">
        <v>534</v>
      </c>
      <c r="J20" s="30">
        <v>17</v>
      </c>
      <c r="K20" s="30">
        <v>18</v>
      </c>
      <c r="L20" s="30">
        <v>19</v>
      </c>
      <c r="M20" s="30">
        <v>20</v>
      </c>
      <c r="N20" s="30">
        <v>21</v>
      </c>
      <c r="O20" s="30">
        <v>22</v>
      </c>
      <c r="P20" s="30">
        <v>23</v>
      </c>
      <c r="Q20" s="30">
        <v>24</v>
      </c>
      <c r="R20" s="30">
        <v>25</v>
      </c>
    </row>
    <row r="21" spans="1:25" hidden="1"/>
    <row r="22" spans="1:25" s="30" customFormat="1" hidden="1">
      <c r="I22" s="30" t="s">
        <v>16</v>
      </c>
      <c r="J22" s="30">
        <v>1</v>
      </c>
    </row>
    <row r="23" spans="1:25" s="30" customFormat="1" hidden="1">
      <c r="I23" s="30" t="s">
        <v>160</v>
      </c>
      <c r="J23" s="30">
        <v>2</v>
      </c>
    </row>
    <row r="24" spans="1:25" s="30" customFormat="1" hidden="1">
      <c r="I24" s="30" t="s">
        <v>161</v>
      </c>
      <c r="J24" s="30">
        <v>3</v>
      </c>
    </row>
    <row r="25" spans="1:25" s="30" customFormat="1" hidden="1">
      <c r="I25" s="86" t="s">
        <v>162</v>
      </c>
      <c r="J25" s="30">
        <v>4</v>
      </c>
    </row>
    <row r="26" spans="1:25" s="30" customFormat="1" hidden="1">
      <c r="I26" s="86" t="s">
        <v>163</v>
      </c>
      <c r="J26" s="30">
        <v>5</v>
      </c>
    </row>
    <row r="27" spans="1:25" s="30" customFormat="1" hidden="1">
      <c r="I27" s="86" t="s">
        <v>164</v>
      </c>
      <c r="J27" s="30">
        <v>6</v>
      </c>
    </row>
    <row r="28" spans="1:25" s="30" customFormat="1" hidden="1">
      <c r="I28" s="86" t="s">
        <v>165</v>
      </c>
      <c r="J28" s="30">
        <v>7</v>
      </c>
    </row>
    <row r="29" spans="1:25" s="30" customFormat="1" hidden="1">
      <c r="I29" s="86" t="s">
        <v>166</v>
      </c>
      <c r="J29" s="30">
        <v>8</v>
      </c>
    </row>
    <row r="30" spans="1:25" s="30" customFormat="1" hidden="1">
      <c r="I30" s="86" t="s">
        <v>167</v>
      </c>
      <c r="J30" s="30">
        <v>9</v>
      </c>
    </row>
    <row r="31" spans="1:25" s="30" customFormat="1" hidden="1">
      <c r="I31" s="86" t="s">
        <v>168</v>
      </c>
      <c r="J31" s="30">
        <v>10</v>
      </c>
    </row>
    <row r="32" spans="1:25" s="30" customFormat="1" hidden="1">
      <c r="I32" s="86" t="s">
        <v>169</v>
      </c>
      <c r="J32" s="30">
        <v>11</v>
      </c>
    </row>
    <row r="33" spans="9:10" s="30" customFormat="1" hidden="1">
      <c r="I33" s="86" t="s">
        <v>170</v>
      </c>
      <c r="J33" s="30">
        <v>12</v>
      </c>
    </row>
    <row r="34" spans="9:10" s="30" customFormat="1" hidden="1">
      <c r="I34" s="86" t="s">
        <v>171</v>
      </c>
      <c r="J34" s="30">
        <v>13</v>
      </c>
    </row>
    <row r="35" spans="9:10" s="30" customFormat="1" hidden="1">
      <c r="I35" s="86" t="s">
        <v>172</v>
      </c>
      <c r="J35" s="30">
        <v>14</v>
      </c>
    </row>
    <row r="36" spans="9:10" s="30" customFormat="1" hidden="1">
      <c r="I36" s="86" t="s">
        <v>173</v>
      </c>
      <c r="J36" s="30">
        <v>15</v>
      </c>
    </row>
    <row r="37" spans="9:10" s="30" customFormat="1" hidden="1">
      <c r="I37" s="86" t="s">
        <v>3839</v>
      </c>
      <c r="J37" s="30">
        <v>16</v>
      </c>
    </row>
    <row r="38" spans="9:10" hidden="1">
      <c r="I38" s="30" t="s">
        <v>174</v>
      </c>
      <c r="J38" s="30">
        <v>17</v>
      </c>
    </row>
    <row r="39" spans="9:10" hidden="1">
      <c r="I39" s="30" t="s">
        <v>175</v>
      </c>
      <c r="J39" s="30">
        <v>18</v>
      </c>
    </row>
    <row r="40" spans="9:10" hidden="1">
      <c r="I40" s="30" t="s">
        <v>176</v>
      </c>
      <c r="J40" s="30">
        <v>19</v>
      </c>
    </row>
    <row r="41" spans="9:10" hidden="1">
      <c r="I41" s="30" t="s">
        <v>177</v>
      </c>
      <c r="J41" s="30">
        <v>20</v>
      </c>
    </row>
    <row r="42" spans="9:10" hidden="1">
      <c r="I42" s="86" t="s">
        <v>178</v>
      </c>
      <c r="J42" s="30">
        <v>21</v>
      </c>
    </row>
    <row r="43" spans="9:10" hidden="1">
      <c r="I43" s="86" t="s">
        <v>179</v>
      </c>
      <c r="J43" s="30">
        <v>22</v>
      </c>
    </row>
    <row r="44" spans="9:10" hidden="1">
      <c r="I44" s="86" t="s">
        <v>180</v>
      </c>
      <c r="J44" s="30">
        <v>23</v>
      </c>
    </row>
    <row r="45" spans="9:10" hidden="1">
      <c r="I45" s="86" t="s">
        <v>181</v>
      </c>
      <c r="J45" s="30">
        <v>24</v>
      </c>
    </row>
    <row r="46" spans="9:10" hidden="1">
      <c r="I46" s="86" t="s">
        <v>182</v>
      </c>
      <c r="J46" s="30">
        <v>25</v>
      </c>
    </row>
  </sheetData>
  <mergeCells count="15">
    <mergeCell ref="B3:I3"/>
    <mergeCell ref="B6:I6"/>
    <mergeCell ref="B17:I17"/>
    <mergeCell ref="B16:I16"/>
    <mergeCell ref="B7:I7"/>
    <mergeCell ref="B8:I8"/>
    <mergeCell ref="B9:I9"/>
    <mergeCell ref="B10:I10"/>
    <mergeCell ref="B15:I15"/>
    <mergeCell ref="B4:I4"/>
    <mergeCell ref="B5:I5"/>
    <mergeCell ref="B11:I11"/>
    <mergeCell ref="B12:I12"/>
    <mergeCell ref="B13:I13"/>
    <mergeCell ref="B14:I14"/>
  </mergeCells>
  <phoneticPr fontId="2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5000"/>
  <sheetViews>
    <sheetView zoomScaleNormal="100" workbookViewId="0">
      <pane ySplit="4" topLeftCell="A5" activePane="bottomLeft" state="frozen"/>
      <selection pane="bottomLeft" activeCell="A5" sqref="A5"/>
    </sheetView>
  </sheetViews>
  <sheetFormatPr defaultRowHeight="13.5" outlineLevelCol="1"/>
  <cols>
    <col min="1" max="1" width="9" style="81"/>
    <col min="2" max="8" width="9" style="81" hidden="1" customWidth="1" outlineLevel="1"/>
    <col min="9" max="9" width="9" style="81" collapsed="1"/>
    <col min="10" max="10" width="9" style="81" customWidth="1"/>
    <col min="11" max="18" width="9" style="81"/>
    <col min="19" max="26" width="5.875" style="81" bestFit="1" customWidth="1"/>
    <col min="27" max="27" width="3.5" style="81" bestFit="1" customWidth="1"/>
    <col min="28" max="28" width="2.5" style="81" bestFit="1" customWidth="1"/>
    <col min="29" max="30" width="5.875" style="81" bestFit="1" customWidth="1"/>
    <col min="31" max="16384" width="9" style="81"/>
  </cols>
  <sheetData>
    <row r="1" spans="1:30">
      <c r="A1" s="81" t="s">
        <v>87</v>
      </c>
      <c r="B1" s="81" t="s">
        <v>88</v>
      </c>
      <c r="C1" s="81" t="s">
        <v>89</v>
      </c>
      <c r="D1" s="81" t="s">
        <v>90</v>
      </c>
      <c r="E1" s="81" t="s">
        <v>91</v>
      </c>
      <c r="F1" s="81" t="s">
        <v>92</v>
      </c>
      <c r="G1" s="81" t="s">
        <v>93</v>
      </c>
      <c r="H1" s="81" t="s">
        <v>94</v>
      </c>
      <c r="I1" s="81" t="s">
        <v>95</v>
      </c>
      <c r="J1" s="30" t="s">
        <v>153</v>
      </c>
      <c r="K1" s="30" t="s">
        <v>154</v>
      </c>
      <c r="L1" s="81" t="s">
        <v>96</v>
      </c>
      <c r="M1" s="81" t="s">
        <v>97</v>
      </c>
      <c r="N1" s="81" t="s">
        <v>98</v>
      </c>
      <c r="O1" s="81" t="s">
        <v>99</v>
      </c>
      <c r="P1" s="81" t="s">
        <v>100</v>
      </c>
      <c r="Q1" s="30" t="s">
        <v>155</v>
      </c>
      <c r="R1" s="30" t="s">
        <v>156</v>
      </c>
    </row>
    <row r="2" spans="1:30">
      <c r="I2" s="81" t="s">
        <v>101</v>
      </c>
      <c r="J2" s="99" t="s">
        <v>157</v>
      </c>
      <c r="K2" s="99" t="s">
        <v>158</v>
      </c>
      <c r="L2" s="81" t="s">
        <v>0</v>
      </c>
      <c r="M2" s="81" t="s">
        <v>102</v>
      </c>
      <c r="N2" s="81" t="s">
        <v>103</v>
      </c>
      <c r="O2" s="81" t="s">
        <v>104</v>
      </c>
      <c r="P2" s="81" t="s">
        <v>105</v>
      </c>
      <c r="Q2" s="30" t="s">
        <v>5123</v>
      </c>
      <c r="R2" s="30" t="s">
        <v>159</v>
      </c>
      <c r="AC2" s="113" t="s">
        <v>5124</v>
      </c>
      <c r="AD2" s="113" t="s">
        <v>5125</v>
      </c>
    </row>
    <row r="3" spans="1:30">
      <c r="A3" s="85"/>
      <c r="B3" s="85"/>
      <c r="C3" s="85"/>
      <c r="D3" s="85"/>
      <c r="E3" s="85"/>
      <c r="F3" s="85"/>
      <c r="G3" s="85"/>
      <c r="H3" s="85"/>
      <c r="I3" s="103" t="s">
        <v>535</v>
      </c>
      <c r="J3" s="103" t="s">
        <v>542</v>
      </c>
      <c r="K3" s="103" t="s">
        <v>543</v>
      </c>
      <c r="L3" s="103" t="s">
        <v>536</v>
      </c>
      <c r="M3" s="103" t="s">
        <v>537</v>
      </c>
      <c r="N3" s="103" t="s">
        <v>538</v>
      </c>
      <c r="O3" s="103" t="s">
        <v>539</v>
      </c>
      <c r="P3" s="103" t="s">
        <v>540</v>
      </c>
      <c r="Q3" s="103" t="s">
        <v>541</v>
      </c>
      <c r="R3" s="114" t="s">
        <v>5120</v>
      </c>
      <c r="AC3" s="114" t="s">
        <v>5121</v>
      </c>
      <c r="AD3" s="114" t="s">
        <v>5122</v>
      </c>
    </row>
    <row r="4" spans="1:30" s="102" customFormat="1">
      <c r="A4" s="100" t="s">
        <v>130</v>
      </c>
      <c r="B4" s="101"/>
      <c r="C4" s="101"/>
      <c r="D4" s="101"/>
      <c r="E4" s="101"/>
      <c r="F4" s="101"/>
      <c r="G4" s="101"/>
      <c r="H4" s="101"/>
      <c r="I4" s="101">
        <f>COUNTA(データについて!$J3:$AH3)</f>
        <v>2</v>
      </c>
      <c r="J4" s="101">
        <f>COUNTA(データについて!$J4:$AH4)</f>
        <v>16</v>
      </c>
      <c r="K4" s="101">
        <f>COUNTA(データについて!$J5:$AH5)</f>
        <v>9</v>
      </c>
      <c r="L4" s="101">
        <f>COUNTA(データについて!$J6:$AH6)</f>
        <v>3</v>
      </c>
      <c r="M4" s="101">
        <f>COUNTA(データについて!$J7:$AH7)</f>
        <v>4</v>
      </c>
      <c r="N4" s="101">
        <f>COUNTA(データについて!$J8:$AH8)</f>
        <v>4</v>
      </c>
      <c r="O4" s="101">
        <f>COUNTA(データについて!$J9:$AH9)</f>
        <v>4</v>
      </c>
      <c r="P4" s="101">
        <f>COUNTA(データについて!$J10:$AH10)</f>
        <v>2</v>
      </c>
      <c r="Q4" s="101">
        <f>COUNTA(データについて!$J11:$AH11)</f>
        <v>2</v>
      </c>
      <c r="R4" s="101">
        <f>COUNTA(データについて!$J12:$AH12)</f>
        <v>4</v>
      </c>
      <c r="AC4" s="101">
        <f>COUNTA(データについて!$J12:$AH12)</f>
        <v>4</v>
      </c>
      <c r="AD4" s="101">
        <f>COUNTA(データについて!$J12:$AH12)</f>
        <v>4</v>
      </c>
    </row>
    <row r="5" spans="1:30">
      <c r="A5" s="30">
        <v>5187</v>
      </c>
      <c r="B5" s="30" t="s">
        <v>5050</v>
      </c>
      <c r="C5" s="30" t="s">
        <v>5051</v>
      </c>
      <c r="D5" s="30" t="s">
        <v>106</v>
      </c>
      <c r="E5" s="30"/>
      <c r="F5" s="30" t="s">
        <v>107</v>
      </c>
      <c r="G5" s="30" t="s">
        <v>106</v>
      </c>
      <c r="H5" s="30"/>
      <c r="I5" s="30" t="s">
        <v>192</v>
      </c>
      <c r="J5" s="30" t="s">
        <v>3010</v>
      </c>
      <c r="K5" s="30"/>
      <c r="L5" s="30" t="s">
        <v>108</v>
      </c>
      <c r="M5" s="30" t="s">
        <v>109</v>
      </c>
      <c r="N5" s="30" t="s">
        <v>114</v>
      </c>
      <c r="O5" s="30" t="s">
        <v>115</v>
      </c>
      <c r="P5" s="30" t="s">
        <v>112</v>
      </c>
      <c r="Q5" s="30" t="s">
        <v>112</v>
      </c>
      <c r="R5" s="30" t="s">
        <v>185</v>
      </c>
      <c r="S5" s="81">
        <f>HLOOKUP(L5,データについて!$J$6:$M$18,13,FALSE)</f>
        <v>1</v>
      </c>
      <c r="T5" s="81">
        <f>HLOOKUP(M5,データについて!$J$7:$M$18,12,FALSE)</f>
        <v>2</v>
      </c>
      <c r="U5" s="81">
        <f>HLOOKUP(N5,データについて!$J$8:$M$18,11,FALSE)</f>
        <v>1</v>
      </c>
      <c r="V5" s="81">
        <f>HLOOKUP(O5,データについて!$J$9:$M$18,10,FALSE)</f>
        <v>1</v>
      </c>
      <c r="W5" s="81">
        <f>HLOOKUP(P5,データについて!$J$10:$M$18,9,FALSE)</f>
        <v>1</v>
      </c>
      <c r="X5" s="81">
        <f>HLOOKUP(Q5,データについて!$J$11:$M$18,8,FALSE)</f>
        <v>1</v>
      </c>
      <c r="Y5" s="81">
        <f>HLOOKUP(R5,データについて!$J$12:$M$18,7,FALSE)</f>
        <v>2</v>
      </c>
      <c r="Z5" s="81">
        <f>HLOOKUP(I5,データについて!$J$3:$M$18,16,FALSE)</f>
        <v>1</v>
      </c>
      <c r="AA5" s="81">
        <f>IFERROR(HLOOKUP(J5,データについて!$J$4:$AH$19,16,FALSE),"")</f>
        <v>12</v>
      </c>
      <c r="AB5" s="81" t="str">
        <f>IFERROR(HLOOKUP(K5,データについて!$J$5:$AH$20,14,FALSE),"")</f>
        <v/>
      </c>
      <c r="AC5" s="81">
        <f>IF(X5=1,HLOOKUP(R5,データについて!$J$12:$M$18,7,FALSE),"*")</f>
        <v>2</v>
      </c>
      <c r="AD5" s="81" t="str">
        <f>IF(X5=2,HLOOKUP(R5,データについて!$J$12:$M$18,7,FALSE),"*")</f>
        <v>*</v>
      </c>
    </row>
    <row r="6" spans="1:30">
      <c r="A6" s="30">
        <v>5186</v>
      </c>
      <c r="B6" s="30" t="s">
        <v>5052</v>
      </c>
      <c r="C6" s="30" t="s">
        <v>5053</v>
      </c>
      <c r="D6" s="30" t="s">
        <v>106</v>
      </c>
      <c r="E6" s="30"/>
      <c r="F6" s="30" t="s">
        <v>107</v>
      </c>
      <c r="G6" s="30" t="s">
        <v>106</v>
      </c>
      <c r="H6" s="30"/>
      <c r="I6" s="30" t="s">
        <v>192</v>
      </c>
      <c r="J6" s="30" t="s">
        <v>3010</v>
      </c>
      <c r="K6" s="30"/>
      <c r="L6" s="30" t="s">
        <v>108</v>
      </c>
      <c r="M6" s="30" t="s">
        <v>109</v>
      </c>
      <c r="N6" s="30" t="s">
        <v>110</v>
      </c>
      <c r="O6" s="30" t="s">
        <v>123</v>
      </c>
      <c r="P6" s="30" t="s">
        <v>112</v>
      </c>
      <c r="Q6" s="30" t="s">
        <v>112</v>
      </c>
      <c r="R6" s="30" t="s">
        <v>185</v>
      </c>
      <c r="S6" s="81">
        <f>HLOOKUP(L6,データについて!$J$6:$M$18,13,FALSE)</f>
        <v>1</v>
      </c>
      <c r="T6" s="81">
        <f>HLOOKUP(M6,データについて!$J$7:$M$18,12,FALSE)</f>
        <v>2</v>
      </c>
      <c r="U6" s="81">
        <f>HLOOKUP(N6,データについて!$J$8:$M$18,11,FALSE)</f>
        <v>2</v>
      </c>
      <c r="V6" s="81">
        <f>HLOOKUP(O6,データについて!$J$9:$M$18,10,FALSE)</f>
        <v>4</v>
      </c>
      <c r="W6" s="81">
        <f>HLOOKUP(P6,データについて!$J$10:$M$18,9,FALSE)</f>
        <v>1</v>
      </c>
      <c r="X6" s="81">
        <f>HLOOKUP(Q6,データについて!$J$11:$M$18,8,FALSE)</f>
        <v>1</v>
      </c>
      <c r="Y6" s="81">
        <f>HLOOKUP(R6,データについて!$J$12:$M$18,7,FALSE)</f>
        <v>2</v>
      </c>
      <c r="Z6" s="81">
        <f>HLOOKUP(I6,データについて!$J$3:$M$18,16,FALSE)</f>
        <v>1</v>
      </c>
      <c r="AA6" s="81">
        <f>IFERROR(HLOOKUP(J6,データについて!$J$4:$AH$19,16,FALSE),"")</f>
        <v>12</v>
      </c>
      <c r="AB6" s="81" t="str">
        <f>IFERROR(HLOOKUP(K6,データについて!$J$5:$AH$20,14,FALSE),"")</f>
        <v/>
      </c>
      <c r="AC6" s="81">
        <f>IF(X6=1,HLOOKUP(R6,データについて!$J$12:$M$18,7,FALSE),"*")</f>
        <v>2</v>
      </c>
      <c r="AD6" s="81" t="str">
        <f>IF(X6=2,HLOOKUP(R6,データについて!$J$12:$M$18,7,FALSE),"*")</f>
        <v>*</v>
      </c>
    </row>
    <row r="7" spans="1:30">
      <c r="A7" s="30">
        <v>5185</v>
      </c>
      <c r="B7" s="30" t="s">
        <v>5054</v>
      </c>
      <c r="C7" s="30" t="s">
        <v>5053</v>
      </c>
      <c r="D7" s="30" t="s">
        <v>106</v>
      </c>
      <c r="E7" s="30"/>
      <c r="F7" s="30" t="s">
        <v>107</v>
      </c>
      <c r="G7" s="30" t="s">
        <v>106</v>
      </c>
      <c r="H7" s="30"/>
      <c r="I7" s="30" t="s">
        <v>192</v>
      </c>
      <c r="J7" s="30" t="s">
        <v>3010</v>
      </c>
      <c r="K7" s="30"/>
      <c r="L7" s="30" t="s">
        <v>117</v>
      </c>
      <c r="M7" s="30" t="s">
        <v>109</v>
      </c>
      <c r="N7" s="30" t="s">
        <v>110</v>
      </c>
      <c r="O7" s="30" t="s">
        <v>115</v>
      </c>
      <c r="P7" s="30" t="s">
        <v>118</v>
      </c>
      <c r="Q7" s="30" t="s">
        <v>112</v>
      </c>
      <c r="R7" s="30" t="s">
        <v>185</v>
      </c>
      <c r="S7" s="81">
        <f>HLOOKUP(L7,データについて!$J$6:$M$18,13,FALSE)</f>
        <v>2</v>
      </c>
      <c r="T7" s="81">
        <f>HLOOKUP(M7,データについて!$J$7:$M$18,12,FALSE)</f>
        <v>2</v>
      </c>
      <c r="U7" s="81">
        <f>HLOOKUP(N7,データについて!$J$8:$M$18,11,FALSE)</f>
        <v>2</v>
      </c>
      <c r="V7" s="81">
        <f>HLOOKUP(O7,データについて!$J$9:$M$18,10,FALSE)</f>
        <v>1</v>
      </c>
      <c r="W7" s="81">
        <f>HLOOKUP(P7,データについて!$J$10:$M$18,9,FALSE)</f>
        <v>2</v>
      </c>
      <c r="X7" s="81">
        <f>HLOOKUP(Q7,データについて!$J$11:$M$18,8,FALSE)</f>
        <v>1</v>
      </c>
      <c r="Y7" s="81">
        <f>HLOOKUP(R7,データについて!$J$12:$M$18,7,FALSE)</f>
        <v>2</v>
      </c>
      <c r="Z7" s="81">
        <f>HLOOKUP(I7,データについて!$J$3:$M$18,16,FALSE)</f>
        <v>1</v>
      </c>
      <c r="AA7" s="81">
        <f>IFERROR(HLOOKUP(J7,データについて!$J$4:$AH$19,16,FALSE),"")</f>
        <v>12</v>
      </c>
      <c r="AB7" s="81" t="str">
        <f>IFERROR(HLOOKUP(K7,データについて!$J$5:$AH$20,14,FALSE),"")</f>
        <v/>
      </c>
      <c r="AC7" s="81">
        <f>IF(X7=1,HLOOKUP(R7,データについて!$J$12:$M$18,7,FALSE),"*")</f>
        <v>2</v>
      </c>
      <c r="AD7" s="81" t="str">
        <f>IF(X7=2,HLOOKUP(R7,データについて!$J$12:$M$18,7,FALSE),"*")</f>
        <v>*</v>
      </c>
    </row>
    <row r="8" spans="1:30">
      <c r="A8" s="30">
        <v>5184</v>
      </c>
      <c r="B8" s="30" t="s">
        <v>5055</v>
      </c>
      <c r="C8" s="30" t="s">
        <v>5056</v>
      </c>
      <c r="D8" s="30" t="s">
        <v>106</v>
      </c>
      <c r="E8" s="30"/>
      <c r="F8" s="30" t="s">
        <v>107</v>
      </c>
      <c r="G8" s="30" t="s">
        <v>106</v>
      </c>
      <c r="H8" s="30"/>
      <c r="I8" s="30" t="s">
        <v>192</v>
      </c>
      <c r="J8" s="30" t="s">
        <v>3010</v>
      </c>
      <c r="K8" s="30"/>
      <c r="L8" s="30" t="s">
        <v>108</v>
      </c>
      <c r="M8" s="30" t="s">
        <v>113</v>
      </c>
      <c r="N8" s="30" t="s">
        <v>114</v>
      </c>
      <c r="O8" s="30" t="s">
        <v>115</v>
      </c>
      <c r="P8" s="30" t="s">
        <v>112</v>
      </c>
      <c r="Q8" s="30" t="s">
        <v>112</v>
      </c>
      <c r="R8" s="30" t="s">
        <v>183</v>
      </c>
      <c r="S8" s="81">
        <f>HLOOKUP(L8,データについて!$J$6:$M$18,13,FALSE)</f>
        <v>1</v>
      </c>
      <c r="T8" s="81">
        <f>HLOOKUP(M8,データについて!$J$7:$M$18,12,FALSE)</f>
        <v>1</v>
      </c>
      <c r="U8" s="81">
        <f>HLOOKUP(N8,データについて!$J$8:$M$18,11,FALSE)</f>
        <v>1</v>
      </c>
      <c r="V8" s="81">
        <f>HLOOKUP(O8,データについて!$J$9:$M$18,10,FALSE)</f>
        <v>1</v>
      </c>
      <c r="W8" s="81">
        <f>HLOOKUP(P8,データについて!$J$10:$M$18,9,FALSE)</f>
        <v>1</v>
      </c>
      <c r="X8" s="81">
        <f>HLOOKUP(Q8,データについて!$J$11:$M$18,8,FALSE)</f>
        <v>1</v>
      </c>
      <c r="Y8" s="81">
        <f>HLOOKUP(R8,データについて!$J$12:$M$18,7,FALSE)</f>
        <v>1</v>
      </c>
      <c r="Z8" s="81">
        <f>HLOOKUP(I8,データについて!$J$3:$M$18,16,FALSE)</f>
        <v>1</v>
      </c>
      <c r="AA8" s="81">
        <f>IFERROR(HLOOKUP(J8,データについて!$J$4:$AH$19,16,FALSE),"")</f>
        <v>12</v>
      </c>
      <c r="AB8" s="81" t="str">
        <f>IFERROR(HLOOKUP(K8,データについて!$J$5:$AH$20,14,FALSE),"")</f>
        <v/>
      </c>
      <c r="AC8" s="81">
        <f>IF(X8=1,HLOOKUP(R8,データについて!$J$12:$M$18,7,FALSE),"*")</f>
        <v>1</v>
      </c>
      <c r="AD8" s="81" t="str">
        <f>IF(X8=2,HLOOKUP(R8,データについて!$J$12:$M$18,7,FALSE),"*")</f>
        <v>*</v>
      </c>
    </row>
    <row r="9" spans="1:30">
      <c r="A9" s="30">
        <v>5183</v>
      </c>
      <c r="B9" s="30" t="s">
        <v>5057</v>
      </c>
      <c r="C9" s="30" t="s">
        <v>5058</v>
      </c>
      <c r="D9" s="30" t="s">
        <v>106</v>
      </c>
      <c r="E9" s="30"/>
      <c r="F9" s="30" t="s">
        <v>107</v>
      </c>
      <c r="G9" s="30" t="s">
        <v>106</v>
      </c>
      <c r="H9" s="30"/>
      <c r="I9" s="30" t="s">
        <v>192</v>
      </c>
      <c r="J9" s="30" t="s">
        <v>3010</v>
      </c>
      <c r="K9" s="30"/>
      <c r="L9" s="30" t="s">
        <v>108</v>
      </c>
      <c r="M9" s="30" t="s">
        <v>113</v>
      </c>
      <c r="N9" s="30" t="s">
        <v>114</v>
      </c>
      <c r="O9" s="30" t="s">
        <v>115</v>
      </c>
      <c r="P9" s="30" t="s">
        <v>112</v>
      </c>
      <c r="Q9" s="30" t="s">
        <v>112</v>
      </c>
      <c r="R9" s="30" t="s">
        <v>183</v>
      </c>
      <c r="S9" s="81">
        <f>HLOOKUP(L9,データについて!$J$6:$M$18,13,FALSE)</f>
        <v>1</v>
      </c>
      <c r="T9" s="81">
        <f>HLOOKUP(M9,データについて!$J$7:$M$18,12,FALSE)</f>
        <v>1</v>
      </c>
      <c r="U9" s="81">
        <f>HLOOKUP(N9,データについて!$J$8:$M$18,11,FALSE)</f>
        <v>1</v>
      </c>
      <c r="V9" s="81">
        <f>HLOOKUP(O9,データについて!$J$9:$M$18,10,FALSE)</f>
        <v>1</v>
      </c>
      <c r="W9" s="81">
        <f>HLOOKUP(P9,データについて!$J$10:$M$18,9,FALSE)</f>
        <v>1</v>
      </c>
      <c r="X9" s="81">
        <f>HLOOKUP(Q9,データについて!$J$11:$M$18,8,FALSE)</f>
        <v>1</v>
      </c>
      <c r="Y9" s="81">
        <f>HLOOKUP(R9,データについて!$J$12:$M$18,7,FALSE)</f>
        <v>1</v>
      </c>
      <c r="Z9" s="81">
        <f>HLOOKUP(I9,データについて!$J$3:$M$18,16,FALSE)</f>
        <v>1</v>
      </c>
      <c r="AA9" s="81">
        <f>IFERROR(HLOOKUP(J9,データについて!$J$4:$AH$19,16,FALSE),"")</f>
        <v>12</v>
      </c>
      <c r="AB9" s="81" t="str">
        <f>IFERROR(HLOOKUP(K9,データについて!$J$5:$AH$20,14,FALSE),"")</f>
        <v/>
      </c>
      <c r="AC9" s="81">
        <f>IF(X9=1,HLOOKUP(R9,データについて!$J$12:$M$18,7,FALSE),"*")</f>
        <v>1</v>
      </c>
      <c r="AD9" s="81" t="str">
        <f>IF(X9=2,HLOOKUP(R9,データについて!$J$12:$M$18,7,FALSE),"*")</f>
        <v>*</v>
      </c>
    </row>
    <row r="10" spans="1:30">
      <c r="A10" s="30">
        <v>5182</v>
      </c>
      <c r="B10" s="30" t="s">
        <v>5059</v>
      </c>
      <c r="C10" s="30" t="s">
        <v>5060</v>
      </c>
      <c r="D10" s="30" t="s">
        <v>106</v>
      </c>
      <c r="E10" s="30"/>
      <c r="F10" s="30" t="s">
        <v>107</v>
      </c>
      <c r="G10" s="30" t="s">
        <v>106</v>
      </c>
      <c r="H10" s="30"/>
      <c r="I10" s="30" t="s">
        <v>192</v>
      </c>
      <c r="J10" s="30" t="s">
        <v>3010</v>
      </c>
      <c r="K10" s="30"/>
      <c r="L10" s="30" t="s">
        <v>108</v>
      </c>
      <c r="M10" s="30" t="s">
        <v>113</v>
      </c>
      <c r="N10" s="30" t="s">
        <v>122</v>
      </c>
      <c r="O10" s="30" t="s">
        <v>115</v>
      </c>
      <c r="P10" s="30" t="s">
        <v>112</v>
      </c>
      <c r="Q10" s="30" t="s">
        <v>118</v>
      </c>
      <c r="R10" s="30" t="s">
        <v>189</v>
      </c>
      <c r="S10" s="81">
        <f>HLOOKUP(L10,データについて!$J$6:$M$18,13,FALSE)</f>
        <v>1</v>
      </c>
      <c r="T10" s="81">
        <f>HLOOKUP(M10,データについて!$J$7:$M$18,12,FALSE)</f>
        <v>1</v>
      </c>
      <c r="U10" s="81">
        <f>HLOOKUP(N10,データについて!$J$8:$M$18,11,FALSE)</f>
        <v>3</v>
      </c>
      <c r="V10" s="81">
        <f>HLOOKUP(O10,データについて!$J$9:$M$18,10,FALSE)</f>
        <v>1</v>
      </c>
      <c r="W10" s="81">
        <f>HLOOKUP(P10,データについて!$J$10:$M$18,9,FALSE)</f>
        <v>1</v>
      </c>
      <c r="X10" s="81">
        <f>HLOOKUP(Q10,データについて!$J$11:$M$18,8,FALSE)</f>
        <v>2</v>
      </c>
      <c r="Y10" s="81">
        <f>HLOOKUP(R10,データについて!$J$12:$M$18,7,FALSE)</f>
        <v>4</v>
      </c>
      <c r="Z10" s="81">
        <f>HLOOKUP(I10,データについて!$J$3:$M$18,16,FALSE)</f>
        <v>1</v>
      </c>
      <c r="AA10" s="81">
        <f>IFERROR(HLOOKUP(J10,データについて!$J$4:$AH$19,16,FALSE),"")</f>
        <v>12</v>
      </c>
      <c r="AB10" s="81" t="str">
        <f>IFERROR(HLOOKUP(K10,データについて!$J$5:$AH$20,14,FALSE),"")</f>
        <v/>
      </c>
      <c r="AC10" s="81" t="str">
        <f>IF(X10=1,HLOOKUP(R10,データについて!$J$12:$M$18,7,FALSE),"*")</f>
        <v>*</v>
      </c>
      <c r="AD10" s="81">
        <f>IF(X10=2,HLOOKUP(R10,データについて!$J$12:$M$18,7,FALSE),"*")</f>
        <v>4</v>
      </c>
    </row>
    <row r="11" spans="1:30">
      <c r="A11" s="30">
        <v>5181</v>
      </c>
      <c r="B11" s="30" t="s">
        <v>5061</v>
      </c>
      <c r="C11" s="30" t="s">
        <v>5062</v>
      </c>
      <c r="D11" s="30" t="s">
        <v>106</v>
      </c>
      <c r="E11" s="30"/>
      <c r="F11" s="30" t="s">
        <v>107</v>
      </c>
      <c r="G11" s="30" t="s">
        <v>106</v>
      </c>
      <c r="H11" s="30"/>
      <c r="I11" s="30" t="s">
        <v>192</v>
      </c>
      <c r="J11" s="30" t="s">
        <v>3010</v>
      </c>
      <c r="K11" s="30"/>
      <c r="L11" s="30" t="s">
        <v>108</v>
      </c>
      <c r="M11" s="30" t="s">
        <v>113</v>
      </c>
      <c r="N11" s="30" t="s">
        <v>114</v>
      </c>
      <c r="O11" s="30" t="s">
        <v>115</v>
      </c>
      <c r="P11" s="30" t="s">
        <v>112</v>
      </c>
      <c r="Q11" s="30" t="s">
        <v>112</v>
      </c>
      <c r="R11" s="30" t="s">
        <v>183</v>
      </c>
      <c r="S11" s="81">
        <f>HLOOKUP(L11,データについて!$J$6:$M$18,13,FALSE)</f>
        <v>1</v>
      </c>
      <c r="T11" s="81">
        <f>HLOOKUP(M11,データについて!$J$7:$M$18,12,FALSE)</f>
        <v>1</v>
      </c>
      <c r="U11" s="81">
        <f>HLOOKUP(N11,データについて!$J$8:$M$18,11,FALSE)</f>
        <v>1</v>
      </c>
      <c r="V11" s="81">
        <f>HLOOKUP(O11,データについて!$J$9:$M$18,10,FALSE)</f>
        <v>1</v>
      </c>
      <c r="W11" s="81">
        <f>HLOOKUP(P11,データについて!$J$10:$M$18,9,FALSE)</f>
        <v>1</v>
      </c>
      <c r="X11" s="81">
        <f>HLOOKUP(Q11,データについて!$J$11:$M$18,8,FALSE)</f>
        <v>1</v>
      </c>
      <c r="Y11" s="81">
        <f>HLOOKUP(R11,データについて!$J$12:$M$18,7,FALSE)</f>
        <v>1</v>
      </c>
      <c r="Z11" s="81">
        <f>HLOOKUP(I11,データについて!$J$3:$M$18,16,FALSE)</f>
        <v>1</v>
      </c>
      <c r="AA11" s="81">
        <f>IFERROR(HLOOKUP(J11,データについて!$J$4:$AH$19,16,FALSE),"")</f>
        <v>12</v>
      </c>
      <c r="AB11" s="81" t="str">
        <f>IFERROR(HLOOKUP(K11,データについて!$J$5:$AH$20,14,FALSE),"")</f>
        <v/>
      </c>
      <c r="AC11" s="81">
        <f>IF(X11=1,HLOOKUP(R11,データについて!$J$12:$M$18,7,FALSE),"*")</f>
        <v>1</v>
      </c>
      <c r="AD11" s="81" t="str">
        <f>IF(X11=2,HLOOKUP(R11,データについて!$J$12:$M$18,7,FALSE),"*")</f>
        <v>*</v>
      </c>
    </row>
    <row r="12" spans="1:30">
      <c r="A12" s="30">
        <v>5180</v>
      </c>
      <c r="B12" s="30" t="s">
        <v>5063</v>
      </c>
      <c r="C12" s="30" t="s">
        <v>5064</v>
      </c>
      <c r="D12" s="30" t="s">
        <v>106</v>
      </c>
      <c r="E12" s="30"/>
      <c r="F12" s="30" t="s">
        <v>107</v>
      </c>
      <c r="G12" s="30" t="s">
        <v>106</v>
      </c>
      <c r="H12" s="30"/>
      <c r="I12" s="30" t="s">
        <v>192</v>
      </c>
      <c r="J12" s="30" t="s">
        <v>3010</v>
      </c>
      <c r="K12" s="30"/>
      <c r="L12" s="30" t="s">
        <v>108</v>
      </c>
      <c r="M12" s="30" t="s">
        <v>113</v>
      </c>
      <c r="N12" s="30" t="s">
        <v>114</v>
      </c>
      <c r="O12" s="30" t="s">
        <v>115</v>
      </c>
      <c r="P12" s="30" t="s">
        <v>112</v>
      </c>
      <c r="Q12" s="30" t="s">
        <v>112</v>
      </c>
      <c r="R12" s="30" t="s">
        <v>183</v>
      </c>
      <c r="S12" s="81">
        <f>HLOOKUP(L12,データについて!$J$6:$M$18,13,FALSE)</f>
        <v>1</v>
      </c>
      <c r="T12" s="81">
        <f>HLOOKUP(M12,データについて!$J$7:$M$18,12,FALSE)</f>
        <v>1</v>
      </c>
      <c r="U12" s="81">
        <f>HLOOKUP(N12,データについて!$J$8:$M$18,11,FALSE)</f>
        <v>1</v>
      </c>
      <c r="V12" s="81">
        <f>HLOOKUP(O12,データについて!$J$9:$M$18,10,FALSE)</f>
        <v>1</v>
      </c>
      <c r="W12" s="81">
        <f>HLOOKUP(P12,データについて!$J$10:$M$18,9,FALSE)</f>
        <v>1</v>
      </c>
      <c r="X12" s="81">
        <f>HLOOKUP(Q12,データについて!$J$11:$M$18,8,FALSE)</f>
        <v>1</v>
      </c>
      <c r="Y12" s="81">
        <f>HLOOKUP(R12,データについて!$J$12:$M$18,7,FALSE)</f>
        <v>1</v>
      </c>
      <c r="Z12" s="81">
        <f>HLOOKUP(I12,データについて!$J$3:$M$18,16,FALSE)</f>
        <v>1</v>
      </c>
      <c r="AA12" s="81">
        <f>IFERROR(HLOOKUP(J12,データについて!$J$4:$AH$19,16,FALSE),"")</f>
        <v>12</v>
      </c>
      <c r="AB12" s="81" t="str">
        <f>IFERROR(HLOOKUP(K12,データについて!$J$5:$AH$20,14,FALSE),"")</f>
        <v/>
      </c>
      <c r="AC12" s="81">
        <f>IF(X12=1,HLOOKUP(R12,データについて!$J$12:$M$18,7,FALSE),"*")</f>
        <v>1</v>
      </c>
      <c r="AD12" s="81" t="str">
        <f>IF(X12=2,HLOOKUP(R12,データについて!$J$12:$M$18,7,FALSE),"*")</f>
        <v>*</v>
      </c>
    </row>
    <row r="13" spans="1:30">
      <c r="A13" s="30">
        <v>5179</v>
      </c>
      <c r="B13" s="30" t="s">
        <v>5065</v>
      </c>
      <c r="C13" s="30" t="s">
        <v>5066</v>
      </c>
      <c r="D13" s="30" t="s">
        <v>106</v>
      </c>
      <c r="E13" s="30"/>
      <c r="F13" s="30" t="s">
        <v>107</v>
      </c>
      <c r="G13" s="30" t="s">
        <v>106</v>
      </c>
      <c r="H13" s="30"/>
      <c r="I13" s="30" t="s">
        <v>192</v>
      </c>
      <c r="J13" s="30" t="s">
        <v>3010</v>
      </c>
      <c r="K13" s="30"/>
      <c r="L13" s="30" t="s">
        <v>117</v>
      </c>
      <c r="M13" s="30" t="s">
        <v>113</v>
      </c>
      <c r="N13" s="30" t="s">
        <v>114</v>
      </c>
      <c r="O13" s="30" t="s">
        <v>115</v>
      </c>
      <c r="P13" s="30" t="s">
        <v>118</v>
      </c>
      <c r="Q13" s="30" t="s">
        <v>112</v>
      </c>
      <c r="R13" s="30" t="s">
        <v>185</v>
      </c>
      <c r="S13" s="81">
        <f>HLOOKUP(L13,データについて!$J$6:$M$18,13,FALSE)</f>
        <v>2</v>
      </c>
      <c r="T13" s="81">
        <f>HLOOKUP(M13,データについて!$J$7:$M$18,12,FALSE)</f>
        <v>1</v>
      </c>
      <c r="U13" s="81">
        <f>HLOOKUP(N13,データについて!$J$8:$M$18,11,FALSE)</f>
        <v>1</v>
      </c>
      <c r="V13" s="81">
        <f>HLOOKUP(O13,データについて!$J$9:$M$18,10,FALSE)</f>
        <v>1</v>
      </c>
      <c r="W13" s="81">
        <f>HLOOKUP(P13,データについて!$J$10:$M$18,9,FALSE)</f>
        <v>2</v>
      </c>
      <c r="X13" s="81">
        <f>HLOOKUP(Q13,データについて!$J$11:$M$18,8,FALSE)</f>
        <v>1</v>
      </c>
      <c r="Y13" s="81">
        <f>HLOOKUP(R13,データについて!$J$12:$M$18,7,FALSE)</f>
        <v>2</v>
      </c>
      <c r="Z13" s="81">
        <f>HLOOKUP(I13,データについて!$J$3:$M$18,16,FALSE)</f>
        <v>1</v>
      </c>
      <c r="AA13" s="81">
        <f>IFERROR(HLOOKUP(J13,データについて!$J$4:$AH$19,16,FALSE),"")</f>
        <v>12</v>
      </c>
      <c r="AB13" s="81" t="str">
        <f>IFERROR(HLOOKUP(K13,データについて!$J$5:$AH$20,14,FALSE),"")</f>
        <v/>
      </c>
      <c r="AC13" s="81">
        <f>IF(X13=1,HLOOKUP(R13,データについて!$J$12:$M$18,7,FALSE),"*")</f>
        <v>2</v>
      </c>
      <c r="AD13" s="81" t="str">
        <f>IF(X13=2,HLOOKUP(R13,データについて!$J$12:$M$18,7,FALSE),"*")</f>
        <v>*</v>
      </c>
    </row>
    <row r="14" spans="1:30">
      <c r="A14" s="30">
        <v>5178</v>
      </c>
      <c r="B14" s="30" t="s">
        <v>5067</v>
      </c>
      <c r="C14" s="30" t="s">
        <v>5068</v>
      </c>
      <c r="D14" s="30" t="s">
        <v>106</v>
      </c>
      <c r="E14" s="30"/>
      <c r="F14" s="30" t="s">
        <v>107</v>
      </c>
      <c r="G14" s="30" t="s">
        <v>106</v>
      </c>
      <c r="H14" s="30"/>
      <c r="I14" s="30" t="s">
        <v>192</v>
      </c>
      <c r="J14" s="30" t="s">
        <v>3010</v>
      </c>
      <c r="K14" s="30"/>
      <c r="L14" s="30" t="s">
        <v>117</v>
      </c>
      <c r="M14" s="30" t="s">
        <v>113</v>
      </c>
      <c r="N14" s="30" t="s">
        <v>110</v>
      </c>
      <c r="O14" s="30" t="s">
        <v>115</v>
      </c>
      <c r="P14" s="30" t="s">
        <v>118</v>
      </c>
      <c r="Q14" s="30" t="s">
        <v>112</v>
      </c>
      <c r="R14" s="30" t="s">
        <v>183</v>
      </c>
      <c r="S14" s="81">
        <f>HLOOKUP(L14,データについて!$J$6:$M$18,13,FALSE)</f>
        <v>2</v>
      </c>
      <c r="T14" s="81">
        <f>HLOOKUP(M14,データについて!$J$7:$M$18,12,FALSE)</f>
        <v>1</v>
      </c>
      <c r="U14" s="81">
        <f>HLOOKUP(N14,データについて!$J$8:$M$18,11,FALSE)</f>
        <v>2</v>
      </c>
      <c r="V14" s="81">
        <f>HLOOKUP(O14,データについて!$J$9:$M$18,10,FALSE)</f>
        <v>1</v>
      </c>
      <c r="W14" s="81">
        <f>HLOOKUP(P14,データについて!$J$10:$M$18,9,FALSE)</f>
        <v>2</v>
      </c>
      <c r="X14" s="81">
        <f>HLOOKUP(Q14,データについて!$J$11:$M$18,8,FALSE)</f>
        <v>1</v>
      </c>
      <c r="Y14" s="81">
        <f>HLOOKUP(R14,データについて!$J$12:$M$18,7,FALSE)</f>
        <v>1</v>
      </c>
      <c r="Z14" s="81">
        <f>HLOOKUP(I14,データについて!$J$3:$M$18,16,FALSE)</f>
        <v>1</v>
      </c>
      <c r="AA14" s="81">
        <f>IFERROR(HLOOKUP(J14,データについて!$J$4:$AH$19,16,FALSE),"")</f>
        <v>12</v>
      </c>
      <c r="AB14" s="81" t="str">
        <f>IFERROR(HLOOKUP(K14,データについて!$J$5:$AH$20,14,FALSE),"")</f>
        <v/>
      </c>
      <c r="AC14" s="81">
        <f>IF(X14=1,HLOOKUP(R14,データについて!$J$12:$M$18,7,FALSE),"*")</f>
        <v>1</v>
      </c>
      <c r="AD14" s="81" t="str">
        <f>IF(X14=2,HLOOKUP(R14,データについて!$J$12:$M$18,7,FALSE),"*")</f>
        <v>*</v>
      </c>
    </row>
    <row r="15" spans="1:30">
      <c r="A15" s="30">
        <v>5177</v>
      </c>
      <c r="B15" s="30" t="s">
        <v>5069</v>
      </c>
      <c r="C15" s="30" t="s">
        <v>5068</v>
      </c>
      <c r="D15" s="30" t="s">
        <v>106</v>
      </c>
      <c r="E15" s="30"/>
      <c r="F15" s="30" t="s">
        <v>107</v>
      </c>
      <c r="G15" s="30" t="s">
        <v>106</v>
      </c>
      <c r="H15" s="30"/>
      <c r="I15" s="30" t="s">
        <v>192</v>
      </c>
      <c r="J15" s="30" t="s">
        <v>3010</v>
      </c>
      <c r="K15" s="30"/>
      <c r="L15" s="30" t="s">
        <v>117</v>
      </c>
      <c r="M15" s="30" t="s">
        <v>124</v>
      </c>
      <c r="N15" s="30" t="s">
        <v>119</v>
      </c>
      <c r="O15" s="30" t="s">
        <v>115</v>
      </c>
      <c r="P15" s="30" t="s">
        <v>112</v>
      </c>
      <c r="Q15" s="30" t="s">
        <v>118</v>
      </c>
      <c r="R15" s="30" t="s">
        <v>189</v>
      </c>
      <c r="S15" s="81">
        <f>HLOOKUP(L15,データについて!$J$6:$M$18,13,FALSE)</f>
        <v>2</v>
      </c>
      <c r="T15" s="81">
        <f>HLOOKUP(M15,データについて!$J$7:$M$18,12,FALSE)</f>
        <v>3</v>
      </c>
      <c r="U15" s="81">
        <f>HLOOKUP(N15,データについて!$J$8:$M$18,11,FALSE)</f>
        <v>4</v>
      </c>
      <c r="V15" s="81">
        <f>HLOOKUP(O15,データについて!$J$9:$M$18,10,FALSE)</f>
        <v>1</v>
      </c>
      <c r="W15" s="81">
        <f>HLOOKUP(P15,データについて!$J$10:$M$18,9,FALSE)</f>
        <v>1</v>
      </c>
      <c r="X15" s="81">
        <f>HLOOKUP(Q15,データについて!$J$11:$M$18,8,FALSE)</f>
        <v>2</v>
      </c>
      <c r="Y15" s="81">
        <f>HLOOKUP(R15,データについて!$J$12:$M$18,7,FALSE)</f>
        <v>4</v>
      </c>
      <c r="Z15" s="81">
        <f>HLOOKUP(I15,データについて!$J$3:$M$18,16,FALSE)</f>
        <v>1</v>
      </c>
      <c r="AA15" s="81">
        <f>IFERROR(HLOOKUP(J15,データについて!$J$4:$AH$19,16,FALSE),"")</f>
        <v>12</v>
      </c>
      <c r="AB15" s="81" t="str">
        <f>IFERROR(HLOOKUP(K15,データについて!$J$5:$AH$20,14,FALSE),"")</f>
        <v/>
      </c>
      <c r="AC15" s="81" t="str">
        <f>IF(X15=1,HLOOKUP(R15,データについて!$J$12:$M$18,7,FALSE),"*")</f>
        <v>*</v>
      </c>
      <c r="AD15" s="81">
        <f>IF(X15=2,HLOOKUP(R15,データについて!$J$12:$M$18,7,FALSE),"*")</f>
        <v>4</v>
      </c>
    </row>
    <row r="16" spans="1:30">
      <c r="A16" s="30">
        <v>5176</v>
      </c>
      <c r="B16" s="30" t="s">
        <v>5070</v>
      </c>
      <c r="C16" s="30" t="s">
        <v>5071</v>
      </c>
      <c r="D16" s="30" t="s">
        <v>106</v>
      </c>
      <c r="E16" s="30"/>
      <c r="F16" s="30" t="s">
        <v>107</v>
      </c>
      <c r="G16" s="30" t="s">
        <v>106</v>
      </c>
      <c r="H16" s="30"/>
      <c r="I16" s="30" t="s">
        <v>192</v>
      </c>
      <c r="J16" s="30" t="s">
        <v>3010</v>
      </c>
      <c r="K16" s="30"/>
      <c r="L16" s="30" t="s">
        <v>117</v>
      </c>
      <c r="M16" s="30" t="s">
        <v>113</v>
      </c>
      <c r="N16" s="30" t="s">
        <v>114</v>
      </c>
      <c r="O16" s="30" t="s">
        <v>115</v>
      </c>
      <c r="P16" s="30" t="s">
        <v>112</v>
      </c>
      <c r="Q16" s="30" t="s">
        <v>112</v>
      </c>
      <c r="R16" s="30" t="s">
        <v>183</v>
      </c>
      <c r="S16" s="81">
        <f>HLOOKUP(L16,データについて!$J$6:$M$18,13,FALSE)</f>
        <v>2</v>
      </c>
      <c r="T16" s="81">
        <f>HLOOKUP(M16,データについて!$J$7:$M$18,12,FALSE)</f>
        <v>1</v>
      </c>
      <c r="U16" s="81">
        <f>HLOOKUP(N16,データについて!$J$8:$M$18,11,FALSE)</f>
        <v>1</v>
      </c>
      <c r="V16" s="81">
        <f>HLOOKUP(O16,データについて!$J$9:$M$18,10,FALSE)</f>
        <v>1</v>
      </c>
      <c r="W16" s="81">
        <f>HLOOKUP(P16,データについて!$J$10:$M$18,9,FALSE)</f>
        <v>1</v>
      </c>
      <c r="X16" s="81">
        <f>HLOOKUP(Q16,データについて!$J$11:$M$18,8,FALSE)</f>
        <v>1</v>
      </c>
      <c r="Y16" s="81">
        <f>HLOOKUP(R16,データについて!$J$12:$M$18,7,FALSE)</f>
        <v>1</v>
      </c>
      <c r="Z16" s="81">
        <f>HLOOKUP(I16,データについて!$J$3:$M$18,16,FALSE)</f>
        <v>1</v>
      </c>
      <c r="AA16" s="81">
        <f>IFERROR(HLOOKUP(J16,データについて!$J$4:$AH$19,16,FALSE),"")</f>
        <v>12</v>
      </c>
      <c r="AB16" s="81" t="str">
        <f>IFERROR(HLOOKUP(K16,データについて!$J$5:$AH$20,14,FALSE),"")</f>
        <v/>
      </c>
      <c r="AC16" s="81">
        <f>IF(X16=1,HLOOKUP(R16,データについて!$J$12:$M$18,7,FALSE),"*")</f>
        <v>1</v>
      </c>
      <c r="AD16" s="81" t="str">
        <f>IF(X16=2,HLOOKUP(R16,データについて!$J$12:$M$18,7,FALSE),"*")</f>
        <v>*</v>
      </c>
    </row>
    <row r="17" spans="1:30">
      <c r="A17" s="30">
        <v>5175</v>
      </c>
      <c r="B17" s="30" t="s">
        <v>5072</v>
      </c>
      <c r="C17" s="30" t="s">
        <v>5073</v>
      </c>
      <c r="D17" s="30" t="s">
        <v>106</v>
      </c>
      <c r="E17" s="30"/>
      <c r="F17" s="30" t="s">
        <v>107</v>
      </c>
      <c r="G17" s="30" t="s">
        <v>106</v>
      </c>
      <c r="H17" s="30"/>
      <c r="I17" s="30" t="s">
        <v>192</v>
      </c>
      <c r="J17" s="30" t="s">
        <v>3010</v>
      </c>
      <c r="K17" s="30"/>
      <c r="L17" s="30" t="s">
        <v>117</v>
      </c>
      <c r="M17" s="30" t="s">
        <v>113</v>
      </c>
      <c r="N17" s="30" t="s">
        <v>114</v>
      </c>
      <c r="O17" s="30" t="s">
        <v>115</v>
      </c>
      <c r="P17" s="30" t="s">
        <v>112</v>
      </c>
      <c r="Q17" s="30" t="s">
        <v>118</v>
      </c>
      <c r="R17" s="30" t="s">
        <v>189</v>
      </c>
      <c r="S17" s="81">
        <f>HLOOKUP(L17,データについて!$J$6:$M$18,13,FALSE)</f>
        <v>2</v>
      </c>
      <c r="T17" s="81">
        <f>HLOOKUP(M17,データについて!$J$7:$M$18,12,FALSE)</f>
        <v>1</v>
      </c>
      <c r="U17" s="81">
        <f>HLOOKUP(N17,データについて!$J$8:$M$18,11,FALSE)</f>
        <v>1</v>
      </c>
      <c r="V17" s="81">
        <f>HLOOKUP(O17,データについて!$J$9:$M$18,10,FALSE)</f>
        <v>1</v>
      </c>
      <c r="W17" s="81">
        <f>HLOOKUP(P17,データについて!$J$10:$M$18,9,FALSE)</f>
        <v>1</v>
      </c>
      <c r="X17" s="81">
        <f>HLOOKUP(Q17,データについて!$J$11:$M$18,8,FALSE)</f>
        <v>2</v>
      </c>
      <c r="Y17" s="81">
        <f>HLOOKUP(R17,データについて!$J$12:$M$18,7,FALSE)</f>
        <v>4</v>
      </c>
      <c r="Z17" s="81">
        <f>HLOOKUP(I17,データについて!$J$3:$M$18,16,FALSE)</f>
        <v>1</v>
      </c>
      <c r="AA17" s="81">
        <f>IFERROR(HLOOKUP(J17,データについて!$J$4:$AH$19,16,FALSE),"")</f>
        <v>12</v>
      </c>
      <c r="AB17" s="81" t="str">
        <f>IFERROR(HLOOKUP(K17,データについて!$J$5:$AH$20,14,FALSE),"")</f>
        <v/>
      </c>
      <c r="AC17" s="81" t="str">
        <f>IF(X17=1,HLOOKUP(R17,データについて!$J$12:$M$18,7,FALSE),"*")</f>
        <v>*</v>
      </c>
      <c r="AD17" s="81">
        <f>IF(X17=2,HLOOKUP(R17,データについて!$J$12:$M$18,7,FALSE),"*")</f>
        <v>4</v>
      </c>
    </row>
    <row r="18" spans="1:30">
      <c r="A18" s="30">
        <v>5174</v>
      </c>
      <c r="B18" s="30" t="s">
        <v>5074</v>
      </c>
      <c r="C18" s="30" t="s">
        <v>5075</v>
      </c>
      <c r="D18" s="30" t="s">
        <v>106</v>
      </c>
      <c r="E18" s="30"/>
      <c r="F18" s="30" t="s">
        <v>107</v>
      </c>
      <c r="G18" s="30" t="s">
        <v>106</v>
      </c>
      <c r="H18" s="30"/>
      <c r="I18" s="30" t="s">
        <v>192</v>
      </c>
      <c r="J18" s="30" t="s">
        <v>3010</v>
      </c>
      <c r="K18" s="30"/>
      <c r="L18" s="30" t="s">
        <v>117</v>
      </c>
      <c r="M18" s="30" t="s">
        <v>109</v>
      </c>
      <c r="N18" s="30" t="s">
        <v>110</v>
      </c>
      <c r="O18" s="30" t="s">
        <v>115</v>
      </c>
      <c r="P18" s="30" t="s">
        <v>112</v>
      </c>
      <c r="Q18" s="30" t="s">
        <v>112</v>
      </c>
      <c r="R18" s="30" t="s">
        <v>185</v>
      </c>
      <c r="S18" s="81">
        <f>HLOOKUP(L18,データについて!$J$6:$M$18,13,FALSE)</f>
        <v>2</v>
      </c>
      <c r="T18" s="81">
        <f>HLOOKUP(M18,データについて!$J$7:$M$18,12,FALSE)</f>
        <v>2</v>
      </c>
      <c r="U18" s="81">
        <f>HLOOKUP(N18,データについて!$J$8:$M$18,11,FALSE)</f>
        <v>2</v>
      </c>
      <c r="V18" s="81">
        <f>HLOOKUP(O18,データについて!$J$9:$M$18,10,FALSE)</f>
        <v>1</v>
      </c>
      <c r="W18" s="81">
        <f>HLOOKUP(P18,データについて!$J$10:$M$18,9,FALSE)</f>
        <v>1</v>
      </c>
      <c r="X18" s="81">
        <f>HLOOKUP(Q18,データについて!$J$11:$M$18,8,FALSE)</f>
        <v>1</v>
      </c>
      <c r="Y18" s="81">
        <f>HLOOKUP(R18,データについて!$J$12:$M$18,7,FALSE)</f>
        <v>2</v>
      </c>
      <c r="Z18" s="81">
        <f>HLOOKUP(I18,データについて!$J$3:$M$18,16,FALSE)</f>
        <v>1</v>
      </c>
      <c r="AA18" s="81">
        <f>IFERROR(HLOOKUP(J18,データについて!$J$4:$AH$19,16,FALSE),"")</f>
        <v>12</v>
      </c>
      <c r="AB18" s="81" t="str">
        <f>IFERROR(HLOOKUP(K18,データについて!$J$5:$AH$20,14,FALSE),"")</f>
        <v/>
      </c>
      <c r="AC18" s="81">
        <f>IF(X18=1,HLOOKUP(R18,データについて!$J$12:$M$18,7,FALSE),"*")</f>
        <v>2</v>
      </c>
      <c r="AD18" s="81" t="str">
        <f>IF(X18=2,HLOOKUP(R18,データについて!$J$12:$M$18,7,FALSE),"*")</f>
        <v>*</v>
      </c>
    </row>
    <row r="19" spans="1:30">
      <c r="A19" s="30">
        <v>5173</v>
      </c>
      <c r="B19" s="30" t="s">
        <v>5076</v>
      </c>
      <c r="C19" s="30" t="s">
        <v>5077</v>
      </c>
      <c r="D19" s="30" t="s">
        <v>106</v>
      </c>
      <c r="E19" s="30"/>
      <c r="F19" s="30" t="s">
        <v>107</v>
      </c>
      <c r="G19" s="30" t="s">
        <v>106</v>
      </c>
      <c r="H19" s="30"/>
      <c r="I19" s="30" t="s">
        <v>192</v>
      </c>
      <c r="J19" s="30" t="s">
        <v>3010</v>
      </c>
      <c r="K19" s="30"/>
      <c r="L19" s="30" t="s">
        <v>108</v>
      </c>
      <c r="M19" s="30" t="s">
        <v>109</v>
      </c>
      <c r="N19" s="30" t="s">
        <v>114</v>
      </c>
      <c r="O19" s="30" t="s">
        <v>115</v>
      </c>
      <c r="P19" s="30" t="s">
        <v>112</v>
      </c>
      <c r="Q19" s="30" t="s">
        <v>112</v>
      </c>
      <c r="R19" s="30" t="s">
        <v>185</v>
      </c>
      <c r="S19" s="81">
        <f>HLOOKUP(L19,データについて!$J$6:$M$18,13,FALSE)</f>
        <v>1</v>
      </c>
      <c r="T19" s="81">
        <f>HLOOKUP(M19,データについて!$J$7:$M$18,12,FALSE)</f>
        <v>2</v>
      </c>
      <c r="U19" s="81">
        <f>HLOOKUP(N19,データについて!$J$8:$M$18,11,FALSE)</f>
        <v>1</v>
      </c>
      <c r="V19" s="81">
        <f>HLOOKUP(O19,データについて!$J$9:$M$18,10,FALSE)</f>
        <v>1</v>
      </c>
      <c r="W19" s="81">
        <f>HLOOKUP(P19,データについて!$J$10:$M$18,9,FALSE)</f>
        <v>1</v>
      </c>
      <c r="X19" s="81">
        <f>HLOOKUP(Q19,データについて!$J$11:$M$18,8,FALSE)</f>
        <v>1</v>
      </c>
      <c r="Y19" s="81">
        <f>HLOOKUP(R19,データについて!$J$12:$M$18,7,FALSE)</f>
        <v>2</v>
      </c>
      <c r="Z19" s="81">
        <f>HLOOKUP(I19,データについて!$J$3:$M$18,16,FALSE)</f>
        <v>1</v>
      </c>
      <c r="AA19" s="81">
        <f>IFERROR(HLOOKUP(J19,データについて!$J$4:$AH$19,16,FALSE),"")</f>
        <v>12</v>
      </c>
      <c r="AB19" s="81" t="str">
        <f>IFERROR(HLOOKUP(K19,データについて!$J$5:$AH$20,14,FALSE),"")</f>
        <v/>
      </c>
      <c r="AC19" s="81">
        <f>IF(X19=1,HLOOKUP(R19,データについて!$J$12:$M$18,7,FALSE),"*")</f>
        <v>2</v>
      </c>
      <c r="AD19" s="81" t="str">
        <f>IF(X19=2,HLOOKUP(R19,データについて!$J$12:$M$18,7,FALSE),"*")</f>
        <v>*</v>
      </c>
    </row>
    <row r="20" spans="1:30">
      <c r="A20" s="30">
        <v>5172</v>
      </c>
      <c r="B20" s="30" t="s">
        <v>5078</v>
      </c>
      <c r="C20" s="30" t="s">
        <v>5077</v>
      </c>
      <c r="D20" s="30" t="s">
        <v>106</v>
      </c>
      <c r="E20" s="30"/>
      <c r="F20" s="30" t="s">
        <v>107</v>
      </c>
      <c r="G20" s="30" t="s">
        <v>106</v>
      </c>
      <c r="H20" s="30"/>
      <c r="I20" s="30" t="s">
        <v>192</v>
      </c>
      <c r="J20" s="30" t="s">
        <v>3010</v>
      </c>
      <c r="K20" s="30"/>
      <c r="L20" s="30" t="s">
        <v>117</v>
      </c>
      <c r="M20" s="30" t="s">
        <v>109</v>
      </c>
      <c r="N20" s="30" t="s">
        <v>119</v>
      </c>
      <c r="O20" s="30" t="s">
        <v>115</v>
      </c>
      <c r="P20" s="30" t="s">
        <v>112</v>
      </c>
      <c r="Q20" s="30" t="s">
        <v>112</v>
      </c>
      <c r="R20" s="30" t="s">
        <v>189</v>
      </c>
      <c r="S20" s="81">
        <f>HLOOKUP(L20,データについて!$J$6:$M$18,13,FALSE)</f>
        <v>2</v>
      </c>
      <c r="T20" s="81">
        <f>HLOOKUP(M20,データについて!$J$7:$M$18,12,FALSE)</f>
        <v>2</v>
      </c>
      <c r="U20" s="81">
        <f>HLOOKUP(N20,データについて!$J$8:$M$18,11,FALSE)</f>
        <v>4</v>
      </c>
      <c r="V20" s="81">
        <f>HLOOKUP(O20,データについて!$J$9:$M$18,10,FALSE)</f>
        <v>1</v>
      </c>
      <c r="W20" s="81">
        <f>HLOOKUP(P20,データについて!$J$10:$M$18,9,FALSE)</f>
        <v>1</v>
      </c>
      <c r="X20" s="81">
        <f>HLOOKUP(Q20,データについて!$J$11:$M$18,8,FALSE)</f>
        <v>1</v>
      </c>
      <c r="Y20" s="81">
        <f>HLOOKUP(R20,データについて!$J$12:$M$18,7,FALSE)</f>
        <v>4</v>
      </c>
      <c r="Z20" s="81">
        <f>HLOOKUP(I20,データについて!$J$3:$M$18,16,FALSE)</f>
        <v>1</v>
      </c>
      <c r="AA20" s="81">
        <f>IFERROR(HLOOKUP(J20,データについて!$J$4:$AH$19,16,FALSE),"")</f>
        <v>12</v>
      </c>
      <c r="AB20" s="81" t="str">
        <f>IFERROR(HLOOKUP(K20,データについて!$J$5:$AH$20,14,FALSE),"")</f>
        <v/>
      </c>
      <c r="AC20" s="81">
        <f>IF(X20=1,HLOOKUP(R20,データについて!$J$12:$M$18,7,FALSE),"*")</f>
        <v>4</v>
      </c>
      <c r="AD20" s="81" t="str">
        <f>IF(X20=2,HLOOKUP(R20,データについて!$J$12:$M$18,7,FALSE),"*")</f>
        <v>*</v>
      </c>
    </row>
    <row r="21" spans="1:30">
      <c r="A21" s="30">
        <v>5171</v>
      </c>
      <c r="B21" s="30" t="s">
        <v>5079</v>
      </c>
      <c r="C21" s="30" t="s">
        <v>5080</v>
      </c>
      <c r="D21" s="30" t="s">
        <v>106</v>
      </c>
      <c r="E21" s="30"/>
      <c r="F21" s="30" t="s">
        <v>107</v>
      </c>
      <c r="G21" s="30" t="s">
        <v>106</v>
      </c>
      <c r="H21" s="30"/>
      <c r="I21" s="30" t="s">
        <v>192</v>
      </c>
      <c r="J21" s="30" t="s">
        <v>3010</v>
      </c>
      <c r="K21" s="30"/>
      <c r="L21" s="30" t="s">
        <v>108</v>
      </c>
      <c r="M21" s="30" t="s">
        <v>113</v>
      </c>
      <c r="N21" s="30" t="s">
        <v>114</v>
      </c>
      <c r="O21" s="30" t="s">
        <v>116</v>
      </c>
      <c r="P21" s="30" t="s">
        <v>112</v>
      </c>
      <c r="Q21" s="30" t="s">
        <v>112</v>
      </c>
      <c r="R21" s="30" t="s">
        <v>185</v>
      </c>
      <c r="S21" s="81">
        <f>HLOOKUP(L21,データについて!$J$6:$M$18,13,FALSE)</f>
        <v>1</v>
      </c>
      <c r="T21" s="81">
        <f>HLOOKUP(M21,データについて!$J$7:$M$18,12,FALSE)</f>
        <v>1</v>
      </c>
      <c r="U21" s="81">
        <f>HLOOKUP(N21,データについて!$J$8:$M$18,11,FALSE)</f>
        <v>1</v>
      </c>
      <c r="V21" s="81">
        <f>HLOOKUP(O21,データについて!$J$9:$M$18,10,FALSE)</f>
        <v>2</v>
      </c>
      <c r="W21" s="81">
        <f>HLOOKUP(P21,データについて!$J$10:$M$18,9,FALSE)</f>
        <v>1</v>
      </c>
      <c r="X21" s="81">
        <f>HLOOKUP(Q21,データについて!$J$11:$M$18,8,FALSE)</f>
        <v>1</v>
      </c>
      <c r="Y21" s="81">
        <f>HLOOKUP(R21,データについて!$J$12:$M$18,7,FALSE)</f>
        <v>2</v>
      </c>
      <c r="Z21" s="81">
        <f>HLOOKUP(I21,データについて!$J$3:$M$18,16,FALSE)</f>
        <v>1</v>
      </c>
      <c r="AA21" s="81">
        <f>IFERROR(HLOOKUP(J21,データについて!$J$4:$AH$19,16,FALSE),"")</f>
        <v>12</v>
      </c>
      <c r="AB21" s="81" t="str">
        <f>IFERROR(HLOOKUP(K21,データについて!$J$5:$AH$20,14,FALSE),"")</f>
        <v/>
      </c>
      <c r="AC21" s="81">
        <f>IF(X21=1,HLOOKUP(R21,データについて!$J$12:$M$18,7,FALSE),"*")</f>
        <v>2</v>
      </c>
      <c r="AD21" s="81" t="str">
        <f>IF(X21=2,HLOOKUP(R21,データについて!$J$12:$M$18,7,FALSE),"*")</f>
        <v>*</v>
      </c>
    </row>
    <row r="22" spans="1:30">
      <c r="A22" s="30">
        <v>5170</v>
      </c>
      <c r="B22" s="30" t="s">
        <v>5081</v>
      </c>
      <c r="C22" s="30" t="s">
        <v>5082</v>
      </c>
      <c r="D22" s="30" t="s">
        <v>106</v>
      </c>
      <c r="E22" s="30"/>
      <c r="F22" s="30" t="s">
        <v>107</v>
      </c>
      <c r="G22" s="30" t="s">
        <v>106</v>
      </c>
      <c r="H22" s="30"/>
      <c r="I22" s="30" t="s">
        <v>192</v>
      </c>
      <c r="J22" s="30" t="s">
        <v>3010</v>
      </c>
      <c r="K22" s="30"/>
      <c r="L22" s="30" t="s">
        <v>108</v>
      </c>
      <c r="M22" s="30" t="s">
        <v>113</v>
      </c>
      <c r="N22" s="30" t="s">
        <v>114</v>
      </c>
      <c r="O22" s="30" t="s">
        <v>115</v>
      </c>
      <c r="P22" s="30" t="s">
        <v>112</v>
      </c>
      <c r="Q22" s="30" t="s">
        <v>112</v>
      </c>
      <c r="R22" s="30" t="s">
        <v>183</v>
      </c>
      <c r="S22" s="81">
        <f>HLOOKUP(L22,データについて!$J$6:$M$18,13,FALSE)</f>
        <v>1</v>
      </c>
      <c r="T22" s="81">
        <f>HLOOKUP(M22,データについて!$J$7:$M$18,12,FALSE)</f>
        <v>1</v>
      </c>
      <c r="U22" s="81">
        <f>HLOOKUP(N22,データについて!$J$8:$M$18,11,FALSE)</f>
        <v>1</v>
      </c>
      <c r="V22" s="81">
        <f>HLOOKUP(O22,データについて!$J$9:$M$18,10,FALSE)</f>
        <v>1</v>
      </c>
      <c r="W22" s="81">
        <f>HLOOKUP(P22,データについて!$J$10:$M$18,9,FALSE)</f>
        <v>1</v>
      </c>
      <c r="X22" s="81">
        <f>HLOOKUP(Q22,データについて!$J$11:$M$18,8,FALSE)</f>
        <v>1</v>
      </c>
      <c r="Y22" s="81">
        <f>HLOOKUP(R22,データについて!$J$12:$M$18,7,FALSE)</f>
        <v>1</v>
      </c>
      <c r="Z22" s="81">
        <f>HLOOKUP(I22,データについて!$J$3:$M$18,16,FALSE)</f>
        <v>1</v>
      </c>
      <c r="AA22" s="81">
        <f>IFERROR(HLOOKUP(J22,データについて!$J$4:$AH$19,16,FALSE),"")</f>
        <v>12</v>
      </c>
      <c r="AB22" s="81" t="str">
        <f>IFERROR(HLOOKUP(K22,データについて!$J$5:$AH$20,14,FALSE),"")</f>
        <v/>
      </c>
      <c r="AC22" s="81">
        <f>IF(X22=1,HLOOKUP(R22,データについて!$J$12:$M$18,7,FALSE),"*")</f>
        <v>1</v>
      </c>
      <c r="AD22" s="81" t="str">
        <f>IF(X22=2,HLOOKUP(R22,データについて!$J$12:$M$18,7,FALSE),"*")</f>
        <v>*</v>
      </c>
    </row>
    <row r="23" spans="1:30">
      <c r="A23" s="30">
        <v>5169</v>
      </c>
      <c r="B23" s="30" t="s">
        <v>5083</v>
      </c>
      <c r="C23" s="30" t="s">
        <v>5082</v>
      </c>
      <c r="D23" s="30" t="s">
        <v>106</v>
      </c>
      <c r="E23" s="30"/>
      <c r="F23" s="30" t="s">
        <v>107</v>
      </c>
      <c r="G23" s="30" t="s">
        <v>106</v>
      </c>
      <c r="H23" s="30"/>
      <c r="I23" s="30" t="s">
        <v>192</v>
      </c>
      <c r="J23" s="30" t="s">
        <v>3010</v>
      </c>
      <c r="K23" s="30"/>
      <c r="L23" s="30" t="s">
        <v>108</v>
      </c>
      <c r="M23" s="30" t="s">
        <v>109</v>
      </c>
      <c r="N23" s="30" t="s">
        <v>114</v>
      </c>
      <c r="O23" s="30" t="s">
        <v>115</v>
      </c>
      <c r="P23" s="30" t="s">
        <v>118</v>
      </c>
      <c r="Q23" s="30" t="s">
        <v>112</v>
      </c>
      <c r="R23" s="30" t="s">
        <v>189</v>
      </c>
      <c r="S23" s="81">
        <f>HLOOKUP(L23,データについて!$J$6:$M$18,13,FALSE)</f>
        <v>1</v>
      </c>
      <c r="T23" s="81">
        <f>HLOOKUP(M23,データについて!$J$7:$M$18,12,FALSE)</f>
        <v>2</v>
      </c>
      <c r="U23" s="81">
        <f>HLOOKUP(N23,データについて!$J$8:$M$18,11,FALSE)</f>
        <v>1</v>
      </c>
      <c r="V23" s="81">
        <f>HLOOKUP(O23,データについて!$J$9:$M$18,10,FALSE)</f>
        <v>1</v>
      </c>
      <c r="W23" s="81">
        <f>HLOOKUP(P23,データについて!$J$10:$M$18,9,FALSE)</f>
        <v>2</v>
      </c>
      <c r="X23" s="81">
        <f>HLOOKUP(Q23,データについて!$J$11:$M$18,8,FALSE)</f>
        <v>1</v>
      </c>
      <c r="Y23" s="81">
        <f>HLOOKUP(R23,データについて!$J$12:$M$18,7,FALSE)</f>
        <v>4</v>
      </c>
      <c r="Z23" s="81">
        <f>HLOOKUP(I23,データについて!$J$3:$M$18,16,FALSE)</f>
        <v>1</v>
      </c>
      <c r="AA23" s="81">
        <f>IFERROR(HLOOKUP(J23,データについて!$J$4:$AH$19,16,FALSE),"")</f>
        <v>12</v>
      </c>
      <c r="AB23" s="81" t="str">
        <f>IFERROR(HLOOKUP(K23,データについて!$J$5:$AH$20,14,FALSE),"")</f>
        <v/>
      </c>
      <c r="AC23" s="81">
        <f>IF(X23=1,HLOOKUP(R23,データについて!$J$12:$M$18,7,FALSE),"*")</f>
        <v>4</v>
      </c>
      <c r="AD23" s="81" t="str">
        <f>IF(X23=2,HLOOKUP(R23,データについて!$J$12:$M$18,7,FALSE),"*")</f>
        <v>*</v>
      </c>
    </row>
    <row r="24" spans="1:30">
      <c r="A24" s="30">
        <v>5168</v>
      </c>
      <c r="B24" s="30" t="s">
        <v>5084</v>
      </c>
      <c r="C24" s="30" t="s">
        <v>5085</v>
      </c>
      <c r="D24" s="30" t="s">
        <v>106</v>
      </c>
      <c r="E24" s="30"/>
      <c r="F24" s="30" t="s">
        <v>107</v>
      </c>
      <c r="G24" s="30" t="s">
        <v>106</v>
      </c>
      <c r="H24" s="30"/>
      <c r="I24" s="30" t="s">
        <v>192</v>
      </c>
      <c r="J24" s="30" t="s">
        <v>3010</v>
      </c>
      <c r="K24" s="30"/>
      <c r="L24" s="30" t="s">
        <v>117</v>
      </c>
      <c r="M24" s="30" t="s">
        <v>113</v>
      </c>
      <c r="N24" s="30" t="s">
        <v>114</v>
      </c>
      <c r="O24" s="30" t="s">
        <v>115</v>
      </c>
      <c r="P24" s="30" t="s">
        <v>112</v>
      </c>
      <c r="Q24" s="30" t="s">
        <v>112</v>
      </c>
      <c r="R24" s="30" t="s">
        <v>185</v>
      </c>
      <c r="S24" s="81">
        <f>HLOOKUP(L24,データについて!$J$6:$M$18,13,FALSE)</f>
        <v>2</v>
      </c>
      <c r="T24" s="81">
        <f>HLOOKUP(M24,データについて!$J$7:$M$18,12,FALSE)</f>
        <v>1</v>
      </c>
      <c r="U24" s="81">
        <f>HLOOKUP(N24,データについて!$J$8:$M$18,11,FALSE)</f>
        <v>1</v>
      </c>
      <c r="V24" s="81">
        <f>HLOOKUP(O24,データについて!$J$9:$M$18,10,FALSE)</f>
        <v>1</v>
      </c>
      <c r="W24" s="81">
        <f>HLOOKUP(P24,データについて!$J$10:$M$18,9,FALSE)</f>
        <v>1</v>
      </c>
      <c r="X24" s="81">
        <f>HLOOKUP(Q24,データについて!$J$11:$M$18,8,FALSE)</f>
        <v>1</v>
      </c>
      <c r="Y24" s="81">
        <f>HLOOKUP(R24,データについて!$J$12:$M$18,7,FALSE)</f>
        <v>2</v>
      </c>
      <c r="Z24" s="81">
        <f>HLOOKUP(I24,データについて!$J$3:$M$18,16,FALSE)</f>
        <v>1</v>
      </c>
      <c r="AA24" s="81">
        <f>IFERROR(HLOOKUP(J24,データについて!$J$4:$AH$19,16,FALSE),"")</f>
        <v>12</v>
      </c>
      <c r="AB24" s="81" t="str">
        <f>IFERROR(HLOOKUP(K24,データについて!$J$5:$AH$20,14,FALSE),"")</f>
        <v/>
      </c>
      <c r="AC24" s="81">
        <f>IF(X24=1,HLOOKUP(R24,データについて!$J$12:$M$18,7,FALSE),"*")</f>
        <v>2</v>
      </c>
      <c r="AD24" s="81" t="str">
        <f>IF(X24=2,HLOOKUP(R24,データについて!$J$12:$M$18,7,FALSE),"*")</f>
        <v>*</v>
      </c>
    </row>
    <row r="25" spans="1:30">
      <c r="A25" s="30">
        <v>5167</v>
      </c>
      <c r="B25" s="30" t="s">
        <v>5086</v>
      </c>
      <c r="C25" s="30" t="s">
        <v>5085</v>
      </c>
      <c r="D25" s="30" t="s">
        <v>106</v>
      </c>
      <c r="E25" s="30"/>
      <c r="F25" s="30" t="s">
        <v>107</v>
      </c>
      <c r="G25" s="30" t="s">
        <v>106</v>
      </c>
      <c r="H25" s="30"/>
      <c r="I25" s="30" t="s">
        <v>192</v>
      </c>
      <c r="J25" s="30" t="s">
        <v>3010</v>
      </c>
      <c r="K25" s="30"/>
      <c r="L25" s="30" t="s">
        <v>108</v>
      </c>
      <c r="M25" s="30" t="s">
        <v>124</v>
      </c>
      <c r="N25" s="30" t="s">
        <v>110</v>
      </c>
      <c r="O25" s="30" t="s">
        <v>115</v>
      </c>
      <c r="P25" s="30" t="s">
        <v>112</v>
      </c>
      <c r="Q25" s="30" t="s">
        <v>112</v>
      </c>
      <c r="R25" s="30" t="s">
        <v>187</v>
      </c>
      <c r="S25" s="81">
        <f>HLOOKUP(L25,データについて!$J$6:$M$18,13,FALSE)</f>
        <v>1</v>
      </c>
      <c r="T25" s="81">
        <f>HLOOKUP(M25,データについて!$J$7:$M$18,12,FALSE)</f>
        <v>3</v>
      </c>
      <c r="U25" s="81">
        <f>HLOOKUP(N25,データについて!$J$8:$M$18,11,FALSE)</f>
        <v>2</v>
      </c>
      <c r="V25" s="81">
        <f>HLOOKUP(O25,データについて!$J$9:$M$18,10,FALSE)</f>
        <v>1</v>
      </c>
      <c r="W25" s="81">
        <f>HLOOKUP(P25,データについて!$J$10:$M$18,9,FALSE)</f>
        <v>1</v>
      </c>
      <c r="X25" s="81">
        <f>HLOOKUP(Q25,データについて!$J$11:$M$18,8,FALSE)</f>
        <v>1</v>
      </c>
      <c r="Y25" s="81">
        <f>HLOOKUP(R25,データについて!$J$12:$M$18,7,FALSE)</f>
        <v>3</v>
      </c>
      <c r="Z25" s="81">
        <f>HLOOKUP(I25,データについて!$J$3:$M$18,16,FALSE)</f>
        <v>1</v>
      </c>
      <c r="AA25" s="81">
        <f>IFERROR(HLOOKUP(J25,データについて!$J$4:$AH$19,16,FALSE),"")</f>
        <v>12</v>
      </c>
      <c r="AB25" s="81" t="str">
        <f>IFERROR(HLOOKUP(K25,データについて!$J$5:$AH$20,14,FALSE),"")</f>
        <v/>
      </c>
      <c r="AC25" s="81">
        <f>IF(X25=1,HLOOKUP(R25,データについて!$J$12:$M$18,7,FALSE),"*")</f>
        <v>3</v>
      </c>
      <c r="AD25" s="81" t="str">
        <f>IF(X25=2,HLOOKUP(R25,データについて!$J$12:$M$18,7,FALSE),"*")</f>
        <v>*</v>
      </c>
    </row>
    <row r="26" spans="1:30">
      <c r="A26" s="30">
        <v>5166</v>
      </c>
      <c r="B26" s="30" t="s">
        <v>5087</v>
      </c>
      <c r="C26" s="30" t="s">
        <v>5088</v>
      </c>
      <c r="D26" s="30" t="s">
        <v>106</v>
      </c>
      <c r="E26" s="30"/>
      <c r="F26" s="30" t="s">
        <v>107</v>
      </c>
      <c r="G26" s="30" t="s">
        <v>106</v>
      </c>
      <c r="H26" s="30"/>
      <c r="I26" s="30" t="s">
        <v>192</v>
      </c>
      <c r="J26" s="30" t="s">
        <v>3010</v>
      </c>
      <c r="K26" s="30"/>
      <c r="L26" s="30" t="s">
        <v>108</v>
      </c>
      <c r="M26" s="30" t="s">
        <v>113</v>
      </c>
      <c r="N26" s="30" t="s">
        <v>114</v>
      </c>
      <c r="O26" s="30" t="s">
        <v>115</v>
      </c>
      <c r="P26" s="30" t="s">
        <v>112</v>
      </c>
      <c r="Q26" s="30" t="s">
        <v>112</v>
      </c>
      <c r="R26" s="30" t="s">
        <v>185</v>
      </c>
      <c r="S26" s="81">
        <f>HLOOKUP(L26,データについて!$J$6:$M$18,13,FALSE)</f>
        <v>1</v>
      </c>
      <c r="T26" s="81">
        <f>HLOOKUP(M26,データについて!$J$7:$M$18,12,FALSE)</f>
        <v>1</v>
      </c>
      <c r="U26" s="81">
        <f>HLOOKUP(N26,データについて!$J$8:$M$18,11,FALSE)</f>
        <v>1</v>
      </c>
      <c r="V26" s="81">
        <f>HLOOKUP(O26,データについて!$J$9:$M$18,10,FALSE)</f>
        <v>1</v>
      </c>
      <c r="W26" s="81">
        <f>HLOOKUP(P26,データについて!$J$10:$M$18,9,FALSE)</f>
        <v>1</v>
      </c>
      <c r="X26" s="81">
        <f>HLOOKUP(Q26,データについて!$J$11:$M$18,8,FALSE)</f>
        <v>1</v>
      </c>
      <c r="Y26" s="81">
        <f>HLOOKUP(R26,データについて!$J$12:$M$18,7,FALSE)</f>
        <v>2</v>
      </c>
      <c r="Z26" s="81">
        <f>HLOOKUP(I26,データについて!$J$3:$M$18,16,FALSE)</f>
        <v>1</v>
      </c>
      <c r="AA26" s="81">
        <f>IFERROR(HLOOKUP(J26,データについて!$J$4:$AH$19,16,FALSE),"")</f>
        <v>12</v>
      </c>
      <c r="AB26" s="81" t="str">
        <f>IFERROR(HLOOKUP(K26,データについて!$J$5:$AH$20,14,FALSE),"")</f>
        <v/>
      </c>
      <c r="AC26" s="81">
        <f>IF(X26=1,HLOOKUP(R26,データについて!$J$12:$M$18,7,FALSE),"*")</f>
        <v>2</v>
      </c>
      <c r="AD26" s="81" t="str">
        <f>IF(X26=2,HLOOKUP(R26,データについて!$J$12:$M$18,7,FALSE),"*")</f>
        <v>*</v>
      </c>
    </row>
    <row r="27" spans="1:30">
      <c r="A27" s="30">
        <v>5165</v>
      </c>
      <c r="B27" s="30" t="s">
        <v>5089</v>
      </c>
      <c r="C27" s="30" t="s">
        <v>5088</v>
      </c>
      <c r="D27" s="30" t="s">
        <v>106</v>
      </c>
      <c r="E27" s="30"/>
      <c r="F27" s="30" t="s">
        <v>107</v>
      </c>
      <c r="G27" s="30" t="s">
        <v>106</v>
      </c>
      <c r="H27" s="30"/>
      <c r="I27" s="30" t="s">
        <v>192</v>
      </c>
      <c r="J27" s="30" t="s">
        <v>3010</v>
      </c>
      <c r="K27" s="30"/>
      <c r="L27" s="30" t="s">
        <v>117</v>
      </c>
      <c r="M27" s="30" t="s">
        <v>113</v>
      </c>
      <c r="N27" s="30" t="s">
        <v>110</v>
      </c>
      <c r="O27" s="30" t="s">
        <v>115</v>
      </c>
      <c r="P27" s="30" t="s">
        <v>112</v>
      </c>
      <c r="Q27" s="30" t="s">
        <v>112</v>
      </c>
      <c r="R27" s="30" t="s">
        <v>183</v>
      </c>
      <c r="S27" s="81">
        <f>HLOOKUP(L27,データについて!$J$6:$M$18,13,FALSE)</f>
        <v>2</v>
      </c>
      <c r="T27" s="81">
        <f>HLOOKUP(M27,データについて!$J$7:$M$18,12,FALSE)</f>
        <v>1</v>
      </c>
      <c r="U27" s="81">
        <f>HLOOKUP(N27,データについて!$J$8:$M$18,11,FALSE)</f>
        <v>2</v>
      </c>
      <c r="V27" s="81">
        <f>HLOOKUP(O27,データについて!$J$9:$M$18,10,FALSE)</f>
        <v>1</v>
      </c>
      <c r="W27" s="81">
        <f>HLOOKUP(P27,データについて!$J$10:$M$18,9,FALSE)</f>
        <v>1</v>
      </c>
      <c r="X27" s="81">
        <f>HLOOKUP(Q27,データについて!$J$11:$M$18,8,FALSE)</f>
        <v>1</v>
      </c>
      <c r="Y27" s="81">
        <f>HLOOKUP(R27,データについて!$J$12:$M$18,7,FALSE)</f>
        <v>1</v>
      </c>
      <c r="Z27" s="81">
        <f>HLOOKUP(I27,データについて!$J$3:$M$18,16,FALSE)</f>
        <v>1</v>
      </c>
      <c r="AA27" s="81">
        <f>IFERROR(HLOOKUP(J27,データについて!$J$4:$AH$19,16,FALSE),"")</f>
        <v>12</v>
      </c>
      <c r="AB27" s="81" t="str">
        <f>IFERROR(HLOOKUP(K27,データについて!$J$5:$AH$20,14,FALSE),"")</f>
        <v/>
      </c>
      <c r="AC27" s="81">
        <f>IF(X27=1,HLOOKUP(R27,データについて!$J$12:$M$18,7,FALSE),"*")</f>
        <v>1</v>
      </c>
      <c r="AD27" s="81" t="str">
        <f>IF(X27=2,HLOOKUP(R27,データについて!$J$12:$M$18,7,FALSE),"*")</f>
        <v>*</v>
      </c>
    </row>
    <row r="28" spans="1:30">
      <c r="A28" s="30">
        <v>5164</v>
      </c>
      <c r="B28" s="30" t="s">
        <v>5090</v>
      </c>
      <c r="C28" s="30" t="s">
        <v>5088</v>
      </c>
      <c r="D28" s="30" t="s">
        <v>106</v>
      </c>
      <c r="E28" s="30"/>
      <c r="F28" s="30" t="s">
        <v>107</v>
      </c>
      <c r="G28" s="30" t="s">
        <v>106</v>
      </c>
      <c r="H28" s="30"/>
      <c r="I28" s="30" t="s">
        <v>192</v>
      </c>
      <c r="J28" s="30" t="s">
        <v>3010</v>
      </c>
      <c r="K28" s="30"/>
      <c r="L28" s="30" t="s">
        <v>117</v>
      </c>
      <c r="M28" s="30" t="s">
        <v>113</v>
      </c>
      <c r="N28" s="30" t="s">
        <v>110</v>
      </c>
      <c r="O28" s="30" t="s">
        <v>115</v>
      </c>
      <c r="P28" s="30" t="s">
        <v>112</v>
      </c>
      <c r="Q28" s="30" t="s">
        <v>112</v>
      </c>
      <c r="R28" s="30" t="s">
        <v>185</v>
      </c>
      <c r="S28" s="81">
        <f>HLOOKUP(L28,データについて!$J$6:$M$18,13,FALSE)</f>
        <v>2</v>
      </c>
      <c r="T28" s="81">
        <f>HLOOKUP(M28,データについて!$J$7:$M$18,12,FALSE)</f>
        <v>1</v>
      </c>
      <c r="U28" s="81">
        <f>HLOOKUP(N28,データについて!$J$8:$M$18,11,FALSE)</f>
        <v>2</v>
      </c>
      <c r="V28" s="81">
        <f>HLOOKUP(O28,データについて!$J$9:$M$18,10,FALSE)</f>
        <v>1</v>
      </c>
      <c r="W28" s="81">
        <f>HLOOKUP(P28,データについて!$J$10:$M$18,9,FALSE)</f>
        <v>1</v>
      </c>
      <c r="X28" s="81">
        <f>HLOOKUP(Q28,データについて!$J$11:$M$18,8,FALSE)</f>
        <v>1</v>
      </c>
      <c r="Y28" s="81">
        <f>HLOOKUP(R28,データについて!$J$12:$M$18,7,FALSE)</f>
        <v>2</v>
      </c>
      <c r="Z28" s="81">
        <f>HLOOKUP(I28,データについて!$J$3:$M$18,16,FALSE)</f>
        <v>1</v>
      </c>
      <c r="AA28" s="81">
        <f>IFERROR(HLOOKUP(J28,データについて!$J$4:$AH$19,16,FALSE),"")</f>
        <v>12</v>
      </c>
      <c r="AB28" s="81" t="str">
        <f>IFERROR(HLOOKUP(K28,データについて!$J$5:$AH$20,14,FALSE),"")</f>
        <v/>
      </c>
      <c r="AC28" s="81">
        <f>IF(X28=1,HLOOKUP(R28,データについて!$J$12:$M$18,7,FALSE),"*")</f>
        <v>2</v>
      </c>
      <c r="AD28" s="81" t="str">
        <f>IF(X28=2,HLOOKUP(R28,データについて!$J$12:$M$18,7,FALSE),"*")</f>
        <v>*</v>
      </c>
    </row>
    <row r="29" spans="1:30">
      <c r="A29" s="30">
        <v>5163</v>
      </c>
      <c r="B29" s="30" t="s">
        <v>5091</v>
      </c>
      <c r="C29" s="30" t="s">
        <v>5092</v>
      </c>
      <c r="D29" s="30" t="s">
        <v>106</v>
      </c>
      <c r="E29" s="30"/>
      <c r="F29" s="30" t="s">
        <v>107</v>
      </c>
      <c r="G29" s="30" t="s">
        <v>106</v>
      </c>
      <c r="H29" s="30"/>
      <c r="I29" s="30" t="s">
        <v>192</v>
      </c>
      <c r="J29" s="30" t="s">
        <v>3010</v>
      </c>
      <c r="K29" s="30"/>
      <c r="L29" s="30" t="s">
        <v>108</v>
      </c>
      <c r="M29" s="30" t="s">
        <v>113</v>
      </c>
      <c r="N29" s="30" t="s">
        <v>114</v>
      </c>
      <c r="O29" s="30" t="s">
        <v>115</v>
      </c>
      <c r="P29" s="30" t="s">
        <v>112</v>
      </c>
      <c r="Q29" s="30" t="s">
        <v>112</v>
      </c>
      <c r="R29" s="30" t="s">
        <v>183</v>
      </c>
      <c r="S29" s="81">
        <f>HLOOKUP(L29,データについて!$J$6:$M$18,13,FALSE)</f>
        <v>1</v>
      </c>
      <c r="T29" s="81">
        <f>HLOOKUP(M29,データについて!$J$7:$M$18,12,FALSE)</f>
        <v>1</v>
      </c>
      <c r="U29" s="81">
        <f>HLOOKUP(N29,データについて!$J$8:$M$18,11,FALSE)</f>
        <v>1</v>
      </c>
      <c r="V29" s="81">
        <f>HLOOKUP(O29,データについて!$J$9:$M$18,10,FALSE)</f>
        <v>1</v>
      </c>
      <c r="W29" s="81">
        <f>HLOOKUP(P29,データについて!$J$10:$M$18,9,FALSE)</f>
        <v>1</v>
      </c>
      <c r="X29" s="81">
        <f>HLOOKUP(Q29,データについて!$J$11:$M$18,8,FALSE)</f>
        <v>1</v>
      </c>
      <c r="Y29" s="81">
        <f>HLOOKUP(R29,データについて!$J$12:$M$18,7,FALSE)</f>
        <v>1</v>
      </c>
      <c r="Z29" s="81">
        <f>HLOOKUP(I29,データについて!$J$3:$M$18,16,FALSE)</f>
        <v>1</v>
      </c>
      <c r="AA29" s="81">
        <f>IFERROR(HLOOKUP(J29,データについて!$J$4:$AH$19,16,FALSE),"")</f>
        <v>12</v>
      </c>
      <c r="AB29" s="81" t="str">
        <f>IFERROR(HLOOKUP(K29,データについて!$J$5:$AH$20,14,FALSE),"")</f>
        <v/>
      </c>
      <c r="AC29" s="81">
        <f>IF(X29=1,HLOOKUP(R29,データについて!$J$12:$M$18,7,FALSE),"*")</f>
        <v>1</v>
      </c>
      <c r="AD29" s="81" t="str">
        <f>IF(X29=2,HLOOKUP(R29,データについて!$J$12:$M$18,7,FALSE),"*")</f>
        <v>*</v>
      </c>
    </row>
    <row r="30" spans="1:30">
      <c r="A30" s="30">
        <v>5162</v>
      </c>
      <c r="B30" s="30" t="s">
        <v>5093</v>
      </c>
      <c r="C30" s="30" t="s">
        <v>5092</v>
      </c>
      <c r="D30" s="30" t="s">
        <v>106</v>
      </c>
      <c r="E30" s="30"/>
      <c r="F30" s="30" t="s">
        <v>107</v>
      </c>
      <c r="G30" s="30" t="s">
        <v>106</v>
      </c>
      <c r="H30" s="30"/>
      <c r="I30" s="30" t="s">
        <v>192</v>
      </c>
      <c r="J30" s="30" t="s">
        <v>3010</v>
      </c>
      <c r="K30" s="30"/>
      <c r="L30" s="30" t="s">
        <v>117</v>
      </c>
      <c r="M30" s="30" t="s">
        <v>109</v>
      </c>
      <c r="N30" s="30" t="s">
        <v>110</v>
      </c>
      <c r="O30" s="30" t="s">
        <v>115</v>
      </c>
      <c r="P30" s="30" t="s">
        <v>112</v>
      </c>
      <c r="Q30" s="30" t="s">
        <v>118</v>
      </c>
      <c r="R30" s="30" t="s">
        <v>189</v>
      </c>
      <c r="S30" s="81">
        <f>HLOOKUP(L30,データについて!$J$6:$M$18,13,FALSE)</f>
        <v>2</v>
      </c>
      <c r="T30" s="81">
        <f>HLOOKUP(M30,データについて!$J$7:$M$18,12,FALSE)</f>
        <v>2</v>
      </c>
      <c r="U30" s="81">
        <f>HLOOKUP(N30,データについて!$J$8:$M$18,11,FALSE)</f>
        <v>2</v>
      </c>
      <c r="V30" s="81">
        <f>HLOOKUP(O30,データについて!$J$9:$M$18,10,FALSE)</f>
        <v>1</v>
      </c>
      <c r="W30" s="81">
        <f>HLOOKUP(P30,データについて!$J$10:$M$18,9,FALSE)</f>
        <v>1</v>
      </c>
      <c r="X30" s="81">
        <f>HLOOKUP(Q30,データについて!$J$11:$M$18,8,FALSE)</f>
        <v>2</v>
      </c>
      <c r="Y30" s="81">
        <f>HLOOKUP(R30,データについて!$J$12:$M$18,7,FALSE)</f>
        <v>4</v>
      </c>
      <c r="Z30" s="81">
        <f>HLOOKUP(I30,データについて!$J$3:$M$18,16,FALSE)</f>
        <v>1</v>
      </c>
      <c r="AA30" s="81">
        <f>IFERROR(HLOOKUP(J30,データについて!$J$4:$AH$19,16,FALSE),"")</f>
        <v>12</v>
      </c>
      <c r="AB30" s="81" t="str">
        <f>IFERROR(HLOOKUP(K30,データについて!$J$5:$AH$20,14,FALSE),"")</f>
        <v/>
      </c>
      <c r="AC30" s="81" t="str">
        <f>IF(X30=1,HLOOKUP(R30,データについて!$J$12:$M$18,7,FALSE),"*")</f>
        <v>*</v>
      </c>
      <c r="AD30" s="81">
        <f>IF(X30=2,HLOOKUP(R30,データについて!$J$12:$M$18,7,FALSE),"*")</f>
        <v>4</v>
      </c>
    </row>
    <row r="31" spans="1:30">
      <c r="A31" s="30">
        <v>5161</v>
      </c>
      <c r="B31" s="30" t="s">
        <v>5094</v>
      </c>
      <c r="C31" s="30" t="s">
        <v>5095</v>
      </c>
      <c r="D31" s="30" t="s">
        <v>106</v>
      </c>
      <c r="E31" s="30"/>
      <c r="F31" s="30" t="s">
        <v>107</v>
      </c>
      <c r="G31" s="30" t="s">
        <v>106</v>
      </c>
      <c r="H31" s="30"/>
      <c r="I31" s="30" t="s">
        <v>192</v>
      </c>
      <c r="J31" s="30" t="s">
        <v>3010</v>
      </c>
      <c r="K31" s="30"/>
      <c r="L31" s="30" t="s">
        <v>108</v>
      </c>
      <c r="M31" s="30" t="s">
        <v>124</v>
      </c>
      <c r="N31" s="30" t="s">
        <v>114</v>
      </c>
      <c r="O31" s="30" t="s">
        <v>115</v>
      </c>
      <c r="P31" s="30" t="s">
        <v>112</v>
      </c>
      <c r="Q31" s="30" t="s">
        <v>118</v>
      </c>
      <c r="R31" s="30" t="s">
        <v>187</v>
      </c>
      <c r="S31" s="81">
        <f>HLOOKUP(L31,データについて!$J$6:$M$18,13,FALSE)</f>
        <v>1</v>
      </c>
      <c r="T31" s="81">
        <f>HLOOKUP(M31,データについて!$J$7:$M$18,12,FALSE)</f>
        <v>3</v>
      </c>
      <c r="U31" s="81">
        <f>HLOOKUP(N31,データについて!$J$8:$M$18,11,FALSE)</f>
        <v>1</v>
      </c>
      <c r="V31" s="81">
        <f>HLOOKUP(O31,データについて!$J$9:$M$18,10,FALSE)</f>
        <v>1</v>
      </c>
      <c r="W31" s="81">
        <f>HLOOKUP(P31,データについて!$J$10:$M$18,9,FALSE)</f>
        <v>1</v>
      </c>
      <c r="X31" s="81">
        <f>HLOOKUP(Q31,データについて!$J$11:$M$18,8,FALSE)</f>
        <v>2</v>
      </c>
      <c r="Y31" s="81">
        <f>HLOOKUP(R31,データについて!$J$12:$M$18,7,FALSE)</f>
        <v>3</v>
      </c>
      <c r="Z31" s="81">
        <f>HLOOKUP(I31,データについて!$J$3:$M$18,16,FALSE)</f>
        <v>1</v>
      </c>
      <c r="AA31" s="81">
        <f>IFERROR(HLOOKUP(J31,データについて!$J$4:$AH$19,16,FALSE),"")</f>
        <v>12</v>
      </c>
      <c r="AB31" s="81" t="str">
        <f>IFERROR(HLOOKUP(K31,データについて!$J$5:$AH$20,14,FALSE),"")</f>
        <v/>
      </c>
      <c r="AC31" s="81" t="str">
        <f>IF(X31=1,HLOOKUP(R31,データについて!$J$12:$M$18,7,FALSE),"*")</f>
        <v>*</v>
      </c>
      <c r="AD31" s="81">
        <f>IF(X31=2,HLOOKUP(R31,データについて!$J$12:$M$18,7,FALSE),"*")</f>
        <v>3</v>
      </c>
    </row>
    <row r="32" spans="1:30">
      <c r="A32" s="30">
        <v>5160</v>
      </c>
      <c r="B32" s="30" t="s">
        <v>5096</v>
      </c>
      <c r="C32" s="30" t="s">
        <v>5097</v>
      </c>
      <c r="D32" s="30" t="s">
        <v>106</v>
      </c>
      <c r="E32" s="30"/>
      <c r="F32" s="30" t="s">
        <v>107</v>
      </c>
      <c r="G32" s="30" t="s">
        <v>106</v>
      </c>
      <c r="H32" s="30"/>
      <c r="I32" s="30" t="s">
        <v>192</v>
      </c>
      <c r="J32" s="30" t="s">
        <v>3010</v>
      </c>
      <c r="K32" s="30"/>
      <c r="L32" s="30" t="s">
        <v>108</v>
      </c>
      <c r="M32" s="30" t="s">
        <v>113</v>
      </c>
      <c r="N32" s="30" t="s">
        <v>114</v>
      </c>
      <c r="O32" s="30" t="s">
        <v>115</v>
      </c>
      <c r="P32" s="30" t="s">
        <v>112</v>
      </c>
      <c r="Q32" s="30" t="s">
        <v>112</v>
      </c>
      <c r="R32" s="30" t="s">
        <v>183</v>
      </c>
      <c r="S32" s="81">
        <f>HLOOKUP(L32,データについて!$J$6:$M$18,13,FALSE)</f>
        <v>1</v>
      </c>
      <c r="T32" s="81">
        <f>HLOOKUP(M32,データについて!$J$7:$M$18,12,FALSE)</f>
        <v>1</v>
      </c>
      <c r="U32" s="81">
        <f>HLOOKUP(N32,データについて!$J$8:$M$18,11,FALSE)</f>
        <v>1</v>
      </c>
      <c r="V32" s="81">
        <f>HLOOKUP(O32,データについて!$J$9:$M$18,10,FALSE)</f>
        <v>1</v>
      </c>
      <c r="W32" s="81">
        <f>HLOOKUP(P32,データについて!$J$10:$M$18,9,FALSE)</f>
        <v>1</v>
      </c>
      <c r="X32" s="81">
        <f>HLOOKUP(Q32,データについて!$J$11:$M$18,8,FALSE)</f>
        <v>1</v>
      </c>
      <c r="Y32" s="81">
        <f>HLOOKUP(R32,データについて!$J$12:$M$18,7,FALSE)</f>
        <v>1</v>
      </c>
      <c r="Z32" s="81">
        <f>HLOOKUP(I32,データについて!$J$3:$M$18,16,FALSE)</f>
        <v>1</v>
      </c>
      <c r="AA32" s="81">
        <f>IFERROR(HLOOKUP(J32,データについて!$J$4:$AH$19,16,FALSE),"")</f>
        <v>12</v>
      </c>
      <c r="AB32" s="81" t="str">
        <f>IFERROR(HLOOKUP(K32,データについて!$J$5:$AH$20,14,FALSE),"")</f>
        <v/>
      </c>
      <c r="AC32" s="81">
        <f>IF(X32=1,HLOOKUP(R32,データについて!$J$12:$M$18,7,FALSE),"*")</f>
        <v>1</v>
      </c>
      <c r="AD32" s="81" t="str">
        <f>IF(X32=2,HLOOKUP(R32,データについて!$J$12:$M$18,7,FALSE),"*")</f>
        <v>*</v>
      </c>
    </row>
    <row r="33" spans="1:30">
      <c r="A33" s="30">
        <v>5159</v>
      </c>
      <c r="B33" s="30" t="s">
        <v>5098</v>
      </c>
      <c r="C33" s="30" t="s">
        <v>5099</v>
      </c>
      <c r="D33" s="30" t="s">
        <v>106</v>
      </c>
      <c r="E33" s="30"/>
      <c r="F33" s="30" t="s">
        <v>107</v>
      </c>
      <c r="G33" s="30" t="s">
        <v>106</v>
      </c>
      <c r="H33" s="30"/>
      <c r="I33" s="30" t="s">
        <v>192</v>
      </c>
      <c r="J33" s="30" t="s">
        <v>3010</v>
      </c>
      <c r="K33" s="30"/>
      <c r="L33" s="30" t="s">
        <v>108</v>
      </c>
      <c r="M33" s="30" t="s">
        <v>109</v>
      </c>
      <c r="N33" s="30" t="s">
        <v>122</v>
      </c>
      <c r="O33" s="30" t="s">
        <v>116</v>
      </c>
      <c r="P33" s="30" t="s">
        <v>112</v>
      </c>
      <c r="Q33" s="30" t="s">
        <v>112</v>
      </c>
      <c r="R33" s="30" t="s">
        <v>189</v>
      </c>
      <c r="S33" s="81">
        <f>HLOOKUP(L33,データについて!$J$6:$M$18,13,FALSE)</f>
        <v>1</v>
      </c>
      <c r="T33" s="81">
        <f>HLOOKUP(M33,データについて!$J$7:$M$18,12,FALSE)</f>
        <v>2</v>
      </c>
      <c r="U33" s="81">
        <f>HLOOKUP(N33,データについて!$J$8:$M$18,11,FALSE)</f>
        <v>3</v>
      </c>
      <c r="V33" s="81">
        <f>HLOOKUP(O33,データについて!$J$9:$M$18,10,FALSE)</f>
        <v>2</v>
      </c>
      <c r="W33" s="81">
        <f>HLOOKUP(P33,データについて!$J$10:$M$18,9,FALSE)</f>
        <v>1</v>
      </c>
      <c r="X33" s="81">
        <f>HLOOKUP(Q33,データについて!$J$11:$M$18,8,FALSE)</f>
        <v>1</v>
      </c>
      <c r="Y33" s="81">
        <f>HLOOKUP(R33,データについて!$J$12:$M$18,7,FALSE)</f>
        <v>4</v>
      </c>
      <c r="Z33" s="81">
        <f>HLOOKUP(I33,データについて!$J$3:$M$18,16,FALSE)</f>
        <v>1</v>
      </c>
      <c r="AA33" s="81">
        <f>IFERROR(HLOOKUP(J33,データについて!$J$4:$AH$19,16,FALSE),"")</f>
        <v>12</v>
      </c>
      <c r="AB33" s="81" t="str">
        <f>IFERROR(HLOOKUP(K33,データについて!$J$5:$AH$20,14,FALSE),"")</f>
        <v/>
      </c>
      <c r="AC33" s="81">
        <f>IF(X33=1,HLOOKUP(R33,データについて!$J$12:$M$18,7,FALSE),"*")</f>
        <v>4</v>
      </c>
      <c r="AD33" s="81" t="str">
        <f>IF(X33=2,HLOOKUP(R33,データについて!$J$12:$M$18,7,FALSE),"*")</f>
        <v>*</v>
      </c>
    </row>
    <row r="34" spans="1:30">
      <c r="A34" s="30">
        <v>5158</v>
      </c>
      <c r="B34" s="30" t="s">
        <v>5100</v>
      </c>
      <c r="C34" s="30" t="s">
        <v>5101</v>
      </c>
      <c r="D34" s="30" t="s">
        <v>106</v>
      </c>
      <c r="E34" s="30"/>
      <c r="F34" s="30" t="s">
        <v>107</v>
      </c>
      <c r="G34" s="30" t="s">
        <v>106</v>
      </c>
      <c r="H34" s="30"/>
      <c r="I34" s="30" t="s">
        <v>192</v>
      </c>
      <c r="J34" s="30" t="s">
        <v>3010</v>
      </c>
      <c r="K34" s="30"/>
      <c r="L34" s="30" t="s">
        <v>117</v>
      </c>
      <c r="M34" s="30" t="s">
        <v>124</v>
      </c>
      <c r="N34" s="30" t="s">
        <v>119</v>
      </c>
      <c r="O34" s="30" t="s">
        <v>115</v>
      </c>
      <c r="P34" s="30" t="s">
        <v>112</v>
      </c>
      <c r="Q34" s="30" t="s">
        <v>118</v>
      </c>
      <c r="R34" s="30" t="s">
        <v>189</v>
      </c>
      <c r="S34" s="81">
        <f>HLOOKUP(L34,データについて!$J$6:$M$18,13,FALSE)</f>
        <v>2</v>
      </c>
      <c r="T34" s="81">
        <f>HLOOKUP(M34,データについて!$J$7:$M$18,12,FALSE)</f>
        <v>3</v>
      </c>
      <c r="U34" s="81">
        <f>HLOOKUP(N34,データについて!$J$8:$M$18,11,FALSE)</f>
        <v>4</v>
      </c>
      <c r="V34" s="81">
        <f>HLOOKUP(O34,データについて!$J$9:$M$18,10,FALSE)</f>
        <v>1</v>
      </c>
      <c r="W34" s="81">
        <f>HLOOKUP(P34,データについて!$J$10:$M$18,9,FALSE)</f>
        <v>1</v>
      </c>
      <c r="X34" s="81">
        <f>HLOOKUP(Q34,データについて!$J$11:$M$18,8,FALSE)</f>
        <v>2</v>
      </c>
      <c r="Y34" s="81">
        <f>HLOOKUP(R34,データについて!$J$12:$M$18,7,FALSE)</f>
        <v>4</v>
      </c>
      <c r="Z34" s="81">
        <f>HLOOKUP(I34,データについて!$J$3:$M$18,16,FALSE)</f>
        <v>1</v>
      </c>
      <c r="AA34" s="81">
        <f>IFERROR(HLOOKUP(J34,データについて!$J$4:$AH$19,16,FALSE),"")</f>
        <v>12</v>
      </c>
      <c r="AB34" s="81" t="str">
        <f>IFERROR(HLOOKUP(K34,データについて!$J$5:$AH$20,14,FALSE),"")</f>
        <v/>
      </c>
      <c r="AC34" s="81" t="str">
        <f>IF(X34=1,HLOOKUP(R34,データについて!$J$12:$M$18,7,FALSE),"*")</f>
        <v>*</v>
      </c>
      <c r="AD34" s="81">
        <f>IF(X34=2,HLOOKUP(R34,データについて!$J$12:$M$18,7,FALSE),"*")</f>
        <v>4</v>
      </c>
    </row>
    <row r="35" spans="1:30">
      <c r="A35" s="30">
        <v>5157</v>
      </c>
      <c r="B35" s="30" t="s">
        <v>5102</v>
      </c>
      <c r="C35" s="30" t="s">
        <v>5103</v>
      </c>
      <c r="D35" s="30" t="s">
        <v>106</v>
      </c>
      <c r="E35" s="30"/>
      <c r="F35" s="30" t="s">
        <v>107</v>
      </c>
      <c r="G35" s="30" t="s">
        <v>106</v>
      </c>
      <c r="H35" s="30"/>
      <c r="I35" s="30" t="s">
        <v>192</v>
      </c>
      <c r="J35" s="30" t="s">
        <v>3010</v>
      </c>
      <c r="K35" s="30"/>
      <c r="L35" s="30" t="s">
        <v>108</v>
      </c>
      <c r="M35" s="30" t="s">
        <v>109</v>
      </c>
      <c r="N35" s="30" t="s">
        <v>110</v>
      </c>
      <c r="O35" s="30" t="s">
        <v>123</v>
      </c>
      <c r="P35" s="30" t="s">
        <v>112</v>
      </c>
      <c r="Q35" s="30" t="s">
        <v>112</v>
      </c>
      <c r="R35" s="30" t="s">
        <v>187</v>
      </c>
      <c r="S35" s="81">
        <f>HLOOKUP(L35,データについて!$J$6:$M$18,13,FALSE)</f>
        <v>1</v>
      </c>
      <c r="T35" s="81">
        <f>HLOOKUP(M35,データについて!$J$7:$M$18,12,FALSE)</f>
        <v>2</v>
      </c>
      <c r="U35" s="81">
        <f>HLOOKUP(N35,データについて!$J$8:$M$18,11,FALSE)</f>
        <v>2</v>
      </c>
      <c r="V35" s="81">
        <f>HLOOKUP(O35,データについて!$J$9:$M$18,10,FALSE)</f>
        <v>4</v>
      </c>
      <c r="W35" s="81">
        <f>HLOOKUP(P35,データについて!$J$10:$M$18,9,FALSE)</f>
        <v>1</v>
      </c>
      <c r="X35" s="81">
        <f>HLOOKUP(Q35,データについて!$J$11:$M$18,8,FALSE)</f>
        <v>1</v>
      </c>
      <c r="Y35" s="81">
        <f>HLOOKUP(R35,データについて!$J$12:$M$18,7,FALSE)</f>
        <v>3</v>
      </c>
      <c r="Z35" s="81">
        <f>HLOOKUP(I35,データについて!$J$3:$M$18,16,FALSE)</f>
        <v>1</v>
      </c>
      <c r="AA35" s="81">
        <f>IFERROR(HLOOKUP(J35,データについて!$J$4:$AH$19,16,FALSE),"")</f>
        <v>12</v>
      </c>
      <c r="AB35" s="81" t="str">
        <f>IFERROR(HLOOKUP(K35,データについて!$J$5:$AH$20,14,FALSE),"")</f>
        <v/>
      </c>
      <c r="AC35" s="81">
        <f>IF(X35=1,HLOOKUP(R35,データについて!$J$12:$M$18,7,FALSE),"*")</f>
        <v>3</v>
      </c>
      <c r="AD35" s="81" t="str">
        <f>IF(X35=2,HLOOKUP(R35,データについて!$J$12:$M$18,7,FALSE),"*")</f>
        <v>*</v>
      </c>
    </row>
    <row r="36" spans="1:30">
      <c r="A36" s="30">
        <v>5156</v>
      </c>
      <c r="B36" s="30" t="s">
        <v>5104</v>
      </c>
      <c r="C36" s="30" t="s">
        <v>5105</v>
      </c>
      <c r="D36" s="30" t="s">
        <v>106</v>
      </c>
      <c r="E36" s="30"/>
      <c r="F36" s="30" t="s">
        <v>107</v>
      </c>
      <c r="G36" s="30" t="s">
        <v>106</v>
      </c>
      <c r="H36" s="30"/>
      <c r="I36" s="30" t="s">
        <v>192</v>
      </c>
      <c r="J36" s="30" t="s">
        <v>3010</v>
      </c>
      <c r="K36" s="30"/>
      <c r="L36" s="30" t="s">
        <v>108</v>
      </c>
      <c r="M36" s="30" t="s">
        <v>113</v>
      </c>
      <c r="N36" s="30" t="s">
        <v>114</v>
      </c>
      <c r="O36" s="30" t="s">
        <v>115</v>
      </c>
      <c r="P36" s="30" t="s">
        <v>112</v>
      </c>
      <c r="Q36" s="30" t="s">
        <v>112</v>
      </c>
      <c r="R36" s="30" t="s">
        <v>183</v>
      </c>
      <c r="S36" s="81">
        <f>HLOOKUP(L36,データについて!$J$6:$M$18,13,FALSE)</f>
        <v>1</v>
      </c>
      <c r="T36" s="81">
        <f>HLOOKUP(M36,データについて!$J$7:$M$18,12,FALSE)</f>
        <v>1</v>
      </c>
      <c r="U36" s="81">
        <f>HLOOKUP(N36,データについて!$J$8:$M$18,11,FALSE)</f>
        <v>1</v>
      </c>
      <c r="V36" s="81">
        <f>HLOOKUP(O36,データについて!$J$9:$M$18,10,FALSE)</f>
        <v>1</v>
      </c>
      <c r="W36" s="81">
        <f>HLOOKUP(P36,データについて!$J$10:$M$18,9,FALSE)</f>
        <v>1</v>
      </c>
      <c r="X36" s="81">
        <f>HLOOKUP(Q36,データについて!$J$11:$M$18,8,FALSE)</f>
        <v>1</v>
      </c>
      <c r="Y36" s="81">
        <f>HLOOKUP(R36,データについて!$J$12:$M$18,7,FALSE)</f>
        <v>1</v>
      </c>
      <c r="Z36" s="81">
        <f>HLOOKUP(I36,データについて!$J$3:$M$18,16,FALSE)</f>
        <v>1</v>
      </c>
      <c r="AA36" s="81">
        <f>IFERROR(HLOOKUP(J36,データについて!$J$4:$AH$19,16,FALSE),"")</f>
        <v>12</v>
      </c>
      <c r="AB36" s="81" t="str">
        <f>IFERROR(HLOOKUP(K36,データについて!$J$5:$AH$20,14,FALSE),"")</f>
        <v/>
      </c>
      <c r="AC36" s="81">
        <f>IF(X36=1,HLOOKUP(R36,データについて!$J$12:$M$18,7,FALSE),"*")</f>
        <v>1</v>
      </c>
      <c r="AD36" s="81" t="str">
        <f>IF(X36=2,HLOOKUP(R36,データについて!$J$12:$M$18,7,FALSE),"*")</f>
        <v>*</v>
      </c>
    </row>
    <row r="37" spans="1:30">
      <c r="A37" s="30">
        <v>5155</v>
      </c>
      <c r="B37" s="30" t="s">
        <v>5106</v>
      </c>
      <c r="C37" s="30" t="s">
        <v>5107</v>
      </c>
      <c r="D37" s="30" t="s">
        <v>106</v>
      </c>
      <c r="E37" s="30"/>
      <c r="F37" s="30" t="s">
        <v>107</v>
      </c>
      <c r="G37" s="30" t="s">
        <v>106</v>
      </c>
      <c r="H37" s="30"/>
      <c r="I37" s="30" t="s">
        <v>192</v>
      </c>
      <c r="J37" s="30" t="s">
        <v>3010</v>
      </c>
      <c r="K37" s="30"/>
      <c r="L37" s="30" t="s">
        <v>108</v>
      </c>
      <c r="M37" s="30" t="s">
        <v>113</v>
      </c>
      <c r="N37" s="30" t="s">
        <v>122</v>
      </c>
      <c r="O37" s="30" t="s">
        <v>116</v>
      </c>
      <c r="P37" s="30" t="s">
        <v>112</v>
      </c>
      <c r="Q37" s="30" t="s">
        <v>112</v>
      </c>
      <c r="R37" s="30" t="s">
        <v>189</v>
      </c>
      <c r="S37" s="81">
        <f>HLOOKUP(L37,データについて!$J$6:$M$18,13,FALSE)</f>
        <v>1</v>
      </c>
      <c r="T37" s="81">
        <f>HLOOKUP(M37,データについて!$J$7:$M$18,12,FALSE)</f>
        <v>1</v>
      </c>
      <c r="U37" s="81">
        <f>HLOOKUP(N37,データについて!$J$8:$M$18,11,FALSE)</f>
        <v>3</v>
      </c>
      <c r="V37" s="81">
        <f>HLOOKUP(O37,データについて!$J$9:$M$18,10,FALSE)</f>
        <v>2</v>
      </c>
      <c r="W37" s="81">
        <f>HLOOKUP(P37,データについて!$J$10:$M$18,9,FALSE)</f>
        <v>1</v>
      </c>
      <c r="X37" s="81">
        <f>HLOOKUP(Q37,データについて!$J$11:$M$18,8,FALSE)</f>
        <v>1</v>
      </c>
      <c r="Y37" s="81">
        <f>HLOOKUP(R37,データについて!$J$12:$M$18,7,FALSE)</f>
        <v>4</v>
      </c>
      <c r="Z37" s="81">
        <f>HLOOKUP(I37,データについて!$J$3:$M$18,16,FALSE)</f>
        <v>1</v>
      </c>
      <c r="AA37" s="81">
        <f>IFERROR(HLOOKUP(J37,データについて!$J$4:$AH$19,16,FALSE),"")</f>
        <v>12</v>
      </c>
      <c r="AB37" s="81" t="str">
        <f>IFERROR(HLOOKUP(K37,データについて!$J$5:$AH$20,14,FALSE),"")</f>
        <v/>
      </c>
      <c r="AC37" s="81">
        <f>IF(X37=1,HLOOKUP(R37,データについて!$J$12:$M$18,7,FALSE),"*")</f>
        <v>4</v>
      </c>
      <c r="AD37" s="81" t="str">
        <f>IF(X37=2,HLOOKUP(R37,データについて!$J$12:$M$18,7,FALSE),"*")</f>
        <v>*</v>
      </c>
    </row>
    <row r="38" spans="1:30">
      <c r="A38" s="30">
        <v>5154</v>
      </c>
      <c r="B38" s="30" t="s">
        <v>5108</v>
      </c>
      <c r="C38" s="30" t="s">
        <v>5109</v>
      </c>
      <c r="D38" s="30" t="s">
        <v>106</v>
      </c>
      <c r="E38" s="30"/>
      <c r="F38" s="30" t="s">
        <v>107</v>
      </c>
      <c r="G38" s="30" t="s">
        <v>106</v>
      </c>
      <c r="H38" s="30"/>
      <c r="I38" s="30" t="s">
        <v>192</v>
      </c>
      <c r="J38" s="30" t="s">
        <v>635</v>
      </c>
      <c r="K38" s="30"/>
      <c r="L38" s="30" t="s">
        <v>108</v>
      </c>
      <c r="M38" s="30" t="s">
        <v>113</v>
      </c>
      <c r="N38" s="30" t="s">
        <v>114</v>
      </c>
      <c r="O38" s="30" t="s">
        <v>115</v>
      </c>
      <c r="P38" s="30" t="s">
        <v>112</v>
      </c>
      <c r="Q38" s="30" t="s">
        <v>112</v>
      </c>
      <c r="R38" s="30" t="s">
        <v>183</v>
      </c>
      <c r="S38" s="81">
        <f>HLOOKUP(L38,データについて!$J$6:$M$18,13,FALSE)</f>
        <v>1</v>
      </c>
      <c r="T38" s="81">
        <f>HLOOKUP(M38,データについて!$J$7:$M$18,12,FALSE)</f>
        <v>1</v>
      </c>
      <c r="U38" s="81">
        <f>HLOOKUP(N38,データについて!$J$8:$M$18,11,FALSE)</f>
        <v>1</v>
      </c>
      <c r="V38" s="81">
        <f>HLOOKUP(O38,データについて!$J$9:$M$18,10,FALSE)</f>
        <v>1</v>
      </c>
      <c r="W38" s="81">
        <f>HLOOKUP(P38,データについて!$J$10:$M$18,9,FALSE)</f>
        <v>1</v>
      </c>
      <c r="X38" s="81">
        <f>HLOOKUP(Q38,データについて!$J$11:$M$18,8,FALSE)</f>
        <v>1</v>
      </c>
      <c r="Y38" s="81">
        <f>HLOOKUP(R38,データについて!$J$12:$M$18,7,FALSE)</f>
        <v>1</v>
      </c>
      <c r="Z38" s="81">
        <f>HLOOKUP(I38,データについて!$J$3:$M$18,16,FALSE)</f>
        <v>1</v>
      </c>
      <c r="AA38" s="81">
        <f>IFERROR(HLOOKUP(J38,データについて!$J$4:$AH$19,16,FALSE),"")</f>
        <v>9</v>
      </c>
      <c r="AB38" s="81" t="str">
        <f>IFERROR(HLOOKUP(K38,データについて!$J$5:$AH$20,14,FALSE),"")</f>
        <v/>
      </c>
      <c r="AC38" s="81">
        <f>IF(X38=1,HLOOKUP(R38,データについて!$J$12:$M$18,7,FALSE),"*")</f>
        <v>1</v>
      </c>
      <c r="AD38" s="81" t="str">
        <f>IF(X38=2,HLOOKUP(R38,データについて!$J$12:$M$18,7,FALSE),"*")</f>
        <v>*</v>
      </c>
    </row>
    <row r="39" spans="1:30">
      <c r="A39" s="30">
        <v>5153</v>
      </c>
      <c r="B39" s="30" t="s">
        <v>5110</v>
      </c>
      <c r="C39" s="30" t="s">
        <v>5111</v>
      </c>
      <c r="D39" s="30" t="s">
        <v>106</v>
      </c>
      <c r="E39" s="30"/>
      <c r="F39" s="30" t="s">
        <v>107</v>
      </c>
      <c r="G39" s="30" t="s">
        <v>106</v>
      </c>
      <c r="H39" s="30"/>
      <c r="I39" s="30" t="s">
        <v>191</v>
      </c>
      <c r="J39" s="30"/>
      <c r="K39" s="30" t="s">
        <v>126</v>
      </c>
      <c r="L39" s="30" t="s">
        <v>108</v>
      </c>
      <c r="M39" s="30" t="s">
        <v>109</v>
      </c>
      <c r="N39" s="30" t="s">
        <v>110</v>
      </c>
      <c r="O39" s="30" t="s">
        <v>115</v>
      </c>
      <c r="P39" s="30" t="s">
        <v>118</v>
      </c>
      <c r="Q39" s="30" t="s">
        <v>112</v>
      </c>
      <c r="R39" s="30" t="s">
        <v>187</v>
      </c>
      <c r="S39" s="81">
        <f>HLOOKUP(L39,データについて!$J$6:$M$18,13,FALSE)</f>
        <v>1</v>
      </c>
      <c r="T39" s="81">
        <f>HLOOKUP(M39,データについて!$J$7:$M$18,12,FALSE)</f>
        <v>2</v>
      </c>
      <c r="U39" s="81">
        <f>HLOOKUP(N39,データについて!$J$8:$M$18,11,FALSE)</f>
        <v>2</v>
      </c>
      <c r="V39" s="81">
        <f>HLOOKUP(O39,データについて!$J$9:$M$18,10,FALSE)</f>
        <v>1</v>
      </c>
      <c r="W39" s="81">
        <f>HLOOKUP(P39,データについて!$J$10:$M$18,9,FALSE)</f>
        <v>2</v>
      </c>
      <c r="X39" s="81">
        <f>HLOOKUP(Q39,データについて!$J$11:$M$18,8,FALSE)</f>
        <v>1</v>
      </c>
      <c r="Y39" s="81">
        <f>HLOOKUP(R39,データについて!$J$12:$M$18,7,FALSE)</f>
        <v>3</v>
      </c>
      <c r="Z39" s="81">
        <f>HLOOKUP(I39,データについて!$J$3:$M$18,16,FALSE)</f>
        <v>2</v>
      </c>
      <c r="AA39" s="81" t="str">
        <f>IFERROR(HLOOKUP(J39,データについて!$J$4:$AH$19,16,FALSE),"")</f>
        <v/>
      </c>
      <c r="AB39" s="81">
        <f>IFERROR(HLOOKUP(K39,データについて!$J$5:$AH$20,14,FALSE),"")</f>
        <v>0</v>
      </c>
      <c r="AC39" s="81">
        <f>IF(X39=1,HLOOKUP(R39,データについて!$J$12:$M$18,7,FALSE),"*")</f>
        <v>3</v>
      </c>
      <c r="AD39" s="81" t="str">
        <f>IF(X39=2,HLOOKUP(R39,データについて!$J$12:$M$18,7,FALSE),"*")</f>
        <v>*</v>
      </c>
    </row>
    <row r="40" spans="1:30">
      <c r="A40" s="30">
        <v>5152</v>
      </c>
      <c r="B40" s="30" t="s">
        <v>5112</v>
      </c>
      <c r="C40" s="30" t="s">
        <v>5113</v>
      </c>
      <c r="D40" s="30" t="s">
        <v>106</v>
      </c>
      <c r="E40" s="30"/>
      <c r="F40" s="30" t="s">
        <v>107</v>
      </c>
      <c r="G40" s="30" t="s">
        <v>106</v>
      </c>
      <c r="H40" s="30"/>
      <c r="I40" s="30" t="s">
        <v>192</v>
      </c>
      <c r="J40" s="30" t="s">
        <v>4412</v>
      </c>
      <c r="K40" s="30"/>
      <c r="L40" s="30" t="s">
        <v>108</v>
      </c>
      <c r="M40" s="30" t="s">
        <v>113</v>
      </c>
      <c r="N40" s="30" t="s">
        <v>114</v>
      </c>
      <c r="O40" s="30" t="s">
        <v>115</v>
      </c>
      <c r="P40" s="30" t="s">
        <v>112</v>
      </c>
      <c r="Q40" s="30" t="s">
        <v>118</v>
      </c>
      <c r="R40" s="30" t="s">
        <v>189</v>
      </c>
      <c r="S40" s="81">
        <f>HLOOKUP(L40,データについて!$J$6:$M$18,13,FALSE)</f>
        <v>1</v>
      </c>
      <c r="T40" s="81">
        <f>HLOOKUP(M40,データについて!$J$7:$M$18,12,FALSE)</f>
        <v>1</v>
      </c>
      <c r="U40" s="81">
        <f>HLOOKUP(N40,データについて!$J$8:$M$18,11,FALSE)</f>
        <v>1</v>
      </c>
      <c r="V40" s="81">
        <f>HLOOKUP(O40,データについて!$J$9:$M$18,10,FALSE)</f>
        <v>1</v>
      </c>
      <c r="W40" s="81">
        <f>HLOOKUP(P40,データについて!$J$10:$M$18,9,FALSE)</f>
        <v>1</v>
      </c>
      <c r="X40" s="81">
        <f>HLOOKUP(Q40,データについて!$J$11:$M$18,8,FALSE)</f>
        <v>2</v>
      </c>
      <c r="Y40" s="81">
        <f>HLOOKUP(R40,データについて!$J$12:$M$18,7,FALSE)</f>
        <v>4</v>
      </c>
      <c r="Z40" s="81">
        <f>HLOOKUP(I40,データについて!$J$3:$M$18,16,FALSE)</f>
        <v>1</v>
      </c>
      <c r="AA40" s="81">
        <f>IFERROR(HLOOKUP(J40,データについて!$J$4:$AH$19,16,FALSE),"")</f>
        <v>2</v>
      </c>
      <c r="AB40" s="81" t="str">
        <f>IFERROR(HLOOKUP(K40,データについて!$J$5:$AH$20,14,FALSE),"")</f>
        <v/>
      </c>
      <c r="AC40" s="81" t="str">
        <f>IF(X40=1,HLOOKUP(R40,データについて!$J$12:$M$18,7,FALSE),"*")</f>
        <v>*</v>
      </c>
      <c r="AD40" s="81">
        <f>IF(X40=2,HLOOKUP(R40,データについて!$J$12:$M$18,7,FALSE),"*")</f>
        <v>4</v>
      </c>
    </row>
    <row r="41" spans="1:30">
      <c r="A41" s="30">
        <v>5151</v>
      </c>
      <c r="B41" s="30" t="s">
        <v>5114</v>
      </c>
      <c r="C41" s="30" t="s">
        <v>5115</v>
      </c>
      <c r="D41" s="30" t="s">
        <v>106</v>
      </c>
      <c r="E41" s="30"/>
      <c r="F41" s="30" t="s">
        <v>107</v>
      </c>
      <c r="G41" s="30" t="s">
        <v>106</v>
      </c>
      <c r="H41" s="30"/>
      <c r="I41" s="30" t="s">
        <v>192</v>
      </c>
      <c r="J41" s="30" t="s">
        <v>4412</v>
      </c>
      <c r="K41" s="30"/>
      <c r="L41" s="30" t="s">
        <v>117</v>
      </c>
      <c r="M41" s="30" t="s">
        <v>109</v>
      </c>
      <c r="N41" s="30" t="s">
        <v>110</v>
      </c>
      <c r="O41" s="30" t="s">
        <v>115</v>
      </c>
      <c r="P41" s="30" t="s">
        <v>112</v>
      </c>
      <c r="Q41" s="30" t="s">
        <v>112</v>
      </c>
      <c r="R41" s="30" t="s">
        <v>185</v>
      </c>
      <c r="S41" s="81">
        <f>HLOOKUP(L41,データについて!$J$6:$M$18,13,FALSE)</f>
        <v>2</v>
      </c>
      <c r="T41" s="81">
        <f>HLOOKUP(M41,データについて!$J$7:$M$18,12,FALSE)</f>
        <v>2</v>
      </c>
      <c r="U41" s="81">
        <f>HLOOKUP(N41,データについて!$J$8:$M$18,11,FALSE)</f>
        <v>2</v>
      </c>
      <c r="V41" s="81">
        <f>HLOOKUP(O41,データについて!$J$9:$M$18,10,FALSE)</f>
        <v>1</v>
      </c>
      <c r="W41" s="81">
        <f>HLOOKUP(P41,データについて!$J$10:$M$18,9,FALSE)</f>
        <v>1</v>
      </c>
      <c r="X41" s="81">
        <f>HLOOKUP(Q41,データについて!$J$11:$M$18,8,FALSE)</f>
        <v>1</v>
      </c>
      <c r="Y41" s="81">
        <f>HLOOKUP(R41,データについて!$J$12:$M$18,7,FALSE)</f>
        <v>2</v>
      </c>
      <c r="Z41" s="81">
        <f>HLOOKUP(I41,データについて!$J$3:$M$18,16,FALSE)</f>
        <v>1</v>
      </c>
      <c r="AA41" s="81">
        <f>IFERROR(HLOOKUP(J41,データについて!$J$4:$AH$19,16,FALSE),"")</f>
        <v>2</v>
      </c>
      <c r="AB41" s="81" t="str">
        <f>IFERROR(HLOOKUP(K41,データについて!$J$5:$AH$20,14,FALSE),"")</f>
        <v/>
      </c>
      <c r="AC41" s="81">
        <f>IF(X41=1,HLOOKUP(R41,データについて!$J$12:$M$18,7,FALSE),"*")</f>
        <v>2</v>
      </c>
      <c r="AD41" s="81" t="str">
        <f>IF(X41=2,HLOOKUP(R41,データについて!$J$12:$M$18,7,FALSE),"*")</f>
        <v>*</v>
      </c>
    </row>
    <row r="42" spans="1:30">
      <c r="A42" s="30">
        <v>5150</v>
      </c>
      <c r="B42" s="30" t="s">
        <v>5116</v>
      </c>
      <c r="C42" s="30" t="s">
        <v>5117</v>
      </c>
      <c r="D42" s="30" t="s">
        <v>106</v>
      </c>
      <c r="E42" s="30"/>
      <c r="F42" s="30" t="s">
        <v>107</v>
      </c>
      <c r="G42" s="30" t="s">
        <v>106</v>
      </c>
      <c r="H42" s="30"/>
      <c r="I42" s="30" t="s">
        <v>191</v>
      </c>
      <c r="J42" s="30"/>
      <c r="K42" s="30" t="s">
        <v>126</v>
      </c>
      <c r="L42" s="30" t="s">
        <v>108</v>
      </c>
      <c r="M42" s="30" t="s">
        <v>113</v>
      </c>
      <c r="N42" s="30" t="s">
        <v>110</v>
      </c>
      <c r="O42" s="30" t="s">
        <v>115</v>
      </c>
      <c r="P42" s="30" t="s">
        <v>112</v>
      </c>
      <c r="Q42" s="30" t="s">
        <v>112</v>
      </c>
      <c r="R42" s="30" t="s">
        <v>183</v>
      </c>
      <c r="S42" s="81">
        <f>HLOOKUP(L42,データについて!$J$6:$M$18,13,FALSE)</f>
        <v>1</v>
      </c>
      <c r="T42" s="81">
        <f>HLOOKUP(M42,データについて!$J$7:$M$18,12,FALSE)</f>
        <v>1</v>
      </c>
      <c r="U42" s="81">
        <f>HLOOKUP(N42,データについて!$J$8:$M$18,11,FALSE)</f>
        <v>2</v>
      </c>
      <c r="V42" s="81">
        <f>HLOOKUP(O42,データについて!$J$9:$M$18,10,FALSE)</f>
        <v>1</v>
      </c>
      <c r="W42" s="81">
        <f>HLOOKUP(P42,データについて!$J$10:$M$18,9,FALSE)</f>
        <v>1</v>
      </c>
      <c r="X42" s="81">
        <f>HLOOKUP(Q42,データについて!$J$11:$M$18,8,FALSE)</f>
        <v>1</v>
      </c>
      <c r="Y42" s="81">
        <f>HLOOKUP(R42,データについて!$J$12:$M$18,7,FALSE)</f>
        <v>1</v>
      </c>
      <c r="Z42" s="81">
        <f>HLOOKUP(I42,データについて!$J$3:$M$18,16,FALSE)</f>
        <v>2</v>
      </c>
      <c r="AA42" s="81" t="str">
        <f>IFERROR(HLOOKUP(J42,データについて!$J$4:$AH$19,16,FALSE),"")</f>
        <v/>
      </c>
      <c r="AB42" s="81">
        <f>IFERROR(HLOOKUP(K42,データについて!$J$5:$AH$20,14,FALSE),"")</f>
        <v>0</v>
      </c>
      <c r="AC42" s="81">
        <f>IF(X42=1,HLOOKUP(R42,データについて!$J$12:$M$18,7,FALSE),"*")</f>
        <v>1</v>
      </c>
      <c r="AD42" s="81" t="str">
        <f>IF(X42=2,HLOOKUP(R42,データについて!$J$12:$M$18,7,FALSE),"*")</f>
        <v>*</v>
      </c>
    </row>
    <row r="43" spans="1:30">
      <c r="A43" s="30">
        <v>5149</v>
      </c>
      <c r="B43" s="30" t="s">
        <v>5048</v>
      </c>
      <c r="C43" s="30" t="s">
        <v>5049</v>
      </c>
      <c r="D43" s="30" t="s">
        <v>106</v>
      </c>
      <c r="E43" s="30"/>
      <c r="F43" s="30" t="s">
        <v>107</v>
      </c>
      <c r="G43" s="30" t="s">
        <v>106</v>
      </c>
      <c r="H43" s="30"/>
      <c r="I43" s="30" t="s">
        <v>191</v>
      </c>
      <c r="J43" s="30"/>
      <c r="K43" s="30" t="s">
        <v>126</v>
      </c>
      <c r="L43" s="30" t="s">
        <v>117</v>
      </c>
      <c r="M43" s="30" t="s">
        <v>113</v>
      </c>
      <c r="N43" s="30" t="s">
        <v>114</v>
      </c>
      <c r="O43" s="30" t="s">
        <v>115</v>
      </c>
      <c r="P43" s="30" t="s">
        <v>112</v>
      </c>
      <c r="Q43" s="30" t="s">
        <v>112</v>
      </c>
      <c r="R43" s="30" t="s">
        <v>183</v>
      </c>
      <c r="S43" s="81">
        <f>HLOOKUP(L43,データについて!$J$6:$M$18,13,FALSE)</f>
        <v>2</v>
      </c>
      <c r="T43" s="81">
        <f>HLOOKUP(M43,データについて!$J$7:$M$18,12,FALSE)</f>
        <v>1</v>
      </c>
      <c r="U43" s="81">
        <f>HLOOKUP(N43,データについて!$J$8:$M$18,11,FALSE)</f>
        <v>1</v>
      </c>
      <c r="V43" s="81">
        <f>HLOOKUP(O43,データについて!$J$9:$M$18,10,FALSE)</f>
        <v>1</v>
      </c>
      <c r="W43" s="81">
        <f>HLOOKUP(P43,データについて!$J$10:$M$18,9,FALSE)</f>
        <v>1</v>
      </c>
      <c r="X43" s="81">
        <f>HLOOKUP(Q43,データについて!$J$11:$M$18,8,FALSE)</f>
        <v>1</v>
      </c>
      <c r="Y43" s="81">
        <f>HLOOKUP(R43,データについて!$J$12:$M$18,7,FALSE)</f>
        <v>1</v>
      </c>
      <c r="Z43" s="81">
        <f>HLOOKUP(I43,データについて!$J$3:$M$18,16,FALSE)</f>
        <v>2</v>
      </c>
      <c r="AA43" s="81" t="str">
        <f>IFERROR(HLOOKUP(J43,データについて!$J$4:$AH$19,16,FALSE),"")</f>
        <v/>
      </c>
      <c r="AB43" s="81">
        <f>IFERROR(HLOOKUP(K43,データについて!$J$5:$AH$20,14,FALSE),"")</f>
        <v>0</v>
      </c>
      <c r="AC43" s="81">
        <f>IF(X43=1,HLOOKUP(R43,データについて!$J$12:$M$18,7,FALSE),"*")</f>
        <v>1</v>
      </c>
      <c r="AD43" s="81" t="str">
        <f>IF(X43=2,HLOOKUP(R43,データについて!$J$12:$M$18,7,FALSE),"*")</f>
        <v>*</v>
      </c>
    </row>
    <row r="44" spans="1:30">
      <c r="A44" s="30">
        <v>5148</v>
      </c>
      <c r="B44" s="30" t="s">
        <v>4340</v>
      </c>
      <c r="C44" s="30" t="s">
        <v>4341</v>
      </c>
      <c r="D44" s="30" t="s">
        <v>106</v>
      </c>
      <c r="E44" s="30"/>
      <c r="F44" s="30" t="s">
        <v>107</v>
      </c>
      <c r="G44" s="30" t="s">
        <v>106</v>
      </c>
      <c r="H44" s="30"/>
      <c r="I44" s="30" t="s">
        <v>191</v>
      </c>
      <c r="J44" s="30"/>
      <c r="K44" s="30" t="s">
        <v>4342</v>
      </c>
      <c r="L44" s="30" t="s">
        <v>108</v>
      </c>
      <c r="M44" s="30" t="s">
        <v>113</v>
      </c>
      <c r="N44" s="30" t="s">
        <v>110</v>
      </c>
      <c r="O44" s="30" t="s">
        <v>115</v>
      </c>
      <c r="P44" s="30" t="s">
        <v>112</v>
      </c>
      <c r="Q44" s="30" t="s">
        <v>112</v>
      </c>
      <c r="R44" s="30" t="s">
        <v>189</v>
      </c>
      <c r="S44" s="81">
        <f>HLOOKUP(L44,データについて!$J$6:$M$18,13,FALSE)</f>
        <v>1</v>
      </c>
      <c r="T44" s="81">
        <f>HLOOKUP(M44,データについて!$J$7:$M$18,12,FALSE)</f>
        <v>1</v>
      </c>
      <c r="U44" s="81">
        <f>HLOOKUP(N44,データについて!$J$8:$M$18,11,FALSE)</f>
        <v>2</v>
      </c>
      <c r="V44" s="81">
        <f>HLOOKUP(O44,データについて!$J$9:$M$18,10,FALSE)</f>
        <v>1</v>
      </c>
      <c r="W44" s="81">
        <f>HLOOKUP(P44,データについて!$J$10:$M$18,9,FALSE)</f>
        <v>1</v>
      </c>
      <c r="X44" s="81">
        <f>HLOOKUP(Q44,データについて!$J$11:$M$18,8,FALSE)</f>
        <v>1</v>
      </c>
      <c r="Y44" s="81">
        <f>HLOOKUP(R44,データについて!$J$12:$M$18,7,FALSE)</f>
        <v>4</v>
      </c>
      <c r="Z44" s="81">
        <f>HLOOKUP(I44,データについて!$J$3:$M$18,16,FALSE)</f>
        <v>2</v>
      </c>
      <c r="AA44" s="81" t="str">
        <f>IFERROR(HLOOKUP(J44,データについて!$J$4:$AH$19,16,FALSE),"")</f>
        <v/>
      </c>
      <c r="AB44" s="81">
        <f>IFERROR(HLOOKUP(K44,データについて!$J$5:$AH$20,14,FALSE),"")</f>
        <v>1</v>
      </c>
      <c r="AC44" s="81">
        <f>IF(X44=1,HLOOKUP(R44,データについて!$J$12:$M$18,7,FALSE),"*")</f>
        <v>4</v>
      </c>
      <c r="AD44" s="81" t="str">
        <f>IF(X44=2,HLOOKUP(R44,データについて!$J$12:$M$18,7,FALSE),"*")</f>
        <v>*</v>
      </c>
    </row>
    <row r="45" spans="1:30">
      <c r="A45" s="30">
        <v>5147</v>
      </c>
      <c r="B45" s="30" t="s">
        <v>4343</v>
      </c>
      <c r="C45" s="30" t="s">
        <v>4344</v>
      </c>
      <c r="D45" s="30" t="s">
        <v>106</v>
      </c>
      <c r="E45" s="30"/>
      <c r="F45" s="30" t="s">
        <v>107</v>
      </c>
      <c r="G45" s="30" t="s">
        <v>106</v>
      </c>
      <c r="H45" s="30"/>
      <c r="I45" s="30" t="s">
        <v>191</v>
      </c>
      <c r="J45" s="30"/>
      <c r="K45" s="30" t="s">
        <v>4342</v>
      </c>
      <c r="L45" s="30" t="s">
        <v>108</v>
      </c>
      <c r="M45" s="30" t="s">
        <v>113</v>
      </c>
      <c r="N45" s="30" t="s">
        <v>114</v>
      </c>
      <c r="O45" s="30" t="s">
        <v>115</v>
      </c>
      <c r="P45" s="30" t="s">
        <v>118</v>
      </c>
      <c r="Q45" s="30" t="s">
        <v>112</v>
      </c>
      <c r="R45" s="30" t="s">
        <v>187</v>
      </c>
      <c r="S45" s="81">
        <f>HLOOKUP(L45,データについて!$J$6:$M$18,13,FALSE)</f>
        <v>1</v>
      </c>
      <c r="T45" s="81">
        <f>HLOOKUP(M45,データについて!$J$7:$M$18,12,FALSE)</f>
        <v>1</v>
      </c>
      <c r="U45" s="81">
        <f>HLOOKUP(N45,データについて!$J$8:$M$18,11,FALSE)</f>
        <v>1</v>
      </c>
      <c r="V45" s="81">
        <f>HLOOKUP(O45,データについて!$J$9:$M$18,10,FALSE)</f>
        <v>1</v>
      </c>
      <c r="W45" s="81">
        <f>HLOOKUP(P45,データについて!$J$10:$M$18,9,FALSE)</f>
        <v>2</v>
      </c>
      <c r="X45" s="81">
        <f>HLOOKUP(Q45,データについて!$J$11:$M$18,8,FALSE)</f>
        <v>1</v>
      </c>
      <c r="Y45" s="81">
        <f>HLOOKUP(R45,データについて!$J$12:$M$18,7,FALSE)</f>
        <v>3</v>
      </c>
      <c r="Z45" s="81">
        <f>HLOOKUP(I45,データについて!$J$3:$M$18,16,FALSE)</f>
        <v>2</v>
      </c>
      <c r="AA45" s="81" t="str">
        <f>IFERROR(HLOOKUP(J45,データについて!$J$4:$AH$19,16,FALSE),"")</f>
        <v/>
      </c>
      <c r="AB45" s="81">
        <f>IFERROR(HLOOKUP(K45,データについて!$J$5:$AH$20,14,FALSE),"")</f>
        <v>1</v>
      </c>
      <c r="AC45" s="81">
        <f>IF(X45=1,HLOOKUP(R45,データについて!$J$12:$M$18,7,FALSE),"*")</f>
        <v>3</v>
      </c>
      <c r="AD45" s="81" t="str">
        <f>IF(X45=2,HLOOKUP(R45,データについて!$J$12:$M$18,7,FALSE),"*")</f>
        <v>*</v>
      </c>
    </row>
    <row r="46" spans="1:30">
      <c r="A46" s="30">
        <v>5146</v>
      </c>
      <c r="B46" s="30" t="s">
        <v>4345</v>
      </c>
      <c r="C46" s="30" t="s">
        <v>4346</v>
      </c>
      <c r="D46" s="30" t="s">
        <v>106</v>
      </c>
      <c r="E46" s="30"/>
      <c r="F46" s="30" t="s">
        <v>107</v>
      </c>
      <c r="G46" s="30" t="s">
        <v>106</v>
      </c>
      <c r="H46" s="30"/>
      <c r="I46" s="30" t="s">
        <v>191</v>
      </c>
      <c r="J46" s="30"/>
      <c r="K46" s="30" t="s">
        <v>4342</v>
      </c>
      <c r="L46" s="30" t="s">
        <v>108</v>
      </c>
      <c r="M46" s="30" t="s">
        <v>113</v>
      </c>
      <c r="N46" s="30" t="s">
        <v>110</v>
      </c>
      <c r="O46" s="30" t="s">
        <v>115</v>
      </c>
      <c r="P46" s="30" t="s">
        <v>112</v>
      </c>
      <c r="Q46" s="30" t="s">
        <v>112</v>
      </c>
      <c r="R46" s="30" t="s">
        <v>185</v>
      </c>
      <c r="S46" s="81">
        <f>HLOOKUP(L46,データについて!$J$6:$M$18,13,FALSE)</f>
        <v>1</v>
      </c>
      <c r="T46" s="81">
        <f>HLOOKUP(M46,データについて!$J$7:$M$18,12,FALSE)</f>
        <v>1</v>
      </c>
      <c r="U46" s="81">
        <f>HLOOKUP(N46,データについて!$J$8:$M$18,11,FALSE)</f>
        <v>2</v>
      </c>
      <c r="V46" s="81">
        <f>HLOOKUP(O46,データについて!$J$9:$M$18,10,FALSE)</f>
        <v>1</v>
      </c>
      <c r="W46" s="81">
        <f>HLOOKUP(P46,データについて!$J$10:$M$18,9,FALSE)</f>
        <v>1</v>
      </c>
      <c r="X46" s="81">
        <f>HLOOKUP(Q46,データについて!$J$11:$M$18,8,FALSE)</f>
        <v>1</v>
      </c>
      <c r="Y46" s="81">
        <f>HLOOKUP(R46,データについて!$J$12:$M$18,7,FALSE)</f>
        <v>2</v>
      </c>
      <c r="Z46" s="81">
        <f>HLOOKUP(I46,データについて!$J$3:$M$18,16,FALSE)</f>
        <v>2</v>
      </c>
      <c r="AA46" s="81" t="str">
        <f>IFERROR(HLOOKUP(J46,データについて!$J$4:$AH$19,16,FALSE),"")</f>
        <v/>
      </c>
      <c r="AB46" s="81">
        <f>IFERROR(HLOOKUP(K46,データについて!$J$5:$AH$20,14,FALSE),"")</f>
        <v>1</v>
      </c>
      <c r="AC46" s="81">
        <f>IF(X46=1,HLOOKUP(R46,データについて!$J$12:$M$18,7,FALSE),"*")</f>
        <v>2</v>
      </c>
      <c r="AD46" s="81" t="str">
        <f>IF(X46=2,HLOOKUP(R46,データについて!$J$12:$M$18,7,FALSE),"*")</f>
        <v>*</v>
      </c>
    </row>
    <row r="47" spans="1:30">
      <c r="A47" s="30">
        <v>5145</v>
      </c>
      <c r="B47" s="30" t="s">
        <v>4347</v>
      </c>
      <c r="C47" s="30" t="s">
        <v>4348</v>
      </c>
      <c r="D47" s="30" t="s">
        <v>106</v>
      </c>
      <c r="E47" s="30"/>
      <c r="F47" s="30" t="s">
        <v>107</v>
      </c>
      <c r="G47" s="30" t="s">
        <v>106</v>
      </c>
      <c r="H47" s="30"/>
      <c r="I47" s="30" t="s">
        <v>191</v>
      </c>
      <c r="J47" s="30"/>
      <c r="K47" s="30" t="s">
        <v>4342</v>
      </c>
      <c r="L47" s="30" t="s">
        <v>117</v>
      </c>
      <c r="M47" s="30" t="s">
        <v>109</v>
      </c>
      <c r="N47" s="30" t="s">
        <v>114</v>
      </c>
      <c r="O47" s="30" t="s">
        <v>123</v>
      </c>
      <c r="P47" s="30" t="s">
        <v>112</v>
      </c>
      <c r="Q47" s="30" t="s">
        <v>112</v>
      </c>
      <c r="R47" s="30" t="s">
        <v>189</v>
      </c>
      <c r="S47" s="81">
        <f>HLOOKUP(L47,データについて!$J$6:$M$18,13,FALSE)</f>
        <v>2</v>
      </c>
      <c r="T47" s="81">
        <f>HLOOKUP(M47,データについて!$J$7:$M$18,12,FALSE)</f>
        <v>2</v>
      </c>
      <c r="U47" s="81">
        <f>HLOOKUP(N47,データについて!$J$8:$M$18,11,FALSE)</f>
        <v>1</v>
      </c>
      <c r="V47" s="81">
        <f>HLOOKUP(O47,データについて!$J$9:$M$18,10,FALSE)</f>
        <v>4</v>
      </c>
      <c r="W47" s="81">
        <f>HLOOKUP(P47,データについて!$J$10:$M$18,9,FALSE)</f>
        <v>1</v>
      </c>
      <c r="X47" s="81">
        <f>HLOOKUP(Q47,データについて!$J$11:$M$18,8,FALSE)</f>
        <v>1</v>
      </c>
      <c r="Y47" s="81">
        <f>HLOOKUP(R47,データについて!$J$12:$M$18,7,FALSE)</f>
        <v>4</v>
      </c>
      <c r="Z47" s="81">
        <f>HLOOKUP(I47,データについて!$J$3:$M$18,16,FALSE)</f>
        <v>2</v>
      </c>
      <c r="AA47" s="81" t="str">
        <f>IFERROR(HLOOKUP(J47,データについて!$J$4:$AH$19,16,FALSE),"")</f>
        <v/>
      </c>
      <c r="AB47" s="81">
        <f>IFERROR(HLOOKUP(K47,データについて!$J$5:$AH$20,14,FALSE),"")</f>
        <v>1</v>
      </c>
      <c r="AC47" s="81">
        <f>IF(X47=1,HLOOKUP(R47,データについて!$J$12:$M$18,7,FALSE),"*")</f>
        <v>4</v>
      </c>
      <c r="AD47" s="81" t="str">
        <f>IF(X47=2,HLOOKUP(R47,データについて!$J$12:$M$18,7,FALSE),"*")</f>
        <v>*</v>
      </c>
    </row>
    <row r="48" spans="1:30">
      <c r="A48" s="30">
        <v>5144</v>
      </c>
      <c r="B48" s="30" t="s">
        <v>4349</v>
      </c>
      <c r="C48" s="30" t="s">
        <v>4350</v>
      </c>
      <c r="D48" s="30" t="s">
        <v>106</v>
      </c>
      <c r="E48" s="30"/>
      <c r="F48" s="30" t="s">
        <v>107</v>
      </c>
      <c r="G48" s="30" t="s">
        <v>106</v>
      </c>
      <c r="H48" s="30"/>
      <c r="I48" s="30" t="s">
        <v>191</v>
      </c>
      <c r="J48" s="30"/>
      <c r="K48" s="30" t="s">
        <v>4342</v>
      </c>
      <c r="L48" s="30" t="s">
        <v>108</v>
      </c>
      <c r="M48" s="30" t="s">
        <v>109</v>
      </c>
      <c r="N48" s="30" t="s">
        <v>110</v>
      </c>
      <c r="O48" s="30" t="s">
        <v>115</v>
      </c>
      <c r="P48" s="30" t="s">
        <v>118</v>
      </c>
      <c r="Q48" s="30" t="s">
        <v>118</v>
      </c>
      <c r="R48" s="30" t="s">
        <v>185</v>
      </c>
      <c r="S48" s="81">
        <f>HLOOKUP(L48,データについて!$J$6:$M$18,13,FALSE)</f>
        <v>1</v>
      </c>
      <c r="T48" s="81">
        <f>HLOOKUP(M48,データについて!$J$7:$M$18,12,FALSE)</f>
        <v>2</v>
      </c>
      <c r="U48" s="81">
        <f>HLOOKUP(N48,データについて!$J$8:$M$18,11,FALSE)</f>
        <v>2</v>
      </c>
      <c r="V48" s="81">
        <f>HLOOKUP(O48,データについて!$J$9:$M$18,10,FALSE)</f>
        <v>1</v>
      </c>
      <c r="W48" s="81">
        <f>HLOOKUP(P48,データについて!$J$10:$M$18,9,FALSE)</f>
        <v>2</v>
      </c>
      <c r="X48" s="81">
        <f>HLOOKUP(Q48,データについて!$J$11:$M$18,8,FALSE)</f>
        <v>2</v>
      </c>
      <c r="Y48" s="81">
        <f>HLOOKUP(R48,データについて!$J$12:$M$18,7,FALSE)</f>
        <v>2</v>
      </c>
      <c r="Z48" s="81">
        <f>HLOOKUP(I48,データについて!$J$3:$M$18,16,FALSE)</f>
        <v>2</v>
      </c>
      <c r="AA48" s="81" t="str">
        <f>IFERROR(HLOOKUP(J48,データについて!$J$4:$AH$19,16,FALSE),"")</f>
        <v/>
      </c>
      <c r="AB48" s="81">
        <f>IFERROR(HLOOKUP(K48,データについて!$J$5:$AH$20,14,FALSE),"")</f>
        <v>1</v>
      </c>
      <c r="AC48" s="81" t="str">
        <f>IF(X48=1,HLOOKUP(R48,データについて!$J$12:$M$18,7,FALSE),"*")</f>
        <v>*</v>
      </c>
      <c r="AD48" s="81">
        <f>IF(X48=2,HLOOKUP(R48,データについて!$J$12:$M$18,7,FALSE),"*")</f>
        <v>2</v>
      </c>
    </row>
    <row r="49" spans="1:30">
      <c r="A49" s="30">
        <v>5143</v>
      </c>
      <c r="B49" s="30" t="s">
        <v>4351</v>
      </c>
      <c r="C49" s="30" t="s">
        <v>4352</v>
      </c>
      <c r="D49" s="30" t="s">
        <v>106</v>
      </c>
      <c r="E49" s="30"/>
      <c r="F49" s="30" t="s">
        <v>107</v>
      </c>
      <c r="G49" s="30" t="s">
        <v>106</v>
      </c>
      <c r="H49" s="30"/>
      <c r="I49" s="30" t="s">
        <v>191</v>
      </c>
      <c r="J49" s="30"/>
      <c r="K49" s="30" t="s">
        <v>4342</v>
      </c>
      <c r="L49" s="30" t="s">
        <v>108</v>
      </c>
      <c r="M49" s="30" t="s">
        <v>113</v>
      </c>
      <c r="N49" s="30" t="s">
        <v>110</v>
      </c>
      <c r="O49" s="30" t="s">
        <v>115</v>
      </c>
      <c r="P49" s="30" t="s">
        <v>118</v>
      </c>
      <c r="Q49" s="30" t="s">
        <v>112</v>
      </c>
      <c r="R49" s="30" t="s">
        <v>185</v>
      </c>
      <c r="S49" s="81">
        <f>HLOOKUP(L49,データについて!$J$6:$M$18,13,FALSE)</f>
        <v>1</v>
      </c>
      <c r="T49" s="81">
        <f>HLOOKUP(M49,データについて!$J$7:$M$18,12,FALSE)</f>
        <v>1</v>
      </c>
      <c r="U49" s="81">
        <f>HLOOKUP(N49,データについて!$J$8:$M$18,11,FALSE)</f>
        <v>2</v>
      </c>
      <c r="V49" s="81">
        <f>HLOOKUP(O49,データについて!$J$9:$M$18,10,FALSE)</f>
        <v>1</v>
      </c>
      <c r="W49" s="81">
        <f>HLOOKUP(P49,データについて!$J$10:$M$18,9,FALSE)</f>
        <v>2</v>
      </c>
      <c r="X49" s="81">
        <f>HLOOKUP(Q49,データについて!$J$11:$M$18,8,FALSE)</f>
        <v>1</v>
      </c>
      <c r="Y49" s="81">
        <f>HLOOKUP(R49,データについて!$J$12:$M$18,7,FALSE)</f>
        <v>2</v>
      </c>
      <c r="Z49" s="81">
        <f>HLOOKUP(I49,データについて!$J$3:$M$18,16,FALSE)</f>
        <v>2</v>
      </c>
      <c r="AA49" s="81" t="str">
        <f>IFERROR(HLOOKUP(J49,データについて!$J$4:$AH$19,16,FALSE),"")</f>
        <v/>
      </c>
      <c r="AB49" s="81">
        <f>IFERROR(HLOOKUP(K49,データについて!$J$5:$AH$20,14,FALSE),"")</f>
        <v>1</v>
      </c>
      <c r="AC49" s="81">
        <f>IF(X49=1,HLOOKUP(R49,データについて!$J$12:$M$18,7,FALSE),"*")</f>
        <v>2</v>
      </c>
      <c r="AD49" s="81" t="str">
        <f>IF(X49=2,HLOOKUP(R49,データについて!$J$12:$M$18,7,FALSE),"*")</f>
        <v>*</v>
      </c>
    </row>
    <row r="50" spans="1:30">
      <c r="A50" s="30">
        <v>5142</v>
      </c>
      <c r="B50" s="30" t="s">
        <v>4353</v>
      </c>
      <c r="C50" s="30" t="s">
        <v>4354</v>
      </c>
      <c r="D50" s="30" t="s">
        <v>106</v>
      </c>
      <c r="E50" s="30"/>
      <c r="F50" s="30" t="s">
        <v>107</v>
      </c>
      <c r="G50" s="30" t="s">
        <v>106</v>
      </c>
      <c r="H50" s="30"/>
      <c r="I50" s="30" t="s">
        <v>191</v>
      </c>
      <c r="J50" s="30"/>
      <c r="K50" s="30" t="s">
        <v>4342</v>
      </c>
      <c r="L50" s="30" t="s">
        <v>117</v>
      </c>
      <c r="M50" s="30" t="s">
        <v>109</v>
      </c>
      <c r="N50" s="30" t="s">
        <v>119</v>
      </c>
      <c r="O50" s="30" t="s">
        <v>115</v>
      </c>
      <c r="P50" s="30" t="s">
        <v>118</v>
      </c>
      <c r="Q50" s="30" t="s">
        <v>112</v>
      </c>
      <c r="R50" s="30" t="s">
        <v>187</v>
      </c>
      <c r="S50" s="81">
        <f>HLOOKUP(L50,データについて!$J$6:$M$18,13,FALSE)</f>
        <v>2</v>
      </c>
      <c r="T50" s="81">
        <f>HLOOKUP(M50,データについて!$J$7:$M$18,12,FALSE)</f>
        <v>2</v>
      </c>
      <c r="U50" s="81">
        <f>HLOOKUP(N50,データについて!$J$8:$M$18,11,FALSE)</f>
        <v>4</v>
      </c>
      <c r="V50" s="81">
        <f>HLOOKUP(O50,データについて!$J$9:$M$18,10,FALSE)</f>
        <v>1</v>
      </c>
      <c r="W50" s="81">
        <f>HLOOKUP(P50,データについて!$J$10:$M$18,9,FALSE)</f>
        <v>2</v>
      </c>
      <c r="X50" s="81">
        <f>HLOOKUP(Q50,データについて!$J$11:$M$18,8,FALSE)</f>
        <v>1</v>
      </c>
      <c r="Y50" s="81">
        <f>HLOOKUP(R50,データについて!$J$12:$M$18,7,FALSE)</f>
        <v>3</v>
      </c>
      <c r="Z50" s="81">
        <f>HLOOKUP(I50,データについて!$J$3:$M$18,16,FALSE)</f>
        <v>2</v>
      </c>
      <c r="AA50" s="81" t="str">
        <f>IFERROR(HLOOKUP(J50,データについて!$J$4:$AH$19,16,FALSE),"")</f>
        <v/>
      </c>
      <c r="AB50" s="81">
        <f>IFERROR(HLOOKUP(K50,データについて!$J$5:$AH$20,14,FALSE),"")</f>
        <v>1</v>
      </c>
      <c r="AC50" s="81">
        <f>IF(X50=1,HLOOKUP(R50,データについて!$J$12:$M$18,7,FALSE),"*")</f>
        <v>3</v>
      </c>
      <c r="AD50" s="81" t="str">
        <f>IF(X50=2,HLOOKUP(R50,データについて!$J$12:$M$18,7,FALSE),"*")</f>
        <v>*</v>
      </c>
    </row>
    <row r="51" spans="1:30">
      <c r="A51" s="30">
        <v>5141</v>
      </c>
      <c r="B51" s="30" t="s">
        <v>4355</v>
      </c>
      <c r="C51" s="30" t="s">
        <v>4356</v>
      </c>
      <c r="D51" s="30" t="s">
        <v>106</v>
      </c>
      <c r="E51" s="30"/>
      <c r="F51" s="30" t="s">
        <v>107</v>
      </c>
      <c r="G51" s="30" t="s">
        <v>106</v>
      </c>
      <c r="H51" s="30"/>
      <c r="I51" s="30" t="s">
        <v>191</v>
      </c>
      <c r="J51" s="30"/>
      <c r="K51" s="30" t="s">
        <v>4342</v>
      </c>
      <c r="L51" s="30" t="s">
        <v>108</v>
      </c>
      <c r="M51" s="30" t="s">
        <v>109</v>
      </c>
      <c r="N51" s="30" t="s">
        <v>114</v>
      </c>
      <c r="O51" s="30" t="s">
        <v>115</v>
      </c>
      <c r="P51" s="30" t="s">
        <v>118</v>
      </c>
      <c r="Q51" s="30" t="s">
        <v>112</v>
      </c>
      <c r="R51" s="30" t="s">
        <v>185</v>
      </c>
      <c r="S51" s="81">
        <f>HLOOKUP(L51,データについて!$J$6:$M$18,13,FALSE)</f>
        <v>1</v>
      </c>
      <c r="T51" s="81">
        <f>HLOOKUP(M51,データについて!$J$7:$M$18,12,FALSE)</f>
        <v>2</v>
      </c>
      <c r="U51" s="81">
        <f>HLOOKUP(N51,データについて!$J$8:$M$18,11,FALSE)</f>
        <v>1</v>
      </c>
      <c r="V51" s="81">
        <f>HLOOKUP(O51,データについて!$J$9:$M$18,10,FALSE)</f>
        <v>1</v>
      </c>
      <c r="W51" s="81">
        <f>HLOOKUP(P51,データについて!$J$10:$M$18,9,FALSE)</f>
        <v>2</v>
      </c>
      <c r="X51" s="81">
        <f>HLOOKUP(Q51,データについて!$J$11:$M$18,8,FALSE)</f>
        <v>1</v>
      </c>
      <c r="Y51" s="81">
        <f>HLOOKUP(R51,データについて!$J$12:$M$18,7,FALSE)</f>
        <v>2</v>
      </c>
      <c r="Z51" s="81">
        <f>HLOOKUP(I51,データについて!$J$3:$M$18,16,FALSE)</f>
        <v>2</v>
      </c>
      <c r="AA51" s="81" t="str">
        <f>IFERROR(HLOOKUP(J51,データについて!$J$4:$AH$19,16,FALSE),"")</f>
        <v/>
      </c>
      <c r="AB51" s="81">
        <f>IFERROR(HLOOKUP(K51,データについて!$J$5:$AH$20,14,FALSE),"")</f>
        <v>1</v>
      </c>
      <c r="AC51" s="81">
        <f>IF(X51=1,HLOOKUP(R51,データについて!$J$12:$M$18,7,FALSE),"*")</f>
        <v>2</v>
      </c>
      <c r="AD51" s="81" t="str">
        <f>IF(X51=2,HLOOKUP(R51,データについて!$J$12:$M$18,7,FALSE),"*")</f>
        <v>*</v>
      </c>
    </row>
    <row r="52" spans="1:30">
      <c r="A52" s="30">
        <v>5140</v>
      </c>
      <c r="B52" s="30" t="s">
        <v>4357</v>
      </c>
      <c r="C52" s="30" t="s">
        <v>4356</v>
      </c>
      <c r="D52" s="30" t="s">
        <v>106</v>
      </c>
      <c r="E52" s="30"/>
      <c r="F52" s="30" t="s">
        <v>107</v>
      </c>
      <c r="G52" s="30" t="s">
        <v>106</v>
      </c>
      <c r="H52" s="30"/>
      <c r="I52" s="30" t="s">
        <v>191</v>
      </c>
      <c r="J52" s="30"/>
      <c r="K52" s="30" t="s">
        <v>4342</v>
      </c>
      <c r="L52" s="30" t="s">
        <v>108</v>
      </c>
      <c r="M52" s="30" t="s">
        <v>109</v>
      </c>
      <c r="N52" s="30" t="s">
        <v>110</v>
      </c>
      <c r="O52" s="30" t="s">
        <v>115</v>
      </c>
      <c r="P52" s="30" t="s">
        <v>112</v>
      </c>
      <c r="Q52" s="30" t="s">
        <v>118</v>
      </c>
      <c r="R52" s="30" t="s">
        <v>183</v>
      </c>
      <c r="S52" s="81">
        <f>HLOOKUP(L52,データについて!$J$6:$M$18,13,FALSE)</f>
        <v>1</v>
      </c>
      <c r="T52" s="81">
        <f>HLOOKUP(M52,データについて!$J$7:$M$18,12,FALSE)</f>
        <v>2</v>
      </c>
      <c r="U52" s="81">
        <f>HLOOKUP(N52,データについて!$J$8:$M$18,11,FALSE)</f>
        <v>2</v>
      </c>
      <c r="V52" s="81">
        <f>HLOOKUP(O52,データについて!$J$9:$M$18,10,FALSE)</f>
        <v>1</v>
      </c>
      <c r="W52" s="81">
        <f>HLOOKUP(P52,データについて!$J$10:$M$18,9,FALSE)</f>
        <v>1</v>
      </c>
      <c r="X52" s="81">
        <f>HLOOKUP(Q52,データについて!$J$11:$M$18,8,FALSE)</f>
        <v>2</v>
      </c>
      <c r="Y52" s="81">
        <f>HLOOKUP(R52,データについて!$J$12:$M$18,7,FALSE)</f>
        <v>1</v>
      </c>
      <c r="Z52" s="81">
        <f>HLOOKUP(I52,データについて!$J$3:$M$18,16,FALSE)</f>
        <v>2</v>
      </c>
      <c r="AA52" s="81" t="str">
        <f>IFERROR(HLOOKUP(J52,データについて!$J$4:$AH$19,16,FALSE),"")</f>
        <v/>
      </c>
      <c r="AB52" s="81">
        <f>IFERROR(HLOOKUP(K52,データについて!$J$5:$AH$20,14,FALSE),"")</f>
        <v>1</v>
      </c>
      <c r="AC52" s="81" t="str">
        <f>IF(X52=1,HLOOKUP(R52,データについて!$J$12:$M$18,7,FALSE),"*")</f>
        <v>*</v>
      </c>
      <c r="AD52" s="81">
        <f>IF(X52=2,HLOOKUP(R52,データについて!$J$12:$M$18,7,FALSE),"*")</f>
        <v>1</v>
      </c>
    </row>
    <row r="53" spans="1:30">
      <c r="A53" s="30">
        <v>5139</v>
      </c>
      <c r="B53" s="30" t="s">
        <v>4358</v>
      </c>
      <c r="C53" s="30" t="s">
        <v>4359</v>
      </c>
      <c r="D53" s="30" t="s">
        <v>106</v>
      </c>
      <c r="E53" s="30"/>
      <c r="F53" s="30" t="s">
        <v>107</v>
      </c>
      <c r="G53" s="30" t="s">
        <v>106</v>
      </c>
      <c r="H53" s="30"/>
      <c r="I53" s="30" t="s">
        <v>191</v>
      </c>
      <c r="J53" s="30"/>
      <c r="K53" s="30" t="s">
        <v>4342</v>
      </c>
      <c r="L53" s="30" t="s">
        <v>117</v>
      </c>
      <c r="M53" s="30" t="s">
        <v>113</v>
      </c>
      <c r="N53" s="30" t="s">
        <v>114</v>
      </c>
      <c r="O53" s="30" t="s">
        <v>123</v>
      </c>
      <c r="P53" s="30" t="s">
        <v>112</v>
      </c>
      <c r="Q53" s="30" t="s">
        <v>112</v>
      </c>
      <c r="R53" s="30" t="s">
        <v>189</v>
      </c>
      <c r="S53" s="81">
        <f>HLOOKUP(L53,データについて!$J$6:$M$18,13,FALSE)</f>
        <v>2</v>
      </c>
      <c r="T53" s="81">
        <f>HLOOKUP(M53,データについて!$J$7:$M$18,12,FALSE)</f>
        <v>1</v>
      </c>
      <c r="U53" s="81">
        <f>HLOOKUP(N53,データについて!$J$8:$M$18,11,FALSE)</f>
        <v>1</v>
      </c>
      <c r="V53" s="81">
        <f>HLOOKUP(O53,データについて!$J$9:$M$18,10,FALSE)</f>
        <v>4</v>
      </c>
      <c r="W53" s="81">
        <f>HLOOKUP(P53,データについて!$J$10:$M$18,9,FALSE)</f>
        <v>1</v>
      </c>
      <c r="X53" s="81">
        <f>HLOOKUP(Q53,データについて!$J$11:$M$18,8,FALSE)</f>
        <v>1</v>
      </c>
      <c r="Y53" s="81">
        <f>HLOOKUP(R53,データについて!$J$12:$M$18,7,FALSE)</f>
        <v>4</v>
      </c>
      <c r="Z53" s="81">
        <f>HLOOKUP(I53,データについて!$J$3:$M$18,16,FALSE)</f>
        <v>2</v>
      </c>
      <c r="AA53" s="81" t="str">
        <f>IFERROR(HLOOKUP(J53,データについて!$J$4:$AH$19,16,FALSE),"")</f>
        <v/>
      </c>
      <c r="AB53" s="81">
        <f>IFERROR(HLOOKUP(K53,データについて!$J$5:$AH$20,14,FALSE),"")</f>
        <v>1</v>
      </c>
      <c r="AC53" s="81">
        <f>IF(X53=1,HLOOKUP(R53,データについて!$J$12:$M$18,7,FALSE),"*")</f>
        <v>4</v>
      </c>
      <c r="AD53" s="81" t="str">
        <f>IF(X53=2,HLOOKUP(R53,データについて!$J$12:$M$18,7,FALSE),"*")</f>
        <v>*</v>
      </c>
    </row>
    <row r="54" spans="1:30">
      <c r="A54" s="30">
        <v>5138</v>
      </c>
      <c r="B54" s="30" t="s">
        <v>4360</v>
      </c>
      <c r="C54" s="30" t="s">
        <v>4361</v>
      </c>
      <c r="D54" s="30" t="s">
        <v>106</v>
      </c>
      <c r="E54" s="30"/>
      <c r="F54" s="30" t="s">
        <v>107</v>
      </c>
      <c r="G54" s="30" t="s">
        <v>106</v>
      </c>
      <c r="H54" s="30"/>
      <c r="I54" s="30" t="s">
        <v>191</v>
      </c>
      <c r="J54" s="30"/>
      <c r="K54" s="30" t="s">
        <v>4342</v>
      </c>
      <c r="L54" s="30" t="s">
        <v>108</v>
      </c>
      <c r="M54" s="30" t="s">
        <v>113</v>
      </c>
      <c r="N54" s="30" t="s">
        <v>119</v>
      </c>
      <c r="O54" s="30" t="s">
        <v>116</v>
      </c>
      <c r="P54" s="30" t="s">
        <v>112</v>
      </c>
      <c r="Q54" s="30" t="s">
        <v>112</v>
      </c>
      <c r="R54" s="30" t="s">
        <v>183</v>
      </c>
      <c r="S54" s="81">
        <f>HLOOKUP(L54,データについて!$J$6:$M$18,13,FALSE)</f>
        <v>1</v>
      </c>
      <c r="T54" s="81">
        <f>HLOOKUP(M54,データについて!$J$7:$M$18,12,FALSE)</f>
        <v>1</v>
      </c>
      <c r="U54" s="81">
        <f>HLOOKUP(N54,データについて!$J$8:$M$18,11,FALSE)</f>
        <v>4</v>
      </c>
      <c r="V54" s="81">
        <f>HLOOKUP(O54,データについて!$J$9:$M$18,10,FALSE)</f>
        <v>2</v>
      </c>
      <c r="W54" s="81">
        <f>HLOOKUP(P54,データについて!$J$10:$M$18,9,FALSE)</f>
        <v>1</v>
      </c>
      <c r="X54" s="81">
        <f>HLOOKUP(Q54,データについて!$J$11:$M$18,8,FALSE)</f>
        <v>1</v>
      </c>
      <c r="Y54" s="81">
        <f>HLOOKUP(R54,データについて!$J$12:$M$18,7,FALSE)</f>
        <v>1</v>
      </c>
      <c r="Z54" s="81">
        <f>HLOOKUP(I54,データについて!$J$3:$M$18,16,FALSE)</f>
        <v>2</v>
      </c>
      <c r="AA54" s="81" t="str">
        <f>IFERROR(HLOOKUP(J54,データについて!$J$4:$AH$19,16,FALSE),"")</f>
        <v/>
      </c>
      <c r="AB54" s="81">
        <f>IFERROR(HLOOKUP(K54,データについて!$J$5:$AH$20,14,FALSE),"")</f>
        <v>1</v>
      </c>
      <c r="AC54" s="81">
        <f>IF(X54=1,HLOOKUP(R54,データについて!$J$12:$M$18,7,FALSE),"*")</f>
        <v>1</v>
      </c>
      <c r="AD54" s="81" t="str">
        <f>IF(X54=2,HLOOKUP(R54,データについて!$J$12:$M$18,7,FALSE),"*")</f>
        <v>*</v>
      </c>
    </row>
    <row r="55" spans="1:30">
      <c r="A55" s="30">
        <v>5137</v>
      </c>
      <c r="B55" s="30" t="s">
        <v>4362</v>
      </c>
      <c r="C55" s="30" t="s">
        <v>4363</v>
      </c>
      <c r="D55" s="30" t="s">
        <v>106</v>
      </c>
      <c r="E55" s="30"/>
      <c r="F55" s="30" t="s">
        <v>107</v>
      </c>
      <c r="G55" s="30" t="s">
        <v>106</v>
      </c>
      <c r="H55" s="30"/>
      <c r="I55" s="30" t="s">
        <v>191</v>
      </c>
      <c r="J55" s="30"/>
      <c r="K55" s="30" t="s">
        <v>4342</v>
      </c>
      <c r="L55" s="30" t="s">
        <v>117</v>
      </c>
      <c r="M55" s="30" t="s">
        <v>109</v>
      </c>
      <c r="N55" s="30" t="s">
        <v>114</v>
      </c>
      <c r="O55" s="30" t="s">
        <v>115</v>
      </c>
      <c r="P55" s="30" t="s">
        <v>118</v>
      </c>
      <c r="Q55" s="30" t="s">
        <v>112</v>
      </c>
      <c r="R55" s="30" t="s">
        <v>183</v>
      </c>
      <c r="S55" s="81">
        <f>HLOOKUP(L55,データについて!$J$6:$M$18,13,FALSE)</f>
        <v>2</v>
      </c>
      <c r="T55" s="81">
        <f>HLOOKUP(M55,データについて!$J$7:$M$18,12,FALSE)</f>
        <v>2</v>
      </c>
      <c r="U55" s="81">
        <f>HLOOKUP(N55,データについて!$J$8:$M$18,11,FALSE)</f>
        <v>1</v>
      </c>
      <c r="V55" s="81">
        <f>HLOOKUP(O55,データについて!$J$9:$M$18,10,FALSE)</f>
        <v>1</v>
      </c>
      <c r="W55" s="81">
        <f>HLOOKUP(P55,データについて!$J$10:$M$18,9,FALSE)</f>
        <v>2</v>
      </c>
      <c r="X55" s="81">
        <f>HLOOKUP(Q55,データについて!$J$11:$M$18,8,FALSE)</f>
        <v>1</v>
      </c>
      <c r="Y55" s="81">
        <f>HLOOKUP(R55,データについて!$J$12:$M$18,7,FALSE)</f>
        <v>1</v>
      </c>
      <c r="Z55" s="81">
        <f>HLOOKUP(I55,データについて!$J$3:$M$18,16,FALSE)</f>
        <v>2</v>
      </c>
      <c r="AA55" s="81" t="str">
        <f>IFERROR(HLOOKUP(J55,データについて!$J$4:$AH$19,16,FALSE),"")</f>
        <v/>
      </c>
      <c r="AB55" s="81">
        <f>IFERROR(HLOOKUP(K55,データについて!$J$5:$AH$20,14,FALSE),"")</f>
        <v>1</v>
      </c>
      <c r="AC55" s="81">
        <f>IF(X55=1,HLOOKUP(R55,データについて!$J$12:$M$18,7,FALSE),"*")</f>
        <v>1</v>
      </c>
      <c r="AD55" s="81" t="str">
        <f>IF(X55=2,HLOOKUP(R55,データについて!$J$12:$M$18,7,FALSE),"*")</f>
        <v>*</v>
      </c>
    </row>
    <row r="56" spans="1:30">
      <c r="A56" s="30">
        <v>5136</v>
      </c>
      <c r="B56" s="30" t="s">
        <v>4364</v>
      </c>
      <c r="C56" s="30" t="s">
        <v>4365</v>
      </c>
      <c r="D56" s="30" t="s">
        <v>106</v>
      </c>
      <c r="E56" s="30"/>
      <c r="F56" s="30" t="s">
        <v>107</v>
      </c>
      <c r="G56" s="30" t="s">
        <v>106</v>
      </c>
      <c r="H56" s="30"/>
      <c r="I56" s="30" t="s">
        <v>191</v>
      </c>
      <c r="J56" s="30"/>
      <c r="K56" s="30" t="s">
        <v>4342</v>
      </c>
      <c r="L56" s="30" t="s">
        <v>117</v>
      </c>
      <c r="M56" s="30" t="s">
        <v>109</v>
      </c>
      <c r="N56" s="30" t="s">
        <v>114</v>
      </c>
      <c r="O56" s="30" t="s">
        <v>115</v>
      </c>
      <c r="P56" s="30" t="s">
        <v>118</v>
      </c>
      <c r="Q56" s="30" t="s">
        <v>112</v>
      </c>
      <c r="R56" s="30" t="s">
        <v>187</v>
      </c>
      <c r="S56" s="81">
        <f>HLOOKUP(L56,データについて!$J$6:$M$18,13,FALSE)</f>
        <v>2</v>
      </c>
      <c r="T56" s="81">
        <f>HLOOKUP(M56,データについて!$J$7:$M$18,12,FALSE)</f>
        <v>2</v>
      </c>
      <c r="U56" s="81">
        <f>HLOOKUP(N56,データについて!$J$8:$M$18,11,FALSE)</f>
        <v>1</v>
      </c>
      <c r="V56" s="81">
        <f>HLOOKUP(O56,データについて!$J$9:$M$18,10,FALSE)</f>
        <v>1</v>
      </c>
      <c r="W56" s="81">
        <f>HLOOKUP(P56,データについて!$J$10:$M$18,9,FALSE)</f>
        <v>2</v>
      </c>
      <c r="X56" s="81">
        <f>HLOOKUP(Q56,データについて!$J$11:$M$18,8,FALSE)</f>
        <v>1</v>
      </c>
      <c r="Y56" s="81">
        <f>HLOOKUP(R56,データについて!$J$12:$M$18,7,FALSE)</f>
        <v>3</v>
      </c>
      <c r="Z56" s="81">
        <f>HLOOKUP(I56,データについて!$J$3:$M$18,16,FALSE)</f>
        <v>2</v>
      </c>
      <c r="AA56" s="81" t="str">
        <f>IFERROR(HLOOKUP(J56,データについて!$J$4:$AH$19,16,FALSE),"")</f>
        <v/>
      </c>
      <c r="AB56" s="81">
        <f>IFERROR(HLOOKUP(K56,データについて!$J$5:$AH$20,14,FALSE),"")</f>
        <v>1</v>
      </c>
      <c r="AC56" s="81">
        <f>IF(X56=1,HLOOKUP(R56,データについて!$J$12:$M$18,7,FALSE),"*")</f>
        <v>3</v>
      </c>
      <c r="AD56" s="81" t="str">
        <f>IF(X56=2,HLOOKUP(R56,データについて!$J$12:$M$18,7,FALSE),"*")</f>
        <v>*</v>
      </c>
    </row>
    <row r="57" spans="1:30">
      <c r="A57" s="30">
        <v>5135</v>
      </c>
      <c r="B57" s="30" t="s">
        <v>4366</v>
      </c>
      <c r="C57" s="30" t="s">
        <v>4365</v>
      </c>
      <c r="D57" s="30" t="s">
        <v>106</v>
      </c>
      <c r="E57" s="30"/>
      <c r="F57" s="30" t="s">
        <v>107</v>
      </c>
      <c r="G57" s="30" t="s">
        <v>106</v>
      </c>
      <c r="H57" s="30"/>
      <c r="I57" s="30" t="s">
        <v>191</v>
      </c>
      <c r="J57" s="30"/>
      <c r="K57" s="30" t="s">
        <v>4342</v>
      </c>
      <c r="L57" s="30" t="s">
        <v>108</v>
      </c>
      <c r="M57" s="30" t="s">
        <v>121</v>
      </c>
      <c r="N57" s="30" t="s">
        <v>122</v>
      </c>
      <c r="O57" s="30" t="s">
        <v>115</v>
      </c>
      <c r="P57" s="30" t="s">
        <v>118</v>
      </c>
      <c r="Q57" s="30" t="s">
        <v>118</v>
      </c>
      <c r="R57" s="30" t="s">
        <v>189</v>
      </c>
      <c r="S57" s="81">
        <f>HLOOKUP(L57,データについて!$J$6:$M$18,13,FALSE)</f>
        <v>1</v>
      </c>
      <c r="T57" s="81">
        <f>HLOOKUP(M57,データについて!$J$7:$M$18,12,FALSE)</f>
        <v>4</v>
      </c>
      <c r="U57" s="81">
        <f>HLOOKUP(N57,データについて!$J$8:$M$18,11,FALSE)</f>
        <v>3</v>
      </c>
      <c r="V57" s="81">
        <f>HLOOKUP(O57,データについて!$J$9:$M$18,10,FALSE)</f>
        <v>1</v>
      </c>
      <c r="W57" s="81">
        <f>HLOOKUP(P57,データについて!$J$10:$M$18,9,FALSE)</f>
        <v>2</v>
      </c>
      <c r="X57" s="81">
        <f>HLOOKUP(Q57,データについて!$J$11:$M$18,8,FALSE)</f>
        <v>2</v>
      </c>
      <c r="Y57" s="81">
        <f>HLOOKUP(R57,データについて!$J$12:$M$18,7,FALSE)</f>
        <v>4</v>
      </c>
      <c r="Z57" s="81">
        <f>HLOOKUP(I57,データについて!$J$3:$M$18,16,FALSE)</f>
        <v>2</v>
      </c>
      <c r="AA57" s="81" t="str">
        <f>IFERROR(HLOOKUP(J57,データについて!$J$4:$AH$19,16,FALSE),"")</f>
        <v/>
      </c>
      <c r="AB57" s="81">
        <f>IFERROR(HLOOKUP(K57,データについて!$J$5:$AH$20,14,FALSE),"")</f>
        <v>1</v>
      </c>
      <c r="AC57" s="81" t="str">
        <f>IF(X57=1,HLOOKUP(R57,データについて!$J$12:$M$18,7,FALSE),"*")</f>
        <v>*</v>
      </c>
      <c r="AD57" s="81">
        <f>IF(X57=2,HLOOKUP(R57,データについて!$J$12:$M$18,7,FALSE),"*")</f>
        <v>4</v>
      </c>
    </row>
    <row r="58" spans="1:30">
      <c r="A58" s="30">
        <v>5134</v>
      </c>
      <c r="B58" s="30" t="s">
        <v>4367</v>
      </c>
      <c r="C58" s="30" t="s">
        <v>4368</v>
      </c>
      <c r="D58" s="30" t="s">
        <v>106</v>
      </c>
      <c r="E58" s="30"/>
      <c r="F58" s="30" t="s">
        <v>107</v>
      </c>
      <c r="G58" s="30" t="s">
        <v>106</v>
      </c>
      <c r="H58" s="30"/>
      <c r="I58" s="30" t="s">
        <v>191</v>
      </c>
      <c r="J58" s="30"/>
      <c r="K58" s="30" t="s">
        <v>4342</v>
      </c>
      <c r="L58" s="30" t="s">
        <v>108</v>
      </c>
      <c r="M58" s="30" t="s">
        <v>113</v>
      </c>
      <c r="N58" s="30" t="s">
        <v>114</v>
      </c>
      <c r="O58" s="30" t="s">
        <v>115</v>
      </c>
      <c r="P58" s="30" t="s">
        <v>112</v>
      </c>
      <c r="Q58" s="30" t="s">
        <v>112</v>
      </c>
      <c r="R58" s="30" t="s">
        <v>185</v>
      </c>
      <c r="S58" s="81">
        <f>HLOOKUP(L58,データについて!$J$6:$M$18,13,FALSE)</f>
        <v>1</v>
      </c>
      <c r="T58" s="81">
        <f>HLOOKUP(M58,データについて!$J$7:$M$18,12,FALSE)</f>
        <v>1</v>
      </c>
      <c r="U58" s="81">
        <f>HLOOKUP(N58,データについて!$J$8:$M$18,11,FALSE)</f>
        <v>1</v>
      </c>
      <c r="V58" s="81">
        <f>HLOOKUP(O58,データについて!$J$9:$M$18,10,FALSE)</f>
        <v>1</v>
      </c>
      <c r="W58" s="81">
        <f>HLOOKUP(P58,データについて!$J$10:$M$18,9,FALSE)</f>
        <v>1</v>
      </c>
      <c r="X58" s="81">
        <f>HLOOKUP(Q58,データについて!$J$11:$M$18,8,FALSE)</f>
        <v>1</v>
      </c>
      <c r="Y58" s="81">
        <f>HLOOKUP(R58,データについて!$J$12:$M$18,7,FALSE)</f>
        <v>2</v>
      </c>
      <c r="Z58" s="81">
        <f>HLOOKUP(I58,データについて!$J$3:$M$18,16,FALSE)</f>
        <v>2</v>
      </c>
      <c r="AA58" s="81" t="str">
        <f>IFERROR(HLOOKUP(J58,データについて!$J$4:$AH$19,16,FALSE),"")</f>
        <v/>
      </c>
      <c r="AB58" s="81">
        <f>IFERROR(HLOOKUP(K58,データについて!$J$5:$AH$20,14,FALSE),"")</f>
        <v>1</v>
      </c>
      <c r="AC58" s="81">
        <f>IF(X58=1,HLOOKUP(R58,データについて!$J$12:$M$18,7,FALSE),"*")</f>
        <v>2</v>
      </c>
      <c r="AD58" s="81" t="str">
        <f>IF(X58=2,HLOOKUP(R58,データについて!$J$12:$M$18,7,FALSE),"*")</f>
        <v>*</v>
      </c>
    </row>
    <row r="59" spans="1:30">
      <c r="A59" s="30">
        <v>5133</v>
      </c>
      <c r="B59" s="30" t="s">
        <v>4369</v>
      </c>
      <c r="C59" s="30" t="s">
        <v>4370</v>
      </c>
      <c r="D59" s="30" t="s">
        <v>106</v>
      </c>
      <c r="E59" s="30"/>
      <c r="F59" s="30" t="s">
        <v>107</v>
      </c>
      <c r="G59" s="30" t="s">
        <v>106</v>
      </c>
      <c r="H59" s="30"/>
      <c r="I59" s="30" t="s">
        <v>191</v>
      </c>
      <c r="J59" s="30"/>
      <c r="K59" s="30" t="s">
        <v>4342</v>
      </c>
      <c r="L59" s="30" t="s">
        <v>108</v>
      </c>
      <c r="M59" s="30" t="s">
        <v>113</v>
      </c>
      <c r="N59" s="30" t="s">
        <v>114</v>
      </c>
      <c r="O59" s="30" t="s">
        <v>115</v>
      </c>
      <c r="P59" s="30" t="s">
        <v>112</v>
      </c>
      <c r="Q59" s="30" t="s">
        <v>112</v>
      </c>
      <c r="R59" s="30" t="s">
        <v>183</v>
      </c>
      <c r="S59" s="81">
        <f>HLOOKUP(L59,データについて!$J$6:$M$18,13,FALSE)</f>
        <v>1</v>
      </c>
      <c r="T59" s="81">
        <f>HLOOKUP(M59,データについて!$J$7:$M$18,12,FALSE)</f>
        <v>1</v>
      </c>
      <c r="U59" s="81">
        <f>HLOOKUP(N59,データについて!$J$8:$M$18,11,FALSE)</f>
        <v>1</v>
      </c>
      <c r="V59" s="81">
        <f>HLOOKUP(O59,データについて!$J$9:$M$18,10,FALSE)</f>
        <v>1</v>
      </c>
      <c r="W59" s="81">
        <f>HLOOKUP(P59,データについて!$J$10:$M$18,9,FALSE)</f>
        <v>1</v>
      </c>
      <c r="X59" s="81">
        <f>HLOOKUP(Q59,データについて!$J$11:$M$18,8,FALSE)</f>
        <v>1</v>
      </c>
      <c r="Y59" s="81">
        <f>HLOOKUP(R59,データについて!$J$12:$M$18,7,FALSE)</f>
        <v>1</v>
      </c>
      <c r="Z59" s="81">
        <f>HLOOKUP(I59,データについて!$J$3:$M$18,16,FALSE)</f>
        <v>2</v>
      </c>
      <c r="AA59" s="81" t="str">
        <f>IFERROR(HLOOKUP(J59,データについて!$J$4:$AH$19,16,FALSE),"")</f>
        <v/>
      </c>
      <c r="AB59" s="81">
        <f>IFERROR(HLOOKUP(K59,データについて!$J$5:$AH$20,14,FALSE),"")</f>
        <v>1</v>
      </c>
      <c r="AC59" s="81">
        <f>IF(X59=1,HLOOKUP(R59,データについて!$J$12:$M$18,7,FALSE),"*")</f>
        <v>1</v>
      </c>
      <c r="AD59" s="81" t="str">
        <f>IF(X59=2,HLOOKUP(R59,データについて!$J$12:$M$18,7,FALSE),"*")</f>
        <v>*</v>
      </c>
    </row>
    <row r="60" spans="1:30">
      <c r="A60" s="30">
        <v>5132</v>
      </c>
      <c r="B60" s="30" t="s">
        <v>4371</v>
      </c>
      <c r="C60" s="30" t="s">
        <v>4372</v>
      </c>
      <c r="D60" s="30" t="s">
        <v>106</v>
      </c>
      <c r="E60" s="30"/>
      <c r="F60" s="30" t="s">
        <v>107</v>
      </c>
      <c r="G60" s="30" t="s">
        <v>106</v>
      </c>
      <c r="H60" s="30"/>
      <c r="I60" s="30" t="s">
        <v>191</v>
      </c>
      <c r="J60" s="30"/>
      <c r="K60" s="30" t="s">
        <v>4342</v>
      </c>
      <c r="L60" s="30" t="s">
        <v>117</v>
      </c>
      <c r="M60" s="30" t="s">
        <v>109</v>
      </c>
      <c r="N60" s="30" t="s">
        <v>110</v>
      </c>
      <c r="O60" s="30" t="s">
        <v>115</v>
      </c>
      <c r="P60" s="30" t="s">
        <v>118</v>
      </c>
      <c r="Q60" s="30" t="s">
        <v>112</v>
      </c>
      <c r="R60" s="30" t="s">
        <v>187</v>
      </c>
      <c r="S60" s="81">
        <f>HLOOKUP(L60,データについて!$J$6:$M$18,13,FALSE)</f>
        <v>2</v>
      </c>
      <c r="T60" s="81">
        <f>HLOOKUP(M60,データについて!$J$7:$M$18,12,FALSE)</f>
        <v>2</v>
      </c>
      <c r="U60" s="81">
        <f>HLOOKUP(N60,データについて!$J$8:$M$18,11,FALSE)</f>
        <v>2</v>
      </c>
      <c r="V60" s="81">
        <f>HLOOKUP(O60,データについて!$J$9:$M$18,10,FALSE)</f>
        <v>1</v>
      </c>
      <c r="W60" s="81">
        <f>HLOOKUP(P60,データについて!$J$10:$M$18,9,FALSE)</f>
        <v>2</v>
      </c>
      <c r="X60" s="81">
        <f>HLOOKUP(Q60,データについて!$J$11:$M$18,8,FALSE)</f>
        <v>1</v>
      </c>
      <c r="Y60" s="81">
        <f>HLOOKUP(R60,データについて!$J$12:$M$18,7,FALSE)</f>
        <v>3</v>
      </c>
      <c r="Z60" s="81">
        <f>HLOOKUP(I60,データについて!$J$3:$M$18,16,FALSE)</f>
        <v>2</v>
      </c>
      <c r="AA60" s="81" t="str">
        <f>IFERROR(HLOOKUP(J60,データについて!$J$4:$AH$19,16,FALSE),"")</f>
        <v/>
      </c>
      <c r="AB60" s="81">
        <f>IFERROR(HLOOKUP(K60,データについて!$J$5:$AH$20,14,FALSE),"")</f>
        <v>1</v>
      </c>
      <c r="AC60" s="81">
        <f>IF(X60=1,HLOOKUP(R60,データについて!$J$12:$M$18,7,FALSE),"*")</f>
        <v>3</v>
      </c>
      <c r="AD60" s="81" t="str">
        <f>IF(X60=2,HLOOKUP(R60,データについて!$J$12:$M$18,7,FALSE),"*")</f>
        <v>*</v>
      </c>
    </row>
    <row r="61" spans="1:30">
      <c r="A61" s="30">
        <v>5131</v>
      </c>
      <c r="B61" s="30" t="s">
        <v>4373</v>
      </c>
      <c r="C61" s="30" t="s">
        <v>4374</v>
      </c>
      <c r="D61" s="30" t="s">
        <v>106</v>
      </c>
      <c r="E61" s="30"/>
      <c r="F61" s="30" t="s">
        <v>107</v>
      </c>
      <c r="G61" s="30" t="s">
        <v>106</v>
      </c>
      <c r="H61" s="30"/>
      <c r="I61" s="30" t="s">
        <v>191</v>
      </c>
      <c r="J61" s="30"/>
      <c r="K61" s="30" t="s">
        <v>4342</v>
      </c>
      <c r="L61" s="30" t="s">
        <v>108</v>
      </c>
      <c r="M61" s="30" t="s">
        <v>113</v>
      </c>
      <c r="N61" s="30" t="s">
        <v>110</v>
      </c>
      <c r="O61" s="30" t="s">
        <v>115</v>
      </c>
      <c r="P61" s="30" t="s">
        <v>118</v>
      </c>
      <c r="Q61" s="30" t="s">
        <v>112</v>
      </c>
      <c r="R61" s="30" t="s">
        <v>185</v>
      </c>
      <c r="S61" s="81">
        <f>HLOOKUP(L61,データについて!$J$6:$M$18,13,FALSE)</f>
        <v>1</v>
      </c>
      <c r="T61" s="81">
        <f>HLOOKUP(M61,データについて!$J$7:$M$18,12,FALSE)</f>
        <v>1</v>
      </c>
      <c r="U61" s="81">
        <f>HLOOKUP(N61,データについて!$J$8:$M$18,11,FALSE)</f>
        <v>2</v>
      </c>
      <c r="V61" s="81">
        <f>HLOOKUP(O61,データについて!$J$9:$M$18,10,FALSE)</f>
        <v>1</v>
      </c>
      <c r="W61" s="81">
        <f>HLOOKUP(P61,データについて!$J$10:$M$18,9,FALSE)</f>
        <v>2</v>
      </c>
      <c r="X61" s="81">
        <f>HLOOKUP(Q61,データについて!$J$11:$M$18,8,FALSE)</f>
        <v>1</v>
      </c>
      <c r="Y61" s="81">
        <f>HLOOKUP(R61,データについて!$J$12:$M$18,7,FALSE)</f>
        <v>2</v>
      </c>
      <c r="Z61" s="81">
        <f>HLOOKUP(I61,データについて!$J$3:$M$18,16,FALSE)</f>
        <v>2</v>
      </c>
      <c r="AA61" s="81" t="str">
        <f>IFERROR(HLOOKUP(J61,データについて!$J$4:$AH$19,16,FALSE),"")</f>
        <v/>
      </c>
      <c r="AB61" s="81">
        <f>IFERROR(HLOOKUP(K61,データについて!$J$5:$AH$20,14,FALSE),"")</f>
        <v>1</v>
      </c>
      <c r="AC61" s="81">
        <f>IF(X61=1,HLOOKUP(R61,データについて!$J$12:$M$18,7,FALSE),"*")</f>
        <v>2</v>
      </c>
      <c r="AD61" s="81" t="str">
        <f>IF(X61=2,HLOOKUP(R61,データについて!$J$12:$M$18,7,FALSE),"*")</f>
        <v>*</v>
      </c>
    </row>
    <row r="62" spans="1:30">
      <c r="A62" s="30">
        <v>5130</v>
      </c>
      <c r="B62" s="30" t="s">
        <v>4375</v>
      </c>
      <c r="C62" s="30" t="s">
        <v>4374</v>
      </c>
      <c r="D62" s="30" t="s">
        <v>106</v>
      </c>
      <c r="E62" s="30"/>
      <c r="F62" s="30" t="s">
        <v>107</v>
      </c>
      <c r="G62" s="30" t="s">
        <v>106</v>
      </c>
      <c r="H62" s="30"/>
      <c r="I62" s="30" t="s">
        <v>191</v>
      </c>
      <c r="J62" s="30"/>
      <c r="K62" s="30" t="s">
        <v>4342</v>
      </c>
      <c r="L62" s="30" t="s">
        <v>117</v>
      </c>
      <c r="M62" s="30" t="s">
        <v>109</v>
      </c>
      <c r="N62" s="30" t="s">
        <v>114</v>
      </c>
      <c r="O62" s="30" t="s">
        <v>115</v>
      </c>
      <c r="P62" s="30" t="s">
        <v>118</v>
      </c>
      <c r="Q62" s="30" t="s">
        <v>112</v>
      </c>
      <c r="R62" s="30" t="s">
        <v>185</v>
      </c>
      <c r="S62" s="81">
        <f>HLOOKUP(L62,データについて!$J$6:$M$18,13,FALSE)</f>
        <v>2</v>
      </c>
      <c r="T62" s="81">
        <f>HLOOKUP(M62,データについて!$J$7:$M$18,12,FALSE)</f>
        <v>2</v>
      </c>
      <c r="U62" s="81">
        <f>HLOOKUP(N62,データについて!$J$8:$M$18,11,FALSE)</f>
        <v>1</v>
      </c>
      <c r="V62" s="81">
        <f>HLOOKUP(O62,データについて!$J$9:$M$18,10,FALSE)</f>
        <v>1</v>
      </c>
      <c r="W62" s="81">
        <f>HLOOKUP(P62,データについて!$J$10:$M$18,9,FALSE)</f>
        <v>2</v>
      </c>
      <c r="X62" s="81">
        <f>HLOOKUP(Q62,データについて!$J$11:$M$18,8,FALSE)</f>
        <v>1</v>
      </c>
      <c r="Y62" s="81">
        <f>HLOOKUP(R62,データについて!$J$12:$M$18,7,FALSE)</f>
        <v>2</v>
      </c>
      <c r="Z62" s="81">
        <f>HLOOKUP(I62,データについて!$J$3:$M$18,16,FALSE)</f>
        <v>2</v>
      </c>
      <c r="AA62" s="81" t="str">
        <f>IFERROR(HLOOKUP(J62,データについて!$J$4:$AH$19,16,FALSE),"")</f>
        <v/>
      </c>
      <c r="AB62" s="81">
        <f>IFERROR(HLOOKUP(K62,データについて!$J$5:$AH$20,14,FALSE),"")</f>
        <v>1</v>
      </c>
      <c r="AC62" s="81">
        <f>IF(X62=1,HLOOKUP(R62,データについて!$J$12:$M$18,7,FALSE),"*")</f>
        <v>2</v>
      </c>
      <c r="AD62" s="81" t="str">
        <f>IF(X62=2,HLOOKUP(R62,データについて!$J$12:$M$18,7,FALSE),"*")</f>
        <v>*</v>
      </c>
    </row>
    <row r="63" spans="1:30">
      <c r="A63" s="30">
        <v>5129</v>
      </c>
      <c r="B63" s="30" t="s">
        <v>4376</v>
      </c>
      <c r="C63" s="30" t="s">
        <v>4377</v>
      </c>
      <c r="D63" s="30" t="s">
        <v>106</v>
      </c>
      <c r="E63" s="30"/>
      <c r="F63" s="30" t="s">
        <v>107</v>
      </c>
      <c r="G63" s="30" t="s">
        <v>106</v>
      </c>
      <c r="H63" s="30"/>
      <c r="I63" s="30" t="s">
        <v>191</v>
      </c>
      <c r="J63" s="30"/>
      <c r="K63" s="30" t="s">
        <v>4342</v>
      </c>
      <c r="L63" s="30" t="s">
        <v>117</v>
      </c>
      <c r="M63" s="30" t="s">
        <v>113</v>
      </c>
      <c r="N63" s="30" t="s">
        <v>114</v>
      </c>
      <c r="O63" s="30" t="s">
        <v>115</v>
      </c>
      <c r="P63" s="30" t="s">
        <v>118</v>
      </c>
      <c r="Q63" s="30" t="s">
        <v>112</v>
      </c>
      <c r="R63" s="30" t="s">
        <v>185</v>
      </c>
      <c r="S63" s="81">
        <f>HLOOKUP(L63,データについて!$J$6:$M$18,13,FALSE)</f>
        <v>2</v>
      </c>
      <c r="T63" s="81">
        <f>HLOOKUP(M63,データについて!$J$7:$M$18,12,FALSE)</f>
        <v>1</v>
      </c>
      <c r="U63" s="81">
        <f>HLOOKUP(N63,データについて!$J$8:$M$18,11,FALSE)</f>
        <v>1</v>
      </c>
      <c r="V63" s="81">
        <f>HLOOKUP(O63,データについて!$J$9:$M$18,10,FALSE)</f>
        <v>1</v>
      </c>
      <c r="W63" s="81">
        <f>HLOOKUP(P63,データについて!$J$10:$M$18,9,FALSE)</f>
        <v>2</v>
      </c>
      <c r="X63" s="81">
        <f>HLOOKUP(Q63,データについて!$J$11:$M$18,8,FALSE)</f>
        <v>1</v>
      </c>
      <c r="Y63" s="81">
        <f>HLOOKUP(R63,データについて!$J$12:$M$18,7,FALSE)</f>
        <v>2</v>
      </c>
      <c r="Z63" s="81">
        <f>HLOOKUP(I63,データについて!$J$3:$M$18,16,FALSE)</f>
        <v>2</v>
      </c>
      <c r="AA63" s="81" t="str">
        <f>IFERROR(HLOOKUP(J63,データについて!$J$4:$AH$19,16,FALSE),"")</f>
        <v/>
      </c>
      <c r="AB63" s="81">
        <f>IFERROR(HLOOKUP(K63,データについて!$J$5:$AH$20,14,FALSE),"")</f>
        <v>1</v>
      </c>
      <c r="AC63" s="81">
        <f>IF(X63=1,HLOOKUP(R63,データについて!$J$12:$M$18,7,FALSE),"*")</f>
        <v>2</v>
      </c>
      <c r="AD63" s="81" t="str">
        <f>IF(X63=2,HLOOKUP(R63,データについて!$J$12:$M$18,7,FALSE),"*")</f>
        <v>*</v>
      </c>
    </row>
    <row r="64" spans="1:30">
      <c r="A64" s="30">
        <v>5128</v>
      </c>
      <c r="B64" s="30" t="s">
        <v>4378</v>
      </c>
      <c r="C64" s="30" t="s">
        <v>4379</v>
      </c>
      <c r="D64" s="30" t="s">
        <v>106</v>
      </c>
      <c r="E64" s="30"/>
      <c r="F64" s="30" t="s">
        <v>107</v>
      </c>
      <c r="G64" s="30" t="s">
        <v>106</v>
      </c>
      <c r="H64" s="30"/>
      <c r="I64" s="30" t="s">
        <v>191</v>
      </c>
      <c r="J64" s="30"/>
      <c r="K64" s="30" t="s">
        <v>4342</v>
      </c>
      <c r="L64" s="30" t="s">
        <v>117</v>
      </c>
      <c r="M64" s="30" t="s">
        <v>113</v>
      </c>
      <c r="N64" s="30" t="s">
        <v>122</v>
      </c>
      <c r="O64" s="30" t="s">
        <v>115</v>
      </c>
      <c r="P64" s="30" t="s">
        <v>118</v>
      </c>
      <c r="Q64" s="30" t="s">
        <v>112</v>
      </c>
      <c r="R64" s="30" t="s">
        <v>185</v>
      </c>
      <c r="S64" s="81">
        <f>HLOOKUP(L64,データについて!$J$6:$M$18,13,FALSE)</f>
        <v>2</v>
      </c>
      <c r="T64" s="81">
        <f>HLOOKUP(M64,データについて!$J$7:$M$18,12,FALSE)</f>
        <v>1</v>
      </c>
      <c r="U64" s="81">
        <f>HLOOKUP(N64,データについて!$J$8:$M$18,11,FALSE)</f>
        <v>3</v>
      </c>
      <c r="V64" s="81">
        <f>HLOOKUP(O64,データについて!$J$9:$M$18,10,FALSE)</f>
        <v>1</v>
      </c>
      <c r="W64" s="81">
        <f>HLOOKUP(P64,データについて!$J$10:$M$18,9,FALSE)</f>
        <v>2</v>
      </c>
      <c r="X64" s="81">
        <f>HLOOKUP(Q64,データについて!$J$11:$M$18,8,FALSE)</f>
        <v>1</v>
      </c>
      <c r="Y64" s="81">
        <f>HLOOKUP(R64,データについて!$J$12:$M$18,7,FALSE)</f>
        <v>2</v>
      </c>
      <c r="Z64" s="81">
        <f>HLOOKUP(I64,データについて!$J$3:$M$18,16,FALSE)</f>
        <v>2</v>
      </c>
      <c r="AA64" s="81" t="str">
        <f>IFERROR(HLOOKUP(J64,データについて!$J$4:$AH$19,16,FALSE),"")</f>
        <v/>
      </c>
      <c r="AB64" s="81">
        <f>IFERROR(HLOOKUP(K64,データについて!$J$5:$AH$20,14,FALSE),"")</f>
        <v>1</v>
      </c>
      <c r="AC64" s="81">
        <f>IF(X64=1,HLOOKUP(R64,データについて!$J$12:$M$18,7,FALSE),"*")</f>
        <v>2</v>
      </c>
      <c r="AD64" s="81" t="str">
        <f>IF(X64=2,HLOOKUP(R64,データについて!$J$12:$M$18,7,FALSE),"*")</f>
        <v>*</v>
      </c>
    </row>
    <row r="65" spans="1:30">
      <c r="A65" s="30">
        <v>5127</v>
      </c>
      <c r="B65" s="30" t="s">
        <v>4380</v>
      </c>
      <c r="C65" s="30" t="s">
        <v>4381</v>
      </c>
      <c r="D65" s="30" t="s">
        <v>106</v>
      </c>
      <c r="E65" s="30"/>
      <c r="F65" s="30" t="s">
        <v>107</v>
      </c>
      <c r="G65" s="30" t="s">
        <v>106</v>
      </c>
      <c r="H65" s="30"/>
      <c r="I65" s="30" t="s">
        <v>191</v>
      </c>
      <c r="J65" s="30"/>
      <c r="K65" s="30" t="s">
        <v>4342</v>
      </c>
      <c r="L65" s="30" t="s">
        <v>117</v>
      </c>
      <c r="M65" s="30" t="s">
        <v>109</v>
      </c>
      <c r="N65" s="30" t="s">
        <v>110</v>
      </c>
      <c r="O65" s="30" t="s">
        <v>115</v>
      </c>
      <c r="P65" s="30" t="s">
        <v>112</v>
      </c>
      <c r="Q65" s="30" t="s">
        <v>112</v>
      </c>
      <c r="R65" s="30" t="s">
        <v>187</v>
      </c>
      <c r="S65" s="81">
        <f>HLOOKUP(L65,データについて!$J$6:$M$18,13,FALSE)</f>
        <v>2</v>
      </c>
      <c r="T65" s="81">
        <f>HLOOKUP(M65,データについて!$J$7:$M$18,12,FALSE)</f>
        <v>2</v>
      </c>
      <c r="U65" s="81">
        <f>HLOOKUP(N65,データについて!$J$8:$M$18,11,FALSE)</f>
        <v>2</v>
      </c>
      <c r="V65" s="81">
        <f>HLOOKUP(O65,データについて!$J$9:$M$18,10,FALSE)</f>
        <v>1</v>
      </c>
      <c r="W65" s="81">
        <f>HLOOKUP(P65,データについて!$J$10:$M$18,9,FALSE)</f>
        <v>1</v>
      </c>
      <c r="X65" s="81">
        <f>HLOOKUP(Q65,データについて!$J$11:$M$18,8,FALSE)</f>
        <v>1</v>
      </c>
      <c r="Y65" s="81">
        <f>HLOOKUP(R65,データについて!$J$12:$M$18,7,FALSE)</f>
        <v>3</v>
      </c>
      <c r="Z65" s="81">
        <f>HLOOKUP(I65,データについて!$J$3:$M$18,16,FALSE)</f>
        <v>2</v>
      </c>
      <c r="AA65" s="81" t="str">
        <f>IFERROR(HLOOKUP(J65,データについて!$J$4:$AH$19,16,FALSE),"")</f>
        <v/>
      </c>
      <c r="AB65" s="81">
        <f>IFERROR(HLOOKUP(K65,データについて!$J$5:$AH$20,14,FALSE),"")</f>
        <v>1</v>
      </c>
      <c r="AC65" s="81">
        <f>IF(X65=1,HLOOKUP(R65,データについて!$J$12:$M$18,7,FALSE),"*")</f>
        <v>3</v>
      </c>
      <c r="AD65" s="81" t="str">
        <f>IF(X65=2,HLOOKUP(R65,データについて!$J$12:$M$18,7,FALSE),"*")</f>
        <v>*</v>
      </c>
    </row>
    <row r="66" spans="1:30">
      <c r="A66" s="30">
        <v>5126</v>
      </c>
      <c r="B66" s="30" t="s">
        <v>4382</v>
      </c>
      <c r="C66" s="30" t="s">
        <v>4383</v>
      </c>
      <c r="D66" s="30" t="s">
        <v>106</v>
      </c>
      <c r="E66" s="30"/>
      <c r="F66" s="30" t="s">
        <v>107</v>
      </c>
      <c r="G66" s="30" t="s">
        <v>106</v>
      </c>
      <c r="H66" s="30"/>
      <c r="I66" s="30" t="s">
        <v>191</v>
      </c>
      <c r="J66" s="30"/>
      <c r="K66" s="30" t="s">
        <v>4342</v>
      </c>
      <c r="L66" s="30" t="s">
        <v>108</v>
      </c>
      <c r="M66" s="30" t="s">
        <v>113</v>
      </c>
      <c r="N66" s="30" t="s">
        <v>110</v>
      </c>
      <c r="O66" s="30" t="s">
        <v>115</v>
      </c>
      <c r="P66" s="30" t="s">
        <v>118</v>
      </c>
      <c r="Q66" s="30" t="s">
        <v>118</v>
      </c>
      <c r="R66" s="30" t="s">
        <v>185</v>
      </c>
      <c r="S66" s="81">
        <f>HLOOKUP(L66,データについて!$J$6:$M$18,13,FALSE)</f>
        <v>1</v>
      </c>
      <c r="T66" s="81">
        <f>HLOOKUP(M66,データについて!$J$7:$M$18,12,FALSE)</f>
        <v>1</v>
      </c>
      <c r="U66" s="81">
        <f>HLOOKUP(N66,データについて!$J$8:$M$18,11,FALSE)</f>
        <v>2</v>
      </c>
      <c r="V66" s="81">
        <f>HLOOKUP(O66,データについて!$J$9:$M$18,10,FALSE)</f>
        <v>1</v>
      </c>
      <c r="W66" s="81">
        <f>HLOOKUP(P66,データについて!$J$10:$M$18,9,FALSE)</f>
        <v>2</v>
      </c>
      <c r="X66" s="81">
        <f>HLOOKUP(Q66,データについて!$J$11:$M$18,8,FALSE)</f>
        <v>2</v>
      </c>
      <c r="Y66" s="81">
        <f>HLOOKUP(R66,データについて!$J$12:$M$18,7,FALSE)</f>
        <v>2</v>
      </c>
      <c r="Z66" s="81">
        <f>HLOOKUP(I66,データについて!$J$3:$M$18,16,FALSE)</f>
        <v>2</v>
      </c>
      <c r="AA66" s="81" t="str">
        <f>IFERROR(HLOOKUP(J66,データについて!$J$4:$AH$19,16,FALSE),"")</f>
        <v/>
      </c>
      <c r="AB66" s="81">
        <f>IFERROR(HLOOKUP(K66,データについて!$J$5:$AH$20,14,FALSE),"")</f>
        <v>1</v>
      </c>
      <c r="AC66" s="81" t="str">
        <f>IF(X66=1,HLOOKUP(R66,データについて!$J$12:$M$18,7,FALSE),"*")</f>
        <v>*</v>
      </c>
      <c r="AD66" s="81">
        <f>IF(X66=2,HLOOKUP(R66,データについて!$J$12:$M$18,7,FALSE),"*")</f>
        <v>2</v>
      </c>
    </row>
    <row r="67" spans="1:30">
      <c r="A67" s="30">
        <v>5125</v>
      </c>
      <c r="B67" s="30" t="s">
        <v>4384</v>
      </c>
      <c r="C67" s="30" t="s">
        <v>4383</v>
      </c>
      <c r="D67" s="30" t="s">
        <v>106</v>
      </c>
      <c r="E67" s="30"/>
      <c r="F67" s="30" t="s">
        <v>107</v>
      </c>
      <c r="G67" s="30" t="s">
        <v>106</v>
      </c>
      <c r="H67" s="30"/>
      <c r="I67" s="30" t="s">
        <v>191</v>
      </c>
      <c r="J67" s="30"/>
      <c r="K67" s="30" t="s">
        <v>4342</v>
      </c>
      <c r="L67" s="30" t="s">
        <v>108</v>
      </c>
      <c r="M67" s="30" t="s">
        <v>109</v>
      </c>
      <c r="N67" s="30" t="s">
        <v>122</v>
      </c>
      <c r="O67" s="30" t="s">
        <v>116</v>
      </c>
      <c r="P67" s="30" t="s">
        <v>112</v>
      </c>
      <c r="Q67" s="30" t="s">
        <v>112</v>
      </c>
      <c r="R67" s="30" t="s">
        <v>185</v>
      </c>
      <c r="S67" s="81">
        <f>HLOOKUP(L67,データについて!$J$6:$M$18,13,FALSE)</f>
        <v>1</v>
      </c>
      <c r="T67" s="81">
        <f>HLOOKUP(M67,データについて!$J$7:$M$18,12,FALSE)</f>
        <v>2</v>
      </c>
      <c r="U67" s="81">
        <f>HLOOKUP(N67,データについて!$J$8:$M$18,11,FALSE)</f>
        <v>3</v>
      </c>
      <c r="V67" s="81">
        <f>HLOOKUP(O67,データについて!$J$9:$M$18,10,FALSE)</f>
        <v>2</v>
      </c>
      <c r="W67" s="81">
        <f>HLOOKUP(P67,データについて!$J$10:$M$18,9,FALSE)</f>
        <v>1</v>
      </c>
      <c r="X67" s="81">
        <f>HLOOKUP(Q67,データについて!$J$11:$M$18,8,FALSE)</f>
        <v>1</v>
      </c>
      <c r="Y67" s="81">
        <f>HLOOKUP(R67,データについて!$J$12:$M$18,7,FALSE)</f>
        <v>2</v>
      </c>
      <c r="Z67" s="81">
        <f>HLOOKUP(I67,データについて!$J$3:$M$18,16,FALSE)</f>
        <v>2</v>
      </c>
      <c r="AA67" s="81" t="str">
        <f>IFERROR(HLOOKUP(J67,データについて!$J$4:$AH$19,16,FALSE),"")</f>
        <v/>
      </c>
      <c r="AB67" s="81">
        <f>IFERROR(HLOOKUP(K67,データについて!$J$5:$AH$20,14,FALSE),"")</f>
        <v>1</v>
      </c>
      <c r="AC67" s="81">
        <f>IF(X67=1,HLOOKUP(R67,データについて!$J$12:$M$18,7,FALSE),"*")</f>
        <v>2</v>
      </c>
      <c r="AD67" s="81" t="str">
        <f>IF(X67=2,HLOOKUP(R67,データについて!$J$12:$M$18,7,FALSE),"*")</f>
        <v>*</v>
      </c>
    </row>
    <row r="68" spans="1:30">
      <c r="A68" s="30">
        <v>5124</v>
      </c>
      <c r="B68" s="30" t="s">
        <v>4385</v>
      </c>
      <c r="C68" s="30" t="s">
        <v>4386</v>
      </c>
      <c r="D68" s="30" t="s">
        <v>106</v>
      </c>
      <c r="E68" s="30"/>
      <c r="F68" s="30" t="s">
        <v>107</v>
      </c>
      <c r="G68" s="30" t="s">
        <v>106</v>
      </c>
      <c r="H68" s="30"/>
      <c r="I68" s="30" t="s">
        <v>191</v>
      </c>
      <c r="J68" s="30"/>
      <c r="K68" s="30" t="s">
        <v>4342</v>
      </c>
      <c r="L68" s="30" t="s">
        <v>108</v>
      </c>
      <c r="M68" s="30" t="s">
        <v>109</v>
      </c>
      <c r="N68" s="30" t="s">
        <v>110</v>
      </c>
      <c r="O68" s="30" t="s">
        <v>115</v>
      </c>
      <c r="P68" s="30" t="s">
        <v>118</v>
      </c>
      <c r="Q68" s="30" t="s">
        <v>118</v>
      </c>
      <c r="R68" s="30" t="s">
        <v>189</v>
      </c>
      <c r="S68" s="81">
        <f>HLOOKUP(L68,データについて!$J$6:$M$18,13,FALSE)</f>
        <v>1</v>
      </c>
      <c r="T68" s="81">
        <f>HLOOKUP(M68,データについて!$J$7:$M$18,12,FALSE)</f>
        <v>2</v>
      </c>
      <c r="U68" s="81">
        <f>HLOOKUP(N68,データについて!$J$8:$M$18,11,FALSE)</f>
        <v>2</v>
      </c>
      <c r="V68" s="81">
        <f>HLOOKUP(O68,データについて!$J$9:$M$18,10,FALSE)</f>
        <v>1</v>
      </c>
      <c r="W68" s="81">
        <f>HLOOKUP(P68,データについて!$J$10:$M$18,9,FALSE)</f>
        <v>2</v>
      </c>
      <c r="X68" s="81">
        <f>HLOOKUP(Q68,データについて!$J$11:$M$18,8,FALSE)</f>
        <v>2</v>
      </c>
      <c r="Y68" s="81">
        <f>HLOOKUP(R68,データについて!$J$12:$M$18,7,FALSE)</f>
        <v>4</v>
      </c>
      <c r="Z68" s="81">
        <f>HLOOKUP(I68,データについて!$J$3:$M$18,16,FALSE)</f>
        <v>2</v>
      </c>
      <c r="AA68" s="81" t="str">
        <f>IFERROR(HLOOKUP(J68,データについて!$J$4:$AH$19,16,FALSE),"")</f>
        <v/>
      </c>
      <c r="AB68" s="81">
        <f>IFERROR(HLOOKUP(K68,データについて!$J$5:$AH$20,14,FALSE),"")</f>
        <v>1</v>
      </c>
      <c r="AC68" s="81" t="str">
        <f>IF(X68=1,HLOOKUP(R68,データについて!$J$12:$M$18,7,FALSE),"*")</f>
        <v>*</v>
      </c>
      <c r="AD68" s="81">
        <f>IF(X68=2,HLOOKUP(R68,データについて!$J$12:$M$18,7,FALSE),"*")</f>
        <v>4</v>
      </c>
    </row>
    <row r="69" spans="1:30">
      <c r="A69" s="30">
        <v>5123</v>
      </c>
      <c r="B69" s="30" t="s">
        <v>4387</v>
      </c>
      <c r="C69" s="30" t="s">
        <v>4388</v>
      </c>
      <c r="D69" s="30" t="s">
        <v>106</v>
      </c>
      <c r="E69" s="30"/>
      <c r="F69" s="30" t="s">
        <v>107</v>
      </c>
      <c r="G69" s="30" t="s">
        <v>106</v>
      </c>
      <c r="H69" s="30"/>
      <c r="I69" s="30" t="s">
        <v>191</v>
      </c>
      <c r="J69" s="30"/>
      <c r="K69" s="30" t="s">
        <v>4342</v>
      </c>
      <c r="L69" s="30" t="s">
        <v>108</v>
      </c>
      <c r="M69" s="30" t="s">
        <v>109</v>
      </c>
      <c r="N69" s="30" t="s">
        <v>110</v>
      </c>
      <c r="O69" s="30" t="s">
        <v>115</v>
      </c>
      <c r="P69" s="30" t="s">
        <v>112</v>
      </c>
      <c r="Q69" s="30" t="s">
        <v>112</v>
      </c>
      <c r="R69" s="30" t="s">
        <v>185</v>
      </c>
      <c r="S69" s="81">
        <f>HLOOKUP(L69,データについて!$J$6:$M$18,13,FALSE)</f>
        <v>1</v>
      </c>
      <c r="T69" s="81">
        <f>HLOOKUP(M69,データについて!$J$7:$M$18,12,FALSE)</f>
        <v>2</v>
      </c>
      <c r="U69" s="81">
        <f>HLOOKUP(N69,データについて!$J$8:$M$18,11,FALSE)</f>
        <v>2</v>
      </c>
      <c r="V69" s="81">
        <f>HLOOKUP(O69,データについて!$J$9:$M$18,10,FALSE)</f>
        <v>1</v>
      </c>
      <c r="W69" s="81">
        <f>HLOOKUP(P69,データについて!$J$10:$M$18,9,FALSE)</f>
        <v>1</v>
      </c>
      <c r="X69" s="81">
        <f>HLOOKUP(Q69,データについて!$J$11:$M$18,8,FALSE)</f>
        <v>1</v>
      </c>
      <c r="Y69" s="81">
        <f>HLOOKUP(R69,データについて!$J$12:$M$18,7,FALSE)</f>
        <v>2</v>
      </c>
      <c r="Z69" s="81">
        <f>HLOOKUP(I69,データについて!$J$3:$M$18,16,FALSE)</f>
        <v>2</v>
      </c>
      <c r="AA69" s="81" t="str">
        <f>IFERROR(HLOOKUP(J69,データについて!$J$4:$AH$19,16,FALSE),"")</f>
        <v/>
      </c>
      <c r="AB69" s="81">
        <f>IFERROR(HLOOKUP(K69,データについて!$J$5:$AH$20,14,FALSE),"")</f>
        <v>1</v>
      </c>
      <c r="AC69" s="81">
        <f>IF(X69=1,HLOOKUP(R69,データについて!$J$12:$M$18,7,FALSE),"*")</f>
        <v>2</v>
      </c>
      <c r="AD69" s="81" t="str">
        <f>IF(X69=2,HLOOKUP(R69,データについて!$J$12:$M$18,7,FALSE),"*")</f>
        <v>*</v>
      </c>
    </row>
    <row r="70" spans="1:30">
      <c r="A70" s="30">
        <v>5122</v>
      </c>
      <c r="B70" s="30" t="s">
        <v>4389</v>
      </c>
      <c r="C70" s="30" t="s">
        <v>4388</v>
      </c>
      <c r="D70" s="30" t="s">
        <v>106</v>
      </c>
      <c r="E70" s="30"/>
      <c r="F70" s="30" t="s">
        <v>107</v>
      </c>
      <c r="G70" s="30" t="s">
        <v>106</v>
      </c>
      <c r="H70" s="30"/>
      <c r="I70" s="30" t="s">
        <v>191</v>
      </c>
      <c r="J70" s="30"/>
      <c r="K70" s="30" t="s">
        <v>4342</v>
      </c>
      <c r="L70" s="30" t="s">
        <v>117</v>
      </c>
      <c r="M70" s="30" t="s">
        <v>109</v>
      </c>
      <c r="N70" s="30" t="s">
        <v>122</v>
      </c>
      <c r="O70" s="30" t="s">
        <v>115</v>
      </c>
      <c r="P70" s="30" t="s">
        <v>112</v>
      </c>
      <c r="Q70" s="30" t="s">
        <v>112</v>
      </c>
      <c r="R70" s="30" t="s">
        <v>189</v>
      </c>
      <c r="S70" s="81">
        <f>HLOOKUP(L70,データについて!$J$6:$M$18,13,FALSE)</f>
        <v>2</v>
      </c>
      <c r="T70" s="81">
        <f>HLOOKUP(M70,データについて!$J$7:$M$18,12,FALSE)</f>
        <v>2</v>
      </c>
      <c r="U70" s="81">
        <f>HLOOKUP(N70,データについて!$J$8:$M$18,11,FALSE)</f>
        <v>3</v>
      </c>
      <c r="V70" s="81">
        <f>HLOOKUP(O70,データについて!$J$9:$M$18,10,FALSE)</f>
        <v>1</v>
      </c>
      <c r="W70" s="81">
        <f>HLOOKUP(P70,データについて!$J$10:$M$18,9,FALSE)</f>
        <v>1</v>
      </c>
      <c r="X70" s="81">
        <f>HLOOKUP(Q70,データについて!$J$11:$M$18,8,FALSE)</f>
        <v>1</v>
      </c>
      <c r="Y70" s="81">
        <f>HLOOKUP(R70,データについて!$J$12:$M$18,7,FALSE)</f>
        <v>4</v>
      </c>
      <c r="Z70" s="81">
        <f>HLOOKUP(I70,データについて!$J$3:$M$18,16,FALSE)</f>
        <v>2</v>
      </c>
      <c r="AA70" s="81" t="str">
        <f>IFERROR(HLOOKUP(J70,データについて!$J$4:$AH$19,16,FALSE),"")</f>
        <v/>
      </c>
      <c r="AB70" s="81">
        <f>IFERROR(HLOOKUP(K70,データについて!$J$5:$AH$20,14,FALSE),"")</f>
        <v>1</v>
      </c>
      <c r="AC70" s="81">
        <f>IF(X70=1,HLOOKUP(R70,データについて!$J$12:$M$18,7,FALSE),"*")</f>
        <v>4</v>
      </c>
      <c r="AD70" s="81" t="str">
        <f>IF(X70=2,HLOOKUP(R70,データについて!$J$12:$M$18,7,FALSE),"*")</f>
        <v>*</v>
      </c>
    </row>
    <row r="71" spans="1:30">
      <c r="A71" s="30">
        <v>5121</v>
      </c>
      <c r="B71" s="30" t="s">
        <v>4390</v>
      </c>
      <c r="C71" s="30" t="s">
        <v>4391</v>
      </c>
      <c r="D71" s="30" t="s">
        <v>106</v>
      </c>
      <c r="E71" s="30"/>
      <c r="F71" s="30" t="s">
        <v>107</v>
      </c>
      <c r="G71" s="30" t="s">
        <v>106</v>
      </c>
      <c r="H71" s="30"/>
      <c r="I71" s="30" t="s">
        <v>191</v>
      </c>
      <c r="J71" s="30"/>
      <c r="K71" s="30" t="s">
        <v>4342</v>
      </c>
      <c r="L71" s="30" t="s">
        <v>117</v>
      </c>
      <c r="M71" s="30" t="s">
        <v>113</v>
      </c>
      <c r="N71" s="30" t="s">
        <v>119</v>
      </c>
      <c r="O71" s="30" t="s">
        <v>115</v>
      </c>
      <c r="P71" s="30" t="s">
        <v>118</v>
      </c>
      <c r="Q71" s="30" t="s">
        <v>112</v>
      </c>
      <c r="R71" s="30" t="s">
        <v>185</v>
      </c>
      <c r="S71" s="81">
        <f>HLOOKUP(L71,データについて!$J$6:$M$18,13,FALSE)</f>
        <v>2</v>
      </c>
      <c r="T71" s="81">
        <f>HLOOKUP(M71,データについて!$J$7:$M$18,12,FALSE)</f>
        <v>1</v>
      </c>
      <c r="U71" s="81">
        <f>HLOOKUP(N71,データについて!$J$8:$M$18,11,FALSE)</f>
        <v>4</v>
      </c>
      <c r="V71" s="81">
        <f>HLOOKUP(O71,データについて!$J$9:$M$18,10,FALSE)</f>
        <v>1</v>
      </c>
      <c r="W71" s="81">
        <f>HLOOKUP(P71,データについて!$J$10:$M$18,9,FALSE)</f>
        <v>2</v>
      </c>
      <c r="X71" s="81">
        <f>HLOOKUP(Q71,データについて!$J$11:$M$18,8,FALSE)</f>
        <v>1</v>
      </c>
      <c r="Y71" s="81">
        <f>HLOOKUP(R71,データについて!$J$12:$M$18,7,FALSE)</f>
        <v>2</v>
      </c>
      <c r="Z71" s="81">
        <f>HLOOKUP(I71,データについて!$J$3:$M$18,16,FALSE)</f>
        <v>2</v>
      </c>
      <c r="AA71" s="81" t="str">
        <f>IFERROR(HLOOKUP(J71,データについて!$J$4:$AH$19,16,FALSE),"")</f>
        <v/>
      </c>
      <c r="AB71" s="81">
        <f>IFERROR(HLOOKUP(K71,データについて!$J$5:$AH$20,14,FALSE),"")</f>
        <v>1</v>
      </c>
      <c r="AC71" s="81">
        <f>IF(X71=1,HLOOKUP(R71,データについて!$J$12:$M$18,7,FALSE),"*")</f>
        <v>2</v>
      </c>
      <c r="AD71" s="81" t="str">
        <f>IF(X71=2,HLOOKUP(R71,データについて!$J$12:$M$18,7,FALSE),"*")</f>
        <v>*</v>
      </c>
    </row>
    <row r="72" spans="1:30">
      <c r="A72" s="30">
        <v>5120</v>
      </c>
      <c r="B72" s="30" t="s">
        <v>4392</v>
      </c>
      <c r="C72" s="30" t="s">
        <v>4393</v>
      </c>
      <c r="D72" s="30" t="s">
        <v>106</v>
      </c>
      <c r="E72" s="30"/>
      <c r="F72" s="30" t="s">
        <v>107</v>
      </c>
      <c r="G72" s="30" t="s">
        <v>106</v>
      </c>
      <c r="H72" s="30"/>
      <c r="I72" s="30" t="s">
        <v>191</v>
      </c>
      <c r="J72" s="30"/>
      <c r="K72" s="30" t="s">
        <v>4342</v>
      </c>
      <c r="L72" s="30" t="s">
        <v>108</v>
      </c>
      <c r="M72" s="30" t="s">
        <v>109</v>
      </c>
      <c r="N72" s="30" t="s">
        <v>122</v>
      </c>
      <c r="O72" s="30" t="s">
        <v>115</v>
      </c>
      <c r="P72" s="30" t="s">
        <v>118</v>
      </c>
      <c r="Q72" s="30" t="s">
        <v>112</v>
      </c>
      <c r="R72" s="30" t="s">
        <v>185</v>
      </c>
      <c r="S72" s="81">
        <f>HLOOKUP(L72,データについて!$J$6:$M$18,13,FALSE)</f>
        <v>1</v>
      </c>
      <c r="T72" s="81">
        <f>HLOOKUP(M72,データについて!$J$7:$M$18,12,FALSE)</f>
        <v>2</v>
      </c>
      <c r="U72" s="81">
        <f>HLOOKUP(N72,データについて!$J$8:$M$18,11,FALSE)</f>
        <v>3</v>
      </c>
      <c r="V72" s="81">
        <f>HLOOKUP(O72,データについて!$J$9:$M$18,10,FALSE)</f>
        <v>1</v>
      </c>
      <c r="W72" s="81">
        <f>HLOOKUP(P72,データについて!$J$10:$M$18,9,FALSE)</f>
        <v>2</v>
      </c>
      <c r="X72" s="81">
        <f>HLOOKUP(Q72,データについて!$J$11:$M$18,8,FALSE)</f>
        <v>1</v>
      </c>
      <c r="Y72" s="81">
        <f>HLOOKUP(R72,データについて!$J$12:$M$18,7,FALSE)</f>
        <v>2</v>
      </c>
      <c r="Z72" s="81">
        <f>HLOOKUP(I72,データについて!$J$3:$M$18,16,FALSE)</f>
        <v>2</v>
      </c>
      <c r="AA72" s="81" t="str">
        <f>IFERROR(HLOOKUP(J72,データについて!$J$4:$AH$19,16,FALSE),"")</f>
        <v/>
      </c>
      <c r="AB72" s="81">
        <f>IFERROR(HLOOKUP(K72,データについて!$J$5:$AH$20,14,FALSE),"")</f>
        <v>1</v>
      </c>
      <c r="AC72" s="81">
        <f>IF(X72=1,HLOOKUP(R72,データについて!$J$12:$M$18,7,FALSE),"*")</f>
        <v>2</v>
      </c>
      <c r="AD72" s="81" t="str">
        <f>IF(X72=2,HLOOKUP(R72,データについて!$J$12:$M$18,7,FALSE),"*")</f>
        <v>*</v>
      </c>
    </row>
    <row r="73" spans="1:30">
      <c r="A73" s="30">
        <v>5119</v>
      </c>
      <c r="B73" s="30" t="s">
        <v>4394</v>
      </c>
      <c r="C73" s="30" t="s">
        <v>4395</v>
      </c>
      <c r="D73" s="30" t="s">
        <v>106</v>
      </c>
      <c r="E73" s="30"/>
      <c r="F73" s="30" t="s">
        <v>107</v>
      </c>
      <c r="G73" s="30" t="s">
        <v>106</v>
      </c>
      <c r="H73" s="30"/>
      <c r="I73" s="30" t="s">
        <v>191</v>
      </c>
      <c r="J73" s="30"/>
      <c r="K73" s="30" t="s">
        <v>4342</v>
      </c>
      <c r="L73" s="30" t="s">
        <v>108</v>
      </c>
      <c r="M73" s="30" t="s">
        <v>113</v>
      </c>
      <c r="N73" s="30" t="s">
        <v>114</v>
      </c>
      <c r="O73" s="30" t="s">
        <v>115</v>
      </c>
      <c r="P73" s="30" t="s">
        <v>112</v>
      </c>
      <c r="Q73" s="30" t="s">
        <v>112</v>
      </c>
      <c r="R73" s="30" t="s">
        <v>185</v>
      </c>
      <c r="S73" s="81">
        <f>HLOOKUP(L73,データについて!$J$6:$M$18,13,FALSE)</f>
        <v>1</v>
      </c>
      <c r="T73" s="81">
        <f>HLOOKUP(M73,データについて!$J$7:$M$18,12,FALSE)</f>
        <v>1</v>
      </c>
      <c r="U73" s="81">
        <f>HLOOKUP(N73,データについて!$J$8:$M$18,11,FALSE)</f>
        <v>1</v>
      </c>
      <c r="V73" s="81">
        <f>HLOOKUP(O73,データについて!$J$9:$M$18,10,FALSE)</f>
        <v>1</v>
      </c>
      <c r="W73" s="81">
        <f>HLOOKUP(P73,データについて!$J$10:$M$18,9,FALSE)</f>
        <v>1</v>
      </c>
      <c r="X73" s="81">
        <f>HLOOKUP(Q73,データについて!$J$11:$M$18,8,FALSE)</f>
        <v>1</v>
      </c>
      <c r="Y73" s="81">
        <f>HLOOKUP(R73,データについて!$J$12:$M$18,7,FALSE)</f>
        <v>2</v>
      </c>
      <c r="Z73" s="81">
        <f>HLOOKUP(I73,データについて!$J$3:$M$18,16,FALSE)</f>
        <v>2</v>
      </c>
      <c r="AA73" s="81" t="str">
        <f>IFERROR(HLOOKUP(J73,データについて!$J$4:$AH$19,16,FALSE),"")</f>
        <v/>
      </c>
      <c r="AB73" s="81">
        <f>IFERROR(HLOOKUP(K73,データについて!$J$5:$AH$20,14,FALSE),"")</f>
        <v>1</v>
      </c>
      <c r="AC73" s="81">
        <f>IF(X73=1,HLOOKUP(R73,データについて!$J$12:$M$18,7,FALSE),"*")</f>
        <v>2</v>
      </c>
      <c r="AD73" s="81" t="str">
        <f>IF(X73=2,HLOOKUP(R73,データについて!$J$12:$M$18,7,FALSE),"*")</f>
        <v>*</v>
      </c>
    </row>
    <row r="74" spans="1:30">
      <c r="A74" s="30">
        <v>5118</v>
      </c>
      <c r="B74" s="30" t="s">
        <v>4396</v>
      </c>
      <c r="C74" s="30" t="s">
        <v>4397</v>
      </c>
      <c r="D74" s="30" t="s">
        <v>106</v>
      </c>
      <c r="E74" s="30"/>
      <c r="F74" s="30" t="s">
        <v>107</v>
      </c>
      <c r="G74" s="30" t="s">
        <v>106</v>
      </c>
      <c r="H74" s="30"/>
      <c r="I74" s="30" t="s">
        <v>191</v>
      </c>
      <c r="J74" s="30"/>
      <c r="K74" s="30" t="s">
        <v>4342</v>
      </c>
      <c r="L74" s="30" t="s">
        <v>108</v>
      </c>
      <c r="M74" s="30" t="s">
        <v>109</v>
      </c>
      <c r="N74" s="30" t="s">
        <v>110</v>
      </c>
      <c r="O74" s="30" t="s">
        <v>115</v>
      </c>
      <c r="P74" s="30" t="s">
        <v>118</v>
      </c>
      <c r="Q74" s="30" t="s">
        <v>112</v>
      </c>
      <c r="R74" s="30" t="s">
        <v>183</v>
      </c>
      <c r="S74" s="81">
        <f>HLOOKUP(L74,データについて!$J$6:$M$18,13,FALSE)</f>
        <v>1</v>
      </c>
      <c r="T74" s="81">
        <f>HLOOKUP(M74,データについて!$J$7:$M$18,12,FALSE)</f>
        <v>2</v>
      </c>
      <c r="U74" s="81">
        <f>HLOOKUP(N74,データについて!$J$8:$M$18,11,FALSE)</f>
        <v>2</v>
      </c>
      <c r="V74" s="81">
        <f>HLOOKUP(O74,データについて!$J$9:$M$18,10,FALSE)</f>
        <v>1</v>
      </c>
      <c r="W74" s="81">
        <f>HLOOKUP(P74,データについて!$J$10:$M$18,9,FALSE)</f>
        <v>2</v>
      </c>
      <c r="X74" s="81">
        <f>HLOOKUP(Q74,データについて!$J$11:$M$18,8,FALSE)</f>
        <v>1</v>
      </c>
      <c r="Y74" s="81">
        <f>HLOOKUP(R74,データについて!$J$12:$M$18,7,FALSE)</f>
        <v>1</v>
      </c>
      <c r="Z74" s="81">
        <f>HLOOKUP(I74,データについて!$J$3:$M$18,16,FALSE)</f>
        <v>2</v>
      </c>
      <c r="AA74" s="81" t="str">
        <f>IFERROR(HLOOKUP(J74,データについて!$J$4:$AH$19,16,FALSE),"")</f>
        <v/>
      </c>
      <c r="AB74" s="81">
        <f>IFERROR(HLOOKUP(K74,データについて!$J$5:$AH$20,14,FALSE),"")</f>
        <v>1</v>
      </c>
      <c r="AC74" s="81">
        <f>IF(X74=1,HLOOKUP(R74,データについて!$J$12:$M$18,7,FALSE),"*")</f>
        <v>1</v>
      </c>
      <c r="AD74" s="81" t="str">
        <f>IF(X74=2,HLOOKUP(R74,データについて!$J$12:$M$18,7,FALSE),"*")</f>
        <v>*</v>
      </c>
    </row>
    <row r="75" spans="1:30">
      <c r="A75" s="30">
        <v>5117</v>
      </c>
      <c r="B75" s="30" t="s">
        <v>4398</v>
      </c>
      <c r="C75" s="30" t="s">
        <v>4399</v>
      </c>
      <c r="D75" s="30" t="s">
        <v>106</v>
      </c>
      <c r="E75" s="30"/>
      <c r="F75" s="30" t="s">
        <v>107</v>
      </c>
      <c r="G75" s="30" t="s">
        <v>106</v>
      </c>
      <c r="H75" s="30"/>
      <c r="I75" s="30" t="s">
        <v>191</v>
      </c>
      <c r="J75" s="30"/>
      <c r="K75" s="30" t="s">
        <v>4342</v>
      </c>
      <c r="L75" s="30" t="s">
        <v>108</v>
      </c>
      <c r="M75" s="30" t="s">
        <v>113</v>
      </c>
      <c r="N75" s="30" t="s">
        <v>122</v>
      </c>
      <c r="O75" s="30" t="s">
        <v>115</v>
      </c>
      <c r="P75" s="30" t="s">
        <v>118</v>
      </c>
      <c r="Q75" s="30" t="s">
        <v>112</v>
      </c>
      <c r="R75" s="30" t="s">
        <v>185</v>
      </c>
      <c r="S75" s="81">
        <f>HLOOKUP(L75,データについて!$J$6:$M$18,13,FALSE)</f>
        <v>1</v>
      </c>
      <c r="T75" s="81">
        <f>HLOOKUP(M75,データについて!$J$7:$M$18,12,FALSE)</f>
        <v>1</v>
      </c>
      <c r="U75" s="81">
        <f>HLOOKUP(N75,データについて!$J$8:$M$18,11,FALSE)</f>
        <v>3</v>
      </c>
      <c r="V75" s="81">
        <f>HLOOKUP(O75,データについて!$J$9:$M$18,10,FALSE)</f>
        <v>1</v>
      </c>
      <c r="W75" s="81">
        <f>HLOOKUP(P75,データについて!$J$10:$M$18,9,FALSE)</f>
        <v>2</v>
      </c>
      <c r="X75" s="81">
        <f>HLOOKUP(Q75,データについて!$J$11:$M$18,8,FALSE)</f>
        <v>1</v>
      </c>
      <c r="Y75" s="81">
        <f>HLOOKUP(R75,データについて!$J$12:$M$18,7,FALSE)</f>
        <v>2</v>
      </c>
      <c r="Z75" s="81">
        <f>HLOOKUP(I75,データについて!$J$3:$M$18,16,FALSE)</f>
        <v>2</v>
      </c>
      <c r="AA75" s="81" t="str">
        <f>IFERROR(HLOOKUP(J75,データについて!$J$4:$AH$19,16,FALSE),"")</f>
        <v/>
      </c>
      <c r="AB75" s="81">
        <f>IFERROR(HLOOKUP(K75,データについて!$J$5:$AH$20,14,FALSE),"")</f>
        <v>1</v>
      </c>
      <c r="AC75" s="81">
        <f>IF(X75=1,HLOOKUP(R75,データについて!$J$12:$M$18,7,FALSE),"*")</f>
        <v>2</v>
      </c>
      <c r="AD75" s="81" t="str">
        <f>IF(X75=2,HLOOKUP(R75,データについて!$J$12:$M$18,7,FALSE),"*")</f>
        <v>*</v>
      </c>
    </row>
    <row r="76" spans="1:30">
      <c r="A76" s="30">
        <v>5116</v>
      </c>
      <c r="B76" s="30" t="s">
        <v>4400</v>
      </c>
      <c r="C76" s="30" t="s">
        <v>4401</v>
      </c>
      <c r="D76" s="30" t="s">
        <v>106</v>
      </c>
      <c r="E76" s="30"/>
      <c r="F76" s="30" t="s">
        <v>107</v>
      </c>
      <c r="G76" s="30" t="s">
        <v>106</v>
      </c>
      <c r="H76" s="30"/>
      <c r="I76" s="30" t="s">
        <v>191</v>
      </c>
      <c r="J76" s="30"/>
      <c r="K76" s="30" t="s">
        <v>4342</v>
      </c>
      <c r="L76" s="30" t="s">
        <v>117</v>
      </c>
      <c r="M76" s="30" t="s">
        <v>113</v>
      </c>
      <c r="N76" s="30" t="s">
        <v>110</v>
      </c>
      <c r="O76" s="30" t="s">
        <v>115</v>
      </c>
      <c r="P76" s="30" t="s">
        <v>118</v>
      </c>
      <c r="Q76" s="30" t="s">
        <v>112</v>
      </c>
      <c r="R76" s="30" t="s">
        <v>185</v>
      </c>
      <c r="S76" s="81">
        <f>HLOOKUP(L76,データについて!$J$6:$M$18,13,FALSE)</f>
        <v>2</v>
      </c>
      <c r="T76" s="81">
        <f>HLOOKUP(M76,データについて!$J$7:$M$18,12,FALSE)</f>
        <v>1</v>
      </c>
      <c r="U76" s="81">
        <f>HLOOKUP(N76,データについて!$J$8:$M$18,11,FALSE)</f>
        <v>2</v>
      </c>
      <c r="V76" s="81">
        <f>HLOOKUP(O76,データについて!$J$9:$M$18,10,FALSE)</f>
        <v>1</v>
      </c>
      <c r="W76" s="81">
        <f>HLOOKUP(P76,データについて!$J$10:$M$18,9,FALSE)</f>
        <v>2</v>
      </c>
      <c r="X76" s="81">
        <f>HLOOKUP(Q76,データについて!$J$11:$M$18,8,FALSE)</f>
        <v>1</v>
      </c>
      <c r="Y76" s="81">
        <f>HLOOKUP(R76,データについて!$J$12:$M$18,7,FALSE)</f>
        <v>2</v>
      </c>
      <c r="Z76" s="81">
        <f>HLOOKUP(I76,データについて!$J$3:$M$18,16,FALSE)</f>
        <v>2</v>
      </c>
      <c r="AA76" s="81" t="str">
        <f>IFERROR(HLOOKUP(J76,データについて!$J$4:$AH$19,16,FALSE),"")</f>
        <v/>
      </c>
      <c r="AB76" s="81">
        <f>IFERROR(HLOOKUP(K76,データについて!$J$5:$AH$20,14,FALSE),"")</f>
        <v>1</v>
      </c>
      <c r="AC76" s="81">
        <f>IF(X76=1,HLOOKUP(R76,データについて!$J$12:$M$18,7,FALSE),"*")</f>
        <v>2</v>
      </c>
      <c r="AD76" s="81" t="str">
        <f>IF(X76=2,HLOOKUP(R76,データについて!$J$12:$M$18,7,FALSE),"*")</f>
        <v>*</v>
      </c>
    </row>
    <row r="77" spans="1:30">
      <c r="A77" s="30">
        <v>5115</v>
      </c>
      <c r="B77" s="30" t="s">
        <v>4402</v>
      </c>
      <c r="C77" s="30" t="s">
        <v>4403</v>
      </c>
      <c r="D77" s="30" t="s">
        <v>106</v>
      </c>
      <c r="E77" s="30"/>
      <c r="F77" s="30" t="s">
        <v>107</v>
      </c>
      <c r="G77" s="30" t="s">
        <v>106</v>
      </c>
      <c r="H77" s="30"/>
      <c r="I77" s="30" t="s">
        <v>191</v>
      </c>
      <c r="J77" s="30"/>
      <c r="K77" s="30" t="s">
        <v>4342</v>
      </c>
      <c r="L77" s="30" t="s">
        <v>117</v>
      </c>
      <c r="M77" s="30" t="s">
        <v>109</v>
      </c>
      <c r="N77" s="30" t="s">
        <v>122</v>
      </c>
      <c r="O77" s="30" t="s">
        <v>116</v>
      </c>
      <c r="P77" s="30" t="s">
        <v>118</v>
      </c>
      <c r="Q77" s="30" t="s">
        <v>118</v>
      </c>
      <c r="R77" s="30" t="s">
        <v>189</v>
      </c>
      <c r="S77" s="81">
        <f>HLOOKUP(L77,データについて!$J$6:$M$18,13,FALSE)</f>
        <v>2</v>
      </c>
      <c r="T77" s="81">
        <f>HLOOKUP(M77,データについて!$J$7:$M$18,12,FALSE)</f>
        <v>2</v>
      </c>
      <c r="U77" s="81">
        <f>HLOOKUP(N77,データについて!$J$8:$M$18,11,FALSE)</f>
        <v>3</v>
      </c>
      <c r="V77" s="81">
        <f>HLOOKUP(O77,データについて!$J$9:$M$18,10,FALSE)</f>
        <v>2</v>
      </c>
      <c r="W77" s="81">
        <f>HLOOKUP(P77,データについて!$J$10:$M$18,9,FALSE)</f>
        <v>2</v>
      </c>
      <c r="X77" s="81">
        <f>HLOOKUP(Q77,データについて!$J$11:$M$18,8,FALSE)</f>
        <v>2</v>
      </c>
      <c r="Y77" s="81">
        <f>HLOOKUP(R77,データについて!$J$12:$M$18,7,FALSE)</f>
        <v>4</v>
      </c>
      <c r="Z77" s="81">
        <f>HLOOKUP(I77,データについて!$J$3:$M$18,16,FALSE)</f>
        <v>2</v>
      </c>
      <c r="AA77" s="81" t="str">
        <f>IFERROR(HLOOKUP(J77,データについて!$J$4:$AH$19,16,FALSE),"")</f>
        <v/>
      </c>
      <c r="AB77" s="81">
        <f>IFERROR(HLOOKUP(K77,データについて!$J$5:$AH$20,14,FALSE),"")</f>
        <v>1</v>
      </c>
      <c r="AC77" s="81" t="str">
        <f>IF(X77=1,HLOOKUP(R77,データについて!$J$12:$M$18,7,FALSE),"*")</f>
        <v>*</v>
      </c>
      <c r="AD77" s="81">
        <f>IF(X77=2,HLOOKUP(R77,データについて!$J$12:$M$18,7,FALSE),"*")</f>
        <v>4</v>
      </c>
    </row>
    <row r="78" spans="1:30">
      <c r="A78" s="30">
        <v>5114</v>
      </c>
      <c r="B78" s="30" t="s">
        <v>4404</v>
      </c>
      <c r="C78" s="30" t="s">
        <v>4405</v>
      </c>
      <c r="D78" s="30" t="s">
        <v>106</v>
      </c>
      <c r="E78" s="30"/>
      <c r="F78" s="30" t="s">
        <v>107</v>
      </c>
      <c r="G78" s="30" t="s">
        <v>106</v>
      </c>
      <c r="H78" s="30"/>
      <c r="I78" s="30" t="s">
        <v>191</v>
      </c>
      <c r="J78" s="30"/>
      <c r="K78" s="30" t="s">
        <v>4342</v>
      </c>
      <c r="L78" s="30" t="s">
        <v>108</v>
      </c>
      <c r="M78" s="30" t="s">
        <v>113</v>
      </c>
      <c r="N78" s="30" t="s">
        <v>114</v>
      </c>
      <c r="O78" s="30" t="s">
        <v>115</v>
      </c>
      <c r="P78" s="30" t="s">
        <v>118</v>
      </c>
      <c r="Q78" s="30" t="s">
        <v>112</v>
      </c>
      <c r="R78" s="30" t="s">
        <v>185</v>
      </c>
      <c r="S78" s="81">
        <f>HLOOKUP(L78,データについて!$J$6:$M$18,13,FALSE)</f>
        <v>1</v>
      </c>
      <c r="T78" s="81">
        <f>HLOOKUP(M78,データについて!$J$7:$M$18,12,FALSE)</f>
        <v>1</v>
      </c>
      <c r="U78" s="81">
        <f>HLOOKUP(N78,データについて!$J$8:$M$18,11,FALSE)</f>
        <v>1</v>
      </c>
      <c r="V78" s="81">
        <f>HLOOKUP(O78,データについて!$J$9:$M$18,10,FALSE)</f>
        <v>1</v>
      </c>
      <c r="W78" s="81">
        <f>HLOOKUP(P78,データについて!$J$10:$M$18,9,FALSE)</f>
        <v>2</v>
      </c>
      <c r="X78" s="81">
        <f>HLOOKUP(Q78,データについて!$J$11:$M$18,8,FALSE)</f>
        <v>1</v>
      </c>
      <c r="Y78" s="81">
        <f>HLOOKUP(R78,データについて!$J$12:$M$18,7,FALSE)</f>
        <v>2</v>
      </c>
      <c r="Z78" s="81">
        <f>HLOOKUP(I78,データについて!$J$3:$M$18,16,FALSE)</f>
        <v>2</v>
      </c>
      <c r="AA78" s="81" t="str">
        <f>IFERROR(HLOOKUP(J78,データについて!$J$4:$AH$19,16,FALSE),"")</f>
        <v/>
      </c>
      <c r="AB78" s="81">
        <f>IFERROR(HLOOKUP(K78,データについて!$J$5:$AH$20,14,FALSE),"")</f>
        <v>1</v>
      </c>
      <c r="AC78" s="81">
        <f>IF(X78=1,HLOOKUP(R78,データについて!$J$12:$M$18,7,FALSE),"*")</f>
        <v>2</v>
      </c>
      <c r="AD78" s="81" t="str">
        <f>IF(X78=2,HLOOKUP(R78,データについて!$J$12:$M$18,7,FALSE),"*")</f>
        <v>*</v>
      </c>
    </row>
    <row r="79" spans="1:30">
      <c r="A79" s="30">
        <v>5113</v>
      </c>
      <c r="B79" s="30" t="s">
        <v>4406</v>
      </c>
      <c r="C79" s="30" t="s">
        <v>4407</v>
      </c>
      <c r="D79" s="30" t="s">
        <v>106</v>
      </c>
      <c r="E79" s="30"/>
      <c r="F79" s="30" t="s">
        <v>107</v>
      </c>
      <c r="G79" s="30" t="s">
        <v>106</v>
      </c>
      <c r="H79" s="30"/>
      <c r="I79" s="30" t="s">
        <v>191</v>
      </c>
      <c r="J79" s="30"/>
      <c r="K79" s="30" t="s">
        <v>4342</v>
      </c>
      <c r="L79" s="30" t="s">
        <v>117</v>
      </c>
      <c r="M79" s="30" t="s">
        <v>124</v>
      </c>
      <c r="N79" s="30" t="s">
        <v>110</v>
      </c>
      <c r="O79" s="30" t="s">
        <v>115</v>
      </c>
      <c r="P79" s="30" t="s">
        <v>112</v>
      </c>
      <c r="Q79" s="30" t="s">
        <v>118</v>
      </c>
      <c r="R79" s="30" t="s">
        <v>189</v>
      </c>
      <c r="S79" s="81">
        <f>HLOOKUP(L79,データについて!$J$6:$M$18,13,FALSE)</f>
        <v>2</v>
      </c>
      <c r="T79" s="81">
        <f>HLOOKUP(M79,データについて!$J$7:$M$18,12,FALSE)</f>
        <v>3</v>
      </c>
      <c r="U79" s="81">
        <f>HLOOKUP(N79,データについて!$J$8:$M$18,11,FALSE)</f>
        <v>2</v>
      </c>
      <c r="V79" s="81">
        <f>HLOOKUP(O79,データについて!$J$9:$M$18,10,FALSE)</f>
        <v>1</v>
      </c>
      <c r="W79" s="81">
        <f>HLOOKUP(P79,データについて!$J$10:$M$18,9,FALSE)</f>
        <v>1</v>
      </c>
      <c r="X79" s="81">
        <f>HLOOKUP(Q79,データについて!$J$11:$M$18,8,FALSE)</f>
        <v>2</v>
      </c>
      <c r="Y79" s="81">
        <f>HLOOKUP(R79,データについて!$J$12:$M$18,7,FALSE)</f>
        <v>4</v>
      </c>
      <c r="Z79" s="81">
        <f>HLOOKUP(I79,データについて!$J$3:$M$18,16,FALSE)</f>
        <v>2</v>
      </c>
      <c r="AA79" s="81" t="str">
        <f>IFERROR(HLOOKUP(J79,データについて!$J$4:$AH$19,16,FALSE),"")</f>
        <v/>
      </c>
      <c r="AB79" s="81">
        <f>IFERROR(HLOOKUP(K79,データについて!$J$5:$AH$20,14,FALSE),"")</f>
        <v>1</v>
      </c>
      <c r="AC79" s="81" t="str">
        <f>IF(X79=1,HLOOKUP(R79,データについて!$J$12:$M$18,7,FALSE),"*")</f>
        <v>*</v>
      </c>
      <c r="AD79" s="81">
        <f>IF(X79=2,HLOOKUP(R79,データについて!$J$12:$M$18,7,FALSE),"*")</f>
        <v>4</v>
      </c>
    </row>
    <row r="80" spans="1:30">
      <c r="A80" s="30">
        <v>5112</v>
      </c>
      <c r="B80" s="30" t="s">
        <v>4408</v>
      </c>
      <c r="C80" s="30" t="s">
        <v>4409</v>
      </c>
      <c r="D80" s="30" t="s">
        <v>106</v>
      </c>
      <c r="E80" s="30"/>
      <c r="F80" s="30" t="s">
        <v>107</v>
      </c>
      <c r="G80" s="30" t="s">
        <v>106</v>
      </c>
      <c r="H80" s="30"/>
      <c r="I80" s="30" t="s">
        <v>191</v>
      </c>
      <c r="J80" s="30"/>
      <c r="K80" s="30" t="s">
        <v>4342</v>
      </c>
      <c r="L80" s="30" t="s">
        <v>108</v>
      </c>
      <c r="M80" s="30" t="s">
        <v>121</v>
      </c>
      <c r="N80" s="30" t="s">
        <v>122</v>
      </c>
      <c r="O80" s="30" t="s">
        <v>115</v>
      </c>
      <c r="P80" s="30" t="s">
        <v>112</v>
      </c>
      <c r="Q80" s="30" t="s">
        <v>112</v>
      </c>
      <c r="R80" s="30" t="s">
        <v>189</v>
      </c>
      <c r="S80" s="81">
        <f>HLOOKUP(L80,データについて!$J$6:$M$18,13,FALSE)</f>
        <v>1</v>
      </c>
      <c r="T80" s="81">
        <f>HLOOKUP(M80,データについて!$J$7:$M$18,12,FALSE)</f>
        <v>4</v>
      </c>
      <c r="U80" s="81">
        <f>HLOOKUP(N80,データについて!$J$8:$M$18,11,FALSE)</f>
        <v>3</v>
      </c>
      <c r="V80" s="81">
        <f>HLOOKUP(O80,データについて!$J$9:$M$18,10,FALSE)</f>
        <v>1</v>
      </c>
      <c r="W80" s="81">
        <f>HLOOKUP(P80,データについて!$J$10:$M$18,9,FALSE)</f>
        <v>1</v>
      </c>
      <c r="X80" s="81">
        <f>HLOOKUP(Q80,データについて!$J$11:$M$18,8,FALSE)</f>
        <v>1</v>
      </c>
      <c r="Y80" s="81">
        <f>HLOOKUP(R80,データについて!$J$12:$M$18,7,FALSE)</f>
        <v>4</v>
      </c>
      <c r="Z80" s="81">
        <f>HLOOKUP(I80,データについて!$J$3:$M$18,16,FALSE)</f>
        <v>2</v>
      </c>
      <c r="AA80" s="81" t="str">
        <f>IFERROR(HLOOKUP(J80,データについて!$J$4:$AH$19,16,FALSE),"")</f>
        <v/>
      </c>
      <c r="AB80" s="81">
        <f>IFERROR(HLOOKUP(K80,データについて!$J$5:$AH$20,14,FALSE),"")</f>
        <v>1</v>
      </c>
      <c r="AC80" s="81">
        <f>IF(X80=1,HLOOKUP(R80,データについて!$J$12:$M$18,7,FALSE),"*")</f>
        <v>4</v>
      </c>
      <c r="AD80" s="81" t="str">
        <f>IF(X80=2,HLOOKUP(R80,データについて!$J$12:$M$18,7,FALSE),"*")</f>
        <v>*</v>
      </c>
    </row>
    <row r="81" spans="1:30">
      <c r="A81" s="30">
        <v>5111</v>
      </c>
      <c r="B81" s="30" t="s">
        <v>4410</v>
      </c>
      <c r="C81" s="30" t="s">
        <v>4411</v>
      </c>
      <c r="D81" s="30" t="s">
        <v>106</v>
      </c>
      <c r="E81" s="30"/>
      <c r="F81" s="30" t="s">
        <v>107</v>
      </c>
      <c r="G81" s="30" t="s">
        <v>106</v>
      </c>
      <c r="H81" s="30"/>
      <c r="I81" s="30" t="s">
        <v>192</v>
      </c>
      <c r="J81" s="30" t="s">
        <v>4412</v>
      </c>
      <c r="K81" s="30"/>
      <c r="L81" s="30" t="s">
        <v>117</v>
      </c>
      <c r="M81" s="30" t="s">
        <v>113</v>
      </c>
      <c r="N81" s="30" t="s">
        <v>114</v>
      </c>
      <c r="O81" s="30" t="s">
        <v>111</v>
      </c>
      <c r="P81" s="30" t="s">
        <v>112</v>
      </c>
      <c r="Q81" s="30" t="s">
        <v>112</v>
      </c>
      <c r="R81" s="30" t="s">
        <v>185</v>
      </c>
      <c r="S81" s="81">
        <f>HLOOKUP(L81,データについて!$J$6:$M$18,13,FALSE)</f>
        <v>2</v>
      </c>
      <c r="T81" s="81">
        <f>HLOOKUP(M81,データについて!$J$7:$M$18,12,FALSE)</f>
        <v>1</v>
      </c>
      <c r="U81" s="81">
        <f>HLOOKUP(N81,データについて!$J$8:$M$18,11,FALSE)</f>
        <v>1</v>
      </c>
      <c r="V81" s="81">
        <f>HLOOKUP(O81,データについて!$J$9:$M$18,10,FALSE)</f>
        <v>3</v>
      </c>
      <c r="W81" s="81">
        <f>HLOOKUP(P81,データについて!$J$10:$M$18,9,FALSE)</f>
        <v>1</v>
      </c>
      <c r="X81" s="81">
        <f>HLOOKUP(Q81,データについて!$J$11:$M$18,8,FALSE)</f>
        <v>1</v>
      </c>
      <c r="Y81" s="81">
        <f>HLOOKUP(R81,データについて!$J$12:$M$18,7,FALSE)</f>
        <v>2</v>
      </c>
      <c r="Z81" s="81">
        <f>HLOOKUP(I81,データについて!$J$3:$M$18,16,FALSE)</f>
        <v>1</v>
      </c>
      <c r="AA81" s="81">
        <f>IFERROR(HLOOKUP(J81,データについて!$J$4:$AH$19,16,FALSE),"")</f>
        <v>2</v>
      </c>
      <c r="AB81" s="81" t="str">
        <f>IFERROR(HLOOKUP(K81,データについて!$J$5:$AH$20,14,FALSE),"")</f>
        <v/>
      </c>
      <c r="AC81" s="81">
        <f>IF(X81=1,HLOOKUP(R81,データについて!$J$12:$M$18,7,FALSE),"*")</f>
        <v>2</v>
      </c>
      <c r="AD81" s="81" t="str">
        <f>IF(X81=2,HLOOKUP(R81,データについて!$J$12:$M$18,7,FALSE),"*")</f>
        <v>*</v>
      </c>
    </row>
    <row r="82" spans="1:30">
      <c r="A82" s="30">
        <v>5110</v>
      </c>
      <c r="B82" s="30" t="s">
        <v>4413</v>
      </c>
      <c r="C82" s="30" t="s">
        <v>4414</v>
      </c>
      <c r="D82" s="30" t="s">
        <v>106</v>
      </c>
      <c r="E82" s="30"/>
      <c r="F82" s="30" t="s">
        <v>107</v>
      </c>
      <c r="G82" s="30" t="s">
        <v>106</v>
      </c>
      <c r="H82" s="30"/>
      <c r="I82" s="30" t="s">
        <v>191</v>
      </c>
      <c r="J82" s="30"/>
      <c r="K82" s="30" t="s">
        <v>4342</v>
      </c>
      <c r="L82" s="30" t="s">
        <v>108</v>
      </c>
      <c r="M82" s="30" t="s">
        <v>113</v>
      </c>
      <c r="N82" s="30" t="s">
        <v>114</v>
      </c>
      <c r="O82" s="30" t="s">
        <v>115</v>
      </c>
      <c r="P82" s="30" t="s">
        <v>112</v>
      </c>
      <c r="Q82" s="30" t="s">
        <v>112</v>
      </c>
      <c r="R82" s="30" t="s">
        <v>183</v>
      </c>
      <c r="S82" s="81">
        <f>HLOOKUP(L82,データについて!$J$6:$M$18,13,FALSE)</f>
        <v>1</v>
      </c>
      <c r="T82" s="81">
        <f>HLOOKUP(M82,データについて!$J$7:$M$18,12,FALSE)</f>
        <v>1</v>
      </c>
      <c r="U82" s="81">
        <f>HLOOKUP(N82,データについて!$J$8:$M$18,11,FALSE)</f>
        <v>1</v>
      </c>
      <c r="V82" s="81">
        <f>HLOOKUP(O82,データについて!$J$9:$M$18,10,FALSE)</f>
        <v>1</v>
      </c>
      <c r="W82" s="81">
        <f>HLOOKUP(P82,データについて!$J$10:$M$18,9,FALSE)</f>
        <v>1</v>
      </c>
      <c r="X82" s="81">
        <f>HLOOKUP(Q82,データについて!$J$11:$M$18,8,FALSE)</f>
        <v>1</v>
      </c>
      <c r="Y82" s="81">
        <f>HLOOKUP(R82,データについて!$J$12:$M$18,7,FALSE)</f>
        <v>1</v>
      </c>
      <c r="Z82" s="81">
        <f>HLOOKUP(I82,データについて!$J$3:$M$18,16,FALSE)</f>
        <v>2</v>
      </c>
      <c r="AA82" s="81" t="str">
        <f>IFERROR(HLOOKUP(J82,データについて!$J$4:$AH$19,16,FALSE),"")</f>
        <v/>
      </c>
      <c r="AB82" s="81">
        <f>IFERROR(HLOOKUP(K82,データについて!$J$5:$AH$20,14,FALSE),"")</f>
        <v>1</v>
      </c>
      <c r="AC82" s="81">
        <f>IF(X82=1,HLOOKUP(R82,データについて!$J$12:$M$18,7,FALSE),"*")</f>
        <v>1</v>
      </c>
      <c r="AD82" s="81" t="str">
        <f>IF(X82=2,HLOOKUP(R82,データについて!$J$12:$M$18,7,FALSE),"*")</f>
        <v>*</v>
      </c>
    </row>
    <row r="83" spans="1:30">
      <c r="A83" s="30">
        <v>5109</v>
      </c>
      <c r="B83" s="30" t="s">
        <v>4415</v>
      </c>
      <c r="C83" s="30" t="s">
        <v>4416</v>
      </c>
      <c r="D83" s="30" t="s">
        <v>106</v>
      </c>
      <c r="E83" s="30"/>
      <c r="F83" s="30" t="s">
        <v>107</v>
      </c>
      <c r="G83" s="30" t="s">
        <v>106</v>
      </c>
      <c r="H83" s="30"/>
      <c r="I83" s="30" t="s">
        <v>191</v>
      </c>
      <c r="J83" s="30"/>
      <c r="K83" s="30" t="s">
        <v>4342</v>
      </c>
      <c r="L83" s="30" t="s">
        <v>108</v>
      </c>
      <c r="M83" s="30" t="s">
        <v>109</v>
      </c>
      <c r="N83" s="30" t="s">
        <v>114</v>
      </c>
      <c r="O83" s="30" t="s">
        <v>115</v>
      </c>
      <c r="P83" s="30" t="s">
        <v>112</v>
      </c>
      <c r="Q83" s="30" t="s">
        <v>118</v>
      </c>
      <c r="R83" s="30" t="s">
        <v>189</v>
      </c>
      <c r="S83" s="81">
        <f>HLOOKUP(L83,データについて!$J$6:$M$18,13,FALSE)</f>
        <v>1</v>
      </c>
      <c r="T83" s="81">
        <f>HLOOKUP(M83,データについて!$J$7:$M$18,12,FALSE)</f>
        <v>2</v>
      </c>
      <c r="U83" s="81">
        <f>HLOOKUP(N83,データについて!$J$8:$M$18,11,FALSE)</f>
        <v>1</v>
      </c>
      <c r="V83" s="81">
        <f>HLOOKUP(O83,データについて!$J$9:$M$18,10,FALSE)</f>
        <v>1</v>
      </c>
      <c r="W83" s="81">
        <f>HLOOKUP(P83,データについて!$J$10:$M$18,9,FALSE)</f>
        <v>1</v>
      </c>
      <c r="X83" s="81">
        <f>HLOOKUP(Q83,データについて!$J$11:$M$18,8,FALSE)</f>
        <v>2</v>
      </c>
      <c r="Y83" s="81">
        <f>HLOOKUP(R83,データについて!$J$12:$M$18,7,FALSE)</f>
        <v>4</v>
      </c>
      <c r="Z83" s="81">
        <f>HLOOKUP(I83,データについて!$J$3:$M$18,16,FALSE)</f>
        <v>2</v>
      </c>
      <c r="AA83" s="81" t="str">
        <f>IFERROR(HLOOKUP(J83,データについて!$J$4:$AH$19,16,FALSE),"")</f>
        <v/>
      </c>
      <c r="AB83" s="81">
        <f>IFERROR(HLOOKUP(K83,データについて!$J$5:$AH$20,14,FALSE),"")</f>
        <v>1</v>
      </c>
      <c r="AC83" s="81" t="str">
        <f>IF(X83=1,HLOOKUP(R83,データについて!$J$12:$M$18,7,FALSE),"*")</f>
        <v>*</v>
      </c>
      <c r="AD83" s="81">
        <f>IF(X83=2,HLOOKUP(R83,データについて!$J$12:$M$18,7,FALSE),"*")</f>
        <v>4</v>
      </c>
    </row>
    <row r="84" spans="1:30">
      <c r="A84" s="30">
        <v>5108</v>
      </c>
      <c r="B84" s="30" t="s">
        <v>4417</v>
      </c>
      <c r="C84" s="30" t="s">
        <v>4418</v>
      </c>
      <c r="D84" s="30" t="s">
        <v>106</v>
      </c>
      <c r="E84" s="30"/>
      <c r="F84" s="30" t="s">
        <v>107</v>
      </c>
      <c r="G84" s="30" t="s">
        <v>106</v>
      </c>
      <c r="H84" s="30"/>
      <c r="I84" s="30" t="s">
        <v>192</v>
      </c>
      <c r="J84" s="30" t="s">
        <v>4412</v>
      </c>
      <c r="K84" s="30"/>
      <c r="L84" s="30" t="s">
        <v>117</v>
      </c>
      <c r="M84" s="30" t="s">
        <v>113</v>
      </c>
      <c r="N84" s="30" t="s">
        <v>110</v>
      </c>
      <c r="O84" s="30" t="s">
        <v>115</v>
      </c>
      <c r="P84" s="30" t="s">
        <v>118</v>
      </c>
      <c r="Q84" s="30" t="s">
        <v>112</v>
      </c>
      <c r="R84" s="30" t="s">
        <v>183</v>
      </c>
      <c r="S84" s="81">
        <f>HLOOKUP(L84,データについて!$J$6:$M$18,13,FALSE)</f>
        <v>2</v>
      </c>
      <c r="T84" s="81">
        <f>HLOOKUP(M84,データについて!$J$7:$M$18,12,FALSE)</f>
        <v>1</v>
      </c>
      <c r="U84" s="81">
        <f>HLOOKUP(N84,データについて!$J$8:$M$18,11,FALSE)</f>
        <v>2</v>
      </c>
      <c r="V84" s="81">
        <f>HLOOKUP(O84,データについて!$J$9:$M$18,10,FALSE)</f>
        <v>1</v>
      </c>
      <c r="W84" s="81">
        <f>HLOOKUP(P84,データについて!$J$10:$M$18,9,FALSE)</f>
        <v>2</v>
      </c>
      <c r="X84" s="81">
        <f>HLOOKUP(Q84,データについて!$J$11:$M$18,8,FALSE)</f>
        <v>1</v>
      </c>
      <c r="Y84" s="81">
        <f>HLOOKUP(R84,データについて!$J$12:$M$18,7,FALSE)</f>
        <v>1</v>
      </c>
      <c r="Z84" s="81">
        <f>HLOOKUP(I84,データについて!$J$3:$M$18,16,FALSE)</f>
        <v>1</v>
      </c>
      <c r="AA84" s="81">
        <f>IFERROR(HLOOKUP(J84,データについて!$J$4:$AH$19,16,FALSE),"")</f>
        <v>2</v>
      </c>
      <c r="AB84" s="81" t="str">
        <f>IFERROR(HLOOKUP(K84,データについて!$J$5:$AH$20,14,FALSE),"")</f>
        <v/>
      </c>
      <c r="AC84" s="81">
        <f>IF(X84=1,HLOOKUP(R84,データについて!$J$12:$M$18,7,FALSE),"*")</f>
        <v>1</v>
      </c>
      <c r="AD84" s="81" t="str">
        <f>IF(X84=2,HLOOKUP(R84,データについて!$J$12:$M$18,7,FALSE),"*")</f>
        <v>*</v>
      </c>
    </row>
    <row r="85" spans="1:30">
      <c r="A85" s="30">
        <v>5107</v>
      </c>
      <c r="B85" s="30" t="s">
        <v>4419</v>
      </c>
      <c r="C85" s="30" t="s">
        <v>4420</v>
      </c>
      <c r="D85" s="30" t="s">
        <v>106</v>
      </c>
      <c r="E85" s="30"/>
      <c r="F85" s="30" t="s">
        <v>107</v>
      </c>
      <c r="G85" s="30" t="s">
        <v>106</v>
      </c>
      <c r="H85" s="30"/>
      <c r="I85" s="30" t="s">
        <v>192</v>
      </c>
      <c r="J85" s="30" t="s">
        <v>4412</v>
      </c>
      <c r="K85" s="30"/>
      <c r="L85" s="30" t="s">
        <v>108</v>
      </c>
      <c r="M85" s="30" t="s">
        <v>113</v>
      </c>
      <c r="N85" s="30" t="s">
        <v>114</v>
      </c>
      <c r="O85" s="30" t="s">
        <v>116</v>
      </c>
      <c r="P85" s="30" t="s">
        <v>112</v>
      </c>
      <c r="Q85" s="30" t="s">
        <v>112</v>
      </c>
      <c r="R85" s="30" t="s">
        <v>189</v>
      </c>
      <c r="S85" s="81">
        <f>HLOOKUP(L85,データについて!$J$6:$M$18,13,FALSE)</f>
        <v>1</v>
      </c>
      <c r="T85" s="81">
        <f>HLOOKUP(M85,データについて!$J$7:$M$18,12,FALSE)</f>
        <v>1</v>
      </c>
      <c r="U85" s="81">
        <f>HLOOKUP(N85,データについて!$J$8:$M$18,11,FALSE)</f>
        <v>1</v>
      </c>
      <c r="V85" s="81">
        <f>HLOOKUP(O85,データについて!$J$9:$M$18,10,FALSE)</f>
        <v>2</v>
      </c>
      <c r="W85" s="81">
        <f>HLOOKUP(P85,データについて!$J$10:$M$18,9,FALSE)</f>
        <v>1</v>
      </c>
      <c r="X85" s="81">
        <f>HLOOKUP(Q85,データについて!$J$11:$M$18,8,FALSE)</f>
        <v>1</v>
      </c>
      <c r="Y85" s="81">
        <f>HLOOKUP(R85,データについて!$J$12:$M$18,7,FALSE)</f>
        <v>4</v>
      </c>
      <c r="Z85" s="81">
        <f>HLOOKUP(I85,データについて!$J$3:$M$18,16,FALSE)</f>
        <v>1</v>
      </c>
      <c r="AA85" s="81">
        <f>IFERROR(HLOOKUP(J85,データについて!$J$4:$AH$19,16,FALSE),"")</f>
        <v>2</v>
      </c>
      <c r="AB85" s="81" t="str">
        <f>IFERROR(HLOOKUP(K85,データについて!$J$5:$AH$20,14,FALSE),"")</f>
        <v/>
      </c>
      <c r="AC85" s="81">
        <f>IF(X85=1,HLOOKUP(R85,データについて!$J$12:$M$18,7,FALSE),"*")</f>
        <v>4</v>
      </c>
      <c r="AD85" s="81" t="str">
        <f>IF(X85=2,HLOOKUP(R85,データについて!$J$12:$M$18,7,FALSE),"*")</f>
        <v>*</v>
      </c>
    </row>
    <row r="86" spans="1:30">
      <c r="A86" s="30">
        <v>5106</v>
      </c>
      <c r="B86" s="30" t="s">
        <v>4421</v>
      </c>
      <c r="C86" s="30" t="s">
        <v>4422</v>
      </c>
      <c r="D86" s="30" t="s">
        <v>106</v>
      </c>
      <c r="E86" s="30"/>
      <c r="F86" s="30" t="s">
        <v>107</v>
      </c>
      <c r="G86" s="30" t="s">
        <v>106</v>
      </c>
      <c r="H86" s="30"/>
      <c r="I86" s="30" t="s">
        <v>192</v>
      </c>
      <c r="J86" s="30" t="s">
        <v>4412</v>
      </c>
      <c r="K86" s="30"/>
      <c r="L86" s="30" t="s">
        <v>117</v>
      </c>
      <c r="M86" s="30" t="s">
        <v>113</v>
      </c>
      <c r="N86" s="30" t="s">
        <v>110</v>
      </c>
      <c r="O86" s="30" t="s">
        <v>115</v>
      </c>
      <c r="P86" s="30" t="s">
        <v>112</v>
      </c>
      <c r="Q86" s="30" t="s">
        <v>112</v>
      </c>
      <c r="R86" s="30" t="s">
        <v>187</v>
      </c>
      <c r="S86" s="81">
        <f>HLOOKUP(L86,データについて!$J$6:$M$18,13,FALSE)</f>
        <v>2</v>
      </c>
      <c r="T86" s="81">
        <f>HLOOKUP(M86,データについて!$J$7:$M$18,12,FALSE)</f>
        <v>1</v>
      </c>
      <c r="U86" s="81">
        <f>HLOOKUP(N86,データについて!$J$8:$M$18,11,FALSE)</f>
        <v>2</v>
      </c>
      <c r="V86" s="81">
        <f>HLOOKUP(O86,データについて!$J$9:$M$18,10,FALSE)</f>
        <v>1</v>
      </c>
      <c r="W86" s="81">
        <f>HLOOKUP(P86,データについて!$J$10:$M$18,9,FALSE)</f>
        <v>1</v>
      </c>
      <c r="X86" s="81">
        <f>HLOOKUP(Q86,データについて!$J$11:$M$18,8,FALSE)</f>
        <v>1</v>
      </c>
      <c r="Y86" s="81">
        <f>HLOOKUP(R86,データについて!$J$12:$M$18,7,FALSE)</f>
        <v>3</v>
      </c>
      <c r="Z86" s="81">
        <f>HLOOKUP(I86,データについて!$J$3:$M$18,16,FALSE)</f>
        <v>1</v>
      </c>
      <c r="AA86" s="81">
        <f>IFERROR(HLOOKUP(J86,データについて!$J$4:$AH$19,16,FALSE),"")</f>
        <v>2</v>
      </c>
      <c r="AB86" s="81" t="str">
        <f>IFERROR(HLOOKUP(K86,データについて!$J$5:$AH$20,14,FALSE),"")</f>
        <v/>
      </c>
      <c r="AC86" s="81">
        <f>IF(X86=1,HLOOKUP(R86,データについて!$J$12:$M$18,7,FALSE),"*")</f>
        <v>3</v>
      </c>
      <c r="AD86" s="81" t="str">
        <f>IF(X86=2,HLOOKUP(R86,データについて!$J$12:$M$18,7,FALSE),"*")</f>
        <v>*</v>
      </c>
    </row>
    <row r="87" spans="1:30">
      <c r="A87" s="30">
        <v>5105</v>
      </c>
      <c r="B87" s="30" t="s">
        <v>4423</v>
      </c>
      <c r="C87" s="30" t="s">
        <v>4424</v>
      </c>
      <c r="D87" s="30" t="s">
        <v>106</v>
      </c>
      <c r="E87" s="30"/>
      <c r="F87" s="30" t="s">
        <v>107</v>
      </c>
      <c r="G87" s="30" t="s">
        <v>106</v>
      </c>
      <c r="H87" s="30"/>
      <c r="I87" s="30" t="s">
        <v>191</v>
      </c>
      <c r="J87" s="30"/>
      <c r="K87" s="30" t="s">
        <v>4342</v>
      </c>
      <c r="L87" s="30" t="s">
        <v>108</v>
      </c>
      <c r="M87" s="30" t="s">
        <v>109</v>
      </c>
      <c r="N87" s="30" t="s">
        <v>110</v>
      </c>
      <c r="O87" s="30" t="s">
        <v>115</v>
      </c>
      <c r="P87" s="30" t="s">
        <v>112</v>
      </c>
      <c r="Q87" s="30" t="s">
        <v>112</v>
      </c>
      <c r="R87" s="30" t="s">
        <v>183</v>
      </c>
      <c r="S87" s="81">
        <f>HLOOKUP(L87,データについて!$J$6:$M$18,13,FALSE)</f>
        <v>1</v>
      </c>
      <c r="T87" s="81">
        <f>HLOOKUP(M87,データについて!$J$7:$M$18,12,FALSE)</f>
        <v>2</v>
      </c>
      <c r="U87" s="81">
        <f>HLOOKUP(N87,データについて!$J$8:$M$18,11,FALSE)</f>
        <v>2</v>
      </c>
      <c r="V87" s="81">
        <f>HLOOKUP(O87,データについて!$J$9:$M$18,10,FALSE)</f>
        <v>1</v>
      </c>
      <c r="W87" s="81">
        <f>HLOOKUP(P87,データについて!$J$10:$M$18,9,FALSE)</f>
        <v>1</v>
      </c>
      <c r="X87" s="81">
        <f>HLOOKUP(Q87,データについて!$J$11:$M$18,8,FALSE)</f>
        <v>1</v>
      </c>
      <c r="Y87" s="81">
        <f>HLOOKUP(R87,データについて!$J$12:$M$18,7,FALSE)</f>
        <v>1</v>
      </c>
      <c r="Z87" s="81">
        <f>HLOOKUP(I87,データについて!$J$3:$M$18,16,FALSE)</f>
        <v>2</v>
      </c>
      <c r="AA87" s="81" t="str">
        <f>IFERROR(HLOOKUP(J87,データについて!$J$4:$AH$19,16,FALSE),"")</f>
        <v/>
      </c>
      <c r="AB87" s="81">
        <f>IFERROR(HLOOKUP(K87,データについて!$J$5:$AH$20,14,FALSE),"")</f>
        <v>1</v>
      </c>
      <c r="AC87" s="81">
        <f>IF(X87=1,HLOOKUP(R87,データについて!$J$12:$M$18,7,FALSE),"*")</f>
        <v>1</v>
      </c>
      <c r="AD87" s="81" t="str">
        <f>IF(X87=2,HLOOKUP(R87,データについて!$J$12:$M$18,7,FALSE),"*")</f>
        <v>*</v>
      </c>
    </row>
    <row r="88" spans="1:30">
      <c r="A88" s="30">
        <v>5104</v>
      </c>
      <c r="B88" s="30" t="s">
        <v>4425</v>
      </c>
      <c r="C88" s="30" t="s">
        <v>4426</v>
      </c>
      <c r="D88" s="30" t="s">
        <v>106</v>
      </c>
      <c r="E88" s="30"/>
      <c r="F88" s="30" t="s">
        <v>107</v>
      </c>
      <c r="G88" s="30" t="s">
        <v>106</v>
      </c>
      <c r="H88" s="30"/>
      <c r="I88" s="30" t="s">
        <v>192</v>
      </c>
      <c r="J88" s="30" t="s">
        <v>4412</v>
      </c>
      <c r="K88" s="30"/>
      <c r="L88" s="30" t="s">
        <v>117</v>
      </c>
      <c r="M88" s="30" t="s">
        <v>109</v>
      </c>
      <c r="N88" s="30" t="s">
        <v>110</v>
      </c>
      <c r="O88" s="30" t="s">
        <v>115</v>
      </c>
      <c r="P88" s="30" t="s">
        <v>112</v>
      </c>
      <c r="Q88" s="30" t="s">
        <v>118</v>
      </c>
      <c r="R88" s="30" t="s">
        <v>185</v>
      </c>
      <c r="S88" s="81">
        <f>HLOOKUP(L88,データについて!$J$6:$M$18,13,FALSE)</f>
        <v>2</v>
      </c>
      <c r="T88" s="81">
        <f>HLOOKUP(M88,データについて!$J$7:$M$18,12,FALSE)</f>
        <v>2</v>
      </c>
      <c r="U88" s="81">
        <f>HLOOKUP(N88,データについて!$J$8:$M$18,11,FALSE)</f>
        <v>2</v>
      </c>
      <c r="V88" s="81">
        <f>HLOOKUP(O88,データについて!$J$9:$M$18,10,FALSE)</f>
        <v>1</v>
      </c>
      <c r="W88" s="81">
        <f>HLOOKUP(P88,データについて!$J$10:$M$18,9,FALSE)</f>
        <v>1</v>
      </c>
      <c r="X88" s="81">
        <f>HLOOKUP(Q88,データについて!$J$11:$M$18,8,FALSE)</f>
        <v>2</v>
      </c>
      <c r="Y88" s="81">
        <f>HLOOKUP(R88,データについて!$J$12:$M$18,7,FALSE)</f>
        <v>2</v>
      </c>
      <c r="Z88" s="81">
        <f>HLOOKUP(I88,データについて!$J$3:$M$18,16,FALSE)</f>
        <v>1</v>
      </c>
      <c r="AA88" s="81">
        <f>IFERROR(HLOOKUP(J88,データについて!$J$4:$AH$19,16,FALSE),"")</f>
        <v>2</v>
      </c>
      <c r="AB88" s="81" t="str">
        <f>IFERROR(HLOOKUP(K88,データについて!$J$5:$AH$20,14,FALSE),"")</f>
        <v/>
      </c>
      <c r="AC88" s="81" t="str">
        <f>IF(X88=1,HLOOKUP(R88,データについて!$J$12:$M$18,7,FALSE),"*")</f>
        <v>*</v>
      </c>
      <c r="AD88" s="81">
        <f>IF(X88=2,HLOOKUP(R88,データについて!$J$12:$M$18,7,FALSE),"*")</f>
        <v>2</v>
      </c>
    </row>
    <row r="89" spans="1:30">
      <c r="A89" s="30">
        <v>5103</v>
      </c>
      <c r="B89" s="30" t="s">
        <v>4427</v>
      </c>
      <c r="C89" s="30" t="s">
        <v>4428</v>
      </c>
      <c r="D89" s="30" t="s">
        <v>106</v>
      </c>
      <c r="E89" s="30"/>
      <c r="F89" s="30" t="s">
        <v>107</v>
      </c>
      <c r="G89" s="30" t="s">
        <v>106</v>
      </c>
      <c r="H89" s="30"/>
      <c r="I89" s="30" t="s">
        <v>192</v>
      </c>
      <c r="J89" s="30" t="s">
        <v>4412</v>
      </c>
      <c r="K89" s="30"/>
      <c r="L89" s="30" t="s">
        <v>108</v>
      </c>
      <c r="M89" s="30" t="s">
        <v>113</v>
      </c>
      <c r="N89" s="30" t="s">
        <v>114</v>
      </c>
      <c r="O89" s="30" t="s">
        <v>116</v>
      </c>
      <c r="P89" s="30" t="s">
        <v>112</v>
      </c>
      <c r="Q89" s="30" t="s">
        <v>112</v>
      </c>
      <c r="R89" s="30" t="s">
        <v>189</v>
      </c>
      <c r="S89" s="81">
        <f>HLOOKUP(L89,データについて!$J$6:$M$18,13,FALSE)</f>
        <v>1</v>
      </c>
      <c r="T89" s="81">
        <f>HLOOKUP(M89,データについて!$J$7:$M$18,12,FALSE)</f>
        <v>1</v>
      </c>
      <c r="U89" s="81">
        <f>HLOOKUP(N89,データについて!$J$8:$M$18,11,FALSE)</f>
        <v>1</v>
      </c>
      <c r="V89" s="81">
        <f>HLOOKUP(O89,データについて!$J$9:$M$18,10,FALSE)</f>
        <v>2</v>
      </c>
      <c r="W89" s="81">
        <f>HLOOKUP(P89,データについて!$J$10:$M$18,9,FALSE)</f>
        <v>1</v>
      </c>
      <c r="X89" s="81">
        <f>HLOOKUP(Q89,データについて!$J$11:$M$18,8,FALSE)</f>
        <v>1</v>
      </c>
      <c r="Y89" s="81">
        <f>HLOOKUP(R89,データについて!$J$12:$M$18,7,FALSE)</f>
        <v>4</v>
      </c>
      <c r="Z89" s="81">
        <f>HLOOKUP(I89,データについて!$J$3:$M$18,16,FALSE)</f>
        <v>1</v>
      </c>
      <c r="AA89" s="81">
        <f>IFERROR(HLOOKUP(J89,データについて!$J$4:$AH$19,16,FALSE),"")</f>
        <v>2</v>
      </c>
      <c r="AB89" s="81" t="str">
        <f>IFERROR(HLOOKUP(K89,データについて!$J$5:$AH$20,14,FALSE),"")</f>
        <v/>
      </c>
      <c r="AC89" s="81">
        <f>IF(X89=1,HLOOKUP(R89,データについて!$J$12:$M$18,7,FALSE),"*")</f>
        <v>4</v>
      </c>
      <c r="AD89" s="81" t="str">
        <f>IF(X89=2,HLOOKUP(R89,データについて!$J$12:$M$18,7,FALSE),"*")</f>
        <v>*</v>
      </c>
    </row>
    <row r="90" spans="1:30">
      <c r="A90" s="30">
        <v>5102</v>
      </c>
      <c r="B90" s="30" t="s">
        <v>4429</v>
      </c>
      <c r="C90" s="30" t="s">
        <v>4430</v>
      </c>
      <c r="D90" s="30" t="s">
        <v>106</v>
      </c>
      <c r="E90" s="30"/>
      <c r="F90" s="30" t="s">
        <v>107</v>
      </c>
      <c r="G90" s="30" t="s">
        <v>106</v>
      </c>
      <c r="H90" s="30"/>
      <c r="I90" s="30" t="s">
        <v>191</v>
      </c>
      <c r="J90" s="30"/>
      <c r="K90" s="30" t="s">
        <v>4342</v>
      </c>
      <c r="L90" s="30" t="s">
        <v>108</v>
      </c>
      <c r="M90" s="30" t="s">
        <v>113</v>
      </c>
      <c r="N90" s="30" t="s">
        <v>110</v>
      </c>
      <c r="O90" s="30" t="s">
        <v>115</v>
      </c>
      <c r="P90" s="30" t="s">
        <v>118</v>
      </c>
      <c r="Q90" s="30" t="s">
        <v>118</v>
      </c>
      <c r="R90" s="30" t="s">
        <v>187</v>
      </c>
      <c r="S90" s="81">
        <f>HLOOKUP(L90,データについて!$J$6:$M$18,13,FALSE)</f>
        <v>1</v>
      </c>
      <c r="T90" s="81">
        <f>HLOOKUP(M90,データについて!$J$7:$M$18,12,FALSE)</f>
        <v>1</v>
      </c>
      <c r="U90" s="81">
        <f>HLOOKUP(N90,データについて!$J$8:$M$18,11,FALSE)</f>
        <v>2</v>
      </c>
      <c r="V90" s="81">
        <f>HLOOKUP(O90,データについて!$J$9:$M$18,10,FALSE)</f>
        <v>1</v>
      </c>
      <c r="W90" s="81">
        <f>HLOOKUP(P90,データについて!$J$10:$M$18,9,FALSE)</f>
        <v>2</v>
      </c>
      <c r="X90" s="81">
        <f>HLOOKUP(Q90,データについて!$J$11:$M$18,8,FALSE)</f>
        <v>2</v>
      </c>
      <c r="Y90" s="81">
        <f>HLOOKUP(R90,データについて!$J$12:$M$18,7,FALSE)</f>
        <v>3</v>
      </c>
      <c r="Z90" s="81">
        <f>HLOOKUP(I90,データについて!$J$3:$M$18,16,FALSE)</f>
        <v>2</v>
      </c>
      <c r="AA90" s="81" t="str">
        <f>IFERROR(HLOOKUP(J90,データについて!$J$4:$AH$19,16,FALSE),"")</f>
        <v/>
      </c>
      <c r="AB90" s="81">
        <f>IFERROR(HLOOKUP(K90,データについて!$J$5:$AH$20,14,FALSE),"")</f>
        <v>1</v>
      </c>
      <c r="AC90" s="81" t="str">
        <f>IF(X90=1,HLOOKUP(R90,データについて!$J$12:$M$18,7,FALSE),"*")</f>
        <v>*</v>
      </c>
      <c r="AD90" s="81">
        <f>IF(X90=2,HLOOKUP(R90,データについて!$J$12:$M$18,7,FALSE),"*")</f>
        <v>3</v>
      </c>
    </row>
    <row r="91" spans="1:30">
      <c r="A91" s="30">
        <v>5101</v>
      </c>
      <c r="B91" s="30" t="s">
        <v>4431</v>
      </c>
      <c r="C91" s="30" t="s">
        <v>4430</v>
      </c>
      <c r="D91" s="30" t="s">
        <v>106</v>
      </c>
      <c r="E91" s="30"/>
      <c r="F91" s="30" t="s">
        <v>107</v>
      </c>
      <c r="G91" s="30" t="s">
        <v>106</v>
      </c>
      <c r="H91" s="30"/>
      <c r="I91" s="30" t="s">
        <v>192</v>
      </c>
      <c r="J91" s="30" t="s">
        <v>4412</v>
      </c>
      <c r="K91" s="30"/>
      <c r="L91" s="30" t="s">
        <v>108</v>
      </c>
      <c r="M91" s="30" t="s">
        <v>113</v>
      </c>
      <c r="N91" s="30" t="s">
        <v>110</v>
      </c>
      <c r="O91" s="30" t="s">
        <v>115</v>
      </c>
      <c r="P91" s="30" t="s">
        <v>112</v>
      </c>
      <c r="Q91" s="30" t="s">
        <v>112</v>
      </c>
      <c r="R91" s="30" t="s">
        <v>183</v>
      </c>
      <c r="S91" s="81">
        <f>HLOOKUP(L91,データについて!$J$6:$M$18,13,FALSE)</f>
        <v>1</v>
      </c>
      <c r="T91" s="81">
        <f>HLOOKUP(M91,データについて!$J$7:$M$18,12,FALSE)</f>
        <v>1</v>
      </c>
      <c r="U91" s="81">
        <f>HLOOKUP(N91,データについて!$J$8:$M$18,11,FALSE)</f>
        <v>2</v>
      </c>
      <c r="V91" s="81">
        <f>HLOOKUP(O91,データについて!$J$9:$M$18,10,FALSE)</f>
        <v>1</v>
      </c>
      <c r="W91" s="81">
        <f>HLOOKUP(P91,データについて!$J$10:$M$18,9,FALSE)</f>
        <v>1</v>
      </c>
      <c r="X91" s="81">
        <f>HLOOKUP(Q91,データについて!$J$11:$M$18,8,FALSE)</f>
        <v>1</v>
      </c>
      <c r="Y91" s="81">
        <f>HLOOKUP(R91,データについて!$J$12:$M$18,7,FALSE)</f>
        <v>1</v>
      </c>
      <c r="Z91" s="81">
        <f>HLOOKUP(I91,データについて!$J$3:$M$18,16,FALSE)</f>
        <v>1</v>
      </c>
      <c r="AA91" s="81">
        <f>IFERROR(HLOOKUP(J91,データについて!$J$4:$AH$19,16,FALSE),"")</f>
        <v>2</v>
      </c>
      <c r="AB91" s="81" t="str">
        <f>IFERROR(HLOOKUP(K91,データについて!$J$5:$AH$20,14,FALSE),"")</f>
        <v/>
      </c>
      <c r="AC91" s="81">
        <f>IF(X91=1,HLOOKUP(R91,データについて!$J$12:$M$18,7,FALSE),"*")</f>
        <v>1</v>
      </c>
      <c r="AD91" s="81" t="str">
        <f>IF(X91=2,HLOOKUP(R91,データについて!$J$12:$M$18,7,FALSE),"*")</f>
        <v>*</v>
      </c>
    </row>
    <row r="92" spans="1:30">
      <c r="A92" s="30">
        <v>5100</v>
      </c>
      <c r="B92" s="30" t="s">
        <v>4432</v>
      </c>
      <c r="C92" s="30" t="s">
        <v>4433</v>
      </c>
      <c r="D92" s="30" t="s">
        <v>106</v>
      </c>
      <c r="E92" s="30"/>
      <c r="F92" s="30" t="s">
        <v>107</v>
      </c>
      <c r="G92" s="30" t="s">
        <v>106</v>
      </c>
      <c r="H92" s="30"/>
      <c r="I92" s="30" t="s">
        <v>192</v>
      </c>
      <c r="J92" s="30" t="s">
        <v>4412</v>
      </c>
      <c r="K92" s="30"/>
      <c r="L92" s="30" t="s">
        <v>108</v>
      </c>
      <c r="M92" s="30" t="s">
        <v>113</v>
      </c>
      <c r="N92" s="30" t="s">
        <v>114</v>
      </c>
      <c r="O92" s="30" t="s">
        <v>111</v>
      </c>
      <c r="P92" s="30" t="s">
        <v>112</v>
      </c>
      <c r="Q92" s="30" t="s">
        <v>118</v>
      </c>
      <c r="R92" s="30" t="s">
        <v>183</v>
      </c>
      <c r="S92" s="81">
        <f>HLOOKUP(L92,データについて!$J$6:$M$18,13,FALSE)</f>
        <v>1</v>
      </c>
      <c r="T92" s="81">
        <f>HLOOKUP(M92,データについて!$J$7:$M$18,12,FALSE)</f>
        <v>1</v>
      </c>
      <c r="U92" s="81">
        <f>HLOOKUP(N92,データについて!$J$8:$M$18,11,FALSE)</f>
        <v>1</v>
      </c>
      <c r="V92" s="81">
        <f>HLOOKUP(O92,データについて!$J$9:$M$18,10,FALSE)</f>
        <v>3</v>
      </c>
      <c r="W92" s="81">
        <f>HLOOKUP(P92,データについて!$J$10:$M$18,9,FALSE)</f>
        <v>1</v>
      </c>
      <c r="X92" s="81">
        <f>HLOOKUP(Q92,データについて!$J$11:$M$18,8,FALSE)</f>
        <v>2</v>
      </c>
      <c r="Y92" s="81">
        <f>HLOOKUP(R92,データについて!$J$12:$M$18,7,FALSE)</f>
        <v>1</v>
      </c>
      <c r="Z92" s="81">
        <f>HLOOKUP(I92,データについて!$J$3:$M$18,16,FALSE)</f>
        <v>1</v>
      </c>
      <c r="AA92" s="81">
        <f>IFERROR(HLOOKUP(J92,データについて!$J$4:$AH$19,16,FALSE),"")</f>
        <v>2</v>
      </c>
      <c r="AB92" s="81" t="str">
        <f>IFERROR(HLOOKUP(K92,データについて!$J$5:$AH$20,14,FALSE),"")</f>
        <v/>
      </c>
      <c r="AC92" s="81" t="str">
        <f>IF(X92=1,HLOOKUP(R92,データについて!$J$12:$M$18,7,FALSE),"*")</f>
        <v>*</v>
      </c>
      <c r="AD92" s="81">
        <f>IF(X92=2,HLOOKUP(R92,データについて!$J$12:$M$18,7,FALSE),"*")</f>
        <v>1</v>
      </c>
    </row>
    <row r="93" spans="1:30">
      <c r="A93" s="30">
        <v>5099</v>
      </c>
      <c r="B93" s="30" t="s">
        <v>4434</v>
      </c>
      <c r="C93" s="30" t="s">
        <v>4435</v>
      </c>
      <c r="D93" s="30" t="s">
        <v>106</v>
      </c>
      <c r="E93" s="30"/>
      <c r="F93" s="30" t="s">
        <v>107</v>
      </c>
      <c r="G93" s="30" t="s">
        <v>106</v>
      </c>
      <c r="H93" s="30"/>
      <c r="I93" s="30" t="s">
        <v>192</v>
      </c>
      <c r="J93" s="30" t="s">
        <v>4412</v>
      </c>
      <c r="K93" s="30"/>
      <c r="L93" s="30" t="s">
        <v>117</v>
      </c>
      <c r="M93" s="30" t="s">
        <v>113</v>
      </c>
      <c r="N93" s="30" t="s">
        <v>114</v>
      </c>
      <c r="O93" s="30" t="s">
        <v>115</v>
      </c>
      <c r="P93" s="30" t="s">
        <v>112</v>
      </c>
      <c r="Q93" s="30" t="s">
        <v>112</v>
      </c>
      <c r="R93" s="30" t="s">
        <v>185</v>
      </c>
      <c r="S93" s="81">
        <f>HLOOKUP(L93,データについて!$J$6:$M$18,13,FALSE)</f>
        <v>2</v>
      </c>
      <c r="T93" s="81">
        <f>HLOOKUP(M93,データについて!$J$7:$M$18,12,FALSE)</f>
        <v>1</v>
      </c>
      <c r="U93" s="81">
        <f>HLOOKUP(N93,データについて!$J$8:$M$18,11,FALSE)</f>
        <v>1</v>
      </c>
      <c r="V93" s="81">
        <f>HLOOKUP(O93,データについて!$J$9:$M$18,10,FALSE)</f>
        <v>1</v>
      </c>
      <c r="W93" s="81">
        <f>HLOOKUP(P93,データについて!$J$10:$M$18,9,FALSE)</f>
        <v>1</v>
      </c>
      <c r="X93" s="81">
        <f>HLOOKUP(Q93,データについて!$J$11:$M$18,8,FALSE)</f>
        <v>1</v>
      </c>
      <c r="Y93" s="81">
        <f>HLOOKUP(R93,データについて!$J$12:$M$18,7,FALSE)</f>
        <v>2</v>
      </c>
      <c r="Z93" s="81">
        <f>HLOOKUP(I93,データについて!$J$3:$M$18,16,FALSE)</f>
        <v>1</v>
      </c>
      <c r="AA93" s="81">
        <f>IFERROR(HLOOKUP(J93,データについて!$J$4:$AH$19,16,FALSE),"")</f>
        <v>2</v>
      </c>
      <c r="AB93" s="81" t="str">
        <f>IFERROR(HLOOKUP(K93,データについて!$J$5:$AH$20,14,FALSE),"")</f>
        <v/>
      </c>
      <c r="AC93" s="81">
        <f>IF(X93=1,HLOOKUP(R93,データについて!$J$12:$M$18,7,FALSE),"*")</f>
        <v>2</v>
      </c>
      <c r="AD93" s="81" t="str">
        <f>IF(X93=2,HLOOKUP(R93,データについて!$J$12:$M$18,7,FALSE),"*")</f>
        <v>*</v>
      </c>
    </row>
    <row r="94" spans="1:30">
      <c r="A94" s="30">
        <v>5098</v>
      </c>
      <c r="B94" s="30" t="s">
        <v>4436</v>
      </c>
      <c r="C94" s="30" t="s">
        <v>4437</v>
      </c>
      <c r="D94" s="30" t="s">
        <v>106</v>
      </c>
      <c r="E94" s="30"/>
      <c r="F94" s="30" t="s">
        <v>107</v>
      </c>
      <c r="G94" s="30" t="s">
        <v>106</v>
      </c>
      <c r="H94" s="30"/>
      <c r="I94" s="30" t="s">
        <v>192</v>
      </c>
      <c r="J94" s="30" t="s">
        <v>4412</v>
      </c>
      <c r="K94" s="30"/>
      <c r="L94" s="30" t="s">
        <v>117</v>
      </c>
      <c r="M94" s="30" t="s">
        <v>113</v>
      </c>
      <c r="N94" s="30" t="s">
        <v>110</v>
      </c>
      <c r="O94" s="30" t="s">
        <v>115</v>
      </c>
      <c r="P94" s="30" t="s">
        <v>112</v>
      </c>
      <c r="Q94" s="30" t="s">
        <v>112</v>
      </c>
      <c r="R94" s="30" t="s">
        <v>185</v>
      </c>
      <c r="S94" s="81">
        <f>HLOOKUP(L94,データについて!$J$6:$M$18,13,FALSE)</f>
        <v>2</v>
      </c>
      <c r="T94" s="81">
        <f>HLOOKUP(M94,データについて!$J$7:$M$18,12,FALSE)</f>
        <v>1</v>
      </c>
      <c r="U94" s="81">
        <f>HLOOKUP(N94,データについて!$J$8:$M$18,11,FALSE)</f>
        <v>2</v>
      </c>
      <c r="V94" s="81">
        <f>HLOOKUP(O94,データについて!$J$9:$M$18,10,FALSE)</f>
        <v>1</v>
      </c>
      <c r="W94" s="81">
        <f>HLOOKUP(P94,データについて!$J$10:$M$18,9,FALSE)</f>
        <v>1</v>
      </c>
      <c r="X94" s="81">
        <f>HLOOKUP(Q94,データについて!$J$11:$M$18,8,FALSE)</f>
        <v>1</v>
      </c>
      <c r="Y94" s="81">
        <f>HLOOKUP(R94,データについて!$J$12:$M$18,7,FALSE)</f>
        <v>2</v>
      </c>
      <c r="Z94" s="81">
        <f>HLOOKUP(I94,データについて!$J$3:$M$18,16,FALSE)</f>
        <v>1</v>
      </c>
      <c r="AA94" s="81">
        <f>IFERROR(HLOOKUP(J94,データについて!$J$4:$AH$19,16,FALSE),"")</f>
        <v>2</v>
      </c>
      <c r="AB94" s="81" t="str">
        <f>IFERROR(HLOOKUP(K94,データについて!$J$5:$AH$20,14,FALSE),"")</f>
        <v/>
      </c>
      <c r="AC94" s="81">
        <f>IF(X94=1,HLOOKUP(R94,データについて!$J$12:$M$18,7,FALSE),"*")</f>
        <v>2</v>
      </c>
      <c r="AD94" s="81" t="str">
        <f>IF(X94=2,HLOOKUP(R94,データについて!$J$12:$M$18,7,FALSE),"*")</f>
        <v>*</v>
      </c>
    </row>
    <row r="95" spans="1:30">
      <c r="A95" s="30">
        <v>5097</v>
      </c>
      <c r="B95" s="30" t="s">
        <v>4438</v>
      </c>
      <c r="C95" s="30" t="s">
        <v>4439</v>
      </c>
      <c r="D95" s="30" t="s">
        <v>106</v>
      </c>
      <c r="E95" s="30"/>
      <c r="F95" s="30" t="s">
        <v>107</v>
      </c>
      <c r="G95" s="30" t="s">
        <v>106</v>
      </c>
      <c r="H95" s="30"/>
      <c r="I95" s="30" t="s">
        <v>192</v>
      </c>
      <c r="J95" s="30" t="s">
        <v>4412</v>
      </c>
      <c r="K95" s="30"/>
      <c r="L95" s="30" t="s">
        <v>108</v>
      </c>
      <c r="M95" s="30" t="s">
        <v>113</v>
      </c>
      <c r="N95" s="30" t="s">
        <v>114</v>
      </c>
      <c r="O95" s="30" t="s">
        <v>115</v>
      </c>
      <c r="P95" s="30" t="s">
        <v>112</v>
      </c>
      <c r="Q95" s="30" t="s">
        <v>118</v>
      </c>
      <c r="R95" s="30" t="s">
        <v>183</v>
      </c>
      <c r="S95" s="81">
        <f>HLOOKUP(L95,データについて!$J$6:$M$18,13,FALSE)</f>
        <v>1</v>
      </c>
      <c r="T95" s="81">
        <f>HLOOKUP(M95,データについて!$J$7:$M$18,12,FALSE)</f>
        <v>1</v>
      </c>
      <c r="U95" s="81">
        <f>HLOOKUP(N95,データについて!$J$8:$M$18,11,FALSE)</f>
        <v>1</v>
      </c>
      <c r="V95" s="81">
        <f>HLOOKUP(O95,データについて!$J$9:$M$18,10,FALSE)</f>
        <v>1</v>
      </c>
      <c r="W95" s="81">
        <f>HLOOKUP(P95,データについて!$J$10:$M$18,9,FALSE)</f>
        <v>1</v>
      </c>
      <c r="X95" s="81">
        <f>HLOOKUP(Q95,データについて!$J$11:$M$18,8,FALSE)</f>
        <v>2</v>
      </c>
      <c r="Y95" s="81">
        <f>HLOOKUP(R95,データについて!$J$12:$M$18,7,FALSE)</f>
        <v>1</v>
      </c>
      <c r="Z95" s="81">
        <f>HLOOKUP(I95,データについて!$J$3:$M$18,16,FALSE)</f>
        <v>1</v>
      </c>
      <c r="AA95" s="81">
        <f>IFERROR(HLOOKUP(J95,データについて!$J$4:$AH$19,16,FALSE),"")</f>
        <v>2</v>
      </c>
      <c r="AB95" s="81" t="str">
        <f>IFERROR(HLOOKUP(K95,データについて!$J$5:$AH$20,14,FALSE),"")</f>
        <v/>
      </c>
      <c r="AC95" s="81" t="str">
        <f>IF(X95=1,HLOOKUP(R95,データについて!$J$12:$M$18,7,FALSE),"*")</f>
        <v>*</v>
      </c>
      <c r="AD95" s="81">
        <f>IF(X95=2,HLOOKUP(R95,データについて!$J$12:$M$18,7,FALSE),"*")</f>
        <v>1</v>
      </c>
    </row>
    <row r="96" spans="1:30">
      <c r="A96" s="30">
        <v>5096</v>
      </c>
      <c r="B96" s="30" t="s">
        <v>4440</v>
      </c>
      <c r="C96" s="30" t="s">
        <v>4441</v>
      </c>
      <c r="D96" s="30" t="s">
        <v>106</v>
      </c>
      <c r="E96" s="30"/>
      <c r="F96" s="30" t="s">
        <v>107</v>
      </c>
      <c r="G96" s="30" t="s">
        <v>106</v>
      </c>
      <c r="H96" s="30"/>
      <c r="I96" s="30" t="s">
        <v>192</v>
      </c>
      <c r="J96" s="30" t="s">
        <v>4412</v>
      </c>
      <c r="K96" s="30"/>
      <c r="L96" s="30" t="s">
        <v>108</v>
      </c>
      <c r="M96" s="30" t="s">
        <v>109</v>
      </c>
      <c r="N96" s="30" t="s">
        <v>119</v>
      </c>
      <c r="O96" s="30" t="s">
        <v>115</v>
      </c>
      <c r="P96" s="30" t="s">
        <v>112</v>
      </c>
      <c r="Q96" s="30" t="s">
        <v>118</v>
      </c>
      <c r="R96" s="30" t="s">
        <v>189</v>
      </c>
      <c r="S96" s="81">
        <f>HLOOKUP(L96,データについて!$J$6:$M$18,13,FALSE)</f>
        <v>1</v>
      </c>
      <c r="T96" s="81">
        <f>HLOOKUP(M96,データについて!$J$7:$M$18,12,FALSE)</f>
        <v>2</v>
      </c>
      <c r="U96" s="81">
        <f>HLOOKUP(N96,データについて!$J$8:$M$18,11,FALSE)</f>
        <v>4</v>
      </c>
      <c r="V96" s="81">
        <f>HLOOKUP(O96,データについて!$J$9:$M$18,10,FALSE)</f>
        <v>1</v>
      </c>
      <c r="W96" s="81">
        <f>HLOOKUP(P96,データについて!$J$10:$M$18,9,FALSE)</f>
        <v>1</v>
      </c>
      <c r="X96" s="81">
        <f>HLOOKUP(Q96,データについて!$J$11:$M$18,8,FALSE)</f>
        <v>2</v>
      </c>
      <c r="Y96" s="81">
        <f>HLOOKUP(R96,データについて!$J$12:$M$18,7,FALSE)</f>
        <v>4</v>
      </c>
      <c r="Z96" s="81">
        <f>HLOOKUP(I96,データについて!$J$3:$M$18,16,FALSE)</f>
        <v>1</v>
      </c>
      <c r="AA96" s="81">
        <f>IFERROR(HLOOKUP(J96,データについて!$J$4:$AH$19,16,FALSE),"")</f>
        <v>2</v>
      </c>
      <c r="AB96" s="81" t="str">
        <f>IFERROR(HLOOKUP(K96,データについて!$J$5:$AH$20,14,FALSE),"")</f>
        <v/>
      </c>
      <c r="AC96" s="81" t="str">
        <f>IF(X96=1,HLOOKUP(R96,データについて!$J$12:$M$18,7,FALSE),"*")</f>
        <v>*</v>
      </c>
      <c r="AD96" s="81">
        <f>IF(X96=2,HLOOKUP(R96,データについて!$J$12:$M$18,7,FALSE),"*")</f>
        <v>4</v>
      </c>
    </row>
    <row r="97" spans="1:30">
      <c r="A97" s="30">
        <v>5095</v>
      </c>
      <c r="B97" s="30" t="s">
        <v>4442</v>
      </c>
      <c r="C97" s="30" t="s">
        <v>4443</v>
      </c>
      <c r="D97" s="30" t="s">
        <v>106</v>
      </c>
      <c r="E97" s="30"/>
      <c r="F97" s="30" t="s">
        <v>107</v>
      </c>
      <c r="G97" s="30" t="s">
        <v>106</v>
      </c>
      <c r="H97" s="30"/>
      <c r="I97" s="30" t="s">
        <v>192</v>
      </c>
      <c r="J97" s="30" t="s">
        <v>4412</v>
      </c>
      <c r="K97" s="30"/>
      <c r="L97" s="30" t="s">
        <v>108</v>
      </c>
      <c r="M97" s="30" t="s">
        <v>113</v>
      </c>
      <c r="N97" s="30" t="s">
        <v>114</v>
      </c>
      <c r="O97" s="30" t="s">
        <v>115</v>
      </c>
      <c r="P97" s="30" t="s">
        <v>112</v>
      </c>
      <c r="Q97" s="30" t="s">
        <v>118</v>
      </c>
      <c r="R97" s="30" t="s">
        <v>183</v>
      </c>
      <c r="S97" s="81">
        <f>HLOOKUP(L97,データについて!$J$6:$M$18,13,FALSE)</f>
        <v>1</v>
      </c>
      <c r="T97" s="81">
        <f>HLOOKUP(M97,データについて!$J$7:$M$18,12,FALSE)</f>
        <v>1</v>
      </c>
      <c r="U97" s="81">
        <f>HLOOKUP(N97,データについて!$J$8:$M$18,11,FALSE)</f>
        <v>1</v>
      </c>
      <c r="V97" s="81">
        <f>HLOOKUP(O97,データについて!$J$9:$M$18,10,FALSE)</f>
        <v>1</v>
      </c>
      <c r="W97" s="81">
        <f>HLOOKUP(P97,データについて!$J$10:$M$18,9,FALSE)</f>
        <v>1</v>
      </c>
      <c r="X97" s="81">
        <f>HLOOKUP(Q97,データについて!$J$11:$M$18,8,FALSE)</f>
        <v>2</v>
      </c>
      <c r="Y97" s="81">
        <f>HLOOKUP(R97,データについて!$J$12:$M$18,7,FALSE)</f>
        <v>1</v>
      </c>
      <c r="Z97" s="81">
        <f>HLOOKUP(I97,データについて!$J$3:$M$18,16,FALSE)</f>
        <v>1</v>
      </c>
      <c r="AA97" s="81">
        <f>IFERROR(HLOOKUP(J97,データについて!$J$4:$AH$19,16,FALSE),"")</f>
        <v>2</v>
      </c>
      <c r="AB97" s="81" t="str">
        <f>IFERROR(HLOOKUP(K97,データについて!$J$5:$AH$20,14,FALSE),"")</f>
        <v/>
      </c>
      <c r="AC97" s="81" t="str">
        <f>IF(X97=1,HLOOKUP(R97,データについて!$J$12:$M$18,7,FALSE),"*")</f>
        <v>*</v>
      </c>
      <c r="AD97" s="81">
        <f>IF(X97=2,HLOOKUP(R97,データについて!$J$12:$M$18,7,FALSE),"*")</f>
        <v>1</v>
      </c>
    </row>
    <row r="98" spans="1:30">
      <c r="A98" s="30">
        <v>5094</v>
      </c>
      <c r="B98" s="30" t="s">
        <v>4444</v>
      </c>
      <c r="C98" s="30" t="s">
        <v>4445</v>
      </c>
      <c r="D98" s="30" t="s">
        <v>106</v>
      </c>
      <c r="E98" s="30"/>
      <c r="F98" s="30" t="s">
        <v>107</v>
      </c>
      <c r="G98" s="30" t="s">
        <v>106</v>
      </c>
      <c r="H98" s="30"/>
      <c r="I98" s="30" t="s">
        <v>192</v>
      </c>
      <c r="J98" s="30" t="s">
        <v>4412</v>
      </c>
      <c r="K98" s="30"/>
      <c r="L98" s="30" t="s">
        <v>117</v>
      </c>
      <c r="M98" s="30" t="s">
        <v>109</v>
      </c>
      <c r="N98" s="30" t="s">
        <v>110</v>
      </c>
      <c r="O98" s="30" t="s">
        <v>115</v>
      </c>
      <c r="P98" s="30" t="s">
        <v>118</v>
      </c>
      <c r="Q98" s="30" t="s">
        <v>112</v>
      </c>
      <c r="R98" s="30" t="s">
        <v>189</v>
      </c>
      <c r="S98" s="81">
        <f>HLOOKUP(L98,データについて!$J$6:$M$18,13,FALSE)</f>
        <v>2</v>
      </c>
      <c r="T98" s="81">
        <f>HLOOKUP(M98,データについて!$J$7:$M$18,12,FALSE)</f>
        <v>2</v>
      </c>
      <c r="U98" s="81">
        <f>HLOOKUP(N98,データについて!$J$8:$M$18,11,FALSE)</f>
        <v>2</v>
      </c>
      <c r="V98" s="81">
        <f>HLOOKUP(O98,データについて!$J$9:$M$18,10,FALSE)</f>
        <v>1</v>
      </c>
      <c r="W98" s="81">
        <f>HLOOKUP(P98,データについて!$J$10:$M$18,9,FALSE)</f>
        <v>2</v>
      </c>
      <c r="X98" s="81">
        <f>HLOOKUP(Q98,データについて!$J$11:$M$18,8,FALSE)</f>
        <v>1</v>
      </c>
      <c r="Y98" s="81">
        <f>HLOOKUP(R98,データについて!$J$12:$M$18,7,FALSE)</f>
        <v>4</v>
      </c>
      <c r="Z98" s="81">
        <f>HLOOKUP(I98,データについて!$J$3:$M$18,16,FALSE)</f>
        <v>1</v>
      </c>
      <c r="AA98" s="81">
        <f>IFERROR(HLOOKUP(J98,データについて!$J$4:$AH$19,16,FALSE),"")</f>
        <v>2</v>
      </c>
      <c r="AB98" s="81" t="str">
        <f>IFERROR(HLOOKUP(K98,データについて!$J$5:$AH$20,14,FALSE),"")</f>
        <v/>
      </c>
      <c r="AC98" s="81">
        <f>IF(X98=1,HLOOKUP(R98,データについて!$J$12:$M$18,7,FALSE),"*")</f>
        <v>4</v>
      </c>
      <c r="AD98" s="81" t="str">
        <f>IF(X98=2,HLOOKUP(R98,データについて!$J$12:$M$18,7,FALSE),"*")</f>
        <v>*</v>
      </c>
    </row>
    <row r="99" spans="1:30">
      <c r="A99" s="30">
        <v>5093</v>
      </c>
      <c r="B99" s="30" t="s">
        <v>4446</v>
      </c>
      <c r="C99" s="30" t="s">
        <v>4447</v>
      </c>
      <c r="D99" s="30" t="s">
        <v>106</v>
      </c>
      <c r="E99" s="30"/>
      <c r="F99" s="30" t="s">
        <v>107</v>
      </c>
      <c r="G99" s="30" t="s">
        <v>106</v>
      </c>
      <c r="H99" s="30"/>
      <c r="I99" s="30" t="s">
        <v>192</v>
      </c>
      <c r="J99" s="30" t="s">
        <v>4412</v>
      </c>
      <c r="K99" s="30"/>
      <c r="L99" s="30" t="s">
        <v>108</v>
      </c>
      <c r="M99" s="30" t="s">
        <v>113</v>
      </c>
      <c r="N99" s="30" t="s">
        <v>114</v>
      </c>
      <c r="O99" s="30" t="s">
        <v>115</v>
      </c>
      <c r="P99" s="30" t="s">
        <v>112</v>
      </c>
      <c r="Q99" s="30" t="s">
        <v>112</v>
      </c>
      <c r="R99" s="30" t="s">
        <v>185</v>
      </c>
      <c r="S99" s="81">
        <f>HLOOKUP(L99,データについて!$J$6:$M$18,13,FALSE)</f>
        <v>1</v>
      </c>
      <c r="T99" s="81">
        <f>HLOOKUP(M99,データについて!$J$7:$M$18,12,FALSE)</f>
        <v>1</v>
      </c>
      <c r="U99" s="81">
        <f>HLOOKUP(N99,データについて!$J$8:$M$18,11,FALSE)</f>
        <v>1</v>
      </c>
      <c r="V99" s="81">
        <f>HLOOKUP(O99,データについて!$J$9:$M$18,10,FALSE)</f>
        <v>1</v>
      </c>
      <c r="W99" s="81">
        <f>HLOOKUP(P99,データについて!$J$10:$M$18,9,FALSE)</f>
        <v>1</v>
      </c>
      <c r="X99" s="81">
        <f>HLOOKUP(Q99,データについて!$J$11:$M$18,8,FALSE)</f>
        <v>1</v>
      </c>
      <c r="Y99" s="81">
        <f>HLOOKUP(R99,データについて!$J$12:$M$18,7,FALSE)</f>
        <v>2</v>
      </c>
      <c r="Z99" s="81">
        <f>HLOOKUP(I99,データについて!$J$3:$M$18,16,FALSE)</f>
        <v>1</v>
      </c>
      <c r="AA99" s="81">
        <f>IFERROR(HLOOKUP(J99,データについて!$J$4:$AH$19,16,FALSE),"")</f>
        <v>2</v>
      </c>
      <c r="AB99" s="81" t="str">
        <f>IFERROR(HLOOKUP(K99,データについて!$J$5:$AH$20,14,FALSE),"")</f>
        <v/>
      </c>
      <c r="AC99" s="81">
        <f>IF(X99=1,HLOOKUP(R99,データについて!$J$12:$M$18,7,FALSE),"*")</f>
        <v>2</v>
      </c>
      <c r="AD99" s="81" t="str">
        <f>IF(X99=2,HLOOKUP(R99,データについて!$J$12:$M$18,7,FALSE),"*")</f>
        <v>*</v>
      </c>
    </row>
    <row r="100" spans="1:30">
      <c r="A100" s="30">
        <v>5092</v>
      </c>
      <c r="B100" s="30" t="s">
        <v>4448</v>
      </c>
      <c r="C100" s="30" t="s">
        <v>4449</v>
      </c>
      <c r="D100" s="30" t="s">
        <v>106</v>
      </c>
      <c r="E100" s="30"/>
      <c r="F100" s="30" t="s">
        <v>107</v>
      </c>
      <c r="G100" s="30" t="s">
        <v>106</v>
      </c>
      <c r="H100" s="30"/>
      <c r="I100" s="30" t="s">
        <v>192</v>
      </c>
      <c r="J100" s="30" t="s">
        <v>4412</v>
      </c>
      <c r="K100" s="30"/>
      <c r="L100" s="30" t="s">
        <v>108</v>
      </c>
      <c r="M100" s="30" t="s">
        <v>113</v>
      </c>
      <c r="N100" s="30" t="s">
        <v>114</v>
      </c>
      <c r="O100" s="30" t="s">
        <v>111</v>
      </c>
      <c r="P100" s="30" t="s">
        <v>112</v>
      </c>
      <c r="Q100" s="30" t="s">
        <v>112</v>
      </c>
      <c r="R100" s="30" t="s">
        <v>185</v>
      </c>
      <c r="S100" s="81">
        <f>HLOOKUP(L100,データについて!$J$6:$M$18,13,FALSE)</f>
        <v>1</v>
      </c>
      <c r="T100" s="81">
        <f>HLOOKUP(M100,データについて!$J$7:$M$18,12,FALSE)</f>
        <v>1</v>
      </c>
      <c r="U100" s="81">
        <f>HLOOKUP(N100,データについて!$J$8:$M$18,11,FALSE)</f>
        <v>1</v>
      </c>
      <c r="V100" s="81">
        <f>HLOOKUP(O100,データについて!$J$9:$M$18,10,FALSE)</f>
        <v>3</v>
      </c>
      <c r="W100" s="81">
        <f>HLOOKUP(P100,データについて!$J$10:$M$18,9,FALSE)</f>
        <v>1</v>
      </c>
      <c r="X100" s="81">
        <f>HLOOKUP(Q100,データについて!$J$11:$M$18,8,FALSE)</f>
        <v>1</v>
      </c>
      <c r="Y100" s="81">
        <f>HLOOKUP(R100,データについて!$J$12:$M$18,7,FALSE)</f>
        <v>2</v>
      </c>
      <c r="Z100" s="81">
        <f>HLOOKUP(I100,データについて!$J$3:$M$18,16,FALSE)</f>
        <v>1</v>
      </c>
      <c r="AA100" s="81">
        <f>IFERROR(HLOOKUP(J100,データについて!$J$4:$AH$19,16,FALSE),"")</f>
        <v>2</v>
      </c>
      <c r="AB100" s="81" t="str">
        <f>IFERROR(HLOOKUP(K100,データについて!$J$5:$AH$20,14,FALSE),"")</f>
        <v/>
      </c>
      <c r="AC100" s="81">
        <f>IF(X100=1,HLOOKUP(R100,データについて!$J$12:$M$18,7,FALSE),"*")</f>
        <v>2</v>
      </c>
      <c r="AD100" s="81" t="str">
        <f>IF(X100=2,HLOOKUP(R100,データについて!$J$12:$M$18,7,FALSE),"*")</f>
        <v>*</v>
      </c>
    </row>
    <row r="101" spans="1:30">
      <c r="A101" s="30">
        <v>5091</v>
      </c>
      <c r="B101" s="30" t="s">
        <v>4450</v>
      </c>
      <c r="C101" s="30" t="s">
        <v>4451</v>
      </c>
      <c r="D101" s="30" t="s">
        <v>106</v>
      </c>
      <c r="E101" s="30"/>
      <c r="F101" s="30" t="s">
        <v>107</v>
      </c>
      <c r="G101" s="30" t="s">
        <v>106</v>
      </c>
      <c r="H101" s="30"/>
      <c r="I101" s="30" t="s">
        <v>192</v>
      </c>
      <c r="J101" s="30" t="s">
        <v>4412</v>
      </c>
      <c r="K101" s="30"/>
      <c r="L101" s="30" t="s">
        <v>117</v>
      </c>
      <c r="M101" s="30" t="s">
        <v>113</v>
      </c>
      <c r="N101" s="30" t="s">
        <v>122</v>
      </c>
      <c r="O101" s="30" t="s">
        <v>115</v>
      </c>
      <c r="P101" s="30" t="s">
        <v>112</v>
      </c>
      <c r="Q101" s="30" t="s">
        <v>112</v>
      </c>
      <c r="R101" s="30" t="s">
        <v>183</v>
      </c>
      <c r="S101" s="81">
        <f>HLOOKUP(L101,データについて!$J$6:$M$18,13,FALSE)</f>
        <v>2</v>
      </c>
      <c r="T101" s="81">
        <f>HLOOKUP(M101,データについて!$J$7:$M$18,12,FALSE)</f>
        <v>1</v>
      </c>
      <c r="U101" s="81">
        <f>HLOOKUP(N101,データについて!$J$8:$M$18,11,FALSE)</f>
        <v>3</v>
      </c>
      <c r="V101" s="81">
        <f>HLOOKUP(O101,データについて!$J$9:$M$18,10,FALSE)</f>
        <v>1</v>
      </c>
      <c r="W101" s="81">
        <f>HLOOKUP(P101,データについて!$J$10:$M$18,9,FALSE)</f>
        <v>1</v>
      </c>
      <c r="X101" s="81">
        <f>HLOOKUP(Q101,データについて!$J$11:$M$18,8,FALSE)</f>
        <v>1</v>
      </c>
      <c r="Y101" s="81">
        <f>HLOOKUP(R101,データについて!$J$12:$M$18,7,FALSE)</f>
        <v>1</v>
      </c>
      <c r="Z101" s="81">
        <f>HLOOKUP(I101,データについて!$J$3:$M$18,16,FALSE)</f>
        <v>1</v>
      </c>
      <c r="AA101" s="81">
        <f>IFERROR(HLOOKUP(J101,データについて!$J$4:$AH$19,16,FALSE),"")</f>
        <v>2</v>
      </c>
      <c r="AB101" s="81" t="str">
        <f>IFERROR(HLOOKUP(K101,データについて!$J$5:$AH$20,14,FALSE),"")</f>
        <v/>
      </c>
      <c r="AC101" s="81">
        <f>IF(X101=1,HLOOKUP(R101,データについて!$J$12:$M$18,7,FALSE),"*")</f>
        <v>1</v>
      </c>
      <c r="AD101" s="81" t="str">
        <f>IF(X101=2,HLOOKUP(R101,データについて!$J$12:$M$18,7,FALSE),"*")</f>
        <v>*</v>
      </c>
    </row>
    <row r="102" spans="1:30">
      <c r="A102" s="30">
        <v>5090</v>
      </c>
      <c r="B102" s="30" t="s">
        <v>4452</v>
      </c>
      <c r="C102" s="30" t="s">
        <v>4451</v>
      </c>
      <c r="D102" s="30" t="s">
        <v>106</v>
      </c>
      <c r="E102" s="30"/>
      <c r="F102" s="30" t="s">
        <v>107</v>
      </c>
      <c r="G102" s="30" t="s">
        <v>106</v>
      </c>
      <c r="H102" s="30"/>
      <c r="I102" s="30" t="s">
        <v>191</v>
      </c>
      <c r="J102" s="30"/>
      <c r="K102" s="30" t="s">
        <v>4342</v>
      </c>
      <c r="L102" s="30" t="s">
        <v>108</v>
      </c>
      <c r="M102" s="30" t="s">
        <v>121</v>
      </c>
      <c r="N102" s="30" t="s">
        <v>119</v>
      </c>
      <c r="O102" s="30" t="s">
        <v>115</v>
      </c>
      <c r="P102" s="30" t="s">
        <v>112</v>
      </c>
      <c r="Q102" s="30" t="s">
        <v>112</v>
      </c>
      <c r="R102" s="30" t="s">
        <v>183</v>
      </c>
      <c r="S102" s="81">
        <f>HLOOKUP(L102,データについて!$J$6:$M$18,13,FALSE)</f>
        <v>1</v>
      </c>
      <c r="T102" s="81">
        <f>HLOOKUP(M102,データについて!$J$7:$M$18,12,FALSE)</f>
        <v>4</v>
      </c>
      <c r="U102" s="81">
        <f>HLOOKUP(N102,データについて!$J$8:$M$18,11,FALSE)</f>
        <v>4</v>
      </c>
      <c r="V102" s="81">
        <f>HLOOKUP(O102,データについて!$J$9:$M$18,10,FALSE)</f>
        <v>1</v>
      </c>
      <c r="W102" s="81">
        <f>HLOOKUP(P102,データについて!$J$10:$M$18,9,FALSE)</f>
        <v>1</v>
      </c>
      <c r="X102" s="81">
        <f>HLOOKUP(Q102,データについて!$J$11:$M$18,8,FALSE)</f>
        <v>1</v>
      </c>
      <c r="Y102" s="81">
        <f>HLOOKUP(R102,データについて!$J$12:$M$18,7,FALSE)</f>
        <v>1</v>
      </c>
      <c r="Z102" s="81">
        <f>HLOOKUP(I102,データについて!$J$3:$M$18,16,FALSE)</f>
        <v>2</v>
      </c>
      <c r="AA102" s="81" t="str">
        <f>IFERROR(HLOOKUP(J102,データについて!$J$4:$AH$19,16,FALSE),"")</f>
        <v/>
      </c>
      <c r="AB102" s="81">
        <f>IFERROR(HLOOKUP(K102,データについて!$J$5:$AH$20,14,FALSE),"")</f>
        <v>1</v>
      </c>
      <c r="AC102" s="81">
        <f>IF(X102=1,HLOOKUP(R102,データについて!$J$12:$M$18,7,FALSE),"*")</f>
        <v>1</v>
      </c>
      <c r="AD102" s="81" t="str">
        <f>IF(X102=2,HLOOKUP(R102,データについて!$J$12:$M$18,7,FALSE),"*")</f>
        <v>*</v>
      </c>
    </row>
    <row r="103" spans="1:30">
      <c r="A103" s="30">
        <v>5089</v>
      </c>
      <c r="B103" s="30" t="s">
        <v>4453</v>
      </c>
      <c r="C103" s="30" t="s">
        <v>4454</v>
      </c>
      <c r="D103" s="30" t="s">
        <v>106</v>
      </c>
      <c r="E103" s="30"/>
      <c r="F103" s="30" t="s">
        <v>107</v>
      </c>
      <c r="G103" s="30" t="s">
        <v>106</v>
      </c>
      <c r="H103" s="30"/>
      <c r="I103" s="30" t="s">
        <v>192</v>
      </c>
      <c r="J103" s="30" t="s">
        <v>4412</v>
      </c>
      <c r="K103" s="30"/>
      <c r="L103" s="30" t="s">
        <v>108</v>
      </c>
      <c r="M103" s="30" t="s">
        <v>113</v>
      </c>
      <c r="N103" s="30" t="s">
        <v>110</v>
      </c>
      <c r="O103" s="30" t="s">
        <v>115</v>
      </c>
      <c r="P103" s="30" t="s">
        <v>112</v>
      </c>
      <c r="Q103" s="30" t="s">
        <v>112</v>
      </c>
      <c r="R103" s="30" t="s">
        <v>183</v>
      </c>
      <c r="S103" s="81">
        <f>HLOOKUP(L103,データについて!$J$6:$M$18,13,FALSE)</f>
        <v>1</v>
      </c>
      <c r="T103" s="81">
        <f>HLOOKUP(M103,データについて!$J$7:$M$18,12,FALSE)</f>
        <v>1</v>
      </c>
      <c r="U103" s="81">
        <f>HLOOKUP(N103,データについて!$J$8:$M$18,11,FALSE)</f>
        <v>2</v>
      </c>
      <c r="V103" s="81">
        <f>HLOOKUP(O103,データについて!$J$9:$M$18,10,FALSE)</f>
        <v>1</v>
      </c>
      <c r="W103" s="81">
        <f>HLOOKUP(P103,データについて!$J$10:$M$18,9,FALSE)</f>
        <v>1</v>
      </c>
      <c r="X103" s="81">
        <f>HLOOKUP(Q103,データについて!$J$11:$M$18,8,FALSE)</f>
        <v>1</v>
      </c>
      <c r="Y103" s="81">
        <f>HLOOKUP(R103,データについて!$J$12:$M$18,7,FALSE)</f>
        <v>1</v>
      </c>
      <c r="Z103" s="81">
        <f>HLOOKUP(I103,データについて!$J$3:$M$18,16,FALSE)</f>
        <v>1</v>
      </c>
      <c r="AA103" s="81">
        <f>IFERROR(HLOOKUP(J103,データについて!$J$4:$AH$19,16,FALSE),"")</f>
        <v>2</v>
      </c>
      <c r="AB103" s="81" t="str">
        <f>IFERROR(HLOOKUP(K103,データについて!$J$5:$AH$20,14,FALSE),"")</f>
        <v/>
      </c>
      <c r="AC103" s="81">
        <f>IF(X103=1,HLOOKUP(R103,データについて!$J$12:$M$18,7,FALSE),"*")</f>
        <v>1</v>
      </c>
      <c r="AD103" s="81" t="str">
        <f>IF(X103=2,HLOOKUP(R103,データについて!$J$12:$M$18,7,FALSE),"*")</f>
        <v>*</v>
      </c>
    </row>
    <row r="104" spans="1:30">
      <c r="A104" s="30">
        <v>5088</v>
      </c>
      <c r="B104" s="30" t="s">
        <v>4455</v>
      </c>
      <c r="C104" s="30" t="s">
        <v>4456</v>
      </c>
      <c r="D104" s="30" t="s">
        <v>106</v>
      </c>
      <c r="E104" s="30"/>
      <c r="F104" s="30" t="s">
        <v>107</v>
      </c>
      <c r="G104" s="30" t="s">
        <v>106</v>
      </c>
      <c r="H104" s="30"/>
      <c r="I104" s="30" t="s">
        <v>192</v>
      </c>
      <c r="J104" s="30" t="s">
        <v>4412</v>
      </c>
      <c r="K104" s="30"/>
      <c r="L104" s="30" t="s">
        <v>108</v>
      </c>
      <c r="M104" s="30" t="s">
        <v>109</v>
      </c>
      <c r="N104" s="30" t="s">
        <v>114</v>
      </c>
      <c r="O104" s="30" t="s">
        <v>115</v>
      </c>
      <c r="P104" s="30" t="s">
        <v>112</v>
      </c>
      <c r="Q104" s="30" t="s">
        <v>112</v>
      </c>
      <c r="R104" s="30" t="s">
        <v>185</v>
      </c>
      <c r="S104" s="81">
        <f>HLOOKUP(L104,データについて!$J$6:$M$18,13,FALSE)</f>
        <v>1</v>
      </c>
      <c r="T104" s="81">
        <f>HLOOKUP(M104,データについて!$J$7:$M$18,12,FALSE)</f>
        <v>2</v>
      </c>
      <c r="U104" s="81">
        <f>HLOOKUP(N104,データについて!$J$8:$M$18,11,FALSE)</f>
        <v>1</v>
      </c>
      <c r="V104" s="81">
        <f>HLOOKUP(O104,データについて!$J$9:$M$18,10,FALSE)</f>
        <v>1</v>
      </c>
      <c r="W104" s="81">
        <f>HLOOKUP(P104,データについて!$J$10:$M$18,9,FALSE)</f>
        <v>1</v>
      </c>
      <c r="X104" s="81">
        <f>HLOOKUP(Q104,データについて!$J$11:$M$18,8,FALSE)</f>
        <v>1</v>
      </c>
      <c r="Y104" s="81">
        <f>HLOOKUP(R104,データについて!$J$12:$M$18,7,FALSE)</f>
        <v>2</v>
      </c>
      <c r="Z104" s="81">
        <f>HLOOKUP(I104,データについて!$J$3:$M$18,16,FALSE)</f>
        <v>1</v>
      </c>
      <c r="AA104" s="81">
        <f>IFERROR(HLOOKUP(J104,データについて!$J$4:$AH$19,16,FALSE),"")</f>
        <v>2</v>
      </c>
      <c r="AB104" s="81" t="str">
        <f>IFERROR(HLOOKUP(K104,データについて!$J$5:$AH$20,14,FALSE),"")</f>
        <v/>
      </c>
      <c r="AC104" s="81">
        <f>IF(X104=1,HLOOKUP(R104,データについて!$J$12:$M$18,7,FALSE),"*")</f>
        <v>2</v>
      </c>
      <c r="AD104" s="81" t="str">
        <f>IF(X104=2,HLOOKUP(R104,データについて!$J$12:$M$18,7,FALSE),"*")</f>
        <v>*</v>
      </c>
    </row>
    <row r="105" spans="1:30">
      <c r="A105" s="30">
        <v>5087</v>
      </c>
      <c r="B105" s="30" t="s">
        <v>4457</v>
      </c>
      <c r="C105" s="30" t="s">
        <v>4458</v>
      </c>
      <c r="D105" s="30" t="s">
        <v>106</v>
      </c>
      <c r="E105" s="30"/>
      <c r="F105" s="30" t="s">
        <v>107</v>
      </c>
      <c r="G105" s="30" t="s">
        <v>106</v>
      </c>
      <c r="H105" s="30"/>
      <c r="I105" s="30" t="s">
        <v>192</v>
      </c>
      <c r="J105" s="30" t="s">
        <v>4412</v>
      </c>
      <c r="K105" s="30"/>
      <c r="L105" s="30" t="s">
        <v>117</v>
      </c>
      <c r="M105" s="30" t="s">
        <v>113</v>
      </c>
      <c r="N105" s="30" t="s">
        <v>110</v>
      </c>
      <c r="O105" s="30" t="s">
        <v>115</v>
      </c>
      <c r="P105" s="30" t="s">
        <v>112</v>
      </c>
      <c r="Q105" s="30" t="s">
        <v>112</v>
      </c>
      <c r="R105" s="30" t="s">
        <v>183</v>
      </c>
      <c r="S105" s="81">
        <f>HLOOKUP(L105,データについて!$J$6:$M$18,13,FALSE)</f>
        <v>2</v>
      </c>
      <c r="T105" s="81">
        <f>HLOOKUP(M105,データについて!$J$7:$M$18,12,FALSE)</f>
        <v>1</v>
      </c>
      <c r="U105" s="81">
        <f>HLOOKUP(N105,データについて!$J$8:$M$18,11,FALSE)</f>
        <v>2</v>
      </c>
      <c r="V105" s="81">
        <f>HLOOKUP(O105,データについて!$J$9:$M$18,10,FALSE)</f>
        <v>1</v>
      </c>
      <c r="W105" s="81">
        <f>HLOOKUP(P105,データについて!$J$10:$M$18,9,FALSE)</f>
        <v>1</v>
      </c>
      <c r="X105" s="81">
        <f>HLOOKUP(Q105,データについて!$J$11:$M$18,8,FALSE)</f>
        <v>1</v>
      </c>
      <c r="Y105" s="81">
        <f>HLOOKUP(R105,データについて!$J$12:$M$18,7,FALSE)</f>
        <v>1</v>
      </c>
      <c r="Z105" s="81">
        <f>HLOOKUP(I105,データについて!$J$3:$M$18,16,FALSE)</f>
        <v>1</v>
      </c>
      <c r="AA105" s="81">
        <f>IFERROR(HLOOKUP(J105,データについて!$J$4:$AH$19,16,FALSE),"")</f>
        <v>2</v>
      </c>
      <c r="AB105" s="81" t="str">
        <f>IFERROR(HLOOKUP(K105,データについて!$J$5:$AH$20,14,FALSE),"")</f>
        <v/>
      </c>
      <c r="AC105" s="81">
        <f>IF(X105=1,HLOOKUP(R105,データについて!$J$12:$M$18,7,FALSE),"*")</f>
        <v>1</v>
      </c>
      <c r="AD105" s="81" t="str">
        <f>IF(X105=2,HLOOKUP(R105,データについて!$J$12:$M$18,7,FALSE),"*")</f>
        <v>*</v>
      </c>
    </row>
    <row r="106" spans="1:30">
      <c r="A106" s="30">
        <v>5086</v>
      </c>
      <c r="B106" s="30" t="s">
        <v>4459</v>
      </c>
      <c r="C106" s="30" t="s">
        <v>4460</v>
      </c>
      <c r="D106" s="30" t="s">
        <v>106</v>
      </c>
      <c r="E106" s="30"/>
      <c r="F106" s="30" t="s">
        <v>107</v>
      </c>
      <c r="G106" s="30" t="s">
        <v>106</v>
      </c>
      <c r="H106" s="30"/>
      <c r="I106" s="30" t="s">
        <v>192</v>
      </c>
      <c r="J106" s="30" t="s">
        <v>4412</v>
      </c>
      <c r="K106" s="30"/>
      <c r="L106" s="30" t="s">
        <v>117</v>
      </c>
      <c r="M106" s="30" t="s">
        <v>109</v>
      </c>
      <c r="N106" s="30" t="s">
        <v>122</v>
      </c>
      <c r="O106" s="30" t="s">
        <v>115</v>
      </c>
      <c r="P106" s="30" t="s">
        <v>118</v>
      </c>
      <c r="Q106" s="30" t="s">
        <v>112</v>
      </c>
      <c r="R106" s="30" t="s">
        <v>189</v>
      </c>
      <c r="S106" s="81">
        <f>HLOOKUP(L106,データについて!$J$6:$M$18,13,FALSE)</f>
        <v>2</v>
      </c>
      <c r="T106" s="81">
        <f>HLOOKUP(M106,データについて!$J$7:$M$18,12,FALSE)</f>
        <v>2</v>
      </c>
      <c r="U106" s="81">
        <f>HLOOKUP(N106,データについて!$J$8:$M$18,11,FALSE)</f>
        <v>3</v>
      </c>
      <c r="V106" s="81">
        <f>HLOOKUP(O106,データについて!$J$9:$M$18,10,FALSE)</f>
        <v>1</v>
      </c>
      <c r="W106" s="81">
        <f>HLOOKUP(P106,データについて!$J$10:$M$18,9,FALSE)</f>
        <v>2</v>
      </c>
      <c r="X106" s="81">
        <f>HLOOKUP(Q106,データについて!$J$11:$M$18,8,FALSE)</f>
        <v>1</v>
      </c>
      <c r="Y106" s="81">
        <f>HLOOKUP(R106,データについて!$J$12:$M$18,7,FALSE)</f>
        <v>4</v>
      </c>
      <c r="Z106" s="81">
        <f>HLOOKUP(I106,データについて!$J$3:$M$18,16,FALSE)</f>
        <v>1</v>
      </c>
      <c r="AA106" s="81">
        <f>IFERROR(HLOOKUP(J106,データについて!$J$4:$AH$19,16,FALSE),"")</f>
        <v>2</v>
      </c>
      <c r="AB106" s="81" t="str">
        <f>IFERROR(HLOOKUP(K106,データについて!$J$5:$AH$20,14,FALSE),"")</f>
        <v/>
      </c>
      <c r="AC106" s="81">
        <f>IF(X106=1,HLOOKUP(R106,データについて!$J$12:$M$18,7,FALSE),"*")</f>
        <v>4</v>
      </c>
      <c r="AD106" s="81" t="str">
        <f>IF(X106=2,HLOOKUP(R106,データについて!$J$12:$M$18,7,FALSE),"*")</f>
        <v>*</v>
      </c>
    </row>
    <row r="107" spans="1:30">
      <c r="A107" s="30">
        <v>5085</v>
      </c>
      <c r="B107" s="30" t="s">
        <v>4461</v>
      </c>
      <c r="C107" s="30" t="s">
        <v>4462</v>
      </c>
      <c r="D107" s="30" t="s">
        <v>106</v>
      </c>
      <c r="E107" s="30"/>
      <c r="F107" s="30" t="s">
        <v>107</v>
      </c>
      <c r="G107" s="30" t="s">
        <v>106</v>
      </c>
      <c r="H107" s="30"/>
      <c r="I107" s="30" t="s">
        <v>192</v>
      </c>
      <c r="J107" s="30" t="s">
        <v>4412</v>
      </c>
      <c r="K107" s="30"/>
      <c r="L107" s="30" t="s">
        <v>117</v>
      </c>
      <c r="M107" s="30" t="s">
        <v>109</v>
      </c>
      <c r="N107" s="30" t="s">
        <v>122</v>
      </c>
      <c r="O107" s="30" t="s">
        <v>115</v>
      </c>
      <c r="P107" s="30" t="s">
        <v>112</v>
      </c>
      <c r="Q107" s="30" t="s">
        <v>112</v>
      </c>
      <c r="R107" s="30" t="s">
        <v>187</v>
      </c>
      <c r="S107" s="81">
        <f>HLOOKUP(L107,データについて!$J$6:$M$18,13,FALSE)</f>
        <v>2</v>
      </c>
      <c r="T107" s="81">
        <f>HLOOKUP(M107,データについて!$J$7:$M$18,12,FALSE)</f>
        <v>2</v>
      </c>
      <c r="U107" s="81">
        <f>HLOOKUP(N107,データについて!$J$8:$M$18,11,FALSE)</f>
        <v>3</v>
      </c>
      <c r="V107" s="81">
        <f>HLOOKUP(O107,データについて!$J$9:$M$18,10,FALSE)</f>
        <v>1</v>
      </c>
      <c r="W107" s="81">
        <f>HLOOKUP(P107,データについて!$J$10:$M$18,9,FALSE)</f>
        <v>1</v>
      </c>
      <c r="X107" s="81">
        <f>HLOOKUP(Q107,データについて!$J$11:$M$18,8,FALSE)</f>
        <v>1</v>
      </c>
      <c r="Y107" s="81">
        <f>HLOOKUP(R107,データについて!$J$12:$M$18,7,FALSE)</f>
        <v>3</v>
      </c>
      <c r="Z107" s="81">
        <f>HLOOKUP(I107,データについて!$J$3:$M$18,16,FALSE)</f>
        <v>1</v>
      </c>
      <c r="AA107" s="81">
        <f>IFERROR(HLOOKUP(J107,データについて!$J$4:$AH$19,16,FALSE),"")</f>
        <v>2</v>
      </c>
      <c r="AB107" s="81" t="str">
        <f>IFERROR(HLOOKUP(K107,データについて!$J$5:$AH$20,14,FALSE),"")</f>
        <v/>
      </c>
      <c r="AC107" s="81">
        <f>IF(X107=1,HLOOKUP(R107,データについて!$J$12:$M$18,7,FALSE),"*")</f>
        <v>3</v>
      </c>
      <c r="AD107" s="81" t="str">
        <f>IF(X107=2,HLOOKUP(R107,データについて!$J$12:$M$18,7,FALSE),"*")</f>
        <v>*</v>
      </c>
    </row>
    <row r="108" spans="1:30">
      <c r="A108" s="30">
        <v>5084</v>
      </c>
      <c r="B108" s="30" t="s">
        <v>4463</v>
      </c>
      <c r="C108" s="30" t="s">
        <v>4464</v>
      </c>
      <c r="D108" s="30" t="s">
        <v>106</v>
      </c>
      <c r="E108" s="30"/>
      <c r="F108" s="30" t="s">
        <v>107</v>
      </c>
      <c r="G108" s="30" t="s">
        <v>106</v>
      </c>
      <c r="H108" s="30"/>
      <c r="I108" s="30" t="s">
        <v>192</v>
      </c>
      <c r="J108" s="30" t="s">
        <v>4412</v>
      </c>
      <c r="K108" s="30"/>
      <c r="L108" s="30" t="s">
        <v>117</v>
      </c>
      <c r="M108" s="30" t="s">
        <v>113</v>
      </c>
      <c r="N108" s="30" t="s">
        <v>114</v>
      </c>
      <c r="O108" s="30" t="s">
        <v>115</v>
      </c>
      <c r="P108" s="30" t="s">
        <v>112</v>
      </c>
      <c r="Q108" s="30" t="s">
        <v>112</v>
      </c>
      <c r="R108" s="30" t="s">
        <v>185</v>
      </c>
      <c r="S108" s="81">
        <f>HLOOKUP(L108,データについて!$J$6:$M$18,13,FALSE)</f>
        <v>2</v>
      </c>
      <c r="T108" s="81">
        <f>HLOOKUP(M108,データについて!$J$7:$M$18,12,FALSE)</f>
        <v>1</v>
      </c>
      <c r="U108" s="81">
        <f>HLOOKUP(N108,データについて!$J$8:$M$18,11,FALSE)</f>
        <v>1</v>
      </c>
      <c r="V108" s="81">
        <f>HLOOKUP(O108,データについて!$J$9:$M$18,10,FALSE)</f>
        <v>1</v>
      </c>
      <c r="W108" s="81">
        <f>HLOOKUP(P108,データについて!$J$10:$M$18,9,FALSE)</f>
        <v>1</v>
      </c>
      <c r="X108" s="81">
        <f>HLOOKUP(Q108,データについて!$J$11:$M$18,8,FALSE)</f>
        <v>1</v>
      </c>
      <c r="Y108" s="81">
        <f>HLOOKUP(R108,データについて!$J$12:$M$18,7,FALSE)</f>
        <v>2</v>
      </c>
      <c r="Z108" s="81">
        <f>HLOOKUP(I108,データについて!$J$3:$M$18,16,FALSE)</f>
        <v>1</v>
      </c>
      <c r="AA108" s="81">
        <f>IFERROR(HLOOKUP(J108,データについて!$J$4:$AH$19,16,FALSE),"")</f>
        <v>2</v>
      </c>
      <c r="AB108" s="81" t="str">
        <f>IFERROR(HLOOKUP(K108,データについて!$J$5:$AH$20,14,FALSE),"")</f>
        <v/>
      </c>
      <c r="AC108" s="81">
        <f>IF(X108=1,HLOOKUP(R108,データについて!$J$12:$M$18,7,FALSE),"*")</f>
        <v>2</v>
      </c>
      <c r="AD108" s="81" t="str">
        <f>IF(X108=2,HLOOKUP(R108,データについて!$J$12:$M$18,7,FALSE),"*")</f>
        <v>*</v>
      </c>
    </row>
    <row r="109" spans="1:30">
      <c r="A109" s="30">
        <v>5083</v>
      </c>
      <c r="B109" s="30" t="s">
        <v>4465</v>
      </c>
      <c r="C109" s="30" t="s">
        <v>4466</v>
      </c>
      <c r="D109" s="30" t="s">
        <v>106</v>
      </c>
      <c r="E109" s="30"/>
      <c r="F109" s="30" t="s">
        <v>107</v>
      </c>
      <c r="G109" s="30" t="s">
        <v>106</v>
      </c>
      <c r="H109" s="30"/>
      <c r="I109" s="30" t="s">
        <v>192</v>
      </c>
      <c r="J109" s="30" t="s">
        <v>4412</v>
      </c>
      <c r="K109" s="30"/>
      <c r="L109" s="30" t="s">
        <v>117</v>
      </c>
      <c r="M109" s="30" t="s">
        <v>113</v>
      </c>
      <c r="N109" s="30" t="s">
        <v>110</v>
      </c>
      <c r="O109" s="30" t="s">
        <v>115</v>
      </c>
      <c r="P109" s="30" t="s">
        <v>112</v>
      </c>
      <c r="Q109" s="30" t="s">
        <v>112</v>
      </c>
      <c r="R109" s="30" t="s">
        <v>183</v>
      </c>
      <c r="S109" s="81">
        <f>HLOOKUP(L109,データについて!$J$6:$M$18,13,FALSE)</f>
        <v>2</v>
      </c>
      <c r="T109" s="81">
        <f>HLOOKUP(M109,データについて!$J$7:$M$18,12,FALSE)</f>
        <v>1</v>
      </c>
      <c r="U109" s="81">
        <f>HLOOKUP(N109,データについて!$J$8:$M$18,11,FALSE)</f>
        <v>2</v>
      </c>
      <c r="V109" s="81">
        <f>HLOOKUP(O109,データについて!$J$9:$M$18,10,FALSE)</f>
        <v>1</v>
      </c>
      <c r="W109" s="81">
        <f>HLOOKUP(P109,データについて!$J$10:$M$18,9,FALSE)</f>
        <v>1</v>
      </c>
      <c r="X109" s="81">
        <f>HLOOKUP(Q109,データについて!$J$11:$M$18,8,FALSE)</f>
        <v>1</v>
      </c>
      <c r="Y109" s="81">
        <f>HLOOKUP(R109,データについて!$J$12:$M$18,7,FALSE)</f>
        <v>1</v>
      </c>
      <c r="Z109" s="81">
        <f>HLOOKUP(I109,データについて!$J$3:$M$18,16,FALSE)</f>
        <v>1</v>
      </c>
      <c r="AA109" s="81">
        <f>IFERROR(HLOOKUP(J109,データについて!$J$4:$AH$19,16,FALSE),"")</f>
        <v>2</v>
      </c>
      <c r="AB109" s="81" t="str">
        <f>IFERROR(HLOOKUP(K109,データについて!$J$5:$AH$20,14,FALSE),"")</f>
        <v/>
      </c>
      <c r="AC109" s="81">
        <f>IF(X109=1,HLOOKUP(R109,データについて!$J$12:$M$18,7,FALSE),"*")</f>
        <v>1</v>
      </c>
      <c r="AD109" s="81" t="str">
        <f>IF(X109=2,HLOOKUP(R109,データについて!$J$12:$M$18,7,FALSE),"*")</f>
        <v>*</v>
      </c>
    </row>
    <row r="110" spans="1:30">
      <c r="A110" s="30">
        <v>5082</v>
      </c>
      <c r="B110" s="30" t="s">
        <v>4467</v>
      </c>
      <c r="C110" s="30" t="s">
        <v>4468</v>
      </c>
      <c r="D110" s="30" t="s">
        <v>106</v>
      </c>
      <c r="E110" s="30"/>
      <c r="F110" s="30" t="s">
        <v>107</v>
      </c>
      <c r="G110" s="30" t="s">
        <v>106</v>
      </c>
      <c r="H110" s="30"/>
      <c r="I110" s="30" t="s">
        <v>192</v>
      </c>
      <c r="J110" s="30" t="s">
        <v>4412</v>
      </c>
      <c r="K110" s="30"/>
      <c r="L110" s="30" t="s">
        <v>108</v>
      </c>
      <c r="M110" s="30" t="s">
        <v>113</v>
      </c>
      <c r="N110" s="30" t="s">
        <v>114</v>
      </c>
      <c r="O110" s="30" t="s">
        <v>115</v>
      </c>
      <c r="P110" s="30" t="s">
        <v>112</v>
      </c>
      <c r="Q110" s="30" t="s">
        <v>112</v>
      </c>
      <c r="R110" s="30" t="s">
        <v>183</v>
      </c>
      <c r="S110" s="81">
        <f>HLOOKUP(L110,データについて!$J$6:$M$18,13,FALSE)</f>
        <v>1</v>
      </c>
      <c r="T110" s="81">
        <f>HLOOKUP(M110,データについて!$J$7:$M$18,12,FALSE)</f>
        <v>1</v>
      </c>
      <c r="U110" s="81">
        <f>HLOOKUP(N110,データについて!$J$8:$M$18,11,FALSE)</f>
        <v>1</v>
      </c>
      <c r="V110" s="81">
        <f>HLOOKUP(O110,データについて!$J$9:$M$18,10,FALSE)</f>
        <v>1</v>
      </c>
      <c r="W110" s="81">
        <f>HLOOKUP(P110,データについて!$J$10:$M$18,9,FALSE)</f>
        <v>1</v>
      </c>
      <c r="X110" s="81">
        <f>HLOOKUP(Q110,データについて!$J$11:$M$18,8,FALSE)</f>
        <v>1</v>
      </c>
      <c r="Y110" s="81">
        <f>HLOOKUP(R110,データについて!$J$12:$M$18,7,FALSE)</f>
        <v>1</v>
      </c>
      <c r="Z110" s="81">
        <f>HLOOKUP(I110,データについて!$J$3:$M$18,16,FALSE)</f>
        <v>1</v>
      </c>
      <c r="AA110" s="81">
        <f>IFERROR(HLOOKUP(J110,データについて!$J$4:$AH$19,16,FALSE),"")</f>
        <v>2</v>
      </c>
      <c r="AB110" s="81" t="str">
        <f>IFERROR(HLOOKUP(K110,データについて!$J$5:$AH$20,14,FALSE),"")</f>
        <v/>
      </c>
      <c r="AC110" s="81">
        <f>IF(X110=1,HLOOKUP(R110,データについて!$J$12:$M$18,7,FALSE),"*")</f>
        <v>1</v>
      </c>
      <c r="AD110" s="81" t="str">
        <f>IF(X110=2,HLOOKUP(R110,データについて!$J$12:$M$18,7,FALSE),"*")</f>
        <v>*</v>
      </c>
    </row>
    <row r="111" spans="1:30">
      <c r="A111" s="30">
        <v>5081</v>
      </c>
      <c r="B111" s="30" t="s">
        <v>4469</v>
      </c>
      <c r="C111" s="30" t="s">
        <v>4470</v>
      </c>
      <c r="D111" s="30" t="s">
        <v>106</v>
      </c>
      <c r="E111" s="30"/>
      <c r="F111" s="30" t="s">
        <v>107</v>
      </c>
      <c r="G111" s="30" t="s">
        <v>106</v>
      </c>
      <c r="H111" s="30"/>
      <c r="I111" s="30" t="s">
        <v>192</v>
      </c>
      <c r="J111" s="30" t="s">
        <v>4412</v>
      </c>
      <c r="K111" s="30"/>
      <c r="L111" s="30" t="s">
        <v>108</v>
      </c>
      <c r="M111" s="30" t="s">
        <v>113</v>
      </c>
      <c r="N111" s="30" t="s">
        <v>114</v>
      </c>
      <c r="O111" s="30" t="s">
        <v>115</v>
      </c>
      <c r="P111" s="30" t="s">
        <v>112</v>
      </c>
      <c r="Q111" s="30" t="s">
        <v>118</v>
      </c>
      <c r="R111" s="30" t="s">
        <v>183</v>
      </c>
      <c r="S111" s="81">
        <f>HLOOKUP(L111,データについて!$J$6:$M$18,13,FALSE)</f>
        <v>1</v>
      </c>
      <c r="T111" s="81">
        <f>HLOOKUP(M111,データについて!$J$7:$M$18,12,FALSE)</f>
        <v>1</v>
      </c>
      <c r="U111" s="81">
        <f>HLOOKUP(N111,データについて!$J$8:$M$18,11,FALSE)</f>
        <v>1</v>
      </c>
      <c r="V111" s="81">
        <f>HLOOKUP(O111,データについて!$J$9:$M$18,10,FALSE)</f>
        <v>1</v>
      </c>
      <c r="W111" s="81">
        <f>HLOOKUP(P111,データについて!$J$10:$M$18,9,FALSE)</f>
        <v>1</v>
      </c>
      <c r="X111" s="81">
        <f>HLOOKUP(Q111,データについて!$J$11:$M$18,8,FALSE)</f>
        <v>2</v>
      </c>
      <c r="Y111" s="81">
        <f>HLOOKUP(R111,データについて!$J$12:$M$18,7,FALSE)</f>
        <v>1</v>
      </c>
      <c r="Z111" s="81">
        <f>HLOOKUP(I111,データについて!$J$3:$M$18,16,FALSE)</f>
        <v>1</v>
      </c>
      <c r="AA111" s="81">
        <f>IFERROR(HLOOKUP(J111,データについて!$J$4:$AH$19,16,FALSE),"")</f>
        <v>2</v>
      </c>
      <c r="AB111" s="81" t="str">
        <f>IFERROR(HLOOKUP(K111,データについて!$J$5:$AH$20,14,FALSE),"")</f>
        <v/>
      </c>
      <c r="AC111" s="81" t="str">
        <f>IF(X111=1,HLOOKUP(R111,データについて!$J$12:$M$18,7,FALSE),"*")</f>
        <v>*</v>
      </c>
      <c r="AD111" s="81">
        <f>IF(X111=2,HLOOKUP(R111,データについて!$J$12:$M$18,7,FALSE),"*")</f>
        <v>1</v>
      </c>
    </row>
    <row r="112" spans="1:30">
      <c r="A112" s="30">
        <v>5080</v>
      </c>
      <c r="B112" s="30" t="s">
        <v>4471</v>
      </c>
      <c r="C112" s="30" t="s">
        <v>4472</v>
      </c>
      <c r="D112" s="30" t="s">
        <v>106</v>
      </c>
      <c r="E112" s="30"/>
      <c r="F112" s="30" t="s">
        <v>107</v>
      </c>
      <c r="G112" s="30" t="s">
        <v>106</v>
      </c>
      <c r="H112" s="30"/>
      <c r="I112" s="30" t="s">
        <v>192</v>
      </c>
      <c r="J112" s="30" t="s">
        <v>4412</v>
      </c>
      <c r="K112" s="30"/>
      <c r="L112" s="30" t="s">
        <v>108</v>
      </c>
      <c r="M112" s="30" t="s">
        <v>113</v>
      </c>
      <c r="N112" s="30" t="s">
        <v>114</v>
      </c>
      <c r="O112" s="30" t="s">
        <v>115</v>
      </c>
      <c r="P112" s="30" t="s">
        <v>112</v>
      </c>
      <c r="Q112" s="30" t="s">
        <v>112</v>
      </c>
      <c r="R112" s="30" t="s">
        <v>185</v>
      </c>
      <c r="S112" s="81">
        <f>HLOOKUP(L112,データについて!$J$6:$M$18,13,FALSE)</f>
        <v>1</v>
      </c>
      <c r="T112" s="81">
        <f>HLOOKUP(M112,データについて!$J$7:$M$18,12,FALSE)</f>
        <v>1</v>
      </c>
      <c r="U112" s="81">
        <f>HLOOKUP(N112,データについて!$J$8:$M$18,11,FALSE)</f>
        <v>1</v>
      </c>
      <c r="V112" s="81">
        <f>HLOOKUP(O112,データについて!$J$9:$M$18,10,FALSE)</f>
        <v>1</v>
      </c>
      <c r="W112" s="81">
        <f>HLOOKUP(P112,データについて!$J$10:$M$18,9,FALSE)</f>
        <v>1</v>
      </c>
      <c r="X112" s="81">
        <f>HLOOKUP(Q112,データについて!$J$11:$M$18,8,FALSE)</f>
        <v>1</v>
      </c>
      <c r="Y112" s="81">
        <f>HLOOKUP(R112,データについて!$J$12:$M$18,7,FALSE)</f>
        <v>2</v>
      </c>
      <c r="Z112" s="81">
        <f>HLOOKUP(I112,データについて!$J$3:$M$18,16,FALSE)</f>
        <v>1</v>
      </c>
      <c r="AA112" s="81">
        <f>IFERROR(HLOOKUP(J112,データについて!$J$4:$AH$19,16,FALSE),"")</f>
        <v>2</v>
      </c>
      <c r="AB112" s="81" t="str">
        <f>IFERROR(HLOOKUP(K112,データについて!$J$5:$AH$20,14,FALSE),"")</f>
        <v/>
      </c>
      <c r="AC112" s="81">
        <f>IF(X112=1,HLOOKUP(R112,データについて!$J$12:$M$18,7,FALSE),"*")</f>
        <v>2</v>
      </c>
      <c r="AD112" s="81" t="str">
        <f>IF(X112=2,HLOOKUP(R112,データについて!$J$12:$M$18,7,FALSE),"*")</f>
        <v>*</v>
      </c>
    </row>
    <row r="113" spans="1:30">
      <c r="A113" s="30">
        <v>5079</v>
      </c>
      <c r="B113" s="30" t="s">
        <v>4473</v>
      </c>
      <c r="C113" s="30" t="s">
        <v>4474</v>
      </c>
      <c r="D113" s="30" t="s">
        <v>106</v>
      </c>
      <c r="E113" s="30"/>
      <c r="F113" s="30" t="s">
        <v>107</v>
      </c>
      <c r="G113" s="30" t="s">
        <v>106</v>
      </c>
      <c r="H113" s="30"/>
      <c r="I113" s="30" t="s">
        <v>192</v>
      </c>
      <c r="J113" s="30" t="s">
        <v>4412</v>
      </c>
      <c r="K113" s="30"/>
      <c r="L113" s="30" t="s">
        <v>117</v>
      </c>
      <c r="M113" s="30" t="s">
        <v>113</v>
      </c>
      <c r="N113" s="30" t="s">
        <v>114</v>
      </c>
      <c r="O113" s="30" t="s">
        <v>115</v>
      </c>
      <c r="P113" s="30" t="s">
        <v>112</v>
      </c>
      <c r="Q113" s="30" t="s">
        <v>112</v>
      </c>
      <c r="R113" s="30" t="s">
        <v>185</v>
      </c>
      <c r="S113" s="81">
        <f>HLOOKUP(L113,データについて!$J$6:$M$18,13,FALSE)</f>
        <v>2</v>
      </c>
      <c r="T113" s="81">
        <f>HLOOKUP(M113,データについて!$J$7:$M$18,12,FALSE)</f>
        <v>1</v>
      </c>
      <c r="U113" s="81">
        <f>HLOOKUP(N113,データについて!$J$8:$M$18,11,FALSE)</f>
        <v>1</v>
      </c>
      <c r="V113" s="81">
        <f>HLOOKUP(O113,データについて!$J$9:$M$18,10,FALSE)</f>
        <v>1</v>
      </c>
      <c r="W113" s="81">
        <f>HLOOKUP(P113,データについて!$J$10:$M$18,9,FALSE)</f>
        <v>1</v>
      </c>
      <c r="X113" s="81">
        <f>HLOOKUP(Q113,データについて!$J$11:$M$18,8,FALSE)</f>
        <v>1</v>
      </c>
      <c r="Y113" s="81">
        <f>HLOOKUP(R113,データについて!$J$12:$M$18,7,FALSE)</f>
        <v>2</v>
      </c>
      <c r="Z113" s="81">
        <f>HLOOKUP(I113,データについて!$J$3:$M$18,16,FALSE)</f>
        <v>1</v>
      </c>
      <c r="AA113" s="81">
        <f>IFERROR(HLOOKUP(J113,データについて!$J$4:$AH$19,16,FALSE),"")</f>
        <v>2</v>
      </c>
      <c r="AB113" s="81" t="str">
        <f>IFERROR(HLOOKUP(K113,データについて!$J$5:$AH$20,14,FALSE),"")</f>
        <v/>
      </c>
      <c r="AC113" s="81">
        <f>IF(X113=1,HLOOKUP(R113,データについて!$J$12:$M$18,7,FALSE),"*")</f>
        <v>2</v>
      </c>
      <c r="AD113" s="81" t="str">
        <f>IF(X113=2,HLOOKUP(R113,データについて!$J$12:$M$18,7,FALSE),"*")</f>
        <v>*</v>
      </c>
    </row>
    <row r="114" spans="1:30">
      <c r="A114" s="30">
        <v>5078</v>
      </c>
      <c r="B114" s="30" t="s">
        <v>4475</v>
      </c>
      <c r="C114" s="30" t="s">
        <v>4476</v>
      </c>
      <c r="D114" s="30" t="s">
        <v>106</v>
      </c>
      <c r="E114" s="30"/>
      <c r="F114" s="30" t="s">
        <v>107</v>
      </c>
      <c r="G114" s="30" t="s">
        <v>106</v>
      </c>
      <c r="H114" s="30"/>
      <c r="I114" s="30" t="s">
        <v>192</v>
      </c>
      <c r="J114" s="30" t="s">
        <v>4412</v>
      </c>
      <c r="K114" s="30"/>
      <c r="L114" s="30" t="s">
        <v>108</v>
      </c>
      <c r="M114" s="30" t="s">
        <v>113</v>
      </c>
      <c r="N114" s="30" t="s">
        <v>114</v>
      </c>
      <c r="O114" s="30" t="s">
        <v>115</v>
      </c>
      <c r="P114" s="30" t="s">
        <v>112</v>
      </c>
      <c r="Q114" s="30" t="s">
        <v>112</v>
      </c>
      <c r="R114" s="30" t="s">
        <v>185</v>
      </c>
      <c r="S114" s="81">
        <f>HLOOKUP(L114,データについて!$J$6:$M$18,13,FALSE)</f>
        <v>1</v>
      </c>
      <c r="T114" s="81">
        <f>HLOOKUP(M114,データについて!$J$7:$M$18,12,FALSE)</f>
        <v>1</v>
      </c>
      <c r="U114" s="81">
        <f>HLOOKUP(N114,データについて!$J$8:$M$18,11,FALSE)</f>
        <v>1</v>
      </c>
      <c r="V114" s="81">
        <f>HLOOKUP(O114,データについて!$J$9:$M$18,10,FALSE)</f>
        <v>1</v>
      </c>
      <c r="W114" s="81">
        <f>HLOOKUP(P114,データについて!$J$10:$M$18,9,FALSE)</f>
        <v>1</v>
      </c>
      <c r="X114" s="81">
        <f>HLOOKUP(Q114,データについて!$J$11:$M$18,8,FALSE)</f>
        <v>1</v>
      </c>
      <c r="Y114" s="81">
        <f>HLOOKUP(R114,データについて!$J$12:$M$18,7,FALSE)</f>
        <v>2</v>
      </c>
      <c r="Z114" s="81">
        <f>HLOOKUP(I114,データについて!$J$3:$M$18,16,FALSE)</f>
        <v>1</v>
      </c>
      <c r="AA114" s="81">
        <f>IFERROR(HLOOKUP(J114,データについて!$J$4:$AH$19,16,FALSE),"")</f>
        <v>2</v>
      </c>
      <c r="AB114" s="81" t="str">
        <f>IFERROR(HLOOKUP(K114,データについて!$J$5:$AH$20,14,FALSE),"")</f>
        <v/>
      </c>
      <c r="AC114" s="81">
        <f>IF(X114=1,HLOOKUP(R114,データについて!$J$12:$M$18,7,FALSE),"*")</f>
        <v>2</v>
      </c>
      <c r="AD114" s="81" t="str">
        <f>IF(X114=2,HLOOKUP(R114,データについて!$J$12:$M$18,7,FALSE),"*")</f>
        <v>*</v>
      </c>
    </row>
    <row r="115" spans="1:30">
      <c r="A115" s="30">
        <v>5077</v>
      </c>
      <c r="B115" s="30" t="s">
        <v>4477</v>
      </c>
      <c r="C115" s="30" t="s">
        <v>4478</v>
      </c>
      <c r="D115" s="30" t="s">
        <v>106</v>
      </c>
      <c r="E115" s="30"/>
      <c r="F115" s="30" t="s">
        <v>107</v>
      </c>
      <c r="G115" s="30" t="s">
        <v>106</v>
      </c>
      <c r="H115" s="30"/>
      <c r="I115" s="30" t="s">
        <v>192</v>
      </c>
      <c r="J115" s="30" t="s">
        <v>4412</v>
      </c>
      <c r="K115" s="30"/>
      <c r="L115" s="30" t="s">
        <v>108</v>
      </c>
      <c r="M115" s="30" t="s">
        <v>109</v>
      </c>
      <c r="N115" s="30" t="s">
        <v>114</v>
      </c>
      <c r="O115" s="30" t="s">
        <v>115</v>
      </c>
      <c r="P115" s="30" t="s">
        <v>112</v>
      </c>
      <c r="Q115" s="30" t="s">
        <v>112</v>
      </c>
      <c r="R115" s="30" t="s">
        <v>185</v>
      </c>
      <c r="S115" s="81">
        <f>HLOOKUP(L115,データについて!$J$6:$M$18,13,FALSE)</f>
        <v>1</v>
      </c>
      <c r="T115" s="81">
        <f>HLOOKUP(M115,データについて!$J$7:$M$18,12,FALSE)</f>
        <v>2</v>
      </c>
      <c r="U115" s="81">
        <f>HLOOKUP(N115,データについて!$J$8:$M$18,11,FALSE)</f>
        <v>1</v>
      </c>
      <c r="V115" s="81">
        <f>HLOOKUP(O115,データについて!$J$9:$M$18,10,FALSE)</f>
        <v>1</v>
      </c>
      <c r="W115" s="81">
        <f>HLOOKUP(P115,データについて!$J$10:$M$18,9,FALSE)</f>
        <v>1</v>
      </c>
      <c r="X115" s="81">
        <f>HLOOKUP(Q115,データについて!$J$11:$M$18,8,FALSE)</f>
        <v>1</v>
      </c>
      <c r="Y115" s="81">
        <f>HLOOKUP(R115,データについて!$J$12:$M$18,7,FALSE)</f>
        <v>2</v>
      </c>
      <c r="Z115" s="81">
        <f>HLOOKUP(I115,データについて!$J$3:$M$18,16,FALSE)</f>
        <v>1</v>
      </c>
      <c r="AA115" s="81">
        <f>IFERROR(HLOOKUP(J115,データについて!$J$4:$AH$19,16,FALSE),"")</f>
        <v>2</v>
      </c>
      <c r="AB115" s="81" t="str">
        <f>IFERROR(HLOOKUP(K115,データについて!$J$5:$AH$20,14,FALSE),"")</f>
        <v/>
      </c>
      <c r="AC115" s="81">
        <f>IF(X115=1,HLOOKUP(R115,データについて!$J$12:$M$18,7,FALSE),"*")</f>
        <v>2</v>
      </c>
      <c r="AD115" s="81" t="str">
        <f>IF(X115=2,HLOOKUP(R115,データについて!$J$12:$M$18,7,FALSE),"*")</f>
        <v>*</v>
      </c>
    </row>
    <row r="116" spans="1:30">
      <c r="A116" s="30">
        <v>5076</v>
      </c>
      <c r="B116" s="30" t="s">
        <v>4479</v>
      </c>
      <c r="C116" s="30" t="s">
        <v>4480</v>
      </c>
      <c r="D116" s="30" t="s">
        <v>106</v>
      </c>
      <c r="E116" s="30"/>
      <c r="F116" s="30" t="s">
        <v>107</v>
      </c>
      <c r="G116" s="30" t="s">
        <v>106</v>
      </c>
      <c r="H116" s="30"/>
      <c r="I116" s="30" t="s">
        <v>192</v>
      </c>
      <c r="J116" s="30" t="s">
        <v>4412</v>
      </c>
      <c r="K116" s="30"/>
      <c r="L116" s="30" t="s">
        <v>108</v>
      </c>
      <c r="M116" s="30" t="s">
        <v>113</v>
      </c>
      <c r="N116" s="30" t="s">
        <v>114</v>
      </c>
      <c r="O116" s="30" t="s">
        <v>115</v>
      </c>
      <c r="P116" s="30" t="s">
        <v>112</v>
      </c>
      <c r="Q116" s="30" t="s">
        <v>112</v>
      </c>
      <c r="R116" s="30" t="s">
        <v>183</v>
      </c>
      <c r="S116" s="81">
        <f>HLOOKUP(L116,データについて!$J$6:$M$18,13,FALSE)</f>
        <v>1</v>
      </c>
      <c r="T116" s="81">
        <f>HLOOKUP(M116,データについて!$J$7:$M$18,12,FALSE)</f>
        <v>1</v>
      </c>
      <c r="U116" s="81">
        <f>HLOOKUP(N116,データについて!$J$8:$M$18,11,FALSE)</f>
        <v>1</v>
      </c>
      <c r="V116" s="81">
        <f>HLOOKUP(O116,データについて!$J$9:$M$18,10,FALSE)</f>
        <v>1</v>
      </c>
      <c r="W116" s="81">
        <f>HLOOKUP(P116,データについて!$J$10:$M$18,9,FALSE)</f>
        <v>1</v>
      </c>
      <c r="X116" s="81">
        <f>HLOOKUP(Q116,データについて!$J$11:$M$18,8,FALSE)</f>
        <v>1</v>
      </c>
      <c r="Y116" s="81">
        <f>HLOOKUP(R116,データについて!$J$12:$M$18,7,FALSE)</f>
        <v>1</v>
      </c>
      <c r="Z116" s="81">
        <f>HLOOKUP(I116,データについて!$J$3:$M$18,16,FALSE)</f>
        <v>1</v>
      </c>
      <c r="AA116" s="81">
        <f>IFERROR(HLOOKUP(J116,データについて!$J$4:$AH$19,16,FALSE),"")</f>
        <v>2</v>
      </c>
      <c r="AB116" s="81" t="str">
        <f>IFERROR(HLOOKUP(K116,データについて!$J$5:$AH$20,14,FALSE),"")</f>
        <v/>
      </c>
      <c r="AC116" s="81">
        <f>IF(X116=1,HLOOKUP(R116,データについて!$J$12:$M$18,7,FALSE),"*")</f>
        <v>1</v>
      </c>
      <c r="AD116" s="81" t="str">
        <f>IF(X116=2,HLOOKUP(R116,データについて!$J$12:$M$18,7,FALSE),"*")</f>
        <v>*</v>
      </c>
    </row>
    <row r="117" spans="1:30">
      <c r="A117" s="30">
        <v>5075</v>
      </c>
      <c r="B117" s="30" t="s">
        <v>4481</v>
      </c>
      <c r="C117" s="30" t="s">
        <v>4482</v>
      </c>
      <c r="D117" s="30" t="s">
        <v>106</v>
      </c>
      <c r="E117" s="30"/>
      <c r="F117" s="30" t="s">
        <v>107</v>
      </c>
      <c r="G117" s="30" t="s">
        <v>106</v>
      </c>
      <c r="H117" s="30"/>
      <c r="I117" s="30" t="s">
        <v>192</v>
      </c>
      <c r="J117" s="30" t="s">
        <v>4412</v>
      </c>
      <c r="K117" s="30"/>
      <c r="L117" s="30" t="s">
        <v>117</v>
      </c>
      <c r="M117" s="30" t="s">
        <v>109</v>
      </c>
      <c r="N117" s="30" t="s">
        <v>119</v>
      </c>
      <c r="O117" s="30" t="s">
        <v>115</v>
      </c>
      <c r="P117" s="30" t="s">
        <v>112</v>
      </c>
      <c r="Q117" s="30" t="s">
        <v>112</v>
      </c>
      <c r="R117" s="30" t="s">
        <v>189</v>
      </c>
      <c r="S117" s="81">
        <f>HLOOKUP(L117,データについて!$J$6:$M$18,13,FALSE)</f>
        <v>2</v>
      </c>
      <c r="T117" s="81">
        <f>HLOOKUP(M117,データについて!$J$7:$M$18,12,FALSE)</f>
        <v>2</v>
      </c>
      <c r="U117" s="81">
        <f>HLOOKUP(N117,データについて!$J$8:$M$18,11,FALSE)</f>
        <v>4</v>
      </c>
      <c r="V117" s="81">
        <f>HLOOKUP(O117,データについて!$J$9:$M$18,10,FALSE)</f>
        <v>1</v>
      </c>
      <c r="W117" s="81">
        <f>HLOOKUP(P117,データについて!$J$10:$M$18,9,FALSE)</f>
        <v>1</v>
      </c>
      <c r="X117" s="81">
        <f>HLOOKUP(Q117,データについて!$J$11:$M$18,8,FALSE)</f>
        <v>1</v>
      </c>
      <c r="Y117" s="81">
        <f>HLOOKUP(R117,データについて!$J$12:$M$18,7,FALSE)</f>
        <v>4</v>
      </c>
      <c r="Z117" s="81">
        <f>HLOOKUP(I117,データについて!$J$3:$M$18,16,FALSE)</f>
        <v>1</v>
      </c>
      <c r="AA117" s="81">
        <f>IFERROR(HLOOKUP(J117,データについて!$J$4:$AH$19,16,FALSE),"")</f>
        <v>2</v>
      </c>
      <c r="AB117" s="81" t="str">
        <f>IFERROR(HLOOKUP(K117,データについて!$J$5:$AH$20,14,FALSE),"")</f>
        <v/>
      </c>
      <c r="AC117" s="81">
        <f>IF(X117=1,HLOOKUP(R117,データについて!$J$12:$M$18,7,FALSE),"*")</f>
        <v>4</v>
      </c>
      <c r="AD117" s="81" t="str">
        <f>IF(X117=2,HLOOKUP(R117,データについて!$J$12:$M$18,7,FALSE),"*")</f>
        <v>*</v>
      </c>
    </row>
    <row r="118" spans="1:30">
      <c r="A118" s="30">
        <v>5074</v>
      </c>
      <c r="B118" s="30" t="s">
        <v>4483</v>
      </c>
      <c r="C118" s="30" t="s">
        <v>4484</v>
      </c>
      <c r="D118" s="30" t="s">
        <v>106</v>
      </c>
      <c r="E118" s="30"/>
      <c r="F118" s="30" t="s">
        <v>107</v>
      </c>
      <c r="G118" s="30" t="s">
        <v>106</v>
      </c>
      <c r="H118" s="30"/>
      <c r="I118" s="30" t="s">
        <v>192</v>
      </c>
      <c r="J118" s="30" t="s">
        <v>4412</v>
      </c>
      <c r="K118" s="30"/>
      <c r="L118" s="30" t="s">
        <v>108</v>
      </c>
      <c r="M118" s="30" t="s">
        <v>109</v>
      </c>
      <c r="N118" s="30" t="s">
        <v>114</v>
      </c>
      <c r="O118" s="30" t="s">
        <v>115</v>
      </c>
      <c r="P118" s="30" t="s">
        <v>112</v>
      </c>
      <c r="Q118" s="30" t="s">
        <v>112</v>
      </c>
      <c r="R118" s="30" t="s">
        <v>185</v>
      </c>
      <c r="S118" s="81">
        <f>HLOOKUP(L118,データについて!$J$6:$M$18,13,FALSE)</f>
        <v>1</v>
      </c>
      <c r="T118" s="81">
        <f>HLOOKUP(M118,データについて!$J$7:$M$18,12,FALSE)</f>
        <v>2</v>
      </c>
      <c r="U118" s="81">
        <f>HLOOKUP(N118,データについて!$J$8:$M$18,11,FALSE)</f>
        <v>1</v>
      </c>
      <c r="V118" s="81">
        <f>HLOOKUP(O118,データについて!$J$9:$M$18,10,FALSE)</f>
        <v>1</v>
      </c>
      <c r="W118" s="81">
        <f>HLOOKUP(P118,データについて!$J$10:$M$18,9,FALSE)</f>
        <v>1</v>
      </c>
      <c r="X118" s="81">
        <f>HLOOKUP(Q118,データについて!$J$11:$M$18,8,FALSE)</f>
        <v>1</v>
      </c>
      <c r="Y118" s="81">
        <f>HLOOKUP(R118,データについて!$J$12:$M$18,7,FALSE)</f>
        <v>2</v>
      </c>
      <c r="Z118" s="81">
        <f>HLOOKUP(I118,データについて!$J$3:$M$18,16,FALSE)</f>
        <v>1</v>
      </c>
      <c r="AA118" s="81">
        <f>IFERROR(HLOOKUP(J118,データについて!$J$4:$AH$19,16,FALSE),"")</f>
        <v>2</v>
      </c>
      <c r="AB118" s="81" t="str">
        <f>IFERROR(HLOOKUP(K118,データについて!$J$5:$AH$20,14,FALSE),"")</f>
        <v/>
      </c>
      <c r="AC118" s="81">
        <f>IF(X118=1,HLOOKUP(R118,データについて!$J$12:$M$18,7,FALSE),"*")</f>
        <v>2</v>
      </c>
      <c r="AD118" s="81" t="str">
        <f>IF(X118=2,HLOOKUP(R118,データについて!$J$12:$M$18,7,FALSE),"*")</f>
        <v>*</v>
      </c>
    </row>
    <row r="119" spans="1:30">
      <c r="A119" s="30">
        <v>5073</v>
      </c>
      <c r="B119" s="30" t="s">
        <v>4485</v>
      </c>
      <c r="C119" s="30" t="s">
        <v>4486</v>
      </c>
      <c r="D119" s="30" t="s">
        <v>106</v>
      </c>
      <c r="E119" s="30"/>
      <c r="F119" s="30" t="s">
        <v>107</v>
      </c>
      <c r="G119" s="30" t="s">
        <v>106</v>
      </c>
      <c r="H119" s="30"/>
      <c r="I119" s="30" t="s">
        <v>191</v>
      </c>
      <c r="J119" s="30"/>
      <c r="K119" s="30" t="s">
        <v>4342</v>
      </c>
      <c r="L119" s="30" t="s">
        <v>117</v>
      </c>
      <c r="M119" s="30" t="s">
        <v>109</v>
      </c>
      <c r="N119" s="30" t="s">
        <v>119</v>
      </c>
      <c r="O119" s="30" t="s">
        <v>115</v>
      </c>
      <c r="P119" s="30" t="s">
        <v>118</v>
      </c>
      <c r="Q119" s="30" t="s">
        <v>112</v>
      </c>
      <c r="R119" s="30" t="s">
        <v>185</v>
      </c>
      <c r="S119" s="81">
        <f>HLOOKUP(L119,データについて!$J$6:$M$18,13,FALSE)</f>
        <v>2</v>
      </c>
      <c r="T119" s="81">
        <f>HLOOKUP(M119,データについて!$J$7:$M$18,12,FALSE)</f>
        <v>2</v>
      </c>
      <c r="U119" s="81">
        <f>HLOOKUP(N119,データについて!$J$8:$M$18,11,FALSE)</f>
        <v>4</v>
      </c>
      <c r="V119" s="81">
        <f>HLOOKUP(O119,データについて!$J$9:$M$18,10,FALSE)</f>
        <v>1</v>
      </c>
      <c r="W119" s="81">
        <f>HLOOKUP(P119,データについて!$J$10:$M$18,9,FALSE)</f>
        <v>2</v>
      </c>
      <c r="X119" s="81">
        <f>HLOOKUP(Q119,データについて!$J$11:$M$18,8,FALSE)</f>
        <v>1</v>
      </c>
      <c r="Y119" s="81">
        <f>HLOOKUP(R119,データについて!$J$12:$M$18,7,FALSE)</f>
        <v>2</v>
      </c>
      <c r="Z119" s="81">
        <f>HLOOKUP(I119,データについて!$J$3:$M$18,16,FALSE)</f>
        <v>2</v>
      </c>
      <c r="AA119" s="81" t="str">
        <f>IFERROR(HLOOKUP(J119,データについて!$J$4:$AH$19,16,FALSE),"")</f>
        <v/>
      </c>
      <c r="AB119" s="81">
        <f>IFERROR(HLOOKUP(K119,データについて!$J$5:$AH$20,14,FALSE),"")</f>
        <v>1</v>
      </c>
      <c r="AC119" s="81">
        <f>IF(X119=1,HLOOKUP(R119,データについて!$J$12:$M$18,7,FALSE),"*")</f>
        <v>2</v>
      </c>
      <c r="AD119" s="81" t="str">
        <f>IF(X119=2,HLOOKUP(R119,データについて!$J$12:$M$18,7,FALSE),"*")</f>
        <v>*</v>
      </c>
    </row>
    <row r="120" spans="1:30">
      <c r="A120" s="30">
        <v>5072</v>
      </c>
      <c r="B120" s="30" t="s">
        <v>4487</v>
      </c>
      <c r="C120" s="30" t="s">
        <v>4488</v>
      </c>
      <c r="D120" s="30" t="s">
        <v>106</v>
      </c>
      <c r="E120" s="30"/>
      <c r="F120" s="30" t="s">
        <v>107</v>
      </c>
      <c r="G120" s="30" t="s">
        <v>106</v>
      </c>
      <c r="H120" s="30"/>
      <c r="I120" s="30" t="s">
        <v>192</v>
      </c>
      <c r="J120" s="30" t="s">
        <v>4412</v>
      </c>
      <c r="K120" s="30"/>
      <c r="L120" s="30" t="s">
        <v>108</v>
      </c>
      <c r="M120" s="30" t="s">
        <v>113</v>
      </c>
      <c r="N120" s="30" t="s">
        <v>114</v>
      </c>
      <c r="O120" s="30" t="s">
        <v>115</v>
      </c>
      <c r="P120" s="30" t="s">
        <v>112</v>
      </c>
      <c r="Q120" s="30" t="s">
        <v>112</v>
      </c>
      <c r="R120" s="30" t="s">
        <v>185</v>
      </c>
      <c r="S120" s="81">
        <f>HLOOKUP(L120,データについて!$J$6:$M$18,13,FALSE)</f>
        <v>1</v>
      </c>
      <c r="T120" s="81">
        <f>HLOOKUP(M120,データについて!$J$7:$M$18,12,FALSE)</f>
        <v>1</v>
      </c>
      <c r="U120" s="81">
        <f>HLOOKUP(N120,データについて!$J$8:$M$18,11,FALSE)</f>
        <v>1</v>
      </c>
      <c r="V120" s="81">
        <f>HLOOKUP(O120,データについて!$J$9:$M$18,10,FALSE)</f>
        <v>1</v>
      </c>
      <c r="W120" s="81">
        <f>HLOOKUP(P120,データについて!$J$10:$M$18,9,FALSE)</f>
        <v>1</v>
      </c>
      <c r="X120" s="81">
        <f>HLOOKUP(Q120,データについて!$J$11:$M$18,8,FALSE)</f>
        <v>1</v>
      </c>
      <c r="Y120" s="81">
        <f>HLOOKUP(R120,データについて!$J$12:$M$18,7,FALSE)</f>
        <v>2</v>
      </c>
      <c r="Z120" s="81">
        <f>HLOOKUP(I120,データについて!$J$3:$M$18,16,FALSE)</f>
        <v>1</v>
      </c>
      <c r="AA120" s="81">
        <f>IFERROR(HLOOKUP(J120,データについて!$J$4:$AH$19,16,FALSE),"")</f>
        <v>2</v>
      </c>
      <c r="AB120" s="81" t="str">
        <f>IFERROR(HLOOKUP(K120,データについて!$J$5:$AH$20,14,FALSE),"")</f>
        <v/>
      </c>
      <c r="AC120" s="81">
        <f>IF(X120=1,HLOOKUP(R120,データについて!$J$12:$M$18,7,FALSE),"*")</f>
        <v>2</v>
      </c>
      <c r="AD120" s="81" t="str">
        <f>IF(X120=2,HLOOKUP(R120,データについて!$J$12:$M$18,7,FALSE),"*")</f>
        <v>*</v>
      </c>
    </row>
    <row r="121" spans="1:30">
      <c r="A121" s="30">
        <v>5071</v>
      </c>
      <c r="B121" s="30" t="s">
        <v>4489</v>
      </c>
      <c r="C121" s="30" t="s">
        <v>4490</v>
      </c>
      <c r="D121" s="30" t="s">
        <v>106</v>
      </c>
      <c r="E121" s="30"/>
      <c r="F121" s="30" t="s">
        <v>107</v>
      </c>
      <c r="G121" s="30" t="s">
        <v>106</v>
      </c>
      <c r="H121" s="30"/>
      <c r="I121" s="30" t="s">
        <v>191</v>
      </c>
      <c r="J121" s="30"/>
      <c r="K121" s="30" t="s">
        <v>4342</v>
      </c>
      <c r="L121" s="30" t="s">
        <v>108</v>
      </c>
      <c r="M121" s="30" t="s">
        <v>109</v>
      </c>
      <c r="N121" s="30" t="s">
        <v>114</v>
      </c>
      <c r="O121" s="30" t="s">
        <v>123</v>
      </c>
      <c r="P121" s="30" t="s">
        <v>112</v>
      </c>
      <c r="Q121" s="30" t="s">
        <v>112</v>
      </c>
      <c r="R121" s="30" t="s">
        <v>187</v>
      </c>
      <c r="S121" s="81">
        <f>HLOOKUP(L121,データについて!$J$6:$M$18,13,FALSE)</f>
        <v>1</v>
      </c>
      <c r="T121" s="81">
        <f>HLOOKUP(M121,データについて!$J$7:$M$18,12,FALSE)</f>
        <v>2</v>
      </c>
      <c r="U121" s="81">
        <f>HLOOKUP(N121,データについて!$J$8:$M$18,11,FALSE)</f>
        <v>1</v>
      </c>
      <c r="V121" s="81">
        <f>HLOOKUP(O121,データについて!$J$9:$M$18,10,FALSE)</f>
        <v>4</v>
      </c>
      <c r="W121" s="81">
        <f>HLOOKUP(P121,データについて!$J$10:$M$18,9,FALSE)</f>
        <v>1</v>
      </c>
      <c r="X121" s="81">
        <f>HLOOKUP(Q121,データについて!$J$11:$M$18,8,FALSE)</f>
        <v>1</v>
      </c>
      <c r="Y121" s="81">
        <f>HLOOKUP(R121,データについて!$J$12:$M$18,7,FALSE)</f>
        <v>3</v>
      </c>
      <c r="Z121" s="81">
        <f>HLOOKUP(I121,データについて!$J$3:$M$18,16,FALSE)</f>
        <v>2</v>
      </c>
      <c r="AA121" s="81" t="str">
        <f>IFERROR(HLOOKUP(J121,データについて!$J$4:$AH$19,16,FALSE),"")</f>
        <v/>
      </c>
      <c r="AB121" s="81">
        <f>IFERROR(HLOOKUP(K121,データについて!$J$5:$AH$20,14,FALSE),"")</f>
        <v>1</v>
      </c>
      <c r="AC121" s="81">
        <f>IF(X121=1,HLOOKUP(R121,データについて!$J$12:$M$18,7,FALSE),"*")</f>
        <v>3</v>
      </c>
      <c r="AD121" s="81" t="str">
        <f>IF(X121=2,HLOOKUP(R121,データについて!$J$12:$M$18,7,FALSE),"*")</f>
        <v>*</v>
      </c>
    </row>
    <row r="122" spans="1:30">
      <c r="A122" s="30">
        <v>5070</v>
      </c>
      <c r="B122" s="30" t="s">
        <v>4491</v>
      </c>
      <c r="C122" s="30" t="s">
        <v>4492</v>
      </c>
      <c r="D122" s="30" t="s">
        <v>106</v>
      </c>
      <c r="E122" s="30"/>
      <c r="F122" s="30" t="s">
        <v>107</v>
      </c>
      <c r="G122" s="30" t="s">
        <v>106</v>
      </c>
      <c r="H122" s="30"/>
      <c r="I122" s="30" t="s">
        <v>191</v>
      </c>
      <c r="J122" s="30"/>
      <c r="K122" s="30" t="s">
        <v>4342</v>
      </c>
      <c r="L122" s="30" t="s">
        <v>108</v>
      </c>
      <c r="M122" s="30" t="s">
        <v>113</v>
      </c>
      <c r="N122" s="30" t="s">
        <v>114</v>
      </c>
      <c r="O122" s="30" t="s">
        <v>115</v>
      </c>
      <c r="P122" s="30" t="s">
        <v>112</v>
      </c>
      <c r="Q122" s="30" t="s">
        <v>112</v>
      </c>
      <c r="R122" s="30" t="s">
        <v>185</v>
      </c>
      <c r="S122" s="81">
        <f>HLOOKUP(L122,データについて!$J$6:$M$18,13,FALSE)</f>
        <v>1</v>
      </c>
      <c r="T122" s="81">
        <f>HLOOKUP(M122,データについて!$J$7:$M$18,12,FALSE)</f>
        <v>1</v>
      </c>
      <c r="U122" s="81">
        <f>HLOOKUP(N122,データについて!$J$8:$M$18,11,FALSE)</f>
        <v>1</v>
      </c>
      <c r="V122" s="81">
        <f>HLOOKUP(O122,データについて!$J$9:$M$18,10,FALSE)</f>
        <v>1</v>
      </c>
      <c r="W122" s="81">
        <f>HLOOKUP(P122,データについて!$J$10:$M$18,9,FALSE)</f>
        <v>1</v>
      </c>
      <c r="X122" s="81">
        <f>HLOOKUP(Q122,データについて!$J$11:$M$18,8,FALSE)</f>
        <v>1</v>
      </c>
      <c r="Y122" s="81">
        <f>HLOOKUP(R122,データについて!$J$12:$M$18,7,FALSE)</f>
        <v>2</v>
      </c>
      <c r="Z122" s="81">
        <f>HLOOKUP(I122,データについて!$J$3:$M$18,16,FALSE)</f>
        <v>2</v>
      </c>
      <c r="AA122" s="81" t="str">
        <f>IFERROR(HLOOKUP(J122,データについて!$J$4:$AH$19,16,FALSE),"")</f>
        <v/>
      </c>
      <c r="AB122" s="81">
        <f>IFERROR(HLOOKUP(K122,データについて!$J$5:$AH$20,14,FALSE),"")</f>
        <v>1</v>
      </c>
      <c r="AC122" s="81">
        <f>IF(X122=1,HLOOKUP(R122,データについて!$J$12:$M$18,7,FALSE),"*")</f>
        <v>2</v>
      </c>
      <c r="AD122" s="81" t="str">
        <f>IF(X122=2,HLOOKUP(R122,データについて!$J$12:$M$18,7,FALSE),"*")</f>
        <v>*</v>
      </c>
    </row>
    <row r="123" spans="1:30">
      <c r="A123" s="30">
        <v>5069</v>
      </c>
      <c r="B123" s="30" t="s">
        <v>4493</v>
      </c>
      <c r="C123" s="30" t="s">
        <v>4494</v>
      </c>
      <c r="D123" s="30" t="s">
        <v>106</v>
      </c>
      <c r="E123" s="30"/>
      <c r="F123" s="30" t="s">
        <v>107</v>
      </c>
      <c r="G123" s="30" t="s">
        <v>106</v>
      </c>
      <c r="H123" s="30"/>
      <c r="I123" s="30" t="s">
        <v>191</v>
      </c>
      <c r="J123" s="30"/>
      <c r="K123" s="30" t="s">
        <v>4342</v>
      </c>
      <c r="L123" s="30" t="s">
        <v>108</v>
      </c>
      <c r="M123" s="30" t="s">
        <v>109</v>
      </c>
      <c r="N123" s="30" t="s">
        <v>110</v>
      </c>
      <c r="O123" s="30" t="s">
        <v>115</v>
      </c>
      <c r="P123" s="30" t="s">
        <v>112</v>
      </c>
      <c r="Q123" s="30" t="s">
        <v>112</v>
      </c>
      <c r="R123" s="30" t="s">
        <v>185</v>
      </c>
      <c r="S123" s="81">
        <f>HLOOKUP(L123,データについて!$J$6:$M$18,13,FALSE)</f>
        <v>1</v>
      </c>
      <c r="T123" s="81">
        <f>HLOOKUP(M123,データについて!$J$7:$M$18,12,FALSE)</f>
        <v>2</v>
      </c>
      <c r="U123" s="81">
        <f>HLOOKUP(N123,データについて!$J$8:$M$18,11,FALSE)</f>
        <v>2</v>
      </c>
      <c r="V123" s="81">
        <f>HLOOKUP(O123,データについて!$J$9:$M$18,10,FALSE)</f>
        <v>1</v>
      </c>
      <c r="W123" s="81">
        <f>HLOOKUP(P123,データについて!$J$10:$M$18,9,FALSE)</f>
        <v>1</v>
      </c>
      <c r="X123" s="81">
        <f>HLOOKUP(Q123,データについて!$J$11:$M$18,8,FALSE)</f>
        <v>1</v>
      </c>
      <c r="Y123" s="81">
        <f>HLOOKUP(R123,データについて!$J$12:$M$18,7,FALSE)</f>
        <v>2</v>
      </c>
      <c r="Z123" s="81">
        <f>HLOOKUP(I123,データについて!$J$3:$M$18,16,FALSE)</f>
        <v>2</v>
      </c>
      <c r="AA123" s="81" t="str">
        <f>IFERROR(HLOOKUP(J123,データについて!$J$4:$AH$19,16,FALSE),"")</f>
        <v/>
      </c>
      <c r="AB123" s="81">
        <f>IFERROR(HLOOKUP(K123,データについて!$J$5:$AH$20,14,FALSE),"")</f>
        <v>1</v>
      </c>
      <c r="AC123" s="81">
        <f>IF(X123=1,HLOOKUP(R123,データについて!$J$12:$M$18,7,FALSE),"*")</f>
        <v>2</v>
      </c>
      <c r="AD123" s="81" t="str">
        <f>IF(X123=2,HLOOKUP(R123,データについて!$J$12:$M$18,7,FALSE),"*")</f>
        <v>*</v>
      </c>
    </row>
    <row r="124" spans="1:30">
      <c r="A124" s="30">
        <v>5068</v>
      </c>
      <c r="B124" s="30" t="s">
        <v>4495</v>
      </c>
      <c r="C124" s="30" t="s">
        <v>4496</v>
      </c>
      <c r="D124" s="30" t="s">
        <v>106</v>
      </c>
      <c r="E124" s="30"/>
      <c r="F124" s="30" t="s">
        <v>107</v>
      </c>
      <c r="G124" s="30" t="s">
        <v>106</v>
      </c>
      <c r="H124" s="30"/>
      <c r="I124" s="30" t="s">
        <v>191</v>
      </c>
      <c r="J124" s="30"/>
      <c r="K124" s="30" t="s">
        <v>4342</v>
      </c>
      <c r="L124" s="30" t="s">
        <v>108</v>
      </c>
      <c r="M124" s="30" t="s">
        <v>109</v>
      </c>
      <c r="N124" s="30" t="s">
        <v>119</v>
      </c>
      <c r="O124" s="30" t="s">
        <v>115</v>
      </c>
      <c r="P124" s="30" t="s">
        <v>118</v>
      </c>
      <c r="Q124" s="30" t="s">
        <v>118</v>
      </c>
      <c r="R124" s="30" t="s">
        <v>183</v>
      </c>
      <c r="S124" s="81">
        <f>HLOOKUP(L124,データについて!$J$6:$M$18,13,FALSE)</f>
        <v>1</v>
      </c>
      <c r="T124" s="81">
        <f>HLOOKUP(M124,データについて!$J$7:$M$18,12,FALSE)</f>
        <v>2</v>
      </c>
      <c r="U124" s="81">
        <f>HLOOKUP(N124,データについて!$J$8:$M$18,11,FALSE)</f>
        <v>4</v>
      </c>
      <c r="V124" s="81">
        <f>HLOOKUP(O124,データについて!$J$9:$M$18,10,FALSE)</f>
        <v>1</v>
      </c>
      <c r="W124" s="81">
        <f>HLOOKUP(P124,データについて!$J$10:$M$18,9,FALSE)</f>
        <v>2</v>
      </c>
      <c r="X124" s="81">
        <f>HLOOKUP(Q124,データについて!$J$11:$M$18,8,FALSE)</f>
        <v>2</v>
      </c>
      <c r="Y124" s="81">
        <f>HLOOKUP(R124,データについて!$J$12:$M$18,7,FALSE)</f>
        <v>1</v>
      </c>
      <c r="Z124" s="81">
        <f>HLOOKUP(I124,データについて!$J$3:$M$18,16,FALSE)</f>
        <v>2</v>
      </c>
      <c r="AA124" s="81" t="str">
        <f>IFERROR(HLOOKUP(J124,データについて!$J$4:$AH$19,16,FALSE),"")</f>
        <v/>
      </c>
      <c r="AB124" s="81">
        <f>IFERROR(HLOOKUP(K124,データについて!$J$5:$AH$20,14,FALSE),"")</f>
        <v>1</v>
      </c>
      <c r="AC124" s="81" t="str">
        <f>IF(X124=1,HLOOKUP(R124,データについて!$J$12:$M$18,7,FALSE),"*")</f>
        <v>*</v>
      </c>
      <c r="AD124" s="81">
        <f>IF(X124=2,HLOOKUP(R124,データについて!$J$12:$M$18,7,FALSE),"*")</f>
        <v>1</v>
      </c>
    </row>
    <row r="125" spans="1:30">
      <c r="A125" s="30">
        <v>5067</v>
      </c>
      <c r="B125" s="30" t="s">
        <v>4497</v>
      </c>
      <c r="C125" s="30" t="s">
        <v>4498</v>
      </c>
      <c r="D125" s="30" t="s">
        <v>106</v>
      </c>
      <c r="E125" s="30"/>
      <c r="F125" s="30" t="s">
        <v>107</v>
      </c>
      <c r="G125" s="30" t="s">
        <v>106</v>
      </c>
      <c r="H125" s="30"/>
      <c r="I125" s="30" t="s">
        <v>191</v>
      </c>
      <c r="J125" s="30"/>
      <c r="K125" s="30" t="s">
        <v>4342</v>
      </c>
      <c r="L125" s="30" t="s">
        <v>117</v>
      </c>
      <c r="M125" s="30" t="s">
        <v>124</v>
      </c>
      <c r="N125" s="30" t="s">
        <v>110</v>
      </c>
      <c r="O125" s="30" t="s">
        <v>115</v>
      </c>
      <c r="P125" s="30" t="s">
        <v>118</v>
      </c>
      <c r="Q125" s="30" t="s">
        <v>118</v>
      </c>
      <c r="R125" s="30" t="s">
        <v>189</v>
      </c>
      <c r="S125" s="81">
        <f>HLOOKUP(L125,データについて!$J$6:$M$18,13,FALSE)</f>
        <v>2</v>
      </c>
      <c r="T125" s="81">
        <f>HLOOKUP(M125,データについて!$J$7:$M$18,12,FALSE)</f>
        <v>3</v>
      </c>
      <c r="U125" s="81">
        <f>HLOOKUP(N125,データについて!$J$8:$M$18,11,FALSE)</f>
        <v>2</v>
      </c>
      <c r="V125" s="81">
        <f>HLOOKUP(O125,データについて!$J$9:$M$18,10,FALSE)</f>
        <v>1</v>
      </c>
      <c r="W125" s="81">
        <f>HLOOKUP(P125,データについて!$J$10:$M$18,9,FALSE)</f>
        <v>2</v>
      </c>
      <c r="X125" s="81">
        <f>HLOOKUP(Q125,データについて!$J$11:$M$18,8,FALSE)</f>
        <v>2</v>
      </c>
      <c r="Y125" s="81">
        <f>HLOOKUP(R125,データについて!$J$12:$M$18,7,FALSE)</f>
        <v>4</v>
      </c>
      <c r="Z125" s="81">
        <f>HLOOKUP(I125,データについて!$J$3:$M$18,16,FALSE)</f>
        <v>2</v>
      </c>
      <c r="AA125" s="81" t="str">
        <f>IFERROR(HLOOKUP(J125,データについて!$J$4:$AH$19,16,FALSE),"")</f>
        <v/>
      </c>
      <c r="AB125" s="81">
        <f>IFERROR(HLOOKUP(K125,データについて!$J$5:$AH$20,14,FALSE),"")</f>
        <v>1</v>
      </c>
      <c r="AC125" s="81" t="str">
        <f>IF(X125=1,HLOOKUP(R125,データについて!$J$12:$M$18,7,FALSE),"*")</f>
        <v>*</v>
      </c>
      <c r="AD125" s="81">
        <f>IF(X125=2,HLOOKUP(R125,データについて!$J$12:$M$18,7,FALSE),"*")</f>
        <v>4</v>
      </c>
    </row>
    <row r="126" spans="1:30">
      <c r="A126" s="30">
        <v>5066</v>
      </c>
      <c r="B126" s="30" t="s">
        <v>4499</v>
      </c>
      <c r="C126" s="30" t="s">
        <v>4500</v>
      </c>
      <c r="D126" s="30" t="s">
        <v>106</v>
      </c>
      <c r="E126" s="30"/>
      <c r="F126" s="30" t="s">
        <v>107</v>
      </c>
      <c r="G126" s="30" t="s">
        <v>106</v>
      </c>
      <c r="H126" s="30"/>
      <c r="I126" s="30" t="s">
        <v>191</v>
      </c>
      <c r="J126" s="30"/>
      <c r="K126" s="30" t="s">
        <v>4342</v>
      </c>
      <c r="L126" s="30" t="s">
        <v>117</v>
      </c>
      <c r="M126" s="30" t="s">
        <v>113</v>
      </c>
      <c r="N126" s="30" t="s">
        <v>114</v>
      </c>
      <c r="O126" s="30" t="s">
        <v>115</v>
      </c>
      <c r="P126" s="30" t="s">
        <v>112</v>
      </c>
      <c r="Q126" s="30" t="s">
        <v>118</v>
      </c>
      <c r="R126" s="30" t="s">
        <v>183</v>
      </c>
      <c r="S126" s="81">
        <f>HLOOKUP(L126,データについて!$J$6:$M$18,13,FALSE)</f>
        <v>2</v>
      </c>
      <c r="T126" s="81">
        <f>HLOOKUP(M126,データについて!$J$7:$M$18,12,FALSE)</f>
        <v>1</v>
      </c>
      <c r="U126" s="81">
        <f>HLOOKUP(N126,データについて!$J$8:$M$18,11,FALSE)</f>
        <v>1</v>
      </c>
      <c r="V126" s="81">
        <f>HLOOKUP(O126,データについて!$J$9:$M$18,10,FALSE)</f>
        <v>1</v>
      </c>
      <c r="W126" s="81">
        <f>HLOOKUP(P126,データについて!$J$10:$M$18,9,FALSE)</f>
        <v>1</v>
      </c>
      <c r="X126" s="81">
        <f>HLOOKUP(Q126,データについて!$J$11:$M$18,8,FALSE)</f>
        <v>2</v>
      </c>
      <c r="Y126" s="81">
        <f>HLOOKUP(R126,データについて!$J$12:$M$18,7,FALSE)</f>
        <v>1</v>
      </c>
      <c r="Z126" s="81">
        <f>HLOOKUP(I126,データについて!$J$3:$M$18,16,FALSE)</f>
        <v>2</v>
      </c>
      <c r="AA126" s="81" t="str">
        <f>IFERROR(HLOOKUP(J126,データについて!$J$4:$AH$19,16,FALSE),"")</f>
        <v/>
      </c>
      <c r="AB126" s="81">
        <f>IFERROR(HLOOKUP(K126,データについて!$J$5:$AH$20,14,FALSE),"")</f>
        <v>1</v>
      </c>
      <c r="AC126" s="81" t="str">
        <f>IF(X126=1,HLOOKUP(R126,データについて!$J$12:$M$18,7,FALSE),"*")</f>
        <v>*</v>
      </c>
      <c r="AD126" s="81">
        <f>IF(X126=2,HLOOKUP(R126,データについて!$J$12:$M$18,7,FALSE),"*")</f>
        <v>1</v>
      </c>
    </row>
    <row r="127" spans="1:30">
      <c r="A127" s="30">
        <v>5065</v>
      </c>
      <c r="B127" s="30" t="s">
        <v>4501</v>
      </c>
      <c r="C127" s="30" t="s">
        <v>4502</v>
      </c>
      <c r="D127" s="30" t="s">
        <v>106</v>
      </c>
      <c r="E127" s="30"/>
      <c r="F127" s="30" t="s">
        <v>107</v>
      </c>
      <c r="G127" s="30" t="s">
        <v>106</v>
      </c>
      <c r="H127" s="30"/>
      <c r="I127" s="30" t="s">
        <v>191</v>
      </c>
      <c r="J127" s="30"/>
      <c r="K127" s="30" t="s">
        <v>4342</v>
      </c>
      <c r="L127" s="30" t="s">
        <v>117</v>
      </c>
      <c r="M127" s="30" t="s">
        <v>113</v>
      </c>
      <c r="N127" s="30" t="s">
        <v>114</v>
      </c>
      <c r="O127" s="30" t="s">
        <v>115</v>
      </c>
      <c r="P127" s="30" t="s">
        <v>112</v>
      </c>
      <c r="Q127" s="30" t="s">
        <v>118</v>
      </c>
      <c r="R127" s="30" t="s">
        <v>183</v>
      </c>
      <c r="S127" s="81">
        <f>HLOOKUP(L127,データについて!$J$6:$M$18,13,FALSE)</f>
        <v>2</v>
      </c>
      <c r="T127" s="81">
        <f>HLOOKUP(M127,データについて!$J$7:$M$18,12,FALSE)</f>
        <v>1</v>
      </c>
      <c r="U127" s="81">
        <f>HLOOKUP(N127,データについて!$J$8:$M$18,11,FALSE)</f>
        <v>1</v>
      </c>
      <c r="V127" s="81">
        <f>HLOOKUP(O127,データについて!$J$9:$M$18,10,FALSE)</f>
        <v>1</v>
      </c>
      <c r="W127" s="81">
        <f>HLOOKUP(P127,データについて!$J$10:$M$18,9,FALSE)</f>
        <v>1</v>
      </c>
      <c r="X127" s="81">
        <f>HLOOKUP(Q127,データについて!$J$11:$M$18,8,FALSE)</f>
        <v>2</v>
      </c>
      <c r="Y127" s="81">
        <f>HLOOKUP(R127,データについて!$J$12:$M$18,7,FALSE)</f>
        <v>1</v>
      </c>
      <c r="Z127" s="81">
        <f>HLOOKUP(I127,データについて!$J$3:$M$18,16,FALSE)</f>
        <v>2</v>
      </c>
      <c r="AA127" s="81" t="str">
        <f>IFERROR(HLOOKUP(J127,データについて!$J$4:$AH$19,16,FALSE),"")</f>
        <v/>
      </c>
      <c r="AB127" s="81">
        <f>IFERROR(HLOOKUP(K127,データについて!$J$5:$AH$20,14,FALSE),"")</f>
        <v>1</v>
      </c>
      <c r="AC127" s="81" t="str">
        <f>IF(X127=1,HLOOKUP(R127,データについて!$J$12:$M$18,7,FALSE),"*")</f>
        <v>*</v>
      </c>
      <c r="AD127" s="81">
        <f>IF(X127=2,HLOOKUP(R127,データについて!$J$12:$M$18,7,FALSE),"*")</f>
        <v>1</v>
      </c>
    </row>
    <row r="128" spans="1:30">
      <c r="A128" s="30">
        <v>5064</v>
      </c>
      <c r="B128" s="30" t="s">
        <v>4503</v>
      </c>
      <c r="C128" s="30" t="s">
        <v>4504</v>
      </c>
      <c r="D128" s="30" t="s">
        <v>106</v>
      </c>
      <c r="E128" s="30"/>
      <c r="F128" s="30" t="s">
        <v>107</v>
      </c>
      <c r="G128" s="30" t="s">
        <v>106</v>
      </c>
      <c r="H128" s="30"/>
      <c r="I128" s="30" t="s">
        <v>191</v>
      </c>
      <c r="J128" s="30"/>
      <c r="K128" s="30" t="s">
        <v>4342</v>
      </c>
      <c r="L128" s="30" t="s">
        <v>108</v>
      </c>
      <c r="M128" s="30" t="s">
        <v>113</v>
      </c>
      <c r="N128" s="30" t="s">
        <v>114</v>
      </c>
      <c r="O128" s="30" t="s">
        <v>115</v>
      </c>
      <c r="P128" s="30" t="s">
        <v>112</v>
      </c>
      <c r="Q128" s="30" t="s">
        <v>112</v>
      </c>
      <c r="R128" s="30" t="s">
        <v>183</v>
      </c>
      <c r="S128" s="81">
        <f>HLOOKUP(L128,データについて!$J$6:$M$18,13,FALSE)</f>
        <v>1</v>
      </c>
      <c r="T128" s="81">
        <f>HLOOKUP(M128,データについて!$J$7:$M$18,12,FALSE)</f>
        <v>1</v>
      </c>
      <c r="U128" s="81">
        <f>HLOOKUP(N128,データについて!$J$8:$M$18,11,FALSE)</f>
        <v>1</v>
      </c>
      <c r="V128" s="81">
        <f>HLOOKUP(O128,データについて!$J$9:$M$18,10,FALSE)</f>
        <v>1</v>
      </c>
      <c r="W128" s="81">
        <f>HLOOKUP(P128,データについて!$J$10:$M$18,9,FALSE)</f>
        <v>1</v>
      </c>
      <c r="X128" s="81">
        <f>HLOOKUP(Q128,データについて!$J$11:$M$18,8,FALSE)</f>
        <v>1</v>
      </c>
      <c r="Y128" s="81">
        <f>HLOOKUP(R128,データについて!$J$12:$M$18,7,FALSE)</f>
        <v>1</v>
      </c>
      <c r="Z128" s="81">
        <f>HLOOKUP(I128,データについて!$J$3:$M$18,16,FALSE)</f>
        <v>2</v>
      </c>
      <c r="AA128" s="81" t="str">
        <f>IFERROR(HLOOKUP(J128,データについて!$J$4:$AH$19,16,FALSE),"")</f>
        <v/>
      </c>
      <c r="AB128" s="81">
        <f>IFERROR(HLOOKUP(K128,データについて!$J$5:$AH$20,14,FALSE),"")</f>
        <v>1</v>
      </c>
      <c r="AC128" s="81">
        <f>IF(X128=1,HLOOKUP(R128,データについて!$J$12:$M$18,7,FALSE),"*")</f>
        <v>1</v>
      </c>
      <c r="AD128" s="81" t="str">
        <f>IF(X128=2,HLOOKUP(R128,データについて!$J$12:$M$18,7,FALSE),"*")</f>
        <v>*</v>
      </c>
    </row>
    <row r="129" spans="1:30">
      <c r="A129" s="30">
        <v>5063</v>
      </c>
      <c r="B129" s="30" t="s">
        <v>4505</v>
      </c>
      <c r="C129" s="30" t="s">
        <v>4506</v>
      </c>
      <c r="D129" s="30" t="s">
        <v>106</v>
      </c>
      <c r="E129" s="30"/>
      <c r="F129" s="30" t="s">
        <v>107</v>
      </c>
      <c r="G129" s="30" t="s">
        <v>106</v>
      </c>
      <c r="H129" s="30"/>
      <c r="I129" s="30" t="s">
        <v>191</v>
      </c>
      <c r="J129" s="30"/>
      <c r="K129" s="30" t="s">
        <v>4342</v>
      </c>
      <c r="L129" s="30" t="s">
        <v>108</v>
      </c>
      <c r="M129" s="30" t="s">
        <v>113</v>
      </c>
      <c r="N129" s="30" t="s">
        <v>122</v>
      </c>
      <c r="O129" s="30" t="s">
        <v>111</v>
      </c>
      <c r="P129" s="30" t="s">
        <v>112</v>
      </c>
      <c r="Q129" s="30" t="s">
        <v>112</v>
      </c>
      <c r="R129" s="30" t="s">
        <v>183</v>
      </c>
      <c r="S129" s="81">
        <f>HLOOKUP(L129,データについて!$J$6:$M$18,13,FALSE)</f>
        <v>1</v>
      </c>
      <c r="T129" s="81">
        <f>HLOOKUP(M129,データについて!$J$7:$M$18,12,FALSE)</f>
        <v>1</v>
      </c>
      <c r="U129" s="81">
        <f>HLOOKUP(N129,データについて!$J$8:$M$18,11,FALSE)</f>
        <v>3</v>
      </c>
      <c r="V129" s="81">
        <f>HLOOKUP(O129,データについて!$J$9:$M$18,10,FALSE)</f>
        <v>3</v>
      </c>
      <c r="W129" s="81">
        <f>HLOOKUP(P129,データについて!$J$10:$M$18,9,FALSE)</f>
        <v>1</v>
      </c>
      <c r="X129" s="81">
        <f>HLOOKUP(Q129,データについて!$J$11:$M$18,8,FALSE)</f>
        <v>1</v>
      </c>
      <c r="Y129" s="81">
        <f>HLOOKUP(R129,データについて!$J$12:$M$18,7,FALSE)</f>
        <v>1</v>
      </c>
      <c r="Z129" s="81">
        <f>HLOOKUP(I129,データについて!$J$3:$M$18,16,FALSE)</f>
        <v>2</v>
      </c>
      <c r="AA129" s="81" t="str">
        <f>IFERROR(HLOOKUP(J129,データについて!$J$4:$AH$19,16,FALSE),"")</f>
        <v/>
      </c>
      <c r="AB129" s="81">
        <f>IFERROR(HLOOKUP(K129,データについて!$J$5:$AH$20,14,FALSE),"")</f>
        <v>1</v>
      </c>
      <c r="AC129" s="81">
        <f>IF(X129=1,HLOOKUP(R129,データについて!$J$12:$M$18,7,FALSE),"*")</f>
        <v>1</v>
      </c>
      <c r="AD129" s="81" t="str">
        <f>IF(X129=2,HLOOKUP(R129,データについて!$J$12:$M$18,7,FALSE),"*")</f>
        <v>*</v>
      </c>
    </row>
    <row r="130" spans="1:30">
      <c r="A130" s="30">
        <v>5062</v>
      </c>
      <c r="B130" s="30" t="s">
        <v>4507</v>
      </c>
      <c r="C130" s="30" t="s">
        <v>4508</v>
      </c>
      <c r="D130" s="30" t="s">
        <v>106</v>
      </c>
      <c r="E130" s="30"/>
      <c r="F130" s="30" t="s">
        <v>107</v>
      </c>
      <c r="G130" s="30" t="s">
        <v>106</v>
      </c>
      <c r="H130" s="30"/>
      <c r="I130" s="30" t="s">
        <v>191</v>
      </c>
      <c r="J130" s="30"/>
      <c r="K130" s="30" t="s">
        <v>4342</v>
      </c>
      <c r="L130" s="30" t="s">
        <v>108</v>
      </c>
      <c r="M130" s="30" t="s">
        <v>113</v>
      </c>
      <c r="N130" s="30" t="s">
        <v>114</v>
      </c>
      <c r="O130" s="30" t="s">
        <v>115</v>
      </c>
      <c r="P130" s="30" t="s">
        <v>118</v>
      </c>
      <c r="Q130" s="30" t="s">
        <v>112</v>
      </c>
      <c r="R130" s="30" t="s">
        <v>185</v>
      </c>
      <c r="S130" s="81">
        <f>HLOOKUP(L130,データについて!$J$6:$M$18,13,FALSE)</f>
        <v>1</v>
      </c>
      <c r="T130" s="81">
        <f>HLOOKUP(M130,データについて!$J$7:$M$18,12,FALSE)</f>
        <v>1</v>
      </c>
      <c r="U130" s="81">
        <f>HLOOKUP(N130,データについて!$J$8:$M$18,11,FALSE)</f>
        <v>1</v>
      </c>
      <c r="V130" s="81">
        <f>HLOOKUP(O130,データについて!$J$9:$M$18,10,FALSE)</f>
        <v>1</v>
      </c>
      <c r="W130" s="81">
        <f>HLOOKUP(P130,データについて!$J$10:$M$18,9,FALSE)</f>
        <v>2</v>
      </c>
      <c r="X130" s="81">
        <f>HLOOKUP(Q130,データについて!$J$11:$M$18,8,FALSE)</f>
        <v>1</v>
      </c>
      <c r="Y130" s="81">
        <f>HLOOKUP(R130,データについて!$J$12:$M$18,7,FALSE)</f>
        <v>2</v>
      </c>
      <c r="Z130" s="81">
        <f>HLOOKUP(I130,データについて!$J$3:$M$18,16,FALSE)</f>
        <v>2</v>
      </c>
      <c r="AA130" s="81" t="str">
        <f>IFERROR(HLOOKUP(J130,データについて!$J$4:$AH$19,16,FALSE),"")</f>
        <v/>
      </c>
      <c r="AB130" s="81">
        <f>IFERROR(HLOOKUP(K130,データについて!$J$5:$AH$20,14,FALSE),"")</f>
        <v>1</v>
      </c>
      <c r="AC130" s="81">
        <f>IF(X130=1,HLOOKUP(R130,データについて!$J$12:$M$18,7,FALSE),"*")</f>
        <v>2</v>
      </c>
      <c r="AD130" s="81" t="str">
        <f>IF(X130=2,HLOOKUP(R130,データについて!$J$12:$M$18,7,FALSE),"*")</f>
        <v>*</v>
      </c>
    </row>
    <row r="131" spans="1:30">
      <c r="A131" s="30">
        <v>5061</v>
      </c>
      <c r="B131" s="30" t="s">
        <v>4509</v>
      </c>
      <c r="C131" s="30" t="s">
        <v>4510</v>
      </c>
      <c r="D131" s="30" t="s">
        <v>106</v>
      </c>
      <c r="E131" s="30"/>
      <c r="F131" s="30" t="s">
        <v>107</v>
      </c>
      <c r="G131" s="30" t="s">
        <v>106</v>
      </c>
      <c r="H131" s="30"/>
      <c r="I131" s="30" t="s">
        <v>191</v>
      </c>
      <c r="J131" s="30"/>
      <c r="K131" s="30" t="s">
        <v>4342</v>
      </c>
      <c r="L131" s="30" t="s">
        <v>117</v>
      </c>
      <c r="M131" s="30" t="s">
        <v>113</v>
      </c>
      <c r="N131" s="30" t="s">
        <v>114</v>
      </c>
      <c r="O131" s="30" t="s">
        <v>115</v>
      </c>
      <c r="P131" s="30" t="s">
        <v>112</v>
      </c>
      <c r="Q131" s="30" t="s">
        <v>112</v>
      </c>
      <c r="R131" s="30" t="s">
        <v>183</v>
      </c>
      <c r="S131" s="81">
        <f>HLOOKUP(L131,データについて!$J$6:$M$18,13,FALSE)</f>
        <v>2</v>
      </c>
      <c r="T131" s="81">
        <f>HLOOKUP(M131,データについて!$J$7:$M$18,12,FALSE)</f>
        <v>1</v>
      </c>
      <c r="U131" s="81">
        <f>HLOOKUP(N131,データについて!$J$8:$M$18,11,FALSE)</f>
        <v>1</v>
      </c>
      <c r="V131" s="81">
        <f>HLOOKUP(O131,データについて!$J$9:$M$18,10,FALSE)</f>
        <v>1</v>
      </c>
      <c r="W131" s="81">
        <f>HLOOKUP(P131,データについて!$J$10:$M$18,9,FALSE)</f>
        <v>1</v>
      </c>
      <c r="X131" s="81">
        <f>HLOOKUP(Q131,データについて!$J$11:$M$18,8,FALSE)</f>
        <v>1</v>
      </c>
      <c r="Y131" s="81">
        <f>HLOOKUP(R131,データについて!$J$12:$M$18,7,FALSE)</f>
        <v>1</v>
      </c>
      <c r="Z131" s="81">
        <f>HLOOKUP(I131,データについて!$J$3:$M$18,16,FALSE)</f>
        <v>2</v>
      </c>
      <c r="AA131" s="81" t="str">
        <f>IFERROR(HLOOKUP(J131,データについて!$J$4:$AH$19,16,FALSE),"")</f>
        <v/>
      </c>
      <c r="AB131" s="81">
        <f>IFERROR(HLOOKUP(K131,データについて!$J$5:$AH$20,14,FALSE),"")</f>
        <v>1</v>
      </c>
      <c r="AC131" s="81">
        <f>IF(X131=1,HLOOKUP(R131,データについて!$J$12:$M$18,7,FALSE),"*")</f>
        <v>1</v>
      </c>
      <c r="AD131" s="81" t="str">
        <f>IF(X131=2,HLOOKUP(R131,データについて!$J$12:$M$18,7,FALSE),"*")</f>
        <v>*</v>
      </c>
    </row>
    <row r="132" spans="1:30">
      <c r="A132" s="30">
        <v>5060</v>
      </c>
      <c r="B132" s="30" t="s">
        <v>4511</v>
      </c>
      <c r="C132" s="30" t="s">
        <v>4512</v>
      </c>
      <c r="D132" s="30" t="s">
        <v>106</v>
      </c>
      <c r="E132" s="30"/>
      <c r="F132" s="30" t="s">
        <v>107</v>
      </c>
      <c r="G132" s="30" t="s">
        <v>106</v>
      </c>
      <c r="H132" s="30"/>
      <c r="I132" s="30" t="s">
        <v>192</v>
      </c>
      <c r="J132" s="30" t="s">
        <v>4412</v>
      </c>
      <c r="K132" s="30"/>
      <c r="L132" s="30" t="s">
        <v>108</v>
      </c>
      <c r="M132" s="30" t="s">
        <v>113</v>
      </c>
      <c r="N132" s="30" t="s">
        <v>114</v>
      </c>
      <c r="O132" s="30" t="s">
        <v>115</v>
      </c>
      <c r="P132" s="30" t="s">
        <v>112</v>
      </c>
      <c r="Q132" s="30" t="s">
        <v>112</v>
      </c>
      <c r="R132" s="30" t="s">
        <v>183</v>
      </c>
      <c r="S132" s="81">
        <f>HLOOKUP(L132,データについて!$J$6:$M$18,13,FALSE)</f>
        <v>1</v>
      </c>
      <c r="T132" s="81">
        <f>HLOOKUP(M132,データについて!$J$7:$M$18,12,FALSE)</f>
        <v>1</v>
      </c>
      <c r="U132" s="81">
        <f>HLOOKUP(N132,データについて!$J$8:$M$18,11,FALSE)</f>
        <v>1</v>
      </c>
      <c r="V132" s="81">
        <f>HLOOKUP(O132,データについて!$J$9:$M$18,10,FALSE)</f>
        <v>1</v>
      </c>
      <c r="W132" s="81">
        <f>HLOOKUP(P132,データについて!$J$10:$M$18,9,FALSE)</f>
        <v>1</v>
      </c>
      <c r="X132" s="81">
        <f>HLOOKUP(Q132,データについて!$J$11:$M$18,8,FALSE)</f>
        <v>1</v>
      </c>
      <c r="Y132" s="81">
        <f>HLOOKUP(R132,データについて!$J$12:$M$18,7,FALSE)</f>
        <v>1</v>
      </c>
      <c r="Z132" s="81">
        <f>HLOOKUP(I132,データについて!$J$3:$M$18,16,FALSE)</f>
        <v>1</v>
      </c>
      <c r="AA132" s="81">
        <f>IFERROR(HLOOKUP(J132,データについて!$J$4:$AH$19,16,FALSE),"")</f>
        <v>2</v>
      </c>
      <c r="AB132" s="81" t="str">
        <f>IFERROR(HLOOKUP(K132,データについて!$J$5:$AH$20,14,FALSE),"")</f>
        <v/>
      </c>
      <c r="AC132" s="81">
        <f>IF(X132=1,HLOOKUP(R132,データについて!$J$12:$M$18,7,FALSE),"*")</f>
        <v>1</v>
      </c>
      <c r="AD132" s="81" t="str">
        <f>IF(X132=2,HLOOKUP(R132,データについて!$J$12:$M$18,7,FALSE),"*")</f>
        <v>*</v>
      </c>
    </row>
    <row r="133" spans="1:30">
      <c r="A133" s="30">
        <v>5059</v>
      </c>
      <c r="B133" s="30" t="s">
        <v>4513</v>
      </c>
      <c r="C133" s="30" t="s">
        <v>4514</v>
      </c>
      <c r="D133" s="30" t="s">
        <v>106</v>
      </c>
      <c r="E133" s="30"/>
      <c r="F133" s="30" t="s">
        <v>107</v>
      </c>
      <c r="G133" s="30" t="s">
        <v>106</v>
      </c>
      <c r="H133" s="30"/>
      <c r="I133" s="30" t="s">
        <v>192</v>
      </c>
      <c r="J133" s="30" t="s">
        <v>4412</v>
      </c>
      <c r="K133" s="30"/>
      <c r="L133" s="30" t="s">
        <v>117</v>
      </c>
      <c r="M133" s="30" t="s">
        <v>109</v>
      </c>
      <c r="N133" s="30" t="s">
        <v>114</v>
      </c>
      <c r="O133" s="30" t="s">
        <v>123</v>
      </c>
      <c r="P133" s="30" t="s">
        <v>112</v>
      </c>
      <c r="Q133" s="30" t="s">
        <v>112</v>
      </c>
      <c r="R133" s="30" t="s">
        <v>185</v>
      </c>
      <c r="S133" s="81">
        <f>HLOOKUP(L133,データについて!$J$6:$M$18,13,FALSE)</f>
        <v>2</v>
      </c>
      <c r="T133" s="81">
        <f>HLOOKUP(M133,データについて!$J$7:$M$18,12,FALSE)</f>
        <v>2</v>
      </c>
      <c r="U133" s="81">
        <f>HLOOKUP(N133,データについて!$J$8:$M$18,11,FALSE)</f>
        <v>1</v>
      </c>
      <c r="V133" s="81">
        <f>HLOOKUP(O133,データについて!$J$9:$M$18,10,FALSE)</f>
        <v>4</v>
      </c>
      <c r="W133" s="81">
        <f>HLOOKUP(P133,データについて!$J$10:$M$18,9,FALSE)</f>
        <v>1</v>
      </c>
      <c r="X133" s="81">
        <f>HLOOKUP(Q133,データについて!$J$11:$M$18,8,FALSE)</f>
        <v>1</v>
      </c>
      <c r="Y133" s="81">
        <f>HLOOKUP(R133,データについて!$J$12:$M$18,7,FALSE)</f>
        <v>2</v>
      </c>
      <c r="Z133" s="81">
        <f>HLOOKUP(I133,データについて!$J$3:$M$18,16,FALSE)</f>
        <v>1</v>
      </c>
      <c r="AA133" s="81">
        <f>IFERROR(HLOOKUP(J133,データについて!$J$4:$AH$19,16,FALSE),"")</f>
        <v>2</v>
      </c>
      <c r="AB133" s="81" t="str">
        <f>IFERROR(HLOOKUP(K133,データについて!$J$5:$AH$20,14,FALSE),"")</f>
        <v/>
      </c>
      <c r="AC133" s="81">
        <f>IF(X133=1,HLOOKUP(R133,データについて!$J$12:$M$18,7,FALSE),"*")</f>
        <v>2</v>
      </c>
      <c r="AD133" s="81" t="str">
        <f>IF(X133=2,HLOOKUP(R133,データについて!$J$12:$M$18,7,FALSE),"*")</f>
        <v>*</v>
      </c>
    </row>
    <row r="134" spans="1:30">
      <c r="A134" s="30">
        <v>5058</v>
      </c>
      <c r="B134" s="30" t="s">
        <v>4515</v>
      </c>
      <c r="C134" s="30" t="s">
        <v>4514</v>
      </c>
      <c r="D134" s="30" t="s">
        <v>106</v>
      </c>
      <c r="E134" s="30"/>
      <c r="F134" s="30" t="s">
        <v>107</v>
      </c>
      <c r="G134" s="30" t="s">
        <v>106</v>
      </c>
      <c r="H134" s="30"/>
      <c r="I134" s="30" t="s">
        <v>191</v>
      </c>
      <c r="J134" s="30"/>
      <c r="K134" s="30" t="s">
        <v>4342</v>
      </c>
      <c r="L134" s="30" t="s">
        <v>108</v>
      </c>
      <c r="M134" s="30" t="s">
        <v>113</v>
      </c>
      <c r="N134" s="30" t="s">
        <v>114</v>
      </c>
      <c r="O134" s="30" t="s">
        <v>115</v>
      </c>
      <c r="P134" s="30" t="s">
        <v>112</v>
      </c>
      <c r="Q134" s="30" t="s">
        <v>112</v>
      </c>
      <c r="R134" s="30" t="s">
        <v>183</v>
      </c>
      <c r="S134" s="81">
        <f>HLOOKUP(L134,データについて!$J$6:$M$18,13,FALSE)</f>
        <v>1</v>
      </c>
      <c r="T134" s="81">
        <f>HLOOKUP(M134,データについて!$J$7:$M$18,12,FALSE)</f>
        <v>1</v>
      </c>
      <c r="U134" s="81">
        <f>HLOOKUP(N134,データについて!$J$8:$M$18,11,FALSE)</f>
        <v>1</v>
      </c>
      <c r="V134" s="81">
        <f>HLOOKUP(O134,データについて!$J$9:$M$18,10,FALSE)</f>
        <v>1</v>
      </c>
      <c r="W134" s="81">
        <f>HLOOKUP(P134,データについて!$J$10:$M$18,9,FALSE)</f>
        <v>1</v>
      </c>
      <c r="X134" s="81">
        <f>HLOOKUP(Q134,データについて!$J$11:$M$18,8,FALSE)</f>
        <v>1</v>
      </c>
      <c r="Y134" s="81">
        <f>HLOOKUP(R134,データについて!$J$12:$M$18,7,FALSE)</f>
        <v>1</v>
      </c>
      <c r="Z134" s="81">
        <f>HLOOKUP(I134,データについて!$J$3:$M$18,16,FALSE)</f>
        <v>2</v>
      </c>
      <c r="AA134" s="81" t="str">
        <f>IFERROR(HLOOKUP(J134,データについて!$J$4:$AH$19,16,FALSE),"")</f>
        <v/>
      </c>
      <c r="AB134" s="81">
        <f>IFERROR(HLOOKUP(K134,データについて!$J$5:$AH$20,14,FALSE),"")</f>
        <v>1</v>
      </c>
      <c r="AC134" s="81">
        <f>IF(X134=1,HLOOKUP(R134,データについて!$J$12:$M$18,7,FALSE),"*")</f>
        <v>1</v>
      </c>
      <c r="AD134" s="81" t="str">
        <f>IF(X134=2,HLOOKUP(R134,データについて!$J$12:$M$18,7,FALSE),"*")</f>
        <v>*</v>
      </c>
    </row>
    <row r="135" spans="1:30">
      <c r="A135" s="30">
        <v>5057</v>
      </c>
      <c r="B135" s="30" t="s">
        <v>4516</v>
      </c>
      <c r="C135" s="30" t="s">
        <v>4517</v>
      </c>
      <c r="D135" s="30" t="s">
        <v>106</v>
      </c>
      <c r="E135" s="30"/>
      <c r="F135" s="30" t="s">
        <v>107</v>
      </c>
      <c r="G135" s="30" t="s">
        <v>106</v>
      </c>
      <c r="H135" s="30"/>
      <c r="I135" s="30" t="s">
        <v>191</v>
      </c>
      <c r="J135" s="30"/>
      <c r="K135" s="30" t="s">
        <v>4342</v>
      </c>
      <c r="L135" s="30" t="s">
        <v>117</v>
      </c>
      <c r="M135" s="30" t="s">
        <v>109</v>
      </c>
      <c r="N135" s="30" t="s">
        <v>110</v>
      </c>
      <c r="O135" s="30" t="s">
        <v>115</v>
      </c>
      <c r="P135" s="30" t="s">
        <v>112</v>
      </c>
      <c r="Q135" s="30" t="s">
        <v>112</v>
      </c>
      <c r="R135" s="30" t="s">
        <v>189</v>
      </c>
      <c r="S135" s="81">
        <f>HLOOKUP(L135,データについて!$J$6:$M$18,13,FALSE)</f>
        <v>2</v>
      </c>
      <c r="T135" s="81">
        <f>HLOOKUP(M135,データについて!$J$7:$M$18,12,FALSE)</f>
        <v>2</v>
      </c>
      <c r="U135" s="81">
        <f>HLOOKUP(N135,データについて!$J$8:$M$18,11,FALSE)</f>
        <v>2</v>
      </c>
      <c r="V135" s="81">
        <f>HLOOKUP(O135,データについて!$J$9:$M$18,10,FALSE)</f>
        <v>1</v>
      </c>
      <c r="W135" s="81">
        <f>HLOOKUP(P135,データについて!$J$10:$M$18,9,FALSE)</f>
        <v>1</v>
      </c>
      <c r="X135" s="81">
        <f>HLOOKUP(Q135,データについて!$J$11:$M$18,8,FALSE)</f>
        <v>1</v>
      </c>
      <c r="Y135" s="81">
        <f>HLOOKUP(R135,データについて!$J$12:$M$18,7,FALSE)</f>
        <v>4</v>
      </c>
      <c r="Z135" s="81">
        <f>HLOOKUP(I135,データについて!$J$3:$M$18,16,FALSE)</f>
        <v>2</v>
      </c>
      <c r="AA135" s="81" t="str">
        <f>IFERROR(HLOOKUP(J135,データについて!$J$4:$AH$19,16,FALSE),"")</f>
        <v/>
      </c>
      <c r="AB135" s="81">
        <f>IFERROR(HLOOKUP(K135,データについて!$J$5:$AH$20,14,FALSE),"")</f>
        <v>1</v>
      </c>
      <c r="AC135" s="81">
        <f>IF(X135=1,HLOOKUP(R135,データについて!$J$12:$M$18,7,FALSE),"*")</f>
        <v>4</v>
      </c>
      <c r="AD135" s="81" t="str">
        <f>IF(X135=2,HLOOKUP(R135,データについて!$J$12:$M$18,7,FALSE),"*")</f>
        <v>*</v>
      </c>
    </row>
    <row r="136" spans="1:30">
      <c r="A136" s="30">
        <v>5056</v>
      </c>
      <c r="B136" s="30" t="s">
        <v>4518</v>
      </c>
      <c r="C136" s="30" t="s">
        <v>4519</v>
      </c>
      <c r="D136" s="30" t="s">
        <v>106</v>
      </c>
      <c r="E136" s="30"/>
      <c r="F136" s="30" t="s">
        <v>107</v>
      </c>
      <c r="G136" s="30" t="s">
        <v>106</v>
      </c>
      <c r="H136" s="30"/>
      <c r="I136" s="30" t="s">
        <v>191</v>
      </c>
      <c r="J136" s="30"/>
      <c r="K136" s="30" t="s">
        <v>4342</v>
      </c>
      <c r="L136" s="30" t="s">
        <v>108</v>
      </c>
      <c r="M136" s="30" t="s">
        <v>113</v>
      </c>
      <c r="N136" s="30" t="s">
        <v>114</v>
      </c>
      <c r="O136" s="30" t="s">
        <v>115</v>
      </c>
      <c r="P136" s="30" t="s">
        <v>112</v>
      </c>
      <c r="Q136" s="30" t="s">
        <v>112</v>
      </c>
      <c r="R136" s="30" t="s">
        <v>183</v>
      </c>
      <c r="S136" s="81">
        <f>HLOOKUP(L136,データについて!$J$6:$M$18,13,FALSE)</f>
        <v>1</v>
      </c>
      <c r="T136" s="81">
        <f>HLOOKUP(M136,データについて!$J$7:$M$18,12,FALSE)</f>
        <v>1</v>
      </c>
      <c r="U136" s="81">
        <f>HLOOKUP(N136,データについて!$J$8:$M$18,11,FALSE)</f>
        <v>1</v>
      </c>
      <c r="V136" s="81">
        <f>HLOOKUP(O136,データについて!$J$9:$M$18,10,FALSE)</f>
        <v>1</v>
      </c>
      <c r="W136" s="81">
        <f>HLOOKUP(P136,データについて!$J$10:$M$18,9,FALSE)</f>
        <v>1</v>
      </c>
      <c r="X136" s="81">
        <f>HLOOKUP(Q136,データについて!$J$11:$M$18,8,FALSE)</f>
        <v>1</v>
      </c>
      <c r="Y136" s="81">
        <f>HLOOKUP(R136,データについて!$J$12:$M$18,7,FALSE)</f>
        <v>1</v>
      </c>
      <c r="Z136" s="81">
        <f>HLOOKUP(I136,データについて!$J$3:$M$18,16,FALSE)</f>
        <v>2</v>
      </c>
      <c r="AA136" s="81" t="str">
        <f>IFERROR(HLOOKUP(J136,データについて!$J$4:$AH$19,16,FALSE),"")</f>
        <v/>
      </c>
      <c r="AB136" s="81">
        <f>IFERROR(HLOOKUP(K136,データについて!$J$5:$AH$20,14,FALSE),"")</f>
        <v>1</v>
      </c>
      <c r="AC136" s="81">
        <f>IF(X136=1,HLOOKUP(R136,データについて!$J$12:$M$18,7,FALSE),"*")</f>
        <v>1</v>
      </c>
      <c r="AD136" s="81" t="str">
        <f>IF(X136=2,HLOOKUP(R136,データについて!$J$12:$M$18,7,FALSE),"*")</f>
        <v>*</v>
      </c>
    </row>
    <row r="137" spans="1:30">
      <c r="A137" s="30">
        <v>5055</v>
      </c>
      <c r="B137" s="30" t="s">
        <v>4520</v>
      </c>
      <c r="C137" s="30" t="s">
        <v>4521</v>
      </c>
      <c r="D137" s="30" t="s">
        <v>106</v>
      </c>
      <c r="E137" s="30"/>
      <c r="F137" s="30" t="s">
        <v>107</v>
      </c>
      <c r="G137" s="30" t="s">
        <v>106</v>
      </c>
      <c r="H137" s="30"/>
      <c r="I137" s="30" t="s">
        <v>191</v>
      </c>
      <c r="J137" s="30"/>
      <c r="K137" s="30" t="s">
        <v>126</v>
      </c>
      <c r="L137" s="30" t="s">
        <v>117</v>
      </c>
      <c r="M137" s="30" t="s">
        <v>109</v>
      </c>
      <c r="N137" s="30" t="s">
        <v>110</v>
      </c>
      <c r="O137" s="30" t="s">
        <v>115</v>
      </c>
      <c r="P137" s="30" t="s">
        <v>112</v>
      </c>
      <c r="Q137" s="30" t="s">
        <v>118</v>
      </c>
      <c r="R137" s="30" t="s">
        <v>187</v>
      </c>
      <c r="S137" s="81">
        <f>HLOOKUP(L137,データについて!$J$6:$M$18,13,FALSE)</f>
        <v>2</v>
      </c>
      <c r="T137" s="81">
        <f>HLOOKUP(M137,データについて!$J$7:$M$18,12,FALSE)</f>
        <v>2</v>
      </c>
      <c r="U137" s="81">
        <f>HLOOKUP(N137,データについて!$J$8:$M$18,11,FALSE)</f>
        <v>2</v>
      </c>
      <c r="V137" s="81">
        <f>HLOOKUP(O137,データについて!$J$9:$M$18,10,FALSE)</f>
        <v>1</v>
      </c>
      <c r="W137" s="81">
        <f>HLOOKUP(P137,データについて!$J$10:$M$18,9,FALSE)</f>
        <v>1</v>
      </c>
      <c r="X137" s="81">
        <f>HLOOKUP(Q137,データについて!$J$11:$M$18,8,FALSE)</f>
        <v>2</v>
      </c>
      <c r="Y137" s="81">
        <f>HLOOKUP(R137,データについて!$J$12:$M$18,7,FALSE)</f>
        <v>3</v>
      </c>
      <c r="Z137" s="81">
        <f>HLOOKUP(I137,データについて!$J$3:$M$18,16,FALSE)</f>
        <v>2</v>
      </c>
      <c r="AA137" s="81" t="str">
        <f>IFERROR(HLOOKUP(J137,データについて!$J$4:$AH$19,16,FALSE),"")</f>
        <v/>
      </c>
      <c r="AB137" s="81">
        <f>IFERROR(HLOOKUP(K137,データについて!$J$5:$AH$20,14,FALSE),"")</f>
        <v>0</v>
      </c>
      <c r="AC137" s="81" t="str">
        <f>IF(X137=1,HLOOKUP(R137,データについて!$J$12:$M$18,7,FALSE),"*")</f>
        <v>*</v>
      </c>
      <c r="AD137" s="81">
        <f>IF(X137=2,HLOOKUP(R137,データについて!$J$12:$M$18,7,FALSE),"*")</f>
        <v>3</v>
      </c>
    </row>
    <row r="138" spans="1:30">
      <c r="A138" s="30">
        <v>5054</v>
      </c>
      <c r="B138" s="30" t="s">
        <v>4522</v>
      </c>
      <c r="C138" s="30" t="s">
        <v>4523</v>
      </c>
      <c r="D138" s="30" t="s">
        <v>106</v>
      </c>
      <c r="E138" s="30"/>
      <c r="F138" s="30" t="s">
        <v>107</v>
      </c>
      <c r="G138" s="30" t="s">
        <v>106</v>
      </c>
      <c r="H138" s="30"/>
      <c r="I138" s="30" t="s">
        <v>191</v>
      </c>
      <c r="J138" s="30"/>
      <c r="K138" s="30" t="s">
        <v>4342</v>
      </c>
      <c r="L138" s="30" t="s">
        <v>108</v>
      </c>
      <c r="M138" s="30" t="s">
        <v>109</v>
      </c>
      <c r="N138" s="30" t="s">
        <v>114</v>
      </c>
      <c r="O138" s="30" t="s">
        <v>115</v>
      </c>
      <c r="P138" s="30" t="s">
        <v>118</v>
      </c>
      <c r="Q138" s="30" t="s">
        <v>112</v>
      </c>
      <c r="R138" s="30" t="s">
        <v>185</v>
      </c>
      <c r="S138" s="81">
        <f>HLOOKUP(L138,データについて!$J$6:$M$18,13,FALSE)</f>
        <v>1</v>
      </c>
      <c r="T138" s="81">
        <f>HLOOKUP(M138,データについて!$J$7:$M$18,12,FALSE)</f>
        <v>2</v>
      </c>
      <c r="U138" s="81">
        <f>HLOOKUP(N138,データについて!$J$8:$M$18,11,FALSE)</f>
        <v>1</v>
      </c>
      <c r="V138" s="81">
        <f>HLOOKUP(O138,データについて!$J$9:$M$18,10,FALSE)</f>
        <v>1</v>
      </c>
      <c r="W138" s="81">
        <f>HLOOKUP(P138,データについて!$J$10:$M$18,9,FALSE)</f>
        <v>2</v>
      </c>
      <c r="X138" s="81">
        <f>HLOOKUP(Q138,データについて!$J$11:$M$18,8,FALSE)</f>
        <v>1</v>
      </c>
      <c r="Y138" s="81">
        <f>HLOOKUP(R138,データについて!$J$12:$M$18,7,FALSE)</f>
        <v>2</v>
      </c>
      <c r="Z138" s="81">
        <f>HLOOKUP(I138,データについて!$J$3:$M$18,16,FALSE)</f>
        <v>2</v>
      </c>
      <c r="AA138" s="81" t="str">
        <f>IFERROR(HLOOKUP(J138,データについて!$J$4:$AH$19,16,FALSE),"")</f>
        <v/>
      </c>
      <c r="AB138" s="81">
        <f>IFERROR(HLOOKUP(K138,データについて!$J$5:$AH$20,14,FALSE),"")</f>
        <v>1</v>
      </c>
      <c r="AC138" s="81">
        <f>IF(X138=1,HLOOKUP(R138,データについて!$J$12:$M$18,7,FALSE),"*")</f>
        <v>2</v>
      </c>
      <c r="AD138" s="81" t="str">
        <f>IF(X138=2,HLOOKUP(R138,データについて!$J$12:$M$18,7,FALSE),"*")</f>
        <v>*</v>
      </c>
    </row>
    <row r="139" spans="1:30">
      <c r="A139" s="30">
        <v>5053</v>
      </c>
      <c r="B139" s="30" t="s">
        <v>4524</v>
      </c>
      <c r="C139" s="30" t="s">
        <v>4525</v>
      </c>
      <c r="D139" s="30" t="s">
        <v>106</v>
      </c>
      <c r="E139" s="30"/>
      <c r="F139" s="30" t="s">
        <v>107</v>
      </c>
      <c r="G139" s="30" t="s">
        <v>106</v>
      </c>
      <c r="H139" s="30"/>
      <c r="I139" s="30" t="s">
        <v>192</v>
      </c>
      <c r="J139" s="30" t="s">
        <v>4412</v>
      </c>
      <c r="K139" s="30"/>
      <c r="L139" s="30" t="s">
        <v>108</v>
      </c>
      <c r="M139" s="30" t="s">
        <v>109</v>
      </c>
      <c r="N139" s="30" t="s">
        <v>110</v>
      </c>
      <c r="O139" s="30" t="s">
        <v>115</v>
      </c>
      <c r="P139" s="30" t="s">
        <v>112</v>
      </c>
      <c r="Q139" s="30" t="s">
        <v>112</v>
      </c>
      <c r="R139" s="30" t="s">
        <v>185</v>
      </c>
      <c r="S139" s="81">
        <f>HLOOKUP(L139,データについて!$J$6:$M$18,13,FALSE)</f>
        <v>1</v>
      </c>
      <c r="T139" s="81">
        <f>HLOOKUP(M139,データについて!$J$7:$M$18,12,FALSE)</f>
        <v>2</v>
      </c>
      <c r="U139" s="81">
        <f>HLOOKUP(N139,データについて!$J$8:$M$18,11,FALSE)</f>
        <v>2</v>
      </c>
      <c r="V139" s="81">
        <f>HLOOKUP(O139,データについて!$J$9:$M$18,10,FALSE)</f>
        <v>1</v>
      </c>
      <c r="W139" s="81">
        <f>HLOOKUP(P139,データについて!$J$10:$M$18,9,FALSE)</f>
        <v>1</v>
      </c>
      <c r="X139" s="81">
        <f>HLOOKUP(Q139,データについて!$J$11:$M$18,8,FALSE)</f>
        <v>1</v>
      </c>
      <c r="Y139" s="81">
        <f>HLOOKUP(R139,データについて!$J$12:$M$18,7,FALSE)</f>
        <v>2</v>
      </c>
      <c r="Z139" s="81">
        <f>HLOOKUP(I139,データについて!$J$3:$M$18,16,FALSE)</f>
        <v>1</v>
      </c>
      <c r="AA139" s="81">
        <f>IFERROR(HLOOKUP(J139,データについて!$J$4:$AH$19,16,FALSE),"")</f>
        <v>2</v>
      </c>
      <c r="AB139" s="81" t="str">
        <f>IFERROR(HLOOKUP(K139,データについて!$J$5:$AH$20,14,FALSE),"")</f>
        <v/>
      </c>
      <c r="AC139" s="81">
        <f>IF(X139=1,HLOOKUP(R139,データについて!$J$12:$M$18,7,FALSE),"*")</f>
        <v>2</v>
      </c>
      <c r="AD139" s="81" t="str">
        <f>IF(X139=2,HLOOKUP(R139,データについて!$J$12:$M$18,7,FALSE),"*")</f>
        <v>*</v>
      </c>
    </row>
    <row r="140" spans="1:30">
      <c r="A140" s="30">
        <v>5052</v>
      </c>
      <c r="B140" s="30" t="s">
        <v>4526</v>
      </c>
      <c r="C140" s="30" t="s">
        <v>4527</v>
      </c>
      <c r="D140" s="30" t="s">
        <v>106</v>
      </c>
      <c r="E140" s="30"/>
      <c r="F140" s="30" t="s">
        <v>107</v>
      </c>
      <c r="G140" s="30" t="s">
        <v>106</v>
      </c>
      <c r="H140" s="30"/>
      <c r="I140" s="30" t="s">
        <v>191</v>
      </c>
      <c r="J140" s="30"/>
      <c r="K140" s="30" t="s">
        <v>4342</v>
      </c>
      <c r="L140" s="30" t="s">
        <v>108</v>
      </c>
      <c r="M140" s="30" t="s">
        <v>113</v>
      </c>
      <c r="N140" s="30" t="s">
        <v>122</v>
      </c>
      <c r="O140" s="30" t="s">
        <v>115</v>
      </c>
      <c r="P140" s="30" t="s">
        <v>112</v>
      </c>
      <c r="Q140" s="30" t="s">
        <v>112</v>
      </c>
      <c r="R140" s="30" t="s">
        <v>183</v>
      </c>
      <c r="S140" s="81">
        <f>HLOOKUP(L140,データについて!$J$6:$M$18,13,FALSE)</f>
        <v>1</v>
      </c>
      <c r="T140" s="81">
        <f>HLOOKUP(M140,データについて!$J$7:$M$18,12,FALSE)</f>
        <v>1</v>
      </c>
      <c r="U140" s="81">
        <f>HLOOKUP(N140,データについて!$J$8:$M$18,11,FALSE)</f>
        <v>3</v>
      </c>
      <c r="V140" s="81">
        <f>HLOOKUP(O140,データについて!$J$9:$M$18,10,FALSE)</f>
        <v>1</v>
      </c>
      <c r="W140" s="81">
        <f>HLOOKUP(P140,データについて!$J$10:$M$18,9,FALSE)</f>
        <v>1</v>
      </c>
      <c r="X140" s="81">
        <f>HLOOKUP(Q140,データについて!$J$11:$M$18,8,FALSE)</f>
        <v>1</v>
      </c>
      <c r="Y140" s="81">
        <f>HLOOKUP(R140,データについて!$J$12:$M$18,7,FALSE)</f>
        <v>1</v>
      </c>
      <c r="Z140" s="81">
        <f>HLOOKUP(I140,データについて!$J$3:$M$18,16,FALSE)</f>
        <v>2</v>
      </c>
      <c r="AA140" s="81" t="str">
        <f>IFERROR(HLOOKUP(J140,データについて!$J$4:$AH$19,16,FALSE),"")</f>
        <v/>
      </c>
      <c r="AB140" s="81">
        <f>IFERROR(HLOOKUP(K140,データについて!$J$5:$AH$20,14,FALSE),"")</f>
        <v>1</v>
      </c>
      <c r="AC140" s="81">
        <f>IF(X140=1,HLOOKUP(R140,データについて!$J$12:$M$18,7,FALSE),"*")</f>
        <v>1</v>
      </c>
      <c r="AD140" s="81" t="str">
        <f>IF(X140=2,HLOOKUP(R140,データについて!$J$12:$M$18,7,FALSE),"*")</f>
        <v>*</v>
      </c>
    </row>
    <row r="141" spans="1:30">
      <c r="A141" s="30">
        <v>5051</v>
      </c>
      <c r="B141" s="30" t="s">
        <v>4528</v>
      </c>
      <c r="C141" s="30" t="s">
        <v>4529</v>
      </c>
      <c r="D141" s="30" t="s">
        <v>106</v>
      </c>
      <c r="E141" s="30"/>
      <c r="F141" s="30" t="s">
        <v>107</v>
      </c>
      <c r="G141" s="30" t="s">
        <v>106</v>
      </c>
      <c r="H141" s="30"/>
      <c r="I141" s="30" t="s">
        <v>191</v>
      </c>
      <c r="J141" s="30"/>
      <c r="K141" s="30" t="s">
        <v>4342</v>
      </c>
      <c r="L141" s="30" t="s">
        <v>117</v>
      </c>
      <c r="M141" s="30" t="s">
        <v>109</v>
      </c>
      <c r="N141" s="30" t="s">
        <v>110</v>
      </c>
      <c r="O141" s="30" t="s">
        <v>115</v>
      </c>
      <c r="P141" s="30" t="s">
        <v>112</v>
      </c>
      <c r="Q141" s="30" t="s">
        <v>112</v>
      </c>
      <c r="R141" s="30" t="s">
        <v>187</v>
      </c>
      <c r="S141" s="81">
        <f>HLOOKUP(L141,データについて!$J$6:$M$18,13,FALSE)</f>
        <v>2</v>
      </c>
      <c r="T141" s="81">
        <f>HLOOKUP(M141,データについて!$J$7:$M$18,12,FALSE)</f>
        <v>2</v>
      </c>
      <c r="U141" s="81">
        <f>HLOOKUP(N141,データについて!$J$8:$M$18,11,FALSE)</f>
        <v>2</v>
      </c>
      <c r="V141" s="81">
        <f>HLOOKUP(O141,データについて!$J$9:$M$18,10,FALSE)</f>
        <v>1</v>
      </c>
      <c r="W141" s="81">
        <f>HLOOKUP(P141,データについて!$J$10:$M$18,9,FALSE)</f>
        <v>1</v>
      </c>
      <c r="X141" s="81">
        <f>HLOOKUP(Q141,データについて!$J$11:$M$18,8,FALSE)</f>
        <v>1</v>
      </c>
      <c r="Y141" s="81">
        <f>HLOOKUP(R141,データについて!$J$12:$M$18,7,FALSE)</f>
        <v>3</v>
      </c>
      <c r="Z141" s="81">
        <f>HLOOKUP(I141,データについて!$J$3:$M$18,16,FALSE)</f>
        <v>2</v>
      </c>
      <c r="AA141" s="81" t="str">
        <f>IFERROR(HLOOKUP(J141,データについて!$J$4:$AH$19,16,FALSE),"")</f>
        <v/>
      </c>
      <c r="AB141" s="81">
        <f>IFERROR(HLOOKUP(K141,データについて!$J$5:$AH$20,14,FALSE),"")</f>
        <v>1</v>
      </c>
      <c r="AC141" s="81">
        <f>IF(X141=1,HLOOKUP(R141,データについて!$J$12:$M$18,7,FALSE),"*")</f>
        <v>3</v>
      </c>
      <c r="AD141" s="81" t="str">
        <f>IF(X141=2,HLOOKUP(R141,データについて!$J$12:$M$18,7,FALSE),"*")</f>
        <v>*</v>
      </c>
    </row>
    <row r="142" spans="1:30">
      <c r="A142" s="30">
        <v>5050</v>
      </c>
      <c r="B142" s="30" t="s">
        <v>4530</v>
      </c>
      <c r="C142" s="30" t="s">
        <v>4531</v>
      </c>
      <c r="D142" s="30" t="s">
        <v>106</v>
      </c>
      <c r="E142" s="30"/>
      <c r="F142" s="30" t="s">
        <v>107</v>
      </c>
      <c r="G142" s="30" t="s">
        <v>106</v>
      </c>
      <c r="H142" s="30"/>
      <c r="I142" s="30" t="s">
        <v>192</v>
      </c>
      <c r="J142" s="30" t="s">
        <v>4412</v>
      </c>
      <c r="K142" s="30"/>
      <c r="L142" s="30" t="s">
        <v>117</v>
      </c>
      <c r="M142" s="30" t="s">
        <v>113</v>
      </c>
      <c r="N142" s="30" t="s">
        <v>114</v>
      </c>
      <c r="O142" s="30" t="s">
        <v>115</v>
      </c>
      <c r="P142" s="30" t="s">
        <v>112</v>
      </c>
      <c r="Q142" s="30" t="s">
        <v>112</v>
      </c>
      <c r="R142" s="30" t="s">
        <v>185</v>
      </c>
      <c r="S142" s="81">
        <f>HLOOKUP(L142,データについて!$J$6:$M$18,13,FALSE)</f>
        <v>2</v>
      </c>
      <c r="T142" s="81">
        <f>HLOOKUP(M142,データについて!$J$7:$M$18,12,FALSE)</f>
        <v>1</v>
      </c>
      <c r="U142" s="81">
        <f>HLOOKUP(N142,データについて!$J$8:$M$18,11,FALSE)</f>
        <v>1</v>
      </c>
      <c r="V142" s="81">
        <f>HLOOKUP(O142,データについて!$J$9:$M$18,10,FALSE)</f>
        <v>1</v>
      </c>
      <c r="W142" s="81">
        <f>HLOOKUP(P142,データについて!$J$10:$M$18,9,FALSE)</f>
        <v>1</v>
      </c>
      <c r="X142" s="81">
        <f>HLOOKUP(Q142,データについて!$J$11:$M$18,8,FALSE)</f>
        <v>1</v>
      </c>
      <c r="Y142" s="81">
        <f>HLOOKUP(R142,データについて!$J$12:$M$18,7,FALSE)</f>
        <v>2</v>
      </c>
      <c r="Z142" s="81">
        <f>HLOOKUP(I142,データについて!$J$3:$M$18,16,FALSE)</f>
        <v>1</v>
      </c>
      <c r="AA142" s="81">
        <f>IFERROR(HLOOKUP(J142,データについて!$J$4:$AH$19,16,FALSE),"")</f>
        <v>2</v>
      </c>
      <c r="AB142" s="81" t="str">
        <f>IFERROR(HLOOKUP(K142,データについて!$J$5:$AH$20,14,FALSE),"")</f>
        <v/>
      </c>
      <c r="AC142" s="81">
        <f>IF(X142=1,HLOOKUP(R142,データについて!$J$12:$M$18,7,FALSE),"*")</f>
        <v>2</v>
      </c>
      <c r="AD142" s="81" t="str">
        <f>IF(X142=2,HLOOKUP(R142,データについて!$J$12:$M$18,7,FALSE),"*")</f>
        <v>*</v>
      </c>
    </row>
    <row r="143" spans="1:30">
      <c r="A143" s="30">
        <v>5049</v>
      </c>
      <c r="B143" s="30" t="s">
        <v>4532</v>
      </c>
      <c r="C143" s="30" t="s">
        <v>4533</v>
      </c>
      <c r="D143" s="30" t="s">
        <v>106</v>
      </c>
      <c r="E143" s="30"/>
      <c r="F143" s="30" t="s">
        <v>107</v>
      </c>
      <c r="G143" s="30" t="s">
        <v>106</v>
      </c>
      <c r="H143" s="30"/>
      <c r="I143" s="30" t="s">
        <v>192</v>
      </c>
      <c r="J143" s="30" t="s">
        <v>4412</v>
      </c>
      <c r="K143" s="30"/>
      <c r="L143" s="30" t="s">
        <v>108</v>
      </c>
      <c r="M143" s="30" t="s">
        <v>113</v>
      </c>
      <c r="N143" s="30" t="s">
        <v>114</v>
      </c>
      <c r="O143" s="30" t="s">
        <v>115</v>
      </c>
      <c r="P143" s="30" t="s">
        <v>112</v>
      </c>
      <c r="Q143" s="30" t="s">
        <v>112</v>
      </c>
      <c r="R143" s="30" t="s">
        <v>187</v>
      </c>
      <c r="S143" s="81">
        <f>HLOOKUP(L143,データについて!$J$6:$M$18,13,FALSE)</f>
        <v>1</v>
      </c>
      <c r="T143" s="81">
        <f>HLOOKUP(M143,データについて!$J$7:$M$18,12,FALSE)</f>
        <v>1</v>
      </c>
      <c r="U143" s="81">
        <f>HLOOKUP(N143,データについて!$J$8:$M$18,11,FALSE)</f>
        <v>1</v>
      </c>
      <c r="V143" s="81">
        <f>HLOOKUP(O143,データについて!$J$9:$M$18,10,FALSE)</f>
        <v>1</v>
      </c>
      <c r="W143" s="81">
        <f>HLOOKUP(P143,データについて!$J$10:$M$18,9,FALSE)</f>
        <v>1</v>
      </c>
      <c r="X143" s="81">
        <f>HLOOKUP(Q143,データについて!$J$11:$M$18,8,FALSE)</f>
        <v>1</v>
      </c>
      <c r="Y143" s="81">
        <f>HLOOKUP(R143,データについて!$J$12:$M$18,7,FALSE)</f>
        <v>3</v>
      </c>
      <c r="Z143" s="81">
        <f>HLOOKUP(I143,データについて!$J$3:$M$18,16,FALSE)</f>
        <v>1</v>
      </c>
      <c r="AA143" s="81">
        <f>IFERROR(HLOOKUP(J143,データについて!$J$4:$AH$19,16,FALSE),"")</f>
        <v>2</v>
      </c>
      <c r="AB143" s="81" t="str">
        <f>IFERROR(HLOOKUP(K143,データについて!$J$5:$AH$20,14,FALSE),"")</f>
        <v/>
      </c>
      <c r="AC143" s="81">
        <f>IF(X143=1,HLOOKUP(R143,データについて!$J$12:$M$18,7,FALSE),"*")</f>
        <v>3</v>
      </c>
      <c r="AD143" s="81" t="str">
        <f>IF(X143=2,HLOOKUP(R143,データについて!$J$12:$M$18,7,FALSE),"*")</f>
        <v>*</v>
      </c>
    </row>
    <row r="144" spans="1:30">
      <c r="A144" s="30">
        <v>5048</v>
      </c>
      <c r="B144" s="30" t="s">
        <v>4534</v>
      </c>
      <c r="C144" s="30" t="s">
        <v>4535</v>
      </c>
      <c r="D144" s="30" t="s">
        <v>106</v>
      </c>
      <c r="E144" s="30"/>
      <c r="F144" s="30" t="s">
        <v>107</v>
      </c>
      <c r="G144" s="30" t="s">
        <v>106</v>
      </c>
      <c r="H144" s="30"/>
      <c r="I144" s="30" t="s">
        <v>191</v>
      </c>
      <c r="J144" s="30"/>
      <c r="K144" s="30" t="s">
        <v>4342</v>
      </c>
      <c r="L144" s="30" t="s">
        <v>120</v>
      </c>
      <c r="M144" s="30" t="s">
        <v>113</v>
      </c>
      <c r="N144" s="30" t="s">
        <v>114</v>
      </c>
      <c r="O144" s="30" t="s">
        <v>115</v>
      </c>
      <c r="P144" s="30" t="s">
        <v>112</v>
      </c>
      <c r="Q144" s="30" t="s">
        <v>112</v>
      </c>
      <c r="R144" s="30" t="s">
        <v>187</v>
      </c>
      <c r="S144" s="81">
        <f>HLOOKUP(L144,データについて!$J$6:$M$18,13,FALSE)</f>
        <v>3</v>
      </c>
      <c r="T144" s="81">
        <f>HLOOKUP(M144,データについて!$J$7:$M$18,12,FALSE)</f>
        <v>1</v>
      </c>
      <c r="U144" s="81">
        <f>HLOOKUP(N144,データについて!$J$8:$M$18,11,FALSE)</f>
        <v>1</v>
      </c>
      <c r="V144" s="81">
        <f>HLOOKUP(O144,データについて!$J$9:$M$18,10,FALSE)</f>
        <v>1</v>
      </c>
      <c r="W144" s="81">
        <f>HLOOKUP(P144,データについて!$J$10:$M$18,9,FALSE)</f>
        <v>1</v>
      </c>
      <c r="X144" s="81">
        <f>HLOOKUP(Q144,データについて!$J$11:$M$18,8,FALSE)</f>
        <v>1</v>
      </c>
      <c r="Y144" s="81">
        <f>HLOOKUP(R144,データについて!$J$12:$M$18,7,FALSE)</f>
        <v>3</v>
      </c>
      <c r="Z144" s="81">
        <f>HLOOKUP(I144,データについて!$J$3:$M$18,16,FALSE)</f>
        <v>2</v>
      </c>
      <c r="AA144" s="81" t="str">
        <f>IFERROR(HLOOKUP(J144,データについて!$J$4:$AH$19,16,FALSE),"")</f>
        <v/>
      </c>
      <c r="AB144" s="81">
        <f>IFERROR(HLOOKUP(K144,データについて!$J$5:$AH$20,14,FALSE),"")</f>
        <v>1</v>
      </c>
      <c r="AC144" s="81">
        <f>IF(X144=1,HLOOKUP(R144,データについて!$J$12:$M$18,7,FALSE),"*")</f>
        <v>3</v>
      </c>
      <c r="AD144" s="81" t="str">
        <f>IF(X144=2,HLOOKUP(R144,データについて!$J$12:$M$18,7,FALSE),"*")</f>
        <v>*</v>
      </c>
    </row>
    <row r="145" spans="1:30">
      <c r="A145" s="30">
        <v>5047</v>
      </c>
      <c r="B145" s="30" t="s">
        <v>4536</v>
      </c>
      <c r="C145" s="30" t="s">
        <v>4537</v>
      </c>
      <c r="D145" s="30" t="s">
        <v>106</v>
      </c>
      <c r="E145" s="30"/>
      <c r="F145" s="30" t="s">
        <v>107</v>
      </c>
      <c r="G145" s="30" t="s">
        <v>106</v>
      </c>
      <c r="H145" s="30"/>
      <c r="I145" s="30" t="s">
        <v>191</v>
      </c>
      <c r="J145" s="30"/>
      <c r="K145" s="30" t="s">
        <v>4342</v>
      </c>
      <c r="L145" s="30" t="s">
        <v>117</v>
      </c>
      <c r="M145" s="30" t="s">
        <v>121</v>
      </c>
      <c r="N145" s="30" t="s">
        <v>110</v>
      </c>
      <c r="O145" s="30" t="s">
        <v>115</v>
      </c>
      <c r="P145" s="30" t="s">
        <v>118</v>
      </c>
      <c r="Q145" s="30" t="s">
        <v>118</v>
      </c>
      <c r="R145" s="30" t="s">
        <v>189</v>
      </c>
      <c r="S145" s="81">
        <f>HLOOKUP(L145,データについて!$J$6:$M$18,13,FALSE)</f>
        <v>2</v>
      </c>
      <c r="T145" s="81">
        <f>HLOOKUP(M145,データについて!$J$7:$M$18,12,FALSE)</f>
        <v>4</v>
      </c>
      <c r="U145" s="81">
        <f>HLOOKUP(N145,データについて!$J$8:$M$18,11,FALSE)</f>
        <v>2</v>
      </c>
      <c r="V145" s="81">
        <f>HLOOKUP(O145,データについて!$J$9:$M$18,10,FALSE)</f>
        <v>1</v>
      </c>
      <c r="W145" s="81">
        <f>HLOOKUP(P145,データについて!$J$10:$M$18,9,FALSE)</f>
        <v>2</v>
      </c>
      <c r="X145" s="81">
        <f>HLOOKUP(Q145,データについて!$J$11:$M$18,8,FALSE)</f>
        <v>2</v>
      </c>
      <c r="Y145" s="81">
        <f>HLOOKUP(R145,データについて!$J$12:$M$18,7,FALSE)</f>
        <v>4</v>
      </c>
      <c r="Z145" s="81">
        <f>HLOOKUP(I145,データについて!$J$3:$M$18,16,FALSE)</f>
        <v>2</v>
      </c>
      <c r="AA145" s="81" t="str">
        <f>IFERROR(HLOOKUP(J145,データについて!$J$4:$AH$19,16,FALSE),"")</f>
        <v/>
      </c>
      <c r="AB145" s="81">
        <f>IFERROR(HLOOKUP(K145,データについて!$J$5:$AH$20,14,FALSE),"")</f>
        <v>1</v>
      </c>
      <c r="AC145" s="81" t="str">
        <f>IF(X145=1,HLOOKUP(R145,データについて!$J$12:$M$18,7,FALSE),"*")</f>
        <v>*</v>
      </c>
      <c r="AD145" s="81">
        <f>IF(X145=2,HLOOKUP(R145,データについて!$J$12:$M$18,7,FALSE),"*")</f>
        <v>4</v>
      </c>
    </row>
    <row r="146" spans="1:30">
      <c r="A146" s="30">
        <v>5046</v>
      </c>
      <c r="B146" s="30" t="s">
        <v>4538</v>
      </c>
      <c r="C146" s="30" t="s">
        <v>4539</v>
      </c>
      <c r="D146" s="30" t="s">
        <v>106</v>
      </c>
      <c r="E146" s="30"/>
      <c r="F146" s="30" t="s">
        <v>107</v>
      </c>
      <c r="G146" s="30" t="s">
        <v>106</v>
      </c>
      <c r="H146" s="30"/>
      <c r="I146" s="30" t="s">
        <v>192</v>
      </c>
      <c r="J146" s="30" t="s">
        <v>4412</v>
      </c>
      <c r="K146" s="30"/>
      <c r="L146" s="30" t="s">
        <v>108</v>
      </c>
      <c r="M146" s="30" t="s">
        <v>113</v>
      </c>
      <c r="N146" s="30" t="s">
        <v>114</v>
      </c>
      <c r="O146" s="30" t="s">
        <v>116</v>
      </c>
      <c r="P146" s="30" t="s">
        <v>112</v>
      </c>
      <c r="Q146" s="30" t="s">
        <v>118</v>
      </c>
      <c r="R146" s="30" t="s">
        <v>185</v>
      </c>
      <c r="S146" s="81">
        <f>HLOOKUP(L146,データについて!$J$6:$M$18,13,FALSE)</f>
        <v>1</v>
      </c>
      <c r="T146" s="81">
        <f>HLOOKUP(M146,データについて!$J$7:$M$18,12,FALSE)</f>
        <v>1</v>
      </c>
      <c r="U146" s="81">
        <f>HLOOKUP(N146,データについて!$J$8:$M$18,11,FALSE)</f>
        <v>1</v>
      </c>
      <c r="V146" s="81">
        <f>HLOOKUP(O146,データについて!$J$9:$M$18,10,FALSE)</f>
        <v>2</v>
      </c>
      <c r="W146" s="81">
        <f>HLOOKUP(P146,データについて!$J$10:$M$18,9,FALSE)</f>
        <v>1</v>
      </c>
      <c r="X146" s="81">
        <f>HLOOKUP(Q146,データについて!$J$11:$M$18,8,FALSE)</f>
        <v>2</v>
      </c>
      <c r="Y146" s="81">
        <f>HLOOKUP(R146,データについて!$J$12:$M$18,7,FALSE)</f>
        <v>2</v>
      </c>
      <c r="Z146" s="81">
        <f>HLOOKUP(I146,データについて!$J$3:$M$18,16,FALSE)</f>
        <v>1</v>
      </c>
      <c r="AA146" s="81">
        <f>IFERROR(HLOOKUP(J146,データについて!$J$4:$AH$19,16,FALSE),"")</f>
        <v>2</v>
      </c>
      <c r="AB146" s="81" t="str">
        <f>IFERROR(HLOOKUP(K146,データについて!$J$5:$AH$20,14,FALSE),"")</f>
        <v/>
      </c>
      <c r="AC146" s="81" t="str">
        <f>IF(X146=1,HLOOKUP(R146,データについて!$J$12:$M$18,7,FALSE),"*")</f>
        <v>*</v>
      </c>
      <c r="AD146" s="81">
        <f>IF(X146=2,HLOOKUP(R146,データについて!$J$12:$M$18,7,FALSE),"*")</f>
        <v>2</v>
      </c>
    </row>
    <row r="147" spans="1:30">
      <c r="A147" s="30">
        <v>5045</v>
      </c>
      <c r="B147" s="30" t="s">
        <v>4540</v>
      </c>
      <c r="C147" s="30" t="s">
        <v>4539</v>
      </c>
      <c r="D147" s="30" t="s">
        <v>106</v>
      </c>
      <c r="E147" s="30"/>
      <c r="F147" s="30" t="s">
        <v>107</v>
      </c>
      <c r="G147" s="30" t="s">
        <v>106</v>
      </c>
      <c r="H147" s="30"/>
      <c r="I147" s="30" t="s">
        <v>192</v>
      </c>
      <c r="J147" s="30" t="s">
        <v>4412</v>
      </c>
      <c r="K147" s="30"/>
      <c r="L147" s="30" t="s">
        <v>117</v>
      </c>
      <c r="M147" s="30" t="s">
        <v>113</v>
      </c>
      <c r="N147" s="30" t="s">
        <v>114</v>
      </c>
      <c r="O147" s="30" t="s">
        <v>115</v>
      </c>
      <c r="P147" s="30" t="s">
        <v>112</v>
      </c>
      <c r="Q147" s="30" t="s">
        <v>112</v>
      </c>
      <c r="R147" s="30" t="s">
        <v>183</v>
      </c>
      <c r="S147" s="81">
        <f>HLOOKUP(L147,データについて!$J$6:$M$18,13,FALSE)</f>
        <v>2</v>
      </c>
      <c r="T147" s="81">
        <f>HLOOKUP(M147,データについて!$J$7:$M$18,12,FALSE)</f>
        <v>1</v>
      </c>
      <c r="U147" s="81">
        <f>HLOOKUP(N147,データについて!$J$8:$M$18,11,FALSE)</f>
        <v>1</v>
      </c>
      <c r="V147" s="81">
        <f>HLOOKUP(O147,データについて!$J$9:$M$18,10,FALSE)</f>
        <v>1</v>
      </c>
      <c r="W147" s="81">
        <f>HLOOKUP(P147,データについて!$J$10:$M$18,9,FALSE)</f>
        <v>1</v>
      </c>
      <c r="X147" s="81">
        <f>HLOOKUP(Q147,データについて!$J$11:$M$18,8,FALSE)</f>
        <v>1</v>
      </c>
      <c r="Y147" s="81">
        <f>HLOOKUP(R147,データについて!$J$12:$M$18,7,FALSE)</f>
        <v>1</v>
      </c>
      <c r="Z147" s="81">
        <f>HLOOKUP(I147,データについて!$J$3:$M$18,16,FALSE)</f>
        <v>1</v>
      </c>
      <c r="AA147" s="81">
        <f>IFERROR(HLOOKUP(J147,データについて!$J$4:$AH$19,16,FALSE),"")</f>
        <v>2</v>
      </c>
      <c r="AB147" s="81" t="str">
        <f>IFERROR(HLOOKUP(K147,データについて!$J$5:$AH$20,14,FALSE),"")</f>
        <v/>
      </c>
      <c r="AC147" s="81">
        <f>IF(X147=1,HLOOKUP(R147,データについて!$J$12:$M$18,7,FALSE),"*")</f>
        <v>1</v>
      </c>
      <c r="AD147" s="81" t="str">
        <f>IF(X147=2,HLOOKUP(R147,データについて!$J$12:$M$18,7,FALSE),"*")</f>
        <v>*</v>
      </c>
    </row>
    <row r="148" spans="1:30">
      <c r="A148" s="30">
        <v>5044</v>
      </c>
      <c r="B148" s="30" t="s">
        <v>4541</v>
      </c>
      <c r="C148" s="30" t="s">
        <v>4542</v>
      </c>
      <c r="D148" s="30" t="s">
        <v>106</v>
      </c>
      <c r="E148" s="30"/>
      <c r="F148" s="30" t="s">
        <v>107</v>
      </c>
      <c r="G148" s="30" t="s">
        <v>106</v>
      </c>
      <c r="H148" s="30"/>
      <c r="I148" s="30" t="s">
        <v>191</v>
      </c>
      <c r="J148" s="30"/>
      <c r="K148" s="30" t="s">
        <v>4342</v>
      </c>
      <c r="L148" s="30" t="s">
        <v>108</v>
      </c>
      <c r="M148" s="30" t="s">
        <v>113</v>
      </c>
      <c r="N148" s="30" t="s">
        <v>114</v>
      </c>
      <c r="O148" s="30" t="s">
        <v>115</v>
      </c>
      <c r="P148" s="30" t="s">
        <v>118</v>
      </c>
      <c r="Q148" s="30" t="s">
        <v>112</v>
      </c>
      <c r="R148" s="30" t="s">
        <v>185</v>
      </c>
      <c r="S148" s="81">
        <f>HLOOKUP(L148,データについて!$J$6:$M$18,13,FALSE)</f>
        <v>1</v>
      </c>
      <c r="T148" s="81">
        <f>HLOOKUP(M148,データについて!$J$7:$M$18,12,FALSE)</f>
        <v>1</v>
      </c>
      <c r="U148" s="81">
        <f>HLOOKUP(N148,データについて!$J$8:$M$18,11,FALSE)</f>
        <v>1</v>
      </c>
      <c r="V148" s="81">
        <f>HLOOKUP(O148,データについて!$J$9:$M$18,10,FALSE)</f>
        <v>1</v>
      </c>
      <c r="W148" s="81">
        <f>HLOOKUP(P148,データについて!$J$10:$M$18,9,FALSE)</f>
        <v>2</v>
      </c>
      <c r="X148" s="81">
        <f>HLOOKUP(Q148,データについて!$J$11:$M$18,8,FALSE)</f>
        <v>1</v>
      </c>
      <c r="Y148" s="81">
        <f>HLOOKUP(R148,データについて!$J$12:$M$18,7,FALSE)</f>
        <v>2</v>
      </c>
      <c r="Z148" s="81">
        <f>HLOOKUP(I148,データについて!$J$3:$M$18,16,FALSE)</f>
        <v>2</v>
      </c>
      <c r="AA148" s="81" t="str">
        <f>IFERROR(HLOOKUP(J148,データについて!$J$4:$AH$19,16,FALSE),"")</f>
        <v/>
      </c>
      <c r="AB148" s="81">
        <f>IFERROR(HLOOKUP(K148,データについて!$J$5:$AH$20,14,FALSE),"")</f>
        <v>1</v>
      </c>
      <c r="AC148" s="81">
        <f>IF(X148=1,HLOOKUP(R148,データについて!$J$12:$M$18,7,FALSE),"*")</f>
        <v>2</v>
      </c>
      <c r="AD148" s="81" t="str">
        <f>IF(X148=2,HLOOKUP(R148,データについて!$J$12:$M$18,7,FALSE),"*")</f>
        <v>*</v>
      </c>
    </row>
    <row r="149" spans="1:30">
      <c r="A149" s="30">
        <v>5043</v>
      </c>
      <c r="B149" s="30" t="s">
        <v>4543</v>
      </c>
      <c r="C149" s="30" t="s">
        <v>4544</v>
      </c>
      <c r="D149" s="30" t="s">
        <v>106</v>
      </c>
      <c r="E149" s="30"/>
      <c r="F149" s="30" t="s">
        <v>107</v>
      </c>
      <c r="G149" s="30" t="s">
        <v>106</v>
      </c>
      <c r="H149" s="30"/>
      <c r="I149" s="30" t="s">
        <v>191</v>
      </c>
      <c r="J149" s="30"/>
      <c r="K149" s="30" t="s">
        <v>4342</v>
      </c>
      <c r="L149" s="30" t="s">
        <v>117</v>
      </c>
      <c r="M149" s="30" t="s">
        <v>109</v>
      </c>
      <c r="N149" s="30" t="s">
        <v>119</v>
      </c>
      <c r="O149" s="30" t="s">
        <v>115</v>
      </c>
      <c r="P149" s="30" t="s">
        <v>112</v>
      </c>
      <c r="Q149" s="30" t="s">
        <v>112</v>
      </c>
      <c r="R149" s="30" t="s">
        <v>187</v>
      </c>
      <c r="S149" s="81">
        <f>HLOOKUP(L149,データについて!$J$6:$M$18,13,FALSE)</f>
        <v>2</v>
      </c>
      <c r="T149" s="81">
        <f>HLOOKUP(M149,データについて!$J$7:$M$18,12,FALSE)</f>
        <v>2</v>
      </c>
      <c r="U149" s="81">
        <f>HLOOKUP(N149,データについて!$J$8:$M$18,11,FALSE)</f>
        <v>4</v>
      </c>
      <c r="V149" s="81">
        <f>HLOOKUP(O149,データについて!$J$9:$M$18,10,FALSE)</f>
        <v>1</v>
      </c>
      <c r="W149" s="81">
        <f>HLOOKUP(P149,データについて!$J$10:$M$18,9,FALSE)</f>
        <v>1</v>
      </c>
      <c r="X149" s="81">
        <f>HLOOKUP(Q149,データについて!$J$11:$M$18,8,FALSE)</f>
        <v>1</v>
      </c>
      <c r="Y149" s="81">
        <f>HLOOKUP(R149,データについて!$J$12:$M$18,7,FALSE)</f>
        <v>3</v>
      </c>
      <c r="Z149" s="81">
        <f>HLOOKUP(I149,データについて!$J$3:$M$18,16,FALSE)</f>
        <v>2</v>
      </c>
      <c r="AA149" s="81" t="str">
        <f>IFERROR(HLOOKUP(J149,データについて!$J$4:$AH$19,16,FALSE),"")</f>
        <v/>
      </c>
      <c r="AB149" s="81">
        <f>IFERROR(HLOOKUP(K149,データについて!$J$5:$AH$20,14,FALSE),"")</f>
        <v>1</v>
      </c>
      <c r="AC149" s="81">
        <f>IF(X149=1,HLOOKUP(R149,データについて!$J$12:$M$18,7,FALSE),"*")</f>
        <v>3</v>
      </c>
      <c r="AD149" s="81" t="str">
        <f>IF(X149=2,HLOOKUP(R149,データについて!$J$12:$M$18,7,FALSE),"*")</f>
        <v>*</v>
      </c>
    </row>
    <row r="150" spans="1:30">
      <c r="A150" s="30">
        <v>5042</v>
      </c>
      <c r="B150" s="30" t="s">
        <v>4545</v>
      </c>
      <c r="C150" s="30" t="s">
        <v>4544</v>
      </c>
      <c r="D150" s="30" t="s">
        <v>106</v>
      </c>
      <c r="E150" s="30"/>
      <c r="F150" s="30" t="s">
        <v>107</v>
      </c>
      <c r="G150" s="30" t="s">
        <v>106</v>
      </c>
      <c r="H150" s="30"/>
      <c r="I150" s="30" t="s">
        <v>191</v>
      </c>
      <c r="J150" s="30"/>
      <c r="K150" s="30" t="s">
        <v>4342</v>
      </c>
      <c r="L150" s="30" t="s">
        <v>108</v>
      </c>
      <c r="M150" s="30" t="s">
        <v>113</v>
      </c>
      <c r="N150" s="30" t="s">
        <v>114</v>
      </c>
      <c r="O150" s="30" t="s">
        <v>115</v>
      </c>
      <c r="P150" s="30" t="s">
        <v>112</v>
      </c>
      <c r="Q150" s="30" t="s">
        <v>112</v>
      </c>
      <c r="R150" s="30" t="s">
        <v>185</v>
      </c>
      <c r="S150" s="81">
        <f>HLOOKUP(L150,データについて!$J$6:$M$18,13,FALSE)</f>
        <v>1</v>
      </c>
      <c r="T150" s="81">
        <f>HLOOKUP(M150,データについて!$J$7:$M$18,12,FALSE)</f>
        <v>1</v>
      </c>
      <c r="U150" s="81">
        <f>HLOOKUP(N150,データについて!$J$8:$M$18,11,FALSE)</f>
        <v>1</v>
      </c>
      <c r="V150" s="81">
        <f>HLOOKUP(O150,データについて!$J$9:$M$18,10,FALSE)</f>
        <v>1</v>
      </c>
      <c r="W150" s="81">
        <f>HLOOKUP(P150,データについて!$J$10:$M$18,9,FALSE)</f>
        <v>1</v>
      </c>
      <c r="X150" s="81">
        <f>HLOOKUP(Q150,データについて!$J$11:$M$18,8,FALSE)</f>
        <v>1</v>
      </c>
      <c r="Y150" s="81">
        <f>HLOOKUP(R150,データについて!$J$12:$M$18,7,FALSE)</f>
        <v>2</v>
      </c>
      <c r="Z150" s="81">
        <f>HLOOKUP(I150,データについて!$J$3:$M$18,16,FALSE)</f>
        <v>2</v>
      </c>
      <c r="AA150" s="81" t="str">
        <f>IFERROR(HLOOKUP(J150,データについて!$J$4:$AH$19,16,FALSE),"")</f>
        <v/>
      </c>
      <c r="AB150" s="81">
        <f>IFERROR(HLOOKUP(K150,データについて!$J$5:$AH$20,14,FALSE),"")</f>
        <v>1</v>
      </c>
      <c r="AC150" s="81">
        <f>IF(X150=1,HLOOKUP(R150,データについて!$J$12:$M$18,7,FALSE),"*")</f>
        <v>2</v>
      </c>
      <c r="AD150" s="81" t="str">
        <f>IF(X150=2,HLOOKUP(R150,データについて!$J$12:$M$18,7,FALSE),"*")</f>
        <v>*</v>
      </c>
    </row>
    <row r="151" spans="1:30">
      <c r="A151" s="30">
        <v>5041</v>
      </c>
      <c r="B151" s="30" t="s">
        <v>4546</v>
      </c>
      <c r="C151" s="30" t="s">
        <v>4547</v>
      </c>
      <c r="D151" s="30" t="s">
        <v>106</v>
      </c>
      <c r="E151" s="30"/>
      <c r="F151" s="30" t="s">
        <v>107</v>
      </c>
      <c r="G151" s="30" t="s">
        <v>106</v>
      </c>
      <c r="H151" s="30"/>
      <c r="I151" s="30" t="s">
        <v>192</v>
      </c>
      <c r="J151" s="30" t="s">
        <v>4412</v>
      </c>
      <c r="K151" s="30"/>
      <c r="L151" s="30" t="s">
        <v>117</v>
      </c>
      <c r="M151" s="30" t="s">
        <v>113</v>
      </c>
      <c r="N151" s="30" t="s">
        <v>114</v>
      </c>
      <c r="O151" s="30" t="s">
        <v>115</v>
      </c>
      <c r="P151" s="30" t="s">
        <v>112</v>
      </c>
      <c r="Q151" s="30" t="s">
        <v>112</v>
      </c>
      <c r="R151" s="30" t="s">
        <v>189</v>
      </c>
      <c r="S151" s="81">
        <f>HLOOKUP(L151,データについて!$J$6:$M$18,13,FALSE)</f>
        <v>2</v>
      </c>
      <c r="T151" s="81">
        <f>HLOOKUP(M151,データについて!$J$7:$M$18,12,FALSE)</f>
        <v>1</v>
      </c>
      <c r="U151" s="81">
        <f>HLOOKUP(N151,データについて!$J$8:$M$18,11,FALSE)</f>
        <v>1</v>
      </c>
      <c r="V151" s="81">
        <f>HLOOKUP(O151,データについて!$J$9:$M$18,10,FALSE)</f>
        <v>1</v>
      </c>
      <c r="W151" s="81">
        <f>HLOOKUP(P151,データについて!$J$10:$M$18,9,FALSE)</f>
        <v>1</v>
      </c>
      <c r="X151" s="81">
        <f>HLOOKUP(Q151,データについて!$J$11:$M$18,8,FALSE)</f>
        <v>1</v>
      </c>
      <c r="Y151" s="81">
        <f>HLOOKUP(R151,データについて!$J$12:$M$18,7,FALSE)</f>
        <v>4</v>
      </c>
      <c r="Z151" s="81">
        <f>HLOOKUP(I151,データについて!$J$3:$M$18,16,FALSE)</f>
        <v>1</v>
      </c>
      <c r="AA151" s="81">
        <f>IFERROR(HLOOKUP(J151,データについて!$J$4:$AH$19,16,FALSE),"")</f>
        <v>2</v>
      </c>
      <c r="AB151" s="81" t="str">
        <f>IFERROR(HLOOKUP(K151,データについて!$J$5:$AH$20,14,FALSE),"")</f>
        <v/>
      </c>
      <c r="AC151" s="81">
        <f>IF(X151=1,HLOOKUP(R151,データについて!$J$12:$M$18,7,FALSE),"*")</f>
        <v>4</v>
      </c>
      <c r="AD151" s="81" t="str">
        <f>IF(X151=2,HLOOKUP(R151,データについて!$J$12:$M$18,7,FALSE),"*")</f>
        <v>*</v>
      </c>
    </row>
    <row r="152" spans="1:30">
      <c r="A152" s="30">
        <v>5040</v>
      </c>
      <c r="B152" s="30" t="s">
        <v>4548</v>
      </c>
      <c r="C152" s="30" t="s">
        <v>4547</v>
      </c>
      <c r="D152" s="30" t="s">
        <v>106</v>
      </c>
      <c r="E152" s="30"/>
      <c r="F152" s="30" t="s">
        <v>107</v>
      </c>
      <c r="G152" s="30" t="s">
        <v>106</v>
      </c>
      <c r="H152" s="30"/>
      <c r="I152" s="30" t="s">
        <v>192</v>
      </c>
      <c r="J152" s="30" t="s">
        <v>4412</v>
      </c>
      <c r="K152" s="30"/>
      <c r="L152" s="30" t="s">
        <v>108</v>
      </c>
      <c r="M152" s="30" t="s">
        <v>113</v>
      </c>
      <c r="N152" s="30" t="s">
        <v>114</v>
      </c>
      <c r="O152" s="30" t="s">
        <v>115</v>
      </c>
      <c r="P152" s="30" t="s">
        <v>112</v>
      </c>
      <c r="Q152" s="30" t="s">
        <v>112</v>
      </c>
      <c r="R152" s="30" t="s">
        <v>183</v>
      </c>
      <c r="S152" s="81">
        <f>HLOOKUP(L152,データについて!$J$6:$M$18,13,FALSE)</f>
        <v>1</v>
      </c>
      <c r="T152" s="81">
        <f>HLOOKUP(M152,データについて!$J$7:$M$18,12,FALSE)</f>
        <v>1</v>
      </c>
      <c r="U152" s="81">
        <f>HLOOKUP(N152,データについて!$J$8:$M$18,11,FALSE)</f>
        <v>1</v>
      </c>
      <c r="V152" s="81">
        <f>HLOOKUP(O152,データについて!$J$9:$M$18,10,FALSE)</f>
        <v>1</v>
      </c>
      <c r="W152" s="81">
        <f>HLOOKUP(P152,データについて!$J$10:$M$18,9,FALSE)</f>
        <v>1</v>
      </c>
      <c r="X152" s="81">
        <f>HLOOKUP(Q152,データについて!$J$11:$M$18,8,FALSE)</f>
        <v>1</v>
      </c>
      <c r="Y152" s="81">
        <f>HLOOKUP(R152,データについて!$J$12:$M$18,7,FALSE)</f>
        <v>1</v>
      </c>
      <c r="Z152" s="81">
        <f>HLOOKUP(I152,データについて!$J$3:$M$18,16,FALSE)</f>
        <v>1</v>
      </c>
      <c r="AA152" s="81">
        <f>IFERROR(HLOOKUP(J152,データについて!$J$4:$AH$19,16,FALSE),"")</f>
        <v>2</v>
      </c>
      <c r="AB152" s="81" t="str">
        <f>IFERROR(HLOOKUP(K152,データについて!$J$5:$AH$20,14,FALSE),"")</f>
        <v/>
      </c>
      <c r="AC152" s="81">
        <f>IF(X152=1,HLOOKUP(R152,データについて!$J$12:$M$18,7,FALSE),"*")</f>
        <v>1</v>
      </c>
      <c r="AD152" s="81" t="str">
        <f>IF(X152=2,HLOOKUP(R152,データについて!$J$12:$M$18,7,FALSE),"*")</f>
        <v>*</v>
      </c>
    </row>
    <row r="153" spans="1:30">
      <c r="A153" s="30">
        <v>5039</v>
      </c>
      <c r="B153" s="30" t="s">
        <v>4549</v>
      </c>
      <c r="C153" s="30" t="s">
        <v>4550</v>
      </c>
      <c r="D153" s="30" t="s">
        <v>106</v>
      </c>
      <c r="E153" s="30"/>
      <c r="F153" s="30" t="s">
        <v>107</v>
      </c>
      <c r="G153" s="30" t="s">
        <v>106</v>
      </c>
      <c r="H153" s="30"/>
      <c r="I153" s="30" t="s">
        <v>192</v>
      </c>
      <c r="J153" s="30" t="s">
        <v>4412</v>
      </c>
      <c r="K153" s="30"/>
      <c r="L153" s="30" t="s">
        <v>117</v>
      </c>
      <c r="M153" s="30" t="s">
        <v>113</v>
      </c>
      <c r="N153" s="30" t="s">
        <v>114</v>
      </c>
      <c r="O153" s="30" t="s">
        <v>115</v>
      </c>
      <c r="P153" s="30" t="s">
        <v>112</v>
      </c>
      <c r="Q153" s="30" t="s">
        <v>112</v>
      </c>
      <c r="R153" s="30" t="s">
        <v>189</v>
      </c>
      <c r="S153" s="81">
        <f>HLOOKUP(L153,データについて!$J$6:$M$18,13,FALSE)</f>
        <v>2</v>
      </c>
      <c r="T153" s="81">
        <f>HLOOKUP(M153,データについて!$J$7:$M$18,12,FALSE)</f>
        <v>1</v>
      </c>
      <c r="U153" s="81">
        <f>HLOOKUP(N153,データについて!$J$8:$M$18,11,FALSE)</f>
        <v>1</v>
      </c>
      <c r="V153" s="81">
        <f>HLOOKUP(O153,データについて!$J$9:$M$18,10,FALSE)</f>
        <v>1</v>
      </c>
      <c r="W153" s="81">
        <f>HLOOKUP(P153,データについて!$J$10:$M$18,9,FALSE)</f>
        <v>1</v>
      </c>
      <c r="X153" s="81">
        <f>HLOOKUP(Q153,データについて!$J$11:$M$18,8,FALSE)</f>
        <v>1</v>
      </c>
      <c r="Y153" s="81">
        <f>HLOOKUP(R153,データについて!$J$12:$M$18,7,FALSE)</f>
        <v>4</v>
      </c>
      <c r="Z153" s="81">
        <f>HLOOKUP(I153,データについて!$J$3:$M$18,16,FALSE)</f>
        <v>1</v>
      </c>
      <c r="AA153" s="81">
        <f>IFERROR(HLOOKUP(J153,データについて!$J$4:$AH$19,16,FALSE),"")</f>
        <v>2</v>
      </c>
      <c r="AB153" s="81" t="str">
        <f>IFERROR(HLOOKUP(K153,データについて!$J$5:$AH$20,14,FALSE),"")</f>
        <v/>
      </c>
      <c r="AC153" s="81">
        <f>IF(X153=1,HLOOKUP(R153,データについて!$J$12:$M$18,7,FALSE),"*")</f>
        <v>4</v>
      </c>
      <c r="AD153" s="81" t="str">
        <f>IF(X153=2,HLOOKUP(R153,データについて!$J$12:$M$18,7,FALSE),"*")</f>
        <v>*</v>
      </c>
    </row>
    <row r="154" spans="1:30">
      <c r="A154" s="30">
        <v>5038</v>
      </c>
      <c r="B154" s="30" t="s">
        <v>4551</v>
      </c>
      <c r="C154" s="30" t="s">
        <v>4552</v>
      </c>
      <c r="D154" s="30" t="s">
        <v>106</v>
      </c>
      <c r="E154" s="30"/>
      <c r="F154" s="30" t="s">
        <v>107</v>
      </c>
      <c r="G154" s="30" t="s">
        <v>106</v>
      </c>
      <c r="H154" s="30"/>
      <c r="I154" s="30" t="s">
        <v>192</v>
      </c>
      <c r="J154" s="30" t="s">
        <v>4412</v>
      </c>
      <c r="K154" s="30"/>
      <c r="L154" s="30" t="s">
        <v>108</v>
      </c>
      <c r="M154" s="30" t="s">
        <v>113</v>
      </c>
      <c r="N154" s="30" t="s">
        <v>114</v>
      </c>
      <c r="O154" s="30" t="s">
        <v>115</v>
      </c>
      <c r="P154" s="30" t="s">
        <v>112</v>
      </c>
      <c r="Q154" s="30" t="s">
        <v>118</v>
      </c>
      <c r="R154" s="30" t="s">
        <v>185</v>
      </c>
      <c r="S154" s="81">
        <f>HLOOKUP(L154,データについて!$J$6:$M$18,13,FALSE)</f>
        <v>1</v>
      </c>
      <c r="T154" s="81">
        <f>HLOOKUP(M154,データについて!$J$7:$M$18,12,FALSE)</f>
        <v>1</v>
      </c>
      <c r="U154" s="81">
        <f>HLOOKUP(N154,データについて!$J$8:$M$18,11,FALSE)</f>
        <v>1</v>
      </c>
      <c r="V154" s="81">
        <f>HLOOKUP(O154,データについて!$J$9:$M$18,10,FALSE)</f>
        <v>1</v>
      </c>
      <c r="W154" s="81">
        <f>HLOOKUP(P154,データについて!$J$10:$M$18,9,FALSE)</f>
        <v>1</v>
      </c>
      <c r="X154" s="81">
        <f>HLOOKUP(Q154,データについて!$J$11:$M$18,8,FALSE)</f>
        <v>2</v>
      </c>
      <c r="Y154" s="81">
        <f>HLOOKUP(R154,データについて!$J$12:$M$18,7,FALSE)</f>
        <v>2</v>
      </c>
      <c r="Z154" s="81">
        <f>HLOOKUP(I154,データについて!$J$3:$M$18,16,FALSE)</f>
        <v>1</v>
      </c>
      <c r="AA154" s="81">
        <f>IFERROR(HLOOKUP(J154,データについて!$J$4:$AH$19,16,FALSE),"")</f>
        <v>2</v>
      </c>
      <c r="AB154" s="81" t="str">
        <f>IFERROR(HLOOKUP(K154,データについて!$J$5:$AH$20,14,FALSE),"")</f>
        <v/>
      </c>
      <c r="AC154" s="81" t="str">
        <f>IF(X154=1,HLOOKUP(R154,データについて!$J$12:$M$18,7,FALSE),"*")</f>
        <v>*</v>
      </c>
      <c r="AD154" s="81">
        <f>IF(X154=2,HLOOKUP(R154,データについて!$J$12:$M$18,7,FALSE),"*")</f>
        <v>2</v>
      </c>
    </row>
    <row r="155" spans="1:30">
      <c r="A155" s="30">
        <v>5037</v>
      </c>
      <c r="B155" s="30" t="s">
        <v>4553</v>
      </c>
      <c r="C155" s="30" t="s">
        <v>4554</v>
      </c>
      <c r="D155" s="30" t="s">
        <v>106</v>
      </c>
      <c r="E155" s="30"/>
      <c r="F155" s="30" t="s">
        <v>107</v>
      </c>
      <c r="G155" s="30" t="s">
        <v>106</v>
      </c>
      <c r="H155" s="30"/>
      <c r="I155" s="30" t="s">
        <v>191</v>
      </c>
      <c r="J155" s="30"/>
      <c r="K155" s="30" t="s">
        <v>4342</v>
      </c>
      <c r="L155" s="30" t="s">
        <v>117</v>
      </c>
      <c r="M155" s="30" t="s">
        <v>113</v>
      </c>
      <c r="N155" s="30" t="s">
        <v>110</v>
      </c>
      <c r="O155" s="30" t="s">
        <v>115</v>
      </c>
      <c r="P155" s="30" t="s">
        <v>112</v>
      </c>
      <c r="Q155" s="30" t="s">
        <v>112</v>
      </c>
      <c r="R155" s="30" t="s">
        <v>185</v>
      </c>
      <c r="S155" s="81">
        <f>HLOOKUP(L155,データについて!$J$6:$M$18,13,FALSE)</f>
        <v>2</v>
      </c>
      <c r="T155" s="81">
        <f>HLOOKUP(M155,データについて!$J$7:$M$18,12,FALSE)</f>
        <v>1</v>
      </c>
      <c r="U155" s="81">
        <f>HLOOKUP(N155,データについて!$J$8:$M$18,11,FALSE)</f>
        <v>2</v>
      </c>
      <c r="V155" s="81">
        <f>HLOOKUP(O155,データについて!$J$9:$M$18,10,FALSE)</f>
        <v>1</v>
      </c>
      <c r="W155" s="81">
        <f>HLOOKUP(P155,データについて!$J$10:$M$18,9,FALSE)</f>
        <v>1</v>
      </c>
      <c r="X155" s="81">
        <f>HLOOKUP(Q155,データについて!$J$11:$M$18,8,FALSE)</f>
        <v>1</v>
      </c>
      <c r="Y155" s="81">
        <f>HLOOKUP(R155,データについて!$J$12:$M$18,7,FALSE)</f>
        <v>2</v>
      </c>
      <c r="Z155" s="81">
        <f>HLOOKUP(I155,データについて!$J$3:$M$18,16,FALSE)</f>
        <v>2</v>
      </c>
      <c r="AA155" s="81" t="str">
        <f>IFERROR(HLOOKUP(J155,データについて!$J$4:$AH$19,16,FALSE),"")</f>
        <v/>
      </c>
      <c r="AB155" s="81">
        <f>IFERROR(HLOOKUP(K155,データについて!$J$5:$AH$20,14,FALSE),"")</f>
        <v>1</v>
      </c>
      <c r="AC155" s="81">
        <f>IF(X155=1,HLOOKUP(R155,データについて!$J$12:$M$18,7,FALSE),"*")</f>
        <v>2</v>
      </c>
      <c r="AD155" s="81" t="str">
        <f>IF(X155=2,HLOOKUP(R155,データについて!$J$12:$M$18,7,FALSE),"*")</f>
        <v>*</v>
      </c>
    </row>
    <row r="156" spans="1:30">
      <c r="A156" s="30">
        <v>5036</v>
      </c>
      <c r="B156" s="30" t="s">
        <v>4555</v>
      </c>
      <c r="C156" s="30" t="s">
        <v>4556</v>
      </c>
      <c r="D156" s="30" t="s">
        <v>106</v>
      </c>
      <c r="E156" s="30"/>
      <c r="F156" s="30" t="s">
        <v>107</v>
      </c>
      <c r="G156" s="30" t="s">
        <v>106</v>
      </c>
      <c r="H156" s="30"/>
      <c r="I156" s="30" t="s">
        <v>191</v>
      </c>
      <c r="J156" s="30"/>
      <c r="K156" s="30" t="s">
        <v>4342</v>
      </c>
      <c r="L156" s="30" t="s">
        <v>117</v>
      </c>
      <c r="M156" s="30" t="s">
        <v>113</v>
      </c>
      <c r="N156" s="30" t="s">
        <v>114</v>
      </c>
      <c r="O156" s="30" t="s">
        <v>115</v>
      </c>
      <c r="P156" s="30" t="s">
        <v>112</v>
      </c>
      <c r="Q156" s="30" t="s">
        <v>112</v>
      </c>
      <c r="R156" s="30" t="s">
        <v>185</v>
      </c>
      <c r="S156" s="81">
        <f>HLOOKUP(L156,データについて!$J$6:$M$18,13,FALSE)</f>
        <v>2</v>
      </c>
      <c r="T156" s="81">
        <f>HLOOKUP(M156,データについて!$J$7:$M$18,12,FALSE)</f>
        <v>1</v>
      </c>
      <c r="U156" s="81">
        <f>HLOOKUP(N156,データについて!$J$8:$M$18,11,FALSE)</f>
        <v>1</v>
      </c>
      <c r="V156" s="81">
        <f>HLOOKUP(O156,データについて!$J$9:$M$18,10,FALSE)</f>
        <v>1</v>
      </c>
      <c r="W156" s="81">
        <f>HLOOKUP(P156,データについて!$J$10:$M$18,9,FALSE)</f>
        <v>1</v>
      </c>
      <c r="X156" s="81">
        <f>HLOOKUP(Q156,データについて!$J$11:$M$18,8,FALSE)</f>
        <v>1</v>
      </c>
      <c r="Y156" s="81">
        <f>HLOOKUP(R156,データについて!$J$12:$M$18,7,FALSE)</f>
        <v>2</v>
      </c>
      <c r="Z156" s="81">
        <f>HLOOKUP(I156,データについて!$J$3:$M$18,16,FALSE)</f>
        <v>2</v>
      </c>
      <c r="AA156" s="81" t="str">
        <f>IFERROR(HLOOKUP(J156,データについて!$J$4:$AH$19,16,FALSE),"")</f>
        <v/>
      </c>
      <c r="AB156" s="81">
        <f>IFERROR(HLOOKUP(K156,データについて!$J$5:$AH$20,14,FALSE),"")</f>
        <v>1</v>
      </c>
      <c r="AC156" s="81">
        <f>IF(X156=1,HLOOKUP(R156,データについて!$J$12:$M$18,7,FALSE),"*")</f>
        <v>2</v>
      </c>
      <c r="AD156" s="81" t="str">
        <f>IF(X156=2,HLOOKUP(R156,データについて!$J$12:$M$18,7,FALSE),"*")</f>
        <v>*</v>
      </c>
    </row>
    <row r="157" spans="1:30">
      <c r="A157" s="30">
        <v>5035</v>
      </c>
      <c r="B157" s="30" t="s">
        <v>4557</v>
      </c>
      <c r="C157" s="30" t="s">
        <v>4558</v>
      </c>
      <c r="D157" s="30" t="s">
        <v>106</v>
      </c>
      <c r="E157" s="30"/>
      <c r="F157" s="30" t="s">
        <v>107</v>
      </c>
      <c r="G157" s="30" t="s">
        <v>106</v>
      </c>
      <c r="H157" s="30"/>
      <c r="I157" s="30" t="s">
        <v>191</v>
      </c>
      <c r="J157" s="30"/>
      <c r="K157" s="30" t="s">
        <v>4342</v>
      </c>
      <c r="L157" s="30" t="s">
        <v>117</v>
      </c>
      <c r="M157" s="30" t="s">
        <v>109</v>
      </c>
      <c r="N157" s="30" t="s">
        <v>110</v>
      </c>
      <c r="O157" s="30" t="s">
        <v>115</v>
      </c>
      <c r="P157" s="30" t="s">
        <v>112</v>
      </c>
      <c r="Q157" s="30" t="s">
        <v>112</v>
      </c>
      <c r="R157" s="30" t="s">
        <v>185</v>
      </c>
      <c r="S157" s="81">
        <f>HLOOKUP(L157,データについて!$J$6:$M$18,13,FALSE)</f>
        <v>2</v>
      </c>
      <c r="T157" s="81">
        <f>HLOOKUP(M157,データについて!$J$7:$M$18,12,FALSE)</f>
        <v>2</v>
      </c>
      <c r="U157" s="81">
        <f>HLOOKUP(N157,データについて!$J$8:$M$18,11,FALSE)</f>
        <v>2</v>
      </c>
      <c r="V157" s="81">
        <f>HLOOKUP(O157,データについて!$J$9:$M$18,10,FALSE)</f>
        <v>1</v>
      </c>
      <c r="W157" s="81">
        <f>HLOOKUP(P157,データについて!$J$10:$M$18,9,FALSE)</f>
        <v>1</v>
      </c>
      <c r="X157" s="81">
        <f>HLOOKUP(Q157,データについて!$J$11:$M$18,8,FALSE)</f>
        <v>1</v>
      </c>
      <c r="Y157" s="81">
        <f>HLOOKUP(R157,データについて!$J$12:$M$18,7,FALSE)</f>
        <v>2</v>
      </c>
      <c r="Z157" s="81">
        <f>HLOOKUP(I157,データについて!$J$3:$M$18,16,FALSE)</f>
        <v>2</v>
      </c>
      <c r="AA157" s="81" t="str">
        <f>IFERROR(HLOOKUP(J157,データについて!$J$4:$AH$19,16,FALSE),"")</f>
        <v/>
      </c>
      <c r="AB157" s="81">
        <f>IFERROR(HLOOKUP(K157,データについて!$J$5:$AH$20,14,FALSE),"")</f>
        <v>1</v>
      </c>
      <c r="AC157" s="81">
        <f>IF(X157=1,HLOOKUP(R157,データについて!$J$12:$M$18,7,FALSE),"*")</f>
        <v>2</v>
      </c>
      <c r="AD157" s="81" t="str">
        <f>IF(X157=2,HLOOKUP(R157,データについて!$J$12:$M$18,7,FALSE),"*")</f>
        <v>*</v>
      </c>
    </row>
    <row r="158" spans="1:30">
      <c r="A158" s="30">
        <v>5034</v>
      </c>
      <c r="B158" s="30" t="s">
        <v>4559</v>
      </c>
      <c r="C158" s="30" t="s">
        <v>4560</v>
      </c>
      <c r="D158" s="30" t="s">
        <v>106</v>
      </c>
      <c r="E158" s="30"/>
      <c r="F158" s="30" t="s">
        <v>107</v>
      </c>
      <c r="G158" s="30" t="s">
        <v>106</v>
      </c>
      <c r="H158" s="30"/>
      <c r="I158" s="30" t="s">
        <v>191</v>
      </c>
      <c r="J158" s="30"/>
      <c r="K158" s="30" t="s">
        <v>4342</v>
      </c>
      <c r="L158" s="30" t="s">
        <v>108</v>
      </c>
      <c r="M158" s="30" t="s">
        <v>109</v>
      </c>
      <c r="N158" s="30" t="s">
        <v>114</v>
      </c>
      <c r="O158" s="30" t="s">
        <v>111</v>
      </c>
      <c r="P158" s="30" t="s">
        <v>118</v>
      </c>
      <c r="Q158" s="30" t="s">
        <v>112</v>
      </c>
      <c r="R158" s="30" t="s">
        <v>183</v>
      </c>
      <c r="S158" s="81">
        <f>HLOOKUP(L158,データについて!$J$6:$M$18,13,FALSE)</f>
        <v>1</v>
      </c>
      <c r="T158" s="81">
        <f>HLOOKUP(M158,データについて!$J$7:$M$18,12,FALSE)</f>
        <v>2</v>
      </c>
      <c r="U158" s="81">
        <f>HLOOKUP(N158,データについて!$J$8:$M$18,11,FALSE)</f>
        <v>1</v>
      </c>
      <c r="V158" s="81">
        <f>HLOOKUP(O158,データについて!$J$9:$M$18,10,FALSE)</f>
        <v>3</v>
      </c>
      <c r="W158" s="81">
        <f>HLOOKUP(P158,データについて!$J$10:$M$18,9,FALSE)</f>
        <v>2</v>
      </c>
      <c r="X158" s="81">
        <f>HLOOKUP(Q158,データについて!$J$11:$M$18,8,FALSE)</f>
        <v>1</v>
      </c>
      <c r="Y158" s="81">
        <f>HLOOKUP(R158,データについて!$J$12:$M$18,7,FALSE)</f>
        <v>1</v>
      </c>
      <c r="Z158" s="81">
        <f>HLOOKUP(I158,データについて!$J$3:$M$18,16,FALSE)</f>
        <v>2</v>
      </c>
      <c r="AA158" s="81" t="str">
        <f>IFERROR(HLOOKUP(J158,データについて!$J$4:$AH$19,16,FALSE),"")</f>
        <v/>
      </c>
      <c r="AB158" s="81">
        <f>IFERROR(HLOOKUP(K158,データについて!$J$5:$AH$20,14,FALSE),"")</f>
        <v>1</v>
      </c>
      <c r="AC158" s="81">
        <f>IF(X158=1,HLOOKUP(R158,データについて!$J$12:$M$18,7,FALSE),"*")</f>
        <v>1</v>
      </c>
      <c r="AD158" s="81" t="str">
        <f>IF(X158=2,HLOOKUP(R158,データについて!$J$12:$M$18,7,FALSE),"*")</f>
        <v>*</v>
      </c>
    </row>
    <row r="159" spans="1:30">
      <c r="A159" s="30">
        <v>5033</v>
      </c>
      <c r="B159" s="30" t="s">
        <v>4561</v>
      </c>
      <c r="C159" s="30" t="s">
        <v>4562</v>
      </c>
      <c r="D159" s="30" t="s">
        <v>106</v>
      </c>
      <c r="E159" s="30"/>
      <c r="F159" s="30" t="s">
        <v>107</v>
      </c>
      <c r="G159" s="30" t="s">
        <v>106</v>
      </c>
      <c r="H159" s="30"/>
      <c r="I159" s="30" t="s">
        <v>191</v>
      </c>
      <c r="J159" s="30"/>
      <c r="K159" s="30" t="s">
        <v>4342</v>
      </c>
      <c r="L159" s="30" t="s">
        <v>120</v>
      </c>
      <c r="M159" s="30" t="s">
        <v>113</v>
      </c>
      <c r="N159" s="30" t="s">
        <v>114</v>
      </c>
      <c r="O159" s="30" t="s">
        <v>115</v>
      </c>
      <c r="P159" s="30" t="s">
        <v>112</v>
      </c>
      <c r="Q159" s="30" t="s">
        <v>118</v>
      </c>
      <c r="R159" s="30" t="s">
        <v>187</v>
      </c>
      <c r="S159" s="81">
        <f>HLOOKUP(L159,データについて!$J$6:$M$18,13,FALSE)</f>
        <v>3</v>
      </c>
      <c r="T159" s="81">
        <f>HLOOKUP(M159,データについて!$J$7:$M$18,12,FALSE)</f>
        <v>1</v>
      </c>
      <c r="U159" s="81">
        <f>HLOOKUP(N159,データについて!$J$8:$M$18,11,FALSE)</f>
        <v>1</v>
      </c>
      <c r="V159" s="81">
        <f>HLOOKUP(O159,データについて!$J$9:$M$18,10,FALSE)</f>
        <v>1</v>
      </c>
      <c r="W159" s="81">
        <f>HLOOKUP(P159,データについて!$J$10:$M$18,9,FALSE)</f>
        <v>1</v>
      </c>
      <c r="X159" s="81">
        <f>HLOOKUP(Q159,データについて!$J$11:$M$18,8,FALSE)</f>
        <v>2</v>
      </c>
      <c r="Y159" s="81">
        <f>HLOOKUP(R159,データについて!$J$12:$M$18,7,FALSE)</f>
        <v>3</v>
      </c>
      <c r="Z159" s="81">
        <f>HLOOKUP(I159,データについて!$J$3:$M$18,16,FALSE)</f>
        <v>2</v>
      </c>
      <c r="AA159" s="81" t="str">
        <f>IFERROR(HLOOKUP(J159,データについて!$J$4:$AH$19,16,FALSE),"")</f>
        <v/>
      </c>
      <c r="AB159" s="81">
        <f>IFERROR(HLOOKUP(K159,データについて!$J$5:$AH$20,14,FALSE),"")</f>
        <v>1</v>
      </c>
      <c r="AC159" s="81" t="str">
        <f>IF(X159=1,HLOOKUP(R159,データについて!$J$12:$M$18,7,FALSE),"*")</f>
        <v>*</v>
      </c>
      <c r="AD159" s="81">
        <f>IF(X159=2,HLOOKUP(R159,データについて!$J$12:$M$18,7,FALSE),"*")</f>
        <v>3</v>
      </c>
    </row>
    <row r="160" spans="1:30">
      <c r="A160" s="30">
        <v>5032</v>
      </c>
      <c r="B160" s="30" t="s">
        <v>4563</v>
      </c>
      <c r="C160" s="30" t="s">
        <v>4564</v>
      </c>
      <c r="D160" s="30" t="s">
        <v>106</v>
      </c>
      <c r="E160" s="30"/>
      <c r="F160" s="30" t="s">
        <v>107</v>
      </c>
      <c r="G160" s="30" t="s">
        <v>106</v>
      </c>
      <c r="H160" s="30"/>
      <c r="I160" s="30" t="s">
        <v>192</v>
      </c>
      <c r="J160" s="30" t="s">
        <v>4412</v>
      </c>
      <c r="K160" s="30"/>
      <c r="L160" s="30" t="s">
        <v>108</v>
      </c>
      <c r="M160" s="30" t="s">
        <v>121</v>
      </c>
      <c r="N160" s="30" t="s">
        <v>119</v>
      </c>
      <c r="O160" s="30" t="s">
        <v>115</v>
      </c>
      <c r="P160" s="30" t="s">
        <v>112</v>
      </c>
      <c r="Q160" s="30" t="s">
        <v>118</v>
      </c>
      <c r="R160" s="30" t="s">
        <v>183</v>
      </c>
      <c r="S160" s="81">
        <f>HLOOKUP(L160,データについて!$J$6:$M$18,13,FALSE)</f>
        <v>1</v>
      </c>
      <c r="T160" s="81">
        <f>HLOOKUP(M160,データについて!$J$7:$M$18,12,FALSE)</f>
        <v>4</v>
      </c>
      <c r="U160" s="81">
        <f>HLOOKUP(N160,データについて!$J$8:$M$18,11,FALSE)</f>
        <v>4</v>
      </c>
      <c r="V160" s="81">
        <f>HLOOKUP(O160,データについて!$J$9:$M$18,10,FALSE)</f>
        <v>1</v>
      </c>
      <c r="W160" s="81">
        <f>HLOOKUP(P160,データについて!$J$10:$M$18,9,FALSE)</f>
        <v>1</v>
      </c>
      <c r="X160" s="81">
        <f>HLOOKUP(Q160,データについて!$J$11:$M$18,8,FALSE)</f>
        <v>2</v>
      </c>
      <c r="Y160" s="81">
        <f>HLOOKUP(R160,データについて!$J$12:$M$18,7,FALSE)</f>
        <v>1</v>
      </c>
      <c r="Z160" s="81">
        <f>HLOOKUP(I160,データについて!$J$3:$M$18,16,FALSE)</f>
        <v>1</v>
      </c>
      <c r="AA160" s="81">
        <f>IFERROR(HLOOKUP(J160,データについて!$J$4:$AH$19,16,FALSE),"")</f>
        <v>2</v>
      </c>
      <c r="AB160" s="81" t="str">
        <f>IFERROR(HLOOKUP(K160,データについて!$J$5:$AH$20,14,FALSE),"")</f>
        <v/>
      </c>
      <c r="AC160" s="81" t="str">
        <f>IF(X160=1,HLOOKUP(R160,データについて!$J$12:$M$18,7,FALSE),"*")</f>
        <v>*</v>
      </c>
      <c r="AD160" s="81">
        <f>IF(X160=2,HLOOKUP(R160,データについて!$J$12:$M$18,7,FALSE),"*")</f>
        <v>1</v>
      </c>
    </row>
    <row r="161" spans="1:30">
      <c r="A161" s="30">
        <v>5031</v>
      </c>
      <c r="B161" s="30" t="s">
        <v>4565</v>
      </c>
      <c r="C161" s="30" t="s">
        <v>4566</v>
      </c>
      <c r="D161" s="30" t="s">
        <v>106</v>
      </c>
      <c r="E161" s="30"/>
      <c r="F161" s="30" t="s">
        <v>107</v>
      </c>
      <c r="G161" s="30" t="s">
        <v>106</v>
      </c>
      <c r="H161" s="30"/>
      <c r="I161" s="30" t="s">
        <v>191</v>
      </c>
      <c r="J161" s="30"/>
      <c r="K161" s="30" t="s">
        <v>4342</v>
      </c>
      <c r="L161" s="30" t="s">
        <v>108</v>
      </c>
      <c r="M161" s="30" t="s">
        <v>113</v>
      </c>
      <c r="N161" s="30" t="s">
        <v>110</v>
      </c>
      <c r="O161" s="30" t="s">
        <v>115</v>
      </c>
      <c r="P161" s="30" t="s">
        <v>118</v>
      </c>
      <c r="Q161" s="30" t="s">
        <v>112</v>
      </c>
      <c r="R161" s="30" t="s">
        <v>185</v>
      </c>
      <c r="S161" s="81">
        <f>HLOOKUP(L161,データについて!$J$6:$M$18,13,FALSE)</f>
        <v>1</v>
      </c>
      <c r="T161" s="81">
        <f>HLOOKUP(M161,データについて!$J$7:$M$18,12,FALSE)</f>
        <v>1</v>
      </c>
      <c r="U161" s="81">
        <f>HLOOKUP(N161,データについて!$J$8:$M$18,11,FALSE)</f>
        <v>2</v>
      </c>
      <c r="V161" s="81">
        <f>HLOOKUP(O161,データについて!$J$9:$M$18,10,FALSE)</f>
        <v>1</v>
      </c>
      <c r="W161" s="81">
        <f>HLOOKUP(P161,データについて!$J$10:$M$18,9,FALSE)</f>
        <v>2</v>
      </c>
      <c r="X161" s="81">
        <f>HLOOKUP(Q161,データについて!$J$11:$M$18,8,FALSE)</f>
        <v>1</v>
      </c>
      <c r="Y161" s="81">
        <f>HLOOKUP(R161,データについて!$J$12:$M$18,7,FALSE)</f>
        <v>2</v>
      </c>
      <c r="Z161" s="81">
        <f>HLOOKUP(I161,データについて!$J$3:$M$18,16,FALSE)</f>
        <v>2</v>
      </c>
      <c r="AA161" s="81" t="str">
        <f>IFERROR(HLOOKUP(J161,データについて!$J$4:$AH$19,16,FALSE),"")</f>
        <v/>
      </c>
      <c r="AB161" s="81">
        <f>IFERROR(HLOOKUP(K161,データについて!$J$5:$AH$20,14,FALSE),"")</f>
        <v>1</v>
      </c>
      <c r="AC161" s="81">
        <f>IF(X161=1,HLOOKUP(R161,データについて!$J$12:$M$18,7,FALSE),"*")</f>
        <v>2</v>
      </c>
      <c r="AD161" s="81" t="str">
        <f>IF(X161=2,HLOOKUP(R161,データについて!$J$12:$M$18,7,FALSE),"*")</f>
        <v>*</v>
      </c>
    </row>
    <row r="162" spans="1:30">
      <c r="A162" s="30">
        <v>5030</v>
      </c>
      <c r="B162" s="30" t="s">
        <v>4567</v>
      </c>
      <c r="C162" s="30" t="s">
        <v>4568</v>
      </c>
      <c r="D162" s="30" t="s">
        <v>106</v>
      </c>
      <c r="E162" s="30"/>
      <c r="F162" s="30" t="s">
        <v>107</v>
      </c>
      <c r="G162" s="30" t="s">
        <v>106</v>
      </c>
      <c r="H162" s="30"/>
      <c r="I162" s="30" t="s">
        <v>191</v>
      </c>
      <c r="J162" s="30"/>
      <c r="K162" s="30" t="s">
        <v>4342</v>
      </c>
      <c r="L162" s="30" t="s">
        <v>120</v>
      </c>
      <c r="M162" s="30" t="s">
        <v>109</v>
      </c>
      <c r="N162" s="30" t="s">
        <v>122</v>
      </c>
      <c r="O162" s="30" t="s">
        <v>115</v>
      </c>
      <c r="P162" s="30" t="s">
        <v>118</v>
      </c>
      <c r="Q162" s="30" t="s">
        <v>118</v>
      </c>
      <c r="R162" s="30" t="s">
        <v>187</v>
      </c>
      <c r="S162" s="81">
        <f>HLOOKUP(L162,データについて!$J$6:$M$18,13,FALSE)</f>
        <v>3</v>
      </c>
      <c r="T162" s="81">
        <f>HLOOKUP(M162,データについて!$J$7:$M$18,12,FALSE)</f>
        <v>2</v>
      </c>
      <c r="U162" s="81">
        <f>HLOOKUP(N162,データについて!$J$8:$M$18,11,FALSE)</f>
        <v>3</v>
      </c>
      <c r="V162" s="81">
        <f>HLOOKUP(O162,データについて!$J$9:$M$18,10,FALSE)</f>
        <v>1</v>
      </c>
      <c r="W162" s="81">
        <f>HLOOKUP(P162,データについて!$J$10:$M$18,9,FALSE)</f>
        <v>2</v>
      </c>
      <c r="X162" s="81">
        <f>HLOOKUP(Q162,データについて!$J$11:$M$18,8,FALSE)</f>
        <v>2</v>
      </c>
      <c r="Y162" s="81">
        <f>HLOOKUP(R162,データについて!$J$12:$M$18,7,FALSE)</f>
        <v>3</v>
      </c>
      <c r="Z162" s="81">
        <f>HLOOKUP(I162,データについて!$J$3:$M$18,16,FALSE)</f>
        <v>2</v>
      </c>
      <c r="AA162" s="81" t="str">
        <f>IFERROR(HLOOKUP(J162,データについて!$J$4:$AH$19,16,FALSE),"")</f>
        <v/>
      </c>
      <c r="AB162" s="81">
        <f>IFERROR(HLOOKUP(K162,データについて!$J$5:$AH$20,14,FALSE),"")</f>
        <v>1</v>
      </c>
      <c r="AC162" s="81" t="str">
        <f>IF(X162=1,HLOOKUP(R162,データについて!$J$12:$M$18,7,FALSE),"*")</f>
        <v>*</v>
      </c>
      <c r="AD162" s="81">
        <f>IF(X162=2,HLOOKUP(R162,データについて!$J$12:$M$18,7,FALSE),"*")</f>
        <v>3</v>
      </c>
    </row>
    <row r="163" spans="1:30">
      <c r="A163" s="30">
        <v>5029</v>
      </c>
      <c r="B163" s="30" t="s">
        <v>4569</v>
      </c>
      <c r="C163" s="30" t="s">
        <v>4570</v>
      </c>
      <c r="D163" s="30" t="s">
        <v>106</v>
      </c>
      <c r="E163" s="30"/>
      <c r="F163" s="30" t="s">
        <v>107</v>
      </c>
      <c r="G163" s="30" t="s">
        <v>106</v>
      </c>
      <c r="H163" s="30"/>
      <c r="I163" s="30" t="s">
        <v>192</v>
      </c>
      <c r="J163" s="30" t="s">
        <v>4412</v>
      </c>
      <c r="K163" s="30"/>
      <c r="L163" s="30" t="s">
        <v>117</v>
      </c>
      <c r="M163" s="30" t="s">
        <v>113</v>
      </c>
      <c r="N163" s="30" t="s">
        <v>110</v>
      </c>
      <c r="O163" s="30" t="s">
        <v>115</v>
      </c>
      <c r="P163" s="30" t="s">
        <v>112</v>
      </c>
      <c r="Q163" s="30" t="s">
        <v>112</v>
      </c>
      <c r="R163" s="30" t="s">
        <v>183</v>
      </c>
      <c r="S163" s="81">
        <f>HLOOKUP(L163,データについて!$J$6:$M$18,13,FALSE)</f>
        <v>2</v>
      </c>
      <c r="T163" s="81">
        <f>HLOOKUP(M163,データについて!$J$7:$M$18,12,FALSE)</f>
        <v>1</v>
      </c>
      <c r="U163" s="81">
        <f>HLOOKUP(N163,データについて!$J$8:$M$18,11,FALSE)</f>
        <v>2</v>
      </c>
      <c r="V163" s="81">
        <f>HLOOKUP(O163,データについて!$J$9:$M$18,10,FALSE)</f>
        <v>1</v>
      </c>
      <c r="W163" s="81">
        <f>HLOOKUP(P163,データについて!$J$10:$M$18,9,FALSE)</f>
        <v>1</v>
      </c>
      <c r="X163" s="81">
        <f>HLOOKUP(Q163,データについて!$J$11:$M$18,8,FALSE)</f>
        <v>1</v>
      </c>
      <c r="Y163" s="81">
        <f>HLOOKUP(R163,データについて!$J$12:$M$18,7,FALSE)</f>
        <v>1</v>
      </c>
      <c r="Z163" s="81">
        <f>HLOOKUP(I163,データについて!$J$3:$M$18,16,FALSE)</f>
        <v>1</v>
      </c>
      <c r="AA163" s="81">
        <f>IFERROR(HLOOKUP(J163,データについて!$J$4:$AH$19,16,FALSE),"")</f>
        <v>2</v>
      </c>
      <c r="AB163" s="81" t="str">
        <f>IFERROR(HLOOKUP(K163,データについて!$J$5:$AH$20,14,FALSE),"")</f>
        <v/>
      </c>
      <c r="AC163" s="81">
        <f>IF(X163=1,HLOOKUP(R163,データについて!$J$12:$M$18,7,FALSE),"*")</f>
        <v>1</v>
      </c>
      <c r="AD163" s="81" t="str">
        <f>IF(X163=2,HLOOKUP(R163,データについて!$J$12:$M$18,7,FALSE),"*")</f>
        <v>*</v>
      </c>
    </row>
    <row r="164" spans="1:30">
      <c r="A164" s="30">
        <v>5028</v>
      </c>
      <c r="B164" s="30" t="s">
        <v>4571</v>
      </c>
      <c r="C164" s="30" t="s">
        <v>4572</v>
      </c>
      <c r="D164" s="30" t="s">
        <v>106</v>
      </c>
      <c r="E164" s="30"/>
      <c r="F164" s="30" t="s">
        <v>107</v>
      </c>
      <c r="G164" s="30" t="s">
        <v>106</v>
      </c>
      <c r="H164" s="30"/>
      <c r="I164" s="30" t="s">
        <v>192</v>
      </c>
      <c r="J164" s="30" t="s">
        <v>4412</v>
      </c>
      <c r="K164" s="30"/>
      <c r="L164" s="30" t="s">
        <v>117</v>
      </c>
      <c r="M164" s="30" t="s">
        <v>109</v>
      </c>
      <c r="N164" s="30" t="s">
        <v>114</v>
      </c>
      <c r="O164" s="30" t="s">
        <v>111</v>
      </c>
      <c r="P164" s="30" t="s">
        <v>112</v>
      </c>
      <c r="Q164" s="30" t="s">
        <v>112</v>
      </c>
      <c r="R164" s="30" t="s">
        <v>183</v>
      </c>
      <c r="S164" s="81">
        <f>HLOOKUP(L164,データについて!$J$6:$M$18,13,FALSE)</f>
        <v>2</v>
      </c>
      <c r="T164" s="81">
        <f>HLOOKUP(M164,データについて!$J$7:$M$18,12,FALSE)</f>
        <v>2</v>
      </c>
      <c r="U164" s="81">
        <f>HLOOKUP(N164,データについて!$J$8:$M$18,11,FALSE)</f>
        <v>1</v>
      </c>
      <c r="V164" s="81">
        <f>HLOOKUP(O164,データについて!$J$9:$M$18,10,FALSE)</f>
        <v>3</v>
      </c>
      <c r="W164" s="81">
        <f>HLOOKUP(P164,データについて!$J$10:$M$18,9,FALSE)</f>
        <v>1</v>
      </c>
      <c r="X164" s="81">
        <f>HLOOKUP(Q164,データについて!$J$11:$M$18,8,FALSE)</f>
        <v>1</v>
      </c>
      <c r="Y164" s="81">
        <f>HLOOKUP(R164,データについて!$J$12:$M$18,7,FALSE)</f>
        <v>1</v>
      </c>
      <c r="Z164" s="81">
        <f>HLOOKUP(I164,データについて!$J$3:$M$18,16,FALSE)</f>
        <v>1</v>
      </c>
      <c r="AA164" s="81">
        <f>IFERROR(HLOOKUP(J164,データについて!$J$4:$AH$19,16,FALSE),"")</f>
        <v>2</v>
      </c>
      <c r="AB164" s="81" t="str">
        <f>IFERROR(HLOOKUP(K164,データについて!$J$5:$AH$20,14,FALSE),"")</f>
        <v/>
      </c>
      <c r="AC164" s="81">
        <f>IF(X164=1,HLOOKUP(R164,データについて!$J$12:$M$18,7,FALSE),"*")</f>
        <v>1</v>
      </c>
      <c r="AD164" s="81" t="str">
        <f>IF(X164=2,HLOOKUP(R164,データについて!$J$12:$M$18,7,FALSE),"*")</f>
        <v>*</v>
      </c>
    </row>
    <row r="165" spans="1:30">
      <c r="A165" s="30">
        <v>5027</v>
      </c>
      <c r="B165" s="30" t="s">
        <v>4573</v>
      </c>
      <c r="C165" s="30" t="s">
        <v>4574</v>
      </c>
      <c r="D165" s="30" t="s">
        <v>106</v>
      </c>
      <c r="E165" s="30"/>
      <c r="F165" s="30" t="s">
        <v>107</v>
      </c>
      <c r="G165" s="30" t="s">
        <v>106</v>
      </c>
      <c r="H165" s="30"/>
      <c r="I165" s="30" t="s">
        <v>192</v>
      </c>
      <c r="J165" s="30" t="s">
        <v>4412</v>
      </c>
      <c r="K165" s="30"/>
      <c r="L165" s="30" t="s">
        <v>117</v>
      </c>
      <c r="M165" s="30" t="s">
        <v>113</v>
      </c>
      <c r="N165" s="30" t="s">
        <v>114</v>
      </c>
      <c r="O165" s="30" t="s">
        <v>115</v>
      </c>
      <c r="P165" s="30" t="s">
        <v>112</v>
      </c>
      <c r="Q165" s="30" t="s">
        <v>112</v>
      </c>
      <c r="R165" s="30" t="s">
        <v>183</v>
      </c>
      <c r="S165" s="81">
        <f>HLOOKUP(L165,データについて!$J$6:$M$18,13,FALSE)</f>
        <v>2</v>
      </c>
      <c r="T165" s="81">
        <f>HLOOKUP(M165,データについて!$J$7:$M$18,12,FALSE)</f>
        <v>1</v>
      </c>
      <c r="U165" s="81">
        <f>HLOOKUP(N165,データについて!$J$8:$M$18,11,FALSE)</f>
        <v>1</v>
      </c>
      <c r="V165" s="81">
        <f>HLOOKUP(O165,データについて!$J$9:$M$18,10,FALSE)</f>
        <v>1</v>
      </c>
      <c r="W165" s="81">
        <f>HLOOKUP(P165,データについて!$J$10:$M$18,9,FALSE)</f>
        <v>1</v>
      </c>
      <c r="X165" s="81">
        <f>HLOOKUP(Q165,データについて!$J$11:$M$18,8,FALSE)</f>
        <v>1</v>
      </c>
      <c r="Y165" s="81">
        <f>HLOOKUP(R165,データについて!$J$12:$M$18,7,FALSE)</f>
        <v>1</v>
      </c>
      <c r="Z165" s="81">
        <f>HLOOKUP(I165,データについて!$J$3:$M$18,16,FALSE)</f>
        <v>1</v>
      </c>
      <c r="AA165" s="81">
        <f>IFERROR(HLOOKUP(J165,データについて!$J$4:$AH$19,16,FALSE),"")</f>
        <v>2</v>
      </c>
      <c r="AB165" s="81" t="str">
        <f>IFERROR(HLOOKUP(K165,データについて!$J$5:$AH$20,14,FALSE),"")</f>
        <v/>
      </c>
      <c r="AC165" s="81">
        <f>IF(X165=1,HLOOKUP(R165,データについて!$J$12:$M$18,7,FALSE),"*")</f>
        <v>1</v>
      </c>
      <c r="AD165" s="81" t="str">
        <f>IF(X165=2,HLOOKUP(R165,データについて!$J$12:$M$18,7,FALSE),"*")</f>
        <v>*</v>
      </c>
    </row>
    <row r="166" spans="1:30">
      <c r="A166" s="30">
        <v>5026</v>
      </c>
      <c r="B166" s="30" t="s">
        <v>4575</v>
      </c>
      <c r="C166" s="30" t="s">
        <v>4574</v>
      </c>
      <c r="D166" s="30" t="s">
        <v>106</v>
      </c>
      <c r="E166" s="30"/>
      <c r="F166" s="30" t="s">
        <v>107</v>
      </c>
      <c r="G166" s="30" t="s">
        <v>106</v>
      </c>
      <c r="H166" s="30"/>
      <c r="I166" s="30" t="s">
        <v>192</v>
      </c>
      <c r="J166" s="30" t="s">
        <v>4412</v>
      </c>
      <c r="K166" s="30"/>
      <c r="L166" s="30" t="s">
        <v>117</v>
      </c>
      <c r="M166" s="30" t="s">
        <v>113</v>
      </c>
      <c r="N166" s="30" t="s">
        <v>110</v>
      </c>
      <c r="O166" s="30" t="s">
        <v>115</v>
      </c>
      <c r="P166" s="30" t="s">
        <v>112</v>
      </c>
      <c r="Q166" s="30" t="s">
        <v>112</v>
      </c>
      <c r="R166" s="30" t="s">
        <v>189</v>
      </c>
      <c r="S166" s="81">
        <f>HLOOKUP(L166,データについて!$J$6:$M$18,13,FALSE)</f>
        <v>2</v>
      </c>
      <c r="T166" s="81">
        <f>HLOOKUP(M166,データについて!$J$7:$M$18,12,FALSE)</f>
        <v>1</v>
      </c>
      <c r="U166" s="81">
        <f>HLOOKUP(N166,データについて!$J$8:$M$18,11,FALSE)</f>
        <v>2</v>
      </c>
      <c r="V166" s="81">
        <f>HLOOKUP(O166,データについて!$J$9:$M$18,10,FALSE)</f>
        <v>1</v>
      </c>
      <c r="W166" s="81">
        <f>HLOOKUP(P166,データについて!$J$10:$M$18,9,FALSE)</f>
        <v>1</v>
      </c>
      <c r="X166" s="81">
        <f>HLOOKUP(Q166,データについて!$J$11:$M$18,8,FALSE)</f>
        <v>1</v>
      </c>
      <c r="Y166" s="81">
        <f>HLOOKUP(R166,データについて!$J$12:$M$18,7,FALSE)</f>
        <v>4</v>
      </c>
      <c r="Z166" s="81">
        <f>HLOOKUP(I166,データについて!$J$3:$M$18,16,FALSE)</f>
        <v>1</v>
      </c>
      <c r="AA166" s="81">
        <f>IFERROR(HLOOKUP(J166,データについて!$J$4:$AH$19,16,FALSE),"")</f>
        <v>2</v>
      </c>
      <c r="AB166" s="81" t="str">
        <f>IFERROR(HLOOKUP(K166,データについて!$J$5:$AH$20,14,FALSE),"")</f>
        <v/>
      </c>
      <c r="AC166" s="81">
        <f>IF(X166=1,HLOOKUP(R166,データについて!$J$12:$M$18,7,FALSE),"*")</f>
        <v>4</v>
      </c>
      <c r="AD166" s="81" t="str">
        <f>IF(X166=2,HLOOKUP(R166,データについて!$J$12:$M$18,7,FALSE),"*")</f>
        <v>*</v>
      </c>
    </row>
    <row r="167" spans="1:30">
      <c r="A167" s="30">
        <v>5025</v>
      </c>
      <c r="B167" s="30" t="s">
        <v>4576</v>
      </c>
      <c r="C167" s="30" t="s">
        <v>4577</v>
      </c>
      <c r="D167" s="30" t="s">
        <v>106</v>
      </c>
      <c r="E167" s="30"/>
      <c r="F167" s="30" t="s">
        <v>107</v>
      </c>
      <c r="G167" s="30" t="s">
        <v>106</v>
      </c>
      <c r="H167" s="30"/>
      <c r="I167" s="30" t="s">
        <v>192</v>
      </c>
      <c r="J167" s="30" t="s">
        <v>4412</v>
      </c>
      <c r="K167" s="30"/>
      <c r="L167" s="30" t="s">
        <v>108</v>
      </c>
      <c r="M167" s="30" t="s">
        <v>113</v>
      </c>
      <c r="N167" s="30" t="s">
        <v>114</v>
      </c>
      <c r="O167" s="30" t="s">
        <v>115</v>
      </c>
      <c r="P167" s="30" t="s">
        <v>112</v>
      </c>
      <c r="Q167" s="30" t="s">
        <v>112</v>
      </c>
      <c r="R167" s="30" t="s">
        <v>183</v>
      </c>
      <c r="S167" s="81">
        <f>HLOOKUP(L167,データについて!$J$6:$M$18,13,FALSE)</f>
        <v>1</v>
      </c>
      <c r="T167" s="81">
        <f>HLOOKUP(M167,データについて!$J$7:$M$18,12,FALSE)</f>
        <v>1</v>
      </c>
      <c r="U167" s="81">
        <f>HLOOKUP(N167,データについて!$J$8:$M$18,11,FALSE)</f>
        <v>1</v>
      </c>
      <c r="V167" s="81">
        <f>HLOOKUP(O167,データについて!$J$9:$M$18,10,FALSE)</f>
        <v>1</v>
      </c>
      <c r="W167" s="81">
        <f>HLOOKUP(P167,データについて!$J$10:$M$18,9,FALSE)</f>
        <v>1</v>
      </c>
      <c r="X167" s="81">
        <f>HLOOKUP(Q167,データについて!$J$11:$M$18,8,FALSE)</f>
        <v>1</v>
      </c>
      <c r="Y167" s="81">
        <f>HLOOKUP(R167,データについて!$J$12:$M$18,7,FALSE)</f>
        <v>1</v>
      </c>
      <c r="Z167" s="81">
        <f>HLOOKUP(I167,データについて!$J$3:$M$18,16,FALSE)</f>
        <v>1</v>
      </c>
      <c r="AA167" s="81">
        <f>IFERROR(HLOOKUP(J167,データについて!$J$4:$AH$19,16,FALSE),"")</f>
        <v>2</v>
      </c>
      <c r="AB167" s="81" t="str">
        <f>IFERROR(HLOOKUP(K167,データについて!$J$5:$AH$20,14,FALSE),"")</f>
        <v/>
      </c>
      <c r="AC167" s="81">
        <f>IF(X167=1,HLOOKUP(R167,データについて!$J$12:$M$18,7,FALSE),"*")</f>
        <v>1</v>
      </c>
      <c r="AD167" s="81" t="str">
        <f>IF(X167=2,HLOOKUP(R167,データについて!$J$12:$M$18,7,FALSE),"*")</f>
        <v>*</v>
      </c>
    </row>
    <row r="168" spans="1:30">
      <c r="A168" s="30">
        <v>5024</v>
      </c>
      <c r="B168" s="30" t="s">
        <v>4578</v>
      </c>
      <c r="C168" s="30" t="s">
        <v>4577</v>
      </c>
      <c r="D168" s="30" t="s">
        <v>106</v>
      </c>
      <c r="E168" s="30"/>
      <c r="F168" s="30" t="s">
        <v>107</v>
      </c>
      <c r="G168" s="30" t="s">
        <v>106</v>
      </c>
      <c r="H168" s="30"/>
      <c r="I168" s="30" t="s">
        <v>192</v>
      </c>
      <c r="J168" s="30" t="s">
        <v>4412</v>
      </c>
      <c r="K168" s="30"/>
      <c r="L168" s="30" t="s">
        <v>117</v>
      </c>
      <c r="M168" s="30" t="s">
        <v>109</v>
      </c>
      <c r="N168" s="30" t="s">
        <v>119</v>
      </c>
      <c r="O168" s="30" t="s">
        <v>115</v>
      </c>
      <c r="P168" s="30" t="s">
        <v>112</v>
      </c>
      <c r="Q168" s="30" t="s">
        <v>112</v>
      </c>
      <c r="R168" s="30" t="s">
        <v>187</v>
      </c>
      <c r="S168" s="81">
        <f>HLOOKUP(L168,データについて!$J$6:$M$18,13,FALSE)</f>
        <v>2</v>
      </c>
      <c r="T168" s="81">
        <f>HLOOKUP(M168,データについて!$J$7:$M$18,12,FALSE)</f>
        <v>2</v>
      </c>
      <c r="U168" s="81">
        <f>HLOOKUP(N168,データについて!$J$8:$M$18,11,FALSE)</f>
        <v>4</v>
      </c>
      <c r="V168" s="81">
        <f>HLOOKUP(O168,データについて!$J$9:$M$18,10,FALSE)</f>
        <v>1</v>
      </c>
      <c r="W168" s="81">
        <f>HLOOKUP(P168,データについて!$J$10:$M$18,9,FALSE)</f>
        <v>1</v>
      </c>
      <c r="X168" s="81">
        <f>HLOOKUP(Q168,データについて!$J$11:$M$18,8,FALSE)</f>
        <v>1</v>
      </c>
      <c r="Y168" s="81">
        <f>HLOOKUP(R168,データについて!$J$12:$M$18,7,FALSE)</f>
        <v>3</v>
      </c>
      <c r="Z168" s="81">
        <f>HLOOKUP(I168,データについて!$J$3:$M$18,16,FALSE)</f>
        <v>1</v>
      </c>
      <c r="AA168" s="81">
        <f>IFERROR(HLOOKUP(J168,データについて!$J$4:$AH$19,16,FALSE),"")</f>
        <v>2</v>
      </c>
      <c r="AB168" s="81" t="str">
        <f>IFERROR(HLOOKUP(K168,データについて!$J$5:$AH$20,14,FALSE),"")</f>
        <v/>
      </c>
      <c r="AC168" s="81">
        <f>IF(X168=1,HLOOKUP(R168,データについて!$J$12:$M$18,7,FALSE),"*")</f>
        <v>3</v>
      </c>
      <c r="AD168" s="81" t="str">
        <f>IF(X168=2,HLOOKUP(R168,データについて!$J$12:$M$18,7,FALSE),"*")</f>
        <v>*</v>
      </c>
    </row>
    <row r="169" spans="1:30">
      <c r="A169" s="30">
        <v>5023</v>
      </c>
      <c r="B169" s="30" t="s">
        <v>4579</v>
      </c>
      <c r="C169" s="30" t="s">
        <v>4580</v>
      </c>
      <c r="D169" s="30" t="s">
        <v>106</v>
      </c>
      <c r="E169" s="30"/>
      <c r="F169" s="30" t="s">
        <v>107</v>
      </c>
      <c r="G169" s="30" t="s">
        <v>106</v>
      </c>
      <c r="H169" s="30"/>
      <c r="I169" s="30" t="s">
        <v>192</v>
      </c>
      <c r="J169" s="30" t="s">
        <v>4412</v>
      </c>
      <c r="K169" s="30"/>
      <c r="L169" s="30" t="s">
        <v>117</v>
      </c>
      <c r="M169" s="30" t="s">
        <v>109</v>
      </c>
      <c r="N169" s="30" t="s">
        <v>110</v>
      </c>
      <c r="O169" s="30" t="s">
        <v>115</v>
      </c>
      <c r="P169" s="30" t="s">
        <v>112</v>
      </c>
      <c r="Q169" s="30" t="s">
        <v>112</v>
      </c>
      <c r="R169" s="30" t="s">
        <v>183</v>
      </c>
      <c r="S169" s="81">
        <f>HLOOKUP(L169,データについて!$J$6:$M$18,13,FALSE)</f>
        <v>2</v>
      </c>
      <c r="T169" s="81">
        <f>HLOOKUP(M169,データについて!$J$7:$M$18,12,FALSE)</f>
        <v>2</v>
      </c>
      <c r="U169" s="81">
        <f>HLOOKUP(N169,データについて!$J$8:$M$18,11,FALSE)</f>
        <v>2</v>
      </c>
      <c r="V169" s="81">
        <f>HLOOKUP(O169,データについて!$J$9:$M$18,10,FALSE)</f>
        <v>1</v>
      </c>
      <c r="W169" s="81">
        <f>HLOOKUP(P169,データについて!$J$10:$M$18,9,FALSE)</f>
        <v>1</v>
      </c>
      <c r="X169" s="81">
        <f>HLOOKUP(Q169,データについて!$J$11:$M$18,8,FALSE)</f>
        <v>1</v>
      </c>
      <c r="Y169" s="81">
        <f>HLOOKUP(R169,データについて!$J$12:$M$18,7,FALSE)</f>
        <v>1</v>
      </c>
      <c r="Z169" s="81">
        <f>HLOOKUP(I169,データについて!$J$3:$M$18,16,FALSE)</f>
        <v>1</v>
      </c>
      <c r="AA169" s="81">
        <f>IFERROR(HLOOKUP(J169,データについて!$J$4:$AH$19,16,FALSE),"")</f>
        <v>2</v>
      </c>
      <c r="AB169" s="81" t="str">
        <f>IFERROR(HLOOKUP(K169,データについて!$J$5:$AH$20,14,FALSE),"")</f>
        <v/>
      </c>
      <c r="AC169" s="81">
        <f>IF(X169=1,HLOOKUP(R169,データについて!$J$12:$M$18,7,FALSE),"*")</f>
        <v>1</v>
      </c>
      <c r="AD169" s="81" t="str">
        <f>IF(X169=2,HLOOKUP(R169,データについて!$J$12:$M$18,7,FALSE),"*")</f>
        <v>*</v>
      </c>
    </row>
    <row r="170" spans="1:30">
      <c r="A170" s="30">
        <v>5022</v>
      </c>
      <c r="B170" s="30" t="s">
        <v>4581</v>
      </c>
      <c r="C170" s="30" t="s">
        <v>4582</v>
      </c>
      <c r="D170" s="30" t="s">
        <v>106</v>
      </c>
      <c r="E170" s="30"/>
      <c r="F170" s="30" t="s">
        <v>107</v>
      </c>
      <c r="G170" s="30" t="s">
        <v>106</v>
      </c>
      <c r="H170" s="30"/>
      <c r="I170" s="30" t="s">
        <v>192</v>
      </c>
      <c r="J170" s="30" t="s">
        <v>4412</v>
      </c>
      <c r="K170" s="30"/>
      <c r="L170" s="30" t="s">
        <v>117</v>
      </c>
      <c r="M170" s="30" t="s">
        <v>113</v>
      </c>
      <c r="N170" s="30" t="s">
        <v>114</v>
      </c>
      <c r="O170" s="30" t="s">
        <v>115</v>
      </c>
      <c r="P170" s="30" t="s">
        <v>112</v>
      </c>
      <c r="Q170" s="30" t="s">
        <v>112</v>
      </c>
      <c r="R170" s="30" t="s">
        <v>183</v>
      </c>
      <c r="S170" s="81">
        <f>HLOOKUP(L170,データについて!$J$6:$M$18,13,FALSE)</f>
        <v>2</v>
      </c>
      <c r="T170" s="81">
        <f>HLOOKUP(M170,データについて!$J$7:$M$18,12,FALSE)</f>
        <v>1</v>
      </c>
      <c r="U170" s="81">
        <f>HLOOKUP(N170,データについて!$J$8:$M$18,11,FALSE)</f>
        <v>1</v>
      </c>
      <c r="V170" s="81">
        <f>HLOOKUP(O170,データについて!$J$9:$M$18,10,FALSE)</f>
        <v>1</v>
      </c>
      <c r="W170" s="81">
        <f>HLOOKUP(P170,データについて!$J$10:$M$18,9,FALSE)</f>
        <v>1</v>
      </c>
      <c r="X170" s="81">
        <f>HLOOKUP(Q170,データについて!$J$11:$M$18,8,FALSE)</f>
        <v>1</v>
      </c>
      <c r="Y170" s="81">
        <f>HLOOKUP(R170,データについて!$J$12:$M$18,7,FALSE)</f>
        <v>1</v>
      </c>
      <c r="Z170" s="81">
        <f>HLOOKUP(I170,データについて!$J$3:$M$18,16,FALSE)</f>
        <v>1</v>
      </c>
      <c r="AA170" s="81">
        <f>IFERROR(HLOOKUP(J170,データについて!$J$4:$AH$19,16,FALSE),"")</f>
        <v>2</v>
      </c>
      <c r="AB170" s="81" t="str">
        <f>IFERROR(HLOOKUP(K170,データについて!$J$5:$AH$20,14,FALSE),"")</f>
        <v/>
      </c>
      <c r="AC170" s="81">
        <f>IF(X170=1,HLOOKUP(R170,データについて!$J$12:$M$18,7,FALSE),"*")</f>
        <v>1</v>
      </c>
      <c r="AD170" s="81" t="str">
        <f>IF(X170=2,HLOOKUP(R170,データについて!$J$12:$M$18,7,FALSE),"*")</f>
        <v>*</v>
      </c>
    </row>
    <row r="171" spans="1:30">
      <c r="A171" s="30">
        <v>5021</v>
      </c>
      <c r="B171" s="30" t="s">
        <v>4583</v>
      </c>
      <c r="C171" s="30" t="s">
        <v>4584</v>
      </c>
      <c r="D171" s="30" t="s">
        <v>106</v>
      </c>
      <c r="E171" s="30"/>
      <c r="F171" s="30" t="s">
        <v>107</v>
      </c>
      <c r="G171" s="30" t="s">
        <v>106</v>
      </c>
      <c r="H171" s="30"/>
      <c r="I171" s="30" t="s">
        <v>191</v>
      </c>
      <c r="J171" s="30"/>
      <c r="K171" s="30" t="s">
        <v>4342</v>
      </c>
      <c r="L171" s="30" t="s">
        <v>117</v>
      </c>
      <c r="M171" s="30" t="s">
        <v>124</v>
      </c>
      <c r="N171" s="30" t="s">
        <v>119</v>
      </c>
      <c r="O171" s="30" t="s">
        <v>116</v>
      </c>
      <c r="P171" s="30" t="s">
        <v>118</v>
      </c>
      <c r="Q171" s="30" t="s">
        <v>112</v>
      </c>
      <c r="R171" s="30" t="s">
        <v>189</v>
      </c>
      <c r="S171" s="81">
        <f>HLOOKUP(L171,データについて!$J$6:$M$18,13,FALSE)</f>
        <v>2</v>
      </c>
      <c r="T171" s="81">
        <f>HLOOKUP(M171,データについて!$J$7:$M$18,12,FALSE)</f>
        <v>3</v>
      </c>
      <c r="U171" s="81">
        <f>HLOOKUP(N171,データについて!$J$8:$M$18,11,FALSE)</f>
        <v>4</v>
      </c>
      <c r="V171" s="81">
        <f>HLOOKUP(O171,データについて!$J$9:$M$18,10,FALSE)</f>
        <v>2</v>
      </c>
      <c r="W171" s="81">
        <f>HLOOKUP(P171,データについて!$J$10:$M$18,9,FALSE)</f>
        <v>2</v>
      </c>
      <c r="X171" s="81">
        <f>HLOOKUP(Q171,データについて!$J$11:$M$18,8,FALSE)</f>
        <v>1</v>
      </c>
      <c r="Y171" s="81">
        <f>HLOOKUP(R171,データについて!$J$12:$M$18,7,FALSE)</f>
        <v>4</v>
      </c>
      <c r="Z171" s="81">
        <f>HLOOKUP(I171,データについて!$J$3:$M$18,16,FALSE)</f>
        <v>2</v>
      </c>
      <c r="AA171" s="81" t="str">
        <f>IFERROR(HLOOKUP(J171,データについて!$J$4:$AH$19,16,FALSE),"")</f>
        <v/>
      </c>
      <c r="AB171" s="81">
        <f>IFERROR(HLOOKUP(K171,データについて!$J$5:$AH$20,14,FALSE),"")</f>
        <v>1</v>
      </c>
      <c r="AC171" s="81">
        <f>IF(X171=1,HLOOKUP(R171,データについて!$J$12:$M$18,7,FALSE),"*")</f>
        <v>4</v>
      </c>
      <c r="AD171" s="81" t="str">
        <f>IF(X171=2,HLOOKUP(R171,データについて!$J$12:$M$18,7,FALSE),"*")</f>
        <v>*</v>
      </c>
    </row>
    <row r="172" spans="1:30">
      <c r="A172" s="30">
        <v>5020</v>
      </c>
      <c r="B172" s="30" t="s">
        <v>4585</v>
      </c>
      <c r="C172" s="30" t="s">
        <v>4586</v>
      </c>
      <c r="D172" s="30" t="s">
        <v>106</v>
      </c>
      <c r="E172" s="30"/>
      <c r="F172" s="30" t="s">
        <v>107</v>
      </c>
      <c r="G172" s="30" t="s">
        <v>106</v>
      </c>
      <c r="H172" s="30"/>
      <c r="I172" s="30" t="s">
        <v>192</v>
      </c>
      <c r="J172" s="30" t="s">
        <v>4412</v>
      </c>
      <c r="K172" s="30"/>
      <c r="L172" s="30" t="s">
        <v>117</v>
      </c>
      <c r="M172" s="30" t="s">
        <v>113</v>
      </c>
      <c r="N172" s="30" t="s">
        <v>110</v>
      </c>
      <c r="O172" s="30" t="s">
        <v>115</v>
      </c>
      <c r="P172" s="30" t="s">
        <v>112</v>
      </c>
      <c r="Q172" s="30" t="s">
        <v>118</v>
      </c>
      <c r="R172" s="30" t="s">
        <v>185</v>
      </c>
      <c r="S172" s="81">
        <f>HLOOKUP(L172,データについて!$J$6:$M$18,13,FALSE)</f>
        <v>2</v>
      </c>
      <c r="T172" s="81">
        <f>HLOOKUP(M172,データについて!$J$7:$M$18,12,FALSE)</f>
        <v>1</v>
      </c>
      <c r="U172" s="81">
        <f>HLOOKUP(N172,データについて!$J$8:$M$18,11,FALSE)</f>
        <v>2</v>
      </c>
      <c r="V172" s="81">
        <f>HLOOKUP(O172,データについて!$J$9:$M$18,10,FALSE)</f>
        <v>1</v>
      </c>
      <c r="W172" s="81">
        <f>HLOOKUP(P172,データについて!$J$10:$M$18,9,FALSE)</f>
        <v>1</v>
      </c>
      <c r="X172" s="81">
        <f>HLOOKUP(Q172,データについて!$J$11:$M$18,8,FALSE)</f>
        <v>2</v>
      </c>
      <c r="Y172" s="81">
        <f>HLOOKUP(R172,データについて!$J$12:$M$18,7,FALSE)</f>
        <v>2</v>
      </c>
      <c r="Z172" s="81">
        <f>HLOOKUP(I172,データについて!$J$3:$M$18,16,FALSE)</f>
        <v>1</v>
      </c>
      <c r="AA172" s="81">
        <f>IFERROR(HLOOKUP(J172,データについて!$J$4:$AH$19,16,FALSE),"")</f>
        <v>2</v>
      </c>
      <c r="AB172" s="81" t="str">
        <f>IFERROR(HLOOKUP(K172,データについて!$J$5:$AH$20,14,FALSE),"")</f>
        <v/>
      </c>
      <c r="AC172" s="81" t="str">
        <f>IF(X172=1,HLOOKUP(R172,データについて!$J$12:$M$18,7,FALSE),"*")</f>
        <v>*</v>
      </c>
      <c r="AD172" s="81">
        <f>IF(X172=2,HLOOKUP(R172,データについて!$J$12:$M$18,7,FALSE),"*")</f>
        <v>2</v>
      </c>
    </row>
    <row r="173" spans="1:30">
      <c r="A173" s="30">
        <v>5019</v>
      </c>
      <c r="B173" s="30" t="s">
        <v>4587</v>
      </c>
      <c r="C173" s="30" t="s">
        <v>4588</v>
      </c>
      <c r="D173" s="30" t="s">
        <v>106</v>
      </c>
      <c r="E173" s="30"/>
      <c r="F173" s="30" t="s">
        <v>107</v>
      </c>
      <c r="G173" s="30" t="s">
        <v>106</v>
      </c>
      <c r="H173" s="30"/>
      <c r="I173" s="30" t="s">
        <v>192</v>
      </c>
      <c r="J173" s="30" t="s">
        <v>4412</v>
      </c>
      <c r="K173" s="30"/>
      <c r="L173" s="30" t="s">
        <v>108</v>
      </c>
      <c r="M173" s="30" t="s">
        <v>113</v>
      </c>
      <c r="N173" s="30" t="s">
        <v>114</v>
      </c>
      <c r="O173" s="30" t="s">
        <v>115</v>
      </c>
      <c r="P173" s="30" t="s">
        <v>112</v>
      </c>
      <c r="Q173" s="30" t="s">
        <v>118</v>
      </c>
      <c r="R173" s="30" t="s">
        <v>185</v>
      </c>
      <c r="S173" s="81">
        <f>HLOOKUP(L173,データについて!$J$6:$M$18,13,FALSE)</f>
        <v>1</v>
      </c>
      <c r="T173" s="81">
        <f>HLOOKUP(M173,データについて!$J$7:$M$18,12,FALSE)</f>
        <v>1</v>
      </c>
      <c r="U173" s="81">
        <f>HLOOKUP(N173,データについて!$J$8:$M$18,11,FALSE)</f>
        <v>1</v>
      </c>
      <c r="V173" s="81">
        <f>HLOOKUP(O173,データについて!$J$9:$M$18,10,FALSE)</f>
        <v>1</v>
      </c>
      <c r="W173" s="81">
        <f>HLOOKUP(P173,データについて!$J$10:$M$18,9,FALSE)</f>
        <v>1</v>
      </c>
      <c r="X173" s="81">
        <f>HLOOKUP(Q173,データについて!$J$11:$M$18,8,FALSE)</f>
        <v>2</v>
      </c>
      <c r="Y173" s="81">
        <f>HLOOKUP(R173,データについて!$J$12:$M$18,7,FALSE)</f>
        <v>2</v>
      </c>
      <c r="Z173" s="81">
        <f>HLOOKUP(I173,データについて!$J$3:$M$18,16,FALSE)</f>
        <v>1</v>
      </c>
      <c r="AA173" s="81">
        <f>IFERROR(HLOOKUP(J173,データについて!$J$4:$AH$19,16,FALSE),"")</f>
        <v>2</v>
      </c>
      <c r="AB173" s="81" t="str">
        <f>IFERROR(HLOOKUP(K173,データについて!$J$5:$AH$20,14,FALSE),"")</f>
        <v/>
      </c>
      <c r="AC173" s="81" t="str">
        <f>IF(X173=1,HLOOKUP(R173,データについて!$J$12:$M$18,7,FALSE),"*")</f>
        <v>*</v>
      </c>
      <c r="AD173" s="81">
        <f>IF(X173=2,HLOOKUP(R173,データについて!$J$12:$M$18,7,FALSE),"*")</f>
        <v>2</v>
      </c>
    </row>
    <row r="174" spans="1:30">
      <c r="A174" s="30">
        <v>5018</v>
      </c>
      <c r="B174" s="30" t="s">
        <v>4589</v>
      </c>
      <c r="C174" s="30" t="s">
        <v>4590</v>
      </c>
      <c r="D174" s="30" t="s">
        <v>106</v>
      </c>
      <c r="E174" s="30"/>
      <c r="F174" s="30" t="s">
        <v>107</v>
      </c>
      <c r="G174" s="30" t="s">
        <v>106</v>
      </c>
      <c r="H174" s="30"/>
      <c r="I174" s="30" t="s">
        <v>192</v>
      </c>
      <c r="J174" s="30" t="s">
        <v>4412</v>
      </c>
      <c r="K174" s="30"/>
      <c r="L174" s="30" t="s">
        <v>108</v>
      </c>
      <c r="M174" s="30" t="s">
        <v>113</v>
      </c>
      <c r="N174" s="30" t="s">
        <v>110</v>
      </c>
      <c r="O174" s="30" t="s">
        <v>115</v>
      </c>
      <c r="P174" s="30" t="s">
        <v>112</v>
      </c>
      <c r="Q174" s="30" t="s">
        <v>112</v>
      </c>
      <c r="R174" s="30" t="s">
        <v>183</v>
      </c>
      <c r="S174" s="81">
        <f>HLOOKUP(L174,データについて!$J$6:$M$18,13,FALSE)</f>
        <v>1</v>
      </c>
      <c r="T174" s="81">
        <f>HLOOKUP(M174,データについて!$J$7:$M$18,12,FALSE)</f>
        <v>1</v>
      </c>
      <c r="U174" s="81">
        <f>HLOOKUP(N174,データについて!$J$8:$M$18,11,FALSE)</f>
        <v>2</v>
      </c>
      <c r="V174" s="81">
        <f>HLOOKUP(O174,データについて!$J$9:$M$18,10,FALSE)</f>
        <v>1</v>
      </c>
      <c r="W174" s="81">
        <f>HLOOKUP(P174,データについて!$J$10:$M$18,9,FALSE)</f>
        <v>1</v>
      </c>
      <c r="X174" s="81">
        <f>HLOOKUP(Q174,データについて!$J$11:$M$18,8,FALSE)</f>
        <v>1</v>
      </c>
      <c r="Y174" s="81">
        <f>HLOOKUP(R174,データについて!$J$12:$M$18,7,FALSE)</f>
        <v>1</v>
      </c>
      <c r="Z174" s="81">
        <f>HLOOKUP(I174,データについて!$J$3:$M$18,16,FALSE)</f>
        <v>1</v>
      </c>
      <c r="AA174" s="81">
        <f>IFERROR(HLOOKUP(J174,データについて!$J$4:$AH$19,16,FALSE),"")</f>
        <v>2</v>
      </c>
      <c r="AB174" s="81" t="str">
        <f>IFERROR(HLOOKUP(K174,データについて!$J$5:$AH$20,14,FALSE),"")</f>
        <v/>
      </c>
      <c r="AC174" s="81">
        <f>IF(X174=1,HLOOKUP(R174,データについて!$J$12:$M$18,7,FALSE),"*")</f>
        <v>1</v>
      </c>
      <c r="AD174" s="81" t="str">
        <f>IF(X174=2,HLOOKUP(R174,データについて!$J$12:$M$18,7,FALSE),"*")</f>
        <v>*</v>
      </c>
    </row>
    <row r="175" spans="1:30">
      <c r="A175" s="30">
        <v>5017</v>
      </c>
      <c r="B175" s="30" t="s">
        <v>4591</v>
      </c>
      <c r="C175" s="30" t="s">
        <v>4592</v>
      </c>
      <c r="D175" s="30" t="s">
        <v>106</v>
      </c>
      <c r="E175" s="30"/>
      <c r="F175" s="30" t="s">
        <v>107</v>
      </c>
      <c r="G175" s="30" t="s">
        <v>106</v>
      </c>
      <c r="H175" s="30"/>
      <c r="I175" s="30" t="s">
        <v>192</v>
      </c>
      <c r="J175" s="30" t="s">
        <v>4412</v>
      </c>
      <c r="K175" s="30"/>
      <c r="L175" s="30" t="s">
        <v>108</v>
      </c>
      <c r="M175" s="30" t="s">
        <v>113</v>
      </c>
      <c r="N175" s="30" t="s">
        <v>114</v>
      </c>
      <c r="O175" s="30" t="s">
        <v>115</v>
      </c>
      <c r="P175" s="30" t="s">
        <v>112</v>
      </c>
      <c r="Q175" s="30" t="s">
        <v>112</v>
      </c>
      <c r="R175" s="30" t="s">
        <v>189</v>
      </c>
      <c r="S175" s="81">
        <f>HLOOKUP(L175,データについて!$J$6:$M$18,13,FALSE)</f>
        <v>1</v>
      </c>
      <c r="T175" s="81">
        <f>HLOOKUP(M175,データについて!$J$7:$M$18,12,FALSE)</f>
        <v>1</v>
      </c>
      <c r="U175" s="81">
        <f>HLOOKUP(N175,データについて!$J$8:$M$18,11,FALSE)</f>
        <v>1</v>
      </c>
      <c r="V175" s="81">
        <f>HLOOKUP(O175,データについて!$J$9:$M$18,10,FALSE)</f>
        <v>1</v>
      </c>
      <c r="W175" s="81">
        <f>HLOOKUP(P175,データについて!$J$10:$M$18,9,FALSE)</f>
        <v>1</v>
      </c>
      <c r="X175" s="81">
        <f>HLOOKUP(Q175,データについて!$J$11:$M$18,8,FALSE)</f>
        <v>1</v>
      </c>
      <c r="Y175" s="81">
        <f>HLOOKUP(R175,データについて!$J$12:$M$18,7,FALSE)</f>
        <v>4</v>
      </c>
      <c r="Z175" s="81">
        <f>HLOOKUP(I175,データについて!$J$3:$M$18,16,FALSE)</f>
        <v>1</v>
      </c>
      <c r="AA175" s="81">
        <f>IFERROR(HLOOKUP(J175,データについて!$J$4:$AH$19,16,FALSE),"")</f>
        <v>2</v>
      </c>
      <c r="AB175" s="81" t="str">
        <f>IFERROR(HLOOKUP(K175,データについて!$J$5:$AH$20,14,FALSE),"")</f>
        <v/>
      </c>
      <c r="AC175" s="81">
        <f>IF(X175=1,HLOOKUP(R175,データについて!$J$12:$M$18,7,FALSE),"*")</f>
        <v>4</v>
      </c>
      <c r="AD175" s="81" t="str">
        <f>IF(X175=2,HLOOKUP(R175,データについて!$J$12:$M$18,7,FALSE),"*")</f>
        <v>*</v>
      </c>
    </row>
    <row r="176" spans="1:30">
      <c r="A176" s="30">
        <v>5016</v>
      </c>
      <c r="B176" s="30" t="s">
        <v>4593</v>
      </c>
      <c r="C176" s="30" t="s">
        <v>4592</v>
      </c>
      <c r="D176" s="30" t="s">
        <v>106</v>
      </c>
      <c r="E176" s="30"/>
      <c r="F176" s="30" t="s">
        <v>107</v>
      </c>
      <c r="G176" s="30" t="s">
        <v>106</v>
      </c>
      <c r="H176" s="30"/>
      <c r="I176" s="30" t="s">
        <v>191</v>
      </c>
      <c r="J176" s="30"/>
      <c r="K176" s="30" t="s">
        <v>4342</v>
      </c>
      <c r="L176" s="30" t="s">
        <v>117</v>
      </c>
      <c r="M176" s="30" t="s">
        <v>113</v>
      </c>
      <c r="N176" s="30" t="s">
        <v>114</v>
      </c>
      <c r="O176" s="30" t="s">
        <v>115</v>
      </c>
      <c r="P176" s="30" t="s">
        <v>118</v>
      </c>
      <c r="Q176" s="30" t="s">
        <v>112</v>
      </c>
      <c r="R176" s="30" t="s">
        <v>183</v>
      </c>
      <c r="S176" s="81">
        <f>HLOOKUP(L176,データについて!$J$6:$M$18,13,FALSE)</f>
        <v>2</v>
      </c>
      <c r="T176" s="81">
        <f>HLOOKUP(M176,データについて!$J$7:$M$18,12,FALSE)</f>
        <v>1</v>
      </c>
      <c r="U176" s="81">
        <f>HLOOKUP(N176,データについて!$J$8:$M$18,11,FALSE)</f>
        <v>1</v>
      </c>
      <c r="V176" s="81">
        <f>HLOOKUP(O176,データについて!$J$9:$M$18,10,FALSE)</f>
        <v>1</v>
      </c>
      <c r="W176" s="81">
        <f>HLOOKUP(P176,データについて!$J$10:$M$18,9,FALSE)</f>
        <v>2</v>
      </c>
      <c r="X176" s="81">
        <f>HLOOKUP(Q176,データについて!$J$11:$M$18,8,FALSE)</f>
        <v>1</v>
      </c>
      <c r="Y176" s="81">
        <f>HLOOKUP(R176,データについて!$J$12:$M$18,7,FALSE)</f>
        <v>1</v>
      </c>
      <c r="Z176" s="81">
        <f>HLOOKUP(I176,データについて!$J$3:$M$18,16,FALSE)</f>
        <v>2</v>
      </c>
      <c r="AA176" s="81" t="str">
        <f>IFERROR(HLOOKUP(J176,データについて!$J$4:$AH$19,16,FALSE),"")</f>
        <v/>
      </c>
      <c r="AB176" s="81">
        <f>IFERROR(HLOOKUP(K176,データについて!$J$5:$AH$20,14,FALSE),"")</f>
        <v>1</v>
      </c>
      <c r="AC176" s="81">
        <f>IF(X176=1,HLOOKUP(R176,データについて!$J$12:$M$18,7,FALSE),"*")</f>
        <v>1</v>
      </c>
      <c r="AD176" s="81" t="str">
        <f>IF(X176=2,HLOOKUP(R176,データについて!$J$12:$M$18,7,FALSE),"*")</f>
        <v>*</v>
      </c>
    </row>
    <row r="177" spans="1:30">
      <c r="A177" s="30">
        <v>5015</v>
      </c>
      <c r="B177" s="30" t="s">
        <v>4594</v>
      </c>
      <c r="C177" s="30" t="s">
        <v>4595</v>
      </c>
      <c r="D177" s="30" t="s">
        <v>106</v>
      </c>
      <c r="E177" s="30"/>
      <c r="F177" s="30" t="s">
        <v>107</v>
      </c>
      <c r="G177" s="30" t="s">
        <v>106</v>
      </c>
      <c r="H177" s="30"/>
      <c r="I177" s="30" t="s">
        <v>191</v>
      </c>
      <c r="J177" s="30"/>
      <c r="K177" s="30" t="s">
        <v>4342</v>
      </c>
      <c r="L177" s="30" t="s">
        <v>117</v>
      </c>
      <c r="M177" s="30" t="s">
        <v>109</v>
      </c>
      <c r="N177" s="30" t="s">
        <v>110</v>
      </c>
      <c r="O177" s="30" t="s">
        <v>115</v>
      </c>
      <c r="P177" s="30" t="s">
        <v>118</v>
      </c>
      <c r="Q177" s="30" t="s">
        <v>112</v>
      </c>
      <c r="R177" s="30" t="s">
        <v>187</v>
      </c>
      <c r="S177" s="81">
        <f>HLOOKUP(L177,データについて!$J$6:$M$18,13,FALSE)</f>
        <v>2</v>
      </c>
      <c r="T177" s="81">
        <f>HLOOKUP(M177,データについて!$J$7:$M$18,12,FALSE)</f>
        <v>2</v>
      </c>
      <c r="U177" s="81">
        <f>HLOOKUP(N177,データについて!$J$8:$M$18,11,FALSE)</f>
        <v>2</v>
      </c>
      <c r="V177" s="81">
        <f>HLOOKUP(O177,データについて!$J$9:$M$18,10,FALSE)</f>
        <v>1</v>
      </c>
      <c r="W177" s="81">
        <f>HLOOKUP(P177,データについて!$J$10:$M$18,9,FALSE)</f>
        <v>2</v>
      </c>
      <c r="X177" s="81">
        <f>HLOOKUP(Q177,データについて!$J$11:$M$18,8,FALSE)</f>
        <v>1</v>
      </c>
      <c r="Y177" s="81">
        <f>HLOOKUP(R177,データについて!$J$12:$M$18,7,FALSE)</f>
        <v>3</v>
      </c>
      <c r="Z177" s="81">
        <f>HLOOKUP(I177,データについて!$J$3:$M$18,16,FALSE)</f>
        <v>2</v>
      </c>
      <c r="AA177" s="81" t="str">
        <f>IFERROR(HLOOKUP(J177,データについて!$J$4:$AH$19,16,FALSE),"")</f>
        <v/>
      </c>
      <c r="AB177" s="81">
        <f>IFERROR(HLOOKUP(K177,データについて!$J$5:$AH$20,14,FALSE),"")</f>
        <v>1</v>
      </c>
      <c r="AC177" s="81">
        <f>IF(X177=1,HLOOKUP(R177,データについて!$J$12:$M$18,7,FALSE),"*")</f>
        <v>3</v>
      </c>
      <c r="AD177" s="81" t="str">
        <f>IF(X177=2,HLOOKUP(R177,データについて!$J$12:$M$18,7,FALSE),"*")</f>
        <v>*</v>
      </c>
    </row>
    <row r="178" spans="1:30">
      <c r="A178" s="30">
        <v>5014</v>
      </c>
      <c r="B178" s="30" t="s">
        <v>4596</v>
      </c>
      <c r="C178" s="30" t="s">
        <v>4597</v>
      </c>
      <c r="D178" s="30" t="s">
        <v>106</v>
      </c>
      <c r="E178" s="30"/>
      <c r="F178" s="30" t="s">
        <v>107</v>
      </c>
      <c r="G178" s="30" t="s">
        <v>106</v>
      </c>
      <c r="H178" s="30"/>
      <c r="I178" s="30" t="s">
        <v>192</v>
      </c>
      <c r="J178" s="30" t="s">
        <v>4412</v>
      </c>
      <c r="K178" s="30"/>
      <c r="L178" s="30" t="s">
        <v>108</v>
      </c>
      <c r="M178" s="30" t="s">
        <v>124</v>
      </c>
      <c r="N178" s="30" t="s">
        <v>110</v>
      </c>
      <c r="O178" s="30" t="s">
        <v>115</v>
      </c>
      <c r="P178" s="30" t="s">
        <v>112</v>
      </c>
      <c r="Q178" s="30" t="s">
        <v>118</v>
      </c>
      <c r="R178" s="30" t="s">
        <v>185</v>
      </c>
      <c r="S178" s="81">
        <f>HLOOKUP(L178,データについて!$J$6:$M$18,13,FALSE)</f>
        <v>1</v>
      </c>
      <c r="T178" s="81">
        <f>HLOOKUP(M178,データについて!$J$7:$M$18,12,FALSE)</f>
        <v>3</v>
      </c>
      <c r="U178" s="81">
        <f>HLOOKUP(N178,データについて!$J$8:$M$18,11,FALSE)</f>
        <v>2</v>
      </c>
      <c r="V178" s="81">
        <f>HLOOKUP(O178,データについて!$J$9:$M$18,10,FALSE)</f>
        <v>1</v>
      </c>
      <c r="W178" s="81">
        <f>HLOOKUP(P178,データについて!$J$10:$M$18,9,FALSE)</f>
        <v>1</v>
      </c>
      <c r="X178" s="81">
        <f>HLOOKUP(Q178,データについて!$J$11:$M$18,8,FALSE)</f>
        <v>2</v>
      </c>
      <c r="Y178" s="81">
        <f>HLOOKUP(R178,データについて!$J$12:$M$18,7,FALSE)</f>
        <v>2</v>
      </c>
      <c r="Z178" s="81">
        <f>HLOOKUP(I178,データについて!$J$3:$M$18,16,FALSE)</f>
        <v>1</v>
      </c>
      <c r="AA178" s="81">
        <f>IFERROR(HLOOKUP(J178,データについて!$J$4:$AH$19,16,FALSE),"")</f>
        <v>2</v>
      </c>
      <c r="AB178" s="81" t="str">
        <f>IFERROR(HLOOKUP(K178,データについて!$J$5:$AH$20,14,FALSE),"")</f>
        <v/>
      </c>
      <c r="AC178" s="81" t="str">
        <f>IF(X178=1,HLOOKUP(R178,データについて!$J$12:$M$18,7,FALSE),"*")</f>
        <v>*</v>
      </c>
      <c r="AD178" s="81">
        <f>IF(X178=2,HLOOKUP(R178,データについて!$J$12:$M$18,7,FALSE),"*")</f>
        <v>2</v>
      </c>
    </row>
    <row r="179" spans="1:30">
      <c r="A179" s="30">
        <v>5013</v>
      </c>
      <c r="B179" s="30" t="s">
        <v>4598</v>
      </c>
      <c r="C179" s="30" t="s">
        <v>4599</v>
      </c>
      <c r="D179" s="30" t="s">
        <v>106</v>
      </c>
      <c r="E179" s="30"/>
      <c r="F179" s="30" t="s">
        <v>107</v>
      </c>
      <c r="G179" s="30" t="s">
        <v>106</v>
      </c>
      <c r="H179" s="30"/>
      <c r="I179" s="30" t="s">
        <v>191</v>
      </c>
      <c r="J179" s="30"/>
      <c r="K179" s="30" t="s">
        <v>4342</v>
      </c>
      <c r="L179" s="30" t="s">
        <v>117</v>
      </c>
      <c r="M179" s="30" t="s">
        <v>113</v>
      </c>
      <c r="N179" s="30" t="s">
        <v>122</v>
      </c>
      <c r="O179" s="30" t="s">
        <v>115</v>
      </c>
      <c r="P179" s="30" t="s">
        <v>118</v>
      </c>
      <c r="Q179" s="30" t="s">
        <v>112</v>
      </c>
      <c r="R179" s="30" t="s">
        <v>185</v>
      </c>
      <c r="S179" s="81">
        <f>HLOOKUP(L179,データについて!$J$6:$M$18,13,FALSE)</f>
        <v>2</v>
      </c>
      <c r="T179" s="81">
        <f>HLOOKUP(M179,データについて!$J$7:$M$18,12,FALSE)</f>
        <v>1</v>
      </c>
      <c r="U179" s="81">
        <f>HLOOKUP(N179,データについて!$J$8:$M$18,11,FALSE)</f>
        <v>3</v>
      </c>
      <c r="V179" s="81">
        <f>HLOOKUP(O179,データについて!$J$9:$M$18,10,FALSE)</f>
        <v>1</v>
      </c>
      <c r="W179" s="81">
        <f>HLOOKUP(P179,データについて!$J$10:$M$18,9,FALSE)</f>
        <v>2</v>
      </c>
      <c r="X179" s="81">
        <f>HLOOKUP(Q179,データについて!$J$11:$M$18,8,FALSE)</f>
        <v>1</v>
      </c>
      <c r="Y179" s="81">
        <f>HLOOKUP(R179,データについて!$J$12:$M$18,7,FALSE)</f>
        <v>2</v>
      </c>
      <c r="Z179" s="81">
        <f>HLOOKUP(I179,データについて!$J$3:$M$18,16,FALSE)</f>
        <v>2</v>
      </c>
      <c r="AA179" s="81" t="str">
        <f>IFERROR(HLOOKUP(J179,データについて!$J$4:$AH$19,16,FALSE),"")</f>
        <v/>
      </c>
      <c r="AB179" s="81">
        <f>IFERROR(HLOOKUP(K179,データについて!$J$5:$AH$20,14,FALSE),"")</f>
        <v>1</v>
      </c>
      <c r="AC179" s="81">
        <f>IF(X179=1,HLOOKUP(R179,データについて!$J$12:$M$18,7,FALSE),"*")</f>
        <v>2</v>
      </c>
      <c r="AD179" s="81" t="str">
        <f>IF(X179=2,HLOOKUP(R179,データについて!$J$12:$M$18,7,FALSE),"*")</f>
        <v>*</v>
      </c>
    </row>
    <row r="180" spans="1:30">
      <c r="A180" s="30">
        <v>5012</v>
      </c>
      <c r="B180" s="30" t="s">
        <v>4600</v>
      </c>
      <c r="C180" s="30" t="s">
        <v>4601</v>
      </c>
      <c r="D180" s="30" t="s">
        <v>106</v>
      </c>
      <c r="E180" s="30"/>
      <c r="F180" s="30" t="s">
        <v>107</v>
      </c>
      <c r="G180" s="30" t="s">
        <v>106</v>
      </c>
      <c r="H180" s="30"/>
      <c r="I180" s="30" t="s">
        <v>191</v>
      </c>
      <c r="J180" s="30"/>
      <c r="K180" s="30" t="s">
        <v>4342</v>
      </c>
      <c r="L180" s="30" t="s">
        <v>108</v>
      </c>
      <c r="M180" s="30" t="s">
        <v>113</v>
      </c>
      <c r="N180" s="30" t="s">
        <v>114</v>
      </c>
      <c r="O180" s="30" t="s">
        <v>116</v>
      </c>
      <c r="P180" s="30" t="s">
        <v>112</v>
      </c>
      <c r="Q180" s="30" t="s">
        <v>112</v>
      </c>
      <c r="R180" s="30" t="s">
        <v>185</v>
      </c>
      <c r="S180" s="81">
        <f>HLOOKUP(L180,データについて!$J$6:$M$18,13,FALSE)</f>
        <v>1</v>
      </c>
      <c r="T180" s="81">
        <f>HLOOKUP(M180,データについて!$J$7:$M$18,12,FALSE)</f>
        <v>1</v>
      </c>
      <c r="U180" s="81">
        <f>HLOOKUP(N180,データについて!$J$8:$M$18,11,FALSE)</f>
        <v>1</v>
      </c>
      <c r="V180" s="81">
        <f>HLOOKUP(O180,データについて!$J$9:$M$18,10,FALSE)</f>
        <v>2</v>
      </c>
      <c r="W180" s="81">
        <f>HLOOKUP(P180,データについて!$J$10:$M$18,9,FALSE)</f>
        <v>1</v>
      </c>
      <c r="X180" s="81">
        <f>HLOOKUP(Q180,データについて!$J$11:$M$18,8,FALSE)</f>
        <v>1</v>
      </c>
      <c r="Y180" s="81">
        <f>HLOOKUP(R180,データについて!$J$12:$M$18,7,FALSE)</f>
        <v>2</v>
      </c>
      <c r="Z180" s="81">
        <f>HLOOKUP(I180,データについて!$J$3:$M$18,16,FALSE)</f>
        <v>2</v>
      </c>
      <c r="AA180" s="81" t="str">
        <f>IFERROR(HLOOKUP(J180,データについて!$J$4:$AH$19,16,FALSE),"")</f>
        <v/>
      </c>
      <c r="AB180" s="81">
        <f>IFERROR(HLOOKUP(K180,データについて!$J$5:$AH$20,14,FALSE),"")</f>
        <v>1</v>
      </c>
      <c r="AC180" s="81">
        <f>IF(X180=1,HLOOKUP(R180,データについて!$J$12:$M$18,7,FALSE),"*")</f>
        <v>2</v>
      </c>
      <c r="AD180" s="81" t="str">
        <f>IF(X180=2,HLOOKUP(R180,データについて!$J$12:$M$18,7,FALSE),"*")</f>
        <v>*</v>
      </c>
    </row>
    <row r="181" spans="1:30">
      <c r="A181" s="30">
        <v>5011</v>
      </c>
      <c r="B181" s="30" t="s">
        <v>4602</v>
      </c>
      <c r="C181" s="30" t="s">
        <v>4603</v>
      </c>
      <c r="D181" s="30" t="s">
        <v>106</v>
      </c>
      <c r="E181" s="30"/>
      <c r="F181" s="30" t="s">
        <v>107</v>
      </c>
      <c r="G181" s="30" t="s">
        <v>106</v>
      </c>
      <c r="H181" s="30"/>
      <c r="I181" s="30" t="s">
        <v>191</v>
      </c>
      <c r="J181" s="30"/>
      <c r="K181" s="30" t="s">
        <v>4342</v>
      </c>
      <c r="L181" s="30" t="s">
        <v>108</v>
      </c>
      <c r="M181" s="30" t="s">
        <v>113</v>
      </c>
      <c r="N181" s="30" t="s">
        <v>114</v>
      </c>
      <c r="O181" s="30" t="s">
        <v>116</v>
      </c>
      <c r="P181" s="30" t="s">
        <v>118</v>
      </c>
      <c r="Q181" s="30" t="s">
        <v>112</v>
      </c>
      <c r="R181" s="30" t="s">
        <v>183</v>
      </c>
      <c r="S181" s="81">
        <f>HLOOKUP(L181,データについて!$J$6:$M$18,13,FALSE)</f>
        <v>1</v>
      </c>
      <c r="T181" s="81">
        <f>HLOOKUP(M181,データについて!$J$7:$M$18,12,FALSE)</f>
        <v>1</v>
      </c>
      <c r="U181" s="81">
        <f>HLOOKUP(N181,データについて!$J$8:$M$18,11,FALSE)</f>
        <v>1</v>
      </c>
      <c r="V181" s="81">
        <f>HLOOKUP(O181,データについて!$J$9:$M$18,10,FALSE)</f>
        <v>2</v>
      </c>
      <c r="W181" s="81">
        <f>HLOOKUP(P181,データについて!$J$10:$M$18,9,FALSE)</f>
        <v>2</v>
      </c>
      <c r="X181" s="81">
        <f>HLOOKUP(Q181,データについて!$J$11:$M$18,8,FALSE)</f>
        <v>1</v>
      </c>
      <c r="Y181" s="81">
        <f>HLOOKUP(R181,データについて!$J$12:$M$18,7,FALSE)</f>
        <v>1</v>
      </c>
      <c r="Z181" s="81">
        <f>HLOOKUP(I181,データについて!$J$3:$M$18,16,FALSE)</f>
        <v>2</v>
      </c>
      <c r="AA181" s="81" t="str">
        <f>IFERROR(HLOOKUP(J181,データについて!$J$4:$AH$19,16,FALSE),"")</f>
        <v/>
      </c>
      <c r="AB181" s="81">
        <f>IFERROR(HLOOKUP(K181,データについて!$J$5:$AH$20,14,FALSE),"")</f>
        <v>1</v>
      </c>
      <c r="AC181" s="81">
        <f>IF(X181=1,HLOOKUP(R181,データについて!$J$12:$M$18,7,FALSE),"*")</f>
        <v>1</v>
      </c>
      <c r="AD181" s="81" t="str">
        <f>IF(X181=2,HLOOKUP(R181,データについて!$J$12:$M$18,7,FALSE),"*")</f>
        <v>*</v>
      </c>
    </row>
    <row r="182" spans="1:30">
      <c r="A182" s="30">
        <v>5010</v>
      </c>
      <c r="B182" s="30" t="s">
        <v>4604</v>
      </c>
      <c r="C182" s="30" t="s">
        <v>4605</v>
      </c>
      <c r="D182" s="30" t="s">
        <v>106</v>
      </c>
      <c r="E182" s="30"/>
      <c r="F182" s="30" t="s">
        <v>107</v>
      </c>
      <c r="G182" s="30" t="s">
        <v>106</v>
      </c>
      <c r="H182" s="30"/>
      <c r="I182" s="30" t="s">
        <v>191</v>
      </c>
      <c r="J182" s="30"/>
      <c r="K182" s="30" t="s">
        <v>4342</v>
      </c>
      <c r="L182" s="30" t="s">
        <v>117</v>
      </c>
      <c r="M182" s="30" t="s">
        <v>121</v>
      </c>
      <c r="N182" s="30" t="s">
        <v>119</v>
      </c>
      <c r="O182" s="30" t="s">
        <v>115</v>
      </c>
      <c r="P182" s="30" t="s">
        <v>112</v>
      </c>
      <c r="Q182" s="30" t="s">
        <v>112</v>
      </c>
      <c r="R182" s="30" t="s">
        <v>187</v>
      </c>
      <c r="S182" s="81">
        <f>HLOOKUP(L182,データについて!$J$6:$M$18,13,FALSE)</f>
        <v>2</v>
      </c>
      <c r="T182" s="81">
        <f>HLOOKUP(M182,データについて!$J$7:$M$18,12,FALSE)</f>
        <v>4</v>
      </c>
      <c r="U182" s="81">
        <f>HLOOKUP(N182,データについて!$J$8:$M$18,11,FALSE)</f>
        <v>4</v>
      </c>
      <c r="V182" s="81">
        <f>HLOOKUP(O182,データについて!$J$9:$M$18,10,FALSE)</f>
        <v>1</v>
      </c>
      <c r="W182" s="81">
        <f>HLOOKUP(P182,データについて!$J$10:$M$18,9,FALSE)</f>
        <v>1</v>
      </c>
      <c r="X182" s="81">
        <f>HLOOKUP(Q182,データについて!$J$11:$M$18,8,FALSE)</f>
        <v>1</v>
      </c>
      <c r="Y182" s="81">
        <f>HLOOKUP(R182,データについて!$J$12:$M$18,7,FALSE)</f>
        <v>3</v>
      </c>
      <c r="Z182" s="81">
        <f>HLOOKUP(I182,データについて!$J$3:$M$18,16,FALSE)</f>
        <v>2</v>
      </c>
      <c r="AA182" s="81" t="str">
        <f>IFERROR(HLOOKUP(J182,データについて!$J$4:$AH$19,16,FALSE),"")</f>
        <v/>
      </c>
      <c r="AB182" s="81">
        <f>IFERROR(HLOOKUP(K182,データについて!$J$5:$AH$20,14,FALSE),"")</f>
        <v>1</v>
      </c>
      <c r="AC182" s="81">
        <f>IF(X182=1,HLOOKUP(R182,データについて!$J$12:$M$18,7,FALSE),"*")</f>
        <v>3</v>
      </c>
      <c r="AD182" s="81" t="str">
        <f>IF(X182=2,HLOOKUP(R182,データについて!$J$12:$M$18,7,FALSE),"*")</f>
        <v>*</v>
      </c>
    </row>
    <row r="183" spans="1:30">
      <c r="A183" s="30">
        <v>5009</v>
      </c>
      <c r="B183" s="30" t="s">
        <v>4606</v>
      </c>
      <c r="C183" s="30" t="s">
        <v>4607</v>
      </c>
      <c r="D183" s="30" t="s">
        <v>106</v>
      </c>
      <c r="E183" s="30"/>
      <c r="F183" s="30" t="s">
        <v>107</v>
      </c>
      <c r="G183" s="30" t="s">
        <v>106</v>
      </c>
      <c r="H183" s="30"/>
      <c r="I183" s="30" t="s">
        <v>191</v>
      </c>
      <c r="J183" s="30"/>
      <c r="K183" s="30" t="s">
        <v>4342</v>
      </c>
      <c r="L183" s="30" t="s">
        <v>108</v>
      </c>
      <c r="M183" s="30" t="s">
        <v>109</v>
      </c>
      <c r="N183" s="30" t="s">
        <v>110</v>
      </c>
      <c r="O183" s="30" t="s">
        <v>115</v>
      </c>
      <c r="P183" s="30" t="s">
        <v>118</v>
      </c>
      <c r="Q183" s="30" t="s">
        <v>112</v>
      </c>
      <c r="R183" s="30" t="s">
        <v>185</v>
      </c>
      <c r="S183" s="81">
        <f>HLOOKUP(L183,データについて!$J$6:$M$18,13,FALSE)</f>
        <v>1</v>
      </c>
      <c r="T183" s="81">
        <f>HLOOKUP(M183,データについて!$J$7:$M$18,12,FALSE)</f>
        <v>2</v>
      </c>
      <c r="U183" s="81">
        <f>HLOOKUP(N183,データについて!$J$8:$M$18,11,FALSE)</f>
        <v>2</v>
      </c>
      <c r="V183" s="81">
        <f>HLOOKUP(O183,データについて!$J$9:$M$18,10,FALSE)</f>
        <v>1</v>
      </c>
      <c r="W183" s="81">
        <f>HLOOKUP(P183,データについて!$J$10:$M$18,9,FALSE)</f>
        <v>2</v>
      </c>
      <c r="X183" s="81">
        <f>HLOOKUP(Q183,データについて!$J$11:$M$18,8,FALSE)</f>
        <v>1</v>
      </c>
      <c r="Y183" s="81">
        <f>HLOOKUP(R183,データについて!$J$12:$M$18,7,FALSE)</f>
        <v>2</v>
      </c>
      <c r="Z183" s="81">
        <f>HLOOKUP(I183,データについて!$J$3:$M$18,16,FALSE)</f>
        <v>2</v>
      </c>
      <c r="AA183" s="81" t="str">
        <f>IFERROR(HLOOKUP(J183,データについて!$J$4:$AH$19,16,FALSE),"")</f>
        <v/>
      </c>
      <c r="AB183" s="81">
        <f>IFERROR(HLOOKUP(K183,データについて!$J$5:$AH$20,14,FALSE),"")</f>
        <v>1</v>
      </c>
      <c r="AC183" s="81">
        <f>IF(X183=1,HLOOKUP(R183,データについて!$J$12:$M$18,7,FALSE),"*")</f>
        <v>2</v>
      </c>
      <c r="AD183" s="81" t="str">
        <f>IF(X183=2,HLOOKUP(R183,データについて!$J$12:$M$18,7,FALSE),"*")</f>
        <v>*</v>
      </c>
    </row>
    <row r="184" spans="1:30">
      <c r="A184" s="30">
        <v>5008</v>
      </c>
      <c r="B184" s="30" t="s">
        <v>4608</v>
      </c>
      <c r="C184" s="30" t="s">
        <v>4609</v>
      </c>
      <c r="D184" s="30" t="s">
        <v>106</v>
      </c>
      <c r="E184" s="30"/>
      <c r="F184" s="30" t="s">
        <v>107</v>
      </c>
      <c r="G184" s="30" t="s">
        <v>106</v>
      </c>
      <c r="H184" s="30"/>
      <c r="I184" s="30" t="s">
        <v>191</v>
      </c>
      <c r="J184" s="30"/>
      <c r="K184" s="30" t="s">
        <v>4342</v>
      </c>
      <c r="L184" s="30" t="s">
        <v>117</v>
      </c>
      <c r="M184" s="30" t="s">
        <v>124</v>
      </c>
      <c r="N184" s="30" t="s">
        <v>114</v>
      </c>
      <c r="O184" s="30" t="s">
        <v>116</v>
      </c>
      <c r="P184" s="30" t="s">
        <v>118</v>
      </c>
      <c r="Q184" s="30" t="s">
        <v>112</v>
      </c>
      <c r="R184" s="30" t="s">
        <v>187</v>
      </c>
      <c r="S184" s="81">
        <f>HLOOKUP(L184,データについて!$J$6:$M$18,13,FALSE)</f>
        <v>2</v>
      </c>
      <c r="T184" s="81">
        <f>HLOOKUP(M184,データについて!$J$7:$M$18,12,FALSE)</f>
        <v>3</v>
      </c>
      <c r="U184" s="81">
        <f>HLOOKUP(N184,データについて!$J$8:$M$18,11,FALSE)</f>
        <v>1</v>
      </c>
      <c r="V184" s="81">
        <f>HLOOKUP(O184,データについて!$J$9:$M$18,10,FALSE)</f>
        <v>2</v>
      </c>
      <c r="W184" s="81">
        <f>HLOOKUP(P184,データについて!$J$10:$M$18,9,FALSE)</f>
        <v>2</v>
      </c>
      <c r="X184" s="81">
        <f>HLOOKUP(Q184,データについて!$J$11:$M$18,8,FALSE)</f>
        <v>1</v>
      </c>
      <c r="Y184" s="81">
        <f>HLOOKUP(R184,データについて!$J$12:$M$18,7,FALSE)</f>
        <v>3</v>
      </c>
      <c r="Z184" s="81">
        <f>HLOOKUP(I184,データについて!$J$3:$M$18,16,FALSE)</f>
        <v>2</v>
      </c>
      <c r="AA184" s="81" t="str">
        <f>IFERROR(HLOOKUP(J184,データについて!$J$4:$AH$19,16,FALSE),"")</f>
        <v/>
      </c>
      <c r="AB184" s="81">
        <f>IFERROR(HLOOKUP(K184,データについて!$J$5:$AH$20,14,FALSE),"")</f>
        <v>1</v>
      </c>
      <c r="AC184" s="81">
        <f>IF(X184=1,HLOOKUP(R184,データについて!$J$12:$M$18,7,FALSE),"*")</f>
        <v>3</v>
      </c>
      <c r="AD184" s="81" t="str">
        <f>IF(X184=2,HLOOKUP(R184,データについて!$J$12:$M$18,7,FALSE),"*")</f>
        <v>*</v>
      </c>
    </row>
    <row r="185" spans="1:30">
      <c r="A185" s="30">
        <v>5007</v>
      </c>
      <c r="B185" s="30" t="s">
        <v>4610</v>
      </c>
      <c r="C185" s="30" t="s">
        <v>4611</v>
      </c>
      <c r="D185" s="30" t="s">
        <v>106</v>
      </c>
      <c r="E185" s="30"/>
      <c r="F185" s="30" t="s">
        <v>107</v>
      </c>
      <c r="G185" s="30" t="s">
        <v>106</v>
      </c>
      <c r="H185" s="30"/>
      <c r="I185" s="30" t="s">
        <v>191</v>
      </c>
      <c r="J185" s="30"/>
      <c r="K185" s="30" t="s">
        <v>4342</v>
      </c>
      <c r="L185" s="30" t="s">
        <v>117</v>
      </c>
      <c r="M185" s="30" t="s">
        <v>113</v>
      </c>
      <c r="N185" s="30" t="s">
        <v>114</v>
      </c>
      <c r="O185" s="30" t="s">
        <v>123</v>
      </c>
      <c r="P185" s="30" t="s">
        <v>112</v>
      </c>
      <c r="Q185" s="30" t="s">
        <v>118</v>
      </c>
      <c r="R185" s="30" t="s">
        <v>189</v>
      </c>
      <c r="S185" s="81">
        <f>HLOOKUP(L185,データについて!$J$6:$M$18,13,FALSE)</f>
        <v>2</v>
      </c>
      <c r="T185" s="81">
        <f>HLOOKUP(M185,データについて!$J$7:$M$18,12,FALSE)</f>
        <v>1</v>
      </c>
      <c r="U185" s="81">
        <f>HLOOKUP(N185,データについて!$J$8:$M$18,11,FALSE)</f>
        <v>1</v>
      </c>
      <c r="V185" s="81">
        <f>HLOOKUP(O185,データについて!$J$9:$M$18,10,FALSE)</f>
        <v>4</v>
      </c>
      <c r="W185" s="81">
        <f>HLOOKUP(P185,データについて!$J$10:$M$18,9,FALSE)</f>
        <v>1</v>
      </c>
      <c r="X185" s="81">
        <f>HLOOKUP(Q185,データについて!$J$11:$M$18,8,FALSE)</f>
        <v>2</v>
      </c>
      <c r="Y185" s="81">
        <f>HLOOKUP(R185,データについて!$J$12:$M$18,7,FALSE)</f>
        <v>4</v>
      </c>
      <c r="Z185" s="81">
        <f>HLOOKUP(I185,データについて!$J$3:$M$18,16,FALSE)</f>
        <v>2</v>
      </c>
      <c r="AA185" s="81" t="str">
        <f>IFERROR(HLOOKUP(J185,データについて!$J$4:$AH$19,16,FALSE),"")</f>
        <v/>
      </c>
      <c r="AB185" s="81">
        <f>IFERROR(HLOOKUP(K185,データについて!$J$5:$AH$20,14,FALSE),"")</f>
        <v>1</v>
      </c>
      <c r="AC185" s="81" t="str">
        <f>IF(X185=1,HLOOKUP(R185,データについて!$J$12:$M$18,7,FALSE),"*")</f>
        <v>*</v>
      </c>
      <c r="AD185" s="81">
        <f>IF(X185=2,HLOOKUP(R185,データについて!$J$12:$M$18,7,FALSE),"*")</f>
        <v>4</v>
      </c>
    </row>
    <row r="186" spans="1:30">
      <c r="A186" s="30">
        <v>5006</v>
      </c>
      <c r="B186" s="30" t="s">
        <v>4612</v>
      </c>
      <c r="C186" s="30" t="s">
        <v>4613</v>
      </c>
      <c r="D186" s="30" t="s">
        <v>106</v>
      </c>
      <c r="E186" s="30"/>
      <c r="F186" s="30" t="s">
        <v>107</v>
      </c>
      <c r="G186" s="30" t="s">
        <v>106</v>
      </c>
      <c r="H186" s="30"/>
      <c r="I186" s="30" t="s">
        <v>191</v>
      </c>
      <c r="J186" s="30"/>
      <c r="K186" s="30" t="s">
        <v>4342</v>
      </c>
      <c r="L186" s="30" t="s">
        <v>108</v>
      </c>
      <c r="M186" s="30" t="s">
        <v>113</v>
      </c>
      <c r="N186" s="30" t="s">
        <v>114</v>
      </c>
      <c r="O186" s="30" t="s">
        <v>115</v>
      </c>
      <c r="P186" s="30" t="s">
        <v>118</v>
      </c>
      <c r="Q186" s="30" t="s">
        <v>112</v>
      </c>
      <c r="R186" s="30" t="s">
        <v>185</v>
      </c>
      <c r="S186" s="81">
        <f>HLOOKUP(L186,データについて!$J$6:$M$18,13,FALSE)</f>
        <v>1</v>
      </c>
      <c r="T186" s="81">
        <f>HLOOKUP(M186,データについて!$J$7:$M$18,12,FALSE)</f>
        <v>1</v>
      </c>
      <c r="U186" s="81">
        <f>HLOOKUP(N186,データについて!$J$8:$M$18,11,FALSE)</f>
        <v>1</v>
      </c>
      <c r="V186" s="81">
        <f>HLOOKUP(O186,データについて!$J$9:$M$18,10,FALSE)</f>
        <v>1</v>
      </c>
      <c r="W186" s="81">
        <f>HLOOKUP(P186,データについて!$J$10:$M$18,9,FALSE)</f>
        <v>2</v>
      </c>
      <c r="X186" s="81">
        <f>HLOOKUP(Q186,データについて!$J$11:$M$18,8,FALSE)</f>
        <v>1</v>
      </c>
      <c r="Y186" s="81">
        <f>HLOOKUP(R186,データについて!$J$12:$M$18,7,FALSE)</f>
        <v>2</v>
      </c>
      <c r="Z186" s="81">
        <f>HLOOKUP(I186,データについて!$J$3:$M$18,16,FALSE)</f>
        <v>2</v>
      </c>
      <c r="AA186" s="81" t="str">
        <f>IFERROR(HLOOKUP(J186,データについて!$J$4:$AH$19,16,FALSE),"")</f>
        <v/>
      </c>
      <c r="AB186" s="81">
        <f>IFERROR(HLOOKUP(K186,データについて!$J$5:$AH$20,14,FALSE),"")</f>
        <v>1</v>
      </c>
      <c r="AC186" s="81">
        <f>IF(X186=1,HLOOKUP(R186,データについて!$J$12:$M$18,7,FALSE),"*")</f>
        <v>2</v>
      </c>
      <c r="AD186" s="81" t="str">
        <f>IF(X186=2,HLOOKUP(R186,データについて!$J$12:$M$18,7,FALSE),"*")</f>
        <v>*</v>
      </c>
    </row>
    <row r="187" spans="1:30">
      <c r="A187" s="30">
        <v>5005</v>
      </c>
      <c r="B187" s="30" t="s">
        <v>4614</v>
      </c>
      <c r="C187" s="30" t="s">
        <v>4615</v>
      </c>
      <c r="D187" s="30" t="s">
        <v>106</v>
      </c>
      <c r="E187" s="30"/>
      <c r="F187" s="30" t="s">
        <v>107</v>
      </c>
      <c r="G187" s="30" t="s">
        <v>106</v>
      </c>
      <c r="H187" s="30"/>
      <c r="I187" s="30" t="s">
        <v>191</v>
      </c>
      <c r="J187" s="30"/>
      <c r="K187" s="30" t="s">
        <v>4342</v>
      </c>
      <c r="L187" s="30" t="s">
        <v>108</v>
      </c>
      <c r="M187" s="30" t="s">
        <v>113</v>
      </c>
      <c r="N187" s="30" t="s">
        <v>110</v>
      </c>
      <c r="O187" s="30" t="s">
        <v>115</v>
      </c>
      <c r="P187" s="30" t="s">
        <v>118</v>
      </c>
      <c r="Q187" s="30" t="s">
        <v>112</v>
      </c>
      <c r="R187" s="30" t="s">
        <v>185</v>
      </c>
      <c r="S187" s="81">
        <f>HLOOKUP(L187,データについて!$J$6:$M$18,13,FALSE)</f>
        <v>1</v>
      </c>
      <c r="T187" s="81">
        <f>HLOOKUP(M187,データについて!$J$7:$M$18,12,FALSE)</f>
        <v>1</v>
      </c>
      <c r="U187" s="81">
        <f>HLOOKUP(N187,データについて!$J$8:$M$18,11,FALSE)</f>
        <v>2</v>
      </c>
      <c r="V187" s="81">
        <f>HLOOKUP(O187,データについて!$J$9:$M$18,10,FALSE)</f>
        <v>1</v>
      </c>
      <c r="W187" s="81">
        <f>HLOOKUP(P187,データについて!$J$10:$M$18,9,FALSE)</f>
        <v>2</v>
      </c>
      <c r="X187" s="81">
        <f>HLOOKUP(Q187,データについて!$J$11:$M$18,8,FALSE)</f>
        <v>1</v>
      </c>
      <c r="Y187" s="81">
        <f>HLOOKUP(R187,データについて!$J$12:$M$18,7,FALSE)</f>
        <v>2</v>
      </c>
      <c r="Z187" s="81">
        <f>HLOOKUP(I187,データについて!$J$3:$M$18,16,FALSE)</f>
        <v>2</v>
      </c>
      <c r="AA187" s="81" t="str">
        <f>IFERROR(HLOOKUP(J187,データについて!$J$4:$AH$19,16,FALSE),"")</f>
        <v/>
      </c>
      <c r="AB187" s="81">
        <f>IFERROR(HLOOKUP(K187,データについて!$J$5:$AH$20,14,FALSE),"")</f>
        <v>1</v>
      </c>
      <c r="AC187" s="81">
        <f>IF(X187=1,HLOOKUP(R187,データについて!$J$12:$M$18,7,FALSE),"*")</f>
        <v>2</v>
      </c>
      <c r="AD187" s="81" t="str">
        <f>IF(X187=2,HLOOKUP(R187,データについて!$J$12:$M$18,7,FALSE),"*")</f>
        <v>*</v>
      </c>
    </row>
    <row r="188" spans="1:30">
      <c r="A188" s="30">
        <v>5004</v>
      </c>
      <c r="B188" s="30" t="s">
        <v>4616</v>
      </c>
      <c r="C188" s="30" t="s">
        <v>4617</v>
      </c>
      <c r="D188" s="30" t="s">
        <v>106</v>
      </c>
      <c r="E188" s="30"/>
      <c r="F188" s="30" t="s">
        <v>107</v>
      </c>
      <c r="G188" s="30" t="s">
        <v>106</v>
      </c>
      <c r="H188" s="30"/>
      <c r="I188" s="30" t="s">
        <v>191</v>
      </c>
      <c r="J188" s="30"/>
      <c r="K188" s="30" t="s">
        <v>4342</v>
      </c>
      <c r="L188" s="30" t="s">
        <v>117</v>
      </c>
      <c r="M188" s="30" t="s">
        <v>113</v>
      </c>
      <c r="N188" s="30" t="s">
        <v>114</v>
      </c>
      <c r="O188" s="30" t="s">
        <v>115</v>
      </c>
      <c r="P188" s="30" t="s">
        <v>112</v>
      </c>
      <c r="Q188" s="30" t="s">
        <v>112</v>
      </c>
      <c r="R188" s="30" t="s">
        <v>183</v>
      </c>
      <c r="S188" s="81">
        <f>HLOOKUP(L188,データについて!$J$6:$M$18,13,FALSE)</f>
        <v>2</v>
      </c>
      <c r="T188" s="81">
        <f>HLOOKUP(M188,データについて!$J$7:$M$18,12,FALSE)</f>
        <v>1</v>
      </c>
      <c r="U188" s="81">
        <f>HLOOKUP(N188,データについて!$J$8:$M$18,11,FALSE)</f>
        <v>1</v>
      </c>
      <c r="V188" s="81">
        <f>HLOOKUP(O188,データについて!$J$9:$M$18,10,FALSE)</f>
        <v>1</v>
      </c>
      <c r="W188" s="81">
        <f>HLOOKUP(P188,データについて!$J$10:$M$18,9,FALSE)</f>
        <v>1</v>
      </c>
      <c r="X188" s="81">
        <f>HLOOKUP(Q188,データについて!$J$11:$M$18,8,FALSE)</f>
        <v>1</v>
      </c>
      <c r="Y188" s="81">
        <f>HLOOKUP(R188,データについて!$J$12:$M$18,7,FALSE)</f>
        <v>1</v>
      </c>
      <c r="Z188" s="81">
        <f>HLOOKUP(I188,データについて!$J$3:$M$18,16,FALSE)</f>
        <v>2</v>
      </c>
      <c r="AA188" s="81" t="str">
        <f>IFERROR(HLOOKUP(J188,データについて!$J$4:$AH$19,16,FALSE),"")</f>
        <v/>
      </c>
      <c r="AB188" s="81">
        <f>IFERROR(HLOOKUP(K188,データについて!$J$5:$AH$20,14,FALSE),"")</f>
        <v>1</v>
      </c>
      <c r="AC188" s="81">
        <f>IF(X188=1,HLOOKUP(R188,データについて!$J$12:$M$18,7,FALSE),"*")</f>
        <v>1</v>
      </c>
      <c r="AD188" s="81" t="str">
        <f>IF(X188=2,HLOOKUP(R188,データについて!$J$12:$M$18,7,FALSE),"*")</f>
        <v>*</v>
      </c>
    </row>
    <row r="189" spans="1:30">
      <c r="A189" s="30">
        <v>5003</v>
      </c>
      <c r="B189" s="30" t="s">
        <v>4618</v>
      </c>
      <c r="C189" s="30" t="s">
        <v>4619</v>
      </c>
      <c r="D189" s="30" t="s">
        <v>106</v>
      </c>
      <c r="E189" s="30"/>
      <c r="F189" s="30" t="s">
        <v>107</v>
      </c>
      <c r="G189" s="30" t="s">
        <v>106</v>
      </c>
      <c r="H189" s="30"/>
      <c r="I189" s="30" t="s">
        <v>191</v>
      </c>
      <c r="J189" s="30"/>
      <c r="K189" s="30" t="s">
        <v>4342</v>
      </c>
      <c r="L189" s="30" t="s">
        <v>117</v>
      </c>
      <c r="M189" s="30" t="s">
        <v>109</v>
      </c>
      <c r="N189" s="30" t="s">
        <v>114</v>
      </c>
      <c r="O189" s="30" t="s">
        <v>115</v>
      </c>
      <c r="P189" s="30" t="s">
        <v>118</v>
      </c>
      <c r="Q189" s="30" t="s">
        <v>112</v>
      </c>
      <c r="R189" s="30" t="s">
        <v>185</v>
      </c>
      <c r="S189" s="81">
        <f>HLOOKUP(L189,データについて!$J$6:$M$18,13,FALSE)</f>
        <v>2</v>
      </c>
      <c r="T189" s="81">
        <f>HLOOKUP(M189,データについて!$J$7:$M$18,12,FALSE)</f>
        <v>2</v>
      </c>
      <c r="U189" s="81">
        <f>HLOOKUP(N189,データについて!$J$8:$M$18,11,FALSE)</f>
        <v>1</v>
      </c>
      <c r="V189" s="81">
        <f>HLOOKUP(O189,データについて!$J$9:$M$18,10,FALSE)</f>
        <v>1</v>
      </c>
      <c r="W189" s="81">
        <f>HLOOKUP(P189,データについて!$J$10:$M$18,9,FALSE)</f>
        <v>2</v>
      </c>
      <c r="X189" s="81">
        <f>HLOOKUP(Q189,データについて!$J$11:$M$18,8,FALSE)</f>
        <v>1</v>
      </c>
      <c r="Y189" s="81">
        <f>HLOOKUP(R189,データについて!$J$12:$M$18,7,FALSE)</f>
        <v>2</v>
      </c>
      <c r="Z189" s="81">
        <f>HLOOKUP(I189,データについて!$J$3:$M$18,16,FALSE)</f>
        <v>2</v>
      </c>
      <c r="AA189" s="81" t="str">
        <f>IFERROR(HLOOKUP(J189,データについて!$J$4:$AH$19,16,FALSE),"")</f>
        <v/>
      </c>
      <c r="AB189" s="81">
        <f>IFERROR(HLOOKUP(K189,データについて!$J$5:$AH$20,14,FALSE),"")</f>
        <v>1</v>
      </c>
      <c r="AC189" s="81">
        <f>IF(X189=1,HLOOKUP(R189,データについて!$J$12:$M$18,7,FALSE),"*")</f>
        <v>2</v>
      </c>
      <c r="AD189" s="81" t="str">
        <f>IF(X189=2,HLOOKUP(R189,データについて!$J$12:$M$18,7,FALSE),"*")</f>
        <v>*</v>
      </c>
    </row>
    <row r="190" spans="1:30">
      <c r="A190" s="30">
        <v>5002</v>
      </c>
      <c r="B190" s="30" t="s">
        <v>4620</v>
      </c>
      <c r="C190" s="30" t="s">
        <v>4621</v>
      </c>
      <c r="D190" s="30" t="s">
        <v>106</v>
      </c>
      <c r="E190" s="30"/>
      <c r="F190" s="30" t="s">
        <v>107</v>
      </c>
      <c r="G190" s="30" t="s">
        <v>106</v>
      </c>
      <c r="H190" s="30"/>
      <c r="I190" s="30" t="s">
        <v>191</v>
      </c>
      <c r="J190" s="30"/>
      <c r="K190" s="30" t="s">
        <v>4342</v>
      </c>
      <c r="L190" s="30" t="s">
        <v>117</v>
      </c>
      <c r="M190" s="30" t="s">
        <v>109</v>
      </c>
      <c r="N190" s="30" t="s">
        <v>110</v>
      </c>
      <c r="O190" s="30" t="s">
        <v>115</v>
      </c>
      <c r="P190" s="30" t="s">
        <v>112</v>
      </c>
      <c r="Q190" s="30" t="s">
        <v>112</v>
      </c>
      <c r="R190" s="30" t="s">
        <v>187</v>
      </c>
      <c r="S190" s="81">
        <f>HLOOKUP(L190,データについて!$J$6:$M$18,13,FALSE)</f>
        <v>2</v>
      </c>
      <c r="T190" s="81">
        <f>HLOOKUP(M190,データについて!$J$7:$M$18,12,FALSE)</f>
        <v>2</v>
      </c>
      <c r="U190" s="81">
        <f>HLOOKUP(N190,データについて!$J$8:$M$18,11,FALSE)</f>
        <v>2</v>
      </c>
      <c r="V190" s="81">
        <f>HLOOKUP(O190,データについて!$J$9:$M$18,10,FALSE)</f>
        <v>1</v>
      </c>
      <c r="W190" s="81">
        <f>HLOOKUP(P190,データについて!$J$10:$M$18,9,FALSE)</f>
        <v>1</v>
      </c>
      <c r="X190" s="81">
        <f>HLOOKUP(Q190,データについて!$J$11:$M$18,8,FALSE)</f>
        <v>1</v>
      </c>
      <c r="Y190" s="81">
        <f>HLOOKUP(R190,データについて!$J$12:$M$18,7,FALSE)</f>
        <v>3</v>
      </c>
      <c r="Z190" s="81">
        <f>HLOOKUP(I190,データについて!$J$3:$M$18,16,FALSE)</f>
        <v>2</v>
      </c>
      <c r="AA190" s="81" t="str">
        <f>IFERROR(HLOOKUP(J190,データについて!$J$4:$AH$19,16,FALSE),"")</f>
        <v/>
      </c>
      <c r="AB190" s="81">
        <f>IFERROR(HLOOKUP(K190,データについて!$J$5:$AH$20,14,FALSE),"")</f>
        <v>1</v>
      </c>
      <c r="AC190" s="81">
        <f>IF(X190=1,HLOOKUP(R190,データについて!$J$12:$M$18,7,FALSE),"*")</f>
        <v>3</v>
      </c>
      <c r="AD190" s="81" t="str">
        <f>IF(X190=2,HLOOKUP(R190,データについて!$J$12:$M$18,7,FALSE),"*")</f>
        <v>*</v>
      </c>
    </row>
    <row r="191" spans="1:30">
      <c r="A191" s="30">
        <v>5001</v>
      </c>
      <c r="B191" s="30" t="s">
        <v>4622</v>
      </c>
      <c r="C191" s="30" t="s">
        <v>4623</v>
      </c>
      <c r="D191" s="30" t="s">
        <v>106</v>
      </c>
      <c r="E191" s="30"/>
      <c r="F191" s="30" t="s">
        <v>107</v>
      </c>
      <c r="G191" s="30" t="s">
        <v>106</v>
      </c>
      <c r="H191" s="30"/>
      <c r="I191" s="30" t="s">
        <v>191</v>
      </c>
      <c r="J191" s="30"/>
      <c r="K191" s="30" t="s">
        <v>4342</v>
      </c>
      <c r="L191" s="30" t="s">
        <v>108</v>
      </c>
      <c r="M191" s="30" t="s">
        <v>109</v>
      </c>
      <c r="N191" s="30" t="s">
        <v>110</v>
      </c>
      <c r="O191" s="30" t="s">
        <v>111</v>
      </c>
      <c r="P191" s="30" t="s">
        <v>112</v>
      </c>
      <c r="Q191" s="30" t="s">
        <v>118</v>
      </c>
      <c r="R191" s="30" t="s">
        <v>189</v>
      </c>
      <c r="S191" s="81">
        <f>HLOOKUP(L191,データについて!$J$6:$M$18,13,FALSE)</f>
        <v>1</v>
      </c>
      <c r="T191" s="81">
        <f>HLOOKUP(M191,データについて!$J$7:$M$18,12,FALSE)</f>
        <v>2</v>
      </c>
      <c r="U191" s="81">
        <f>HLOOKUP(N191,データについて!$J$8:$M$18,11,FALSE)</f>
        <v>2</v>
      </c>
      <c r="V191" s="81">
        <f>HLOOKUP(O191,データについて!$J$9:$M$18,10,FALSE)</f>
        <v>3</v>
      </c>
      <c r="W191" s="81">
        <f>HLOOKUP(P191,データについて!$J$10:$M$18,9,FALSE)</f>
        <v>1</v>
      </c>
      <c r="X191" s="81">
        <f>HLOOKUP(Q191,データについて!$J$11:$M$18,8,FALSE)</f>
        <v>2</v>
      </c>
      <c r="Y191" s="81">
        <f>HLOOKUP(R191,データについて!$J$12:$M$18,7,FALSE)</f>
        <v>4</v>
      </c>
      <c r="Z191" s="81">
        <f>HLOOKUP(I191,データについて!$J$3:$M$18,16,FALSE)</f>
        <v>2</v>
      </c>
      <c r="AA191" s="81" t="str">
        <f>IFERROR(HLOOKUP(J191,データについて!$J$4:$AH$19,16,FALSE),"")</f>
        <v/>
      </c>
      <c r="AB191" s="81">
        <f>IFERROR(HLOOKUP(K191,データについて!$J$5:$AH$20,14,FALSE),"")</f>
        <v>1</v>
      </c>
      <c r="AC191" s="81" t="str">
        <f>IF(X191=1,HLOOKUP(R191,データについて!$J$12:$M$18,7,FALSE),"*")</f>
        <v>*</v>
      </c>
      <c r="AD191" s="81">
        <f>IF(X191=2,HLOOKUP(R191,データについて!$J$12:$M$18,7,FALSE),"*")</f>
        <v>4</v>
      </c>
    </row>
    <row r="192" spans="1:30">
      <c r="A192" s="30">
        <v>5000</v>
      </c>
      <c r="B192" s="30" t="s">
        <v>4624</v>
      </c>
      <c r="C192" s="30" t="s">
        <v>4625</v>
      </c>
      <c r="D192" s="30" t="s">
        <v>106</v>
      </c>
      <c r="E192" s="30"/>
      <c r="F192" s="30" t="s">
        <v>107</v>
      </c>
      <c r="G192" s="30" t="s">
        <v>106</v>
      </c>
      <c r="H192" s="30"/>
      <c r="I192" s="30" t="s">
        <v>191</v>
      </c>
      <c r="J192" s="30"/>
      <c r="K192" s="30" t="s">
        <v>4342</v>
      </c>
      <c r="L192" s="30" t="s">
        <v>117</v>
      </c>
      <c r="M192" s="30" t="s">
        <v>124</v>
      </c>
      <c r="N192" s="30" t="s">
        <v>122</v>
      </c>
      <c r="O192" s="30" t="s">
        <v>123</v>
      </c>
      <c r="P192" s="30" t="s">
        <v>118</v>
      </c>
      <c r="Q192" s="30" t="s">
        <v>112</v>
      </c>
      <c r="R192" s="30" t="s">
        <v>189</v>
      </c>
      <c r="S192" s="81">
        <f>HLOOKUP(L192,データについて!$J$6:$M$18,13,FALSE)</f>
        <v>2</v>
      </c>
      <c r="T192" s="81">
        <f>HLOOKUP(M192,データについて!$J$7:$M$18,12,FALSE)</f>
        <v>3</v>
      </c>
      <c r="U192" s="81">
        <f>HLOOKUP(N192,データについて!$J$8:$M$18,11,FALSE)</f>
        <v>3</v>
      </c>
      <c r="V192" s="81">
        <f>HLOOKUP(O192,データについて!$J$9:$M$18,10,FALSE)</f>
        <v>4</v>
      </c>
      <c r="W192" s="81">
        <f>HLOOKUP(P192,データについて!$J$10:$M$18,9,FALSE)</f>
        <v>2</v>
      </c>
      <c r="X192" s="81">
        <f>HLOOKUP(Q192,データについて!$J$11:$M$18,8,FALSE)</f>
        <v>1</v>
      </c>
      <c r="Y192" s="81">
        <f>HLOOKUP(R192,データについて!$J$12:$M$18,7,FALSE)</f>
        <v>4</v>
      </c>
      <c r="Z192" s="81">
        <f>HLOOKUP(I192,データについて!$J$3:$M$18,16,FALSE)</f>
        <v>2</v>
      </c>
      <c r="AA192" s="81" t="str">
        <f>IFERROR(HLOOKUP(J192,データについて!$J$4:$AH$19,16,FALSE),"")</f>
        <v/>
      </c>
      <c r="AB192" s="81">
        <f>IFERROR(HLOOKUP(K192,データについて!$J$5:$AH$20,14,FALSE),"")</f>
        <v>1</v>
      </c>
      <c r="AC192" s="81">
        <f>IF(X192=1,HLOOKUP(R192,データについて!$J$12:$M$18,7,FALSE),"*")</f>
        <v>4</v>
      </c>
      <c r="AD192" s="81" t="str">
        <f>IF(X192=2,HLOOKUP(R192,データについて!$J$12:$M$18,7,FALSE),"*")</f>
        <v>*</v>
      </c>
    </row>
    <row r="193" spans="1:30">
      <c r="A193" s="30">
        <v>4999</v>
      </c>
      <c r="B193" s="30" t="s">
        <v>4626</v>
      </c>
      <c r="C193" s="30" t="s">
        <v>4627</v>
      </c>
      <c r="D193" s="30" t="s">
        <v>106</v>
      </c>
      <c r="E193" s="30"/>
      <c r="F193" s="30" t="s">
        <v>107</v>
      </c>
      <c r="G193" s="30" t="s">
        <v>106</v>
      </c>
      <c r="H193" s="30"/>
      <c r="I193" s="30" t="s">
        <v>191</v>
      </c>
      <c r="J193" s="30"/>
      <c r="K193" s="30" t="s">
        <v>4342</v>
      </c>
      <c r="L193" s="30" t="s">
        <v>117</v>
      </c>
      <c r="M193" s="30" t="s">
        <v>113</v>
      </c>
      <c r="N193" s="30" t="s">
        <v>110</v>
      </c>
      <c r="O193" s="30" t="s">
        <v>115</v>
      </c>
      <c r="P193" s="30" t="s">
        <v>112</v>
      </c>
      <c r="Q193" s="30" t="s">
        <v>112</v>
      </c>
      <c r="R193" s="30" t="s">
        <v>185</v>
      </c>
      <c r="S193" s="81">
        <f>HLOOKUP(L193,データについて!$J$6:$M$18,13,FALSE)</f>
        <v>2</v>
      </c>
      <c r="T193" s="81">
        <f>HLOOKUP(M193,データについて!$J$7:$M$18,12,FALSE)</f>
        <v>1</v>
      </c>
      <c r="U193" s="81">
        <f>HLOOKUP(N193,データについて!$J$8:$M$18,11,FALSE)</f>
        <v>2</v>
      </c>
      <c r="V193" s="81">
        <f>HLOOKUP(O193,データについて!$J$9:$M$18,10,FALSE)</f>
        <v>1</v>
      </c>
      <c r="W193" s="81">
        <f>HLOOKUP(P193,データについて!$J$10:$M$18,9,FALSE)</f>
        <v>1</v>
      </c>
      <c r="X193" s="81">
        <f>HLOOKUP(Q193,データについて!$J$11:$M$18,8,FALSE)</f>
        <v>1</v>
      </c>
      <c r="Y193" s="81">
        <f>HLOOKUP(R193,データについて!$J$12:$M$18,7,FALSE)</f>
        <v>2</v>
      </c>
      <c r="Z193" s="81">
        <f>HLOOKUP(I193,データについて!$J$3:$M$18,16,FALSE)</f>
        <v>2</v>
      </c>
      <c r="AA193" s="81" t="str">
        <f>IFERROR(HLOOKUP(J193,データについて!$J$4:$AH$19,16,FALSE),"")</f>
        <v/>
      </c>
      <c r="AB193" s="81">
        <f>IFERROR(HLOOKUP(K193,データについて!$J$5:$AH$20,14,FALSE),"")</f>
        <v>1</v>
      </c>
      <c r="AC193" s="81">
        <f>IF(X193=1,HLOOKUP(R193,データについて!$J$12:$M$18,7,FALSE),"*")</f>
        <v>2</v>
      </c>
      <c r="AD193" s="81" t="str">
        <f>IF(X193=2,HLOOKUP(R193,データについて!$J$12:$M$18,7,FALSE),"*")</f>
        <v>*</v>
      </c>
    </row>
    <row r="194" spans="1:30">
      <c r="A194" s="30">
        <v>4998</v>
      </c>
      <c r="B194" s="30" t="s">
        <v>4628</v>
      </c>
      <c r="C194" s="30" t="s">
        <v>4629</v>
      </c>
      <c r="D194" s="30" t="s">
        <v>106</v>
      </c>
      <c r="E194" s="30"/>
      <c r="F194" s="30" t="s">
        <v>107</v>
      </c>
      <c r="G194" s="30" t="s">
        <v>106</v>
      </c>
      <c r="H194" s="30"/>
      <c r="I194" s="30" t="s">
        <v>191</v>
      </c>
      <c r="J194" s="30"/>
      <c r="K194" s="30" t="s">
        <v>4342</v>
      </c>
      <c r="L194" s="30" t="s">
        <v>108</v>
      </c>
      <c r="M194" s="30" t="s">
        <v>113</v>
      </c>
      <c r="N194" s="30" t="s">
        <v>114</v>
      </c>
      <c r="O194" s="30" t="s">
        <v>115</v>
      </c>
      <c r="P194" s="30" t="s">
        <v>112</v>
      </c>
      <c r="Q194" s="30" t="s">
        <v>112</v>
      </c>
      <c r="R194" s="30" t="s">
        <v>185</v>
      </c>
      <c r="S194" s="81">
        <f>HLOOKUP(L194,データについて!$J$6:$M$18,13,FALSE)</f>
        <v>1</v>
      </c>
      <c r="T194" s="81">
        <f>HLOOKUP(M194,データについて!$J$7:$M$18,12,FALSE)</f>
        <v>1</v>
      </c>
      <c r="U194" s="81">
        <f>HLOOKUP(N194,データについて!$J$8:$M$18,11,FALSE)</f>
        <v>1</v>
      </c>
      <c r="V194" s="81">
        <f>HLOOKUP(O194,データについて!$J$9:$M$18,10,FALSE)</f>
        <v>1</v>
      </c>
      <c r="W194" s="81">
        <f>HLOOKUP(P194,データについて!$J$10:$M$18,9,FALSE)</f>
        <v>1</v>
      </c>
      <c r="X194" s="81">
        <f>HLOOKUP(Q194,データについて!$J$11:$M$18,8,FALSE)</f>
        <v>1</v>
      </c>
      <c r="Y194" s="81">
        <f>HLOOKUP(R194,データについて!$J$12:$M$18,7,FALSE)</f>
        <v>2</v>
      </c>
      <c r="Z194" s="81">
        <f>HLOOKUP(I194,データについて!$J$3:$M$18,16,FALSE)</f>
        <v>2</v>
      </c>
      <c r="AA194" s="81" t="str">
        <f>IFERROR(HLOOKUP(J194,データについて!$J$4:$AH$19,16,FALSE),"")</f>
        <v/>
      </c>
      <c r="AB194" s="81">
        <f>IFERROR(HLOOKUP(K194,データについて!$J$5:$AH$20,14,FALSE),"")</f>
        <v>1</v>
      </c>
      <c r="AC194" s="81">
        <f>IF(X194=1,HLOOKUP(R194,データについて!$J$12:$M$18,7,FALSE),"*")</f>
        <v>2</v>
      </c>
      <c r="AD194" s="81" t="str">
        <f>IF(X194=2,HLOOKUP(R194,データについて!$J$12:$M$18,7,FALSE),"*")</f>
        <v>*</v>
      </c>
    </row>
    <row r="195" spans="1:30">
      <c r="A195" s="30">
        <v>4997</v>
      </c>
      <c r="B195" s="30" t="s">
        <v>4630</v>
      </c>
      <c r="C195" s="30" t="s">
        <v>4629</v>
      </c>
      <c r="D195" s="30" t="s">
        <v>106</v>
      </c>
      <c r="E195" s="30"/>
      <c r="F195" s="30" t="s">
        <v>107</v>
      </c>
      <c r="G195" s="30" t="s">
        <v>106</v>
      </c>
      <c r="H195" s="30"/>
      <c r="I195" s="30" t="s">
        <v>191</v>
      </c>
      <c r="J195" s="30"/>
      <c r="K195" s="30" t="s">
        <v>4342</v>
      </c>
      <c r="L195" s="30" t="s">
        <v>117</v>
      </c>
      <c r="M195" s="30" t="s">
        <v>113</v>
      </c>
      <c r="N195" s="30" t="s">
        <v>110</v>
      </c>
      <c r="O195" s="30" t="s">
        <v>115</v>
      </c>
      <c r="P195" s="30" t="s">
        <v>112</v>
      </c>
      <c r="Q195" s="30" t="s">
        <v>112</v>
      </c>
      <c r="R195" s="30" t="s">
        <v>187</v>
      </c>
      <c r="S195" s="81">
        <f>HLOOKUP(L195,データについて!$J$6:$M$18,13,FALSE)</f>
        <v>2</v>
      </c>
      <c r="T195" s="81">
        <f>HLOOKUP(M195,データについて!$J$7:$M$18,12,FALSE)</f>
        <v>1</v>
      </c>
      <c r="U195" s="81">
        <f>HLOOKUP(N195,データについて!$J$8:$M$18,11,FALSE)</f>
        <v>2</v>
      </c>
      <c r="V195" s="81">
        <f>HLOOKUP(O195,データについて!$J$9:$M$18,10,FALSE)</f>
        <v>1</v>
      </c>
      <c r="W195" s="81">
        <f>HLOOKUP(P195,データについて!$J$10:$M$18,9,FALSE)</f>
        <v>1</v>
      </c>
      <c r="X195" s="81">
        <f>HLOOKUP(Q195,データについて!$J$11:$M$18,8,FALSE)</f>
        <v>1</v>
      </c>
      <c r="Y195" s="81">
        <f>HLOOKUP(R195,データについて!$J$12:$M$18,7,FALSE)</f>
        <v>3</v>
      </c>
      <c r="Z195" s="81">
        <f>HLOOKUP(I195,データについて!$J$3:$M$18,16,FALSE)</f>
        <v>2</v>
      </c>
      <c r="AA195" s="81" t="str">
        <f>IFERROR(HLOOKUP(J195,データについて!$J$4:$AH$19,16,FALSE),"")</f>
        <v/>
      </c>
      <c r="AB195" s="81">
        <f>IFERROR(HLOOKUP(K195,データについて!$J$5:$AH$20,14,FALSE),"")</f>
        <v>1</v>
      </c>
      <c r="AC195" s="81">
        <f>IF(X195=1,HLOOKUP(R195,データについて!$J$12:$M$18,7,FALSE),"*")</f>
        <v>3</v>
      </c>
      <c r="AD195" s="81" t="str">
        <f>IF(X195=2,HLOOKUP(R195,データについて!$J$12:$M$18,7,FALSE),"*")</f>
        <v>*</v>
      </c>
    </row>
    <row r="196" spans="1:30">
      <c r="A196" s="30">
        <v>4996</v>
      </c>
      <c r="B196" s="30" t="s">
        <v>4631</v>
      </c>
      <c r="C196" s="30" t="s">
        <v>4632</v>
      </c>
      <c r="D196" s="30" t="s">
        <v>106</v>
      </c>
      <c r="E196" s="30"/>
      <c r="F196" s="30" t="s">
        <v>107</v>
      </c>
      <c r="G196" s="30" t="s">
        <v>106</v>
      </c>
      <c r="H196" s="30"/>
      <c r="I196" s="30" t="s">
        <v>191</v>
      </c>
      <c r="J196" s="30"/>
      <c r="K196" s="30" t="s">
        <v>4342</v>
      </c>
      <c r="L196" s="30" t="s">
        <v>108</v>
      </c>
      <c r="M196" s="30" t="s">
        <v>113</v>
      </c>
      <c r="N196" s="30" t="s">
        <v>114</v>
      </c>
      <c r="O196" s="30" t="s">
        <v>115</v>
      </c>
      <c r="P196" s="30" t="s">
        <v>118</v>
      </c>
      <c r="Q196" s="30" t="s">
        <v>112</v>
      </c>
      <c r="R196" s="30" t="s">
        <v>183</v>
      </c>
      <c r="S196" s="81">
        <f>HLOOKUP(L196,データについて!$J$6:$M$18,13,FALSE)</f>
        <v>1</v>
      </c>
      <c r="T196" s="81">
        <f>HLOOKUP(M196,データについて!$J$7:$M$18,12,FALSE)</f>
        <v>1</v>
      </c>
      <c r="U196" s="81">
        <f>HLOOKUP(N196,データについて!$J$8:$M$18,11,FALSE)</f>
        <v>1</v>
      </c>
      <c r="V196" s="81">
        <f>HLOOKUP(O196,データについて!$J$9:$M$18,10,FALSE)</f>
        <v>1</v>
      </c>
      <c r="W196" s="81">
        <f>HLOOKUP(P196,データについて!$J$10:$M$18,9,FALSE)</f>
        <v>2</v>
      </c>
      <c r="X196" s="81">
        <f>HLOOKUP(Q196,データについて!$J$11:$M$18,8,FALSE)</f>
        <v>1</v>
      </c>
      <c r="Y196" s="81">
        <f>HLOOKUP(R196,データについて!$J$12:$M$18,7,FALSE)</f>
        <v>1</v>
      </c>
      <c r="Z196" s="81">
        <f>HLOOKUP(I196,データについて!$J$3:$M$18,16,FALSE)</f>
        <v>2</v>
      </c>
      <c r="AA196" s="81" t="str">
        <f>IFERROR(HLOOKUP(J196,データについて!$J$4:$AH$19,16,FALSE),"")</f>
        <v/>
      </c>
      <c r="AB196" s="81">
        <f>IFERROR(HLOOKUP(K196,データについて!$J$5:$AH$20,14,FALSE),"")</f>
        <v>1</v>
      </c>
      <c r="AC196" s="81">
        <f>IF(X196=1,HLOOKUP(R196,データについて!$J$12:$M$18,7,FALSE),"*")</f>
        <v>1</v>
      </c>
      <c r="AD196" s="81" t="str">
        <f>IF(X196=2,HLOOKUP(R196,データについて!$J$12:$M$18,7,FALSE),"*")</f>
        <v>*</v>
      </c>
    </row>
    <row r="197" spans="1:30">
      <c r="A197" s="30">
        <v>4995</v>
      </c>
      <c r="B197" s="30" t="s">
        <v>4633</v>
      </c>
      <c r="C197" s="30" t="s">
        <v>4634</v>
      </c>
      <c r="D197" s="30" t="s">
        <v>106</v>
      </c>
      <c r="E197" s="30"/>
      <c r="F197" s="30" t="s">
        <v>107</v>
      </c>
      <c r="G197" s="30" t="s">
        <v>106</v>
      </c>
      <c r="H197" s="30"/>
      <c r="I197" s="30" t="s">
        <v>191</v>
      </c>
      <c r="J197" s="30"/>
      <c r="K197" s="30" t="s">
        <v>4342</v>
      </c>
      <c r="L197" s="30" t="s">
        <v>108</v>
      </c>
      <c r="M197" s="30" t="s">
        <v>109</v>
      </c>
      <c r="N197" s="30" t="s">
        <v>122</v>
      </c>
      <c r="O197" s="30" t="s">
        <v>115</v>
      </c>
      <c r="P197" s="30" t="s">
        <v>112</v>
      </c>
      <c r="Q197" s="30" t="s">
        <v>118</v>
      </c>
      <c r="R197" s="30" t="s">
        <v>183</v>
      </c>
      <c r="S197" s="81">
        <f>HLOOKUP(L197,データについて!$J$6:$M$18,13,FALSE)</f>
        <v>1</v>
      </c>
      <c r="T197" s="81">
        <f>HLOOKUP(M197,データについて!$J$7:$M$18,12,FALSE)</f>
        <v>2</v>
      </c>
      <c r="U197" s="81">
        <f>HLOOKUP(N197,データについて!$J$8:$M$18,11,FALSE)</f>
        <v>3</v>
      </c>
      <c r="V197" s="81">
        <f>HLOOKUP(O197,データについて!$J$9:$M$18,10,FALSE)</f>
        <v>1</v>
      </c>
      <c r="W197" s="81">
        <f>HLOOKUP(P197,データについて!$J$10:$M$18,9,FALSE)</f>
        <v>1</v>
      </c>
      <c r="X197" s="81">
        <f>HLOOKUP(Q197,データについて!$J$11:$M$18,8,FALSE)</f>
        <v>2</v>
      </c>
      <c r="Y197" s="81">
        <f>HLOOKUP(R197,データについて!$J$12:$M$18,7,FALSE)</f>
        <v>1</v>
      </c>
      <c r="Z197" s="81">
        <f>HLOOKUP(I197,データについて!$J$3:$M$18,16,FALSE)</f>
        <v>2</v>
      </c>
      <c r="AA197" s="81" t="str">
        <f>IFERROR(HLOOKUP(J197,データについて!$J$4:$AH$19,16,FALSE),"")</f>
        <v/>
      </c>
      <c r="AB197" s="81">
        <f>IFERROR(HLOOKUP(K197,データについて!$J$5:$AH$20,14,FALSE),"")</f>
        <v>1</v>
      </c>
      <c r="AC197" s="81" t="str">
        <f>IF(X197=1,HLOOKUP(R197,データについて!$J$12:$M$18,7,FALSE),"*")</f>
        <v>*</v>
      </c>
      <c r="AD197" s="81">
        <f>IF(X197=2,HLOOKUP(R197,データについて!$J$12:$M$18,7,FALSE),"*")</f>
        <v>1</v>
      </c>
    </row>
    <row r="198" spans="1:30">
      <c r="A198" s="30">
        <v>4994</v>
      </c>
      <c r="B198" s="30" t="s">
        <v>4635</v>
      </c>
      <c r="C198" s="30" t="s">
        <v>4636</v>
      </c>
      <c r="D198" s="30" t="s">
        <v>106</v>
      </c>
      <c r="E198" s="30"/>
      <c r="F198" s="30" t="s">
        <v>107</v>
      </c>
      <c r="G198" s="30" t="s">
        <v>106</v>
      </c>
      <c r="H198" s="30"/>
      <c r="I198" s="30" t="s">
        <v>191</v>
      </c>
      <c r="J198" s="30"/>
      <c r="K198" s="30" t="s">
        <v>4342</v>
      </c>
      <c r="L198" s="30" t="s">
        <v>117</v>
      </c>
      <c r="M198" s="30" t="s">
        <v>113</v>
      </c>
      <c r="N198" s="30" t="s">
        <v>110</v>
      </c>
      <c r="O198" s="30" t="s">
        <v>115</v>
      </c>
      <c r="P198" s="30" t="s">
        <v>118</v>
      </c>
      <c r="Q198" s="30" t="s">
        <v>112</v>
      </c>
      <c r="R198" s="30" t="s">
        <v>185</v>
      </c>
      <c r="S198" s="81">
        <f>HLOOKUP(L198,データについて!$J$6:$M$18,13,FALSE)</f>
        <v>2</v>
      </c>
      <c r="T198" s="81">
        <f>HLOOKUP(M198,データについて!$J$7:$M$18,12,FALSE)</f>
        <v>1</v>
      </c>
      <c r="U198" s="81">
        <f>HLOOKUP(N198,データについて!$J$8:$M$18,11,FALSE)</f>
        <v>2</v>
      </c>
      <c r="V198" s="81">
        <f>HLOOKUP(O198,データについて!$J$9:$M$18,10,FALSE)</f>
        <v>1</v>
      </c>
      <c r="W198" s="81">
        <f>HLOOKUP(P198,データについて!$J$10:$M$18,9,FALSE)</f>
        <v>2</v>
      </c>
      <c r="X198" s="81">
        <f>HLOOKUP(Q198,データについて!$J$11:$M$18,8,FALSE)</f>
        <v>1</v>
      </c>
      <c r="Y198" s="81">
        <f>HLOOKUP(R198,データについて!$J$12:$M$18,7,FALSE)</f>
        <v>2</v>
      </c>
      <c r="Z198" s="81">
        <f>HLOOKUP(I198,データについて!$J$3:$M$18,16,FALSE)</f>
        <v>2</v>
      </c>
      <c r="AA198" s="81" t="str">
        <f>IFERROR(HLOOKUP(J198,データについて!$J$4:$AH$19,16,FALSE),"")</f>
        <v/>
      </c>
      <c r="AB198" s="81">
        <f>IFERROR(HLOOKUP(K198,データについて!$J$5:$AH$20,14,FALSE),"")</f>
        <v>1</v>
      </c>
      <c r="AC198" s="81">
        <f>IF(X198=1,HLOOKUP(R198,データについて!$J$12:$M$18,7,FALSE),"*")</f>
        <v>2</v>
      </c>
      <c r="AD198" s="81" t="str">
        <f>IF(X198=2,HLOOKUP(R198,データについて!$J$12:$M$18,7,FALSE),"*")</f>
        <v>*</v>
      </c>
    </row>
    <row r="199" spans="1:30">
      <c r="A199" s="30">
        <v>4993</v>
      </c>
      <c r="B199" s="30" t="s">
        <v>4637</v>
      </c>
      <c r="C199" s="30" t="s">
        <v>4638</v>
      </c>
      <c r="D199" s="30" t="s">
        <v>106</v>
      </c>
      <c r="E199" s="30"/>
      <c r="F199" s="30" t="s">
        <v>107</v>
      </c>
      <c r="G199" s="30" t="s">
        <v>106</v>
      </c>
      <c r="H199" s="30"/>
      <c r="I199" s="30" t="s">
        <v>191</v>
      </c>
      <c r="J199" s="30"/>
      <c r="K199" s="30" t="s">
        <v>4342</v>
      </c>
      <c r="L199" s="30" t="s">
        <v>108</v>
      </c>
      <c r="M199" s="30" t="s">
        <v>113</v>
      </c>
      <c r="N199" s="30" t="s">
        <v>114</v>
      </c>
      <c r="O199" s="30" t="s">
        <v>115</v>
      </c>
      <c r="P199" s="30" t="s">
        <v>118</v>
      </c>
      <c r="Q199" s="30" t="s">
        <v>112</v>
      </c>
      <c r="R199" s="30" t="s">
        <v>183</v>
      </c>
      <c r="S199" s="81">
        <f>HLOOKUP(L199,データについて!$J$6:$M$18,13,FALSE)</f>
        <v>1</v>
      </c>
      <c r="T199" s="81">
        <f>HLOOKUP(M199,データについて!$J$7:$M$18,12,FALSE)</f>
        <v>1</v>
      </c>
      <c r="U199" s="81">
        <f>HLOOKUP(N199,データについて!$J$8:$M$18,11,FALSE)</f>
        <v>1</v>
      </c>
      <c r="V199" s="81">
        <f>HLOOKUP(O199,データについて!$J$9:$M$18,10,FALSE)</f>
        <v>1</v>
      </c>
      <c r="W199" s="81">
        <f>HLOOKUP(P199,データについて!$J$10:$M$18,9,FALSE)</f>
        <v>2</v>
      </c>
      <c r="X199" s="81">
        <f>HLOOKUP(Q199,データについて!$J$11:$M$18,8,FALSE)</f>
        <v>1</v>
      </c>
      <c r="Y199" s="81">
        <f>HLOOKUP(R199,データについて!$J$12:$M$18,7,FALSE)</f>
        <v>1</v>
      </c>
      <c r="Z199" s="81">
        <f>HLOOKUP(I199,データについて!$J$3:$M$18,16,FALSE)</f>
        <v>2</v>
      </c>
      <c r="AA199" s="81" t="str">
        <f>IFERROR(HLOOKUP(J199,データについて!$J$4:$AH$19,16,FALSE),"")</f>
        <v/>
      </c>
      <c r="AB199" s="81">
        <f>IFERROR(HLOOKUP(K199,データについて!$J$5:$AH$20,14,FALSE),"")</f>
        <v>1</v>
      </c>
      <c r="AC199" s="81">
        <f>IF(X199=1,HLOOKUP(R199,データについて!$J$12:$M$18,7,FALSE),"*")</f>
        <v>1</v>
      </c>
      <c r="AD199" s="81" t="str">
        <f>IF(X199=2,HLOOKUP(R199,データについて!$J$12:$M$18,7,FALSE),"*")</f>
        <v>*</v>
      </c>
    </row>
    <row r="200" spans="1:30">
      <c r="A200" s="30">
        <v>4992</v>
      </c>
      <c r="B200" s="30" t="s">
        <v>4639</v>
      </c>
      <c r="C200" s="30" t="s">
        <v>4640</v>
      </c>
      <c r="D200" s="30" t="s">
        <v>106</v>
      </c>
      <c r="E200" s="30"/>
      <c r="F200" s="30" t="s">
        <v>107</v>
      </c>
      <c r="G200" s="30" t="s">
        <v>106</v>
      </c>
      <c r="H200" s="30"/>
      <c r="I200" s="30" t="s">
        <v>191</v>
      </c>
      <c r="J200" s="30"/>
      <c r="K200" s="30" t="s">
        <v>4342</v>
      </c>
      <c r="L200" s="30" t="s">
        <v>108</v>
      </c>
      <c r="M200" s="30" t="s">
        <v>124</v>
      </c>
      <c r="N200" s="30" t="s">
        <v>110</v>
      </c>
      <c r="O200" s="30" t="s">
        <v>115</v>
      </c>
      <c r="P200" s="30" t="s">
        <v>112</v>
      </c>
      <c r="Q200" s="30" t="s">
        <v>118</v>
      </c>
      <c r="R200" s="30" t="s">
        <v>183</v>
      </c>
      <c r="S200" s="81">
        <f>HLOOKUP(L200,データについて!$J$6:$M$18,13,FALSE)</f>
        <v>1</v>
      </c>
      <c r="T200" s="81">
        <f>HLOOKUP(M200,データについて!$J$7:$M$18,12,FALSE)</f>
        <v>3</v>
      </c>
      <c r="U200" s="81">
        <f>HLOOKUP(N200,データについて!$J$8:$M$18,11,FALSE)</f>
        <v>2</v>
      </c>
      <c r="V200" s="81">
        <f>HLOOKUP(O200,データについて!$J$9:$M$18,10,FALSE)</f>
        <v>1</v>
      </c>
      <c r="W200" s="81">
        <f>HLOOKUP(P200,データについて!$J$10:$M$18,9,FALSE)</f>
        <v>1</v>
      </c>
      <c r="X200" s="81">
        <f>HLOOKUP(Q200,データについて!$J$11:$M$18,8,FALSE)</f>
        <v>2</v>
      </c>
      <c r="Y200" s="81">
        <f>HLOOKUP(R200,データについて!$J$12:$M$18,7,FALSE)</f>
        <v>1</v>
      </c>
      <c r="Z200" s="81">
        <f>HLOOKUP(I200,データについて!$J$3:$M$18,16,FALSE)</f>
        <v>2</v>
      </c>
      <c r="AA200" s="81" t="str">
        <f>IFERROR(HLOOKUP(J200,データについて!$J$4:$AH$19,16,FALSE),"")</f>
        <v/>
      </c>
      <c r="AB200" s="81">
        <f>IFERROR(HLOOKUP(K200,データについて!$J$5:$AH$20,14,FALSE),"")</f>
        <v>1</v>
      </c>
      <c r="AC200" s="81" t="str">
        <f>IF(X200=1,HLOOKUP(R200,データについて!$J$12:$M$18,7,FALSE),"*")</f>
        <v>*</v>
      </c>
      <c r="AD200" s="81">
        <f>IF(X200=2,HLOOKUP(R200,データについて!$J$12:$M$18,7,FALSE),"*")</f>
        <v>1</v>
      </c>
    </row>
    <row r="201" spans="1:30">
      <c r="A201" s="30">
        <v>4991</v>
      </c>
      <c r="B201" s="30" t="s">
        <v>4641</v>
      </c>
      <c r="C201" s="30" t="s">
        <v>4642</v>
      </c>
      <c r="D201" s="30" t="s">
        <v>106</v>
      </c>
      <c r="E201" s="30"/>
      <c r="F201" s="30" t="s">
        <v>107</v>
      </c>
      <c r="G201" s="30" t="s">
        <v>106</v>
      </c>
      <c r="H201" s="30"/>
      <c r="I201" s="30" t="s">
        <v>191</v>
      </c>
      <c r="J201" s="30"/>
      <c r="K201" s="30" t="s">
        <v>4342</v>
      </c>
      <c r="L201" s="30" t="s">
        <v>120</v>
      </c>
      <c r="M201" s="30" t="s">
        <v>109</v>
      </c>
      <c r="N201" s="30" t="s">
        <v>110</v>
      </c>
      <c r="O201" s="30" t="s">
        <v>111</v>
      </c>
      <c r="P201" s="30" t="s">
        <v>112</v>
      </c>
      <c r="Q201" s="30" t="s">
        <v>118</v>
      </c>
      <c r="R201" s="30" t="s">
        <v>185</v>
      </c>
      <c r="S201" s="81">
        <f>HLOOKUP(L201,データについて!$J$6:$M$18,13,FALSE)</f>
        <v>3</v>
      </c>
      <c r="T201" s="81">
        <f>HLOOKUP(M201,データについて!$J$7:$M$18,12,FALSE)</f>
        <v>2</v>
      </c>
      <c r="U201" s="81">
        <f>HLOOKUP(N201,データについて!$J$8:$M$18,11,FALSE)</f>
        <v>2</v>
      </c>
      <c r="V201" s="81">
        <f>HLOOKUP(O201,データについて!$J$9:$M$18,10,FALSE)</f>
        <v>3</v>
      </c>
      <c r="W201" s="81">
        <f>HLOOKUP(P201,データについて!$J$10:$M$18,9,FALSE)</f>
        <v>1</v>
      </c>
      <c r="X201" s="81">
        <f>HLOOKUP(Q201,データについて!$J$11:$M$18,8,FALSE)</f>
        <v>2</v>
      </c>
      <c r="Y201" s="81">
        <f>HLOOKUP(R201,データについて!$J$12:$M$18,7,FALSE)</f>
        <v>2</v>
      </c>
      <c r="Z201" s="81">
        <f>HLOOKUP(I201,データについて!$J$3:$M$18,16,FALSE)</f>
        <v>2</v>
      </c>
      <c r="AA201" s="81" t="str">
        <f>IFERROR(HLOOKUP(J201,データについて!$J$4:$AH$19,16,FALSE),"")</f>
        <v/>
      </c>
      <c r="AB201" s="81">
        <f>IFERROR(HLOOKUP(K201,データについて!$J$5:$AH$20,14,FALSE),"")</f>
        <v>1</v>
      </c>
      <c r="AC201" s="81" t="str">
        <f>IF(X201=1,HLOOKUP(R201,データについて!$J$12:$M$18,7,FALSE),"*")</f>
        <v>*</v>
      </c>
      <c r="AD201" s="81">
        <f>IF(X201=2,HLOOKUP(R201,データについて!$J$12:$M$18,7,FALSE),"*")</f>
        <v>2</v>
      </c>
    </row>
    <row r="202" spans="1:30">
      <c r="A202" s="30">
        <v>4990</v>
      </c>
      <c r="B202" s="30" t="s">
        <v>4643</v>
      </c>
      <c r="C202" s="30" t="s">
        <v>4644</v>
      </c>
      <c r="D202" s="30" t="s">
        <v>106</v>
      </c>
      <c r="E202" s="30"/>
      <c r="F202" s="30" t="s">
        <v>107</v>
      </c>
      <c r="G202" s="30" t="s">
        <v>106</v>
      </c>
      <c r="H202" s="30"/>
      <c r="I202" s="30" t="s">
        <v>191</v>
      </c>
      <c r="J202" s="30"/>
      <c r="K202" s="30" t="s">
        <v>4342</v>
      </c>
      <c r="L202" s="30" t="s">
        <v>108</v>
      </c>
      <c r="M202" s="30" t="s">
        <v>113</v>
      </c>
      <c r="N202" s="30" t="s">
        <v>110</v>
      </c>
      <c r="O202" s="30" t="s">
        <v>115</v>
      </c>
      <c r="P202" s="30" t="s">
        <v>112</v>
      </c>
      <c r="Q202" s="30" t="s">
        <v>112</v>
      </c>
      <c r="R202" s="30" t="s">
        <v>185</v>
      </c>
      <c r="S202" s="81">
        <f>HLOOKUP(L202,データについて!$J$6:$M$18,13,FALSE)</f>
        <v>1</v>
      </c>
      <c r="T202" s="81">
        <f>HLOOKUP(M202,データについて!$J$7:$M$18,12,FALSE)</f>
        <v>1</v>
      </c>
      <c r="U202" s="81">
        <f>HLOOKUP(N202,データについて!$J$8:$M$18,11,FALSE)</f>
        <v>2</v>
      </c>
      <c r="V202" s="81">
        <f>HLOOKUP(O202,データについて!$J$9:$M$18,10,FALSE)</f>
        <v>1</v>
      </c>
      <c r="W202" s="81">
        <f>HLOOKUP(P202,データについて!$J$10:$M$18,9,FALSE)</f>
        <v>1</v>
      </c>
      <c r="X202" s="81">
        <f>HLOOKUP(Q202,データについて!$J$11:$M$18,8,FALSE)</f>
        <v>1</v>
      </c>
      <c r="Y202" s="81">
        <f>HLOOKUP(R202,データについて!$J$12:$M$18,7,FALSE)</f>
        <v>2</v>
      </c>
      <c r="Z202" s="81">
        <f>HLOOKUP(I202,データについて!$J$3:$M$18,16,FALSE)</f>
        <v>2</v>
      </c>
      <c r="AA202" s="81" t="str">
        <f>IFERROR(HLOOKUP(J202,データについて!$J$4:$AH$19,16,FALSE),"")</f>
        <v/>
      </c>
      <c r="AB202" s="81">
        <f>IFERROR(HLOOKUP(K202,データについて!$J$5:$AH$20,14,FALSE),"")</f>
        <v>1</v>
      </c>
      <c r="AC202" s="81">
        <f>IF(X202=1,HLOOKUP(R202,データについて!$J$12:$M$18,7,FALSE),"*")</f>
        <v>2</v>
      </c>
      <c r="AD202" s="81" t="str">
        <f>IF(X202=2,HLOOKUP(R202,データについて!$J$12:$M$18,7,FALSE),"*")</f>
        <v>*</v>
      </c>
    </row>
    <row r="203" spans="1:30">
      <c r="A203" s="30">
        <v>4989</v>
      </c>
      <c r="B203" s="30" t="s">
        <v>4645</v>
      </c>
      <c r="C203" s="30" t="s">
        <v>4646</v>
      </c>
      <c r="D203" s="30" t="s">
        <v>106</v>
      </c>
      <c r="E203" s="30"/>
      <c r="F203" s="30" t="s">
        <v>107</v>
      </c>
      <c r="G203" s="30" t="s">
        <v>106</v>
      </c>
      <c r="H203" s="30"/>
      <c r="I203" s="30" t="s">
        <v>191</v>
      </c>
      <c r="J203" s="30"/>
      <c r="K203" s="30" t="s">
        <v>4342</v>
      </c>
      <c r="L203" s="30" t="s">
        <v>108</v>
      </c>
      <c r="M203" s="30" t="s">
        <v>113</v>
      </c>
      <c r="N203" s="30" t="s">
        <v>114</v>
      </c>
      <c r="O203" s="30" t="s">
        <v>115</v>
      </c>
      <c r="P203" s="30" t="s">
        <v>112</v>
      </c>
      <c r="Q203" s="30" t="s">
        <v>112</v>
      </c>
      <c r="R203" s="30" t="s">
        <v>185</v>
      </c>
      <c r="S203" s="81">
        <f>HLOOKUP(L203,データについて!$J$6:$M$18,13,FALSE)</f>
        <v>1</v>
      </c>
      <c r="T203" s="81">
        <f>HLOOKUP(M203,データについて!$J$7:$M$18,12,FALSE)</f>
        <v>1</v>
      </c>
      <c r="U203" s="81">
        <f>HLOOKUP(N203,データについて!$J$8:$M$18,11,FALSE)</f>
        <v>1</v>
      </c>
      <c r="V203" s="81">
        <f>HLOOKUP(O203,データについて!$J$9:$M$18,10,FALSE)</f>
        <v>1</v>
      </c>
      <c r="W203" s="81">
        <f>HLOOKUP(P203,データについて!$J$10:$M$18,9,FALSE)</f>
        <v>1</v>
      </c>
      <c r="X203" s="81">
        <f>HLOOKUP(Q203,データについて!$J$11:$M$18,8,FALSE)</f>
        <v>1</v>
      </c>
      <c r="Y203" s="81">
        <f>HLOOKUP(R203,データについて!$J$12:$M$18,7,FALSE)</f>
        <v>2</v>
      </c>
      <c r="Z203" s="81">
        <f>HLOOKUP(I203,データについて!$J$3:$M$18,16,FALSE)</f>
        <v>2</v>
      </c>
      <c r="AA203" s="81" t="str">
        <f>IFERROR(HLOOKUP(J203,データについて!$J$4:$AH$19,16,FALSE),"")</f>
        <v/>
      </c>
      <c r="AB203" s="81">
        <f>IFERROR(HLOOKUP(K203,データについて!$J$5:$AH$20,14,FALSE),"")</f>
        <v>1</v>
      </c>
      <c r="AC203" s="81">
        <f>IF(X203=1,HLOOKUP(R203,データについて!$J$12:$M$18,7,FALSE),"*")</f>
        <v>2</v>
      </c>
      <c r="AD203" s="81" t="str">
        <f>IF(X203=2,HLOOKUP(R203,データについて!$J$12:$M$18,7,FALSE),"*")</f>
        <v>*</v>
      </c>
    </row>
    <row r="204" spans="1:30">
      <c r="A204" s="30">
        <v>4988</v>
      </c>
      <c r="B204" s="30" t="s">
        <v>4647</v>
      </c>
      <c r="C204" s="30" t="s">
        <v>4648</v>
      </c>
      <c r="D204" s="30" t="s">
        <v>106</v>
      </c>
      <c r="E204" s="30"/>
      <c r="F204" s="30" t="s">
        <v>107</v>
      </c>
      <c r="G204" s="30" t="s">
        <v>106</v>
      </c>
      <c r="H204" s="30"/>
      <c r="I204" s="30" t="s">
        <v>191</v>
      </c>
      <c r="J204" s="30"/>
      <c r="K204" s="30" t="s">
        <v>4342</v>
      </c>
      <c r="L204" s="30" t="s">
        <v>117</v>
      </c>
      <c r="M204" s="30" t="s">
        <v>109</v>
      </c>
      <c r="N204" s="30" t="s">
        <v>119</v>
      </c>
      <c r="O204" s="30" t="s">
        <v>115</v>
      </c>
      <c r="P204" s="30" t="s">
        <v>118</v>
      </c>
      <c r="Q204" s="30" t="s">
        <v>118</v>
      </c>
      <c r="R204" s="30" t="s">
        <v>189</v>
      </c>
      <c r="S204" s="81">
        <f>HLOOKUP(L204,データについて!$J$6:$M$18,13,FALSE)</f>
        <v>2</v>
      </c>
      <c r="T204" s="81">
        <f>HLOOKUP(M204,データについて!$J$7:$M$18,12,FALSE)</f>
        <v>2</v>
      </c>
      <c r="U204" s="81">
        <f>HLOOKUP(N204,データについて!$J$8:$M$18,11,FALSE)</f>
        <v>4</v>
      </c>
      <c r="V204" s="81">
        <f>HLOOKUP(O204,データについて!$J$9:$M$18,10,FALSE)</f>
        <v>1</v>
      </c>
      <c r="W204" s="81">
        <f>HLOOKUP(P204,データについて!$J$10:$M$18,9,FALSE)</f>
        <v>2</v>
      </c>
      <c r="X204" s="81">
        <f>HLOOKUP(Q204,データについて!$J$11:$M$18,8,FALSE)</f>
        <v>2</v>
      </c>
      <c r="Y204" s="81">
        <f>HLOOKUP(R204,データについて!$J$12:$M$18,7,FALSE)</f>
        <v>4</v>
      </c>
      <c r="Z204" s="81">
        <f>HLOOKUP(I204,データについて!$J$3:$M$18,16,FALSE)</f>
        <v>2</v>
      </c>
      <c r="AA204" s="81" t="str">
        <f>IFERROR(HLOOKUP(J204,データについて!$J$4:$AH$19,16,FALSE),"")</f>
        <v/>
      </c>
      <c r="AB204" s="81">
        <f>IFERROR(HLOOKUP(K204,データについて!$J$5:$AH$20,14,FALSE),"")</f>
        <v>1</v>
      </c>
      <c r="AC204" s="81" t="str">
        <f>IF(X204=1,HLOOKUP(R204,データについて!$J$12:$M$18,7,FALSE),"*")</f>
        <v>*</v>
      </c>
      <c r="AD204" s="81">
        <f>IF(X204=2,HLOOKUP(R204,データについて!$J$12:$M$18,7,FALSE),"*")</f>
        <v>4</v>
      </c>
    </row>
    <row r="205" spans="1:30">
      <c r="A205" s="30">
        <v>4987</v>
      </c>
      <c r="B205" s="30" t="s">
        <v>4649</v>
      </c>
      <c r="C205" s="30" t="s">
        <v>4650</v>
      </c>
      <c r="D205" s="30" t="s">
        <v>106</v>
      </c>
      <c r="E205" s="30"/>
      <c r="F205" s="30" t="s">
        <v>107</v>
      </c>
      <c r="G205" s="30" t="s">
        <v>106</v>
      </c>
      <c r="H205" s="30"/>
      <c r="I205" s="30" t="s">
        <v>191</v>
      </c>
      <c r="J205" s="30"/>
      <c r="K205" s="30" t="s">
        <v>4342</v>
      </c>
      <c r="L205" s="30" t="s">
        <v>108</v>
      </c>
      <c r="M205" s="30" t="s">
        <v>113</v>
      </c>
      <c r="N205" s="30" t="s">
        <v>110</v>
      </c>
      <c r="O205" s="30" t="s">
        <v>115</v>
      </c>
      <c r="P205" s="30" t="s">
        <v>118</v>
      </c>
      <c r="Q205" s="30" t="s">
        <v>112</v>
      </c>
      <c r="R205" s="30" t="s">
        <v>183</v>
      </c>
      <c r="S205" s="81">
        <f>HLOOKUP(L205,データについて!$J$6:$M$18,13,FALSE)</f>
        <v>1</v>
      </c>
      <c r="T205" s="81">
        <f>HLOOKUP(M205,データについて!$J$7:$M$18,12,FALSE)</f>
        <v>1</v>
      </c>
      <c r="U205" s="81">
        <f>HLOOKUP(N205,データについて!$J$8:$M$18,11,FALSE)</f>
        <v>2</v>
      </c>
      <c r="V205" s="81">
        <f>HLOOKUP(O205,データについて!$J$9:$M$18,10,FALSE)</f>
        <v>1</v>
      </c>
      <c r="W205" s="81">
        <f>HLOOKUP(P205,データについて!$J$10:$M$18,9,FALSE)</f>
        <v>2</v>
      </c>
      <c r="X205" s="81">
        <f>HLOOKUP(Q205,データについて!$J$11:$M$18,8,FALSE)</f>
        <v>1</v>
      </c>
      <c r="Y205" s="81">
        <f>HLOOKUP(R205,データについて!$J$12:$M$18,7,FALSE)</f>
        <v>1</v>
      </c>
      <c r="Z205" s="81">
        <f>HLOOKUP(I205,データについて!$J$3:$M$18,16,FALSE)</f>
        <v>2</v>
      </c>
      <c r="AA205" s="81" t="str">
        <f>IFERROR(HLOOKUP(J205,データについて!$J$4:$AH$19,16,FALSE),"")</f>
        <v/>
      </c>
      <c r="AB205" s="81">
        <f>IFERROR(HLOOKUP(K205,データについて!$J$5:$AH$20,14,FALSE),"")</f>
        <v>1</v>
      </c>
      <c r="AC205" s="81">
        <f>IF(X205=1,HLOOKUP(R205,データについて!$J$12:$M$18,7,FALSE),"*")</f>
        <v>1</v>
      </c>
      <c r="AD205" s="81" t="str">
        <f>IF(X205=2,HLOOKUP(R205,データについて!$J$12:$M$18,7,FALSE),"*")</f>
        <v>*</v>
      </c>
    </row>
    <row r="206" spans="1:30">
      <c r="A206" s="30">
        <v>4986</v>
      </c>
      <c r="B206" s="30" t="s">
        <v>4651</v>
      </c>
      <c r="C206" s="30" t="s">
        <v>4652</v>
      </c>
      <c r="D206" s="30" t="s">
        <v>106</v>
      </c>
      <c r="E206" s="30"/>
      <c r="F206" s="30" t="s">
        <v>107</v>
      </c>
      <c r="G206" s="30" t="s">
        <v>106</v>
      </c>
      <c r="H206" s="30"/>
      <c r="I206" s="30" t="s">
        <v>191</v>
      </c>
      <c r="J206" s="30"/>
      <c r="K206" s="30" t="s">
        <v>4342</v>
      </c>
      <c r="L206" s="30" t="s">
        <v>117</v>
      </c>
      <c r="M206" s="30" t="s">
        <v>113</v>
      </c>
      <c r="N206" s="30" t="s">
        <v>110</v>
      </c>
      <c r="O206" s="30" t="s">
        <v>115</v>
      </c>
      <c r="P206" s="30" t="s">
        <v>118</v>
      </c>
      <c r="Q206" s="30" t="s">
        <v>112</v>
      </c>
      <c r="R206" s="30" t="s">
        <v>183</v>
      </c>
      <c r="S206" s="81">
        <f>HLOOKUP(L206,データについて!$J$6:$M$18,13,FALSE)</f>
        <v>2</v>
      </c>
      <c r="T206" s="81">
        <f>HLOOKUP(M206,データについて!$J$7:$M$18,12,FALSE)</f>
        <v>1</v>
      </c>
      <c r="U206" s="81">
        <f>HLOOKUP(N206,データについて!$J$8:$M$18,11,FALSE)</f>
        <v>2</v>
      </c>
      <c r="V206" s="81">
        <f>HLOOKUP(O206,データについて!$J$9:$M$18,10,FALSE)</f>
        <v>1</v>
      </c>
      <c r="W206" s="81">
        <f>HLOOKUP(P206,データについて!$J$10:$M$18,9,FALSE)</f>
        <v>2</v>
      </c>
      <c r="X206" s="81">
        <f>HLOOKUP(Q206,データについて!$J$11:$M$18,8,FALSE)</f>
        <v>1</v>
      </c>
      <c r="Y206" s="81">
        <f>HLOOKUP(R206,データについて!$J$12:$M$18,7,FALSE)</f>
        <v>1</v>
      </c>
      <c r="Z206" s="81">
        <f>HLOOKUP(I206,データについて!$J$3:$M$18,16,FALSE)</f>
        <v>2</v>
      </c>
      <c r="AA206" s="81" t="str">
        <f>IFERROR(HLOOKUP(J206,データについて!$J$4:$AH$19,16,FALSE),"")</f>
        <v/>
      </c>
      <c r="AB206" s="81">
        <f>IFERROR(HLOOKUP(K206,データについて!$J$5:$AH$20,14,FALSE),"")</f>
        <v>1</v>
      </c>
      <c r="AC206" s="81">
        <f>IF(X206=1,HLOOKUP(R206,データについて!$J$12:$M$18,7,FALSE),"*")</f>
        <v>1</v>
      </c>
      <c r="AD206" s="81" t="str">
        <f>IF(X206=2,HLOOKUP(R206,データについて!$J$12:$M$18,7,FALSE),"*")</f>
        <v>*</v>
      </c>
    </row>
    <row r="207" spans="1:30">
      <c r="A207" s="30">
        <v>4985</v>
      </c>
      <c r="B207" s="30" t="s">
        <v>4653</v>
      </c>
      <c r="C207" s="30" t="s">
        <v>4654</v>
      </c>
      <c r="D207" s="30" t="s">
        <v>106</v>
      </c>
      <c r="E207" s="30"/>
      <c r="F207" s="30" t="s">
        <v>107</v>
      </c>
      <c r="G207" s="30" t="s">
        <v>106</v>
      </c>
      <c r="H207" s="30"/>
      <c r="I207" s="30" t="s">
        <v>191</v>
      </c>
      <c r="J207" s="30"/>
      <c r="K207" s="30" t="s">
        <v>4342</v>
      </c>
      <c r="L207" s="30" t="s">
        <v>117</v>
      </c>
      <c r="M207" s="30" t="s">
        <v>113</v>
      </c>
      <c r="N207" s="30" t="s">
        <v>110</v>
      </c>
      <c r="O207" s="30" t="s">
        <v>115</v>
      </c>
      <c r="P207" s="30" t="s">
        <v>118</v>
      </c>
      <c r="Q207" s="30" t="s">
        <v>112</v>
      </c>
      <c r="R207" s="30" t="s">
        <v>185</v>
      </c>
      <c r="S207" s="81">
        <f>HLOOKUP(L207,データについて!$J$6:$M$18,13,FALSE)</f>
        <v>2</v>
      </c>
      <c r="T207" s="81">
        <f>HLOOKUP(M207,データについて!$J$7:$M$18,12,FALSE)</f>
        <v>1</v>
      </c>
      <c r="U207" s="81">
        <f>HLOOKUP(N207,データについて!$J$8:$M$18,11,FALSE)</f>
        <v>2</v>
      </c>
      <c r="V207" s="81">
        <f>HLOOKUP(O207,データについて!$J$9:$M$18,10,FALSE)</f>
        <v>1</v>
      </c>
      <c r="W207" s="81">
        <f>HLOOKUP(P207,データについて!$J$10:$M$18,9,FALSE)</f>
        <v>2</v>
      </c>
      <c r="X207" s="81">
        <f>HLOOKUP(Q207,データについて!$J$11:$M$18,8,FALSE)</f>
        <v>1</v>
      </c>
      <c r="Y207" s="81">
        <f>HLOOKUP(R207,データについて!$J$12:$M$18,7,FALSE)</f>
        <v>2</v>
      </c>
      <c r="Z207" s="81">
        <f>HLOOKUP(I207,データについて!$J$3:$M$18,16,FALSE)</f>
        <v>2</v>
      </c>
      <c r="AA207" s="81" t="str">
        <f>IFERROR(HLOOKUP(J207,データについて!$J$4:$AH$19,16,FALSE),"")</f>
        <v/>
      </c>
      <c r="AB207" s="81">
        <f>IFERROR(HLOOKUP(K207,データについて!$J$5:$AH$20,14,FALSE),"")</f>
        <v>1</v>
      </c>
      <c r="AC207" s="81">
        <f>IF(X207=1,HLOOKUP(R207,データについて!$J$12:$M$18,7,FALSE),"*")</f>
        <v>2</v>
      </c>
      <c r="AD207" s="81" t="str">
        <f>IF(X207=2,HLOOKUP(R207,データについて!$J$12:$M$18,7,FALSE),"*")</f>
        <v>*</v>
      </c>
    </row>
    <row r="208" spans="1:30">
      <c r="A208" s="30">
        <v>4984</v>
      </c>
      <c r="B208" s="30" t="s">
        <v>4655</v>
      </c>
      <c r="C208" s="30" t="s">
        <v>4656</v>
      </c>
      <c r="D208" s="30" t="s">
        <v>106</v>
      </c>
      <c r="E208" s="30"/>
      <c r="F208" s="30" t="s">
        <v>107</v>
      </c>
      <c r="G208" s="30" t="s">
        <v>106</v>
      </c>
      <c r="H208" s="30"/>
      <c r="I208" s="30" t="s">
        <v>191</v>
      </c>
      <c r="J208" s="30"/>
      <c r="K208" s="30" t="s">
        <v>4342</v>
      </c>
      <c r="L208" s="30" t="s">
        <v>117</v>
      </c>
      <c r="M208" s="30" t="s">
        <v>109</v>
      </c>
      <c r="N208" s="30" t="s">
        <v>110</v>
      </c>
      <c r="O208" s="30" t="s">
        <v>115</v>
      </c>
      <c r="P208" s="30" t="s">
        <v>112</v>
      </c>
      <c r="Q208" s="30" t="s">
        <v>112</v>
      </c>
      <c r="R208" s="30" t="s">
        <v>185</v>
      </c>
      <c r="S208" s="81">
        <f>HLOOKUP(L208,データについて!$J$6:$M$18,13,FALSE)</f>
        <v>2</v>
      </c>
      <c r="T208" s="81">
        <f>HLOOKUP(M208,データについて!$J$7:$M$18,12,FALSE)</f>
        <v>2</v>
      </c>
      <c r="U208" s="81">
        <f>HLOOKUP(N208,データについて!$J$8:$M$18,11,FALSE)</f>
        <v>2</v>
      </c>
      <c r="V208" s="81">
        <f>HLOOKUP(O208,データについて!$J$9:$M$18,10,FALSE)</f>
        <v>1</v>
      </c>
      <c r="W208" s="81">
        <f>HLOOKUP(P208,データについて!$J$10:$M$18,9,FALSE)</f>
        <v>1</v>
      </c>
      <c r="X208" s="81">
        <f>HLOOKUP(Q208,データについて!$J$11:$M$18,8,FALSE)</f>
        <v>1</v>
      </c>
      <c r="Y208" s="81">
        <f>HLOOKUP(R208,データについて!$J$12:$M$18,7,FALSE)</f>
        <v>2</v>
      </c>
      <c r="Z208" s="81">
        <f>HLOOKUP(I208,データについて!$J$3:$M$18,16,FALSE)</f>
        <v>2</v>
      </c>
      <c r="AA208" s="81" t="str">
        <f>IFERROR(HLOOKUP(J208,データについて!$J$4:$AH$19,16,FALSE),"")</f>
        <v/>
      </c>
      <c r="AB208" s="81">
        <f>IFERROR(HLOOKUP(K208,データについて!$J$5:$AH$20,14,FALSE),"")</f>
        <v>1</v>
      </c>
      <c r="AC208" s="81">
        <f>IF(X208=1,HLOOKUP(R208,データについて!$J$12:$M$18,7,FALSE),"*")</f>
        <v>2</v>
      </c>
      <c r="AD208" s="81" t="str">
        <f>IF(X208=2,HLOOKUP(R208,データについて!$J$12:$M$18,7,FALSE),"*")</f>
        <v>*</v>
      </c>
    </row>
    <row r="209" spans="1:30">
      <c r="A209" s="30">
        <v>4983</v>
      </c>
      <c r="B209" s="30" t="s">
        <v>4657</v>
      </c>
      <c r="C209" s="30" t="s">
        <v>4658</v>
      </c>
      <c r="D209" s="30" t="s">
        <v>106</v>
      </c>
      <c r="E209" s="30"/>
      <c r="F209" s="30" t="s">
        <v>107</v>
      </c>
      <c r="G209" s="30" t="s">
        <v>106</v>
      </c>
      <c r="H209" s="30"/>
      <c r="I209" s="30" t="s">
        <v>191</v>
      </c>
      <c r="J209" s="30"/>
      <c r="K209" s="30" t="s">
        <v>4342</v>
      </c>
      <c r="L209" s="30" t="s">
        <v>108</v>
      </c>
      <c r="M209" s="30" t="s">
        <v>109</v>
      </c>
      <c r="N209" s="30" t="s">
        <v>110</v>
      </c>
      <c r="O209" s="30" t="s">
        <v>115</v>
      </c>
      <c r="P209" s="30" t="s">
        <v>112</v>
      </c>
      <c r="Q209" s="30" t="s">
        <v>112</v>
      </c>
      <c r="R209" s="30" t="s">
        <v>187</v>
      </c>
      <c r="S209" s="81">
        <f>HLOOKUP(L209,データについて!$J$6:$M$18,13,FALSE)</f>
        <v>1</v>
      </c>
      <c r="T209" s="81">
        <f>HLOOKUP(M209,データについて!$J$7:$M$18,12,FALSE)</f>
        <v>2</v>
      </c>
      <c r="U209" s="81">
        <f>HLOOKUP(N209,データについて!$J$8:$M$18,11,FALSE)</f>
        <v>2</v>
      </c>
      <c r="V209" s="81">
        <f>HLOOKUP(O209,データについて!$J$9:$M$18,10,FALSE)</f>
        <v>1</v>
      </c>
      <c r="W209" s="81">
        <f>HLOOKUP(P209,データについて!$J$10:$M$18,9,FALSE)</f>
        <v>1</v>
      </c>
      <c r="X209" s="81">
        <f>HLOOKUP(Q209,データについて!$J$11:$M$18,8,FALSE)</f>
        <v>1</v>
      </c>
      <c r="Y209" s="81">
        <f>HLOOKUP(R209,データについて!$J$12:$M$18,7,FALSE)</f>
        <v>3</v>
      </c>
      <c r="Z209" s="81">
        <f>HLOOKUP(I209,データについて!$J$3:$M$18,16,FALSE)</f>
        <v>2</v>
      </c>
      <c r="AA209" s="81" t="str">
        <f>IFERROR(HLOOKUP(J209,データについて!$J$4:$AH$19,16,FALSE),"")</f>
        <v/>
      </c>
      <c r="AB209" s="81">
        <f>IFERROR(HLOOKUP(K209,データについて!$J$5:$AH$20,14,FALSE),"")</f>
        <v>1</v>
      </c>
      <c r="AC209" s="81">
        <f>IF(X209=1,HLOOKUP(R209,データについて!$J$12:$M$18,7,FALSE),"*")</f>
        <v>3</v>
      </c>
      <c r="AD209" s="81" t="str">
        <f>IF(X209=2,HLOOKUP(R209,データについて!$J$12:$M$18,7,FALSE),"*")</f>
        <v>*</v>
      </c>
    </row>
    <row r="210" spans="1:30">
      <c r="A210" s="30">
        <v>4982</v>
      </c>
      <c r="B210" s="30" t="s">
        <v>4659</v>
      </c>
      <c r="C210" s="30" t="s">
        <v>4660</v>
      </c>
      <c r="D210" s="30" t="s">
        <v>106</v>
      </c>
      <c r="E210" s="30"/>
      <c r="F210" s="30" t="s">
        <v>107</v>
      </c>
      <c r="G210" s="30" t="s">
        <v>106</v>
      </c>
      <c r="H210" s="30"/>
      <c r="I210" s="30" t="s">
        <v>191</v>
      </c>
      <c r="J210" s="30"/>
      <c r="K210" s="30" t="s">
        <v>4342</v>
      </c>
      <c r="L210" s="30" t="s">
        <v>108</v>
      </c>
      <c r="M210" s="30" t="s">
        <v>113</v>
      </c>
      <c r="N210" s="30" t="s">
        <v>114</v>
      </c>
      <c r="O210" s="30" t="s">
        <v>115</v>
      </c>
      <c r="P210" s="30" t="s">
        <v>118</v>
      </c>
      <c r="Q210" s="30" t="s">
        <v>112</v>
      </c>
      <c r="R210" s="30" t="s">
        <v>183</v>
      </c>
      <c r="S210" s="81">
        <f>HLOOKUP(L210,データについて!$J$6:$M$18,13,FALSE)</f>
        <v>1</v>
      </c>
      <c r="T210" s="81">
        <f>HLOOKUP(M210,データについて!$J$7:$M$18,12,FALSE)</f>
        <v>1</v>
      </c>
      <c r="U210" s="81">
        <f>HLOOKUP(N210,データについて!$J$8:$M$18,11,FALSE)</f>
        <v>1</v>
      </c>
      <c r="V210" s="81">
        <f>HLOOKUP(O210,データについて!$J$9:$M$18,10,FALSE)</f>
        <v>1</v>
      </c>
      <c r="W210" s="81">
        <f>HLOOKUP(P210,データについて!$J$10:$M$18,9,FALSE)</f>
        <v>2</v>
      </c>
      <c r="X210" s="81">
        <f>HLOOKUP(Q210,データについて!$J$11:$M$18,8,FALSE)</f>
        <v>1</v>
      </c>
      <c r="Y210" s="81">
        <f>HLOOKUP(R210,データについて!$J$12:$M$18,7,FALSE)</f>
        <v>1</v>
      </c>
      <c r="Z210" s="81">
        <f>HLOOKUP(I210,データについて!$J$3:$M$18,16,FALSE)</f>
        <v>2</v>
      </c>
      <c r="AA210" s="81" t="str">
        <f>IFERROR(HLOOKUP(J210,データについて!$J$4:$AH$19,16,FALSE),"")</f>
        <v/>
      </c>
      <c r="AB210" s="81">
        <f>IFERROR(HLOOKUP(K210,データについて!$J$5:$AH$20,14,FALSE),"")</f>
        <v>1</v>
      </c>
      <c r="AC210" s="81">
        <f>IF(X210=1,HLOOKUP(R210,データについて!$J$12:$M$18,7,FALSE),"*")</f>
        <v>1</v>
      </c>
      <c r="AD210" s="81" t="str">
        <f>IF(X210=2,HLOOKUP(R210,データについて!$J$12:$M$18,7,FALSE),"*")</f>
        <v>*</v>
      </c>
    </row>
    <row r="211" spans="1:30">
      <c r="A211" s="30">
        <v>4981</v>
      </c>
      <c r="B211" s="30" t="s">
        <v>4661</v>
      </c>
      <c r="C211" s="30" t="s">
        <v>4662</v>
      </c>
      <c r="D211" s="30" t="s">
        <v>106</v>
      </c>
      <c r="E211" s="30"/>
      <c r="F211" s="30" t="s">
        <v>107</v>
      </c>
      <c r="G211" s="30" t="s">
        <v>106</v>
      </c>
      <c r="H211" s="30"/>
      <c r="I211" s="30" t="s">
        <v>191</v>
      </c>
      <c r="J211" s="30"/>
      <c r="K211" s="30" t="s">
        <v>4342</v>
      </c>
      <c r="L211" s="30" t="s">
        <v>108</v>
      </c>
      <c r="M211" s="30" t="s">
        <v>109</v>
      </c>
      <c r="N211" s="30" t="s">
        <v>110</v>
      </c>
      <c r="O211" s="30" t="s">
        <v>115</v>
      </c>
      <c r="P211" s="30" t="s">
        <v>112</v>
      </c>
      <c r="Q211" s="30" t="s">
        <v>112</v>
      </c>
      <c r="R211" s="30" t="s">
        <v>187</v>
      </c>
      <c r="S211" s="81">
        <f>HLOOKUP(L211,データについて!$J$6:$M$18,13,FALSE)</f>
        <v>1</v>
      </c>
      <c r="T211" s="81">
        <f>HLOOKUP(M211,データについて!$J$7:$M$18,12,FALSE)</f>
        <v>2</v>
      </c>
      <c r="U211" s="81">
        <f>HLOOKUP(N211,データについて!$J$8:$M$18,11,FALSE)</f>
        <v>2</v>
      </c>
      <c r="V211" s="81">
        <f>HLOOKUP(O211,データについて!$J$9:$M$18,10,FALSE)</f>
        <v>1</v>
      </c>
      <c r="W211" s="81">
        <f>HLOOKUP(P211,データについて!$J$10:$M$18,9,FALSE)</f>
        <v>1</v>
      </c>
      <c r="X211" s="81">
        <f>HLOOKUP(Q211,データについて!$J$11:$M$18,8,FALSE)</f>
        <v>1</v>
      </c>
      <c r="Y211" s="81">
        <f>HLOOKUP(R211,データについて!$J$12:$M$18,7,FALSE)</f>
        <v>3</v>
      </c>
      <c r="Z211" s="81">
        <f>HLOOKUP(I211,データについて!$J$3:$M$18,16,FALSE)</f>
        <v>2</v>
      </c>
      <c r="AA211" s="81" t="str">
        <f>IFERROR(HLOOKUP(J211,データについて!$J$4:$AH$19,16,FALSE),"")</f>
        <v/>
      </c>
      <c r="AB211" s="81">
        <f>IFERROR(HLOOKUP(K211,データについて!$J$5:$AH$20,14,FALSE),"")</f>
        <v>1</v>
      </c>
      <c r="AC211" s="81">
        <f>IF(X211=1,HLOOKUP(R211,データについて!$J$12:$M$18,7,FALSE),"*")</f>
        <v>3</v>
      </c>
      <c r="AD211" s="81" t="str">
        <f>IF(X211=2,HLOOKUP(R211,データについて!$J$12:$M$18,7,FALSE),"*")</f>
        <v>*</v>
      </c>
    </row>
    <row r="212" spans="1:30">
      <c r="A212" s="30">
        <v>4980</v>
      </c>
      <c r="B212" s="30" t="s">
        <v>4663</v>
      </c>
      <c r="C212" s="30" t="s">
        <v>4664</v>
      </c>
      <c r="D212" s="30" t="s">
        <v>106</v>
      </c>
      <c r="E212" s="30"/>
      <c r="F212" s="30" t="s">
        <v>107</v>
      </c>
      <c r="G212" s="30" t="s">
        <v>106</v>
      </c>
      <c r="H212" s="30"/>
      <c r="I212" s="30" t="s">
        <v>191</v>
      </c>
      <c r="J212" s="30"/>
      <c r="K212" s="30" t="s">
        <v>4342</v>
      </c>
      <c r="L212" s="30" t="s">
        <v>108</v>
      </c>
      <c r="M212" s="30" t="s">
        <v>113</v>
      </c>
      <c r="N212" s="30" t="s">
        <v>114</v>
      </c>
      <c r="O212" s="30" t="s">
        <v>115</v>
      </c>
      <c r="P212" s="30" t="s">
        <v>112</v>
      </c>
      <c r="Q212" s="30" t="s">
        <v>112</v>
      </c>
      <c r="R212" s="30" t="s">
        <v>183</v>
      </c>
      <c r="S212" s="81">
        <f>HLOOKUP(L212,データについて!$J$6:$M$18,13,FALSE)</f>
        <v>1</v>
      </c>
      <c r="T212" s="81">
        <f>HLOOKUP(M212,データについて!$J$7:$M$18,12,FALSE)</f>
        <v>1</v>
      </c>
      <c r="U212" s="81">
        <f>HLOOKUP(N212,データについて!$J$8:$M$18,11,FALSE)</f>
        <v>1</v>
      </c>
      <c r="V212" s="81">
        <f>HLOOKUP(O212,データについて!$J$9:$M$18,10,FALSE)</f>
        <v>1</v>
      </c>
      <c r="W212" s="81">
        <f>HLOOKUP(P212,データについて!$J$10:$M$18,9,FALSE)</f>
        <v>1</v>
      </c>
      <c r="X212" s="81">
        <f>HLOOKUP(Q212,データについて!$J$11:$M$18,8,FALSE)</f>
        <v>1</v>
      </c>
      <c r="Y212" s="81">
        <f>HLOOKUP(R212,データについて!$J$12:$M$18,7,FALSE)</f>
        <v>1</v>
      </c>
      <c r="Z212" s="81">
        <f>HLOOKUP(I212,データについて!$J$3:$M$18,16,FALSE)</f>
        <v>2</v>
      </c>
      <c r="AA212" s="81" t="str">
        <f>IFERROR(HLOOKUP(J212,データについて!$J$4:$AH$19,16,FALSE),"")</f>
        <v/>
      </c>
      <c r="AB212" s="81">
        <f>IFERROR(HLOOKUP(K212,データについて!$J$5:$AH$20,14,FALSE),"")</f>
        <v>1</v>
      </c>
      <c r="AC212" s="81">
        <f>IF(X212=1,HLOOKUP(R212,データについて!$J$12:$M$18,7,FALSE),"*")</f>
        <v>1</v>
      </c>
      <c r="AD212" s="81" t="str">
        <f>IF(X212=2,HLOOKUP(R212,データについて!$J$12:$M$18,7,FALSE),"*")</f>
        <v>*</v>
      </c>
    </row>
    <row r="213" spans="1:30">
      <c r="A213" s="30">
        <v>4979</v>
      </c>
      <c r="B213" s="30" t="s">
        <v>4665</v>
      </c>
      <c r="C213" s="30" t="s">
        <v>4666</v>
      </c>
      <c r="D213" s="30" t="s">
        <v>106</v>
      </c>
      <c r="E213" s="30"/>
      <c r="F213" s="30" t="s">
        <v>107</v>
      </c>
      <c r="G213" s="30" t="s">
        <v>106</v>
      </c>
      <c r="H213" s="30"/>
      <c r="I213" s="30" t="s">
        <v>191</v>
      </c>
      <c r="J213" s="30"/>
      <c r="K213" s="30" t="s">
        <v>4342</v>
      </c>
      <c r="L213" s="30" t="s">
        <v>117</v>
      </c>
      <c r="M213" s="30" t="s">
        <v>113</v>
      </c>
      <c r="N213" s="30" t="s">
        <v>114</v>
      </c>
      <c r="O213" s="30" t="s">
        <v>115</v>
      </c>
      <c r="P213" s="30" t="s">
        <v>112</v>
      </c>
      <c r="Q213" s="30" t="s">
        <v>112</v>
      </c>
      <c r="R213" s="30" t="s">
        <v>183</v>
      </c>
      <c r="S213" s="81">
        <f>HLOOKUP(L213,データについて!$J$6:$M$18,13,FALSE)</f>
        <v>2</v>
      </c>
      <c r="T213" s="81">
        <f>HLOOKUP(M213,データについて!$J$7:$M$18,12,FALSE)</f>
        <v>1</v>
      </c>
      <c r="U213" s="81">
        <f>HLOOKUP(N213,データについて!$J$8:$M$18,11,FALSE)</f>
        <v>1</v>
      </c>
      <c r="V213" s="81">
        <f>HLOOKUP(O213,データについて!$J$9:$M$18,10,FALSE)</f>
        <v>1</v>
      </c>
      <c r="W213" s="81">
        <f>HLOOKUP(P213,データについて!$J$10:$M$18,9,FALSE)</f>
        <v>1</v>
      </c>
      <c r="X213" s="81">
        <f>HLOOKUP(Q213,データについて!$J$11:$M$18,8,FALSE)</f>
        <v>1</v>
      </c>
      <c r="Y213" s="81">
        <f>HLOOKUP(R213,データについて!$J$12:$M$18,7,FALSE)</f>
        <v>1</v>
      </c>
      <c r="Z213" s="81">
        <f>HLOOKUP(I213,データについて!$J$3:$M$18,16,FALSE)</f>
        <v>2</v>
      </c>
      <c r="AA213" s="81" t="str">
        <f>IFERROR(HLOOKUP(J213,データについて!$J$4:$AH$19,16,FALSE),"")</f>
        <v/>
      </c>
      <c r="AB213" s="81">
        <f>IFERROR(HLOOKUP(K213,データについて!$J$5:$AH$20,14,FALSE),"")</f>
        <v>1</v>
      </c>
      <c r="AC213" s="81">
        <f>IF(X213=1,HLOOKUP(R213,データについて!$J$12:$M$18,7,FALSE),"*")</f>
        <v>1</v>
      </c>
      <c r="AD213" s="81" t="str">
        <f>IF(X213=2,HLOOKUP(R213,データについて!$J$12:$M$18,7,FALSE),"*")</f>
        <v>*</v>
      </c>
    </row>
    <row r="214" spans="1:30">
      <c r="A214" s="30">
        <v>4978</v>
      </c>
      <c r="B214" s="30" t="s">
        <v>4667</v>
      </c>
      <c r="C214" s="30" t="s">
        <v>4668</v>
      </c>
      <c r="D214" s="30" t="s">
        <v>106</v>
      </c>
      <c r="E214" s="30"/>
      <c r="F214" s="30" t="s">
        <v>107</v>
      </c>
      <c r="G214" s="30" t="s">
        <v>106</v>
      </c>
      <c r="H214" s="30"/>
      <c r="I214" s="30" t="s">
        <v>191</v>
      </c>
      <c r="J214" s="30"/>
      <c r="K214" s="30" t="s">
        <v>4342</v>
      </c>
      <c r="L214" s="30" t="s">
        <v>117</v>
      </c>
      <c r="M214" s="30" t="s">
        <v>113</v>
      </c>
      <c r="N214" s="30" t="s">
        <v>122</v>
      </c>
      <c r="O214" s="30" t="s">
        <v>115</v>
      </c>
      <c r="P214" s="30" t="s">
        <v>112</v>
      </c>
      <c r="Q214" s="30" t="s">
        <v>112</v>
      </c>
      <c r="R214" s="30" t="s">
        <v>183</v>
      </c>
      <c r="S214" s="81">
        <f>HLOOKUP(L214,データについて!$J$6:$M$18,13,FALSE)</f>
        <v>2</v>
      </c>
      <c r="T214" s="81">
        <f>HLOOKUP(M214,データについて!$J$7:$M$18,12,FALSE)</f>
        <v>1</v>
      </c>
      <c r="U214" s="81">
        <f>HLOOKUP(N214,データについて!$J$8:$M$18,11,FALSE)</f>
        <v>3</v>
      </c>
      <c r="V214" s="81">
        <f>HLOOKUP(O214,データについて!$J$9:$M$18,10,FALSE)</f>
        <v>1</v>
      </c>
      <c r="W214" s="81">
        <f>HLOOKUP(P214,データについて!$J$10:$M$18,9,FALSE)</f>
        <v>1</v>
      </c>
      <c r="X214" s="81">
        <f>HLOOKUP(Q214,データについて!$J$11:$M$18,8,FALSE)</f>
        <v>1</v>
      </c>
      <c r="Y214" s="81">
        <f>HLOOKUP(R214,データについて!$J$12:$M$18,7,FALSE)</f>
        <v>1</v>
      </c>
      <c r="Z214" s="81">
        <f>HLOOKUP(I214,データについて!$J$3:$M$18,16,FALSE)</f>
        <v>2</v>
      </c>
      <c r="AA214" s="81" t="str">
        <f>IFERROR(HLOOKUP(J214,データについて!$J$4:$AH$19,16,FALSE),"")</f>
        <v/>
      </c>
      <c r="AB214" s="81">
        <f>IFERROR(HLOOKUP(K214,データについて!$J$5:$AH$20,14,FALSE),"")</f>
        <v>1</v>
      </c>
      <c r="AC214" s="81">
        <f>IF(X214=1,HLOOKUP(R214,データについて!$J$12:$M$18,7,FALSE),"*")</f>
        <v>1</v>
      </c>
      <c r="AD214" s="81" t="str">
        <f>IF(X214=2,HLOOKUP(R214,データについて!$J$12:$M$18,7,FALSE),"*")</f>
        <v>*</v>
      </c>
    </row>
    <row r="215" spans="1:30">
      <c r="A215" s="30">
        <v>4977</v>
      </c>
      <c r="B215" s="30" t="s">
        <v>4669</v>
      </c>
      <c r="C215" s="30" t="s">
        <v>4670</v>
      </c>
      <c r="D215" s="30" t="s">
        <v>106</v>
      </c>
      <c r="E215" s="30"/>
      <c r="F215" s="30" t="s">
        <v>107</v>
      </c>
      <c r="G215" s="30" t="s">
        <v>106</v>
      </c>
      <c r="H215" s="30"/>
      <c r="I215" s="30" t="s">
        <v>191</v>
      </c>
      <c r="J215" s="30"/>
      <c r="K215" s="30" t="s">
        <v>4342</v>
      </c>
      <c r="L215" s="30" t="s">
        <v>117</v>
      </c>
      <c r="M215" s="30" t="s">
        <v>113</v>
      </c>
      <c r="N215" s="30" t="s">
        <v>110</v>
      </c>
      <c r="O215" s="30" t="s">
        <v>123</v>
      </c>
      <c r="P215" s="30" t="s">
        <v>112</v>
      </c>
      <c r="Q215" s="30" t="s">
        <v>112</v>
      </c>
      <c r="R215" s="30" t="s">
        <v>183</v>
      </c>
      <c r="S215" s="81">
        <f>HLOOKUP(L215,データについて!$J$6:$M$18,13,FALSE)</f>
        <v>2</v>
      </c>
      <c r="T215" s="81">
        <f>HLOOKUP(M215,データについて!$J$7:$M$18,12,FALSE)</f>
        <v>1</v>
      </c>
      <c r="U215" s="81">
        <f>HLOOKUP(N215,データについて!$J$8:$M$18,11,FALSE)</f>
        <v>2</v>
      </c>
      <c r="V215" s="81">
        <f>HLOOKUP(O215,データについて!$J$9:$M$18,10,FALSE)</f>
        <v>4</v>
      </c>
      <c r="W215" s="81">
        <f>HLOOKUP(P215,データについて!$J$10:$M$18,9,FALSE)</f>
        <v>1</v>
      </c>
      <c r="X215" s="81">
        <f>HLOOKUP(Q215,データについて!$J$11:$M$18,8,FALSE)</f>
        <v>1</v>
      </c>
      <c r="Y215" s="81">
        <f>HLOOKUP(R215,データについて!$J$12:$M$18,7,FALSE)</f>
        <v>1</v>
      </c>
      <c r="Z215" s="81">
        <f>HLOOKUP(I215,データについて!$J$3:$M$18,16,FALSE)</f>
        <v>2</v>
      </c>
      <c r="AA215" s="81" t="str">
        <f>IFERROR(HLOOKUP(J215,データについて!$J$4:$AH$19,16,FALSE),"")</f>
        <v/>
      </c>
      <c r="AB215" s="81">
        <f>IFERROR(HLOOKUP(K215,データについて!$J$5:$AH$20,14,FALSE),"")</f>
        <v>1</v>
      </c>
      <c r="AC215" s="81">
        <f>IF(X215=1,HLOOKUP(R215,データについて!$J$12:$M$18,7,FALSE),"*")</f>
        <v>1</v>
      </c>
      <c r="AD215" s="81" t="str">
        <f>IF(X215=2,HLOOKUP(R215,データについて!$J$12:$M$18,7,FALSE),"*")</f>
        <v>*</v>
      </c>
    </row>
    <row r="216" spans="1:30">
      <c r="A216" s="30">
        <v>4976</v>
      </c>
      <c r="B216" s="30" t="s">
        <v>4671</v>
      </c>
      <c r="C216" s="30" t="s">
        <v>4672</v>
      </c>
      <c r="D216" s="30" t="s">
        <v>106</v>
      </c>
      <c r="E216" s="30"/>
      <c r="F216" s="30" t="s">
        <v>107</v>
      </c>
      <c r="G216" s="30" t="s">
        <v>106</v>
      </c>
      <c r="H216" s="30"/>
      <c r="I216" s="30" t="s">
        <v>191</v>
      </c>
      <c r="J216" s="30"/>
      <c r="K216" s="30" t="s">
        <v>4342</v>
      </c>
      <c r="L216" s="30" t="s">
        <v>108</v>
      </c>
      <c r="M216" s="30" t="s">
        <v>113</v>
      </c>
      <c r="N216" s="30" t="s">
        <v>110</v>
      </c>
      <c r="O216" s="30" t="s">
        <v>115</v>
      </c>
      <c r="P216" s="30" t="s">
        <v>112</v>
      </c>
      <c r="Q216" s="30" t="s">
        <v>112</v>
      </c>
      <c r="R216" s="30" t="s">
        <v>187</v>
      </c>
      <c r="S216" s="81">
        <f>HLOOKUP(L216,データについて!$J$6:$M$18,13,FALSE)</f>
        <v>1</v>
      </c>
      <c r="T216" s="81">
        <f>HLOOKUP(M216,データについて!$J$7:$M$18,12,FALSE)</f>
        <v>1</v>
      </c>
      <c r="U216" s="81">
        <f>HLOOKUP(N216,データについて!$J$8:$M$18,11,FALSE)</f>
        <v>2</v>
      </c>
      <c r="V216" s="81">
        <f>HLOOKUP(O216,データについて!$J$9:$M$18,10,FALSE)</f>
        <v>1</v>
      </c>
      <c r="W216" s="81">
        <f>HLOOKUP(P216,データについて!$J$10:$M$18,9,FALSE)</f>
        <v>1</v>
      </c>
      <c r="X216" s="81">
        <f>HLOOKUP(Q216,データについて!$J$11:$M$18,8,FALSE)</f>
        <v>1</v>
      </c>
      <c r="Y216" s="81">
        <f>HLOOKUP(R216,データについて!$J$12:$M$18,7,FALSE)</f>
        <v>3</v>
      </c>
      <c r="Z216" s="81">
        <f>HLOOKUP(I216,データについて!$J$3:$M$18,16,FALSE)</f>
        <v>2</v>
      </c>
      <c r="AA216" s="81" t="str">
        <f>IFERROR(HLOOKUP(J216,データについて!$J$4:$AH$19,16,FALSE),"")</f>
        <v/>
      </c>
      <c r="AB216" s="81">
        <f>IFERROR(HLOOKUP(K216,データについて!$J$5:$AH$20,14,FALSE),"")</f>
        <v>1</v>
      </c>
      <c r="AC216" s="81">
        <f>IF(X216=1,HLOOKUP(R216,データについて!$J$12:$M$18,7,FALSE),"*")</f>
        <v>3</v>
      </c>
      <c r="AD216" s="81" t="str">
        <f>IF(X216=2,HLOOKUP(R216,データについて!$J$12:$M$18,7,FALSE),"*")</f>
        <v>*</v>
      </c>
    </row>
    <row r="217" spans="1:30">
      <c r="A217" s="30">
        <v>4975</v>
      </c>
      <c r="B217" s="30" t="s">
        <v>4673</v>
      </c>
      <c r="C217" s="30" t="s">
        <v>4672</v>
      </c>
      <c r="D217" s="30" t="s">
        <v>106</v>
      </c>
      <c r="E217" s="30"/>
      <c r="F217" s="30" t="s">
        <v>107</v>
      </c>
      <c r="G217" s="30" t="s">
        <v>106</v>
      </c>
      <c r="H217" s="30"/>
      <c r="I217" s="30" t="s">
        <v>191</v>
      </c>
      <c r="J217" s="30"/>
      <c r="K217" s="30" t="s">
        <v>4342</v>
      </c>
      <c r="L217" s="30" t="s">
        <v>108</v>
      </c>
      <c r="M217" s="30" t="s">
        <v>109</v>
      </c>
      <c r="N217" s="30" t="s">
        <v>110</v>
      </c>
      <c r="O217" s="30" t="s">
        <v>115</v>
      </c>
      <c r="P217" s="30" t="s">
        <v>118</v>
      </c>
      <c r="Q217" s="30" t="s">
        <v>112</v>
      </c>
      <c r="R217" s="30" t="s">
        <v>187</v>
      </c>
      <c r="S217" s="81">
        <f>HLOOKUP(L217,データについて!$J$6:$M$18,13,FALSE)</f>
        <v>1</v>
      </c>
      <c r="T217" s="81">
        <f>HLOOKUP(M217,データについて!$J$7:$M$18,12,FALSE)</f>
        <v>2</v>
      </c>
      <c r="U217" s="81">
        <f>HLOOKUP(N217,データについて!$J$8:$M$18,11,FALSE)</f>
        <v>2</v>
      </c>
      <c r="V217" s="81">
        <f>HLOOKUP(O217,データについて!$J$9:$M$18,10,FALSE)</f>
        <v>1</v>
      </c>
      <c r="W217" s="81">
        <f>HLOOKUP(P217,データについて!$J$10:$M$18,9,FALSE)</f>
        <v>2</v>
      </c>
      <c r="X217" s="81">
        <f>HLOOKUP(Q217,データについて!$J$11:$M$18,8,FALSE)</f>
        <v>1</v>
      </c>
      <c r="Y217" s="81">
        <f>HLOOKUP(R217,データについて!$J$12:$M$18,7,FALSE)</f>
        <v>3</v>
      </c>
      <c r="Z217" s="81">
        <f>HLOOKUP(I217,データについて!$J$3:$M$18,16,FALSE)</f>
        <v>2</v>
      </c>
      <c r="AA217" s="81" t="str">
        <f>IFERROR(HLOOKUP(J217,データについて!$J$4:$AH$19,16,FALSE),"")</f>
        <v/>
      </c>
      <c r="AB217" s="81">
        <f>IFERROR(HLOOKUP(K217,データについて!$J$5:$AH$20,14,FALSE),"")</f>
        <v>1</v>
      </c>
      <c r="AC217" s="81">
        <f>IF(X217=1,HLOOKUP(R217,データについて!$J$12:$M$18,7,FALSE),"*")</f>
        <v>3</v>
      </c>
      <c r="AD217" s="81" t="str">
        <f>IF(X217=2,HLOOKUP(R217,データについて!$J$12:$M$18,7,FALSE),"*")</f>
        <v>*</v>
      </c>
    </row>
    <row r="218" spans="1:30">
      <c r="A218" s="30">
        <v>4974</v>
      </c>
      <c r="B218" s="30" t="s">
        <v>4674</v>
      </c>
      <c r="C218" s="30" t="s">
        <v>4675</v>
      </c>
      <c r="D218" s="30" t="s">
        <v>106</v>
      </c>
      <c r="E218" s="30"/>
      <c r="F218" s="30" t="s">
        <v>107</v>
      </c>
      <c r="G218" s="30" t="s">
        <v>106</v>
      </c>
      <c r="H218" s="30"/>
      <c r="I218" s="30" t="s">
        <v>191</v>
      </c>
      <c r="J218" s="30"/>
      <c r="K218" s="30" t="s">
        <v>4342</v>
      </c>
      <c r="L218" s="30" t="s">
        <v>117</v>
      </c>
      <c r="M218" s="30" t="s">
        <v>109</v>
      </c>
      <c r="N218" s="30" t="s">
        <v>114</v>
      </c>
      <c r="O218" s="30" t="s">
        <v>115</v>
      </c>
      <c r="P218" s="30" t="s">
        <v>112</v>
      </c>
      <c r="Q218" s="30" t="s">
        <v>112</v>
      </c>
      <c r="R218" s="30" t="s">
        <v>187</v>
      </c>
      <c r="S218" s="81">
        <f>HLOOKUP(L218,データについて!$J$6:$M$18,13,FALSE)</f>
        <v>2</v>
      </c>
      <c r="T218" s="81">
        <f>HLOOKUP(M218,データについて!$J$7:$M$18,12,FALSE)</f>
        <v>2</v>
      </c>
      <c r="U218" s="81">
        <f>HLOOKUP(N218,データについて!$J$8:$M$18,11,FALSE)</f>
        <v>1</v>
      </c>
      <c r="V218" s="81">
        <f>HLOOKUP(O218,データについて!$J$9:$M$18,10,FALSE)</f>
        <v>1</v>
      </c>
      <c r="W218" s="81">
        <f>HLOOKUP(P218,データについて!$J$10:$M$18,9,FALSE)</f>
        <v>1</v>
      </c>
      <c r="X218" s="81">
        <f>HLOOKUP(Q218,データについて!$J$11:$M$18,8,FALSE)</f>
        <v>1</v>
      </c>
      <c r="Y218" s="81">
        <f>HLOOKUP(R218,データについて!$J$12:$M$18,7,FALSE)</f>
        <v>3</v>
      </c>
      <c r="Z218" s="81">
        <f>HLOOKUP(I218,データについて!$J$3:$M$18,16,FALSE)</f>
        <v>2</v>
      </c>
      <c r="AA218" s="81" t="str">
        <f>IFERROR(HLOOKUP(J218,データについて!$J$4:$AH$19,16,FALSE),"")</f>
        <v/>
      </c>
      <c r="AB218" s="81">
        <f>IFERROR(HLOOKUP(K218,データについて!$J$5:$AH$20,14,FALSE),"")</f>
        <v>1</v>
      </c>
      <c r="AC218" s="81">
        <f>IF(X218=1,HLOOKUP(R218,データについて!$J$12:$M$18,7,FALSE),"*")</f>
        <v>3</v>
      </c>
      <c r="AD218" s="81" t="str">
        <f>IF(X218=2,HLOOKUP(R218,データについて!$J$12:$M$18,7,FALSE),"*")</f>
        <v>*</v>
      </c>
    </row>
    <row r="219" spans="1:30">
      <c r="A219" s="30">
        <v>4973</v>
      </c>
      <c r="B219" s="30" t="s">
        <v>4676</v>
      </c>
      <c r="C219" s="30" t="s">
        <v>4677</v>
      </c>
      <c r="D219" s="30" t="s">
        <v>106</v>
      </c>
      <c r="E219" s="30"/>
      <c r="F219" s="30" t="s">
        <v>107</v>
      </c>
      <c r="G219" s="30" t="s">
        <v>106</v>
      </c>
      <c r="H219" s="30"/>
      <c r="I219" s="30" t="s">
        <v>191</v>
      </c>
      <c r="J219" s="30"/>
      <c r="K219" s="30" t="s">
        <v>4342</v>
      </c>
      <c r="L219" s="30" t="s">
        <v>117</v>
      </c>
      <c r="M219" s="30" t="s">
        <v>113</v>
      </c>
      <c r="N219" s="30" t="s">
        <v>114</v>
      </c>
      <c r="O219" s="30" t="s">
        <v>115</v>
      </c>
      <c r="P219" s="30" t="s">
        <v>112</v>
      </c>
      <c r="Q219" s="30" t="s">
        <v>112</v>
      </c>
      <c r="R219" s="30" t="s">
        <v>185</v>
      </c>
      <c r="S219" s="81">
        <f>HLOOKUP(L219,データについて!$J$6:$M$18,13,FALSE)</f>
        <v>2</v>
      </c>
      <c r="T219" s="81">
        <f>HLOOKUP(M219,データについて!$J$7:$M$18,12,FALSE)</f>
        <v>1</v>
      </c>
      <c r="U219" s="81">
        <f>HLOOKUP(N219,データについて!$J$8:$M$18,11,FALSE)</f>
        <v>1</v>
      </c>
      <c r="V219" s="81">
        <f>HLOOKUP(O219,データについて!$J$9:$M$18,10,FALSE)</f>
        <v>1</v>
      </c>
      <c r="W219" s="81">
        <f>HLOOKUP(P219,データについて!$J$10:$M$18,9,FALSE)</f>
        <v>1</v>
      </c>
      <c r="X219" s="81">
        <f>HLOOKUP(Q219,データについて!$J$11:$M$18,8,FALSE)</f>
        <v>1</v>
      </c>
      <c r="Y219" s="81">
        <f>HLOOKUP(R219,データについて!$J$12:$M$18,7,FALSE)</f>
        <v>2</v>
      </c>
      <c r="Z219" s="81">
        <f>HLOOKUP(I219,データについて!$J$3:$M$18,16,FALSE)</f>
        <v>2</v>
      </c>
      <c r="AA219" s="81" t="str">
        <f>IFERROR(HLOOKUP(J219,データについて!$J$4:$AH$19,16,FALSE),"")</f>
        <v/>
      </c>
      <c r="AB219" s="81">
        <f>IFERROR(HLOOKUP(K219,データについて!$J$5:$AH$20,14,FALSE),"")</f>
        <v>1</v>
      </c>
      <c r="AC219" s="81">
        <f>IF(X219=1,HLOOKUP(R219,データについて!$J$12:$M$18,7,FALSE),"*")</f>
        <v>2</v>
      </c>
      <c r="AD219" s="81" t="str">
        <f>IF(X219=2,HLOOKUP(R219,データについて!$J$12:$M$18,7,FALSE),"*")</f>
        <v>*</v>
      </c>
    </row>
    <row r="220" spans="1:30">
      <c r="A220" s="30">
        <v>4972</v>
      </c>
      <c r="B220" s="30" t="s">
        <v>4678</v>
      </c>
      <c r="C220" s="30" t="s">
        <v>4679</v>
      </c>
      <c r="D220" s="30" t="s">
        <v>106</v>
      </c>
      <c r="E220" s="30"/>
      <c r="F220" s="30" t="s">
        <v>107</v>
      </c>
      <c r="G220" s="30" t="s">
        <v>106</v>
      </c>
      <c r="H220" s="30"/>
      <c r="I220" s="30" t="s">
        <v>191</v>
      </c>
      <c r="J220" s="30"/>
      <c r="K220" s="30" t="s">
        <v>4342</v>
      </c>
      <c r="L220" s="30" t="s">
        <v>108</v>
      </c>
      <c r="M220" s="30" t="s">
        <v>113</v>
      </c>
      <c r="N220" s="30" t="s">
        <v>110</v>
      </c>
      <c r="O220" s="30" t="s">
        <v>115</v>
      </c>
      <c r="P220" s="30" t="s">
        <v>112</v>
      </c>
      <c r="Q220" s="30" t="s">
        <v>112</v>
      </c>
      <c r="R220" s="30" t="s">
        <v>183</v>
      </c>
      <c r="S220" s="81">
        <f>HLOOKUP(L220,データについて!$J$6:$M$18,13,FALSE)</f>
        <v>1</v>
      </c>
      <c r="T220" s="81">
        <f>HLOOKUP(M220,データについて!$J$7:$M$18,12,FALSE)</f>
        <v>1</v>
      </c>
      <c r="U220" s="81">
        <f>HLOOKUP(N220,データについて!$J$8:$M$18,11,FALSE)</f>
        <v>2</v>
      </c>
      <c r="V220" s="81">
        <f>HLOOKUP(O220,データについて!$J$9:$M$18,10,FALSE)</f>
        <v>1</v>
      </c>
      <c r="W220" s="81">
        <f>HLOOKUP(P220,データについて!$J$10:$M$18,9,FALSE)</f>
        <v>1</v>
      </c>
      <c r="X220" s="81">
        <f>HLOOKUP(Q220,データについて!$J$11:$M$18,8,FALSE)</f>
        <v>1</v>
      </c>
      <c r="Y220" s="81">
        <f>HLOOKUP(R220,データについて!$J$12:$M$18,7,FALSE)</f>
        <v>1</v>
      </c>
      <c r="Z220" s="81">
        <f>HLOOKUP(I220,データについて!$J$3:$M$18,16,FALSE)</f>
        <v>2</v>
      </c>
      <c r="AA220" s="81" t="str">
        <f>IFERROR(HLOOKUP(J220,データについて!$J$4:$AH$19,16,FALSE),"")</f>
        <v/>
      </c>
      <c r="AB220" s="81">
        <f>IFERROR(HLOOKUP(K220,データについて!$J$5:$AH$20,14,FALSE),"")</f>
        <v>1</v>
      </c>
      <c r="AC220" s="81">
        <f>IF(X220=1,HLOOKUP(R220,データについて!$J$12:$M$18,7,FALSE),"*")</f>
        <v>1</v>
      </c>
      <c r="AD220" s="81" t="str">
        <f>IF(X220=2,HLOOKUP(R220,データについて!$J$12:$M$18,7,FALSE),"*")</f>
        <v>*</v>
      </c>
    </row>
    <row r="221" spans="1:30">
      <c r="A221" s="30">
        <v>4971</v>
      </c>
      <c r="B221" s="30" t="s">
        <v>4680</v>
      </c>
      <c r="C221" s="30" t="s">
        <v>4681</v>
      </c>
      <c r="D221" s="30" t="s">
        <v>106</v>
      </c>
      <c r="E221" s="30"/>
      <c r="F221" s="30" t="s">
        <v>107</v>
      </c>
      <c r="G221" s="30" t="s">
        <v>106</v>
      </c>
      <c r="H221" s="30"/>
      <c r="I221" s="30" t="s">
        <v>191</v>
      </c>
      <c r="J221" s="30"/>
      <c r="K221" s="30" t="s">
        <v>4342</v>
      </c>
      <c r="L221" s="30" t="s">
        <v>108</v>
      </c>
      <c r="M221" s="30" t="s">
        <v>113</v>
      </c>
      <c r="N221" s="30" t="s">
        <v>110</v>
      </c>
      <c r="O221" s="30" t="s">
        <v>115</v>
      </c>
      <c r="P221" s="30" t="s">
        <v>112</v>
      </c>
      <c r="Q221" s="30" t="s">
        <v>112</v>
      </c>
      <c r="R221" s="30" t="s">
        <v>185</v>
      </c>
      <c r="S221" s="81">
        <f>HLOOKUP(L221,データについて!$J$6:$M$18,13,FALSE)</f>
        <v>1</v>
      </c>
      <c r="T221" s="81">
        <f>HLOOKUP(M221,データについて!$J$7:$M$18,12,FALSE)</f>
        <v>1</v>
      </c>
      <c r="U221" s="81">
        <f>HLOOKUP(N221,データについて!$J$8:$M$18,11,FALSE)</f>
        <v>2</v>
      </c>
      <c r="V221" s="81">
        <f>HLOOKUP(O221,データについて!$J$9:$M$18,10,FALSE)</f>
        <v>1</v>
      </c>
      <c r="W221" s="81">
        <f>HLOOKUP(P221,データについて!$J$10:$M$18,9,FALSE)</f>
        <v>1</v>
      </c>
      <c r="X221" s="81">
        <f>HLOOKUP(Q221,データについて!$J$11:$M$18,8,FALSE)</f>
        <v>1</v>
      </c>
      <c r="Y221" s="81">
        <f>HLOOKUP(R221,データについて!$J$12:$M$18,7,FALSE)</f>
        <v>2</v>
      </c>
      <c r="Z221" s="81">
        <f>HLOOKUP(I221,データについて!$J$3:$M$18,16,FALSE)</f>
        <v>2</v>
      </c>
      <c r="AA221" s="81" t="str">
        <f>IFERROR(HLOOKUP(J221,データについて!$J$4:$AH$19,16,FALSE),"")</f>
        <v/>
      </c>
      <c r="AB221" s="81">
        <f>IFERROR(HLOOKUP(K221,データについて!$J$5:$AH$20,14,FALSE),"")</f>
        <v>1</v>
      </c>
      <c r="AC221" s="81">
        <f>IF(X221=1,HLOOKUP(R221,データについて!$J$12:$M$18,7,FALSE),"*")</f>
        <v>2</v>
      </c>
      <c r="AD221" s="81" t="str">
        <f>IF(X221=2,HLOOKUP(R221,データについて!$J$12:$M$18,7,FALSE),"*")</f>
        <v>*</v>
      </c>
    </row>
    <row r="222" spans="1:30">
      <c r="A222" s="30">
        <v>4970</v>
      </c>
      <c r="B222" s="30" t="s">
        <v>4682</v>
      </c>
      <c r="C222" s="30" t="s">
        <v>4683</v>
      </c>
      <c r="D222" s="30" t="s">
        <v>106</v>
      </c>
      <c r="E222" s="30"/>
      <c r="F222" s="30" t="s">
        <v>107</v>
      </c>
      <c r="G222" s="30" t="s">
        <v>106</v>
      </c>
      <c r="H222" s="30"/>
      <c r="I222" s="30" t="s">
        <v>191</v>
      </c>
      <c r="J222" s="30"/>
      <c r="K222" s="30" t="s">
        <v>4342</v>
      </c>
      <c r="L222" s="30" t="s">
        <v>117</v>
      </c>
      <c r="M222" s="30" t="s">
        <v>113</v>
      </c>
      <c r="N222" s="30" t="s">
        <v>114</v>
      </c>
      <c r="O222" s="30" t="s">
        <v>115</v>
      </c>
      <c r="P222" s="30" t="s">
        <v>118</v>
      </c>
      <c r="Q222" s="30" t="s">
        <v>112</v>
      </c>
      <c r="R222" s="30" t="s">
        <v>185</v>
      </c>
      <c r="S222" s="81">
        <f>HLOOKUP(L222,データについて!$J$6:$M$18,13,FALSE)</f>
        <v>2</v>
      </c>
      <c r="T222" s="81">
        <f>HLOOKUP(M222,データについて!$J$7:$M$18,12,FALSE)</f>
        <v>1</v>
      </c>
      <c r="U222" s="81">
        <f>HLOOKUP(N222,データについて!$J$8:$M$18,11,FALSE)</f>
        <v>1</v>
      </c>
      <c r="V222" s="81">
        <f>HLOOKUP(O222,データについて!$J$9:$M$18,10,FALSE)</f>
        <v>1</v>
      </c>
      <c r="W222" s="81">
        <f>HLOOKUP(P222,データについて!$J$10:$M$18,9,FALSE)</f>
        <v>2</v>
      </c>
      <c r="X222" s="81">
        <f>HLOOKUP(Q222,データについて!$J$11:$M$18,8,FALSE)</f>
        <v>1</v>
      </c>
      <c r="Y222" s="81">
        <f>HLOOKUP(R222,データについて!$J$12:$M$18,7,FALSE)</f>
        <v>2</v>
      </c>
      <c r="Z222" s="81">
        <f>HLOOKUP(I222,データについて!$J$3:$M$18,16,FALSE)</f>
        <v>2</v>
      </c>
      <c r="AA222" s="81" t="str">
        <f>IFERROR(HLOOKUP(J222,データについて!$J$4:$AH$19,16,FALSE),"")</f>
        <v/>
      </c>
      <c r="AB222" s="81">
        <f>IFERROR(HLOOKUP(K222,データについて!$J$5:$AH$20,14,FALSE),"")</f>
        <v>1</v>
      </c>
      <c r="AC222" s="81">
        <f>IF(X222=1,HLOOKUP(R222,データについて!$J$12:$M$18,7,FALSE),"*")</f>
        <v>2</v>
      </c>
      <c r="AD222" s="81" t="str">
        <f>IF(X222=2,HLOOKUP(R222,データについて!$J$12:$M$18,7,FALSE),"*")</f>
        <v>*</v>
      </c>
    </row>
    <row r="223" spans="1:30">
      <c r="A223" s="30">
        <v>4969</v>
      </c>
      <c r="B223" s="30" t="s">
        <v>4684</v>
      </c>
      <c r="C223" s="30" t="s">
        <v>4685</v>
      </c>
      <c r="D223" s="30" t="s">
        <v>106</v>
      </c>
      <c r="E223" s="30"/>
      <c r="F223" s="30" t="s">
        <v>107</v>
      </c>
      <c r="G223" s="30" t="s">
        <v>106</v>
      </c>
      <c r="H223" s="30"/>
      <c r="I223" s="30" t="s">
        <v>191</v>
      </c>
      <c r="J223" s="30"/>
      <c r="K223" s="30" t="s">
        <v>4342</v>
      </c>
      <c r="L223" s="30" t="s">
        <v>117</v>
      </c>
      <c r="M223" s="30" t="s">
        <v>113</v>
      </c>
      <c r="N223" s="30" t="s">
        <v>110</v>
      </c>
      <c r="O223" s="30" t="s">
        <v>115</v>
      </c>
      <c r="P223" s="30" t="s">
        <v>112</v>
      </c>
      <c r="Q223" s="30" t="s">
        <v>112</v>
      </c>
      <c r="R223" s="30" t="s">
        <v>185</v>
      </c>
      <c r="S223" s="81">
        <f>HLOOKUP(L223,データについて!$J$6:$M$18,13,FALSE)</f>
        <v>2</v>
      </c>
      <c r="T223" s="81">
        <f>HLOOKUP(M223,データについて!$J$7:$M$18,12,FALSE)</f>
        <v>1</v>
      </c>
      <c r="U223" s="81">
        <f>HLOOKUP(N223,データについて!$J$8:$M$18,11,FALSE)</f>
        <v>2</v>
      </c>
      <c r="V223" s="81">
        <f>HLOOKUP(O223,データについて!$J$9:$M$18,10,FALSE)</f>
        <v>1</v>
      </c>
      <c r="W223" s="81">
        <f>HLOOKUP(P223,データについて!$J$10:$M$18,9,FALSE)</f>
        <v>1</v>
      </c>
      <c r="X223" s="81">
        <f>HLOOKUP(Q223,データについて!$J$11:$M$18,8,FALSE)</f>
        <v>1</v>
      </c>
      <c r="Y223" s="81">
        <f>HLOOKUP(R223,データについて!$J$12:$M$18,7,FALSE)</f>
        <v>2</v>
      </c>
      <c r="Z223" s="81">
        <f>HLOOKUP(I223,データについて!$J$3:$M$18,16,FALSE)</f>
        <v>2</v>
      </c>
      <c r="AA223" s="81" t="str">
        <f>IFERROR(HLOOKUP(J223,データについて!$J$4:$AH$19,16,FALSE),"")</f>
        <v/>
      </c>
      <c r="AB223" s="81">
        <f>IFERROR(HLOOKUP(K223,データについて!$J$5:$AH$20,14,FALSE),"")</f>
        <v>1</v>
      </c>
      <c r="AC223" s="81">
        <f>IF(X223=1,HLOOKUP(R223,データについて!$J$12:$M$18,7,FALSE),"*")</f>
        <v>2</v>
      </c>
      <c r="AD223" s="81" t="str">
        <f>IF(X223=2,HLOOKUP(R223,データについて!$J$12:$M$18,7,FALSE),"*")</f>
        <v>*</v>
      </c>
    </row>
    <row r="224" spans="1:30">
      <c r="A224" s="30">
        <v>4968</v>
      </c>
      <c r="B224" s="30" t="s">
        <v>4686</v>
      </c>
      <c r="C224" s="30" t="s">
        <v>4687</v>
      </c>
      <c r="D224" s="30" t="s">
        <v>106</v>
      </c>
      <c r="E224" s="30"/>
      <c r="F224" s="30" t="s">
        <v>107</v>
      </c>
      <c r="G224" s="30" t="s">
        <v>106</v>
      </c>
      <c r="H224" s="30"/>
      <c r="I224" s="30" t="s">
        <v>191</v>
      </c>
      <c r="J224" s="30"/>
      <c r="K224" s="30" t="s">
        <v>4342</v>
      </c>
      <c r="L224" s="30" t="s">
        <v>108</v>
      </c>
      <c r="M224" s="30" t="s">
        <v>113</v>
      </c>
      <c r="N224" s="30" t="s">
        <v>114</v>
      </c>
      <c r="O224" s="30" t="s">
        <v>115</v>
      </c>
      <c r="P224" s="30" t="s">
        <v>112</v>
      </c>
      <c r="Q224" s="30" t="s">
        <v>112</v>
      </c>
      <c r="R224" s="30" t="s">
        <v>183</v>
      </c>
      <c r="S224" s="81">
        <f>HLOOKUP(L224,データについて!$J$6:$M$18,13,FALSE)</f>
        <v>1</v>
      </c>
      <c r="T224" s="81">
        <f>HLOOKUP(M224,データについて!$J$7:$M$18,12,FALSE)</f>
        <v>1</v>
      </c>
      <c r="U224" s="81">
        <f>HLOOKUP(N224,データについて!$J$8:$M$18,11,FALSE)</f>
        <v>1</v>
      </c>
      <c r="V224" s="81">
        <f>HLOOKUP(O224,データについて!$J$9:$M$18,10,FALSE)</f>
        <v>1</v>
      </c>
      <c r="W224" s="81">
        <f>HLOOKUP(P224,データについて!$J$10:$M$18,9,FALSE)</f>
        <v>1</v>
      </c>
      <c r="X224" s="81">
        <f>HLOOKUP(Q224,データについて!$J$11:$M$18,8,FALSE)</f>
        <v>1</v>
      </c>
      <c r="Y224" s="81">
        <f>HLOOKUP(R224,データについて!$J$12:$M$18,7,FALSE)</f>
        <v>1</v>
      </c>
      <c r="Z224" s="81">
        <f>HLOOKUP(I224,データについて!$J$3:$M$18,16,FALSE)</f>
        <v>2</v>
      </c>
      <c r="AA224" s="81" t="str">
        <f>IFERROR(HLOOKUP(J224,データについて!$J$4:$AH$19,16,FALSE),"")</f>
        <v/>
      </c>
      <c r="AB224" s="81">
        <f>IFERROR(HLOOKUP(K224,データについて!$J$5:$AH$20,14,FALSE),"")</f>
        <v>1</v>
      </c>
      <c r="AC224" s="81">
        <f>IF(X224=1,HLOOKUP(R224,データについて!$J$12:$M$18,7,FALSE),"*")</f>
        <v>1</v>
      </c>
      <c r="AD224" s="81" t="str">
        <f>IF(X224=2,HLOOKUP(R224,データについて!$J$12:$M$18,7,FALSE),"*")</f>
        <v>*</v>
      </c>
    </row>
    <row r="225" spans="1:30">
      <c r="A225" s="30">
        <v>4967</v>
      </c>
      <c r="B225" s="30" t="s">
        <v>4688</v>
      </c>
      <c r="C225" s="30" t="s">
        <v>4689</v>
      </c>
      <c r="D225" s="30" t="s">
        <v>106</v>
      </c>
      <c r="E225" s="30"/>
      <c r="F225" s="30" t="s">
        <v>107</v>
      </c>
      <c r="G225" s="30" t="s">
        <v>106</v>
      </c>
      <c r="H225" s="30"/>
      <c r="I225" s="30" t="s">
        <v>191</v>
      </c>
      <c r="J225" s="30"/>
      <c r="K225" s="30" t="s">
        <v>4342</v>
      </c>
      <c r="L225" s="30" t="s">
        <v>108</v>
      </c>
      <c r="M225" s="30" t="s">
        <v>113</v>
      </c>
      <c r="N225" s="30" t="s">
        <v>110</v>
      </c>
      <c r="O225" s="30" t="s">
        <v>115</v>
      </c>
      <c r="P225" s="30" t="s">
        <v>112</v>
      </c>
      <c r="Q225" s="30" t="s">
        <v>112</v>
      </c>
      <c r="R225" s="30" t="s">
        <v>187</v>
      </c>
      <c r="S225" s="81">
        <f>HLOOKUP(L225,データについて!$J$6:$M$18,13,FALSE)</f>
        <v>1</v>
      </c>
      <c r="T225" s="81">
        <f>HLOOKUP(M225,データについて!$J$7:$M$18,12,FALSE)</f>
        <v>1</v>
      </c>
      <c r="U225" s="81">
        <f>HLOOKUP(N225,データについて!$J$8:$M$18,11,FALSE)</f>
        <v>2</v>
      </c>
      <c r="V225" s="81">
        <f>HLOOKUP(O225,データについて!$J$9:$M$18,10,FALSE)</f>
        <v>1</v>
      </c>
      <c r="W225" s="81">
        <f>HLOOKUP(P225,データについて!$J$10:$M$18,9,FALSE)</f>
        <v>1</v>
      </c>
      <c r="X225" s="81">
        <f>HLOOKUP(Q225,データについて!$J$11:$M$18,8,FALSE)</f>
        <v>1</v>
      </c>
      <c r="Y225" s="81">
        <f>HLOOKUP(R225,データについて!$J$12:$M$18,7,FALSE)</f>
        <v>3</v>
      </c>
      <c r="Z225" s="81">
        <f>HLOOKUP(I225,データについて!$J$3:$M$18,16,FALSE)</f>
        <v>2</v>
      </c>
      <c r="AA225" s="81" t="str">
        <f>IFERROR(HLOOKUP(J225,データについて!$J$4:$AH$19,16,FALSE),"")</f>
        <v/>
      </c>
      <c r="AB225" s="81">
        <f>IFERROR(HLOOKUP(K225,データについて!$J$5:$AH$20,14,FALSE),"")</f>
        <v>1</v>
      </c>
      <c r="AC225" s="81">
        <f>IF(X225=1,HLOOKUP(R225,データについて!$J$12:$M$18,7,FALSE),"*")</f>
        <v>3</v>
      </c>
      <c r="AD225" s="81" t="str">
        <f>IF(X225=2,HLOOKUP(R225,データについて!$J$12:$M$18,7,FALSE),"*")</f>
        <v>*</v>
      </c>
    </row>
    <row r="226" spans="1:30">
      <c r="A226" s="30">
        <v>4966</v>
      </c>
      <c r="B226" s="30" t="s">
        <v>4690</v>
      </c>
      <c r="C226" s="30" t="s">
        <v>4691</v>
      </c>
      <c r="D226" s="30" t="s">
        <v>106</v>
      </c>
      <c r="E226" s="30"/>
      <c r="F226" s="30" t="s">
        <v>107</v>
      </c>
      <c r="G226" s="30" t="s">
        <v>106</v>
      </c>
      <c r="H226" s="30"/>
      <c r="I226" s="30" t="s">
        <v>191</v>
      </c>
      <c r="J226" s="30"/>
      <c r="K226" s="30" t="s">
        <v>4342</v>
      </c>
      <c r="L226" s="30" t="s">
        <v>108</v>
      </c>
      <c r="M226" s="30" t="s">
        <v>113</v>
      </c>
      <c r="N226" s="30" t="s">
        <v>110</v>
      </c>
      <c r="O226" s="30" t="s">
        <v>115</v>
      </c>
      <c r="P226" s="30" t="s">
        <v>112</v>
      </c>
      <c r="Q226" s="30" t="s">
        <v>112</v>
      </c>
      <c r="R226" s="30" t="s">
        <v>183</v>
      </c>
      <c r="S226" s="81">
        <f>HLOOKUP(L226,データについて!$J$6:$M$18,13,FALSE)</f>
        <v>1</v>
      </c>
      <c r="T226" s="81">
        <f>HLOOKUP(M226,データについて!$J$7:$M$18,12,FALSE)</f>
        <v>1</v>
      </c>
      <c r="U226" s="81">
        <f>HLOOKUP(N226,データについて!$J$8:$M$18,11,FALSE)</f>
        <v>2</v>
      </c>
      <c r="V226" s="81">
        <f>HLOOKUP(O226,データについて!$J$9:$M$18,10,FALSE)</f>
        <v>1</v>
      </c>
      <c r="W226" s="81">
        <f>HLOOKUP(P226,データについて!$J$10:$M$18,9,FALSE)</f>
        <v>1</v>
      </c>
      <c r="X226" s="81">
        <f>HLOOKUP(Q226,データについて!$J$11:$M$18,8,FALSE)</f>
        <v>1</v>
      </c>
      <c r="Y226" s="81">
        <f>HLOOKUP(R226,データについて!$J$12:$M$18,7,FALSE)</f>
        <v>1</v>
      </c>
      <c r="Z226" s="81">
        <f>HLOOKUP(I226,データについて!$J$3:$M$18,16,FALSE)</f>
        <v>2</v>
      </c>
      <c r="AA226" s="81" t="str">
        <f>IFERROR(HLOOKUP(J226,データについて!$J$4:$AH$19,16,FALSE),"")</f>
        <v/>
      </c>
      <c r="AB226" s="81">
        <f>IFERROR(HLOOKUP(K226,データについて!$J$5:$AH$20,14,FALSE),"")</f>
        <v>1</v>
      </c>
      <c r="AC226" s="81">
        <f>IF(X226=1,HLOOKUP(R226,データについて!$J$12:$M$18,7,FALSE),"*")</f>
        <v>1</v>
      </c>
      <c r="AD226" s="81" t="str">
        <f>IF(X226=2,HLOOKUP(R226,データについて!$J$12:$M$18,7,FALSE),"*")</f>
        <v>*</v>
      </c>
    </row>
    <row r="227" spans="1:30">
      <c r="A227" s="30">
        <v>4965</v>
      </c>
      <c r="B227" s="30" t="s">
        <v>4692</v>
      </c>
      <c r="C227" s="30" t="s">
        <v>4693</v>
      </c>
      <c r="D227" s="30" t="s">
        <v>106</v>
      </c>
      <c r="E227" s="30"/>
      <c r="F227" s="30" t="s">
        <v>107</v>
      </c>
      <c r="G227" s="30" t="s">
        <v>106</v>
      </c>
      <c r="H227" s="30"/>
      <c r="I227" s="30" t="s">
        <v>191</v>
      </c>
      <c r="J227" s="30"/>
      <c r="K227" s="30" t="s">
        <v>4342</v>
      </c>
      <c r="L227" s="30" t="s">
        <v>117</v>
      </c>
      <c r="M227" s="30" t="s">
        <v>113</v>
      </c>
      <c r="N227" s="30" t="s">
        <v>114</v>
      </c>
      <c r="O227" s="30" t="s">
        <v>115</v>
      </c>
      <c r="P227" s="30" t="s">
        <v>112</v>
      </c>
      <c r="Q227" s="30" t="s">
        <v>112</v>
      </c>
      <c r="R227" s="30" t="s">
        <v>183</v>
      </c>
      <c r="S227" s="81">
        <f>HLOOKUP(L227,データについて!$J$6:$M$18,13,FALSE)</f>
        <v>2</v>
      </c>
      <c r="T227" s="81">
        <f>HLOOKUP(M227,データについて!$J$7:$M$18,12,FALSE)</f>
        <v>1</v>
      </c>
      <c r="U227" s="81">
        <f>HLOOKUP(N227,データについて!$J$8:$M$18,11,FALSE)</f>
        <v>1</v>
      </c>
      <c r="V227" s="81">
        <f>HLOOKUP(O227,データについて!$J$9:$M$18,10,FALSE)</f>
        <v>1</v>
      </c>
      <c r="W227" s="81">
        <f>HLOOKUP(P227,データについて!$J$10:$M$18,9,FALSE)</f>
        <v>1</v>
      </c>
      <c r="X227" s="81">
        <f>HLOOKUP(Q227,データについて!$J$11:$M$18,8,FALSE)</f>
        <v>1</v>
      </c>
      <c r="Y227" s="81">
        <f>HLOOKUP(R227,データについて!$J$12:$M$18,7,FALSE)</f>
        <v>1</v>
      </c>
      <c r="Z227" s="81">
        <f>HLOOKUP(I227,データについて!$J$3:$M$18,16,FALSE)</f>
        <v>2</v>
      </c>
      <c r="AA227" s="81" t="str">
        <f>IFERROR(HLOOKUP(J227,データについて!$J$4:$AH$19,16,FALSE),"")</f>
        <v/>
      </c>
      <c r="AB227" s="81">
        <f>IFERROR(HLOOKUP(K227,データについて!$J$5:$AH$20,14,FALSE),"")</f>
        <v>1</v>
      </c>
      <c r="AC227" s="81">
        <f>IF(X227=1,HLOOKUP(R227,データについて!$J$12:$M$18,7,FALSE),"*")</f>
        <v>1</v>
      </c>
      <c r="AD227" s="81" t="str">
        <f>IF(X227=2,HLOOKUP(R227,データについて!$J$12:$M$18,7,FALSE),"*")</f>
        <v>*</v>
      </c>
    </row>
    <row r="228" spans="1:30">
      <c r="A228" s="30">
        <v>4964</v>
      </c>
      <c r="B228" s="30" t="s">
        <v>4694</v>
      </c>
      <c r="C228" s="30" t="s">
        <v>4695</v>
      </c>
      <c r="D228" s="30" t="s">
        <v>106</v>
      </c>
      <c r="E228" s="30"/>
      <c r="F228" s="30" t="s">
        <v>107</v>
      </c>
      <c r="G228" s="30" t="s">
        <v>106</v>
      </c>
      <c r="H228" s="30"/>
      <c r="I228" s="30" t="s">
        <v>191</v>
      </c>
      <c r="J228" s="30"/>
      <c r="K228" s="30" t="s">
        <v>4342</v>
      </c>
      <c r="L228" s="30" t="s">
        <v>117</v>
      </c>
      <c r="M228" s="30" t="s">
        <v>113</v>
      </c>
      <c r="N228" s="30" t="s">
        <v>110</v>
      </c>
      <c r="O228" s="30" t="s">
        <v>115</v>
      </c>
      <c r="P228" s="30" t="s">
        <v>112</v>
      </c>
      <c r="Q228" s="30" t="s">
        <v>112</v>
      </c>
      <c r="R228" s="30" t="s">
        <v>183</v>
      </c>
      <c r="S228" s="81">
        <f>HLOOKUP(L228,データについて!$J$6:$M$18,13,FALSE)</f>
        <v>2</v>
      </c>
      <c r="T228" s="81">
        <f>HLOOKUP(M228,データについて!$J$7:$M$18,12,FALSE)</f>
        <v>1</v>
      </c>
      <c r="U228" s="81">
        <f>HLOOKUP(N228,データについて!$J$8:$M$18,11,FALSE)</f>
        <v>2</v>
      </c>
      <c r="V228" s="81">
        <f>HLOOKUP(O228,データについて!$J$9:$M$18,10,FALSE)</f>
        <v>1</v>
      </c>
      <c r="W228" s="81">
        <f>HLOOKUP(P228,データについて!$J$10:$M$18,9,FALSE)</f>
        <v>1</v>
      </c>
      <c r="X228" s="81">
        <f>HLOOKUP(Q228,データについて!$J$11:$M$18,8,FALSE)</f>
        <v>1</v>
      </c>
      <c r="Y228" s="81">
        <f>HLOOKUP(R228,データについて!$J$12:$M$18,7,FALSE)</f>
        <v>1</v>
      </c>
      <c r="Z228" s="81">
        <f>HLOOKUP(I228,データについて!$J$3:$M$18,16,FALSE)</f>
        <v>2</v>
      </c>
      <c r="AA228" s="81" t="str">
        <f>IFERROR(HLOOKUP(J228,データについて!$J$4:$AH$19,16,FALSE),"")</f>
        <v/>
      </c>
      <c r="AB228" s="81">
        <f>IFERROR(HLOOKUP(K228,データについて!$J$5:$AH$20,14,FALSE),"")</f>
        <v>1</v>
      </c>
      <c r="AC228" s="81">
        <f>IF(X228=1,HLOOKUP(R228,データについて!$J$12:$M$18,7,FALSE),"*")</f>
        <v>1</v>
      </c>
      <c r="AD228" s="81" t="str">
        <f>IF(X228=2,HLOOKUP(R228,データについて!$J$12:$M$18,7,FALSE),"*")</f>
        <v>*</v>
      </c>
    </row>
    <row r="229" spans="1:30">
      <c r="A229" s="30">
        <v>4963</v>
      </c>
      <c r="B229" s="30" t="s">
        <v>4696</v>
      </c>
      <c r="C229" s="30" t="s">
        <v>4697</v>
      </c>
      <c r="D229" s="30" t="s">
        <v>106</v>
      </c>
      <c r="E229" s="30"/>
      <c r="F229" s="30" t="s">
        <v>107</v>
      </c>
      <c r="G229" s="30" t="s">
        <v>106</v>
      </c>
      <c r="H229" s="30"/>
      <c r="I229" s="30" t="s">
        <v>191</v>
      </c>
      <c r="J229" s="30"/>
      <c r="K229" s="30" t="s">
        <v>4342</v>
      </c>
      <c r="L229" s="30" t="s">
        <v>117</v>
      </c>
      <c r="M229" s="30" t="s">
        <v>113</v>
      </c>
      <c r="N229" s="30" t="s">
        <v>114</v>
      </c>
      <c r="O229" s="30" t="s">
        <v>115</v>
      </c>
      <c r="P229" s="30" t="s">
        <v>112</v>
      </c>
      <c r="Q229" s="30" t="s">
        <v>112</v>
      </c>
      <c r="R229" s="30" t="s">
        <v>183</v>
      </c>
      <c r="S229" s="81">
        <f>HLOOKUP(L229,データについて!$J$6:$M$18,13,FALSE)</f>
        <v>2</v>
      </c>
      <c r="T229" s="81">
        <f>HLOOKUP(M229,データについて!$J$7:$M$18,12,FALSE)</f>
        <v>1</v>
      </c>
      <c r="U229" s="81">
        <f>HLOOKUP(N229,データについて!$J$8:$M$18,11,FALSE)</f>
        <v>1</v>
      </c>
      <c r="V229" s="81">
        <f>HLOOKUP(O229,データについて!$J$9:$M$18,10,FALSE)</f>
        <v>1</v>
      </c>
      <c r="W229" s="81">
        <f>HLOOKUP(P229,データについて!$J$10:$M$18,9,FALSE)</f>
        <v>1</v>
      </c>
      <c r="X229" s="81">
        <f>HLOOKUP(Q229,データについて!$J$11:$M$18,8,FALSE)</f>
        <v>1</v>
      </c>
      <c r="Y229" s="81">
        <f>HLOOKUP(R229,データについて!$J$12:$M$18,7,FALSE)</f>
        <v>1</v>
      </c>
      <c r="Z229" s="81">
        <f>HLOOKUP(I229,データについて!$J$3:$M$18,16,FALSE)</f>
        <v>2</v>
      </c>
      <c r="AA229" s="81" t="str">
        <f>IFERROR(HLOOKUP(J229,データについて!$J$4:$AH$19,16,FALSE),"")</f>
        <v/>
      </c>
      <c r="AB229" s="81">
        <f>IFERROR(HLOOKUP(K229,データについて!$J$5:$AH$20,14,FALSE),"")</f>
        <v>1</v>
      </c>
      <c r="AC229" s="81">
        <f>IF(X229=1,HLOOKUP(R229,データについて!$J$12:$M$18,7,FALSE),"*")</f>
        <v>1</v>
      </c>
      <c r="AD229" s="81" t="str">
        <f>IF(X229=2,HLOOKUP(R229,データについて!$J$12:$M$18,7,FALSE),"*")</f>
        <v>*</v>
      </c>
    </row>
    <row r="230" spans="1:30">
      <c r="A230" s="30">
        <v>4962</v>
      </c>
      <c r="B230" s="30" t="s">
        <v>4698</v>
      </c>
      <c r="C230" s="30" t="s">
        <v>4699</v>
      </c>
      <c r="D230" s="30" t="s">
        <v>106</v>
      </c>
      <c r="E230" s="30"/>
      <c r="F230" s="30" t="s">
        <v>107</v>
      </c>
      <c r="G230" s="30" t="s">
        <v>106</v>
      </c>
      <c r="H230" s="30"/>
      <c r="I230" s="30" t="s">
        <v>191</v>
      </c>
      <c r="J230" s="30"/>
      <c r="K230" s="30" t="s">
        <v>4342</v>
      </c>
      <c r="L230" s="30" t="s">
        <v>108</v>
      </c>
      <c r="M230" s="30" t="s">
        <v>113</v>
      </c>
      <c r="N230" s="30" t="s">
        <v>110</v>
      </c>
      <c r="O230" s="30" t="s">
        <v>115</v>
      </c>
      <c r="P230" s="30" t="s">
        <v>118</v>
      </c>
      <c r="Q230" s="30" t="s">
        <v>112</v>
      </c>
      <c r="R230" s="30" t="s">
        <v>183</v>
      </c>
      <c r="S230" s="81">
        <f>HLOOKUP(L230,データについて!$J$6:$M$18,13,FALSE)</f>
        <v>1</v>
      </c>
      <c r="T230" s="81">
        <f>HLOOKUP(M230,データについて!$J$7:$M$18,12,FALSE)</f>
        <v>1</v>
      </c>
      <c r="U230" s="81">
        <f>HLOOKUP(N230,データについて!$J$8:$M$18,11,FALSE)</f>
        <v>2</v>
      </c>
      <c r="V230" s="81">
        <f>HLOOKUP(O230,データについて!$J$9:$M$18,10,FALSE)</f>
        <v>1</v>
      </c>
      <c r="W230" s="81">
        <f>HLOOKUP(P230,データについて!$J$10:$M$18,9,FALSE)</f>
        <v>2</v>
      </c>
      <c r="X230" s="81">
        <f>HLOOKUP(Q230,データについて!$J$11:$M$18,8,FALSE)</f>
        <v>1</v>
      </c>
      <c r="Y230" s="81">
        <f>HLOOKUP(R230,データについて!$J$12:$M$18,7,FALSE)</f>
        <v>1</v>
      </c>
      <c r="Z230" s="81">
        <f>HLOOKUP(I230,データについて!$J$3:$M$18,16,FALSE)</f>
        <v>2</v>
      </c>
      <c r="AA230" s="81" t="str">
        <f>IFERROR(HLOOKUP(J230,データについて!$J$4:$AH$19,16,FALSE),"")</f>
        <v/>
      </c>
      <c r="AB230" s="81">
        <f>IFERROR(HLOOKUP(K230,データについて!$J$5:$AH$20,14,FALSE),"")</f>
        <v>1</v>
      </c>
      <c r="AC230" s="81">
        <f>IF(X230=1,HLOOKUP(R230,データについて!$J$12:$M$18,7,FALSE),"*")</f>
        <v>1</v>
      </c>
      <c r="AD230" s="81" t="str">
        <f>IF(X230=2,HLOOKUP(R230,データについて!$J$12:$M$18,7,FALSE),"*")</f>
        <v>*</v>
      </c>
    </row>
    <row r="231" spans="1:30">
      <c r="A231" s="30">
        <v>4961</v>
      </c>
      <c r="B231" s="30" t="s">
        <v>4700</v>
      </c>
      <c r="C231" s="30" t="s">
        <v>4701</v>
      </c>
      <c r="D231" s="30" t="s">
        <v>106</v>
      </c>
      <c r="E231" s="30"/>
      <c r="F231" s="30" t="s">
        <v>107</v>
      </c>
      <c r="G231" s="30" t="s">
        <v>106</v>
      </c>
      <c r="H231" s="30"/>
      <c r="I231" s="30" t="s">
        <v>191</v>
      </c>
      <c r="J231" s="30"/>
      <c r="K231" s="30" t="s">
        <v>4342</v>
      </c>
      <c r="L231" s="30" t="s">
        <v>117</v>
      </c>
      <c r="M231" s="30" t="s">
        <v>113</v>
      </c>
      <c r="N231" s="30" t="s">
        <v>114</v>
      </c>
      <c r="O231" s="30" t="s">
        <v>115</v>
      </c>
      <c r="P231" s="30" t="s">
        <v>112</v>
      </c>
      <c r="Q231" s="30" t="s">
        <v>112</v>
      </c>
      <c r="R231" s="30" t="s">
        <v>185</v>
      </c>
      <c r="S231" s="81">
        <f>HLOOKUP(L231,データについて!$J$6:$M$18,13,FALSE)</f>
        <v>2</v>
      </c>
      <c r="T231" s="81">
        <f>HLOOKUP(M231,データについて!$J$7:$M$18,12,FALSE)</f>
        <v>1</v>
      </c>
      <c r="U231" s="81">
        <f>HLOOKUP(N231,データについて!$J$8:$M$18,11,FALSE)</f>
        <v>1</v>
      </c>
      <c r="V231" s="81">
        <f>HLOOKUP(O231,データについて!$J$9:$M$18,10,FALSE)</f>
        <v>1</v>
      </c>
      <c r="W231" s="81">
        <f>HLOOKUP(P231,データについて!$J$10:$M$18,9,FALSE)</f>
        <v>1</v>
      </c>
      <c r="X231" s="81">
        <f>HLOOKUP(Q231,データについて!$J$11:$M$18,8,FALSE)</f>
        <v>1</v>
      </c>
      <c r="Y231" s="81">
        <f>HLOOKUP(R231,データについて!$J$12:$M$18,7,FALSE)</f>
        <v>2</v>
      </c>
      <c r="Z231" s="81">
        <f>HLOOKUP(I231,データについて!$J$3:$M$18,16,FALSE)</f>
        <v>2</v>
      </c>
      <c r="AA231" s="81" t="str">
        <f>IFERROR(HLOOKUP(J231,データについて!$J$4:$AH$19,16,FALSE),"")</f>
        <v/>
      </c>
      <c r="AB231" s="81">
        <f>IFERROR(HLOOKUP(K231,データについて!$J$5:$AH$20,14,FALSE),"")</f>
        <v>1</v>
      </c>
      <c r="AC231" s="81">
        <f>IF(X231=1,HLOOKUP(R231,データについて!$J$12:$M$18,7,FALSE),"*")</f>
        <v>2</v>
      </c>
      <c r="AD231" s="81" t="str">
        <f>IF(X231=2,HLOOKUP(R231,データについて!$J$12:$M$18,7,FALSE),"*")</f>
        <v>*</v>
      </c>
    </row>
    <row r="232" spans="1:30">
      <c r="A232" s="30">
        <v>4960</v>
      </c>
      <c r="B232" s="30" t="s">
        <v>4702</v>
      </c>
      <c r="C232" s="30" t="s">
        <v>4703</v>
      </c>
      <c r="D232" s="30" t="s">
        <v>106</v>
      </c>
      <c r="E232" s="30"/>
      <c r="F232" s="30" t="s">
        <v>107</v>
      </c>
      <c r="G232" s="30" t="s">
        <v>106</v>
      </c>
      <c r="H232" s="30"/>
      <c r="I232" s="30" t="s">
        <v>191</v>
      </c>
      <c r="J232" s="30"/>
      <c r="K232" s="30" t="s">
        <v>4342</v>
      </c>
      <c r="L232" s="30" t="s">
        <v>117</v>
      </c>
      <c r="M232" s="30" t="s">
        <v>113</v>
      </c>
      <c r="N232" s="30" t="s">
        <v>122</v>
      </c>
      <c r="O232" s="30" t="s">
        <v>116</v>
      </c>
      <c r="P232" s="30" t="s">
        <v>112</v>
      </c>
      <c r="Q232" s="30" t="s">
        <v>118</v>
      </c>
      <c r="R232" s="30" t="s">
        <v>185</v>
      </c>
      <c r="S232" s="81">
        <f>HLOOKUP(L232,データについて!$J$6:$M$18,13,FALSE)</f>
        <v>2</v>
      </c>
      <c r="T232" s="81">
        <f>HLOOKUP(M232,データについて!$J$7:$M$18,12,FALSE)</f>
        <v>1</v>
      </c>
      <c r="U232" s="81">
        <f>HLOOKUP(N232,データについて!$J$8:$M$18,11,FALSE)</f>
        <v>3</v>
      </c>
      <c r="V232" s="81">
        <f>HLOOKUP(O232,データについて!$J$9:$M$18,10,FALSE)</f>
        <v>2</v>
      </c>
      <c r="W232" s="81">
        <f>HLOOKUP(P232,データについて!$J$10:$M$18,9,FALSE)</f>
        <v>1</v>
      </c>
      <c r="X232" s="81">
        <f>HLOOKUP(Q232,データについて!$J$11:$M$18,8,FALSE)</f>
        <v>2</v>
      </c>
      <c r="Y232" s="81">
        <f>HLOOKUP(R232,データについて!$J$12:$M$18,7,FALSE)</f>
        <v>2</v>
      </c>
      <c r="Z232" s="81">
        <f>HLOOKUP(I232,データについて!$J$3:$M$18,16,FALSE)</f>
        <v>2</v>
      </c>
      <c r="AA232" s="81" t="str">
        <f>IFERROR(HLOOKUP(J232,データについて!$J$4:$AH$19,16,FALSE),"")</f>
        <v/>
      </c>
      <c r="AB232" s="81">
        <f>IFERROR(HLOOKUP(K232,データについて!$J$5:$AH$20,14,FALSE),"")</f>
        <v>1</v>
      </c>
      <c r="AC232" s="81" t="str">
        <f>IF(X232=1,HLOOKUP(R232,データについて!$J$12:$M$18,7,FALSE),"*")</f>
        <v>*</v>
      </c>
      <c r="AD232" s="81">
        <f>IF(X232=2,HLOOKUP(R232,データについて!$J$12:$M$18,7,FALSE),"*")</f>
        <v>2</v>
      </c>
    </row>
    <row r="233" spans="1:30">
      <c r="A233" s="30">
        <v>4959</v>
      </c>
      <c r="B233" s="30" t="s">
        <v>4704</v>
      </c>
      <c r="C233" s="30" t="s">
        <v>4705</v>
      </c>
      <c r="D233" s="30" t="s">
        <v>106</v>
      </c>
      <c r="E233" s="30"/>
      <c r="F233" s="30" t="s">
        <v>107</v>
      </c>
      <c r="G233" s="30" t="s">
        <v>106</v>
      </c>
      <c r="H233" s="30"/>
      <c r="I233" s="30" t="s">
        <v>191</v>
      </c>
      <c r="J233" s="30"/>
      <c r="K233" s="30" t="s">
        <v>4342</v>
      </c>
      <c r="L233" s="30" t="s">
        <v>108</v>
      </c>
      <c r="M233" s="30" t="s">
        <v>113</v>
      </c>
      <c r="N233" s="30" t="s">
        <v>114</v>
      </c>
      <c r="O233" s="30" t="s">
        <v>115</v>
      </c>
      <c r="P233" s="30" t="s">
        <v>112</v>
      </c>
      <c r="Q233" s="30" t="s">
        <v>112</v>
      </c>
      <c r="R233" s="30" t="s">
        <v>183</v>
      </c>
      <c r="S233" s="81">
        <f>HLOOKUP(L233,データについて!$J$6:$M$18,13,FALSE)</f>
        <v>1</v>
      </c>
      <c r="T233" s="81">
        <f>HLOOKUP(M233,データについて!$J$7:$M$18,12,FALSE)</f>
        <v>1</v>
      </c>
      <c r="U233" s="81">
        <f>HLOOKUP(N233,データについて!$J$8:$M$18,11,FALSE)</f>
        <v>1</v>
      </c>
      <c r="V233" s="81">
        <f>HLOOKUP(O233,データについて!$J$9:$M$18,10,FALSE)</f>
        <v>1</v>
      </c>
      <c r="W233" s="81">
        <f>HLOOKUP(P233,データについて!$J$10:$M$18,9,FALSE)</f>
        <v>1</v>
      </c>
      <c r="X233" s="81">
        <f>HLOOKUP(Q233,データについて!$J$11:$M$18,8,FALSE)</f>
        <v>1</v>
      </c>
      <c r="Y233" s="81">
        <f>HLOOKUP(R233,データについて!$J$12:$M$18,7,FALSE)</f>
        <v>1</v>
      </c>
      <c r="Z233" s="81">
        <f>HLOOKUP(I233,データについて!$J$3:$M$18,16,FALSE)</f>
        <v>2</v>
      </c>
      <c r="AA233" s="81" t="str">
        <f>IFERROR(HLOOKUP(J233,データについて!$J$4:$AH$19,16,FALSE),"")</f>
        <v/>
      </c>
      <c r="AB233" s="81">
        <f>IFERROR(HLOOKUP(K233,データについて!$J$5:$AH$20,14,FALSE),"")</f>
        <v>1</v>
      </c>
      <c r="AC233" s="81">
        <f>IF(X233=1,HLOOKUP(R233,データについて!$J$12:$M$18,7,FALSE),"*")</f>
        <v>1</v>
      </c>
      <c r="AD233" s="81" t="str">
        <f>IF(X233=2,HLOOKUP(R233,データについて!$J$12:$M$18,7,FALSE),"*")</f>
        <v>*</v>
      </c>
    </row>
    <row r="234" spans="1:30">
      <c r="A234" s="30">
        <v>4958</v>
      </c>
      <c r="B234" s="30" t="s">
        <v>4706</v>
      </c>
      <c r="C234" s="30" t="s">
        <v>4707</v>
      </c>
      <c r="D234" s="30" t="s">
        <v>106</v>
      </c>
      <c r="E234" s="30"/>
      <c r="F234" s="30" t="s">
        <v>107</v>
      </c>
      <c r="G234" s="30" t="s">
        <v>106</v>
      </c>
      <c r="H234" s="30"/>
      <c r="I234" s="30" t="s">
        <v>191</v>
      </c>
      <c r="J234" s="30"/>
      <c r="K234" s="30" t="s">
        <v>4342</v>
      </c>
      <c r="L234" s="30" t="s">
        <v>108</v>
      </c>
      <c r="M234" s="30" t="s">
        <v>113</v>
      </c>
      <c r="N234" s="30" t="s">
        <v>114</v>
      </c>
      <c r="O234" s="30" t="s">
        <v>115</v>
      </c>
      <c r="P234" s="30" t="s">
        <v>118</v>
      </c>
      <c r="Q234" s="30" t="s">
        <v>112</v>
      </c>
      <c r="R234" s="30" t="s">
        <v>187</v>
      </c>
      <c r="S234" s="81">
        <f>HLOOKUP(L234,データについて!$J$6:$M$18,13,FALSE)</f>
        <v>1</v>
      </c>
      <c r="T234" s="81">
        <f>HLOOKUP(M234,データについて!$J$7:$M$18,12,FALSE)</f>
        <v>1</v>
      </c>
      <c r="U234" s="81">
        <f>HLOOKUP(N234,データについて!$J$8:$M$18,11,FALSE)</f>
        <v>1</v>
      </c>
      <c r="V234" s="81">
        <f>HLOOKUP(O234,データについて!$J$9:$M$18,10,FALSE)</f>
        <v>1</v>
      </c>
      <c r="W234" s="81">
        <f>HLOOKUP(P234,データについて!$J$10:$M$18,9,FALSE)</f>
        <v>2</v>
      </c>
      <c r="X234" s="81">
        <f>HLOOKUP(Q234,データについて!$J$11:$M$18,8,FALSE)</f>
        <v>1</v>
      </c>
      <c r="Y234" s="81">
        <f>HLOOKUP(R234,データについて!$J$12:$M$18,7,FALSE)</f>
        <v>3</v>
      </c>
      <c r="Z234" s="81">
        <f>HLOOKUP(I234,データについて!$J$3:$M$18,16,FALSE)</f>
        <v>2</v>
      </c>
      <c r="AA234" s="81" t="str">
        <f>IFERROR(HLOOKUP(J234,データについて!$J$4:$AH$19,16,FALSE),"")</f>
        <v/>
      </c>
      <c r="AB234" s="81">
        <f>IFERROR(HLOOKUP(K234,データについて!$J$5:$AH$20,14,FALSE),"")</f>
        <v>1</v>
      </c>
      <c r="AC234" s="81">
        <f>IF(X234=1,HLOOKUP(R234,データについて!$J$12:$M$18,7,FALSE),"*")</f>
        <v>3</v>
      </c>
      <c r="AD234" s="81" t="str">
        <f>IF(X234=2,HLOOKUP(R234,データについて!$J$12:$M$18,7,FALSE),"*")</f>
        <v>*</v>
      </c>
    </row>
    <row r="235" spans="1:30">
      <c r="A235" s="30">
        <v>4957</v>
      </c>
      <c r="B235" s="30" t="s">
        <v>4708</v>
      </c>
      <c r="C235" s="30" t="s">
        <v>4709</v>
      </c>
      <c r="D235" s="30" t="s">
        <v>106</v>
      </c>
      <c r="E235" s="30"/>
      <c r="F235" s="30" t="s">
        <v>107</v>
      </c>
      <c r="G235" s="30" t="s">
        <v>106</v>
      </c>
      <c r="H235" s="30"/>
      <c r="I235" s="30" t="s">
        <v>191</v>
      </c>
      <c r="J235" s="30"/>
      <c r="K235" s="30" t="s">
        <v>4342</v>
      </c>
      <c r="L235" s="30" t="s">
        <v>108</v>
      </c>
      <c r="M235" s="30" t="s">
        <v>113</v>
      </c>
      <c r="N235" s="30" t="s">
        <v>110</v>
      </c>
      <c r="O235" s="30" t="s">
        <v>115</v>
      </c>
      <c r="P235" s="30" t="s">
        <v>118</v>
      </c>
      <c r="Q235" s="30" t="s">
        <v>112</v>
      </c>
      <c r="R235" s="30" t="s">
        <v>185</v>
      </c>
      <c r="S235" s="81">
        <f>HLOOKUP(L235,データについて!$J$6:$M$18,13,FALSE)</f>
        <v>1</v>
      </c>
      <c r="T235" s="81">
        <f>HLOOKUP(M235,データについて!$J$7:$M$18,12,FALSE)</f>
        <v>1</v>
      </c>
      <c r="U235" s="81">
        <f>HLOOKUP(N235,データについて!$J$8:$M$18,11,FALSE)</f>
        <v>2</v>
      </c>
      <c r="V235" s="81">
        <f>HLOOKUP(O235,データについて!$J$9:$M$18,10,FALSE)</f>
        <v>1</v>
      </c>
      <c r="W235" s="81">
        <f>HLOOKUP(P235,データについて!$J$10:$M$18,9,FALSE)</f>
        <v>2</v>
      </c>
      <c r="X235" s="81">
        <f>HLOOKUP(Q235,データについて!$J$11:$M$18,8,FALSE)</f>
        <v>1</v>
      </c>
      <c r="Y235" s="81">
        <f>HLOOKUP(R235,データについて!$J$12:$M$18,7,FALSE)</f>
        <v>2</v>
      </c>
      <c r="Z235" s="81">
        <f>HLOOKUP(I235,データについて!$J$3:$M$18,16,FALSE)</f>
        <v>2</v>
      </c>
      <c r="AA235" s="81" t="str">
        <f>IFERROR(HLOOKUP(J235,データについて!$J$4:$AH$19,16,FALSE),"")</f>
        <v/>
      </c>
      <c r="AB235" s="81">
        <f>IFERROR(HLOOKUP(K235,データについて!$J$5:$AH$20,14,FALSE),"")</f>
        <v>1</v>
      </c>
      <c r="AC235" s="81">
        <f>IF(X235=1,HLOOKUP(R235,データについて!$J$12:$M$18,7,FALSE),"*")</f>
        <v>2</v>
      </c>
      <c r="AD235" s="81" t="str">
        <f>IF(X235=2,HLOOKUP(R235,データについて!$J$12:$M$18,7,FALSE),"*")</f>
        <v>*</v>
      </c>
    </row>
    <row r="236" spans="1:30">
      <c r="A236" s="30">
        <v>4956</v>
      </c>
      <c r="B236" s="30" t="s">
        <v>4710</v>
      </c>
      <c r="C236" s="30" t="s">
        <v>4711</v>
      </c>
      <c r="D236" s="30" t="s">
        <v>106</v>
      </c>
      <c r="E236" s="30"/>
      <c r="F236" s="30" t="s">
        <v>107</v>
      </c>
      <c r="G236" s="30" t="s">
        <v>106</v>
      </c>
      <c r="H236" s="30"/>
      <c r="I236" s="30" t="s">
        <v>191</v>
      </c>
      <c r="J236" s="30"/>
      <c r="K236" s="30" t="s">
        <v>4342</v>
      </c>
      <c r="L236" s="30" t="s">
        <v>117</v>
      </c>
      <c r="M236" s="30" t="s">
        <v>109</v>
      </c>
      <c r="N236" s="30" t="s">
        <v>119</v>
      </c>
      <c r="O236" s="30" t="s">
        <v>115</v>
      </c>
      <c r="P236" s="30" t="s">
        <v>118</v>
      </c>
      <c r="Q236" s="30" t="s">
        <v>112</v>
      </c>
      <c r="R236" s="30" t="s">
        <v>185</v>
      </c>
      <c r="S236" s="81">
        <f>HLOOKUP(L236,データについて!$J$6:$M$18,13,FALSE)</f>
        <v>2</v>
      </c>
      <c r="T236" s="81">
        <f>HLOOKUP(M236,データについて!$J$7:$M$18,12,FALSE)</f>
        <v>2</v>
      </c>
      <c r="U236" s="81">
        <f>HLOOKUP(N236,データについて!$J$8:$M$18,11,FALSE)</f>
        <v>4</v>
      </c>
      <c r="V236" s="81">
        <f>HLOOKUP(O236,データについて!$J$9:$M$18,10,FALSE)</f>
        <v>1</v>
      </c>
      <c r="W236" s="81">
        <f>HLOOKUP(P236,データについて!$J$10:$M$18,9,FALSE)</f>
        <v>2</v>
      </c>
      <c r="X236" s="81">
        <f>HLOOKUP(Q236,データについて!$J$11:$M$18,8,FALSE)</f>
        <v>1</v>
      </c>
      <c r="Y236" s="81">
        <f>HLOOKUP(R236,データについて!$J$12:$M$18,7,FALSE)</f>
        <v>2</v>
      </c>
      <c r="Z236" s="81">
        <f>HLOOKUP(I236,データについて!$J$3:$M$18,16,FALSE)</f>
        <v>2</v>
      </c>
      <c r="AA236" s="81" t="str">
        <f>IFERROR(HLOOKUP(J236,データについて!$J$4:$AH$19,16,FALSE),"")</f>
        <v/>
      </c>
      <c r="AB236" s="81">
        <f>IFERROR(HLOOKUP(K236,データについて!$J$5:$AH$20,14,FALSE),"")</f>
        <v>1</v>
      </c>
      <c r="AC236" s="81">
        <f>IF(X236=1,HLOOKUP(R236,データについて!$J$12:$M$18,7,FALSE),"*")</f>
        <v>2</v>
      </c>
      <c r="AD236" s="81" t="str">
        <f>IF(X236=2,HLOOKUP(R236,データについて!$J$12:$M$18,7,FALSE),"*")</f>
        <v>*</v>
      </c>
    </row>
    <row r="237" spans="1:30">
      <c r="A237" s="30">
        <v>4955</v>
      </c>
      <c r="B237" s="30" t="s">
        <v>4712</v>
      </c>
      <c r="C237" s="30" t="s">
        <v>4713</v>
      </c>
      <c r="D237" s="30" t="s">
        <v>106</v>
      </c>
      <c r="E237" s="30"/>
      <c r="F237" s="30" t="s">
        <v>107</v>
      </c>
      <c r="G237" s="30" t="s">
        <v>106</v>
      </c>
      <c r="H237" s="30"/>
      <c r="I237" s="30" t="s">
        <v>191</v>
      </c>
      <c r="J237" s="30"/>
      <c r="K237" s="30" t="s">
        <v>4342</v>
      </c>
      <c r="L237" s="30" t="s">
        <v>117</v>
      </c>
      <c r="M237" s="30" t="s">
        <v>109</v>
      </c>
      <c r="N237" s="30" t="s">
        <v>122</v>
      </c>
      <c r="O237" s="30" t="s">
        <v>115</v>
      </c>
      <c r="P237" s="30" t="s">
        <v>112</v>
      </c>
      <c r="Q237" s="30" t="s">
        <v>112</v>
      </c>
      <c r="R237" s="30" t="s">
        <v>185</v>
      </c>
      <c r="S237" s="81">
        <f>HLOOKUP(L237,データについて!$J$6:$M$18,13,FALSE)</f>
        <v>2</v>
      </c>
      <c r="T237" s="81">
        <f>HLOOKUP(M237,データについて!$J$7:$M$18,12,FALSE)</f>
        <v>2</v>
      </c>
      <c r="U237" s="81">
        <f>HLOOKUP(N237,データについて!$J$8:$M$18,11,FALSE)</f>
        <v>3</v>
      </c>
      <c r="V237" s="81">
        <f>HLOOKUP(O237,データについて!$J$9:$M$18,10,FALSE)</f>
        <v>1</v>
      </c>
      <c r="W237" s="81">
        <f>HLOOKUP(P237,データについて!$J$10:$M$18,9,FALSE)</f>
        <v>1</v>
      </c>
      <c r="X237" s="81">
        <f>HLOOKUP(Q237,データについて!$J$11:$M$18,8,FALSE)</f>
        <v>1</v>
      </c>
      <c r="Y237" s="81">
        <f>HLOOKUP(R237,データについて!$J$12:$M$18,7,FALSE)</f>
        <v>2</v>
      </c>
      <c r="Z237" s="81">
        <f>HLOOKUP(I237,データについて!$J$3:$M$18,16,FALSE)</f>
        <v>2</v>
      </c>
      <c r="AA237" s="81" t="str">
        <f>IFERROR(HLOOKUP(J237,データについて!$J$4:$AH$19,16,FALSE),"")</f>
        <v/>
      </c>
      <c r="AB237" s="81">
        <f>IFERROR(HLOOKUP(K237,データについて!$J$5:$AH$20,14,FALSE),"")</f>
        <v>1</v>
      </c>
      <c r="AC237" s="81">
        <f>IF(X237=1,HLOOKUP(R237,データについて!$J$12:$M$18,7,FALSE),"*")</f>
        <v>2</v>
      </c>
      <c r="AD237" s="81" t="str">
        <f>IF(X237=2,HLOOKUP(R237,データについて!$J$12:$M$18,7,FALSE),"*")</f>
        <v>*</v>
      </c>
    </row>
    <row r="238" spans="1:30">
      <c r="A238" s="30">
        <v>4954</v>
      </c>
      <c r="B238" s="30" t="s">
        <v>4714</v>
      </c>
      <c r="C238" s="30" t="s">
        <v>4715</v>
      </c>
      <c r="D238" s="30" t="s">
        <v>106</v>
      </c>
      <c r="E238" s="30"/>
      <c r="F238" s="30" t="s">
        <v>107</v>
      </c>
      <c r="G238" s="30" t="s">
        <v>106</v>
      </c>
      <c r="H238" s="30"/>
      <c r="I238" s="30" t="s">
        <v>191</v>
      </c>
      <c r="J238" s="30"/>
      <c r="K238" s="30" t="s">
        <v>4342</v>
      </c>
      <c r="L238" s="30" t="s">
        <v>108</v>
      </c>
      <c r="M238" s="30" t="s">
        <v>109</v>
      </c>
      <c r="N238" s="30" t="s">
        <v>122</v>
      </c>
      <c r="O238" s="30" t="s">
        <v>115</v>
      </c>
      <c r="P238" s="30" t="s">
        <v>112</v>
      </c>
      <c r="Q238" s="30" t="s">
        <v>112</v>
      </c>
      <c r="R238" s="30" t="s">
        <v>185</v>
      </c>
      <c r="S238" s="81">
        <f>HLOOKUP(L238,データについて!$J$6:$M$18,13,FALSE)</f>
        <v>1</v>
      </c>
      <c r="T238" s="81">
        <f>HLOOKUP(M238,データについて!$J$7:$M$18,12,FALSE)</f>
        <v>2</v>
      </c>
      <c r="U238" s="81">
        <f>HLOOKUP(N238,データについて!$J$8:$M$18,11,FALSE)</f>
        <v>3</v>
      </c>
      <c r="V238" s="81">
        <f>HLOOKUP(O238,データについて!$J$9:$M$18,10,FALSE)</f>
        <v>1</v>
      </c>
      <c r="W238" s="81">
        <f>HLOOKUP(P238,データについて!$J$10:$M$18,9,FALSE)</f>
        <v>1</v>
      </c>
      <c r="X238" s="81">
        <f>HLOOKUP(Q238,データについて!$J$11:$M$18,8,FALSE)</f>
        <v>1</v>
      </c>
      <c r="Y238" s="81">
        <f>HLOOKUP(R238,データについて!$J$12:$M$18,7,FALSE)</f>
        <v>2</v>
      </c>
      <c r="Z238" s="81">
        <f>HLOOKUP(I238,データについて!$J$3:$M$18,16,FALSE)</f>
        <v>2</v>
      </c>
      <c r="AA238" s="81" t="str">
        <f>IFERROR(HLOOKUP(J238,データについて!$J$4:$AH$19,16,FALSE),"")</f>
        <v/>
      </c>
      <c r="AB238" s="81">
        <f>IFERROR(HLOOKUP(K238,データについて!$J$5:$AH$20,14,FALSE),"")</f>
        <v>1</v>
      </c>
      <c r="AC238" s="81">
        <f>IF(X238=1,HLOOKUP(R238,データについて!$J$12:$M$18,7,FALSE),"*")</f>
        <v>2</v>
      </c>
      <c r="AD238" s="81" t="str">
        <f>IF(X238=2,HLOOKUP(R238,データについて!$J$12:$M$18,7,FALSE),"*")</f>
        <v>*</v>
      </c>
    </row>
    <row r="239" spans="1:30">
      <c r="A239" s="30">
        <v>4953</v>
      </c>
      <c r="B239" s="30" t="s">
        <v>4716</v>
      </c>
      <c r="C239" s="30" t="s">
        <v>4715</v>
      </c>
      <c r="D239" s="30" t="s">
        <v>106</v>
      </c>
      <c r="E239" s="30"/>
      <c r="F239" s="30" t="s">
        <v>107</v>
      </c>
      <c r="G239" s="30" t="s">
        <v>106</v>
      </c>
      <c r="H239" s="30"/>
      <c r="I239" s="30" t="s">
        <v>191</v>
      </c>
      <c r="J239" s="30"/>
      <c r="K239" s="30" t="s">
        <v>4342</v>
      </c>
      <c r="L239" s="30" t="s">
        <v>108</v>
      </c>
      <c r="M239" s="30" t="s">
        <v>113</v>
      </c>
      <c r="N239" s="30" t="s">
        <v>114</v>
      </c>
      <c r="O239" s="30" t="s">
        <v>115</v>
      </c>
      <c r="P239" s="30" t="s">
        <v>112</v>
      </c>
      <c r="Q239" s="30" t="s">
        <v>112</v>
      </c>
      <c r="R239" s="30" t="s">
        <v>183</v>
      </c>
      <c r="S239" s="81">
        <f>HLOOKUP(L239,データについて!$J$6:$M$18,13,FALSE)</f>
        <v>1</v>
      </c>
      <c r="T239" s="81">
        <f>HLOOKUP(M239,データについて!$J$7:$M$18,12,FALSE)</f>
        <v>1</v>
      </c>
      <c r="U239" s="81">
        <f>HLOOKUP(N239,データについて!$J$8:$M$18,11,FALSE)</f>
        <v>1</v>
      </c>
      <c r="V239" s="81">
        <f>HLOOKUP(O239,データについて!$J$9:$M$18,10,FALSE)</f>
        <v>1</v>
      </c>
      <c r="W239" s="81">
        <f>HLOOKUP(P239,データについて!$J$10:$M$18,9,FALSE)</f>
        <v>1</v>
      </c>
      <c r="X239" s="81">
        <f>HLOOKUP(Q239,データについて!$J$11:$M$18,8,FALSE)</f>
        <v>1</v>
      </c>
      <c r="Y239" s="81">
        <f>HLOOKUP(R239,データについて!$J$12:$M$18,7,FALSE)</f>
        <v>1</v>
      </c>
      <c r="Z239" s="81">
        <f>HLOOKUP(I239,データについて!$J$3:$M$18,16,FALSE)</f>
        <v>2</v>
      </c>
      <c r="AA239" s="81" t="str">
        <f>IFERROR(HLOOKUP(J239,データについて!$J$4:$AH$19,16,FALSE),"")</f>
        <v/>
      </c>
      <c r="AB239" s="81">
        <f>IFERROR(HLOOKUP(K239,データについて!$J$5:$AH$20,14,FALSE),"")</f>
        <v>1</v>
      </c>
      <c r="AC239" s="81">
        <f>IF(X239=1,HLOOKUP(R239,データについて!$J$12:$M$18,7,FALSE),"*")</f>
        <v>1</v>
      </c>
      <c r="AD239" s="81" t="str">
        <f>IF(X239=2,HLOOKUP(R239,データについて!$J$12:$M$18,7,FALSE),"*")</f>
        <v>*</v>
      </c>
    </row>
    <row r="240" spans="1:30">
      <c r="A240" s="30">
        <v>4952</v>
      </c>
      <c r="B240" s="30" t="s">
        <v>4717</v>
      </c>
      <c r="C240" s="30" t="s">
        <v>4718</v>
      </c>
      <c r="D240" s="30" t="s">
        <v>106</v>
      </c>
      <c r="E240" s="30"/>
      <c r="F240" s="30" t="s">
        <v>107</v>
      </c>
      <c r="G240" s="30" t="s">
        <v>106</v>
      </c>
      <c r="H240" s="30"/>
      <c r="I240" s="30" t="s">
        <v>191</v>
      </c>
      <c r="J240" s="30"/>
      <c r="K240" s="30" t="s">
        <v>4342</v>
      </c>
      <c r="L240" s="30" t="s">
        <v>117</v>
      </c>
      <c r="M240" s="30" t="s">
        <v>109</v>
      </c>
      <c r="N240" s="30" t="s">
        <v>110</v>
      </c>
      <c r="O240" s="30" t="s">
        <v>115</v>
      </c>
      <c r="P240" s="30" t="s">
        <v>118</v>
      </c>
      <c r="Q240" s="30" t="s">
        <v>112</v>
      </c>
      <c r="R240" s="30" t="s">
        <v>183</v>
      </c>
      <c r="S240" s="81">
        <f>HLOOKUP(L240,データについて!$J$6:$M$18,13,FALSE)</f>
        <v>2</v>
      </c>
      <c r="T240" s="81">
        <f>HLOOKUP(M240,データについて!$J$7:$M$18,12,FALSE)</f>
        <v>2</v>
      </c>
      <c r="U240" s="81">
        <f>HLOOKUP(N240,データについて!$J$8:$M$18,11,FALSE)</f>
        <v>2</v>
      </c>
      <c r="V240" s="81">
        <f>HLOOKUP(O240,データについて!$J$9:$M$18,10,FALSE)</f>
        <v>1</v>
      </c>
      <c r="W240" s="81">
        <f>HLOOKUP(P240,データについて!$J$10:$M$18,9,FALSE)</f>
        <v>2</v>
      </c>
      <c r="X240" s="81">
        <f>HLOOKUP(Q240,データについて!$J$11:$M$18,8,FALSE)</f>
        <v>1</v>
      </c>
      <c r="Y240" s="81">
        <f>HLOOKUP(R240,データについて!$J$12:$M$18,7,FALSE)</f>
        <v>1</v>
      </c>
      <c r="Z240" s="81">
        <f>HLOOKUP(I240,データについて!$J$3:$M$18,16,FALSE)</f>
        <v>2</v>
      </c>
      <c r="AA240" s="81" t="str">
        <f>IFERROR(HLOOKUP(J240,データについて!$J$4:$AH$19,16,FALSE),"")</f>
        <v/>
      </c>
      <c r="AB240" s="81">
        <f>IFERROR(HLOOKUP(K240,データについて!$J$5:$AH$20,14,FALSE),"")</f>
        <v>1</v>
      </c>
      <c r="AC240" s="81">
        <f>IF(X240=1,HLOOKUP(R240,データについて!$J$12:$M$18,7,FALSE),"*")</f>
        <v>1</v>
      </c>
      <c r="AD240" s="81" t="str">
        <f>IF(X240=2,HLOOKUP(R240,データについて!$J$12:$M$18,7,FALSE),"*")</f>
        <v>*</v>
      </c>
    </row>
    <row r="241" spans="1:30">
      <c r="A241" s="30">
        <v>4951</v>
      </c>
      <c r="B241" s="30" t="s">
        <v>4719</v>
      </c>
      <c r="C241" s="30" t="s">
        <v>4720</v>
      </c>
      <c r="D241" s="30" t="s">
        <v>106</v>
      </c>
      <c r="E241" s="30"/>
      <c r="F241" s="30" t="s">
        <v>107</v>
      </c>
      <c r="G241" s="30" t="s">
        <v>106</v>
      </c>
      <c r="H241" s="30"/>
      <c r="I241" s="30" t="s">
        <v>191</v>
      </c>
      <c r="J241" s="30"/>
      <c r="K241" s="30" t="s">
        <v>4342</v>
      </c>
      <c r="L241" s="30" t="s">
        <v>117</v>
      </c>
      <c r="M241" s="30" t="s">
        <v>109</v>
      </c>
      <c r="N241" s="30" t="s">
        <v>122</v>
      </c>
      <c r="O241" s="30" t="s">
        <v>116</v>
      </c>
      <c r="P241" s="30" t="s">
        <v>118</v>
      </c>
      <c r="Q241" s="30" t="s">
        <v>118</v>
      </c>
      <c r="R241" s="30" t="s">
        <v>187</v>
      </c>
      <c r="S241" s="81">
        <f>HLOOKUP(L241,データについて!$J$6:$M$18,13,FALSE)</f>
        <v>2</v>
      </c>
      <c r="T241" s="81">
        <f>HLOOKUP(M241,データについて!$J$7:$M$18,12,FALSE)</f>
        <v>2</v>
      </c>
      <c r="U241" s="81">
        <f>HLOOKUP(N241,データについて!$J$8:$M$18,11,FALSE)</f>
        <v>3</v>
      </c>
      <c r="V241" s="81">
        <f>HLOOKUP(O241,データについて!$J$9:$M$18,10,FALSE)</f>
        <v>2</v>
      </c>
      <c r="W241" s="81">
        <f>HLOOKUP(P241,データについて!$J$10:$M$18,9,FALSE)</f>
        <v>2</v>
      </c>
      <c r="X241" s="81">
        <f>HLOOKUP(Q241,データについて!$J$11:$M$18,8,FALSE)</f>
        <v>2</v>
      </c>
      <c r="Y241" s="81">
        <f>HLOOKUP(R241,データについて!$J$12:$M$18,7,FALSE)</f>
        <v>3</v>
      </c>
      <c r="Z241" s="81">
        <f>HLOOKUP(I241,データについて!$J$3:$M$18,16,FALSE)</f>
        <v>2</v>
      </c>
      <c r="AA241" s="81" t="str">
        <f>IFERROR(HLOOKUP(J241,データについて!$J$4:$AH$19,16,FALSE),"")</f>
        <v/>
      </c>
      <c r="AB241" s="81">
        <f>IFERROR(HLOOKUP(K241,データについて!$J$5:$AH$20,14,FALSE),"")</f>
        <v>1</v>
      </c>
      <c r="AC241" s="81" t="str">
        <f>IF(X241=1,HLOOKUP(R241,データについて!$J$12:$M$18,7,FALSE),"*")</f>
        <v>*</v>
      </c>
      <c r="AD241" s="81">
        <f>IF(X241=2,HLOOKUP(R241,データについて!$J$12:$M$18,7,FALSE),"*")</f>
        <v>3</v>
      </c>
    </row>
    <row r="242" spans="1:30">
      <c r="A242" s="30">
        <v>4950</v>
      </c>
      <c r="B242" s="30" t="s">
        <v>4721</v>
      </c>
      <c r="C242" s="30" t="s">
        <v>4722</v>
      </c>
      <c r="D242" s="30" t="s">
        <v>106</v>
      </c>
      <c r="E242" s="30"/>
      <c r="F242" s="30" t="s">
        <v>107</v>
      </c>
      <c r="G242" s="30" t="s">
        <v>106</v>
      </c>
      <c r="H242" s="30"/>
      <c r="I242" s="30" t="s">
        <v>191</v>
      </c>
      <c r="J242" s="30"/>
      <c r="K242" s="30" t="s">
        <v>4342</v>
      </c>
      <c r="L242" s="30" t="s">
        <v>108</v>
      </c>
      <c r="M242" s="30" t="s">
        <v>113</v>
      </c>
      <c r="N242" s="30" t="s">
        <v>114</v>
      </c>
      <c r="O242" s="30" t="s">
        <v>115</v>
      </c>
      <c r="P242" s="30" t="s">
        <v>112</v>
      </c>
      <c r="Q242" s="30" t="s">
        <v>112</v>
      </c>
      <c r="R242" s="30" t="s">
        <v>183</v>
      </c>
      <c r="S242" s="81">
        <f>HLOOKUP(L242,データについて!$J$6:$M$18,13,FALSE)</f>
        <v>1</v>
      </c>
      <c r="T242" s="81">
        <f>HLOOKUP(M242,データについて!$J$7:$M$18,12,FALSE)</f>
        <v>1</v>
      </c>
      <c r="U242" s="81">
        <f>HLOOKUP(N242,データについて!$J$8:$M$18,11,FALSE)</f>
        <v>1</v>
      </c>
      <c r="V242" s="81">
        <f>HLOOKUP(O242,データについて!$J$9:$M$18,10,FALSE)</f>
        <v>1</v>
      </c>
      <c r="W242" s="81">
        <f>HLOOKUP(P242,データについて!$J$10:$M$18,9,FALSE)</f>
        <v>1</v>
      </c>
      <c r="X242" s="81">
        <f>HLOOKUP(Q242,データについて!$J$11:$M$18,8,FALSE)</f>
        <v>1</v>
      </c>
      <c r="Y242" s="81">
        <f>HLOOKUP(R242,データについて!$J$12:$M$18,7,FALSE)</f>
        <v>1</v>
      </c>
      <c r="Z242" s="81">
        <f>HLOOKUP(I242,データについて!$J$3:$M$18,16,FALSE)</f>
        <v>2</v>
      </c>
      <c r="AA242" s="81" t="str">
        <f>IFERROR(HLOOKUP(J242,データについて!$J$4:$AH$19,16,FALSE),"")</f>
        <v/>
      </c>
      <c r="AB242" s="81">
        <f>IFERROR(HLOOKUP(K242,データについて!$J$5:$AH$20,14,FALSE),"")</f>
        <v>1</v>
      </c>
      <c r="AC242" s="81">
        <f>IF(X242=1,HLOOKUP(R242,データについて!$J$12:$M$18,7,FALSE),"*")</f>
        <v>1</v>
      </c>
      <c r="AD242" s="81" t="str">
        <f>IF(X242=2,HLOOKUP(R242,データについて!$J$12:$M$18,7,FALSE),"*")</f>
        <v>*</v>
      </c>
    </row>
    <row r="243" spans="1:30">
      <c r="A243" s="30">
        <v>4949</v>
      </c>
      <c r="B243" s="30" t="s">
        <v>4723</v>
      </c>
      <c r="C243" s="30" t="s">
        <v>4724</v>
      </c>
      <c r="D243" s="30" t="s">
        <v>106</v>
      </c>
      <c r="E243" s="30"/>
      <c r="F243" s="30" t="s">
        <v>107</v>
      </c>
      <c r="G243" s="30" t="s">
        <v>106</v>
      </c>
      <c r="H243" s="30"/>
      <c r="I243" s="30" t="s">
        <v>191</v>
      </c>
      <c r="J243" s="30"/>
      <c r="K243" s="30" t="s">
        <v>4342</v>
      </c>
      <c r="L243" s="30" t="s">
        <v>117</v>
      </c>
      <c r="M243" s="30" t="s">
        <v>113</v>
      </c>
      <c r="N243" s="30" t="s">
        <v>110</v>
      </c>
      <c r="O243" s="30" t="s">
        <v>115</v>
      </c>
      <c r="P243" s="30" t="s">
        <v>118</v>
      </c>
      <c r="Q243" s="30" t="s">
        <v>112</v>
      </c>
      <c r="R243" s="30" t="s">
        <v>185</v>
      </c>
      <c r="S243" s="81">
        <f>HLOOKUP(L243,データについて!$J$6:$M$18,13,FALSE)</f>
        <v>2</v>
      </c>
      <c r="T243" s="81">
        <f>HLOOKUP(M243,データについて!$J$7:$M$18,12,FALSE)</f>
        <v>1</v>
      </c>
      <c r="U243" s="81">
        <f>HLOOKUP(N243,データについて!$J$8:$M$18,11,FALSE)</f>
        <v>2</v>
      </c>
      <c r="V243" s="81">
        <f>HLOOKUP(O243,データについて!$J$9:$M$18,10,FALSE)</f>
        <v>1</v>
      </c>
      <c r="W243" s="81">
        <f>HLOOKUP(P243,データについて!$J$10:$M$18,9,FALSE)</f>
        <v>2</v>
      </c>
      <c r="X243" s="81">
        <f>HLOOKUP(Q243,データについて!$J$11:$M$18,8,FALSE)</f>
        <v>1</v>
      </c>
      <c r="Y243" s="81">
        <f>HLOOKUP(R243,データについて!$J$12:$M$18,7,FALSE)</f>
        <v>2</v>
      </c>
      <c r="Z243" s="81">
        <f>HLOOKUP(I243,データについて!$J$3:$M$18,16,FALSE)</f>
        <v>2</v>
      </c>
      <c r="AA243" s="81" t="str">
        <f>IFERROR(HLOOKUP(J243,データについて!$J$4:$AH$19,16,FALSE),"")</f>
        <v/>
      </c>
      <c r="AB243" s="81">
        <f>IFERROR(HLOOKUP(K243,データについて!$J$5:$AH$20,14,FALSE),"")</f>
        <v>1</v>
      </c>
      <c r="AC243" s="81">
        <f>IF(X243=1,HLOOKUP(R243,データについて!$J$12:$M$18,7,FALSE),"*")</f>
        <v>2</v>
      </c>
      <c r="AD243" s="81" t="str">
        <f>IF(X243=2,HLOOKUP(R243,データについて!$J$12:$M$18,7,FALSE),"*")</f>
        <v>*</v>
      </c>
    </row>
    <row r="244" spans="1:30">
      <c r="A244" s="30">
        <v>4948</v>
      </c>
      <c r="B244" s="30" t="s">
        <v>4725</v>
      </c>
      <c r="C244" s="30" t="s">
        <v>4726</v>
      </c>
      <c r="D244" s="30" t="s">
        <v>106</v>
      </c>
      <c r="E244" s="30"/>
      <c r="F244" s="30" t="s">
        <v>107</v>
      </c>
      <c r="G244" s="30" t="s">
        <v>106</v>
      </c>
      <c r="H244" s="30"/>
      <c r="I244" s="30" t="s">
        <v>191</v>
      </c>
      <c r="J244" s="30"/>
      <c r="K244" s="30" t="s">
        <v>4342</v>
      </c>
      <c r="L244" s="30" t="s">
        <v>108</v>
      </c>
      <c r="M244" s="30" t="s">
        <v>113</v>
      </c>
      <c r="N244" s="30" t="s">
        <v>114</v>
      </c>
      <c r="O244" s="30" t="s">
        <v>115</v>
      </c>
      <c r="P244" s="30" t="s">
        <v>112</v>
      </c>
      <c r="Q244" s="30" t="s">
        <v>112</v>
      </c>
      <c r="R244" s="30" t="s">
        <v>183</v>
      </c>
      <c r="S244" s="81">
        <f>HLOOKUP(L244,データについて!$J$6:$M$18,13,FALSE)</f>
        <v>1</v>
      </c>
      <c r="T244" s="81">
        <f>HLOOKUP(M244,データについて!$J$7:$M$18,12,FALSE)</f>
        <v>1</v>
      </c>
      <c r="U244" s="81">
        <f>HLOOKUP(N244,データについて!$J$8:$M$18,11,FALSE)</f>
        <v>1</v>
      </c>
      <c r="V244" s="81">
        <f>HLOOKUP(O244,データについて!$J$9:$M$18,10,FALSE)</f>
        <v>1</v>
      </c>
      <c r="W244" s="81">
        <f>HLOOKUP(P244,データについて!$J$10:$M$18,9,FALSE)</f>
        <v>1</v>
      </c>
      <c r="X244" s="81">
        <f>HLOOKUP(Q244,データについて!$J$11:$M$18,8,FALSE)</f>
        <v>1</v>
      </c>
      <c r="Y244" s="81">
        <f>HLOOKUP(R244,データについて!$J$12:$M$18,7,FALSE)</f>
        <v>1</v>
      </c>
      <c r="Z244" s="81">
        <f>HLOOKUP(I244,データについて!$J$3:$M$18,16,FALSE)</f>
        <v>2</v>
      </c>
      <c r="AA244" s="81" t="str">
        <f>IFERROR(HLOOKUP(J244,データについて!$J$4:$AH$19,16,FALSE),"")</f>
        <v/>
      </c>
      <c r="AB244" s="81">
        <f>IFERROR(HLOOKUP(K244,データについて!$J$5:$AH$20,14,FALSE),"")</f>
        <v>1</v>
      </c>
      <c r="AC244" s="81">
        <f>IF(X244=1,HLOOKUP(R244,データについて!$J$12:$M$18,7,FALSE),"*")</f>
        <v>1</v>
      </c>
      <c r="AD244" s="81" t="str">
        <f>IF(X244=2,HLOOKUP(R244,データについて!$J$12:$M$18,7,FALSE),"*")</f>
        <v>*</v>
      </c>
    </row>
    <row r="245" spans="1:30">
      <c r="A245" s="30">
        <v>4947</v>
      </c>
      <c r="B245" s="30" t="s">
        <v>4727</v>
      </c>
      <c r="C245" s="30" t="s">
        <v>4728</v>
      </c>
      <c r="D245" s="30" t="s">
        <v>106</v>
      </c>
      <c r="E245" s="30"/>
      <c r="F245" s="30" t="s">
        <v>107</v>
      </c>
      <c r="G245" s="30" t="s">
        <v>106</v>
      </c>
      <c r="H245" s="30"/>
      <c r="I245" s="30" t="s">
        <v>191</v>
      </c>
      <c r="J245" s="30"/>
      <c r="K245" s="30" t="s">
        <v>4342</v>
      </c>
      <c r="L245" s="30" t="s">
        <v>108</v>
      </c>
      <c r="M245" s="30" t="s">
        <v>113</v>
      </c>
      <c r="N245" s="30" t="s">
        <v>110</v>
      </c>
      <c r="O245" s="30" t="s">
        <v>115</v>
      </c>
      <c r="P245" s="30" t="s">
        <v>112</v>
      </c>
      <c r="Q245" s="30" t="s">
        <v>112</v>
      </c>
      <c r="R245" s="30" t="s">
        <v>185</v>
      </c>
      <c r="S245" s="81">
        <f>HLOOKUP(L245,データについて!$J$6:$M$18,13,FALSE)</f>
        <v>1</v>
      </c>
      <c r="T245" s="81">
        <f>HLOOKUP(M245,データについて!$J$7:$M$18,12,FALSE)</f>
        <v>1</v>
      </c>
      <c r="U245" s="81">
        <f>HLOOKUP(N245,データについて!$J$8:$M$18,11,FALSE)</f>
        <v>2</v>
      </c>
      <c r="V245" s="81">
        <f>HLOOKUP(O245,データについて!$J$9:$M$18,10,FALSE)</f>
        <v>1</v>
      </c>
      <c r="W245" s="81">
        <f>HLOOKUP(P245,データについて!$J$10:$M$18,9,FALSE)</f>
        <v>1</v>
      </c>
      <c r="X245" s="81">
        <f>HLOOKUP(Q245,データについて!$J$11:$M$18,8,FALSE)</f>
        <v>1</v>
      </c>
      <c r="Y245" s="81">
        <f>HLOOKUP(R245,データについて!$J$12:$M$18,7,FALSE)</f>
        <v>2</v>
      </c>
      <c r="Z245" s="81">
        <f>HLOOKUP(I245,データについて!$J$3:$M$18,16,FALSE)</f>
        <v>2</v>
      </c>
      <c r="AA245" s="81" t="str">
        <f>IFERROR(HLOOKUP(J245,データについて!$J$4:$AH$19,16,FALSE),"")</f>
        <v/>
      </c>
      <c r="AB245" s="81">
        <f>IFERROR(HLOOKUP(K245,データについて!$J$5:$AH$20,14,FALSE),"")</f>
        <v>1</v>
      </c>
      <c r="AC245" s="81">
        <f>IF(X245=1,HLOOKUP(R245,データについて!$J$12:$M$18,7,FALSE),"*")</f>
        <v>2</v>
      </c>
      <c r="AD245" s="81" t="str">
        <f>IF(X245=2,HLOOKUP(R245,データについて!$J$12:$M$18,7,FALSE),"*")</f>
        <v>*</v>
      </c>
    </row>
    <row r="246" spans="1:30">
      <c r="A246" s="30">
        <v>4946</v>
      </c>
      <c r="B246" s="30" t="s">
        <v>4729</v>
      </c>
      <c r="C246" s="30" t="s">
        <v>4730</v>
      </c>
      <c r="D246" s="30" t="s">
        <v>106</v>
      </c>
      <c r="E246" s="30"/>
      <c r="F246" s="30" t="s">
        <v>107</v>
      </c>
      <c r="G246" s="30" t="s">
        <v>106</v>
      </c>
      <c r="H246" s="30"/>
      <c r="I246" s="30" t="s">
        <v>191</v>
      </c>
      <c r="J246" s="30"/>
      <c r="K246" s="30" t="s">
        <v>4342</v>
      </c>
      <c r="L246" s="30" t="s">
        <v>108</v>
      </c>
      <c r="M246" s="30" t="s">
        <v>113</v>
      </c>
      <c r="N246" s="30" t="s">
        <v>114</v>
      </c>
      <c r="O246" s="30" t="s">
        <v>115</v>
      </c>
      <c r="P246" s="30" t="s">
        <v>112</v>
      </c>
      <c r="Q246" s="30" t="s">
        <v>112</v>
      </c>
      <c r="R246" s="30" t="s">
        <v>183</v>
      </c>
      <c r="S246" s="81">
        <f>HLOOKUP(L246,データについて!$J$6:$M$18,13,FALSE)</f>
        <v>1</v>
      </c>
      <c r="T246" s="81">
        <f>HLOOKUP(M246,データについて!$J$7:$M$18,12,FALSE)</f>
        <v>1</v>
      </c>
      <c r="U246" s="81">
        <f>HLOOKUP(N246,データについて!$J$8:$M$18,11,FALSE)</f>
        <v>1</v>
      </c>
      <c r="V246" s="81">
        <f>HLOOKUP(O246,データについて!$J$9:$M$18,10,FALSE)</f>
        <v>1</v>
      </c>
      <c r="W246" s="81">
        <f>HLOOKUP(P246,データについて!$J$10:$M$18,9,FALSE)</f>
        <v>1</v>
      </c>
      <c r="X246" s="81">
        <f>HLOOKUP(Q246,データについて!$J$11:$M$18,8,FALSE)</f>
        <v>1</v>
      </c>
      <c r="Y246" s="81">
        <f>HLOOKUP(R246,データについて!$J$12:$M$18,7,FALSE)</f>
        <v>1</v>
      </c>
      <c r="Z246" s="81">
        <f>HLOOKUP(I246,データについて!$J$3:$M$18,16,FALSE)</f>
        <v>2</v>
      </c>
      <c r="AA246" s="81" t="str">
        <f>IFERROR(HLOOKUP(J246,データについて!$J$4:$AH$19,16,FALSE),"")</f>
        <v/>
      </c>
      <c r="AB246" s="81">
        <f>IFERROR(HLOOKUP(K246,データについて!$J$5:$AH$20,14,FALSE),"")</f>
        <v>1</v>
      </c>
      <c r="AC246" s="81">
        <f>IF(X246=1,HLOOKUP(R246,データについて!$J$12:$M$18,7,FALSE),"*")</f>
        <v>1</v>
      </c>
      <c r="AD246" s="81" t="str">
        <f>IF(X246=2,HLOOKUP(R246,データについて!$J$12:$M$18,7,FALSE),"*")</f>
        <v>*</v>
      </c>
    </row>
    <row r="247" spans="1:30">
      <c r="A247" s="30">
        <v>4945</v>
      </c>
      <c r="B247" s="30" t="s">
        <v>4731</v>
      </c>
      <c r="C247" s="30" t="s">
        <v>4732</v>
      </c>
      <c r="D247" s="30" t="s">
        <v>106</v>
      </c>
      <c r="E247" s="30"/>
      <c r="F247" s="30" t="s">
        <v>107</v>
      </c>
      <c r="G247" s="30" t="s">
        <v>106</v>
      </c>
      <c r="H247" s="30"/>
      <c r="I247" s="30" t="s">
        <v>191</v>
      </c>
      <c r="J247" s="30"/>
      <c r="K247" s="30" t="s">
        <v>4342</v>
      </c>
      <c r="L247" s="30" t="s">
        <v>108</v>
      </c>
      <c r="M247" s="30" t="s">
        <v>113</v>
      </c>
      <c r="N247" s="30" t="s">
        <v>110</v>
      </c>
      <c r="O247" s="30" t="s">
        <v>115</v>
      </c>
      <c r="P247" s="30" t="s">
        <v>118</v>
      </c>
      <c r="Q247" s="30" t="s">
        <v>112</v>
      </c>
      <c r="R247" s="30" t="s">
        <v>185</v>
      </c>
      <c r="S247" s="81">
        <f>HLOOKUP(L247,データについて!$J$6:$M$18,13,FALSE)</f>
        <v>1</v>
      </c>
      <c r="T247" s="81">
        <f>HLOOKUP(M247,データについて!$J$7:$M$18,12,FALSE)</f>
        <v>1</v>
      </c>
      <c r="U247" s="81">
        <f>HLOOKUP(N247,データについて!$J$8:$M$18,11,FALSE)</f>
        <v>2</v>
      </c>
      <c r="V247" s="81">
        <f>HLOOKUP(O247,データについて!$J$9:$M$18,10,FALSE)</f>
        <v>1</v>
      </c>
      <c r="W247" s="81">
        <f>HLOOKUP(P247,データについて!$J$10:$M$18,9,FALSE)</f>
        <v>2</v>
      </c>
      <c r="X247" s="81">
        <f>HLOOKUP(Q247,データについて!$J$11:$M$18,8,FALSE)</f>
        <v>1</v>
      </c>
      <c r="Y247" s="81">
        <f>HLOOKUP(R247,データについて!$J$12:$M$18,7,FALSE)</f>
        <v>2</v>
      </c>
      <c r="Z247" s="81">
        <f>HLOOKUP(I247,データについて!$J$3:$M$18,16,FALSE)</f>
        <v>2</v>
      </c>
      <c r="AA247" s="81" t="str">
        <f>IFERROR(HLOOKUP(J247,データについて!$J$4:$AH$19,16,FALSE),"")</f>
        <v/>
      </c>
      <c r="AB247" s="81">
        <f>IFERROR(HLOOKUP(K247,データについて!$J$5:$AH$20,14,FALSE),"")</f>
        <v>1</v>
      </c>
      <c r="AC247" s="81">
        <f>IF(X247=1,HLOOKUP(R247,データについて!$J$12:$M$18,7,FALSE),"*")</f>
        <v>2</v>
      </c>
      <c r="AD247" s="81" t="str">
        <f>IF(X247=2,HLOOKUP(R247,データについて!$J$12:$M$18,7,FALSE),"*")</f>
        <v>*</v>
      </c>
    </row>
    <row r="248" spans="1:30">
      <c r="A248" s="30">
        <v>4944</v>
      </c>
      <c r="B248" s="30" t="s">
        <v>4733</v>
      </c>
      <c r="C248" s="30" t="s">
        <v>4734</v>
      </c>
      <c r="D248" s="30" t="s">
        <v>106</v>
      </c>
      <c r="E248" s="30"/>
      <c r="F248" s="30" t="s">
        <v>107</v>
      </c>
      <c r="G248" s="30" t="s">
        <v>106</v>
      </c>
      <c r="H248" s="30"/>
      <c r="I248" s="30" t="s">
        <v>191</v>
      </c>
      <c r="J248" s="30"/>
      <c r="K248" s="30" t="s">
        <v>4342</v>
      </c>
      <c r="L248" s="30" t="s">
        <v>117</v>
      </c>
      <c r="M248" s="30" t="s">
        <v>113</v>
      </c>
      <c r="N248" s="30" t="s">
        <v>110</v>
      </c>
      <c r="O248" s="30" t="s">
        <v>116</v>
      </c>
      <c r="P248" s="30" t="s">
        <v>112</v>
      </c>
      <c r="Q248" s="30" t="s">
        <v>112</v>
      </c>
      <c r="R248" s="30" t="s">
        <v>185</v>
      </c>
      <c r="S248" s="81">
        <f>HLOOKUP(L248,データについて!$J$6:$M$18,13,FALSE)</f>
        <v>2</v>
      </c>
      <c r="T248" s="81">
        <f>HLOOKUP(M248,データについて!$J$7:$M$18,12,FALSE)</f>
        <v>1</v>
      </c>
      <c r="U248" s="81">
        <f>HLOOKUP(N248,データについて!$J$8:$M$18,11,FALSE)</f>
        <v>2</v>
      </c>
      <c r="V248" s="81">
        <f>HLOOKUP(O248,データについて!$J$9:$M$18,10,FALSE)</f>
        <v>2</v>
      </c>
      <c r="W248" s="81">
        <f>HLOOKUP(P248,データについて!$J$10:$M$18,9,FALSE)</f>
        <v>1</v>
      </c>
      <c r="X248" s="81">
        <f>HLOOKUP(Q248,データについて!$J$11:$M$18,8,FALSE)</f>
        <v>1</v>
      </c>
      <c r="Y248" s="81">
        <f>HLOOKUP(R248,データについて!$J$12:$M$18,7,FALSE)</f>
        <v>2</v>
      </c>
      <c r="Z248" s="81">
        <f>HLOOKUP(I248,データについて!$J$3:$M$18,16,FALSE)</f>
        <v>2</v>
      </c>
      <c r="AA248" s="81" t="str">
        <f>IFERROR(HLOOKUP(J248,データについて!$J$4:$AH$19,16,FALSE),"")</f>
        <v/>
      </c>
      <c r="AB248" s="81">
        <f>IFERROR(HLOOKUP(K248,データについて!$J$5:$AH$20,14,FALSE),"")</f>
        <v>1</v>
      </c>
      <c r="AC248" s="81">
        <f>IF(X248=1,HLOOKUP(R248,データについて!$J$12:$M$18,7,FALSE),"*")</f>
        <v>2</v>
      </c>
      <c r="AD248" s="81" t="str">
        <f>IF(X248=2,HLOOKUP(R248,データについて!$J$12:$M$18,7,FALSE),"*")</f>
        <v>*</v>
      </c>
    </row>
    <row r="249" spans="1:30">
      <c r="A249" s="30">
        <v>4943</v>
      </c>
      <c r="B249" s="30" t="s">
        <v>4735</v>
      </c>
      <c r="C249" s="30" t="s">
        <v>4736</v>
      </c>
      <c r="D249" s="30" t="s">
        <v>106</v>
      </c>
      <c r="E249" s="30"/>
      <c r="F249" s="30" t="s">
        <v>107</v>
      </c>
      <c r="G249" s="30" t="s">
        <v>106</v>
      </c>
      <c r="H249" s="30"/>
      <c r="I249" s="30" t="s">
        <v>191</v>
      </c>
      <c r="J249" s="30"/>
      <c r="K249" s="30" t="s">
        <v>4342</v>
      </c>
      <c r="L249" s="30" t="s">
        <v>108</v>
      </c>
      <c r="M249" s="30" t="s">
        <v>109</v>
      </c>
      <c r="N249" s="30" t="s">
        <v>114</v>
      </c>
      <c r="O249" s="30" t="s">
        <v>115</v>
      </c>
      <c r="P249" s="30" t="s">
        <v>118</v>
      </c>
      <c r="Q249" s="30" t="s">
        <v>112</v>
      </c>
      <c r="R249" s="30" t="s">
        <v>187</v>
      </c>
      <c r="S249" s="81">
        <f>HLOOKUP(L249,データについて!$J$6:$M$18,13,FALSE)</f>
        <v>1</v>
      </c>
      <c r="T249" s="81">
        <f>HLOOKUP(M249,データについて!$J$7:$M$18,12,FALSE)</f>
        <v>2</v>
      </c>
      <c r="U249" s="81">
        <f>HLOOKUP(N249,データについて!$J$8:$M$18,11,FALSE)</f>
        <v>1</v>
      </c>
      <c r="V249" s="81">
        <f>HLOOKUP(O249,データについて!$J$9:$M$18,10,FALSE)</f>
        <v>1</v>
      </c>
      <c r="W249" s="81">
        <f>HLOOKUP(P249,データについて!$J$10:$M$18,9,FALSE)</f>
        <v>2</v>
      </c>
      <c r="X249" s="81">
        <f>HLOOKUP(Q249,データについて!$J$11:$M$18,8,FALSE)</f>
        <v>1</v>
      </c>
      <c r="Y249" s="81">
        <f>HLOOKUP(R249,データについて!$J$12:$M$18,7,FALSE)</f>
        <v>3</v>
      </c>
      <c r="Z249" s="81">
        <f>HLOOKUP(I249,データについて!$J$3:$M$18,16,FALSE)</f>
        <v>2</v>
      </c>
      <c r="AA249" s="81" t="str">
        <f>IFERROR(HLOOKUP(J249,データについて!$J$4:$AH$19,16,FALSE),"")</f>
        <v/>
      </c>
      <c r="AB249" s="81">
        <f>IFERROR(HLOOKUP(K249,データについて!$J$5:$AH$20,14,FALSE),"")</f>
        <v>1</v>
      </c>
      <c r="AC249" s="81">
        <f>IF(X249=1,HLOOKUP(R249,データについて!$J$12:$M$18,7,FALSE),"*")</f>
        <v>3</v>
      </c>
      <c r="AD249" s="81" t="str">
        <f>IF(X249=2,HLOOKUP(R249,データについて!$J$12:$M$18,7,FALSE),"*")</f>
        <v>*</v>
      </c>
    </row>
    <row r="250" spans="1:30">
      <c r="A250" s="30">
        <v>4942</v>
      </c>
      <c r="B250" s="30" t="s">
        <v>4737</v>
      </c>
      <c r="C250" s="30" t="s">
        <v>4738</v>
      </c>
      <c r="D250" s="30" t="s">
        <v>106</v>
      </c>
      <c r="E250" s="30"/>
      <c r="F250" s="30" t="s">
        <v>107</v>
      </c>
      <c r="G250" s="30" t="s">
        <v>106</v>
      </c>
      <c r="H250" s="30"/>
      <c r="I250" s="30" t="s">
        <v>191</v>
      </c>
      <c r="J250" s="30"/>
      <c r="K250" s="30" t="s">
        <v>4342</v>
      </c>
      <c r="L250" s="30" t="s">
        <v>117</v>
      </c>
      <c r="M250" s="30" t="s">
        <v>113</v>
      </c>
      <c r="N250" s="30" t="s">
        <v>119</v>
      </c>
      <c r="O250" s="30" t="s">
        <v>115</v>
      </c>
      <c r="P250" s="30" t="s">
        <v>118</v>
      </c>
      <c r="Q250" s="30" t="s">
        <v>112</v>
      </c>
      <c r="R250" s="30" t="s">
        <v>189</v>
      </c>
      <c r="S250" s="81">
        <f>HLOOKUP(L250,データについて!$J$6:$M$18,13,FALSE)</f>
        <v>2</v>
      </c>
      <c r="T250" s="81">
        <f>HLOOKUP(M250,データについて!$J$7:$M$18,12,FALSE)</f>
        <v>1</v>
      </c>
      <c r="U250" s="81">
        <f>HLOOKUP(N250,データについて!$J$8:$M$18,11,FALSE)</f>
        <v>4</v>
      </c>
      <c r="V250" s="81">
        <f>HLOOKUP(O250,データについて!$J$9:$M$18,10,FALSE)</f>
        <v>1</v>
      </c>
      <c r="W250" s="81">
        <f>HLOOKUP(P250,データについて!$J$10:$M$18,9,FALSE)</f>
        <v>2</v>
      </c>
      <c r="X250" s="81">
        <f>HLOOKUP(Q250,データについて!$J$11:$M$18,8,FALSE)</f>
        <v>1</v>
      </c>
      <c r="Y250" s="81">
        <f>HLOOKUP(R250,データについて!$J$12:$M$18,7,FALSE)</f>
        <v>4</v>
      </c>
      <c r="Z250" s="81">
        <f>HLOOKUP(I250,データについて!$J$3:$M$18,16,FALSE)</f>
        <v>2</v>
      </c>
      <c r="AA250" s="81" t="str">
        <f>IFERROR(HLOOKUP(J250,データについて!$J$4:$AH$19,16,FALSE),"")</f>
        <v/>
      </c>
      <c r="AB250" s="81">
        <f>IFERROR(HLOOKUP(K250,データについて!$J$5:$AH$20,14,FALSE),"")</f>
        <v>1</v>
      </c>
      <c r="AC250" s="81">
        <f>IF(X250=1,HLOOKUP(R250,データについて!$J$12:$M$18,7,FALSE),"*")</f>
        <v>4</v>
      </c>
      <c r="AD250" s="81" t="str">
        <f>IF(X250=2,HLOOKUP(R250,データについて!$J$12:$M$18,7,FALSE),"*")</f>
        <v>*</v>
      </c>
    </row>
    <row r="251" spans="1:30">
      <c r="A251" s="30">
        <v>4941</v>
      </c>
      <c r="B251" s="30" t="s">
        <v>4739</v>
      </c>
      <c r="C251" s="30" t="s">
        <v>4740</v>
      </c>
      <c r="D251" s="30" t="s">
        <v>106</v>
      </c>
      <c r="E251" s="30"/>
      <c r="F251" s="30" t="s">
        <v>107</v>
      </c>
      <c r="G251" s="30" t="s">
        <v>106</v>
      </c>
      <c r="H251" s="30"/>
      <c r="I251" s="30" t="s">
        <v>191</v>
      </c>
      <c r="J251" s="30"/>
      <c r="K251" s="30" t="s">
        <v>4342</v>
      </c>
      <c r="L251" s="30" t="s">
        <v>117</v>
      </c>
      <c r="M251" s="30" t="s">
        <v>113</v>
      </c>
      <c r="N251" s="30" t="s">
        <v>110</v>
      </c>
      <c r="O251" s="30" t="s">
        <v>115</v>
      </c>
      <c r="P251" s="30" t="s">
        <v>112</v>
      </c>
      <c r="Q251" s="30" t="s">
        <v>112</v>
      </c>
      <c r="R251" s="30" t="s">
        <v>187</v>
      </c>
      <c r="S251" s="81">
        <f>HLOOKUP(L251,データについて!$J$6:$M$18,13,FALSE)</f>
        <v>2</v>
      </c>
      <c r="T251" s="81">
        <f>HLOOKUP(M251,データについて!$J$7:$M$18,12,FALSE)</f>
        <v>1</v>
      </c>
      <c r="U251" s="81">
        <f>HLOOKUP(N251,データについて!$J$8:$M$18,11,FALSE)</f>
        <v>2</v>
      </c>
      <c r="V251" s="81">
        <f>HLOOKUP(O251,データについて!$J$9:$M$18,10,FALSE)</f>
        <v>1</v>
      </c>
      <c r="W251" s="81">
        <f>HLOOKUP(P251,データについて!$J$10:$M$18,9,FALSE)</f>
        <v>1</v>
      </c>
      <c r="X251" s="81">
        <f>HLOOKUP(Q251,データについて!$J$11:$M$18,8,FALSE)</f>
        <v>1</v>
      </c>
      <c r="Y251" s="81">
        <f>HLOOKUP(R251,データについて!$J$12:$M$18,7,FALSE)</f>
        <v>3</v>
      </c>
      <c r="Z251" s="81">
        <f>HLOOKUP(I251,データについて!$J$3:$M$18,16,FALSE)</f>
        <v>2</v>
      </c>
      <c r="AA251" s="81" t="str">
        <f>IFERROR(HLOOKUP(J251,データについて!$J$4:$AH$19,16,FALSE),"")</f>
        <v/>
      </c>
      <c r="AB251" s="81">
        <f>IFERROR(HLOOKUP(K251,データについて!$J$5:$AH$20,14,FALSE),"")</f>
        <v>1</v>
      </c>
      <c r="AC251" s="81">
        <f>IF(X251=1,HLOOKUP(R251,データについて!$J$12:$M$18,7,FALSE),"*")</f>
        <v>3</v>
      </c>
      <c r="AD251" s="81" t="str">
        <f>IF(X251=2,HLOOKUP(R251,データについて!$J$12:$M$18,7,FALSE),"*")</f>
        <v>*</v>
      </c>
    </row>
    <row r="252" spans="1:30">
      <c r="A252" s="30">
        <v>4940</v>
      </c>
      <c r="B252" s="30" t="s">
        <v>4741</v>
      </c>
      <c r="C252" s="30" t="s">
        <v>4742</v>
      </c>
      <c r="D252" s="30" t="s">
        <v>106</v>
      </c>
      <c r="E252" s="30"/>
      <c r="F252" s="30" t="s">
        <v>107</v>
      </c>
      <c r="G252" s="30" t="s">
        <v>106</v>
      </c>
      <c r="H252" s="30"/>
      <c r="I252" s="30" t="s">
        <v>191</v>
      </c>
      <c r="J252" s="30"/>
      <c r="K252" s="30" t="s">
        <v>4342</v>
      </c>
      <c r="L252" s="30" t="s">
        <v>108</v>
      </c>
      <c r="M252" s="30" t="s">
        <v>109</v>
      </c>
      <c r="N252" s="30" t="s">
        <v>114</v>
      </c>
      <c r="O252" s="30" t="s">
        <v>115</v>
      </c>
      <c r="P252" s="30" t="s">
        <v>118</v>
      </c>
      <c r="Q252" s="30" t="s">
        <v>112</v>
      </c>
      <c r="R252" s="30" t="s">
        <v>187</v>
      </c>
      <c r="S252" s="81">
        <f>HLOOKUP(L252,データについて!$J$6:$M$18,13,FALSE)</f>
        <v>1</v>
      </c>
      <c r="T252" s="81">
        <f>HLOOKUP(M252,データについて!$J$7:$M$18,12,FALSE)</f>
        <v>2</v>
      </c>
      <c r="U252" s="81">
        <f>HLOOKUP(N252,データについて!$J$8:$M$18,11,FALSE)</f>
        <v>1</v>
      </c>
      <c r="V252" s="81">
        <f>HLOOKUP(O252,データについて!$J$9:$M$18,10,FALSE)</f>
        <v>1</v>
      </c>
      <c r="W252" s="81">
        <f>HLOOKUP(P252,データについて!$J$10:$M$18,9,FALSE)</f>
        <v>2</v>
      </c>
      <c r="X252" s="81">
        <f>HLOOKUP(Q252,データについて!$J$11:$M$18,8,FALSE)</f>
        <v>1</v>
      </c>
      <c r="Y252" s="81">
        <f>HLOOKUP(R252,データについて!$J$12:$M$18,7,FALSE)</f>
        <v>3</v>
      </c>
      <c r="Z252" s="81">
        <f>HLOOKUP(I252,データについて!$J$3:$M$18,16,FALSE)</f>
        <v>2</v>
      </c>
      <c r="AA252" s="81" t="str">
        <f>IFERROR(HLOOKUP(J252,データについて!$J$4:$AH$19,16,FALSE),"")</f>
        <v/>
      </c>
      <c r="AB252" s="81">
        <f>IFERROR(HLOOKUP(K252,データについて!$J$5:$AH$20,14,FALSE),"")</f>
        <v>1</v>
      </c>
      <c r="AC252" s="81">
        <f>IF(X252=1,HLOOKUP(R252,データについて!$J$12:$M$18,7,FALSE),"*")</f>
        <v>3</v>
      </c>
      <c r="AD252" s="81" t="str">
        <f>IF(X252=2,HLOOKUP(R252,データについて!$J$12:$M$18,7,FALSE),"*")</f>
        <v>*</v>
      </c>
    </row>
    <row r="253" spans="1:30">
      <c r="A253" s="30">
        <v>4939</v>
      </c>
      <c r="B253" s="30" t="s">
        <v>4743</v>
      </c>
      <c r="C253" s="30" t="s">
        <v>4744</v>
      </c>
      <c r="D253" s="30" t="s">
        <v>106</v>
      </c>
      <c r="E253" s="30"/>
      <c r="F253" s="30" t="s">
        <v>107</v>
      </c>
      <c r="G253" s="30" t="s">
        <v>106</v>
      </c>
      <c r="H253" s="30"/>
      <c r="I253" s="30" t="s">
        <v>191</v>
      </c>
      <c r="J253" s="30"/>
      <c r="K253" s="30" t="s">
        <v>4342</v>
      </c>
      <c r="L253" s="30" t="s">
        <v>117</v>
      </c>
      <c r="M253" s="30" t="s">
        <v>113</v>
      </c>
      <c r="N253" s="30" t="s">
        <v>110</v>
      </c>
      <c r="O253" s="30" t="s">
        <v>115</v>
      </c>
      <c r="P253" s="30" t="s">
        <v>118</v>
      </c>
      <c r="Q253" s="30" t="s">
        <v>112</v>
      </c>
      <c r="R253" s="30" t="s">
        <v>185</v>
      </c>
      <c r="S253" s="81">
        <f>HLOOKUP(L253,データについて!$J$6:$M$18,13,FALSE)</f>
        <v>2</v>
      </c>
      <c r="T253" s="81">
        <f>HLOOKUP(M253,データについて!$J$7:$M$18,12,FALSE)</f>
        <v>1</v>
      </c>
      <c r="U253" s="81">
        <f>HLOOKUP(N253,データについて!$J$8:$M$18,11,FALSE)</f>
        <v>2</v>
      </c>
      <c r="V253" s="81">
        <f>HLOOKUP(O253,データについて!$J$9:$M$18,10,FALSE)</f>
        <v>1</v>
      </c>
      <c r="W253" s="81">
        <f>HLOOKUP(P253,データについて!$J$10:$M$18,9,FALSE)</f>
        <v>2</v>
      </c>
      <c r="X253" s="81">
        <f>HLOOKUP(Q253,データについて!$J$11:$M$18,8,FALSE)</f>
        <v>1</v>
      </c>
      <c r="Y253" s="81">
        <f>HLOOKUP(R253,データについて!$J$12:$M$18,7,FALSE)</f>
        <v>2</v>
      </c>
      <c r="Z253" s="81">
        <f>HLOOKUP(I253,データについて!$J$3:$M$18,16,FALSE)</f>
        <v>2</v>
      </c>
      <c r="AA253" s="81" t="str">
        <f>IFERROR(HLOOKUP(J253,データについて!$J$4:$AH$19,16,FALSE),"")</f>
        <v/>
      </c>
      <c r="AB253" s="81">
        <f>IFERROR(HLOOKUP(K253,データについて!$J$5:$AH$20,14,FALSE),"")</f>
        <v>1</v>
      </c>
      <c r="AC253" s="81">
        <f>IF(X253=1,HLOOKUP(R253,データについて!$J$12:$M$18,7,FALSE),"*")</f>
        <v>2</v>
      </c>
      <c r="AD253" s="81" t="str">
        <f>IF(X253=2,HLOOKUP(R253,データについて!$J$12:$M$18,7,FALSE),"*")</f>
        <v>*</v>
      </c>
    </row>
    <row r="254" spans="1:30">
      <c r="A254" s="30">
        <v>4938</v>
      </c>
      <c r="B254" s="30" t="s">
        <v>4745</v>
      </c>
      <c r="C254" s="30" t="s">
        <v>4744</v>
      </c>
      <c r="D254" s="30" t="s">
        <v>106</v>
      </c>
      <c r="E254" s="30"/>
      <c r="F254" s="30" t="s">
        <v>107</v>
      </c>
      <c r="G254" s="30" t="s">
        <v>106</v>
      </c>
      <c r="H254" s="30"/>
      <c r="I254" s="30" t="s">
        <v>191</v>
      </c>
      <c r="J254" s="30"/>
      <c r="K254" s="30" t="s">
        <v>4342</v>
      </c>
      <c r="L254" s="30" t="s">
        <v>117</v>
      </c>
      <c r="M254" s="30" t="s">
        <v>124</v>
      </c>
      <c r="N254" s="30" t="s">
        <v>119</v>
      </c>
      <c r="O254" s="30" t="s">
        <v>115</v>
      </c>
      <c r="P254" s="30" t="s">
        <v>118</v>
      </c>
      <c r="Q254" s="30" t="s">
        <v>112</v>
      </c>
      <c r="R254" s="30" t="s">
        <v>189</v>
      </c>
      <c r="S254" s="81">
        <f>HLOOKUP(L254,データについて!$J$6:$M$18,13,FALSE)</f>
        <v>2</v>
      </c>
      <c r="T254" s="81">
        <f>HLOOKUP(M254,データについて!$J$7:$M$18,12,FALSE)</f>
        <v>3</v>
      </c>
      <c r="U254" s="81">
        <f>HLOOKUP(N254,データについて!$J$8:$M$18,11,FALSE)</f>
        <v>4</v>
      </c>
      <c r="V254" s="81">
        <f>HLOOKUP(O254,データについて!$J$9:$M$18,10,FALSE)</f>
        <v>1</v>
      </c>
      <c r="W254" s="81">
        <f>HLOOKUP(P254,データについて!$J$10:$M$18,9,FALSE)</f>
        <v>2</v>
      </c>
      <c r="X254" s="81">
        <f>HLOOKUP(Q254,データについて!$J$11:$M$18,8,FALSE)</f>
        <v>1</v>
      </c>
      <c r="Y254" s="81">
        <f>HLOOKUP(R254,データについて!$J$12:$M$18,7,FALSE)</f>
        <v>4</v>
      </c>
      <c r="Z254" s="81">
        <f>HLOOKUP(I254,データについて!$J$3:$M$18,16,FALSE)</f>
        <v>2</v>
      </c>
      <c r="AA254" s="81" t="str">
        <f>IFERROR(HLOOKUP(J254,データについて!$J$4:$AH$19,16,FALSE),"")</f>
        <v/>
      </c>
      <c r="AB254" s="81">
        <f>IFERROR(HLOOKUP(K254,データについて!$J$5:$AH$20,14,FALSE),"")</f>
        <v>1</v>
      </c>
      <c r="AC254" s="81">
        <f>IF(X254=1,HLOOKUP(R254,データについて!$J$12:$M$18,7,FALSE),"*")</f>
        <v>4</v>
      </c>
      <c r="AD254" s="81" t="str">
        <f>IF(X254=2,HLOOKUP(R254,データについて!$J$12:$M$18,7,FALSE),"*")</f>
        <v>*</v>
      </c>
    </row>
    <row r="255" spans="1:30">
      <c r="A255" s="30">
        <v>4937</v>
      </c>
      <c r="B255" s="30" t="s">
        <v>4746</v>
      </c>
      <c r="C255" s="30" t="s">
        <v>4747</v>
      </c>
      <c r="D255" s="30" t="s">
        <v>106</v>
      </c>
      <c r="E255" s="30"/>
      <c r="F255" s="30" t="s">
        <v>107</v>
      </c>
      <c r="G255" s="30" t="s">
        <v>106</v>
      </c>
      <c r="H255" s="30"/>
      <c r="I255" s="30" t="s">
        <v>191</v>
      </c>
      <c r="J255" s="30"/>
      <c r="K255" s="30" t="s">
        <v>4342</v>
      </c>
      <c r="L255" s="30" t="s">
        <v>108</v>
      </c>
      <c r="M255" s="30" t="s">
        <v>113</v>
      </c>
      <c r="N255" s="30" t="s">
        <v>114</v>
      </c>
      <c r="O255" s="30" t="s">
        <v>115</v>
      </c>
      <c r="P255" s="30" t="s">
        <v>112</v>
      </c>
      <c r="Q255" s="30" t="s">
        <v>112</v>
      </c>
      <c r="R255" s="30" t="s">
        <v>185</v>
      </c>
      <c r="S255" s="81">
        <f>HLOOKUP(L255,データについて!$J$6:$M$18,13,FALSE)</f>
        <v>1</v>
      </c>
      <c r="T255" s="81">
        <f>HLOOKUP(M255,データについて!$J$7:$M$18,12,FALSE)</f>
        <v>1</v>
      </c>
      <c r="U255" s="81">
        <f>HLOOKUP(N255,データについて!$J$8:$M$18,11,FALSE)</f>
        <v>1</v>
      </c>
      <c r="V255" s="81">
        <f>HLOOKUP(O255,データについて!$J$9:$M$18,10,FALSE)</f>
        <v>1</v>
      </c>
      <c r="W255" s="81">
        <f>HLOOKUP(P255,データについて!$J$10:$M$18,9,FALSE)</f>
        <v>1</v>
      </c>
      <c r="X255" s="81">
        <f>HLOOKUP(Q255,データについて!$J$11:$M$18,8,FALSE)</f>
        <v>1</v>
      </c>
      <c r="Y255" s="81">
        <f>HLOOKUP(R255,データについて!$J$12:$M$18,7,FALSE)</f>
        <v>2</v>
      </c>
      <c r="Z255" s="81">
        <f>HLOOKUP(I255,データについて!$J$3:$M$18,16,FALSE)</f>
        <v>2</v>
      </c>
      <c r="AA255" s="81" t="str">
        <f>IFERROR(HLOOKUP(J255,データについて!$J$4:$AH$19,16,FALSE),"")</f>
        <v/>
      </c>
      <c r="AB255" s="81">
        <f>IFERROR(HLOOKUP(K255,データについて!$J$5:$AH$20,14,FALSE),"")</f>
        <v>1</v>
      </c>
      <c r="AC255" s="81">
        <f>IF(X255=1,HLOOKUP(R255,データについて!$J$12:$M$18,7,FALSE),"*")</f>
        <v>2</v>
      </c>
      <c r="AD255" s="81" t="str">
        <f>IF(X255=2,HLOOKUP(R255,データについて!$J$12:$M$18,7,FALSE),"*")</f>
        <v>*</v>
      </c>
    </row>
    <row r="256" spans="1:30">
      <c r="A256" s="30">
        <v>4936</v>
      </c>
      <c r="B256" s="30" t="s">
        <v>4748</v>
      </c>
      <c r="C256" s="30" t="s">
        <v>4749</v>
      </c>
      <c r="D256" s="30" t="s">
        <v>106</v>
      </c>
      <c r="E256" s="30"/>
      <c r="F256" s="30" t="s">
        <v>107</v>
      </c>
      <c r="G256" s="30" t="s">
        <v>106</v>
      </c>
      <c r="H256" s="30"/>
      <c r="I256" s="30" t="s">
        <v>191</v>
      </c>
      <c r="J256" s="30"/>
      <c r="K256" s="30" t="s">
        <v>4342</v>
      </c>
      <c r="L256" s="30" t="s">
        <v>117</v>
      </c>
      <c r="M256" s="30" t="s">
        <v>109</v>
      </c>
      <c r="N256" s="30" t="s">
        <v>110</v>
      </c>
      <c r="O256" s="30" t="s">
        <v>115</v>
      </c>
      <c r="P256" s="30" t="s">
        <v>118</v>
      </c>
      <c r="Q256" s="30" t="s">
        <v>112</v>
      </c>
      <c r="R256" s="30" t="s">
        <v>187</v>
      </c>
      <c r="S256" s="81">
        <f>HLOOKUP(L256,データについて!$J$6:$M$18,13,FALSE)</f>
        <v>2</v>
      </c>
      <c r="T256" s="81">
        <f>HLOOKUP(M256,データについて!$J$7:$M$18,12,FALSE)</f>
        <v>2</v>
      </c>
      <c r="U256" s="81">
        <f>HLOOKUP(N256,データについて!$J$8:$M$18,11,FALSE)</f>
        <v>2</v>
      </c>
      <c r="V256" s="81">
        <f>HLOOKUP(O256,データについて!$J$9:$M$18,10,FALSE)</f>
        <v>1</v>
      </c>
      <c r="W256" s="81">
        <f>HLOOKUP(P256,データについて!$J$10:$M$18,9,FALSE)</f>
        <v>2</v>
      </c>
      <c r="X256" s="81">
        <f>HLOOKUP(Q256,データについて!$J$11:$M$18,8,FALSE)</f>
        <v>1</v>
      </c>
      <c r="Y256" s="81">
        <f>HLOOKUP(R256,データについて!$J$12:$M$18,7,FALSE)</f>
        <v>3</v>
      </c>
      <c r="Z256" s="81">
        <f>HLOOKUP(I256,データについて!$J$3:$M$18,16,FALSE)</f>
        <v>2</v>
      </c>
      <c r="AA256" s="81" t="str">
        <f>IFERROR(HLOOKUP(J256,データについて!$J$4:$AH$19,16,FALSE),"")</f>
        <v/>
      </c>
      <c r="AB256" s="81">
        <f>IFERROR(HLOOKUP(K256,データについて!$J$5:$AH$20,14,FALSE),"")</f>
        <v>1</v>
      </c>
      <c r="AC256" s="81">
        <f>IF(X256=1,HLOOKUP(R256,データについて!$J$12:$M$18,7,FALSE),"*")</f>
        <v>3</v>
      </c>
      <c r="AD256" s="81" t="str">
        <f>IF(X256=2,HLOOKUP(R256,データについて!$J$12:$M$18,7,FALSE),"*")</f>
        <v>*</v>
      </c>
    </row>
    <row r="257" spans="1:30">
      <c r="A257" s="30">
        <v>4935</v>
      </c>
      <c r="B257" s="30" t="s">
        <v>4750</v>
      </c>
      <c r="C257" s="30" t="s">
        <v>4749</v>
      </c>
      <c r="D257" s="30" t="s">
        <v>106</v>
      </c>
      <c r="E257" s="30"/>
      <c r="F257" s="30" t="s">
        <v>107</v>
      </c>
      <c r="G257" s="30" t="s">
        <v>106</v>
      </c>
      <c r="H257" s="30"/>
      <c r="I257" s="30" t="s">
        <v>191</v>
      </c>
      <c r="J257" s="30"/>
      <c r="K257" s="30" t="s">
        <v>4342</v>
      </c>
      <c r="L257" s="30" t="s">
        <v>117</v>
      </c>
      <c r="M257" s="30" t="s">
        <v>113</v>
      </c>
      <c r="N257" s="30" t="s">
        <v>110</v>
      </c>
      <c r="O257" s="30" t="s">
        <v>115</v>
      </c>
      <c r="P257" s="30" t="s">
        <v>112</v>
      </c>
      <c r="Q257" s="30" t="s">
        <v>112</v>
      </c>
      <c r="R257" s="30" t="s">
        <v>185</v>
      </c>
      <c r="S257" s="81">
        <f>HLOOKUP(L257,データについて!$J$6:$M$18,13,FALSE)</f>
        <v>2</v>
      </c>
      <c r="T257" s="81">
        <f>HLOOKUP(M257,データについて!$J$7:$M$18,12,FALSE)</f>
        <v>1</v>
      </c>
      <c r="U257" s="81">
        <f>HLOOKUP(N257,データについて!$J$8:$M$18,11,FALSE)</f>
        <v>2</v>
      </c>
      <c r="V257" s="81">
        <f>HLOOKUP(O257,データについて!$J$9:$M$18,10,FALSE)</f>
        <v>1</v>
      </c>
      <c r="W257" s="81">
        <f>HLOOKUP(P257,データについて!$J$10:$M$18,9,FALSE)</f>
        <v>1</v>
      </c>
      <c r="X257" s="81">
        <f>HLOOKUP(Q257,データについて!$J$11:$M$18,8,FALSE)</f>
        <v>1</v>
      </c>
      <c r="Y257" s="81">
        <f>HLOOKUP(R257,データについて!$J$12:$M$18,7,FALSE)</f>
        <v>2</v>
      </c>
      <c r="Z257" s="81">
        <f>HLOOKUP(I257,データについて!$J$3:$M$18,16,FALSE)</f>
        <v>2</v>
      </c>
      <c r="AA257" s="81" t="str">
        <f>IFERROR(HLOOKUP(J257,データについて!$J$4:$AH$19,16,FALSE),"")</f>
        <v/>
      </c>
      <c r="AB257" s="81">
        <f>IFERROR(HLOOKUP(K257,データについて!$J$5:$AH$20,14,FALSE),"")</f>
        <v>1</v>
      </c>
      <c r="AC257" s="81">
        <f>IF(X257=1,HLOOKUP(R257,データについて!$J$12:$M$18,7,FALSE),"*")</f>
        <v>2</v>
      </c>
      <c r="AD257" s="81" t="str">
        <f>IF(X257=2,HLOOKUP(R257,データについて!$J$12:$M$18,7,FALSE),"*")</f>
        <v>*</v>
      </c>
    </row>
    <row r="258" spans="1:30">
      <c r="A258" s="30">
        <v>4934</v>
      </c>
      <c r="B258" s="30" t="s">
        <v>4751</v>
      </c>
      <c r="C258" s="30" t="s">
        <v>4749</v>
      </c>
      <c r="D258" s="30" t="s">
        <v>106</v>
      </c>
      <c r="E258" s="30"/>
      <c r="F258" s="30" t="s">
        <v>107</v>
      </c>
      <c r="G258" s="30" t="s">
        <v>106</v>
      </c>
      <c r="H258" s="30"/>
      <c r="I258" s="30" t="s">
        <v>191</v>
      </c>
      <c r="J258" s="30"/>
      <c r="K258" s="30" t="s">
        <v>4342</v>
      </c>
      <c r="L258" s="30" t="s">
        <v>108</v>
      </c>
      <c r="M258" s="30" t="s">
        <v>109</v>
      </c>
      <c r="N258" s="30" t="s">
        <v>110</v>
      </c>
      <c r="O258" s="30" t="s">
        <v>115</v>
      </c>
      <c r="P258" s="30" t="s">
        <v>118</v>
      </c>
      <c r="Q258" s="30" t="s">
        <v>112</v>
      </c>
      <c r="R258" s="30" t="s">
        <v>189</v>
      </c>
      <c r="S258" s="81">
        <f>HLOOKUP(L258,データについて!$J$6:$M$18,13,FALSE)</f>
        <v>1</v>
      </c>
      <c r="T258" s="81">
        <f>HLOOKUP(M258,データについて!$J$7:$M$18,12,FALSE)</f>
        <v>2</v>
      </c>
      <c r="U258" s="81">
        <f>HLOOKUP(N258,データについて!$J$8:$M$18,11,FALSE)</f>
        <v>2</v>
      </c>
      <c r="V258" s="81">
        <f>HLOOKUP(O258,データについて!$J$9:$M$18,10,FALSE)</f>
        <v>1</v>
      </c>
      <c r="W258" s="81">
        <f>HLOOKUP(P258,データについて!$J$10:$M$18,9,FALSE)</f>
        <v>2</v>
      </c>
      <c r="X258" s="81">
        <f>HLOOKUP(Q258,データについて!$J$11:$M$18,8,FALSE)</f>
        <v>1</v>
      </c>
      <c r="Y258" s="81">
        <f>HLOOKUP(R258,データについて!$J$12:$M$18,7,FALSE)</f>
        <v>4</v>
      </c>
      <c r="Z258" s="81">
        <f>HLOOKUP(I258,データについて!$J$3:$M$18,16,FALSE)</f>
        <v>2</v>
      </c>
      <c r="AA258" s="81" t="str">
        <f>IFERROR(HLOOKUP(J258,データについて!$J$4:$AH$19,16,FALSE),"")</f>
        <v/>
      </c>
      <c r="AB258" s="81">
        <f>IFERROR(HLOOKUP(K258,データについて!$J$5:$AH$20,14,FALSE),"")</f>
        <v>1</v>
      </c>
      <c r="AC258" s="81">
        <f>IF(X258=1,HLOOKUP(R258,データについて!$J$12:$M$18,7,FALSE),"*")</f>
        <v>4</v>
      </c>
      <c r="AD258" s="81" t="str">
        <f>IF(X258=2,HLOOKUP(R258,データについて!$J$12:$M$18,7,FALSE),"*")</f>
        <v>*</v>
      </c>
    </row>
    <row r="259" spans="1:30">
      <c r="A259" s="30">
        <v>4933</v>
      </c>
      <c r="B259" s="30" t="s">
        <v>4752</v>
      </c>
      <c r="C259" s="30" t="s">
        <v>4753</v>
      </c>
      <c r="D259" s="30" t="s">
        <v>106</v>
      </c>
      <c r="E259" s="30"/>
      <c r="F259" s="30" t="s">
        <v>107</v>
      </c>
      <c r="G259" s="30" t="s">
        <v>106</v>
      </c>
      <c r="H259" s="30"/>
      <c r="I259" s="30" t="s">
        <v>191</v>
      </c>
      <c r="J259" s="30"/>
      <c r="K259" s="30" t="s">
        <v>4342</v>
      </c>
      <c r="L259" s="30" t="s">
        <v>117</v>
      </c>
      <c r="M259" s="30" t="s">
        <v>109</v>
      </c>
      <c r="N259" s="30" t="s">
        <v>119</v>
      </c>
      <c r="O259" s="30" t="s">
        <v>115</v>
      </c>
      <c r="P259" s="30" t="s">
        <v>112</v>
      </c>
      <c r="Q259" s="30" t="s">
        <v>112</v>
      </c>
      <c r="R259" s="30" t="s">
        <v>189</v>
      </c>
      <c r="S259" s="81">
        <f>HLOOKUP(L259,データについて!$J$6:$M$18,13,FALSE)</f>
        <v>2</v>
      </c>
      <c r="T259" s="81">
        <f>HLOOKUP(M259,データについて!$J$7:$M$18,12,FALSE)</f>
        <v>2</v>
      </c>
      <c r="U259" s="81">
        <f>HLOOKUP(N259,データについて!$J$8:$M$18,11,FALSE)</f>
        <v>4</v>
      </c>
      <c r="V259" s="81">
        <f>HLOOKUP(O259,データについて!$J$9:$M$18,10,FALSE)</f>
        <v>1</v>
      </c>
      <c r="W259" s="81">
        <f>HLOOKUP(P259,データについて!$J$10:$M$18,9,FALSE)</f>
        <v>1</v>
      </c>
      <c r="X259" s="81">
        <f>HLOOKUP(Q259,データについて!$J$11:$M$18,8,FALSE)</f>
        <v>1</v>
      </c>
      <c r="Y259" s="81">
        <f>HLOOKUP(R259,データについて!$J$12:$M$18,7,FALSE)</f>
        <v>4</v>
      </c>
      <c r="Z259" s="81">
        <f>HLOOKUP(I259,データについて!$J$3:$M$18,16,FALSE)</f>
        <v>2</v>
      </c>
      <c r="AA259" s="81" t="str">
        <f>IFERROR(HLOOKUP(J259,データについて!$J$4:$AH$19,16,FALSE),"")</f>
        <v/>
      </c>
      <c r="AB259" s="81">
        <f>IFERROR(HLOOKUP(K259,データについて!$J$5:$AH$20,14,FALSE),"")</f>
        <v>1</v>
      </c>
      <c r="AC259" s="81">
        <f>IF(X259=1,HLOOKUP(R259,データについて!$J$12:$M$18,7,FALSE),"*")</f>
        <v>4</v>
      </c>
      <c r="AD259" s="81" t="str">
        <f>IF(X259=2,HLOOKUP(R259,データについて!$J$12:$M$18,7,FALSE),"*")</f>
        <v>*</v>
      </c>
    </row>
    <row r="260" spans="1:30">
      <c r="A260" s="30">
        <v>4932</v>
      </c>
      <c r="B260" s="30" t="s">
        <v>4754</v>
      </c>
      <c r="C260" s="30" t="s">
        <v>4755</v>
      </c>
      <c r="D260" s="30" t="s">
        <v>106</v>
      </c>
      <c r="E260" s="30"/>
      <c r="F260" s="30" t="s">
        <v>107</v>
      </c>
      <c r="G260" s="30" t="s">
        <v>106</v>
      </c>
      <c r="H260" s="30"/>
      <c r="I260" s="30" t="s">
        <v>191</v>
      </c>
      <c r="J260" s="30"/>
      <c r="K260" s="30" t="s">
        <v>4342</v>
      </c>
      <c r="L260" s="30" t="s">
        <v>108</v>
      </c>
      <c r="M260" s="30" t="s">
        <v>113</v>
      </c>
      <c r="N260" s="30" t="s">
        <v>114</v>
      </c>
      <c r="O260" s="30" t="s">
        <v>115</v>
      </c>
      <c r="P260" s="30" t="s">
        <v>112</v>
      </c>
      <c r="Q260" s="30" t="s">
        <v>112</v>
      </c>
      <c r="R260" s="30" t="s">
        <v>185</v>
      </c>
      <c r="S260" s="81">
        <f>HLOOKUP(L260,データについて!$J$6:$M$18,13,FALSE)</f>
        <v>1</v>
      </c>
      <c r="T260" s="81">
        <f>HLOOKUP(M260,データについて!$J$7:$M$18,12,FALSE)</f>
        <v>1</v>
      </c>
      <c r="U260" s="81">
        <f>HLOOKUP(N260,データについて!$J$8:$M$18,11,FALSE)</f>
        <v>1</v>
      </c>
      <c r="V260" s="81">
        <f>HLOOKUP(O260,データについて!$J$9:$M$18,10,FALSE)</f>
        <v>1</v>
      </c>
      <c r="W260" s="81">
        <f>HLOOKUP(P260,データについて!$J$10:$M$18,9,FALSE)</f>
        <v>1</v>
      </c>
      <c r="X260" s="81">
        <f>HLOOKUP(Q260,データについて!$J$11:$M$18,8,FALSE)</f>
        <v>1</v>
      </c>
      <c r="Y260" s="81">
        <f>HLOOKUP(R260,データについて!$J$12:$M$18,7,FALSE)</f>
        <v>2</v>
      </c>
      <c r="Z260" s="81">
        <f>HLOOKUP(I260,データについて!$J$3:$M$18,16,FALSE)</f>
        <v>2</v>
      </c>
      <c r="AA260" s="81" t="str">
        <f>IFERROR(HLOOKUP(J260,データについて!$J$4:$AH$19,16,FALSE),"")</f>
        <v/>
      </c>
      <c r="AB260" s="81">
        <f>IFERROR(HLOOKUP(K260,データについて!$J$5:$AH$20,14,FALSE),"")</f>
        <v>1</v>
      </c>
      <c r="AC260" s="81">
        <f>IF(X260=1,HLOOKUP(R260,データについて!$J$12:$M$18,7,FALSE),"*")</f>
        <v>2</v>
      </c>
      <c r="AD260" s="81" t="str">
        <f>IF(X260=2,HLOOKUP(R260,データについて!$J$12:$M$18,7,FALSE),"*")</f>
        <v>*</v>
      </c>
    </row>
    <row r="261" spans="1:30">
      <c r="A261" s="30">
        <v>4931</v>
      </c>
      <c r="B261" s="30" t="s">
        <v>4756</v>
      </c>
      <c r="C261" s="30" t="s">
        <v>4757</v>
      </c>
      <c r="D261" s="30" t="s">
        <v>106</v>
      </c>
      <c r="E261" s="30"/>
      <c r="F261" s="30" t="s">
        <v>107</v>
      </c>
      <c r="G261" s="30" t="s">
        <v>106</v>
      </c>
      <c r="H261" s="30"/>
      <c r="I261" s="30" t="s">
        <v>191</v>
      </c>
      <c r="J261" s="30"/>
      <c r="K261" s="30" t="s">
        <v>4342</v>
      </c>
      <c r="L261" s="30" t="s">
        <v>117</v>
      </c>
      <c r="M261" s="30" t="s">
        <v>113</v>
      </c>
      <c r="N261" s="30" t="s">
        <v>119</v>
      </c>
      <c r="O261" s="30" t="s">
        <v>123</v>
      </c>
      <c r="P261" s="30" t="s">
        <v>112</v>
      </c>
      <c r="Q261" s="30" t="s">
        <v>112</v>
      </c>
      <c r="R261" s="30" t="s">
        <v>187</v>
      </c>
      <c r="S261" s="81">
        <f>HLOOKUP(L261,データについて!$J$6:$M$18,13,FALSE)</f>
        <v>2</v>
      </c>
      <c r="T261" s="81">
        <f>HLOOKUP(M261,データについて!$J$7:$M$18,12,FALSE)</f>
        <v>1</v>
      </c>
      <c r="U261" s="81">
        <f>HLOOKUP(N261,データについて!$J$8:$M$18,11,FALSE)</f>
        <v>4</v>
      </c>
      <c r="V261" s="81">
        <f>HLOOKUP(O261,データについて!$J$9:$M$18,10,FALSE)</f>
        <v>4</v>
      </c>
      <c r="W261" s="81">
        <f>HLOOKUP(P261,データについて!$J$10:$M$18,9,FALSE)</f>
        <v>1</v>
      </c>
      <c r="X261" s="81">
        <f>HLOOKUP(Q261,データについて!$J$11:$M$18,8,FALSE)</f>
        <v>1</v>
      </c>
      <c r="Y261" s="81">
        <f>HLOOKUP(R261,データについて!$J$12:$M$18,7,FALSE)</f>
        <v>3</v>
      </c>
      <c r="Z261" s="81">
        <f>HLOOKUP(I261,データについて!$J$3:$M$18,16,FALSE)</f>
        <v>2</v>
      </c>
      <c r="AA261" s="81" t="str">
        <f>IFERROR(HLOOKUP(J261,データについて!$J$4:$AH$19,16,FALSE),"")</f>
        <v/>
      </c>
      <c r="AB261" s="81">
        <f>IFERROR(HLOOKUP(K261,データについて!$J$5:$AH$20,14,FALSE),"")</f>
        <v>1</v>
      </c>
      <c r="AC261" s="81">
        <f>IF(X261=1,HLOOKUP(R261,データについて!$J$12:$M$18,7,FALSE),"*")</f>
        <v>3</v>
      </c>
      <c r="AD261" s="81" t="str">
        <f>IF(X261=2,HLOOKUP(R261,データについて!$J$12:$M$18,7,FALSE),"*")</f>
        <v>*</v>
      </c>
    </row>
    <row r="262" spans="1:30">
      <c r="A262" s="30">
        <v>4930</v>
      </c>
      <c r="B262" s="30" t="s">
        <v>4758</v>
      </c>
      <c r="C262" s="30" t="s">
        <v>4759</v>
      </c>
      <c r="D262" s="30" t="s">
        <v>106</v>
      </c>
      <c r="E262" s="30"/>
      <c r="F262" s="30" t="s">
        <v>107</v>
      </c>
      <c r="G262" s="30" t="s">
        <v>106</v>
      </c>
      <c r="H262" s="30"/>
      <c r="I262" s="30" t="s">
        <v>191</v>
      </c>
      <c r="J262" s="30"/>
      <c r="K262" s="30" t="s">
        <v>4342</v>
      </c>
      <c r="L262" s="30" t="s">
        <v>108</v>
      </c>
      <c r="M262" s="30" t="s">
        <v>109</v>
      </c>
      <c r="N262" s="30" t="s">
        <v>110</v>
      </c>
      <c r="O262" s="30" t="s">
        <v>115</v>
      </c>
      <c r="P262" s="30" t="s">
        <v>112</v>
      </c>
      <c r="Q262" s="30" t="s">
        <v>112</v>
      </c>
      <c r="R262" s="30" t="s">
        <v>187</v>
      </c>
      <c r="S262" s="81">
        <f>HLOOKUP(L262,データについて!$J$6:$M$18,13,FALSE)</f>
        <v>1</v>
      </c>
      <c r="T262" s="81">
        <f>HLOOKUP(M262,データについて!$J$7:$M$18,12,FALSE)</f>
        <v>2</v>
      </c>
      <c r="U262" s="81">
        <f>HLOOKUP(N262,データについて!$J$8:$M$18,11,FALSE)</f>
        <v>2</v>
      </c>
      <c r="V262" s="81">
        <f>HLOOKUP(O262,データについて!$J$9:$M$18,10,FALSE)</f>
        <v>1</v>
      </c>
      <c r="W262" s="81">
        <f>HLOOKUP(P262,データについて!$J$10:$M$18,9,FALSE)</f>
        <v>1</v>
      </c>
      <c r="X262" s="81">
        <f>HLOOKUP(Q262,データについて!$J$11:$M$18,8,FALSE)</f>
        <v>1</v>
      </c>
      <c r="Y262" s="81">
        <f>HLOOKUP(R262,データについて!$J$12:$M$18,7,FALSE)</f>
        <v>3</v>
      </c>
      <c r="Z262" s="81">
        <f>HLOOKUP(I262,データについて!$J$3:$M$18,16,FALSE)</f>
        <v>2</v>
      </c>
      <c r="AA262" s="81" t="str">
        <f>IFERROR(HLOOKUP(J262,データについて!$J$4:$AH$19,16,FALSE),"")</f>
        <v/>
      </c>
      <c r="AB262" s="81">
        <f>IFERROR(HLOOKUP(K262,データについて!$J$5:$AH$20,14,FALSE),"")</f>
        <v>1</v>
      </c>
      <c r="AC262" s="81">
        <f>IF(X262=1,HLOOKUP(R262,データについて!$J$12:$M$18,7,FALSE),"*")</f>
        <v>3</v>
      </c>
      <c r="AD262" s="81" t="str">
        <f>IF(X262=2,HLOOKUP(R262,データについて!$J$12:$M$18,7,FALSE),"*")</f>
        <v>*</v>
      </c>
    </row>
    <row r="263" spans="1:30">
      <c r="A263" s="30">
        <v>4929</v>
      </c>
      <c r="B263" s="30" t="s">
        <v>4760</v>
      </c>
      <c r="C263" s="30" t="s">
        <v>4761</v>
      </c>
      <c r="D263" s="30" t="s">
        <v>106</v>
      </c>
      <c r="E263" s="30"/>
      <c r="F263" s="30" t="s">
        <v>107</v>
      </c>
      <c r="G263" s="30" t="s">
        <v>106</v>
      </c>
      <c r="H263" s="30"/>
      <c r="I263" s="30" t="s">
        <v>191</v>
      </c>
      <c r="J263" s="30"/>
      <c r="K263" s="30" t="s">
        <v>4342</v>
      </c>
      <c r="L263" s="30" t="s">
        <v>117</v>
      </c>
      <c r="M263" s="30" t="s">
        <v>109</v>
      </c>
      <c r="N263" s="30" t="s">
        <v>122</v>
      </c>
      <c r="O263" s="30" t="s">
        <v>115</v>
      </c>
      <c r="P263" s="30" t="s">
        <v>112</v>
      </c>
      <c r="Q263" s="30" t="s">
        <v>112</v>
      </c>
      <c r="R263" s="30" t="s">
        <v>185</v>
      </c>
      <c r="S263" s="81">
        <f>HLOOKUP(L263,データについて!$J$6:$M$18,13,FALSE)</f>
        <v>2</v>
      </c>
      <c r="T263" s="81">
        <f>HLOOKUP(M263,データについて!$J$7:$M$18,12,FALSE)</f>
        <v>2</v>
      </c>
      <c r="U263" s="81">
        <f>HLOOKUP(N263,データについて!$J$8:$M$18,11,FALSE)</f>
        <v>3</v>
      </c>
      <c r="V263" s="81">
        <f>HLOOKUP(O263,データについて!$J$9:$M$18,10,FALSE)</f>
        <v>1</v>
      </c>
      <c r="W263" s="81">
        <f>HLOOKUP(P263,データについて!$J$10:$M$18,9,FALSE)</f>
        <v>1</v>
      </c>
      <c r="X263" s="81">
        <f>HLOOKUP(Q263,データについて!$J$11:$M$18,8,FALSE)</f>
        <v>1</v>
      </c>
      <c r="Y263" s="81">
        <f>HLOOKUP(R263,データについて!$J$12:$M$18,7,FALSE)</f>
        <v>2</v>
      </c>
      <c r="Z263" s="81">
        <f>HLOOKUP(I263,データについて!$J$3:$M$18,16,FALSE)</f>
        <v>2</v>
      </c>
      <c r="AA263" s="81" t="str">
        <f>IFERROR(HLOOKUP(J263,データについて!$J$4:$AH$19,16,FALSE),"")</f>
        <v/>
      </c>
      <c r="AB263" s="81">
        <f>IFERROR(HLOOKUP(K263,データについて!$J$5:$AH$20,14,FALSE),"")</f>
        <v>1</v>
      </c>
      <c r="AC263" s="81">
        <f>IF(X263=1,HLOOKUP(R263,データについて!$J$12:$M$18,7,FALSE),"*")</f>
        <v>2</v>
      </c>
      <c r="AD263" s="81" t="str">
        <f>IF(X263=2,HLOOKUP(R263,データについて!$J$12:$M$18,7,FALSE),"*")</f>
        <v>*</v>
      </c>
    </row>
    <row r="264" spans="1:30">
      <c r="A264" s="30">
        <v>4928</v>
      </c>
      <c r="B264" s="30" t="s">
        <v>4762</v>
      </c>
      <c r="C264" s="30" t="s">
        <v>4763</v>
      </c>
      <c r="D264" s="30" t="s">
        <v>106</v>
      </c>
      <c r="E264" s="30"/>
      <c r="F264" s="30" t="s">
        <v>107</v>
      </c>
      <c r="G264" s="30" t="s">
        <v>106</v>
      </c>
      <c r="H264" s="30"/>
      <c r="I264" s="30" t="s">
        <v>191</v>
      </c>
      <c r="J264" s="30"/>
      <c r="K264" s="30" t="s">
        <v>4342</v>
      </c>
      <c r="L264" s="30" t="s">
        <v>108</v>
      </c>
      <c r="M264" s="30" t="s">
        <v>113</v>
      </c>
      <c r="N264" s="30" t="s">
        <v>114</v>
      </c>
      <c r="O264" s="30" t="s">
        <v>115</v>
      </c>
      <c r="P264" s="30" t="s">
        <v>112</v>
      </c>
      <c r="Q264" s="30" t="s">
        <v>118</v>
      </c>
      <c r="R264" s="30" t="s">
        <v>185</v>
      </c>
      <c r="S264" s="81">
        <f>HLOOKUP(L264,データについて!$J$6:$M$18,13,FALSE)</f>
        <v>1</v>
      </c>
      <c r="T264" s="81">
        <f>HLOOKUP(M264,データについて!$J$7:$M$18,12,FALSE)</f>
        <v>1</v>
      </c>
      <c r="U264" s="81">
        <f>HLOOKUP(N264,データについて!$J$8:$M$18,11,FALSE)</f>
        <v>1</v>
      </c>
      <c r="V264" s="81">
        <f>HLOOKUP(O264,データについて!$J$9:$M$18,10,FALSE)</f>
        <v>1</v>
      </c>
      <c r="W264" s="81">
        <f>HLOOKUP(P264,データについて!$J$10:$M$18,9,FALSE)</f>
        <v>1</v>
      </c>
      <c r="X264" s="81">
        <f>HLOOKUP(Q264,データについて!$J$11:$M$18,8,FALSE)</f>
        <v>2</v>
      </c>
      <c r="Y264" s="81">
        <f>HLOOKUP(R264,データについて!$J$12:$M$18,7,FALSE)</f>
        <v>2</v>
      </c>
      <c r="Z264" s="81">
        <f>HLOOKUP(I264,データについて!$J$3:$M$18,16,FALSE)</f>
        <v>2</v>
      </c>
      <c r="AA264" s="81" t="str">
        <f>IFERROR(HLOOKUP(J264,データについて!$J$4:$AH$19,16,FALSE),"")</f>
        <v/>
      </c>
      <c r="AB264" s="81">
        <f>IFERROR(HLOOKUP(K264,データについて!$J$5:$AH$20,14,FALSE),"")</f>
        <v>1</v>
      </c>
      <c r="AC264" s="81" t="str">
        <f>IF(X264=1,HLOOKUP(R264,データについて!$J$12:$M$18,7,FALSE),"*")</f>
        <v>*</v>
      </c>
      <c r="AD264" s="81">
        <f>IF(X264=2,HLOOKUP(R264,データについて!$J$12:$M$18,7,FALSE),"*")</f>
        <v>2</v>
      </c>
    </row>
    <row r="265" spans="1:30">
      <c r="A265" s="30">
        <v>4927</v>
      </c>
      <c r="B265" s="30" t="s">
        <v>4764</v>
      </c>
      <c r="C265" s="30" t="s">
        <v>4765</v>
      </c>
      <c r="D265" s="30" t="s">
        <v>106</v>
      </c>
      <c r="E265" s="30"/>
      <c r="F265" s="30" t="s">
        <v>107</v>
      </c>
      <c r="G265" s="30" t="s">
        <v>106</v>
      </c>
      <c r="H265" s="30"/>
      <c r="I265" s="30" t="s">
        <v>191</v>
      </c>
      <c r="J265" s="30"/>
      <c r="K265" s="30" t="s">
        <v>4342</v>
      </c>
      <c r="L265" s="30" t="s">
        <v>108</v>
      </c>
      <c r="M265" s="30" t="s">
        <v>113</v>
      </c>
      <c r="N265" s="30" t="s">
        <v>114</v>
      </c>
      <c r="O265" s="30" t="s">
        <v>115</v>
      </c>
      <c r="P265" s="30" t="s">
        <v>112</v>
      </c>
      <c r="Q265" s="30" t="s">
        <v>112</v>
      </c>
      <c r="R265" s="30" t="s">
        <v>187</v>
      </c>
      <c r="S265" s="81">
        <f>HLOOKUP(L265,データについて!$J$6:$M$18,13,FALSE)</f>
        <v>1</v>
      </c>
      <c r="T265" s="81">
        <f>HLOOKUP(M265,データについて!$J$7:$M$18,12,FALSE)</f>
        <v>1</v>
      </c>
      <c r="U265" s="81">
        <f>HLOOKUP(N265,データについて!$J$8:$M$18,11,FALSE)</f>
        <v>1</v>
      </c>
      <c r="V265" s="81">
        <f>HLOOKUP(O265,データについて!$J$9:$M$18,10,FALSE)</f>
        <v>1</v>
      </c>
      <c r="W265" s="81">
        <f>HLOOKUP(P265,データについて!$J$10:$M$18,9,FALSE)</f>
        <v>1</v>
      </c>
      <c r="X265" s="81">
        <f>HLOOKUP(Q265,データについて!$J$11:$M$18,8,FALSE)</f>
        <v>1</v>
      </c>
      <c r="Y265" s="81">
        <f>HLOOKUP(R265,データについて!$J$12:$M$18,7,FALSE)</f>
        <v>3</v>
      </c>
      <c r="Z265" s="81">
        <f>HLOOKUP(I265,データについて!$J$3:$M$18,16,FALSE)</f>
        <v>2</v>
      </c>
      <c r="AA265" s="81" t="str">
        <f>IFERROR(HLOOKUP(J265,データについて!$J$4:$AH$19,16,FALSE),"")</f>
        <v/>
      </c>
      <c r="AB265" s="81">
        <f>IFERROR(HLOOKUP(K265,データについて!$J$5:$AH$20,14,FALSE),"")</f>
        <v>1</v>
      </c>
      <c r="AC265" s="81">
        <f>IF(X265=1,HLOOKUP(R265,データについて!$J$12:$M$18,7,FALSE),"*")</f>
        <v>3</v>
      </c>
      <c r="AD265" s="81" t="str">
        <f>IF(X265=2,HLOOKUP(R265,データについて!$J$12:$M$18,7,FALSE),"*")</f>
        <v>*</v>
      </c>
    </row>
    <row r="266" spans="1:30">
      <c r="A266" s="30">
        <v>4926</v>
      </c>
      <c r="B266" s="30" t="s">
        <v>4766</v>
      </c>
      <c r="C266" s="30" t="s">
        <v>4765</v>
      </c>
      <c r="D266" s="30" t="s">
        <v>106</v>
      </c>
      <c r="E266" s="30"/>
      <c r="F266" s="30" t="s">
        <v>107</v>
      </c>
      <c r="G266" s="30" t="s">
        <v>106</v>
      </c>
      <c r="H266" s="30"/>
      <c r="I266" s="30" t="s">
        <v>191</v>
      </c>
      <c r="J266" s="30"/>
      <c r="K266" s="30" t="s">
        <v>4342</v>
      </c>
      <c r="L266" s="30" t="s">
        <v>108</v>
      </c>
      <c r="M266" s="30" t="s">
        <v>113</v>
      </c>
      <c r="N266" s="30" t="s">
        <v>114</v>
      </c>
      <c r="O266" s="30" t="s">
        <v>115</v>
      </c>
      <c r="P266" s="30" t="s">
        <v>112</v>
      </c>
      <c r="Q266" s="30" t="s">
        <v>112</v>
      </c>
      <c r="R266" s="30" t="s">
        <v>185</v>
      </c>
      <c r="S266" s="81">
        <f>HLOOKUP(L266,データについて!$J$6:$M$18,13,FALSE)</f>
        <v>1</v>
      </c>
      <c r="T266" s="81">
        <f>HLOOKUP(M266,データについて!$J$7:$M$18,12,FALSE)</f>
        <v>1</v>
      </c>
      <c r="U266" s="81">
        <f>HLOOKUP(N266,データについて!$J$8:$M$18,11,FALSE)</f>
        <v>1</v>
      </c>
      <c r="V266" s="81">
        <f>HLOOKUP(O266,データについて!$J$9:$M$18,10,FALSE)</f>
        <v>1</v>
      </c>
      <c r="W266" s="81">
        <f>HLOOKUP(P266,データについて!$J$10:$M$18,9,FALSE)</f>
        <v>1</v>
      </c>
      <c r="X266" s="81">
        <f>HLOOKUP(Q266,データについて!$J$11:$M$18,8,FALSE)</f>
        <v>1</v>
      </c>
      <c r="Y266" s="81">
        <f>HLOOKUP(R266,データについて!$J$12:$M$18,7,FALSE)</f>
        <v>2</v>
      </c>
      <c r="Z266" s="81">
        <f>HLOOKUP(I266,データについて!$J$3:$M$18,16,FALSE)</f>
        <v>2</v>
      </c>
      <c r="AA266" s="81" t="str">
        <f>IFERROR(HLOOKUP(J266,データについて!$J$4:$AH$19,16,FALSE),"")</f>
        <v/>
      </c>
      <c r="AB266" s="81">
        <f>IFERROR(HLOOKUP(K266,データについて!$J$5:$AH$20,14,FALSE),"")</f>
        <v>1</v>
      </c>
      <c r="AC266" s="81">
        <f>IF(X266=1,HLOOKUP(R266,データについて!$J$12:$M$18,7,FALSE),"*")</f>
        <v>2</v>
      </c>
      <c r="AD266" s="81" t="str">
        <f>IF(X266=2,HLOOKUP(R266,データについて!$J$12:$M$18,7,FALSE),"*")</f>
        <v>*</v>
      </c>
    </row>
    <row r="267" spans="1:30">
      <c r="A267" s="30">
        <v>4925</v>
      </c>
      <c r="B267" s="30" t="s">
        <v>4767</v>
      </c>
      <c r="C267" s="30" t="s">
        <v>4768</v>
      </c>
      <c r="D267" s="30" t="s">
        <v>106</v>
      </c>
      <c r="E267" s="30"/>
      <c r="F267" s="30" t="s">
        <v>107</v>
      </c>
      <c r="G267" s="30" t="s">
        <v>106</v>
      </c>
      <c r="H267" s="30"/>
      <c r="I267" s="30" t="s">
        <v>191</v>
      </c>
      <c r="J267" s="30"/>
      <c r="K267" s="30" t="s">
        <v>4342</v>
      </c>
      <c r="L267" s="30" t="s">
        <v>117</v>
      </c>
      <c r="M267" s="30" t="s">
        <v>113</v>
      </c>
      <c r="N267" s="30" t="s">
        <v>110</v>
      </c>
      <c r="O267" s="30" t="s">
        <v>115</v>
      </c>
      <c r="P267" s="30" t="s">
        <v>118</v>
      </c>
      <c r="Q267" s="30" t="s">
        <v>112</v>
      </c>
      <c r="R267" s="30" t="s">
        <v>187</v>
      </c>
      <c r="S267" s="81">
        <f>HLOOKUP(L267,データについて!$J$6:$M$18,13,FALSE)</f>
        <v>2</v>
      </c>
      <c r="T267" s="81">
        <f>HLOOKUP(M267,データについて!$J$7:$M$18,12,FALSE)</f>
        <v>1</v>
      </c>
      <c r="U267" s="81">
        <f>HLOOKUP(N267,データについて!$J$8:$M$18,11,FALSE)</f>
        <v>2</v>
      </c>
      <c r="V267" s="81">
        <f>HLOOKUP(O267,データについて!$J$9:$M$18,10,FALSE)</f>
        <v>1</v>
      </c>
      <c r="W267" s="81">
        <f>HLOOKUP(P267,データについて!$J$10:$M$18,9,FALSE)</f>
        <v>2</v>
      </c>
      <c r="X267" s="81">
        <f>HLOOKUP(Q267,データについて!$J$11:$M$18,8,FALSE)</f>
        <v>1</v>
      </c>
      <c r="Y267" s="81">
        <f>HLOOKUP(R267,データについて!$J$12:$M$18,7,FALSE)</f>
        <v>3</v>
      </c>
      <c r="Z267" s="81">
        <f>HLOOKUP(I267,データについて!$J$3:$M$18,16,FALSE)</f>
        <v>2</v>
      </c>
      <c r="AA267" s="81" t="str">
        <f>IFERROR(HLOOKUP(J267,データについて!$J$4:$AH$19,16,FALSE),"")</f>
        <v/>
      </c>
      <c r="AB267" s="81">
        <f>IFERROR(HLOOKUP(K267,データについて!$J$5:$AH$20,14,FALSE),"")</f>
        <v>1</v>
      </c>
      <c r="AC267" s="81">
        <f>IF(X267=1,HLOOKUP(R267,データについて!$J$12:$M$18,7,FALSE),"*")</f>
        <v>3</v>
      </c>
      <c r="AD267" s="81" t="str">
        <f>IF(X267=2,HLOOKUP(R267,データについて!$J$12:$M$18,7,FALSE),"*")</f>
        <v>*</v>
      </c>
    </row>
    <row r="268" spans="1:30">
      <c r="A268" s="30">
        <v>4924</v>
      </c>
      <c r="B268" s="30" t="s">
        <v>4769</v>
      </c>
      <c r="C268" s="30" t="s">
        <v>4770</v>
      </c>
      <c r="D268" s="30" t="s">
        <v>106</v>
      </c>
      <c r="E268" s="30"/>
      <c r="F268" s="30" t="s">
        <v>107</v>
      </c>
      <c r="G268" s="30" t="s">
        <v>106</v>
      </c>
      <c r="H268" s="30"/>
      <c r="I268" s="30" t="s">
        <v>191</v>
      </c>
      <c r="J268" s="30"/>
      <c r="K268" s="30" t="s">
        <v>4342</v>
      </c>
      <c r="L268" s="30" t="s">
        <v>117</v>
      </c>
      <c r="M268" s="30" t="s">
        <v>113</v>
      </c>
      <c r="N268" s="30" t="s">
        <v>110</v>
      </c>
      <c r="O268" s="30" t="s">
        <v>111</v>
      </c>
      <c r="P268" s="30" t="s">
        <v>112</v>
      </c>
      <c r="Q268" s="30" t="s">
        <v>112</v>
      </c>
      <c r="R268" s="30" t="s">
        <v>185</v>
      </c>
      <c r="S268" s="81">
        <f>HLOOKUP(L268,データについて!$J$6:$M$18,13,FALSE)</f>
        <v>2</v>
      </c>
      <c r="T268" s="81">
        <f>HLOOKUP(M268,データについて!$J$7:$M$18,12,FALSE)</f>
        <v>1</v>
      </c>
      <c r="U268" s="81">
        <f>HLOOKUP(N268,データについて!$J$8:$M$18,11,FALSE)</f>
        <v>2</v>
      </c>
      <c r="V268" s="81">
        <f>HLOOKUP(O268,データについて!$J$9:$M$18,10,FALSE)</f>
        <v>3</v>
      </c>
      <c r="W268" s="81">
        <f>HLOOKUP(P268,データについて!$J$10:$M$18,9,FALSE)</f>
        <v>1</v>
      </c>
      <c r="X268" s="81">
        <f>HLOOKUP(Q268,データについて!$J$11:$M$18,8,FALSE)</f>
        <v>1</v>
      </c>
      <c r="Y268" s="81">
        <f>HLOOKUP(R268,データについて!$J$12:$M$18,7,FALSE)</f>
        <v>2</v>
      </c>
      <c r="Z268" s="81">
        <f>HLOOKUP(I268,データについて!$J$3:$M$18,16,FALSE)</f>
        <v>2</v>
      </c>
      <c r="AA268" s="81" t="str">
        <f>IFERROR(HLOOKUP(J268,データについて!$J$4:$AH$19,16,FALSE),"")</f>
        <v/>
      </c>
      <c r="AB268" s="81">
        <f>IFERROR(HLOOKUP(K268,データについて!$J$5:$AH$20,14,FALSE),"")</f>
        <v>1</v>
      </c>
      <c r="AC268" s="81">
        <f>IF(X268=1,HLOOKUP(R268,データについて!$J$12:$M$18,7,FALSE),"*")</f>
        <v>2</v>
      </c>
      <c r="AD268" s="81" t="str">
        <f>IF(X268=2,HLOOKUP(R268,データについて!$J$12:$M$18,7,FALSE),"*")</f>
        <v>*</v>
      </c>
    </row>
    <row r="269" spans="1:30">
      <c r="A269" s="30">
        <v>4923</v>
      </c>
      <c r="B269" s="30" t="s">
        <v>4771</v>
      </c>
      <c r="C269" s="30" t="s">
        <v>4772</v>
      </c>
      <c r="D269" s="30" t="s">
        <v>106</v>
      </c>
      <c r="E269" s="30"/>
      <c r="F269" s="30" t="s">
        <v>107</v>
      </c>
      <c r="G269" s="30" t="s">
        <v>106</v>
      </c>
      <c r="H269" s="30"/>
      <c r="I269" s="30" t="s">
        <v>191</v>
      </c>
      <c r="J269" s="30"/>
      <c r="K269" s="30" t="s">
        <v>4342</v>
      </c>
      <c r="L269" s="30" t="s">
        <v>117</v>
      </c>
      <c r="M269" s="30" t="s">
        <v>113</v>
      </c>
      <c r="N269" s="30" t="s">
        <v>110</v>
      </c>
      <c r="O269" s="30" t="s">
        <v>115</v>
      </c>
      <c r="P269" s="30" t="s">
        <v>118</v>
      </c>
      <c r="Q269" s="30" t="s">
        <v>112</v>
      </c>
      <c r="R269" s="30" t="s">
        <v>187</v>
      </c>
      <c r="S269" s="81">
        <f>HLOOKUP(L269,データについて!$J$6:$M$18,13,FALSE)</f>
        <v>2</v>
      </c>
      <c r="T269" s="81">
        <f>HLOOKUP(M269,データについて!$J$7:$M$18,12,FALSE)</f>
        <v>1</v>
      </c>
      <c r="U269" s="81">
        <f>HLOOKUP(N269,データについて!$J$8:$M$18,11,FALSE)</f>
        <v>2</v>
      </c>
      <c r="V269" s="81">
        <f>HLOOKUP(O269,データについて!$J$9:$M$18,10,FALSE)</f>
        <v>1</v>
      </c>
      <c r="W269" s="81">
        <f>HLOOKUP(P269,データについて!$J$10:$M$18,9,FALSE)</f>
        <v>2</v>
      </c>
      <c r="X269" s="81">
        <f>HLOOKUP(Q269,データについて!$J$11:$M$18,8,FALSE)</f>
        <v>1</v>
      </c>
      <c r="Y269" s="81">
        <f>HLOOKUP(R269,データについて!$J$12:$M$18,7,FALSE)</f>
        <v>3</v>
      </c>
      <c r="Z269" s="81">
        <f>HLOOKUP(I269,データについて!$J$3:$M$18,16,FALSE)</f>
        <v>2</v>
      </c>
      <c r="AA269" s="81" t="str">
        <f>IFERROR(HLOOKUP(J269,データについて!$J$4:$AH$19,16,FALSE),"")</f>
        <v/>
      </c>
      <c r="AB269" s="81">
        <f>IFERROR(HLOOKUP(K269,データについて!$J$5:$AH$20,14,FALSE),"")</f>
        <v>1</v>
      </c>
      <c r="AC269" s="81">
        <f>IF(X269=1,HLOOKUP(R269,データについて!$J$12:$M$18,7,FALSE),"*")</f>
        <v>3</v>
      </c>
      <c r="AD269" s="81" t="str">
        <f>IF(X269=2,HLOOKUP(R269,データについて!$J$12:$M$18,7,FALSE),"*")</f>
        <v>*</v>
      </c>
    </row>
    <row r="270" spans="1:30">
      <c r="A270" s="30">
        <v>4922</v>
      </c>
      <c r="B270" s="30" t="s">
        <v>4773</v>
      </c>
      <c r="C270" s="30" t="s">
        <v>4774</v>
      </c>
      <c r="D270" s="30" t="s">
        <v>106</v>
      </c>
      <c r="E270" s="30"/>
      <c r="F270" s="30" t="s">
        <v>107</v>
      </c>
      <c r="G270" s="30" t="s">
        <v>106</v>
      </c>
      <c r="H270" s="30"/>
      <c r="I270" s="30" t="s">
        <v>191</v>
      </c>
      <c r="J270" s="30"/>
      <c r="K270" s="30" t="s">
        <v>4342</v>
      </c>
      <c r="L270" s="30" t="s">
        <v>108</v>
      </c>
      <c r="M270" s="30" t="s">
        <v>113</v>
      </c>
      <c r="N270" s="30" t="s">
        <v>110</v>
      </c>
      <c r="O270" s="30" t="s">
        <v>115</v>
      </c>
      <c r="P270" s="30" t="s">
        <v>118</v>
      </c>
      <c r="Q270" s="30" t="s">
        <v>112</v>
      </c>
      <c r="R270" s="30" t="s">
        <v>185</v>
      </c>
      <c r="S270" s="81">
        <f>HLOOKUP(L270,データについて!$J$6:$M$18,13,FALSE)</f>
        <v>1</v>
      </c>
      <c r="T270" s="81">
        <f>HLOOKUP(M270,データについて!$J$7:$M$18,12,FALSE)</f>
        <v>1</v>
      </c>
      <c r="U270" s="81">
        <f>HLOOKUP(N270,データについて!$J$8:$M$18,11,FALSE)</f>
        <v>2</v>
      </c>
      <c r="V270" s="81">
        <f>HLOOKUP(O270,データについて!$J$9:$M$18,10,FALSE)</f>
        <v>1</v>
      </c>
      <c r="W270" s="81">
        <f>HLOOKUP(P270,データについて!$J$10:$M$18,9,FALSE)</f>
        <v>2</v>
      </c>
      <c r="X270" s="81">
        <f>HLOOKUP(Q270,データについて!$J$11:$M$18,8,FALSE)</f>
        <v>1</v>
      </c>
      <c r="Y270" s="81">
        <f>HLOOKUP(R270,データについて!$J$12:$M$18,7,FALSE)</f>
        <v>2</v>
      </c>
      <c r="Z270" s="81">
        <f>HLOOKUP(I270,データについて!$J$3:$M$18,16,FALSE)</f>
        <v>2</v>
      </c>
      <c r="AA270" s="81" t="str">
        <f>IFERROR(HLOOKUP(J270,データについて!$J$4:$AH$19,16,FALSE),"")</f>
        <v/>
      </c>
      <c r="AB270" s="81">
        <f>IFERROR(HLOOKUP(K270,データについて!$J$5:$AH$20,14,FALSE),"")</f>
        <v>1</v>
      </c>
      <c r="AC270" s="81">
        <f>IF(X270=1,HLOOKUP(R270,データについて!$J$12:$M$18,7,FALSE),"*")</f>
        <v>2</v>
      </c>
      <c r="AD270" s="81" t="str">
        <f>IF(X270=2,HLOOKUP(R270,データについて!$J$12:$M$18,7,FALSE),"*")</f>
        <v>*</v>
      </c>
    </row>
    <row r="271" spans="1:30">
      <c r="A271" s="30">
        <v>4921</v>
      </c>
      <c r="B271" s="30" t="s">
        <v>4775</v>
      </c>
      <c r="C271" s="30" t="s">
        <v>4774</v>
      </c>
      <c r="D271" s="30" t="s">
        <v>106</v>
      </c>
      <c r="E271" s="30"/>
      <c r="F271" s="30" t="s">
        <v>107</v>
      </c>
      <c r="G271" s="30" t="s">
        <v>106</v>
      </c>
      <c r="H271" s="30"/>
      <c r="I271" s="30" t="s">
        <v>191</v>
      </c>
      <c r="J271" s="30"/>
      <c r="K271" s="30" t="s">
        <v>4342</v>
      </c>
      <c r="L271" s="30" t="s">
        <v>117</v>
      </c>
      <c r="M271" s="30" t="s">
        <v>113</v>
      </c>
      <c r="N271" s="30" t="s">
        <v>110</v>
      </c>
      <c r="O271" s="30" t="s">
        <v>115</v>
      </c>
      <c r="P271" s="30" t="s">
        <v>112</v>
      </c>
      <c r="Q271" s="30" t="s">
        <v>112</v>
      </c>
      <c r="R271" s="30" t="s">
        <v>183</v>
      </c>
      <c r="S271" s="81">
        <f>HLOOKUP(L271,データについて!$J$6:$M$18,13,FALSE)</f>
        <v>2</v>
      </c>
      <c r="T271" s="81">
        <f>HLOOKUP(M271,データについて!$J$7:$M$18,12,FALSE)</f>
        <v>1</v>
      </c>
      <c r="U271" s="81">
        <f>HLOOKUP(N271,データについて!$J$8:$M$18,11,FALSE)</f>
        <v>2</v>
      </c>
      <c r="V271" s="81">
        <f>HLOOKUP(O271,データについて!$J$9:$M$18,10,FALSE)</f>
        <v>1</v>
      </c>
      <c r="W271" s="81">
        <f>HLOOKUP(P271,データについて!$J$10:$M$18,9,FALSE)</f>
        <v>1</v>
      </c>
      <c r="X271" s="81">
        <f>HLOOKUP(Q271,データについて!$J$11:$M$18,8,FALSE)</f>
        <v>1</v>
      </c>
      <c r="Y271" s="81">
        <f>HLOOKUP(R271,データについて!$J$12:$M$18,7,FALSE)</f>
        <v>1</v>
      </c>
      <c r="Z271" s="81">
        <f>HLOOKUP(I271,データについて!$J$3:$M$18,16,FALSE)</f>
        <v>2</v>
      </c>
      <c r="AA271" s="81" t="str">
        <f>IFERROR(HLOOKUP(J271,データについて!$J$4:$AH$19,16,FALSE),"")</f>
        <v/>
      </c>
      <c r="AB271" s="81">
        <f>IFERROR(HLOOKUP(K271,データについて!$J$5:$AH$20,14,FALSE),"")</f>
        <v>1</v>
      </c>
      <c r="AC271" s="81">
        <f>IF(X271=1,HLOOKUP(R271,データについて!$J$12:$M$18,7,FALSE),"*")</f>
        <v>1</v>
      </c>
      <c r="AD271" s="81" t="str">
        <f>IF(X271=2,HLOOKUP(R271,データについて!$J$12:$M$18,7,FALSE),"*")</f>
        <v>*</v>
      </c>
    </row>
    <row r="272" spans="1:30">
      <c r="A272" s="30">
        <v>4920</v>
      </c>
      <c r="B272" s="30" t="s">
        <v>4776</v>
      </c>
      <c r="C272" s="30" t="s">
        <v>4777</v>
      </c>
      <c r="D272" s="30" t="s">
        <v>106</v>
      </c>
      <c r="E272" s="30"/>
      <c r="F272" s="30" t="s">
        <v>107</v>
      </c>
      <c r="G272" s="30" t="s">
        <v>106</v>
      </c>
      <c r="H272" s="30"/>
      <c r="I272" s="30" t="s">
        <v>191</v>
      </c>
      <c r="J272" s="30"/>
      <c r="K272" s="30" t="s">
        <v>4342</v>
      </c>
      <c r="L272" s="30" t="s">
        <v>108</v>
      </c>
      <c r="M272" s="30" t="s">
        <v>121</v>
      </c>
      <c r="N272" s="30" t="s">
        <v>119</v>
      </c>
      <c r="O272" s="30" t="s">
        <v>123</v>
      </c>
      <c r="P272" s="30" t="s">
        <v>118</v>
      </c>
      <c r="Q272" s="30" t="s">
        <v>118</v>
      </c>
      <c r="R272" s="30" t="s">
        <v>189</v>
      </c>
      <c r="S272" s="81">
        <f>HLOOKUP(L272,データについて!$J$6:$M$18,13,FALSE)</f>
        <v>1</v>
      </c>
      <c r="T272" s="81">
        <f>HLOOKUP(M272,データについて!$J$7:$M$18,12,FALSE)</f>
        <v>4</v>
      </c>
      <c r="U272" s="81">
        <f>HLOOKUP(N272,データについて!$J$8:$M$18,11,FALSE)</f>
        <v>4</v>
      </c>
      <c r="V272" s="81">
        <f>HLOOKUP(O272,データについて!$J$9:$M$18,10,FALSE)</f>
        <v>4</v>
      </c>
      <c r="W272" s="81">
        <f>HLOOKUP(P272,データについて!$J$10:$M$18,9,FALSE)</f>
        <v>2</v>
      </c>
      <c r="X272" s="81">
        <f>HLOOKUP(Q272,データについて!$J$11:$M$18,8,FALSE)</f>
        <v>2</v>
      </c>
      <c r="Y272" s="81">
        <f>HLOOKUP(R272,データについて!$J$12:$M$18,7,FALSE)</f>
        <v>4</v>
      </c>
      <c r="Z272" s="81">
        <f>HLOOKUP(I272,データについて!$J$3:$M$18,16,FALSE)</f>
        <v>2</v>
      </c>
      <c r="AA272" s="81" t="str">
        <f>IFERROR(HLOOKUP(J272,データについて!$J$4:$AH$19,16,FALSE),"")</f>
        <v/>
      </c>
      <c r="AB272" s="81">
        <f>IFERROR(HLOOKUP(K272,データについて!$J$5:$AH$20,14,FALSE),"")</f>
        <v>1</v>
      </c>
      <c r="AC272" s="81" t="str">
        <f>IF(X272=1,HLOOKUP(R272,データについて!$J$12:$M$18,7,FALSE),"*")</f>
        <v>*</v>
      </c>
      <c r="AD272" s="81">
        <f>IF(X272=2,HLOOKUP(R272,データについて!$J$12:$M$18,7,FALSE),"*")</f>
        <v>4</v>
      </c>
    </row>
    <row r="273" spans="1:30">
      <c r="A273" s="30">
        <v>4919</v>
      </c>
      <c r="B273" s="30" t="s">
        <v>4778</v>
      </c>
      <c r="C273" s="30" t="s">
        <v>4779</v>
      </c>
      <c r="D273" s="30" t="s">
        <v>106</v>
      </c>
      <c r="E273" s="30"/>
      <c r="F273" s="30" t="s">
        <v>107</v>
      </c>
      <c r="G273" s="30" t="s">
        <v>106</v>
      </c>
      <c r="H273" s="30"/>
      <c r="I273" s="30" t="s">
        <v>191</v>
      </c>
      <c r="J273" s="30"/>
      <c r="K273" s="30" t="s">
        <v>4342</v>
      </c>
      <c r="L273" s="30" t="s">
        <v>117</v>
      </c>
      <c r="M273" s="30" t="s">
        <v>121</v>
      </c>
      <c r="N273" s="30" t="s">
        <v>110</v>
      </c>
      <c r="O273" s="30" t="s">
        <v>115</v>
      </c>
      <c r="P273" s="30" t="s">
        <v>112</v>
      </c>
      <c r="Q273" s="30" t="s">
        <v>118</v>
      </c>
      <c r="R273" s="30" t="s">
        <v>189</v>
      </c>
      <c r="S273" s="81">
        <f>HLOOKUP(L273,データについて!$J$6:$M$18,13,FALSE)</f>
        <v>2</v>
      </c>
      <c r="T273" s="81">
        <f>HLOOKUP(M273,データについて!$J$7:$M$18,12,FALSE)</f>
        <v>4</v>
      </c>
      <c r="U273" s="81">
        <f>HLOOKUP(N273,データについて!$J$8:$M$18,11,FALSE)</f>
        <v>2</v>
      </c>
      <c r="V273" s="81">
        <f>HLOOKUP(O273,データについて!$J$9:$M$18,10,FALSE)</f>
        <v>1</v>
      </c>
      <c r="W273" s="81">
        <f>HLOOKUP(P273,データについて!$J$10:$M$18,9,FALSE)</f>
        <v>1</v>
      </c>
      <c r="X273" s="81">
        <f>HLOOKUP(Q273,データについて!$J$11:$M$18,8,FALSE)</f>
        <v>2</v>
      </c>
      <c r="Y273" s="81">
        <f>HLOOKUP(R273,データについて!$J$12:$M$18,7,FALSE)</f>
        <v>4</v>
      </c>
      <c r="Z273" s="81">
        <f>HLOOKUP(I273,データについて!$J$3:$M$18,16,FALSE)</f>
        <v>2</v>
      </c>
      <c r="AA273" s="81" t="str">
        <f>IFERROR(HLOOKUP(J273,データについて!$J$4:$AH$19,16,FALSE),"")</f>
        <v/>
      </c>
      <c r="AB273" s="81">
        <f>IFERROR(HLOOKUP(K273,データについて!$J$5:$AH$20,14,FALSE),"")</f>
        <v>1</v>
      </c>
      <c r="AC273" s="81" t="str">
        <f>IF(X273=1,HLOOKUP(R273,データについて!$J$12:$M$18,7,FALSE),"*")</f>
        <v>*</v>
      </c>
      <c r="AD273" s="81">
        <f>IF(X273=2,HLOOKUP(R273,データについて!$J$12:$M$18,7,FALSE),"*")</f>
        <v>4</v>
      </c>
    </row>
    <row r="274" spans="1:30">
      <c r="A274" s="30">
        <v>4918</v>
      </c>
      <c r="B274" s="30" t="s">
        <v>4780</v>
      </c>
      <c r="C274" s="30" t="s">
        <v>4779</v>
      </c>
      <c r="D274" s="30" t="s">
        <v>106</v>
      </c>
      <c r="E274" s="30"/>
      <c r="F274" s="30" t="s">
        <v>107</v>
      </c>
      <c r="G274" s="30" t="s">
        <v>106</v>
      </c>
      <c r="H274" s="30"/>
      <c r="I274" s="30" t="s">
        <v>191</v>
      </c>
      <c r="J274" s="30"/>
      <c r="K274" s="30" t="s">
        <v>4342</v>
      </c>
      <c r="L274" s="30" t="s">
        <v>117</v>
      </c>
      <c r="M274" s="30" t="s">
        <v>124</v>
      </c>
      <c r="N274" s="30" t="s">
        <v>119</v>
      </c>
      <c r="O274" s="30" t="s">
        <v>115</v>
      </c>
      <c r="P274" s="30" t="s">
        <v>118</v>
      </c>
      <c r="Q274" s="30" t="s">
        <v>112</v>
      </c>
      <c r="R274" s="30" t="s">
        <v>189</v>
      </c>
      <c r="S274" s="81">
        <f>HLOOKUP(L274,データについて!$J$6:$M$18,13,FALSE)</f>
        <v>2</v>
      </c>
      <c r="T274" s="81">
        <f>HLOOKUP(M274,データについて!$J$7:$M$18,12,FALSE)</f>
        <v>3</v>
      </c>
      <c r="U274" s="81">
        <f>HLOOKUP(N274,データについて!$J$8:$M$18,11,FALSE)</f>
        <v>4</v>
      </c>
      <c r="V274" s="81">
        <f>HLOOKUP(O274,データについて!$J$9:$M$18,10,FALSE)</f>
        <v>1</v>
      </c>
      <c r="W274" s="81">
        <f>HLOOKUP(P274,データについて!$J$10:$M$18,9,FALSE)</f>
        <v>2</v>
      </c>
      <c r="X274" s="81">
        <f>HLOOKUP(Q274,データについて!$J$11:$M$18,8,FALSE)</f>
        <v>1</v>
      </c>
      <c r="Y274" s="81">
        <f>HLOOKUP(R274,データについて!$J$12:$M$18,7,FALSE)</f>
        <v>4</v>
      </c>
      <c r="Z274" s="81">
        <f>HLOOKUP(I274,データについて!$J$3:$M$18,16,FALSE)</f>
        <v>2</v>
      </c>
      <c r="AA274" s="81" t="str">
        <f>IFERROR(HLOOKUP(J274,データについて!$J$4:$AH$19,16,FALSE),"")</f>
        <v/>
      </c>
      <c r="AB274" s="81">
        <f>IFERROR(HLOOKUP(K274,データについて!$J$5:$AH$20,14,FALSE),"")</f>
        <v>1</v>
      </c>
      <c r="AC274" s="81">
        <f>IF(X274=1,HLOOKUP(R274,データについて!$J$12:$M$18,7,FALSE),"*")</f>
        <v>4</v>
      </c>
      <c r="AD274" s="81" t="str">
        <f>IF(X274=2,HLOOKUP(R274,データについて!$J$12:$M$18,7,FALSE),"*")</f>
        <v>*</v>
      </c>
    </row>
    <row r="275" spans="1:30">
      <c r="A275" s="30">
        <v>4917</v>
      </c>
      <c r="B275" s="30" t="s">
        <v>4781</v>
      </c>
      <c r="C275" s="30" t="s">
        <v>4782</v>
      </c>
      <c r="D275" s="30" t="s">
        <v>106</v>
      </c>
      <c r="E275" s="30"/>
      <c r="F275" s="30" t="s">
        <v>107</v>
      </c>
      <c r="G275" s="30" t="s">
        <v>106</v>
      </c>
      <c r="H275" s="30"/>
      <c r="I275" s="30" t="s">
        <v>191</v>
      </c>
      <c r="J275" s="30"/>
      <c r="K275" s="30" t="s">
        <v>4342</v>
      </c>
      <c r="L275" s="30" t="s">
        <v>108</v>
      </c>
      <c r="M275" s="30" t="s">
        <v>113</v>
      </c>
      <c r="N275" s="30" t="s">
        <v>114</v>
      </c>
      <c r="O275" s="30" t="s">
        <v>115</v>
      </c>
      <c r="P275" s="30" t="s">
        <v>118</v>
      </c>
      <c r="Q275" s="30" t="s">
        <v>112</v>
      </c>
      <c r="R275" s="30" t="s">
        <v>183</v>
      </c>
      <c r="S275" s="81">
        <f>HLOOKUP(L275,データについて!$J$6:$M$18,13,FALSE)</f>
        <v>1</v>
      </c>
      <c r="T275" s="81">
        <f>HLOOKUP(M275,データについて!$J$7:$M$18,12,FALSE)</f>
        <v>1</v>
      </c>
      <c r="U275" s="81">
        <f>HLOOKUP(N275,データについて!$J$8:$M$18,11,FALSE)</f>
        <v>1</v>
      </c>
      <c r="V275" s="81">
        <f>HLOOKUP(O275,データについて!$J$9:$M$18,10,FALSE)</f>
        <v>1</v>
      </c>
      <c r="W275" s="81">
        <f>HLOOKUP(P275,データについて!$J$10:$M$18,9,FALSE)</f>
        <v>2</v>
      </c>
      <c r="X275" s="81">
        <f>HLOOKUP(Q275,データについて!$J$11:$M$18,8,FALSE)</f>
        <v>1</v>
      </c>
      <c r="Y275" s="81">
        <f>HLOOKUP(R275,データについて!$J$12:$M$18,7,FALSE)</f>
        <v>1</v>
      </c>
      <c r="Z275" s="81">
        <f>HLOOKUP(I275,データについて!$J$3:$M$18,16,FALSE)</f>
        <v>2</v>
      </c>
      <c r="AA275" s="81" t="str">
        <f>IFERROR(HLOOKUP(J275,データについて!$J$4:$AH$19,16,FALSE),"")</f>
        <v/>
      </c>
      <c r="AB275" s="81">
        <f>IFERROR(HLOOKUP(K275,データについて!$J$5:$AH$20,14,FALSE),"")</f>
        <v>1</v>
      </c>
      <c r="AC275" s="81">
        <f>IF(X275=1,HLOOKUP(R275,データについて!$J$12:$M$18,7,FALSE),"*")</f>
        <v>1</v>
      </c>
      <c r="AD275" s="81" t="str">
        <f>IF(X275=2,HLOOKUP(R275,データについて!$J$12:$M$18,7,FALSE),"*")</f>
        <v>*</v>
      </c>
    </row>
    <row r="276" spans="1:30">
      <c r="A276" s="30">
        <v>4916</v>
      </c>
      <c r="B276" s="30" t="s">
        <v>4783</v>
      </c>
      <c r="C276" s="30" t="s">
        <v>4784</v>
      </c>
      <c r="D276" s="30" t="s">
        <v>106</v>
      </c>
      <c r="E276" s="30"/>
      <c r="F276" s="30" t="s">
        <v>107</v>
      </c>
      <c r="G276" s="30" t="s">
        <v>106</v>
      </c>
      <c r="H276" s="30"/>
      <c r="I276" s="30" t="s">
        <v>191</v>
      </c>
      <c r="J276" s="30"/>
      <c r="K276" s="30" t="s">
        <v>4342</v>
      </c>
      <c r="L276" s="30" t="s">
        <v>117</v>
      </c>
      <c r="M276" s="30" t="s">
        <v>121</v>
      </c>
      <c r="N276" s="30" t="s">
        <v>119</v>
      </c>
      <c r="O276" s="30" t="s">
        <v>115</v>
      </c>
      <c r="P276" s="30" t="s">
        <v>112</v>
      </c>
      <c r="Q276" s="30" t="s">
        <v>112</v>
      </c>
      <c r="R276" s="30" t="s">
        <v>189</v>
      </c>
      <c r="S276" s="81">
        <f>HLOOKUP(L276,データについて!$J$6:$M$18,13,FALSE)</f>
        <v>2</v>
      </c>
      <c r="T276" s="81">
        <f>HLOOKUP(M276,データについて!$J$7:$M$18,12,FALSE)</f>
        <v>4</v>
      </c>
      <c r="U276" s="81">
        <f>HLOOKUP(N276,データについて!$J$8:$M$18,11,FALSE)</f>
        <v>4</v>
      </c>
      <c r="V276" s="81">
        <f>HLOOKUP(O276,データについて!$J$9:$M$18,10,FALSE)</f>
        <v>1</v>
      </c>
      <c r="W276" s="81">
        <f>HLOOKUP(P276,データについて!$J$10:$M$18,9,FALSE)</f>
        <v>1</v>
      </c>
      <c r="X276" s="81">
        <f>HLOOKUP(Q276,データについて!$J$11:$M$18,8,FALSE)</f>
        <v>1</v>
      </c>
      <c r="Y276" s="81">
        <f>HLOOKUP(R276,データについて!$J$12:$M$18,7,FALSE)</f>
        <v>4</v>
      </c>
      <c r="Z276" s="81">
        <f>HLOOKUP(I276,データについて!$J$3:$M$18,16,FALSE)</f>
        <v>2</v>
      </c>
      <c r="AA276" s="81" t="str">
        <f>IFERROR(HLOOKUP(J276,データについて!$J$4:$AH$19,16,FALSE),"")</f>
        <v/>
      </c>
      <c r="AB276" s="81">
        <f>IFERROR(HLOOKUP(K276,データについて!$J$5:$AH$20,14,FALSE),"")</f>
        <v>1</v>
      </c>
      <c r="AC276" s="81">
        <f>IF(X276=1,HLOOKUP(R276,データについて!$J$12:$M$18,7,FALSE),"*")</f>
        <v>4</v>
      </c>
      <c r="AD276" s="81" t="str">
        <f>IF(X276=2,HLOOKUP(R276,データについて!$J$12:$M$18,7,FALSE),"*")</f>
        <v>*</v>
      </c>
    </row>
    <row r="277" spans="1:30">
      <c r="A277" s="30">
        <v>4915</v>
      </c>
      <c r="B277" s="30" t="s">
        <v>4785</v>
      </c>
      <c r="C277" s="30" t="s">
        <v>4786</v>
      </c>
      <c r="D277" s="30" t="s">
        <v>106</v>
      </c>
      <c r="E277" s="30"/>
      <c r="F277" s="30" t="s">
        <v>107</v>
      </c>
      <c r="G277" s="30" t="s">
        <v>106</v>
      </c>
      <c r="H277" s="30"/>
      <c r="I277" s="30" t="s">
        <v>191</v>
      </c>
      <c r="J277" s="30"/>
      <c r="K277" s="30" t="s">
        <v>4342</v>
      </c>
      <c r="L277" s="30" t="s">
        <v>117</v>
      </c>
      <c r="M277" s="30" t="s">
        <v>113</v>
      </c>
      <c r="N277" s="30" t="s">
        <v>110</v>
      </c>
      <c r="O277" s="30" t="s">
        <v>115</v>
      </c>
      <c r="P277" s="30" t="s">
        <v>112</v>
      </c>
      <c r="Q277" s="30" t="s">
        <v>112</v>
      </c>
      <c r="R277" s="30" t="s">
        <v>183</v>
      </c>
      <c r="S277" s="81">
        <f>HLOOKUP(L277,データについて!$J$6:$M$18,13,FALSE)</f>
        <v>2</v>
      </c>
      <c r="T277" s="81">
        <f>HLOOKUP(M277,データについて!$J$7:$M$18,12,FALSE)</f>
        <v>1</v>
      </c>
      <c r="U277" s="81">
        <f>HLOOKUP(N277,データについて!$J$8:$M$18,11,FALSE)</f>
        <v>2</v>
      </c>
      <c r="V277" s="81">
        <f>HLOOKUP(O277,データについて!$J$9:$M$18,10,FALSE)</f>
        <v>1</v>
      </c>
      <c r="W277" s="81">
        <f>HLOOKUP(P277,データについて!$J$10:$M$18,9,FALSE)</f>
        <v>1</v>
      </c>
      <c r="X277" s="81">
        <f>HLOOKUP(Q277,データについて!$J$11:$M$18,8,FALSE)</f>
        <v>1</v>
      </c>
      <c r="Y277" s="81">
        <f>HLOOKUP(R277,データについて!$J$12:$M$18,7,FALSE)</f>
        <v>1</v>
      </c>
      <c r="Z277" s="81">
        <f>HLOOKUP(I277,データについて!$J$3:$M$18,16,FALSE)</f>
        <v>2</v>
      </c>
      <c r="AA277" s="81" t="str">
        <f>IFERROR(HLOOKUP(J277,データについて!$J$4:$AH$19,16,FALSE),"")</f>
        <v/>
      </c>
      <c r="AB277" s="81">
        <f>IFERROR(HLOOKUP(K277,データについて!$J$5:$AH$20,14,FALSE),"")</f>
        <v>1</v>
      </c>
      <c r="AC277" s="81">
        <f>IF(X277=1,HLOOKUP(R277,データについて!$J$12:$M$18,7,FALSE),"*")</f>
        <v>1</v>
      </c>
      <c r="AD277" s="81" t="str">
        <f>IF(X277=2,HLOOKUP(R277,データについて!$J$12:$M$18,7,FALSE),"*")</f>
        <v>*</v>
      </c>
    </row>
    <row r="278" spans="1:30">
      <c r="A278" s="30">
        <v>4914</v>
      </c>
      <c r="B278" s="30" t="s">
        <v>4787</v>
      </c>
      <c r="C278" s="30" t="s">
        <v>4788</v>
      </c>
      <c r="D278" s="30" t="s">
        <v>106</v>
      </c>
      <c r="E278" s="30"/>
      <c r="F278" s="30" t="s">
        <v>107</v>
      </c>
      <c r="G278" s="30" t="s">
        <v>106</v>
      </c>
      <c r="H278" s="30"/>
      <c r="I278" s="30" t="s">
        <v>191</v>
      </c>
      <c r="J278" s="30"/>
      <c r="K278" s="30" t="s">
        <v>4342</v>
      </c>
      <c r="L278" s="30" t="s">
        <v>108</v>
      </c>
      <c r="M278" s="30" t="s">
        <v>113</v>
      </c>
      <c r="N278" s="30" t="s">
        <v>114</v>
      </c>
      <c r="O278" s="30" t="s">
        <v>115</v>
      </c>
      <c r="P278" s="30" t="s">
        <v>112</v>
      </c>
      <c r="Q278" s="30" t="s">
        <v>112</v>
      </c>
      <c r="R278" s="30" t="s">
        <v>185</v>
      </c>
      <c r="S278" s="81">
        <f>HLOOKUP(L278,データについて!$J$6:$M$18,13,FALSE)</f>
        <v>1</v>
      </c>
      <c r="T278" s="81">
        <f>HLOOKUP(M278,データについて!$J$7:$M$18,12,FALSE)</f>
        <v>1</v>
      </c>
      <c r="U278" s="81">
        <f>HLOOKUP(N278,データについて!$J$8:$M$18,11,FALSE)</f>
        <v>1</v>
      </c>
      <c r="V278" s="81">
        <f>HLOOKUP(O278,データについて!$J$9:$M$18,10,FALSE)</f>
        <v>1</v>
      </c>
      <c r="W278" s="81">
        <f>HLOOKUP(P278,データについて!$J$10:$M$18,9,FALSE)</f>
        <v>1</v>
      </c>
      <c r="X278" s="81">
        <f>HLOOKUP(Q278,データについて!$J$11:$M$18,8,FALSE)</f>
        <v>1</v>
      </c>
      <c r="Y278" s="81">
        <f>HLOOKUP(R278,データについて!$J$12:$M$18,7,FALSE)</f>
        <v>2</v>
      </c>
      <c r="Z278" s="81">
        <f>HLOOKUP(I278,データについて!$J$3:$M$18,16,FALSE)</f>
        <v>2</v>
      </c>
      <c r="AA278" s="81" t="str">
        <f>IFERROR(HLOOKUP(J278,データについて!$J$4:$AH$19,16,FALSE),"")</f>
        <v/>
      </c>
      <c r="AB278" s="81">
        <f>IFERROR(HLOOKUP(K278,データについて!$J$5:$AH$20,14,FALSE),"")</f>
        <v>1</v>
      </c>
      <c r="AC278" s="81">
        <f>IF(X278=1,HLOOKUP(R278,データについて!$J$12:$M$18,7,FALSE),"*")</f>
        <v>2</v>
      </c>
      <c r="AD278" s="81" t="str">
        <f>IF(X278=2,HLOOKUP(R278,データについて!$J$12:$M$18,7,FALSE),"*")</f>
        <v>*</v>
      </c>
    </row>
    <row r="279" spans="1:30">
      <c r="A279" s="30">
        <v>4913</v>
      </c>
      <c r="B279" s="30" t="s">
        <v>4789</v>
      </c>
      <c r="C279" s="30" t="s">
        <v>4788</v>
      </c>
      <c r="D279" s="30" t="s">
        <v>106</v>
      </c>
      <c r="E279" s="30"/>
      <c r="F279" s="30" t="s">
        <v>107</v>
      </c>
      <c r="G279" s="30" t="s">
        <v>106</v>
      </c>
      <c r="H279" s="30"/>
      <c r="I279" s="30" t="s">
        <v>191</v>
      </c>
      <c r="J279" s="30"/>
      <c r="K279" s="30" t="s">
        <v>4342</v>
      </c>
      <c r="L279" s="30" t="s">
        <v>108</v>
      </c>
      <c r="M279" s="30" t="s">
        <v>124</v>
      </c>
      <c r="N279" s="30" t="s">
        <v>114</v>
      </c>
      <c r="O279" s="30" t="s">
        <v>115</v>
      </c>
      <c r="P279" s="30" t="s">
        <v>118</v>
      </c>
      <c r="Q279" s="30" t="s">
        <v>112</v>
      </c>
      <c r="R279" s="30" t="s">
        <v>185</v>
      </c>
      <c r="S279" s="81">
        <f>HLOOKUP(L279,データについて!$J$6:$M$18,13,FALSE)</f>
        <v>1</v>
      </c>
      <c r="T279" s="81">
        <f>HLOOKUP(M279,データについて!$J$7:$M$18,12,FALSE)</f>
        <v>3</v>
      </c>
      <c r="U279" s="81">
        <f>HLOOKUP(N279,データについて!$J$8:$M$18,11,FALSE)</f>
        <v>1</v>
      </c>
      <c r="V279" s="81">
        <f>HLOOKUP(O279,データについて!$J$9:$M$18,10,FALSE)</f>
        <v>1</v>
      </c>
      <c r="W279" s="81">
        <f>HLOOKUP(P279,データについて!$J$10:$M$18,9,FALSE)</f>
        <v>2</v>
      </c>
      <c r="X279" s="81">
        <f>HLOOKUP(Q279,データについて!$J$11:$M$18,8,FALSE)</f>
        <v>1</v>
      </c>
      <c r="Y279" s="81">
        <f>HLOOKUP(R279,データについて!$J$12:$M$18,7,FALSE)</f>
        <v>2</v>
      </c>
      <c r="Z279" s="81">
        <f>HLOOKUP(I279,データについて!$J$3:$M$18,16,FALSE)</f>
        <v>2</v>
      </c>
      <c r="AA279" s="81" t="str">
        <f>IFERROR(HLOOKUP(J279,データについて!$J$4:$AH$19,16,FALSE),"")</f>
        <v/>
      </c>
      <c r="AB279" s="81">
        <f>IFERROR(HLOOKUP(K279,データについて!$J$5:$AH$20,14,FALSE),"")</f>
        <v>1</v>
      </c>
      <c r="AC279" s="81">
        <f>IF(X279=1,HLOOKUP(R279,データについて!$J$12:$M$18,7,FALSE),"*")</f>
        <v>2</v>
      </c>
      <c r="AD279" s="81" t="str">
        <f>IF(X279=2,HLOOKUP(R279,データについて!$J$12:$M$18,7,FALSE),"*")</f>
        <v>*</v>
      </c>
    </row>
    <row r="280" spans="1:30">
      <c r="A280" s="30">
        <v>4912</v>
      </c>
      <c r="B280" s="30" t="s">
        <v>4790</v>
      </c>
      <c r="C280" s="30" t="s">
        <v>4791</v>
      </c>
      <c r="D280" s="30" t="s">
        <v>106</v>
      </c>
      <c r="E280" s="30"/>
      <c r="F280" s="30" t="s">
        <v>107</v>
      </c>
      <c r="G280" s="30" t="s">
        <v>106</v>
      </c>
      <c r="H280" s="30"/>
      <c r="I280" s="30" t="s">
        <v>191</v>
      </c>
      <c r="J280" s="30"/>
      <c r="K280" s="30" t="s">
        <v>4342</v>
      </c>
      <c r="L280" s="30" t="s">
        <v>117</v>
      </c>
      <c r="M280" s="30" t="s">
        <v>113</v>
      </c>
      <c r="N280" s="30" t="s">
        <v>114</v>
      </c>
      <c r="O280" s="30" t="s">
        <v>115</v>
      </c>
      <c r="P280" s="30" t="s">
        <v>112</v>
      </c>
      <c r="Q280" s="30" t="s">
        <v>112</v>
      </c>
      <c r="R280" s="30" t="s">
        <v>183</v>
      </c>
      <c r="S280" s="81">
        <f>HLOOKUP(L280,データについて!$J$6:$M$18,13,FALSE)</f>
        <v>2</v>
      </c>
      <c r="T280" s="81">
        <f>HLOOKUP(M280,データについて!$J$7:$M$18,12,FALSE)</f>
        <v>1</v>
      </c>
      <c r="U280" s="81">
        <f>HLOOKUP(N280,データについて!$J$8:$M$18,11,FALSE)</f>
        <v>1</v>
      </c>
      <c r="V280" s="81">
        <f>HLOOKUP(O280,データについて!$J$9:$M$18,10,FALSE)</f>
        <v>1</v>
      </c>
      <c r="W280" s="81">
        <f>HLOOKUP(P280,データについて!$J$10:$M$18,9,FALSE)</f>
        <v>1</v>
      </c>
      <c r="X280" s="81">
        <f>HLOOKUP(Q280,データについて!$J$11:$M$18,8,FALSE)</f>
        <v>1</v>
      </c>
      <c r="Y280" s="81">
        <f>HLOOKUP(R280,データについて!$J$12:$M$18,7,FALSE)</f>
        <v>1</v>
      </c>
      <c r="Z280" s="81">
        <f>HLOOKUP(I280,データについて!$J$3:$M$18,16,FALSE)</f>
        <v>2</v>
      </c>
      <c r="AA280" s="81" t="str">
        <f>IFERROR(HLOOKUP(J280,データについて!$J$4:$AH$19,16,FALSE),"")</f>
        <v/>
      </c>
      <c r="AB280" s="81">
        <f>IFERROR(HLOOKUP(K280,データについて!$J$5:$AH$20,14,FALSE),"")</f>
        <v>1</v>
      </c>
      <c r="AC280" s="81">
        <f>IF(X280=1,HLOOKUP(R280,データについて!$J$12:$M$18,7,FALSE),"*")</f>
        <v>1</v>
      </c>
      <c r="AD280" s="81" t="str">
        <f>IF(X280=2,HLOOKUP(R280,データについて!$J$12:$M$18,7,FALSE),"*")</f>
        <v>*</v>
      </c>
    </row>
    <row r="281" spans="1:30">
      <c r="A281" s="30">
        <v>4911</v>
      </c>
      <c r="B281" s="30" t="s">
        <v>4792</v>
      </c>
      <c r="C281" s="30" t="s">
        <v>4793</v>
      </c>
      <c r="D281" s="30" t="s">
        <v>106</v>
      </c>
      <c r="E281" s="30"/>
      <c r="F281" s="30" t="s">
        <v>107</v>
      </c>
      <c r="G281" s="30" t="s">
        <v>106</v>
      </c>
      <c r="H281" s="30"/>
      <c r="I281" s="30" t="s">
        <v>191</v>
      </c>
      <c r="J281" s="30"/>
      <c r="K281" s="30" t="s">
        <v>4342</v>
      </c>
      <c r="L281" s="30" t="s">
        <v>108</v>
      </c>
      <c r="M281" s="30" t="s">
        <v>113</v>
      </c>
      <c r="N281" s="30" t="s">
        <v>114</v>
      </c>
      <c r="O281" s="30" t="s">
        <v>115</v>
      </c>
      <c r="P281" s="30" t="s">
        <v>112</v>
      </c>
      <c r="Q281" s="30" t="s">
        <v>112</v>
      </c>
      <c r="R281" s="30" t="s">
        <v>183</v>
      </c>
      <c r="S281" s="81">
        <f>HLOOKUP(L281,データについて!$J$6:$M$18,13,FALSE)</f>
        <v>1</v>
      </c>
      <c r="T281" s="81">
        <f>HLOOKUP(M281,データについて!$J$7:$M$18,12,FALSE)</f>
        <v>1</v>
      </c>
      <c r="U281" s="81">
        <f>HLOOKUP(N281,データについて!$J$8:$M$18,11,FALSE)</f>
        <v>1</v>
      </c>
      <c r="V281" s="81">
        <f>HLOOKUP(O281,データについて!$J$9:$M$18,10,FALSE)</f>
        <v>1</v>
      </c>
      <c r="W281" s="81">
        <f>HLOOKUP(P281,データについて!$J$10:$M$18,9,FALSE)</f>
        <v>1</v>
      </c>
      <c r="X281" s="81">
        <f>HLOOKUP(Q281,データについて!$J$11:$M$18,8,FALSE)</f>
        <v>1</v>
      </c>
      <c r="Y281" s="81">
        <f>HLOOKUP(R281,データについて!$J$12:$M$18,7,FALSE)</f>
        <v>1</v>
      </c>
      <c r="Z281" s="81">
        <f>HLOOKUP(I281,データについて!$J$3:$M$18,16,FALSE)</f>
        <v>2</v>
      </c>
      <c r="AA281" s="81" t="str">
        <f>IFERROR(HLOOKUP(J281,データについて!$J$4:$AH$19,16,FALSE),"")</f>
        <v/>
      </c>
      <c r="AB281" s="81">
        <f>IFERROR(HLOOKUP(K281,データについて!$J$5:$AH$20,14,FALSE),"")</f>
        <v>1</v>
      </c>
      <c r="AC281" s="81">
        <f>IF(X281=1,HLOOKUP(R281,データについて!$J$12:$M$18,7,FALSE),"*")</f>
        <v>1</v>
      </c>
      <c r="AD281" s="81" t="str">
        <f>IF(X281=2,HLOOKUP(R281,データについて!$J$12:$M$18,7,FALSE),"*")</f>
        <v>*</v>
      </c>
    </row>
    <row r="282" spans="1:30">
      <c r="A282" s="30">
        <v>4910</v>
      </c>
      <c r="B282" s="30" t="s">
        <v>4794</v>
      </c>
      <c r="C282" s="30" t="s">
        <v>4795</v>
      </c>
      <c r="D282" s="30" t="s">
        <v>106</v>
      </c>
      <c r="E282" s="30"/>
      <c r="F282" s="30" t="s">
        <v>107</v>
      </c>
      <c r="G282" s="30" t="s">
        <v>106</v>
      </c>
      <c r="H282" s="30"/>
      <c r="I282" s="30" t="s">
        <v>191</v>
      </c>
      <c r="J282" s="30"/>
      <c r="K282" s="30" t="s">
        <v>4342</v>
      </c>
      <c r="L282" s="30" t="s">
        <v>108</v>
      </c>
      <c r="M282" s="30" t="s">
        <v>113</v>
      </c>
      <c r="N282" s="30" t="s">
        <v>114</v>
      </c>
      <c r="O282" s="30" t="s">
        <v>115</v>
      </c>
      <c r="P282" s="30" t="s">
        <v>118</v>
      </c>
      <c r="Q282" s="30" t="s">
        <v>112</v>
      </c>
      <c r="R282" s="30" t="s">
        <v>183</v>
      </c>
      <c r="S282" s="81">
        <f>HLOOKUP(L282,データについて!$J$6:$M$18,13,FALSE)</f>
        <v>1</v>
      </c>
      <c r="T282" s="81">
        <f>HLOOKUP(M282,データについて!$J$7:$M$18,12,FALSE)</f>
        <v>1</v>
      </c>
      <c r="U282" s="81">
        <f>HLOOKUP(N282,データについて!$J$8:$M$18,11,FALSE)</f>
        <v>1</v>
      </c>
      <c r="V282" s="81">
        <f>HLOOKUP(O282,データについて!$J$9:$M$18,10,FALSE)</f>
        <v>1</v>
      </c>
      <c r="W282" s="81">
        <f>HLOOKUP(P282,データについて!$J$10:$M$18,9,FALSE)</f>
        <v>2</v>
      </c>
      <c r="X282" s="81">
        <f>HLOOKUP(Q282,データについて!$J$11:$M$18,8,FALSE)</f>
        <v>1</v>
      </c>
      <c r="Y282" s="81">
        <f>HLOOKUP(R282,データについて!$J$12:$M$18,7,FALSE)</f>
        <v>1</v>
      </c>
      <c r="Z282" s="81">
        <f>HLOOKUP(I282,データについて!$J$3:$M$18,16,FALSE)</f>
        <v>2</v>
      </c>
      <c r="AA282" s="81" t="str">
        <f>IFERROR(HLOOKUP(J282,データについて!$J$4:$AH$19,16,FALSE),"")</f>
        <v/>
      </c>
      <c r="AB282" s="81">
        <f>IFERROR(HLOOKUP(K282,データについて!$J$5:$AH$20,14,FALSE),"")</f>
        <v>1</v>
      </c>
      <c r="AC282" s="81">
        <f>IF(X282=1,HLOOKUP(R282,データについて!$J$12:$M$18,7,FALSE),"*")</f>
        <v>1</v>
      </c>
      <c r="AD282" s="81" t="str">
        <f>IF(X282=2,HLOOKUP(R282,データについて!$J$12:$M$18,7,FALSE),"*")</f>
        <v>*</v>
      </c>
    </row>
    <row r="283" spans="1:30">
      <c r="A283" s="30">
        <v>4909</v>
      </c>
      <c r="B283" s="30" t="s">
        <v>4796</v>
      </c>
      <c r="C283" s="30" t="s">
        <v>4797</v>
      </c>
      <c r="D283" s="30" t="s">
        <v>106</v>
      </c>
      <c r="E283" s="30"/>
      <c r="F283" s="30" t="s">
        <v>107</v>
      </c>
      <c r="G283" s="30" t="s">
        <v>106</v>
      </c>
      <c r="H283" s="30"/>
      <c r="I283" s="30" t="s">
        <v>191</v>
      </c>
      <c r="J283" s="30"/>
      <c r="K283" s="30" t="s">
        <v>4342</v>
      </c>
      <c r="L283" s="30" t="s">
        <v>108</v>
      </c>
      <c r="M283" s="30" t="s">
        <v>113</v>
      </c>
      <c r="N283" s="30" t="s">
        <v>114</v>
      </c>
      <c r="O283" s="30" t="s">
        <v>115</v>
      </c>
      <c r="P283" s="30" t="s">
        <v>112</v>
      </c>
      <c r="Q283" s="30" t="s">
        <v>112</v>
      </c>
      <c r="R283" s="30" t="s">
        <v>185</v>
      </c>
      <c r="S283" s="81">
        <f>HLOOKUP(L283,データについて!$J$6:$M$18,13,FALSE)</f>
        <v>1</v>
      </c>
      <c r="T283" s="81">
        <f>HLOOKUP(M283,データについて!$J$7:$M$18,12,FALSE)</f>
        <v>1</v>
      </c>
      <c r="U283" s="81">
        <f>HLOOKUP(N283,データについて!$J$8:$M$18,11,FALSE)</f>
        <v>1</v>
      </c>
      <c r="V283" s="81">
        <f>HLOOKUP(O283,データについて!$J$9:$M$18,10,FALSE)</f>
        <v>1</v>
      </c>
      <c r="W283" s="81">
        <f>HLOOKUP(P283,データについて!$J$10:$M$18,9,FALSE)</f>
        <v>1</v>
      </c>
      <c r="X283" s="81">
        <f>HLOOKUP(Q283,データについて!$J$11:$M$18,8,FALSE)</f>
        <v>1</v>
      </c>
      <c r="Y283" s="81">
        <f>HLOOKUP(R283,データについて!$J$12:$M$18,7,FALSE)</f>
        <v>2</v>
      </c>
      <c r="Z283" s="81">
        <f>HLOOKUP(I283,データについて!$J$3:$M$18,16,FALSE)</f>
        <v>2</v>
      </c>
      <c r="AA283" s="81" t="str">
        <f>IFERROR(HLOOKUP(J283,データについて!$J$4:$AH$19,16,FALSE),"")</f>
        <v/>
      </c>
      <c r="AB283" s="81">
        <f>IFERROR(HLOOKUP(K283,データについて!$J$5:$AH$20,14,FALSE),"")</f>
        <v>1</v>
      </c>
      <c r="AC283" s="81">
        <f>IF(X283=1,HLOOKUP(R283,データについて!$J$12:$M$18,7,FALSE),"*")</f>
        <v>2</v>
      </c>
      <c r="AD283" s="81" t="str">
        <f>IF(X283=2,HLOOKUP(R283,データについて!$J$12:$M$18,7,FALSE),"*")</f>
        <v>*</v>
      </c>
    </row>
    <row r="284" spans="1:30">
      <c r="A284" s="30">
        <v>4908</v>
      </c>
      <c r="B284" s="30" t="s">
        <v>4798</v>
      </c>
      <c r="C284" s="30" t="s">
        <v>4799</v>
      </c>
      <c r="D284" s="30" t="s">
        <v>106</v>
      </c>
      <c r="E284" s="30"/>
      <c r="F284" s="30" t="s">
        <v>107</v>
      </c>
      <c r="G284" s="30" t="s">
        <v>106</v>
      </c>
      <c r="H284" s="30"/>
      <c r="I284" s="30" t="s">
        <v>191</v>
      </c>
      <c r="J284" s="30"/>
      <c r="K284" s="30" t="s">
        <v>4342</v>
      </c>
      <c r="L284" s="30" t="s">
        <v>108</v>
      </c>
      <c r="M284" s="30" t="s">
        <v>113</v>
      </c>
      <c r="N284" s="30" t="s">
        <v>114</v>
      </c>
      <c r="O284" s="30" t="s">
        <v>115</v>
      </c>
      <c r="P284" s="30" t="s">
        <v>112</v>
      </c>
      <c r="Q284" s="30" t="s">
        <v>112</v>
      </c>
      <c r="R284" s="30" t="s">
        <v>185</v>
      </c>
      <c r="S284" s="81">
        <f>HLOOKUP(L284,データについて!$J$6:$M$18,13,FALSE)</f>
        <v>1</v>
      </c>
      <c r="T284" s="81">
        <f>HLOOKUP(M284,データについて!$J$7:$M$18,12,FALSE)</f>
        <v>1</v>
      </c>
      <c r="U284" s="81">
        <f>HLOOKUP(N284,データについて!$J$8:$M$18,11,FALSE)</f>
        <v>1</v>
      </c>
      <c r="V284" s="81">
        <f>HLOOKUP(O284,データについて!$J$9:$M$18,10,FALSE)</f>
        <v>1</v>
      </c>
      <c r="W284" s="81">
        <f>HLOOKUP(P284,データについて!$J$10:$M$18,9,FALSE)</f>
        <v>1</v>
      </c>
      <c r="X284" s="81">
        <f>HLOOKUP(Q284,データについて!$J$11:$M$18,8,FALSE)</f>
        <v>1</v>
      </c>
      <c r="Y284" s="81">
        <f>HLOOKUP(R284,データについて!$J$12:$M$18,7,FALSE)</f>
        <v>2</v>
      </c>
      <c r="Z284" s="81">
        <f>HLOOKUP(I284,データについて!$J$3:$M$18,16,FALSE)</f>
        <v>2</v>
      </c>
      <c r="AA284" s="81" t="str">
        <f>IFERROR(HLOOKUP(J284,データについて!$J$4:$AH$19,16,FALSE),"")</f>
        <v/>
      </c>
      <c r="AB284" s="81">
        <f>IFERROR(HLOOKUP(K284,データについて!$J$5:$AH$20,14,FALSE),"")</f>
        <v>1</v>
      </c>
      <c r="AC284" s="81">
        <f>IF(X284=1,HLOOKUP(R284,データについて!$J$12:$M$18,7,FALSE),"*")</f>
        <v>2</v>
      </c>
      <c r="AD284" s="81" t="str">
        <f>IF(X284=2,HLOOKUP(R284,データについて!$J$12:$M$18,7,FALSE),"*")</f>
        <v>*</v>
      </c>
    </row>
    <row r="285" spans="1:30">
      <c r="A285" s="30">
        <v>4907</v>
      </c>
      <c r="B285" s="30" t="s">
        <v>4800</v>
      </c>
      <c r="C285" s="30" t="s">
        <v>4801</v>
      </c>
      <c r="D285" s="30" t="s">
        <v>106</v>
      </c>
      <c r="E285" s="30"/>
      <c r="F285" s="30" t="s">
        <v>107</v>
      </c>
      <c r="G285" s="30" t="s">
        <v>106</v>
      </c>
      <c r="H285" s="30"/>
      <c r="I285" s="30" t="s">
        <v>191</v>
      </c>
      <c r="J285" s="30"/>
      <c r="K285" s="30" t="s">
        <v>4342</v>
      </c>
      <c r="L285" s="30" t="s">
        <v>108</v>
      </c>
      <c r="M285" s="30" t="s">
        <v>113</v>
      </c>
      <c r="N285" s="30" t="s">
        <v>119</v>
      </c>
      <c r="O285" s="30" t="s">
        <v>115</v>
      </c>
      <c r="P285" s="30" t="s">
        <v>112</v>
      </c>
      <c r="Q285" s="30" t="s">
        <v>112</v>
      </c>
      <c r="R285" s="30" t="s">
        <v>183</v>
      </c>
      <c r="S285" s="81">
        <f>HLOOKUP(L285,データについて!$J$6:$M$18,13,FALSE)</f>
        <v>1</v>
      </c>
      <c r="T285" s="81">
        <f>HLOOKUP(M285,データについて!$J$7:$M$18,12,FALSE)</f>
        <v>1</v>
      </c>
      <c r="U285" s="81">
        <f>HLOOKUP(N285,データについて!$J$8:$M$18,11,FALSE)</f>
        <v>4</v>
      </c>
      <c r="V285" s="81">
        <f>HLOOKUP(O285,データについて!$J$9:$M$18,10,FALSE)</f>
        <v>1</v>
      </c>
      <c r="W285" s="81">
        <f>HLOOKUP(P285,データについて!$J$10:$M$18,9,FALSE)</f>
        <v>1</v>
      </c>
      <c r="X285" s="81">
        <f>HLOOKUP(Q285,データについて!$J$11:$M$18,8,FALSE)</f>
        <v>1</v>
      </c>
      <c r="Y285" s="81">
        <f>HLOOKUP(R285,データについて!$J$12:$M$18,7,FALSE)</f>
        <v>1</v>
      </c>
      <c r="Z285" s="81">
        <f>HLOOKUP(I285,データについて!$J$3:$M$18,16,FALSE)</f>
        <v>2</v>
      </c>
      <c r="AA285" s="81" t="str">
        <f>IFERROR(HLOOKUP(J285,データについて!$J$4:$AH$19,16,FALSE),"")</f>
        <v/>
      </c>
      <c r="AB285" s="81">
        <f>IFERROR(HLOOKUP(K285,データについて!$J$5:$AH$20,14,FALSE),"")</f>
        <v>1</v>
      </c>
      <c r="AC285" s="81">
        <f>IF(X285=1,HLOOKUP(R285,データについて!$J$12:$M$18,7,FALSE),"*")</f>
        <v>1</v>
      </c>
      <c r="AD285" s="81" t="str">
        <f>IF(X285=2,HLOOKUP(R285,データについて!$J$12:$M$18,7,FALSE),"*")</f>
        <v>*</v>
      </c>
    </row>
    <row r="286" spans="1:30">
      <c r="A286" s="30">
        <v>4906</v>
      </c>
      <c r="B286" s="30" t="s">
        <v>4802</v>
      </c>
      <c r="C286" s="30" t="s">
        <v>4803</v>
      </c>
      <c r="D286" s="30" t="s">
        <v>106</v>
      </c>
      <c r="E286" s="30"/>
      <c r="F286" s="30" t="s">
        <v>107</v>
      </c>
      <c r="G286" s="30" t="s">
        <v>106</v>
      </c>
      <c r="H286" s="30"/>
      <c r="I286" s="30" t="s">
        <v>191</v>
      </c>
      <c r="J286" s="30"/>
      <c r="K286" s="30" t="s">
        <v>4342</v>
      </c>
      <c r="L286" s="30" t="s">
        <v>108</v>
      </c>
      <c r="M286" s="30" t="s">
        <v>113</v>
      </c>
      <c r="N286" s="30" t="s">
        <v>114</v>
      </c>
      <c r="O286" s="30" t="s">
        <v>115</v>
      </c>
      <c r="P286" s="30" t="s">
        <v>118</v>
      </c>
      <c r="Q286" s="30" t="s">
        <v>112</v>
      </c>
      <c r="R286" s="30" t="s">
        <v>185</v>
      </c>
      <c r="S286" s="81">
        <f>HLOOKUP(L286,データについて!$J$6:$M$18,13,FALSE)</f>
        <v>1</v>
      </c>
      <c r="T286" s="81">
        <f>HLOOKUP(M286,データについて!$J$7:$M$18,12,FALSE)</f>
        <v>1</v>
      </c>
      <c r="U286" s="81">
        <f>HLOOKUP(N286,データについて!$J$8:$M$18,11,FALSE)</f>
        <v>1</v>
      </c>
      <c r="V286" s="81">
        <f>HLOOKUP(O286,データについて!$J$9:$M$18,10,FALSE)</f>
        <v>1</v>
      </c>
      <c r="W286" s="81">
        <f>HLOOKUP(P286,データについて!$J$10:$M$18,9,FALSE)</f>
        <v>2</v>
      </c>
      <c r="X286" s="81">
        <f>HLOOKUP(Q286,データについて!$J$11:$M$18,8,FALSE)</f>
        <v>1</v>
      </c>
      <c r="Y286" s="81">
        <f>HLOOKUP(R286,データについて!$J$12:$M$18,7,FALSE)</f>
        <v>2</v>
      </c>
      <c r="Z286" s="81">
        <f>HLOOKUP(I286,データについて!$J$3:$M$18,16,FALSE)</f>
        <v>2</v>
      </c>
      <c r="AA286" s="81" t="str">
        <f>IFERROR(HLOOKUP(J286,データについて!$J$4:$AH$19,16,FALSE),"")</f>
        <v/>
      </c>
      <c r="AB286" s="81">
        <f>IFERROR(HLOOKUP(K286,データについて!$J$5:$AH$20,14,FALSE),"")</f>
        <v>1</v>
      </c>
      <c r="AC286" s="81">
        <f>IF(X286=1,HLOOKUP(R286,データについて!$J$12:$M$18,7,FALSE),"*")</f>
        <v>2</v>
      </c>
      <c r="AD286" s="81" t="str">
        <f>IF(X286=2,HLOOKUP(R286,データについて!$J$12:$M$18,7,FALSE),"*")</f>
        <v>*</v>
      </c>
    </row>
    <row r="287" spans="1:30">
      <c r="A287" s="30">
        <v>4905</v>
      </c>
      <c r="B287" s="30" t="s">
        <v>4804</v>
      </c>
      <c r="C287" s="30" t="s">
        <v>4805</v>
      </c>
      <c r="D287" s="30" t="s">
        <v>106</v>
      </c>
      <c r="E287" s="30"/>
      <c r="F287" s="30" t="s">
        <v>107</v>
      </c>
      <c r="G287" s="30" t="s">
        <v>106</v>
      </c>
      <c r="H287" s="30"/>
      <c r="I287" s="30" t="s">
        <v>191</v>
      </c>
      <c r="J287" s="30"/>
      <c r="K287" s="30" t="s">
        <v>4342</v>
      </c>
      <c r="L287" s="30" t="s">
        <v>108</v>
      </c>
      <c r="M287" s="30" t="s">
        <v>113</v>
      </c>
      <c r="N287" s="30" t="s">
        <v>114</v>
      </c>
      <c r="O287" s="30" t="s">
        <v>115</v>
      </c>
      <c r="P287" s="30" t="s">
        <v>118</v>
      </c>
      <c r="Q287" s="30" t="s">
        <v>112</v>
      </c>
      <c r="R287" s="30" t="s">
        <v>185</v>
      </c>
      <c r="S287" s="81">
        <f>HLOOKUP(L287,データについて!$J$6:$M$18,13,FALSE)</f>
        <v>1</v>
      </c>
      <c r="T287" s="81">
        <f>HLOOKUP(M287,データについて!$J$7:$M$18,12,FALSE)</f>
        <v>1</v>
      </c>
      <c r="U287" s="81">
        <f>HLOOKUP(N287,データについて!$J$8:$M$18,11,FALSE)</f>
        <v>1</v>
      </c>
      <c r="V287" s="81">
        <f>HLOOKUP(O287,データについて!$J$9:$M$18,10,FALSE)</f>
        <v>1</v>
      </c>
      <c r="W287" s="81">
        <f>HLOOKUP(P287,データについて!$J$10:$M$18,9,FALSE)</f>
        <v>2</v>
      </c>
      <c r="X287" s="81">
        <f>HLOOKUP(Q287,データについて!$J$11:$M$18,8,FALSE)</f>
        <v>1</v>
      </c>
      <c r="Y287" s="81">
        <f>HLOOKUP(R287,データについて!$J$12:$M$18,7,FALSE)</f>
        <v>2</v>
      </c>
      <c r="Z287" s="81">
        <f>HLOOKUP(I287,データについて!$J$3:$M$18,16,FALSE)</f>
        <v>2</v>
      </c>
      <c r="AA287" s="81" t="str">
        <f>IFERROR(HLOOKUP(J287,データについて!$J$4:$AH$19,16,FALSE),"")</f>
        <v/>
      </c>
      <c r="AB287" s="81">
        <f>IFERROR(HLOOKUP(K287,データについて!$J$5:$AH$20,14,FALSE),"")</f>
        <v>1</v>
      </c>
      <c r="AC287" s="81">
        <f>IF(X287=1,HLOOKUP(R287,データについて!$J$12:$M$18,7,FALSE),"*")</f>
        <v>2</v>
      </c>
      <c r="AD287" s="81" t="str">
        <f>IF(X287=2,HLOOKUP(R287,データについて!$J$12:$M$18,7,FALSE),"*")</f>
        <v>*</v>
      </c>
    </row>
    <row r="288" spans="1:30">
      <c r="A288" s="30">
        <v>4904</v>
      </c>
      <c r="B288" s="30" t="s">
        <v>4806</v>
      </c>
      <c r="C288" s="30" t="s">
        <v>4807</v>
      </c>
      <c r="D288" s="30" t="s">
        <v>106</v>
      </c>
      <c r="E288" s="30"/>
      <c r="F288" s="30" t="s">
        <v>107</v>
      </c>
      <c r="G288" s="30" t="s">
        <v>106</v>
      </c>
      <c r="H288" s="30"/>
      <c r="I288" s="30" t="s">
        <v>191</v>
      </c>
      <c r="J288" s="30"/>
      <c r="K288" s="30" t="s">
        <v>4342</v>
      </c>
      <c r="L288" s="30" t="s">
        <v>117</v>
      </c>
      <c r="M288" s="30" t="s">
        <v>113</v>
      </c>
      <c r="N288" s="30" t="s">
        <v>114</v>
      </c>
      <c r="O288" s="30" t="s">
        <v>115</v>
      </c>
      <c r="P288" s="30" t="s">
        <v>112</v>
      </c>
      <c r="Q288" s="30" t="s">
        <v>112</v>
      </c>
      <c r="R288" s="30" t="s">
        <v>183</v>
      </c>
      <c r="S288" s="81">
        <f>HLOOKUP(L288,データについて!$J$6:$M$18,13,FALSE)</f>
        <v>2</v>
      </c>
      <c r="T288" s="81">
        <f>HLOOKUP(M288,データについて!$J$7:$M$18,12,FALSE)</f>
        <v>1</v>
      </c>
      <c r="U288" s="81">
        <f>HLOOKUP(N288,データについて!$J$8:$M$18,11,FALSE)</f>
        <v>1</v>
      </c>
      <c r="V288" s="81">
        <f>HLOOKUP(O288,データについて!$J$9:$M$18,10,FALSE)</f>
        <v>1</v>
      </c>
      <c r="W288" s="81">
        <f>HLOOKUP(P288,データについて!$J$10:$M$18,9,FALSE)</f>
        <v>1</v>
      </c>
      <c r="X288" s="81">
        <f>HLOOKUP(Q288,データについて!$J$11:$M$18,8,FALSE)</f>
        <v>1</v>
      </c>
      <c r="Y288" s="81">
        <f>HLOOKUP(R288,データについて!$J$12:$M$18,7,FALSE)</f>
        <v>1</v>
      </c>
      <c r="Z288" s="81">
        <f>HLOOKUP(I288,データについて!$J$3:$M$18,16,FALSE)</f>
        <v>2</v>
      </c>
      <c r="AA288" s="81" t="str">
        <f>IFERROR(HLOOKUP(J288,データについて!$J$4:$AH$19,16,FALSE),"")</f>
        <v/>
      </c>
      <c r="AB288" s="81">
        <f>IFERROR(HLOOKUP(K288,データについて!$J$5:$AH$20,14,FALSE),"")</f>
        <v>1</v>
      </c>
      <c r="AC288" s="81">
        <f>IF(X288=1,HLOOKUP(R288,データについて!$J$12:$M$18,7,FALSE),"*")</f>
        <v>1</v>
      </c>
      <c r="AD288" s="81" t="str">
        <f>IF(X288=2,HLOOKUP(R288,データについて!$J$12:$M$18,7,FALSE),"*")</f>
        <v>*</v>
      </c>
    </row>
    <row r="289" spans="1:30">
      <c r="A289" s="30">
        <v>4903</v>
      </c>
      <c r="B289" s="30" t="s">
        <v>4808</v>
      </c>
      <c r="C289" s="30" t="s">
        <v>4809</v>
      </c>
      <c r="D289" s="30" t="s">
        <v>106</v>
      </c>
      <c r="E289" s="30"/>
      <c r="F289" s="30" t="s">
        <v>107</v>
      </c>
      <c r="G289" s="30" t="s">
        <v>106</v>
      </c>
      <c r="H289" s="30"/>
      <c r="I289" s="30" t="s">
        <v>191</v>
      </c>
      <c r="J289" s="30"/>
      <c r="K289" s="30" t="s">
        <v>4342</v>
      </c>
      <c r="L289" s="30" t="s">
        <v>117</v>
      </c>
      <c r="M289" s="30" t="s">
        <v>113</v>
      </c>
      <c r="N289" s="30" t="s">
        <v>119</v>
      </c>
      <c r="O289" s="30" t="s">
        <v>115</v>
      </c>
      <c r="P289" s="30" t="s">
        <v>112</v>
      </c>
      <c r="Q289" s="30" t="s">
        <v>112</v>
      </c>
      <c r="R289" s="30" t="s">
        <v>187</v>
      </c>
      <c r="S289" s="81">
        <f>HLOOKUP(L289,データについて!$J$6:$M$18,13,FALSE)</f>
        <v>2</v>
      </c>
      <c r="T289" s="81">
        <f>HLOOKUP(M289,データについて!$J$7:$M$18,12,FALSE)</f>
        <v>1</v>
      </c>
      <c r="U289" s="81">
        <f>HLOOKUP(N289,データについて!$J$8:$M$18,11,FALSE)</f>
        <v>4</v>
      </c>
      <c r="V289" s="81">
        <f>HLOOKUP(O289,データについて!$J$9:$M$18,10,FALSE)</f>
        <v>1</v>
      </c>
      <c r="W289" s="81">
        <f>HLOOKUP(P289,データについて!$J$10:$M$18,9,FALSE)</f>
        <v>1</v>
      </c>
      <c r="X289" s="81">
        <f>HLOOKUP(Q289,データについて!$J$11:$M$18,8,FALSE)</f>
        <v>1</v>
      </c>
      <c r="Y289" s="81">
        <f>HLOOKUP(R289,データについて!$J$12:$M$18,7,FALSE)</f>
        <v>3</v>
      </c>
      <c r="Z289" s="81">
        <f>HLOOKUP(I289,データについて!$J$3:$M$18,16,FALSE)</f>
        <v>2</v>
      </c>
      <c r="AA289" s="81" t="str">
        <f>IFERROR(HLOOKUP(J289,データについて!$J$4:$AH$19,16,FALSE),"")</f>
        <v/>
      </c>
      <c r="AB289" s="81">
        <f>IFERROR(HLOOKUP(K289,データについて!$J$5:$AH$20,14,FALSE),"")</f>
        <v>1</v>
      </c>
      <c r="AC289" s="81">
        <f>IF(X289=1,HLOOKUP(R289,データについて!$J$12:$M$18,7,FALSE),"*")</f>
        <v>3</v>
      </c>
      <c r="AD289" s="81" t="str">
        <f>IF(X289=2,HLOOKUP(R289,データについて!$J$12:$M$18,7,FALSE),"*")</f>
        <v>*</v>
      </c>
    </row>
    <row r="290" spans="1:30">
      <c r="A290" s="30">
        <v>4902</v>
      </c>
      <c r="B290" s="30" t="s">
        <v>4810</v>
      </c>
      <c r="C290" s="30" t="s">
        <v>4811</v>
      </c>
      <c r="D290" s="30" t="s">
        <v>106</v>
      </c>
      <c r="E290" s="30"/>
      <c r="F290" s="30" t="s">
        <v>107</v>
      </c>
      <c r="G290" s="30" t="s">
        <v>106</v>
      </c>
      <c r="H290" s="30"/>
      <c r="I290" s="30" t="s">
        <v>191</v>
      </c>
      <c r="J290" s="30"/>
      <c r="K290" s="30" t="s">
        <v>4342</v>
      </c>
      <c r="L290" s="30" t="s">
        <v>117</v>
      </c>
      <c r="M290" s="30" t="s">
        <v>109</v>
      </c>
      <c r="N290" s="30" t="s">
        <v>110</v>
      </c>
      <c r="O290" s="30" t="s">
        <v>115</v>
      </c>
      <c r="P290" s="30" t="s">
        <v>118</v>
      </c>
      <c r="Q290" s="30" t="s">
        <v>112</v>
      </c>
      <c r="R290" s="30" t="s">
        <v>185</v>
      </c>
      <c r="S290" s="81">
        <f>HLOOKUP(L290,データについて!$J$6:$M$18,13,FALSE)</f>
        <v>2</v>
      </c>
      <c r="T290" s="81">
        <f>HLOOKUP(M290,データについて!$J$7:$M$18,12,FALSE)</f>
        <v>2</v>
      </c>
      <c r="U290" s="81">
        <f>HLOOKUP(N290,データについて!$J$8:$M$18,11,FALSE)</f>
        <v>2</v>
      </c>
      <c r="V290" s="81">
        <f>HLOOKUP(O290,データについて!$J$9:$M$18,10,FALSE)</f>
        <v>1</v>
      </c>
      <c r="W290" s="81">
        <f>HLOOKUP(P290,データについて!$J$10:$M$18,9,FALSE)</f>
        <v>2</v>
      </c>
      <c r="X290" s="81">
        <f>HLOOKUP(Q290,データについて!$J$11:$M$18,8,FALSE)</f>
        <v>1</v>
      </c>
      <c r="Y290" s="81">
        <f>HLOOKUP(R290,データについて!$J$12:$M$18,7,FALSE)</f>
        <v>2</v>
      </c>
      <c r="Z290" s="81">
        <f>HLOOKUP(I290,データについて!$J$3:$M$18,16,FALSE)</f>
        <v>2</v>
      </c>
      <c r="AA290" s="81" t="str">
        <f>IFERROR(HLOOKUP(J290,データについて!$J$4:$AH$19,16,FALSE),"")</f>
        <v/>
      </c>
      <c r="AB290" s="81">
        <f>IFERROR(HLOOKUP(K290,データについて!$J$5:$AH$20,14,FALSE),"")</f>
        <v>1</v>
      </c>
      <c r="AC290" s="81">
        <f>IF(X290=1,HLOOKUP(R290,データについて!$J$12:$M$18,7,FALSE),"*")</f>
        <v>2</v>
      </c>
      <c r="AD290" s="81" t="str">
        <f>IF(X290=2,HLOOKUP(R290,データについて!$J$12:$M$18,7,FALSE),"*")</f>
        <v>*</v>
      </c>
    </row>
    <row r="291" spans="1:30">
      <c r="A291" s="30">
        <v>4901</v>
      </c>
      <c r="B291" s="30" t="s">
        <v>4812</v>
      </c>
      <c r="C291" s="30" t="s">
        <v>4813</v>
      </c>
      <c r="D291" s="30" t="s">
        <v>106</v>
      </c>
      <c r="E291" s="30"/>
      <c r="F291" s="30" t="s">
        <v>107</v>
      </c>
      <c r="G291" s="30" t="s">
        <v>106</v>
      </c>
      <c r="H291" s="30"/>
      <c r="I291" s="30" t="s">
        <v>191</v>
      </c>
      <c r="J291" s="30"/>
      <c r="K291" s="30" t="s">
        <v>4342</v>
      </c>
      <c r="L291" s="30" t="s">
        <v>108</v>
      </c>
      <c r="M291" s="30" t="s">
        <v>109</v>
      </c>
      <c r="N291" s="30" t="s">
        <v>114</v>
      </c>
      <c r="O291" s="30" t="s">
        <v>115</v>
      </c>
      <c r="P291" s="30" t="s">
        <v>112</v>
      </c>
      <c r="Q291" s="30" t="s">
        <v>112</v>
      </c>
      <c r="R291" s="30" t="s">
        <v>185</v>
      </c>
      <c r="S291" s="81">
        <f>HLOOKUP(L291,データについて!$J$6:$M$18,13,FALSE)</f>
        <v>1</v>
      </c>
      <c r="T291" s="81">
        <f>HLOOKUP(M291,データについて!$J$7:$M$18,12,FALSE)</f>
        <v>2</v>
      </c>
      <c r="U291" s="81">
        <f>HLOOKUP(N291,データについて!$J$8:$M$18,11,FALSE)</f>
        <v>1</v>
      </c>
      <c r="V291" s="81">
        <f>HLOOKUP(O291,データについて!$J$9:$M$18,10,FALSE)</f>
        <v>1</v>
      </c>
      <c r="W291" s="81">
        <f>HLOOKUP(P291,データについて!$J$10:$M$18,9,FALSE)</f>
        <v>1</v>
      </c>
      <c r="X291" s="81">
        <f>HLOOKUP(Q291,データについて!$J$11:$M$18,8,FALSE)</f>
        <v>1</v>
      </c>
      <c r="Y291" s="81">
        <f>HLOOKUP(R291,データについて!$J$12:$M$18,7,FALSE)</f>
        <v>2</v>
      </c>
      <c r="Z291" s="81">
        <f>HLOOKUP(I291,データについて!$J$3:$M$18,16,FALSE)</f>
        <v>2</v>
      </c>
      <c r="AA291" s="81" t="str">
        <f>IFERROR(HLOOKUP(J291,データについて!$J$4:$AH$19,16,FALSE),"")</f>
        <v/>
      </c>
      <c r="AB291" s="81">
        <f>IFERROR(HLOOKUP(K291,データについて!$J$5:$AH$20,14,FALSE),"")</f>
        <v>1</v>
      </c>
      <c r="AC291" s="81">
        <f>IF(X291=1,HLOOKUP(R291,データについて!$J$12:$M$18,7,FALSE),"*")</f>
        <v>2</v>
      </c>
      <c r="AD291" s="81" t="str">
        <f>IF(X291=2,HLOOKUP(R291,データについて!$J$12:$M$18,7,FALSE),"*")</f>
        <v>*</v>
      </c>
    </row>
    <row r="292" spans="1:30">
      <c r="A292" s="30">
        <v>4900</v>
      </c>
      <c r="B292" s="30" t="s">
        <v>4814</v>
      </c>
      <c r="C292" s="30" t="s">
        <v>4815</v>
      </c>
      <c r="D292" s="30" t="s">
        <v>106</v>
      </c>
      <c r="E292" s="30"/>
      <c r="F292" s="30" t="s">
        <v>107</v>
      </c>
      <c r="G292" s="30" t="s">
        <v>106</v>
      </c>
      <c r="H292" s="30"/>
      <c r="I292" s="30" t="s">
        <v>191</v>
      </c>
      <c r="J292" s="30"/>
      <c r="K292" s="30" t="s">
        <v>4342</v>
      </c>
      <c r="L292" s="30" t="s">
        <v>117</v>
      </c>
      <c r="M292" s="30" t="s">
        <v>113</v>
      </c>
      <c r="N292" s="30" t="s">
        <v>110</v>
      </c>
      <c r="O292" s="30" t="s">
        <v>115</v>
      </c>
      <c r="P292" s="30" t="s">
        <v>118</v>
      </c>
      <c r="Q292" s="30" t="s">
        <v>112</v>
      </c>
      <c r="R292" s="30" t="s">
        <v>185</v>
      </c>
      <c r="S292" s="81">
        <f>HLOOKUP(L292,データについて!$J$6:$M$18,13,FALSE)</f>
        <v>2</v>
      </c>
      <c r="T292" s="81">
        <f>HLOOKUP(M292,データについて!$J$7:$M$18,12,FALSE)</f>
        <v>1</v>
      </c>
      <c r="U292" s="81">
        <f>HLOOKUP(N292,データについて!$J$8:$M$18,11,FALSE)</f>
        <v>2</v>
      </c>
      <c r="V292" s="81">
        <f>HLOOKUP(O292,データについて!$J$9:$M$18,10,FALSE)</f>
        <v>1</v>
      </c>
      <c r="W292" s="81">
        <f>HLOOKUP(P292,データについて!$J$10:$M$18,9,FALSE)</f>
        <v>2</v>
      </c>
      <c r="X292" s="81">
        <f>HLOOKUP(Q292,データについて!$J$11:$M$18,8,FALSE)</f>
        <v>1</v>
      </c>
      <c r="Y292" s="81">
        <f>HLOOKUP(R292,データについて!$J$12:$M$18,7,FALSE)</f>
        <v>2</v>
      </c>
      <c r="Z292" s="81">
        <f>HLOOKUP(I292,データについて!$J$3:$M$18,16,FALSE)</f>
        <v>2</v>
      </c>
      <c r="AA292" s="81" t="str">
        <f>IFERROR(HLOOKUP(J292,データについて!$J$4:$AH$19,16,FALSE),"")</f>
        <v/>
      </c>
      <c r="AB292" s="81">
        <f>IFERROR(HLOOKUP(K292,データについて!$J$5:$AH$20,14,FALSE),"")</f>
        <v>1</v>
      </c>
      <c r="AC292" s="81">
        <f>IF(X292=1,HLOOKUP(R292,データについて!$J$12:$M$18,7,FALSE),"*")</f>
        <v>2</v>
      </c>
      <c r="AD292" s="81" t="str">
        <f>IF(X292=2,HLOOKUP(R292,データについて!$J$12:$M$18,7,FALSE),"*")</f>
        <v>*</v>
      </c>
    </row>
    <row r="293" spans="1:30">
      <c r="A293" s="30">
        <v>4899</v>
      </c>
      <c r="B293" s="30" t="s">
        <v>4816</v>
      </c>
      <c r="C293" s="30" t="s">
        <v>4815</v>
      </c>
      <c r="D293" s="30" t="s">
        <v>106</v>
      </c>
      <c r="E293" s="30"/>
      <c r="F293" s="30" t="s">
        <v>107</v>
      </c>
      <c r="G293" s="30" t="s">
        <v>106</v>
      </c>
      <c r="H293" s="30"/>
      <c r="I293" s="30" t="s">
        <v>191</v>
      </c>
      <c r="J293" s="30"/>
      <c r="K293" s="30" t="s">
        <v>4342</v>
      </c>
      <c r="L293" s="30" t="s">
        <v>117</v>
      </c>
      <c r="M293" s="30" t="s">
        <v>113</v>
      </c>
      <c r="N293" s="30" t="s">
        <v>122</v>
      </c>
      <c r="O293" s="30" t="s">
        <v>115</v>
      </c>
      <c r="P293" s="30" t="s">
        <v>118</v>
      </c>
      <c r="Q293" s="30" t="s">
        <v>112</v>
      </c>
      <c r="R293" s="30" t="s">
        <v>185</v>
      </c>
      <c r="S293" s="81">
        <f>HLOOKUP(L293,データについて!$J$6:$M$18,13,FALSE)</f>
        <v>2</v>
      </c>
      <c r="T293" s="81">
        <f>HLOOKUP(M293,データについて!$J$7:$M$18,12,FALSE)</f>
        <v>1</v>
      </c>
      <c r="U293" s="81">
        <f>HLOOKUP(N293,データについて!$J$8:$M$18,11,FALSE)</f>
        <v>3</v>
      </c>
      <c r="V293" s="81">
        <f>HLOOKUP(O293,データについて!$J$9:$M$18,10,FALSE)</f>
        <v>1</v>
      </c>
      <c r="W293" s="81">
        <f>HLOOKUP(P293,データについて!$J$10:$M$18,9,FALSE)</f>
        <v>2</v>
      </c>
      <c r="X293" s="81">
        <f>HLOOKUP(Q293,データについて!$J$11:$M$18,8,FALSE)</f>
        <v>1</v>
      </c>
      <c r="Y293" s="81">
        <f>HLOOKUP(R293,データについて!$J$12:$M$18,7,FALSE)</f>
        <v>2</v>
      </c>
      <c r="Z293" s="81">
        <f>HLOOKUP(I293,データについて!$J$3:$M$18,16,FALSE)</f>
        <v>2</v>
      </c>
      <c r="AA293" s="81" t="str">
        <f>IFERROR(HLOOKUP(J293,データについて!$J$4:$AH$19,16,FALSE),"")</f>
        <v/>
      </c>
      <c r="AB293" s="81">
        <f>IFERROR(HLOOKUP(K293,データについて!$J$5:$AH$20,14,FALSE),"")</f>
        <v>1</v>
      </c>
      <c r="AC293" s="81">
        <f>IF(X293=1,HLOOKUP(R293,データについて!$J$12:$M$18,7,FALSE),"*")</f>
        <v>2</v>
      </c>
      <c r="AD293" s="81" t="str">
        <f>IF(X293=2,HLOOKUP(R293,データについて!$J$12:$M$18,7,FALSE),"*")</f>
        <v>*</v>
      </c>
    </row>
    <row r="294" spans="1:30">
      <c r="A294" s="30">
        <v>4898</v>
      </c>
      <c r="B294" s="30" t="s">
        <v>4817</v>
      </c>
      <c r="C294" s="30" t="s">
        <v>4818</v>
      </c>
      <c r="D294" s="30" t="s">
        <v>106</v>
      </c>
      <c r="E294" s="30"/>
      <c r="F294" s="30" t="s">
        <v>107</v>
      </c>
      <c r="G294" s="30" t="s">
        <v>106</v>
      </c>
      <c r="H294" s="30"/>
      <c r="I294" s="30" t="s">
        <v>191</v>
      </c>
      <c r="J294" s="30"/>
      <c r="K294" s="30" t="s">
        <v>4342</v>
      </c>
      <c r="L294" s="30" t="s">
        <v>108</v>
      </c>
      <c r="M294" s="30" t="s">
        <v>109</v>
      </c>
      <c r="N294" s="30" t="s">
        <v>114</v>
      </c>
      <c r="O294" s="30" t="s">
        <v>115</v>
      </c>
      <c r="P294" s="30" t="s">
        <v>112</v>
      </c>
      <c r="Q294" s="30" t="s">
        <v>112</v>
      </c>
      <c r="R294" s="30" t="s">
        <v>187</v>
      </c>
      <c r="S294" s="81">
        <f>HLOOKUP(L294,データについて!$J$6:$M$18,13,FALSE)</f>
        <v>1</v>
      </c>
      <c r="T294" s="81">
        <f>HLOOKUP(M294,データについて!$J$7:$M$18,12,FALSE)</f>
        <v>2</v>
      </c>
      <c r="U294" s="81">
        <f>HLOOKUP(N294,データについて!$J$8:$M$18,11,FALSE)</f>
        <v>1</v>
      </c>
      <c r="V294" s="81">
        <f>HLOOKUP(O294,データについて!$J$9:$M$18,10,FALSE)</f>
        <v>1</v>
      </c>
      <c r="W294" s="81">
        <f>HLOOKUP(P294,データについて!$J$10:$M$18,9,FALSE)</f>
        <v>1</v>
      </c>
      <c r="X294" s="81">
        <f>HLOOKUP(Q294,データについて!$J$11:$M$18,8,FALSE)</f>
        <v>1</v>
      </c>
      <c r="Y294" s="81">
        <f>HLOOKUP(R294,データについて!$J$12:$M$18,7,FALSE)</f>
        <v>3</v>
      </c>
      <c r="Z294" s="81">
        <f>HLOOKUP(I294,データについて!$J$3:$M$18,16,FALSE)</f>
        <v>2</v>
      </c>
      <c r="AA294" s="81" t="str">
        <f>IFERROR(HLOOKUP(J294,データについて!$J$4:$AH$19,16,FALSE),"")</f>
        <v/>
      </c>
      <c r="AB294" s="81">
        <f>IFERROR(HLOOKUP(K294,データについて!$J$5:$AH$20,14,FALSE),"")</f>
        <v>1</v>
      </c>
      <c r="AC294" s="81">
        <f>IF(X294=1,HLOOKUP(R294,データについて!$J$12:$M$18,7,FALSE),"*")</f>
        <v>3</v>
      </c>
      <c r="AD294" s="81" t="str">
        <f>IF(X294=2,HLOOKUP(R294,データについて!$J$12:$M$18,7,FALSE),"*")</f>
        <v>*</v>
      </c>
    </row>
    <row r="295" spans="1:30">
      <c r="A295" s="30">
        <v>4897</v>
      </c>
      <c r="B295" s="30" t="s">
        <v>4819</v>
      </c>
      <c r="C295" s="30" t="s">
        <v>4820</v>
      </c>
      <c r="D295" s="30" t="s">
        <v>106</v>
      </c>
      <c r="E295" s="30"/>
      <c r="F295" s="30" t="s">
        <v>107</v>
      </c>
      <c r="G295" s="30" t="s">
        <v>106</v>
      </c>
      <c r="H295" s="30"/>
      <c r="I295" s="30" t="s">
        <v>191</v>
      </c>
      <c r="J295" s="30"/>
      <c r="K295" s="30" t="s">
        <v>4342</v>
      </c>
      <c r="L295" s="30" t="s">
        <v>108</v>
      </c>
      <c r="M295" s="30" t="s">
        <v>113</v>
      </c>
      <c r="N295" s="30" t="s">
        <v>114</v>
      </c>
      <c r="O295" s="30" t="s">
        <v>115</v>
      </c>
      <c r="P295" s="30" t="s">
        <v>118</v>
      </c>
      <c r="Q295" s="30" t="s">
        <v>112</v>
      </c>
      <c r="R295" s="30" t="s">
        <v>185</v>
      </c>
      <c r="S295" s="81">
        <f>HLOOKUP(L295,データについて!$J$6:$M$18,13,FALSE)</f>
        <v>1</v>
      </c>
      <c r="T295" s="81">
        <f>HLOOKUP(M295,データについて!$J$7:$M$18,12,FALSE)</f>
        <v>1</v>
      </c>
      <c r="U295" s="81">
        <f>HLOOKUP(N295,データについて!$J$8:$M$18,11,FALSE)</f>
        <v>1</v>
      </c>
      <c r="V295" s="81">
        <f>HLOOKUP(O295,データについて!$J$9:$M$18,10,FALSE)</f>
        <v>1</v>
      </c>
      <c r="W295" s="81">
        <f>HLOOKUP(P295,データについて!$J$10:$M$18,9,FALSE)</f>
        <v>2</v>
      </c>
      <c r="X295" s="81">
        <f>HLOOKUP(Q295,データについて!$J$11:$M$18,8,FALSE)</f>
        <v>1</v>
      </c>
      <c r="Y295" s="81">
        <f>HLOOKUP(R295,データについて!$J$12:$M$18,7,FALSE)</f>
        <v>2</v>
      </c>
      <c r="Z295" s="81">
        <f>HLOOKUP(I295,データについて!$J$3:$M$18,16,FALSE)</f>
        <v>2</v>
      </c>
      <c r="AA295" s="81" t="str">
        <f>IFERROR(HLOOKUP(J295,データについて!$J$4:$AH$19,16,FALSE),"")</f>
        <v/>
      </c>
      <c r="AB295" s="81">
        <f>IFERROR(HLOOKUP(K295,データについて!$J$5:$AH$20,14,FALSE),"")</f>
        <v>1</v>
      </c>
      <c r="AC295" s="81">
        <f>IF(X295=1,HLOOKUP(R295,データについて!$J$12:$M$18,7,FALSE),"*")</f>
        <v>2</v>
      </c>
      <c r="AD295" s="81" t="str">
        <f>IF(X295=2,HLOOKUP(R295,データについて!$J$12:$M$18,7,FALSE),"*")</f>
        <v>*</v>
      </c>
    </row>
    <row r="296" spans="1:30">
      <c r="A296" s="30">
        <v>4896</v>
      </c>
      <c r="B296" s="30" t="s">
        <v>4821</v>
      </c>
      <c r="C296" s="30" t="s">
        <v>4822</v>
      </c>
      <c r="D296" s="30" t="s">
        <v>106</v>
      </c>
      <c r="E296" s="30"/>
      <c r="F296" s="30" t="s">
        <v>107</v>
      </c>
      <c r="G296" s="30" t="s">
        <v>106</v>
      </c>
      <c r="H296" s="30"/>
      <c r="I296" s="30" t="s">
        <v>191</v>
      </c>
      <c r="J296" s="30"/>
      <c r="K296" s="30" t="s">
        <v>4342</v>
      </c>
      <c r="L296" s="30" t="s">
        <v>108</v>
      </c>
      <c r="M296" s="30" t="s">
        <v>113</v>
      </c>
      <c r="N296" s="30" t="s">
        <v>110</v>
      </c>
      <c r="O296" s="30" t="s">
        <v>115</v>
      </c>
      <c r="P296" s="30" t="s">
        <v>118</v>
      </c>
      <c r="Q296" s="30" t="s">
        <v>112</v>
      </c>
      <c r="R296" s="30" t="s">
        <v>185</v>
      </c>
      <c r="S296" s="81">
        <f>HLOOKUP(L296,データについて!$J$6:$M$18,13,FALSE)</f>
        <v>1</v>
      </c>
      <c r="T296" s="81">
        <f>HLOOKUP(M296,データについて!$J$7:$M$18,12,FALSE)</f>
        <v>1</v>
      </c>
      <c r="U296" s="81">
        <f>HLOOKUP(N296,データについて!$J$8:$M$18,11,FALSE)</f>
        <v>2</v>
      </c>
      <c r="V296" s="81">
        <f>HLOOKUP(O296,データについて!$J$9:$M$18,10,FALSE)</f>
        <v>1</v>
      </c>
      <c r="W296" s="81">
        <f>HLOOKUP(P296,データについて!$J$10:$M$18,9,FALSE)</f>
        <v>2</v>
      </c>
      <c r="X296" s="81">
        <f>HLOOKUP(Q296,データについて!$J$11:$M$18,8,FALSE)</f>
        <v>1</v>
      </c>
      <c r="Y296" s="81">
        <f>HLOOKUP(R296,データについて!$J$12:$M$18,7,FALSE)</f>
        <v>2</v>
      </c>
      <c r="Z296" s="81">
        <f>HLOOKUP(I296,データについて!$J$3:$M$18,16,FALSE)</f>
        <v>2</v>
      </c>
      <c r="AA296" s="81" t="str">
        <f>IFERROR(HLOOKUP(J296,データについて!$J$4:$AH$19,16,FALSE),"")</f>
        <v/>
      </c>
      <c r="AB296" s="81">
        <f>IFERROR(HLOOKUP(K296,データについて!$J$5:$AH$20,14,FALSE),"")</f>
        <v>1</v>
      </c>
      <c r="AC296" s="81">
        <f>IF(X296=1,HLOOKUP(R296,データについて!$J$12:$M$18,7,FALSE),"*")</f>
        <v>2</v>
      </c>
      <c r="AD296" s="81" t="str">
        <f>IF(X296=2,HLOOKUP(R296,データについて!$J$12:$M$18,7,FALSE),"*")</f>
        <v>*</v>
      </c>
    </row>
    <row r="297" spans="1:30">
      <c r="A297" s="30">
        <v>4895</v>
      </c>
      <c r="B297" s="30" t="s">
        <v>4823</v>
      </c>
      <c r="C297" s="30" t="s">
        <v>4824</v>
      </c>
      <c r="D297" s="30" t="s">
        <v>106</v>
      </c>
      <c r="E297" s="30"/>
      <c r="F297" s="30" t="s">
        <v>107</v>
      </c>
      <c r="G297" s="30" t="s">
        <v>106</v>
      </c>
      <c r="H297" s="30"/>
      <c r="I297" s="30" t="s">
        <v>191</v>
      </c>
      <c r="J297" s="30"/>
      <c r="K297" s="30" t="s">
        <v>4342</v>
      </c>
      <c r="L297" s="30" t="s">
        <v>108</v>
      </c>
      <c r="M297" s="30" t="s">
        <v>109</v>
      </c>
      <c r="N297" s="30" t="s">
        <v>110</v>
      </c>
      <c r="O297" s="30" t="s">
        <v>115</v>
      </c>
      <c r="P297" s="30" t="s">
        <v>112</v>
      </c>
      <c r="Q297" s="30" t="s">
        <v>112</v>
      </c>
      <c r="R297" s="30" t="s">
        <v>187</v>
      </c>
      <c r="S297" s="81">
        <f>HLOOKUP(L297,データについて!$J$6:$M$18,13,FALSE)</f>
        <v>1</v>
      </c>
      <c r="T297" s="81">
        <f>HLOOKUP(M297,データについて!$J$7:$M$18,12,FALSE)</f>
        <v>2</v>
      </c>
      <c r="U297" s="81">
        <f>HLOOKUP(N297,データについて!$J$8:$M$18,11,FALSE)</f>
        <v>2</v>
      </c>
      <c r="V297" s="81">
        <f>HLOOKUP(O297,データについて!$J$9:$M$18,10,FALSE)</f>
        <v>1</v>
      </c>
      <c r="W297" s="81">
        <f>HLOOKUP(P297,データについて!$J$10:$M$18,9,FALSE)</f>
        <v>1</v>
      </c>
      <c r="X297" s="81">
        <f>HLOOKUP(Q297,データについて!$J$11:$M$18,8,FALSE)</f>
        <v>1</v>
      </c>
      <c r="Y297" s="81">
        <f>HLOOKUP(R297,データについて!$J$12:$M$18,7,FALSE)</f>
        <v>3</v>
      </c>
      <c r="Z297" s="81">
        <f>HLOOKUP(I297,データについて!$J$3:$M$18,16,FALSE)</f>
        <v>2</v>
      </c>
      <c r="AA297" s="81" t="str">
        <f>IFERROR(HLOOKUP(J297,データについて!$J$4:$AH$19,16,FALSE),"")</f>
        <v/>
      </c>
      <c r="AB297" s="81">
        <f>IFERROR(HLOOKUP(K297,データについて!$J$5:$AH$20,14,FALSE),"")</f>
        <v>1</v>
      </c>
      <c r="AC297" s="81">
        <f>IF(X297=1,HLOOKUP(R297,データについて!$J$12:$M$18,7,FALSE),"*")</f>
        <v>3</v>
      </c>
      <c r="AD297" s="81" t="str">
        <f>IF(X297=2,HLOOKUP(R297,データについて!$J$12:$M$18,7,FALSE),"*")</f>
        <v>*</v>
      </c>
    </row>
    <row r="298" spans="1:30">
      <c r="A298" s="30">
        <v>4894</v>
      </c>
      <c r="B298" s="30" t="s">
        <v>4825</v>
      </c>
      <c r="C298" s="30" t="s">
        <v>4826</v>
      </c>
      <c r="D298" s="30" t="s">
        <v>106</v>
      </c>
      <c r="E298" s="30"/>
      <c r="F298" s="30" t="s">
        <v>107</v>
      </c>
      <c r="G298" s="30" t="s">
        <v>106</v>
      </c>
      <c r="H298" s="30"/>
      <c r="I298" s="30" t="s">
        <v>191</v>
      </c>
      <c r="J298" s="30"/>
      <c r="K298" s="30" t="s">
        <v>4342</v>
      </c>
      <c r="L298" s="30" t="s">
        <v>108</v>
      </c>
      <c r="M298" s="30" t="s">
        <v>113</v>
      </c>
      <c r="N298" s="30" t="s">
        <v>122</v>
      </c>
      <c r="O298" s="30" t="s">
        <v>115</v>
      </c>
      <c r="P298" s="30" t="s">
        <v>118</v>
      </c>
      <c r="Q298" s="30" t="s">
        <v>112</v>
      </c>
      <c r="R298" s="30" t="s">
        <v>185</v>
      </c>
      <c r="S298" s="81">
        <f>HLOOKUP(L298,データについて!$J$6:$M$18,13,FALSE)</f>
        <v>1</v>
      </c>
      <c r="T298" s="81">
        <f>HLOOKUP(M298,データについて!$J$7:$M$18,12,FALSE)</f>
        <v>1</v>
      </c>
      <c r="U298" s="81">
        <f>HLOOKUP(N298,データについて!$J$8:$M$18,11,FALSE)</f>
        <v>3</v>
      </c>
      <c r="V298" s="81">
        <f>HLOOKUP(O298,データについて!$J$9:$M$18,10,FALSE)</f>
        <v>1</v>
      </c>
      <c r="W298" s="81">
        <f>HLOOKUP(P298,データについて!$J$10:$M$18,9,FALSE)</f>
        <v>2</v>
      </c>
      <c r="X298" s="81">
        <f>HLOOKUP(Q298,データについて!$J$11:$M$18,8,FALSE)</f>
        <v>1</v>
      </c>
      <c r="Y298" s="81">
        <f>HLOOKUP(R298,データについて!$J$12:$M$18,7,FALSE)</f>
        <v>2</v>
      </c>
      <c r="Z298" s="81">
        <f>HLOOKUP(I298,データについて!$J$3:$M$18,16,FALSE)</f>
        <v>2</v>
      </c>
      <c r="AA298" s="81" t="str">
        <f>IFERROR(HLOOKUP(J298,データについて!$J$4:$AH$19,16,FALSE),"")</f>
        <v/>
      </c>
      <c r="AB298" s="81">
        <f>IFERROR(HLOOKUP(K298,データについて!$J$5:$AH$20,14,FALSE),"")</f>
        <v>1</v>
      </c>
      <c r="AC298" s="81">
        <f>IF(X298=1,HLOOKUP(R298,データについて!$J$12:$M$18,7,FALSE),"*")</f>
        <v>2</v>
      </c>
      <c r="AD298" s="81" t="str">
        <f>IF(X298=2,HLOOKUP(R298,データについて!$J$12:$M$18,7,FALSE),"*")</f>
        <v>*</v>
      </c>
    </row>
    <row r="299" spans="1:30">
      <c r="A299" s="30">
        <v>4893</v>
      </c>
      <c r="B299" s="30" t="s">
        <v>4827</v>
      </c>
      <c r="C299" s="30" t="s">
        <v>4828</v>
      </c>
      <c r="D299" s="30" t="s">
        <v>106</v>
      </c>
      <c r="E299" s="30"/>
      <c r="F299" s="30" t="s">
        <v>107</v>
      </c>
      <c r="G299" s="30" t="s">
        <v>106</v>
      </c>
      <c r="H299" s="30"/>
      <c r="I299" s="30" t="s">
        <v>191</v>
      </c>
      <c r="J299" s="30"/>
      <c r="K299" s="30" t="s">
        <v>4342</v>
      </c>
      <c r="L299" s="30" t="s">
        <v>117</v>
      </c>
      <c r="M299" s="30" t="s">
        <v>113</v>
      </c>
      <c r="N299" s="30" t="s">
        <v>114</v>
      </c>
      <c r="O299" s="30" t="s">
        <v>115</v>
      </c>
      <c r="P299" s="30" t="s">
        <v>118</v>
      </c>
      <c r="Q299" s="30" t="s">
        <v>112</v>
      </c>
      <c r="R299" s="30" t="s">
        <v>183</v>
      </c>
      <c r="S299" s="81">
        <f>HLOOKUP(L299,データについて!$J$6:$M$18,13,FALSE)</f>
        <v>2</v>
      </c>
      <c r="T299" s="81">
        <f>HLOOKUP(M299,データについて!$J$7:$M$18,12,FALSE)</f>
        <v>1</v>
      </c>
      <c r="U299" s="81">
        <f>HLOOKUP(N299,データについて!$J$8:$M$18,11,FALSE)</f>
        <v>1</v>
      </c>
      <c r="V299" s="81">
        <f>HLOOKUP(O299,データについて!$J$9:$M$18,10,FALSE)</f>
        <v>1</v>
      </c>
      <c r="W299" s="81">
        <f>HLOOKUP(P299,データについて!$J$10:$M$18,9,FALSE)</f>
        <v>2</v>
      </c>
      <c r="X299" s="81">
        <f>HLOOKUP(Q299,データについて!$J$11:$M$18,8,FALSE)</f>
        <v>1</v>
      </c>
      <c r="Y299" s="81">
        <f>HLOOKUP(R299,データについて!$J$12:$M$18,7,FALSE)</f>
        <v>1</v>
      </c>
      <c r="Z299" s="81">
        <f>HLOOKUP(I299,データについて!$J$3:$M$18,16,FALSE)</f>
        <v>2</v>
      </c>
      <c r="AA299" s="81" t="str">
        <f>IFERROR(HLOOKUP(J299,データについて!$J$4:$AH$19,16,FALSE),"")</f>
        <v/>
      </c>
      <c r="AB299" s="81">
        <f>IFERROR(HLOOKUP(K299,データについて!$J$5:$AH$20,14,FALSE),"")</f>
        <v>1</v>
      </c>
      <c r="AC299" s="81">
        <f>IF(X299=1,HLOOKUP(R299,データについて!$J$12:$M$18,7,FALSE),"*")</f>
        <v>1</v>
      </c>
      <c r="AD299" s="81" t="str">
        <f>IF(X299=2,HLOOKUP(R299,データについて!$J$12:$M$18,7,FALSE),"*")</f>
        <v>*</v>
      </c>
    </row>
    <row r="300" spans="1:30">
      <c r="A300" s="30">
        <v>4892</v>
      </c>
      <c r="B300" s="30" t="s">
        <v>4829</v>
      </c>
      <c r="C300" s="30" t="s">
        <v>4830</v>
      </c>
      <c r="D300" s="30" t="s">
        <v>106</v>
      </c>
      <c r="E300" s="30"/>
      <c r="F300" s="30" t="s">
        <v>107</v>
      </c>
      <c r="G300" s="30" t="s">
        <v>106</v>
      </c>
      <c r="H300" s="30"/>
      <c r="I300" s="30" t="s">
        <v>191</v>
      </c>
      <c r="J300" s="30"/>
      <c r="K300" s="30" t="s">
        <v>4342</v>
      </c>
      <c r="L300" s="30" t="s">
        <v>117</v>
      </c>
      <c r="M300" s="30" t="s">
        <v>113</v>
      </c>
      <c r="N300" s="30" t="s">
        <v>110</v>
      </c>
      <c r="O300" s="30" t="s">
        <v>115</v>
      </c>
      <c r="P300" s="30" t="s">
        <v>118</v>
      </c>
      <c r="Q300" s="30" t="s">
        <v>112</v>
      </c>
      <c r="R300" s="30" t="s">
        <v>183</v>
      </c>
      <c r="S300" s="81">
        <f>HLOOKUP(L300,データについて!$J$6:$M$18,13,FALSE)</f>
        <v>2</v>
      </c>
      <c r="T300" s="81">
        <f>HLOOKUP(M300,データについて!$J$7:$M$18,12,FALSE)</f>
        <v>1</v>
      </c>
      <c r="U300" s="81">
        <f>HLOOKUP(N300,データについて!$J$8:$M$18,11,FALSE)</f>
        <v>2</v>
      </c>
      <c r="V300" s="81">
        <f>HLOOKUP(O300,データについて!$J$9:$M$18,10,FALSE)</f>
        <v>1</v>
      </c>
      <c r="W300" s="81">
        <f>HLOOKUP(P300,データについて!$J$10:$M$18,9,FALSE)</f>
        <v>2</v>
      </c>
      <c r="X300" s="81">
        <f>HLOOKUP(Q300,データについて!$J$11:$M$18,8,FALSE)</f>
        <v>1</v>
      </c>
      <c r="Y300" s="81">
        <f>HLOOKUP(R300,データについて!$J$12:$M$18,7,FALSE)</f>
        <v>1</v>
      </c>
      <c r="Z300" s="81">
        <f>HLOOKUP(I300,データについて!$J$3:$M$18,16,FALSE)</f>
        <v>2</v>
      </c>
      <c r="AA300" s="81" t="str">
        <f>IFERROR(HLOOKUP(J300,データについて!$J$4:$AH$19,16,FALSE),"")</f>
        <v/>
      </c>
      <c r="AB300" s="81">
        <f>IFERROR(HLOOKUP(K300,データについて!$J$5:$AH$20,14,FALSE),"")</f>
        <v>1</v>
      </c>
      <c r="AC300" s="81">
        <f>IF(X300=1,HLOOKUP(R300,データについて!$J$12:$M$18,7,FALSE),"*")</f>
        <v>1</v>
      </c>
      <c r="AD300" s="81" t="str">
        <f>IF(X300=2,HLOOKUP(R300,データについて!$J$12:$M$18,7,FALSE),"*")</f>
        <v>*</v>
      </c>
    </row>
    <row r="301" spans="1:30">
      <c r="A301" s="30">
        <v>4891</v>
      </c>
      <c r="B301" s="30" t="s">
        <v>4831</v>
      </c>
      <c r="C301" s="30" t="s">
        <v>4832</v>
      </c>
      <c r="D301" s="30" t="s">
        <v>106</v>
      </c>
      <c r="E301" s="30"/>
      <c r="F301" s="30" t="s">
        <v>107</v>
      </c>
      <c r="G301" s="30" t="s">
        <v>106</v>
      </c>
      <c r="H301" s="30"/>
      <c r="I301" s="30" t="s">
        <v>191</v>
      </c>
      <c r="J301" s="30"/>
      <c r="K301" s="30" t="s">
        <v>4342</v>
      </c>
      <c r="L301" s="30" t="s">
        <v>117</v>
      </c>
      <c r="M301" s="30" t="s">
        <v>109</v>
      </c>
      <c r="N301" s="30" t="s">
        <v>114</v>
      </c>
      <c r="O301" s="30" t="s">
        <v>115</v>
      </c>
      <c r="P301" s="30" t="s">
        <v>118</v>
      </c>
      <c r="Q301" s="30" t="s">
        <v>112</v>
      </c>
      <c r="R301" s="30" t="s">
        <v>185</v>
      </c>
      <c r="S301" s="81">
        <f>HLOOKUP(L301,データについて!$J$6:$M$18,13,FALSE)</f>
        <v>2</v>
      </c>
      <c r="T301" s="81">
        <f>HLOOKUP(M301,データについて!$J$7:$M$18,12,FALSE)</f>
        <v>2</v>
      </c>
      <c r="U301" s="81">
        <f>HLOOKUP(N301,データについて!$J$8:$M$18,11,FALSE)</f>
        <v>1</v>
      </c>
      <c r="V301" s="81">
        <f>HLOOKUP(O301,データについて!$J$9:$M$18,10,FALSE)</f>
        <v>1</v>
      </c>
      <c r="W301" s="81">
        <f>HLOOKUP(P301,データについて!$J$10:$M$18,9,FALSE)</f>
        <v>2</v>
      </c>
      <c r="X301" s="81">
        <f>HLOOKUP(Q301,データについて!$J$11:$M$18,8,FALSE)</f>
        <v>1</v>
      </c>
      <c r="Y301" s="81">
        <f>HLOOKUP(R301,データについて!$J$12:$M$18,7,FALSE)</f>
        <v>2</v>
      </c>
      <c r="Z301" s="81">
        <f>HLOOKUP(I301,データについて!$J$3:$M$18,16,FALSE)</f>
        <v>2</v>
      </c>
      <c r="AA301" s="81" t="str">
        <f>IFERROR(HLOOKUP(J301,データについて!$J$4:$AH$19,16,FALSE),"")</f>
        <v/>
      </c>
      <c r="AB301" s="81">
        <f>IFERROR(HLOOKUP(K301,データについて!$J$5:$AH$20,14,FALSE),"")</f>
        <v>1</v>
      </c>
      <c r="AC301" s="81">
        <f>IF(X301=1,HLOOKUP(R301,データについて!$J$12:$M$18,7,FALSE),"*")</f>
        <v>2</v>
      </c>
      <c r="AD301" s="81" t="str">
        <f>IF(X301=2,HLOOKUP(R301,データについて!$J$12:$M$18,7,FALSE),"*")</f>
        <v>*</v>
      </c>
    </row>
    <row r="302" spans="1:30">
      <c r="A302" s="30">
        <v>4890</v>
      </c>
      <c r="B302" s="30" t="s">
        <v>4833</v>
      </c>
      <c r="C302" s="30" t="s">
        <v>4834</v>
      </c>
      <c r="D302" s="30" t="s">
        <v>106</v>
      </c>
      <c r="E302" s="30"/>
      <c r="F302" s="30" t="s">
        <v>107</v>
      </c>
      <c r="G302" s="30" t="s">
        <v>106</v>
      </c>
      <c r="H302" s="30"/>
      <c r="I302" s="30" t="s">
        <v>191</v>
      </c>
      <c r="J302" s="30"/>
      <c r="K302" s="30" t="s">
        <v>4342</v>
      </c>
      <c r="L302" s="30" t="s">
        <v>117</v>
      </c>
      <c r="M302" s="30" t="s">
        <v>109</v>
      </c>
      <c r="N302" s="30" t="s">
        <v>110</v>
      </c>
      <c r="O302" s="30" t="s">
        <v>115</v>
      </c>
      <c r="P302" s="30" t="s">
        <v>118</v>
      </c>
      <c r="Q302" s="30" t="s">
        <v>112</v>
      </c>
      <c r="R302" s="30" t="s">
        <v>187</v>
      </c>
      <c r="S302" s="81">
        <f>HLOOKUP(L302,データについて!$J$6:$M$18,13,FALSE)</f>
        <v>2</v>
      </c>
      <c r="T302" s="81">
        <f>HLOOKUP(M302,データについて!$J$7:$M$18,12,FALSE)</f>
        <v>2</v>
      </c>
      <c r="U302" s="81">
        <f>HLOOKUP(N302,データについて!$J$8:$M$18,11,FALSE)</f>
        <v>2</v>
      </c>
      <c r="V302" s="81">
        <f>HLOOKUP(O302,データについて!$J$9:$M$18,10,FALSE)</f>
        <v>1</v>
      </c>
      <c r="W302" s="81">
        <f>HLOOKUP(P302,データについて!$J$10:$M$18,9,FALSE)</f>
        <v>2</v>
      </c>
      <c r="X302" s="81">
        <f>HLOOKUP(Q302,データについて!$J$11:$M$18,8,FALSE)</f>
        <v>1</v>
      </c>
      <c r="Y302" s="81">
        <f>HLOOKUP(R302,データについて!$J$12:$M$18,7,FALSE)</f>
        <v>3</v>
      </c>
      <c r="Z302" s="81">
        <f>HLOOKUP(I302,データについて!$J$3:$M$18,16,FALSE)</f>
        <v>2</v>
      </c>
      <c r="AA302" s="81" t="str">
        <f>IFERROR(HLOOKUP(J302,データについて!$J$4:$AH$19,16,FALSE),"")</f>
        <v/>
      </c>
      <c r="AB302" s="81">
        <f>IFERROR(HLOOKUP(K302,データについて!$J$5:$AH$20,14,FALSE),"")</f>
        <v>1</v>
      </c>
      <c r="AC302" s="81">
        <f>IF(X302=1,HLOOKUP(R302,データについて!$J$12:$M$18,7,FALSE),"*")</f>
        <v>3</v>
      </c>
      <c r="AD302" s="81" t="str">
        <f>IF(X302=2,HLOOKUP(R302,データについて!$J$12:$M$18,7,FALSE),"*")</f>
        <v>*</v>
      </c>
    </row>
    <row r="303" spans="1:30">
      <c r="A303" s="30">
        <v>4889</v>
      </c>
      <c r="B303" s="30" t="s">
        <v>4835</v>
      </c>
      <c r="C303" s="30" t="s">
        <v>4836</v>
      </c>
      <c r="D303" s="30" t="s">
        <v>106</v>
      </c>
      <c r="E303" s="30"/>
      <c r="F303" s="30" t="s">
        <v>107</v>
      </c>
      <c r="G303" s="30" t="s">
        <v>106</v>
      </c>
      <c r="H303" s="30"/>
      <c r="I303" s="30" t="s">
        <v>191</v>
      </c>
      <c r="J303" s="30"/>
      <c r="K303" s="30" t="s">
        <v>4342</v>
      </c>
      <c r="L303" s="30" t="s">
        <v>117</v>
      </c>
      <c r="M303" s="30" t="s">
        <v>124</v>
      </c>
      <c r="N303" s="30" t="s">
        <v>122</v>
      </c>
      <c r="O303" s="30" t="s">
        <v>115</v>
      </c>
      <c r="P303" s="30" t="s">
        <v>112</v>
      </c>
      <c r="Q303" s="30" t="s">
        <v>112</v>
      </c>
      <c r="R303" s="30" t="s">
        <v>187</v>
      </c>
      <c r="S303" s="81">
        <f>HLOOKUP(L303,データについて!$J$6:$M$18,13,FALSE)</f>
        <v>2</v>
      </c>
      <c r="T303" s="81">
        <f>HLOOKUP(M303,データについて!$J$7:$M$18,12,FALSE)</f>
        <v>3</v>
      </c>
      <c r="U303" s="81">
        <f>HLOOKUP(N303,データについて!$J$8:$M$18,11,FALSE)</f>
        <v>3</v>
      </c>
      <c r="V303" s="81">
        <f>HLOOKUP(O303,データについて!$J$9:$M$18,10,FALSE)</f>
        <v>1</v>
      </c>
      <c r="W303" s="81">
        <f>HLOOKUP(P303,データについて!$J$10:$M$18,9,FALSE)</f>
        <v>1</v>
      </c>
      <c r="X303" s="81">
        <f>HLOOKUP(Q303,データについて!$J$11:$M$18,8,FALSE)</f>
        <v>1</v>
      </c>
      <c r="Y303" s="81">
        <f>HLOOKUP(R303,データについて!$J$12:$M$18,7,FALSE)</f>
        <v>3</v>
      </c>
      <c r="Z303" s="81">
        <f>HLOOKUP(I303,データについて!$J$3:$M$18,16,FALSE)</f>
        <v>2</v>
      </c>
      <c r="AA303" s="81" t="str">
        <f>IFERROR(HLOOKUP(J303,データについて!$J$4:$AH$19,16,FALSE),"")</f>
        <v/>
      </c>
      <c r="AB303" s="81">
        <f>IFERROR(HLOOKUP(K303,データについて!$J$5:$AH$20,14,FALSE),"")</f>
        <v>1</v>
      </c>
      <c r="AC303" s="81">
        <f>IF(X303=1,HLOOKUP(R303,データについて!$J$12:$M$18,7,FALSE),"*")</f>
        <v>3</v>
      </c>
      <c r="AD303" s="81" t="str">
        <f>IF(X303=2,HLOOKUP(R303,データについて!$J$12:$M$18,7,FALSE),"*")</f>
        <v>*</v>
      </c>
    </row>
    <row r="304" spans="1:30">
      <c r="A304" s="30">
        <v>4888</v>
      </c>
      <c r="B304" s="30" t="s">
        <v>4837</v>
      </c>
      <c r="C304" s="30" t="s">
        <v>4838</v>
      </c>
      <c r="D304" s="30" t="s">
        <v>106</v>
      </c>
      <c r="E304" s="30"/>
      <c r="F304" s="30" t="s">
        <v>107</v>
      </c>
      <c r="G304" s="30" t="s">
        <v>106</v>
      </c>
      <c r="H304" s="30"/>
      <c r="I304" s="30" t="s">
        <v>191</v>
      </c>
      <c r="J304" s="30"/>
      <c r="K304" s="30" t="s">
        <v>4342</v>
      </c>
      <c r="L304" s="30" t="s">
        <v>108</v>
      </c>
      <c r="M304" s="30" t="s">
        <v>109</v>
      </c>
      <c r="N304" s="30" t="s">
        <v>110</v>
      </c>
      <c r="O304" s="30" t="s">
        <v>115</v>
      </c>
      <c r="P304" s="30" t="s">
        <v>112</v>
      </c>
      <c r="Q304" s="30" t="s">
        <v>112</v>
      </c>
      <c r="R304" s="30" t="s">
        <v>185</v>
      </c>
      <c r="S304" s="81">
        <f>HLOOKUP(L304,データについて!$J$6:$M$18,13,FALSE)</f>
        <v>1</v>
      </c>
      <c r="T304" s="81">
        <f>HLOOKUP(M304,データについて!$J$7:$M$18,12,FALSE)</f>
        <v>2</v>
      </c>
      <c r="U304" s="81">
        <f>HLOOKUP(N304,データについて!$J$8:$M$18,11,FALSE)</f>
        <v>2</v>
      </c>
      <c r="V304" s="81">
        <f>HLOOKUP(O304,データについて!$J$9:$M$18,10,FALSE)</f>
        <v>1</v>
      </c>
      <c r="W304" s="81">
        <f>HLOOKUP(P304,データについて!$J$10:$M$18,9,FALSE)</f>
        <v>1</v>
      </c>
      <c r="X304" s="81">
        <f>HLOOKUP(Q304,データについて!$J$11:$M$18,8,FALSE)</f>
        <v>1</v>
      </c>
      <c r="Y304" s="81">
        <f>HLOOKUP(R304,データについて!$J$12:$M$18,7,FALSE)</f>
        <v>2</v>
      </c>
      <c r="Z304" s="81">
        <f>HLOOKUP(I304,データについて!$J$3:$M$18,16,FALSE)</f>
        <v>2</v>
      </c>
      <c r="AA304" s="81" t="str">
        <f>IFERROR(HLOOKUP(J304,データについて!$J$4:$AH$19,16,FALSE),"")</f>
        <v/>
      </c>
      <c r="AB304" s="81">
        <f>IFERROR(HLOOKUP(K304,データについて!$J$5:$AH$20,14,FALSE),"")</f>
        <v>1</v>
      </c>
      <c r="AC304" s="81">
        <f>IF(X304=1,HLOOKUP(R304,データについて!$J$12:$M$18,7,FALSE),"*")</f>
        <v>2</v>
      </c>
      <c r="AD304" s="81" t="str">
        <f>IF(X304=2,HLOOKUP(R304,データについて!$J$12:$M$18,7,FALSE),"*")</f>
        <v>*</v>
      </c>
    </row>
    <row r="305" spans="1:30">
      <c r="A305" s="30">
        <v>4887</v>
      </c>
      <c r="B305" s="30" t="s">
        <v>4839</v>
      </c>
      <c r="C305" s="30" t="s">
        <v>4838</v>
      </c>
      <c r="D305" s="30" t="s">
        <v>106</v>
      </c>
      <c r="E305" s="30"/>
      <c r="F305" s="30" t="s">
        <v>107</v>
      </c>
      <c r="G305" s="30" t="s">
        <v>106</v>
      </c>
      <c r="H305" s="30"/>
      <c r="I305" s="30" t="s">
        <v>191</v>
      </c>
      <c r="J305" s="30"/>
      <c r="K305" s="30" t="s">
        <v>4342</v>
      </c>
      <c r="L305" s="30" t="s">
        <v>108</v>
      </c>
      <c r="M305" s="30" t="s">
        <v>109</v>
      </c>
      <c r="N305" s="30" t="s">
        <v>114</v>
      </c>
      <c r="O305" s="30" t="s">
        <v>115</v>
      </c>
      <c r="P305" s="30" t="s">
        <v>112</v>
      </c>
      <c r="Q305" s="30" t="s">
        <v>112</v>
      </c>
      <c r="R305" s="30" t="s">
        <v>183</v>
      </c>
      <c r="S305" s="81">
        <f>HLOOKUP(L305,データについて!$J$6:$M$18,13,FALSE)</f>
        <v>1</v>
      </c>
      <c r="T305" s="81">
        <f>HLOOKUP(M305,データについて!$J$7:$M$18,12,FALSE)</f>
        <v>2</v>
      </c>
      <c r="U305" s="81">
        <f>HLOOKUP(N305,データについて!$J$8:$M$18,11,FALSE)</f>
        <v>1</v>
      </c>
      <c r="V305" s="81">
        <f>HLOOKUP(O305,データについて!$J$9:$M$18,10,FALSE)</f>
        <v>1</v>
      </c>
      <c r="W305" s="81">
        <f>HLOOKUP(P305,データについて!$J$10:$M$18,9,FALSE)</f>
        <v>1</v>
      </c>
      <c r="X305" s="81">
        <f>HLOOKUP(Q305,データについて!$J$11:$M$18,8,FALSE)</f>
        <v>1</v>
      </c>
      <c r="Y305" s="81">
        <f>HLOOKUP(R305,データについて!$J$12:$M$18,7,FALSE)</f>
        <v>1</v>
      </c>
      <c r="Z305" s="81">
        <f>HLOOKUP(I305,データについて!$J$3:$M$18,16,FALSE)</f>
        <v>2</v>
      </c>
      <c r="AA305" s="81" t="str">
        <f>IFERROR(HLOOKUP(J305,データについて!$J$4:$AH$19,16,FALSE),"")</f>
        <v/>
      </c>
      <c r="AB305" s="81">
        <f>IFERROR(HLOOKUP(K305,データについて!$J$5:$AH$20,14,FALSE),"")</f>
        <v>1</v>
      </c>
      <c r="AC305" s="81">
        <f>IF(X305=1,HLOOKUP(R305,データについて!$J$12:$M$18,7,FALSE),"*")</f>
        <v>1</v>
      </c>
      <c r="AD305" s="81" t="str">
        <f>IF(X305=2,HLOOKUP(R305,データについて!$J$12:$M$18,7,FALSE),"*")</f>
        <v>*</v>
      </c>
    </row>
    <row r="306" spans="1:30">
      <c r="A306" s="30">
        <v>4886</v>
      </c>
      <c r="B306" s="30" t="s">
        <v>4840</v>
      </c>
      <c r="C306" s="30" t="s">
        <v>4841</v>
      </c>
      <c r="D306" s="30" t="s">
        <v>106</v>
      </c>
      <c r="E306" s="30"/>
      <c r="F306" s="30" t="s">
        <v>107</v>
      </c>
      <c r="G306" s="30" t="s">
        <v>106</v>
      </c>
      <c r="H306" s="30"/>
      <c r="I306" s="30" t="s">
        <v>191</v>
      </c>
      <c r="J306" s="30"/>
      <c r="K306" s="30" t="s">
        <v>4342</v>
      </c>
      <c r="L306" s="30" t="s">
        <v>108</v>
      </c>
      <c r="M306" s="30" t="s">
        <v>109</v>
      </c>
      <c r="N306" s="30" t="s">
        <v>114</v>
      </c>
      <c r="O306" s="30" t="s">
        <v>116</v>
      </c>
      <c r="P306" s="30" t="s">
        <v>112</v>
      </c>
      <c r="Q306" s="30" t="s">
        <v>112</v>
      </c>
      <c r="R306" s="30" t="s">
        <v>187</v>
      </c>
      <c r="S306" s="81">
        <f>HLOOKUP(L306,データについて!$J$6:$M$18,13,FALSE)</f>
        <v>1</v>
      </c>
      <c r="T306" s="81">
        <f>HLOOKUP(M306,データについて!$J$7:$M$18,12,FALSE)</f>
        <v>2</v>
      </c>
      <c r="U306" s="81">
        <f>HLOOKUP(N306,データについて!$J$8:$M$18,11,FALSE)</f>
        <v>1</v>
      </c>
      <c r="V306" s="81">
        <f>HLOOKUP(O306,データについて!$J$9:$M$18,10,FALSE)</f>
        <v>2</v>
      </c>
      <c r="W306" s="81">
        <f>HLOOKUP(P306,データについて!$J$10:$M$18,9,FALSE)</f>
        <v>1</v>
      </c>
      <c r="X306" s="81">
        <f>HLOOKUP(Q306,データについて!$J$11:$M$18,8,FALSE)</f>
        <v>1</v>
      </c>
      <c r="Y306" s="81">
        <f>HLOOKUP(R306,データについて!$J$12:$M$18,7,FALSE)</f>
        <v>3</v>
      </c>
      <c r="Z306" s="81">
        <f>HLOOKUP(I306,データについて!$J$3:$M$18,16,FALSE)</f>
        <v>2</v>
      </c>
      <c r="AA306" s="81" t="str">
        <f>IFERROR(HLOOKUP(J306,データについて!$J$4:$AH$19,16,FALSE),"")</f>
        <v/>
      </c>
      <c r="AB306" s="81">
        <f>IFERROR(HLOOKUP(K306,データについて!$J$5:$AH$20,14,FALSE),"")</f>
        <v>1</v>
      </c>
      <c r="AC306" s="81">
        <f>IF(X306=1,HLOOKUP(R306,データについて!$J$12:$M$18,7,FALSE),"*")</f>
        <v>3</v>
      </c>
      <c r="AD306" s="81" t="str">
        <f>IF(X306=2,HLOOKUP(R306,データについて!$J$12:$M$18,7,FALSE),"*")</f>
        <v>*</v>
      </c>
    </row>
    <row r="307" spans="1:30">
      <c r="A307" s="30">
        <v>4885</v>
      </c>
      <c r="B307" s="30" t="s">
        <v>4842</v>
      </c>
      <c r="C307" s="30" t="s">
        <v>4843</v>
      </c>
      <c r="D307" s="30" t="s">
        <v>106</v>
      </c>
      <c r="E307" s="30"/>
      <c r="F307" s="30" t="s">
        <v>107</v>
      </c>
      <c r="G307" s="30" t="s">
        <v>106</v>
      </c>
      <c r="H307" s="30"/>
      <c r="I307" s="30" t="s">
        <v>191</v>
      </c>
      <c r="J307" s="30"/>
      <c r="K307" s="30" t="s">
        <v>4342</v>
      </c>
      <c r="L307" s="30" t="s">
        <v>108</v>
      </c>
      <c r="M307" s="30" t="s">
        <v>109</v>
      </c>
      <c r="N307" s="30" t="s">
        <v>110</v>
      </c>
      <c r="O307" s="30" t="s">
        <v>115</v>
      </c>
      <c r="P307" s="30" t="s">
        <v>112</v>
      </c>
      <c r="Q307" s="30" t="s">
        <v>112</v>
      </c>
      <c r="R307" s="30" t="s">
        <v>187</v>
      </c>
      <c r="S307" s="81">
        <f>HLOOKUP(L307,データについて!$J$6:$M$18,13,FALSE)</f>
        <v>1</v>
      </c>
      <c r="T307" s="81">
        <f>HLOOKUP(M307,データについて!$J$7:$M$18,12,FALSE)</f>
        <v>2</v>
      </c>
      <c r="U307" s="81">
        <f>HLOOKUP(N307,データについて!$J$8:$M$18,11,FALSE)</f>
        <v>2</v>
      </c>
      <c r="V307" s="81">
        <f>HLOOKUP(O307,データについて!$J$9:$M$18,10,FALSE)</f>
        <v>1</v>
      </c>
      <c r="W307" s="81">
        <f>HLOOKUP(P307,データについて!$J$10:$M$18,9,FALSE)</f>
        <v>1</v>
      </c>
      <c r="X307" s="81">
        <f>HLOOKUP(Q307,データについて!$J$11:$M$18,8,FALSE)</f>
        <v>1</v>
      </c>
      <c r="Y307" s="81">
        <f>HLOOKUP(R307,データについて!$J$12:$M$18,7,FALSE)</f>
        <v>3</v>
      </c>
      <c r="Z307" s="81">
        <f>HLOOKUP(I307,データについて!$J$3:$M$18,16,FALSE)</f>
        <v>2</v>
      </c>
      <c r="AA307" s="81" t="str">
        <f>IFERROR(HLOOKUP(J307,データについて!$J$4:$AH$19,16,FALSE),"")</f>
        <v/>
      </c>
      <c r="AB307" s="81">
        <f>IFERROR(HLOOKUP(K307,データについて!$J$5:$AH$20,14,FALSE),"")</f>
        <v>1</v>
      </c>
      <c r="AC307" s="81">
        <f>IF(X307=1,HLOOKUP(R307,データについて!$J$12:$M$18,7,FALSE),"*")</f>
        <v>3</v>
      </c>
      <c r="AD307" s="81" t="str">
        <f>IF(X307=2,HLOOKUP(R307,データについて!$J$12:$M$18,7,FALSE),"*")</f>
        <v>*</v>
      </c>
    </row>
    <row r="308" spans="1:30">
      <c r="A308" s="30">
        <v>4884</v>
      </c>
      <c r="B308" s="30" t="s">
        <v>4844</v>
      </c>
      <c r="C308" s="30" t="s">
        <v>4845</v>
      </c>
      <c r="D308" s="30" t="s">
        <v>106</v>
      </c>
      <c r="E308" s="30"/>
      <c r="F308" s="30" t="s">
        <v>107</v>
      </c>
      <c r="G308" s="30" t="s">
        <v>106</v>
      </c>
      <c r="H308" s="30"/>
      <c r="I308" s="30" t="s">
        <v>191</v>
      </c>
      <c r="J308" s="30"/>
      <c r="K308" s="30" t="s">
        <v>4342</v>
      </c>
      <c r="L308" s="30" t="s">
        <v>108</v>
      </c>
      <c r="M308" s="30" t="s">
        <v>113</v>
      </c>
      <c r="N308" s="30" t="s">
        <v>114</v>
      </c>
      <c r="O308" s="30" t="s">
        <v>111</v>
      </c>
      <c r="P308" s="30" t="s">
        <v>112</v>
      </c>
      <c r="Q308" s="30" t="s">
        <v>112</v>
      </c>
      <c r="R308" s="30" t="s">
        <v>185</v>
      </c>
      <c r="S308" s="81">
        <f>HLOOKUP(L308,データについて!$J$6:$M$18,13,FALSE)</f>
        <v>1</v>
      </c>
      <c r="T308" s="81">
        <f>HLOOKUP(M308,データについて!$J$7:$M$18,12,FALSE)</f>
        <v>1</v>
      </c>
      <c r="U308" s="81">
        <f>HLOOKUP(N308,データについて!$J$8:$M$18,11,FALSE)</f>
        <v>1</v>
      </c>
      <c r="V308" s="81">
        <f>HLOOKUP(O308,データについて!$J$9:$M$18,10,FALSE)</f>
        <v>3</v>
      </c>
      <c r="W308" s="81">
        <f>HLOOKUP(P308,データについて!$J$10:$M$18,9,FALSE)</f>
        <v>1</v>
      </c>
      <c r="X308" s="81">
        <f>HLOOKUP(Q308,データについて!$J$11:$M$18,8,FALSE)</f>
        <v>1</v>
      </c>
      <c r="Y308" s="81">
        <f>HLOOKUP(R308,データについて!$J$12:$M$18,7,FALSE)</f>
        <v>2</v>
      </c>
      <c r="Z308" s="81">
        <f>HLOOKUP(I308,データについて!$J$3:$M$18,16,FALSE)</f>
        <v>2</v>
      </c>
      <c r="AA308" s="81" t="str">
        <f>IFERROR(HLOOKUP(J308,データについて!$J$4:$AH$19,16,FALSE),"")</f>
        <v/>
      </c>
      <c r="AB308" s="81">
        <f>IFERROR(HLOOKUP(K308,データについて!$J$5:$AH$20,14,FALSE),"")</f>
        <v>1</v>
      </c>
      <c r="AC308" s="81">
        <f>IF(X308=1,HLOOKUP(R308,データについて!$J$12:$M$18,7,FALSE),"*")</f>
        <v>2</v>
      </c>
      <c r="AD308" s="81" t="str">
        <f>IF(X308=2,HLOOKUP(R308,データについて!$J$12:$M$18,7,FALSE),"*")</f>
        <v>*</v>
      </c>
    </row>
    <row r="309" spans="1:30">
      <c r="A309" s="30">
        <v>4883</v>
      </c>
      <c r="B309" s="30" t="s">
        <v>4846</v>
      </c>
      <c r="C309" s="30" t="s">
        <v>4847</v>
      </c>
      <c r="D309" s="30" t="s">
        <v>106</v>
      </c>
      <c r="E309" s="30"/>
      <c r="F309" s="30" t="s">
        <v>107</v>
      </c>
      <c r="G309" s="30" t="s">
        <v>106</v>
      </c>
      <c r="H309" s="30"/>
      <c r="I309" s="30" t="s">
        <v>191</v>
      </c>
      <c r="J309" s="30"/>
      <c r="K309" s="30" t="s">
        <v>4342</v>
      </c>
      <c r="L309" s="30" t="s">
        <v>108</v>
      </c>
      <c r="M309" s="30" t="s">
        <v>113</v>
      </c>
      <c r="N309" s="30" t="s">
        <v>114</v>
      </c>
      <c r="O309" s="30" t="s">
        <v>115</v>
      </c>
      <c r="P309" s="30" t="s">
        <v>112</v>
      </c>
      <c r="Q309" s="30" t="s">
        <v>112</v>
      </c>
      <c r="R309" s="30" t="s">
        <v>189</v>
      </c>
      <c r="S309" s="81">
        <f>HLOOKUP(L309,データについて!$J$6:$M$18,13,FALSE)</f>
        <v>1</v>
      </c>
      <c r="T309" s="81">
        <f>HLOOKUP(M309,データについて!$J$7:$M$18,12,FALSE)</f>
        <v>1</v>
      </c>
      <c r="U309" s="81">
        <f>HLOOKUP(N309,データについて!$J$8:$M$18,11,FALSE)</f>
        <v>1</v>
      </c>
      <c r="V309" s="81">
        <f>HLOOKUP(O309,データについて!$J$9:$M$18,10,FALSE)</f>
        <v>1</v>
      </c>
      <c r="W309" s="81">
        <f>HLOOKUP(P309,データについて!$J$10:$M$18,9,FALSE)</f>
        <v>1</v>
      </c>
      <c r="X309" s="81">
        <f>HLOOKUP(Q309,データについて!$J$11:$M$18,8,FALSE)</f>
        <v>1</v>
      </c>
      <c r="Y309" s="81">
        <f>HLOOKUP(R309,データについて!$J$12:$M$18,7,FALSE)</f>
        <v>4</v>
      </c>
      <c r="Z309" s="81">
        <f>HLOOKUP(I309,データについて!$J$3:$M$18,16,FALSE)</f>
        <v>2</v>
      </c>
      <c r="AA309" s="81" t="str">
        <f>IFERROR(HLOOKUP(J309,データについて!$J$4:$AH$19,16,FALSE),"")</f>
        <v/>
      </c>
      <c r="AB309" s="81">
        <f>IFERROR(HLOOKUP(K309,データについて!$J$5:$AH$20,14,FALSE),"")</f>
        <v>1</v>
      </c>
      <c r="AC309" s="81">
        <f>IF(X309=1,HLOOKUP(R309,データについて!$J$12:$M$18,7,FALSE),"*")</f>
        <v>4</v>
      </c>
      <c r="AD309" s="81" t="str">
        <f>IF(X309=2,HLOOKUP(R309,データについて!$J$12:$M$18,7,FALSE),"*")</f>
        <v>*</v>
      </c>
    </row>
    <row r="310" spans="1:30">
      <c r="A310" s="30">
        <v>4882</v>
      </c>
      <c r="B310" s="30" t="s">
        <v>4848</v>
      </c>
      <c r="C310" s="30" t="s">
        <v>4849</v>
      </c>
      <c r="D310" s="30" t="s">
        <v>106</v>
      </c>
      <c r="E310" s="30"/>
      <c r="F310" s="30" t="s">
        <v>107</v>
      </c>
      <c r="G310" s="30" t="s">
        <v>106</v>
      </c>
      <c r="H310" s="30"/>
      <c r="I310" s="30" t="s">
        <v>191</v>
      </c>
      <c r="J310" s="30"/>
      <c r="K310" s="30" t="s">
        <v>4342</v>
      </c>
      <c r="L310" s="30" t="s">
        <v>117</v>
      </c>
      <c r="M310" s="30" t="s">
        <v>113</v>
      </c>
      <c r="N310" s="30" t="s">
        <v>114</v>
      </c>
      <c r="O310" s="30" t="s">
        <v>115</v>
      </c>
      <c r="P310" s="30" t="s">
        <v>112</v>
      </c>
      <c r="Q310" s="30" t="s">
        <v>112</v>
      </c>
      <c r="R310" s="30" t="s">
        <v>185</v>
      </c>
      <c r="S310" s="81">
        <f>HLOOKUP(L310,データについて!$J$6:$M$18,13,FALSE)</f>
        <v>2</v>
      </c>
      <c r="T310" s="81">
        <f>HLOOKUP(M310,データについて!$J$7:$M$18,12,FALSE)</f>
        <v>1</v>
      </c>
      <c r="U310" s="81">
        <f>HLOOKUP(N310,データについて!$J$8:$M$18,11,FALSE)</f>
        <v>1</v>
      </c>
      <c r="V310" s="81">
        <f>HLOOKUP(O310,データについて!$J$9:$M$18,10,FALSE)</f>
        <v>1</v>
      </c>
      <c r="W310" s="81">
        <f>HLOOKUP(P310,データについて!$J$10:$M$18,9,FALSE)</f>
        <v>1</v>
      </c>
      <c r="X310" s="81">
        <f>HLOOKUP(Q310,データについて!$J$11:$M$18,8,FALSE)</f>
        <v>1</v>
      </c>
      <c r="Y310" s="81">
        <f>HLOOKUP(R310,データについて!$J$12:$M$18,7,FALSE)</f>
        <v>2</v>
      </c>
      <c r="Z310" s="81">
        <f>HLOOKUP(I310,データについて!$J$3:$M$18,16,FALSE)</f>
        <v>2</v>
      </c>
      <c r="AA310" s="81" t="str">
        <f>IFERROR(HLOOKUP(J310,データについて!$J$4:$AH$19,16,FALSE),"")</f>
        <v/>
      </c>
      <c r="AB310" s="81">
        <f>IFERROR(HLOOKUP(K310,データについて!$J$5:$AH$20,14,FALSE),"")</f>
        <v>1</v>
      </c>
      <c r="AC310" s="81">
        <f>IF(X310=1,HLOOKUP(R310,データについて!$J$12:$M$18,7,FALSE),"*")</f>
        <v>2</v>
      </c>
      <c r="AD310" s="81" t="str">
        <f>IF(X310=2,HLOOKUP(R310,データについて!$J$12:$M$18,7,FALSE),"*")</f>
        <v>*</v>
      </c>
    </row>
    <row r="311" spans="1:30">
      <c r="A311" s="30">
        <v>4881</v>
      </c>
      <c r="B311" s="30" t="s">
        <v>4850</v>
      </c>
      <c r="C311" s="30" t="s">
        <v>4851</v>
      </c>
      <c r="D311" s="30" t="s">
        <v>106</v>
      </c>
      <c r="E311" s="30"/>
      <c r="F311" s="30" t="s">
        <v>107</v>
      </c>
      <c r="G311" s="30" t="s">
        <v>106</v>
      </c>
      <c r="H311" s="30"/>
      <c r="I311" s="30" t="s">
        <v>191</v>
      </c>
      <c r="J311" s="30"/>
      <c r="K311" s="30" t="s">
        <v>4342</v>
      </c>
      <c r="L311" s="30" t="s">
        <v>117</v>
      </c>
      <c r="M311" s="30" t="s">
        <v>109</v>
      </c>
      <c r="N311" s="30" t="s">
        <v>122</v>
      </c>
      <c r="O311" s="30" t="s">
        <v>115</v>
      </c>
      <c r="P311" s="30" t="s">
        <v>112</v>
      </c>
      <c r="Q311" s="30" t="s">
        <v>112</v>
      </c>
      <c r="R311" s="30" t="s">
        <v>187</v>
      </c>
      <c r="S311" s="81">
        <f>HLOOKUP(L311,データについて!$J$6:$M$18,13,FALSE)</f>
        <v>2</v>
      </c>
      <c r="T311" s="81">
        <f>HLOOKUP(M311,データについて!$J$7:$M$18,12,FALSE)</f>
        <v>2</v>
      </c>
      <c r="U311" s="81">
        <f>HLOOKUP(N311,データについて!$J$8:$M$18,11,FALSE)</f>
        <v>3</v>
      </c>
      <c r="V311" s="81">
        <f>HLOOKUP(O311,データについて!$J$9:$M$18,10,FALSE)</f>
        <v>1</v>
      </c>
      <c r="W311" s="81">
        <f>HLOOKUP(P311,データについて!$J$10:$M$18,9,FALSE)</f>
        <v>1</v>
      </c>
      <c r="X311" s="81">
        <f>HLOOKUP(Q311,データについて!$J$11:$M$18,8,FALSE)</f>
        <v>1</v>
      </c>
      <c r="Y311" s="81">
        <f>HLOOKUP(R311,データについて!$J$12:$M$18,7,FALSE)</f>
        <v>3</v>
      </c>
      <c r="Z311" s="81">
        <f>HLOOKUP(I311,データについて!$J$3:$M$18,16,FALSE)</f>
        <v>2</v>
      </c>
      <c r="AA311" s="81" t="str">
        <f>IFERROR(HLOOKUP(J311,データについて!$J$4:$AH$19,16,FALSE),"")</f>
        <v/>
      </c>
      <c r="AB311" s="81">
        <f>IFERROR(HLOOKUP(K311,データについて!$J$5:$AH$20,14,FALSE),"")</f>
        <v>1</v>
      </c>
      <c r="AC311" s="81">
        <f>IF(X311=1,HLOOKUP(R311,データについて!$J$12:$M$18,7,FALSE),"*")</f>
        <v>3</v>
      </c>
      <c r="AD311" s="81" t="str">
        <f>IF(X311=2,HLOOKUP(R311,データについて!$J$12:$M$18,7,FALSE),"*")</f>
        <v>*</v>
      </c>
    </row>
    <row r="312" spans="1:30">
      <c r="A312" s="30">
        <v>4880</v>
      </c>
      <c r="B312" s="30" t="s">
        <v>4852</v>
      </c>
      <c r="C312" s="30" t="s">
        <v>4853</v>
      </c>
      <c r="D312" s="30" t="s">
        <v>106</v>
      </c>
      <c r="E312" s="30"/>
      <c r="F312" s="30" t="s">
        <v>107</v>
      </c>
      <c r="G312" s="30" t="s">
        <v>106</v>
      </c>
      <c r="H312" s="30"/>
      <c r="I312" s="30" t="s">
        <v>191</v>
      </c>
      <c r="J312" s="30"/>
      <c r="K312" s="30" t="s">
        <v>4342</v>
      </c>
      <c r="L312" s="30" t="s">
        <v>108</v>
      </c>
      <c r="M312" s="30" t="s">
        <v>113</v>
      </c>
      <c r="N312" s="30" t="s">
        <v>110</v>
      </c>
      <c r="O312" s="30" t="s">
        <v>115</v>
      </c>
      <c r="P312" s="30" t="s">
        <v>112</v>
      </c>
      <c r="Q312" s="30" t="s">
        <v>112</v>
      </c>
      <c r="R312" s="30" t="s">
        <v>185</v>
      </c>
      <c r="S312" s="81">
        <f>HLOOKUP(L312,データについて!$J$6:$M$18,13,FALSE)</f>
        <v>1</v>
      </c>
      <c r="T312" s="81">
        <f>HLOOKUP(M312,データについて!$J$7:$M$18,12,FALSE)</f>
        <v>1</v>
      </c>
      <c r="U312" s="81">
        <f>HLOOKUP(N312,データについて!$J$8:$M$18,11,FALSE)</f>
        <v>2</v>
      </c>
      <c r="V312" s="81">
        <f>HLOOKUP(O312,データについて!$J$9:$M$18,10,FALSE)</f>
        <v>1</v>
      </c>
      <c r="W312" s="81">
        <f>HLOOKUP(P312,データについて!$J$10:$M$18,9,FALSE)</f>
        <v>1</v>
      </c>
      <c r="X312" s="81">
        <f>HLOOKUP(Q312,データについて!$J$11:$M$18,8,FALSE)</f>
        <v>1</v>
      </c>
      <c r="Y312" s="81">
        <f>HLOOKUP(R312,データについて!$J$12:$M$18,7,FALSE)</f>
        <v>2</v>
      </c>
      <c r="Z312" s="81">
        <f>HLOOKUP(I312,データについて!$J$3:$M$18,16,FALSE)</f>
        <v>2</v>
      </c>
      <c r="AA312" s="81" t="str">
        <f>IFERROR(HLOOKUP(J312,データについて!$J$4:$AH$19,16,FALSE),"")</f>
        <v/>
      </c>
      <c r="AB312" s="81">
        <f>IFERROR(HLOOKUP(K312,データについて!$J$5:$AH$20,14,FALSE),"")</f>
        <v>1</v>
      </c>
      <c r="AC312" s="81">
        <f>IF(X312=1,HLOOKUP(R312,データについて!$J$12:$M$18,7,FALSE),"*")</f>
        <v>2</v>
      </c>
      <c r="AD312" s="81" t="str">
        <f>IF(X312=2,HLOOKUP(R312,データについて!$J$12:$M$18,7,FALSE),"*")</f>
        <v>*</v>
      </c>
    </row>
    <row r="313" spans="1:30">
      <c r="A313" s="30">
        <v>4879</v>
      </c>
      <c r="B313" s="30" t="s">
        <v>4854</v>
      </c>
      <c r="C313" s="30" t="s">
        <v>4855</v>
      </c>
      <c r="D313" s="30" t="s">
        <v>106</v>
      </c>
      <c r="E313" s="30"/>
      <c r="F313" s="30" t="s">
        <v>107</v>
      </c>
      <c r="G313" s="30" t="s">
        <v>106</v>
      </c>
      <c r="H313" s="30"/>
      <c r="I313" s="30" t="s">
        <v>191</v>
      </c>
      <c r="J313" s="30"/>
      <c r="K313" s="30" t="s">
        <v>4342</v>
      </c>
      <c r="L313" s="30" t="s">
        <v>108</v>
      </c>
      <c r="M313" s="30" t="s">
        <v>113</v>
      </c>
      <c r="N313" s="30" t="s">
        <v>119</v>
      </c>
      <c r="O313" s="30" t="s">
        <v>115</v>
      </c>
      <c r="P313" s="30" t="s">
        <v>118</v>
      </c>
      <c r="Q313" s="30" t="s">
        <v>112</v>
      </c>
      <c r="R313" s="30" t="s">
        <v>189</v>
      </c>
      <c r="S313" s="81">
        <f>HLOOKUP(L313,データについて!$J$6:$M$18,13,FALSE)</f>
        <v>1</v>
      </c>
      <c r="T313" s="81">
        <f>HLOOKUP(M313,データについて!$J$7:$M$18,12,FALSE)</f>
        <v>1</v>
      </c>
      <c r="U313" s="81">
        <f>HLOOKUP(N313,データについて!$J$8:$M$18,11,FALSE)</f>
        <v>4</v>
      </c>
      <c r="V313" s="81">
        <f>HLOOKUP(O313,データについて!$J$9:$M$18,10,FALSE)</f>
        <v>1</v>
      </c>
      <c r="W313" s="81">
        <f>HLOOKUP(P313,データについて!$J$10:$M$18,9,FALSE)</f>
        <v>2</v>
      </c>
      <c r="X313" s="81">
        <f>HLOOKUP(Q313,データについて!$J$11:$M$18,8,FALSE)</f>
        <v>1</v>
      </c>
      <c r="Y313" s="81">
        <f>HLOOKUP(R313,データについて!$J$12:$M$18,7,FALSE)</f>
        <v>4</v>
      </c>
      <c r="Z313" s="81">
        <f>HLOOKUP(I313,データについて!$J$3:$M$18,16,FALSE)</f>
        <v>2</v>
      </c>
      <c r="AA313" s="81" t="str">
        <f>IFERROR(HLOOKUP(J313,データについて!$J$4:$AH$19,16,FALSE),"")</f>
        <v/>
      </c>
      <c r="AB313" s="81">
        <f>IFERROR(HLOOKUP(K313,データについて!$J$5:$AH$20,14,FALSE),"")</f>
        <v>1</v>
      </c>
      <c r="AC313" s="81">
        <f>IF(X313=1,HLOOKUP(R313,データについて!$J$12:$M$18,7,FALSE),"*")</f>
        <v>4</v>
      </c>
      <c r="AD313" s="81" t="str">
        <f>IF(X313=2,HLOOKUP(R313,データについて!$J$12:$M$18,7,FALSE),"*")</f>
        <v>*</v>
      </c>
    </row>
    <row r="314" spans="1:30">
      <c r="A314" s="30">
        <v>4878</v>
      </c>
      <c r="B314" s="30" t="s">
        <v>4856</v>
      </c>
      <c r="C314" s="30" t="s">
        <v>4857</v>
      </c>
      <c r="D314" s="30" t="s">
        <v>106</v>
      </c>
      <c r="E314" s="30"/>
      <c r="F314" s="30" t="s">
        <v>107</v>
      </c>
      <c r="G314" s="30" t="s">
        <v>106</v>
      </c>
      <c r="H314" s="30"/>
      <c r="I314" s="30" t="s">
        <v>191</v>
      </c>
      <c r="J314" s="30"/>
      <c r="K314" s="30" t="s">
        <v>4342</v>
      </c>
      <c r="L314" s="30" t="s">
        <v>117</v>
      </c>
      <c r="M314" s="30" t="s">
        <v>109</v>
      </c>
      <c r="N314" s="30" t="s">
        <v>110</v>
      </c>
      <c r="O314" s="30" t="s">
        <v>115</v>
      </c>
      <c r="P314" s="30" t="s">
        <v>112</v>
      </c>
      <c r="Q314" s="30" t="s">
        <v>112</v>
      </c>
      <c r="R314" s="30" t="s">
        <v>185</v>
      </c>
      <c r="S314" s="81">
        <f>HLOOKUP(L314,データについて!$J$6:$M$18,13,FALSE)</f>
        <v>2</v>
      </c>
      <c r="T314" s="81">
        <f>HLOOKUP(M314,データについて!$J$7:$M$18,12,FALSE)</f>
        <v>2</v>
      </c>
      <c r="U314" s="81">
        <f>HLOOKUP(N314,データについて!$J$8:$M$18,11,FALSE)</f>
        <v>2</v>
      </c>
      <c r="V314" s="81">
        <f>HLOOKUP(O314,データについて!$J$9:$M$18,10,FALSE)</f>
        <v>1</v>
      </c>
      <c r="W314" s="81">
        <f>HLOOKUP(P314,データについて!$J$10:$M$18,9,FALSE)</f>
        <v>1</v>
      </c>
      <c r="X314" s="81">
        <f>HLOOKUP(Q314,データについて!$J$11:$M$18,8,FALSE)</f>
        <v>1</v>
      </c>
      <c r="Y314" s="81">
        <f>HLOOKUP(R314,データについて!$J$12:$M$18,7,FALSE)</f>
        <v>2</v>
      </c>
      <c r="Z314" s="81">
        <f>HLOOKUP(I314,データについて!$J$3:$M$18,16,FALSE)</f>
        <v>2</v>
      </c>
      <c r="AA314" s="81" t="str">
        <f>IFERROR(HLOOKUP(J314,データについて!$J$4:$AH$19,16,FALSE),"")</f>
        <v/>
      </c>
      <c r="AB314" s="81">
        <f>IFERROR(HLOOKUP(K314,データについて!$J$5:$AH$20,14,FALSE),"")</f>
        <v>1</v>
      </c>
      <c r="AC314" s="81">
        <f>IF(X314=1,HLOOKUP(R314,データについて!$J$12:$M$18,7,FALSE),"*")</f>
        <v>2</v>
      </c>
      <c r="AD314" s="81" t="str">
        <f>IF(X314=2,HLOOKUP(R314,データについて!$J$12:$M$18,7,FALSE),"*")</f>
        <v>*</v>
      </c>
    </row>
    <row r="315" spans="1:30">
      <c r="A315" s="30">
        <v>4877</v>
      </c>
      <c r="B315" s="30" t="s">
        <v>4858</v>
      </c>
      <c r="C315" s="30" t="s">
        <v>4859</v>
      </c>
      <c r="D315" s="30" t="s">
        <v>106</v>
      </c>
      <c r="E315" s="30"/>
      <c r="F315" s="30" t="s">
        <v>107</v>
      </c>
      <c r="G315" s="30" t="s">
        <v>106</v>
      </c>
      <c r="H315" s="30"/>
      <c r="I315" s="30" t="s">
        <v>191</v>
      </c>
      <c r="J315" s="30"/>
      <c r="K315" s="30" t="s">
        <v>4342</v>
      </c>
      <c r="L315" s="30" t="s">
        <v>108</v>
      </c>
      <c r="M315" s="30" t="s">
        <v>113</v>
      </c>
      <c r="N315" s="30" t="s">
        <v>110</v>
      </c>
      <c r="O315" s="30" t="s">
        <v>115</v>
      </c>
      <c r="P315" s="30" t="s">
        <v>112</v>
      </c>
      <c r="Q315" s="30" t="s">
        <v>112</v>
      </c>
      <c r="R315" s="30" t="s">
        <v>185</v>
      </c>
      <c r="S315" s="81">
        <f>HLOOKUP(L315,データについて!$J$6:$M$18,13,FALSE)</f>
        <v>1</v>
      </c>
      <c r="T315" s="81">
        <f>HLOOKUP(M315,データについて!$J$7:$M$18,12,FALSE)</f>
        <v>1</v>
      </c>
      <c r="U315" s="81">
        <f>HLOOKUP(N315,データについて!$J$8:$M$18,11,FALSE)</f>
        <v>2</v>
      </c>
      <c r="V315" s="81">
        <f>HLOOKUP(O315,データについて!$J$9:$M$18,10,FALSE)</f>
        <v>1</v>
      </c>
      <c r="W315" s="81">
        <f>HLOOKUP(P315,データについて!$J$10:$M$18,9,FALSE)</f>
        <v>1</v>
      </c>
      <c r="X315" s="81">
        <f>HLOOKUP(Q315,データについて!$J$11:$M$18,8,FALSE)</f>
        <v>1</v>
      </c>
      <c r="Y315" s="81">
        <f>HLOOKUP(R315,データについて!$J$12:$M$18,7,FALSE)</f>
        <v>2</v>
      </c>
      <c r="Z315" s="81">
        <f>HLOOKUP(I315,データについて!$J$3:$M$18,16,FALSE)</f>
        <v>2</v>
      </c>
      <c r="AA315" s="81" t="str">
        <f>IFERROR(HLOOKUP(J315,データについて!$J$4:$AH$19,16,FALSE),"")</f>
        <v/>
      </c>
      <c r="AB315" s="81">
        <f>IFERROR(HLOOKUP(K315,データについて!$J$5:$AH$20,14,FALSE),"")</f>
        <v>1</v>
      </c>
      <c r="AC315" s="81">
        <f>IF(X315=1,HLOOKUP(R315,データについて!$J$12:$M$18,7,FALSE),"*")</f>
        <v>2</v>
      </c>
      <c r="AD315" s="81" t="str">
        <f>IF(X315=2,HLOOKUP(R315,データについて!$J$12:$M$18,7,FALSE),"*")</f>
        <v>*</v>
      </c>
    </row>
    <row r="316" spans="1:30">
      <c r="A316" s="30">
        <v>4876</v>
      </c>
      <c r="B316" s="30" t="s">
        <v>4860</v>
      </c>
      <c r="C316" s="30" t="s">
        <v>4861</v>
      </c>
      <c r="D316" s="30" t="s">
        <v>106</v>
      </c>
      <c r="E316" s="30"/>
      <c r="F316" s="30" t="s">
        <v>107</v>
      </c>
      <c r="G316" s="30" t="s">
        <v>106</v>
      </c>
      <c r="H316" s="30"/>
      <c r="I316" s="30" t="s">
        <v>191</v>
      </c>
      <c r="J316" s="30"/>
      <c r="K316" s="30" t="s">
        <v>4342</v>
      </c>
      <c r="L316" s="30" t="s">
        <v>108</v>
      </c>
      <c r="M316" s="30" t="s">
        <v>124</v>
      </c>
      <c r="N316" s="30" t="s">
        <v>122</v>
      </c>
      <c r="O316" s="30" t="s">
        <v>115</v>
      </c>
      <c r="P316" s="30" t="s">
        <v>112</v>
      </c>
      <c r="Q316" s="30" t="s">
        <v>112</v>
      </c>
      <c r="R316" s="30" t="s">
        <v>185</v>
      </c>
      <c r="S316" s="81">
        <f>HLOOKUP(L316,データについて!$J$6:$M$18,13,FALSE)</f>
        <v>1</v>
      </c>
      <c r="T316" s="81">
        <f>HLOOKUP(M316,データについて!$J$7:$M$18,12,FALSE)</f>
        <v>3</v>
      </c>
      <c r="U316" s="81">
        <f>HLOOKUP(N316,データについて!$J$8:$M$18,11,FALSE)</f>
        <v>3</v>
      </c>
      <c r="V316" s="81">
        <f>HLOOKUP(O316,データについて!$J$9:$M$18,10,FALSE)</f>
        <v>1</v>
      </c>
      <c r="W316" s="81">
        <f>HLOOKUP(P316,データについて!$J$10:$M$18,9,FALSE)</f>
        <v>1</v>
      </c>
      <c r="X316" s="81">
        <f>HLOOKUP(Q316,データについて!$J$11:$M$18,8,FALSE)</f>
        <v>1</v>
      </c>
      <c r="Y316" s="81">
        <f>HLOOKUP(R316,データについて!$J$12:$M$18,7,FALSE)</f>
        <v>2</v>
      </c>
      <c r="Z316" s="81">
        <f>HLOOKUP(I316,データについて!$J$3:$M$18,16,FALSE)</f>
        <v>2</v>
      </c>
      <c r="AA316" s="81" t="str">
        <f>IFERROR(HLOOKUP(J316,データについて!$J$4:$AH$19,16,FALSE),"")</f>
        <v/>
      </c>
      <c r="AB316" s="81">
        <f>IFERROR(HLOOKUP(K316,データについて!$J$5:$AH$20,14,FALSE),"")</f>
        <v>1</v>
      </c>
      <c r="AC316" s="81">
        <f>IF(X316=1,HLOOKUP(R316,データについて!$J$12:$M$18,7,FALSE),"*")</f>
        <v>2</v>
      </c>
      <c r="AD316" s="81" t="str">
        <f>IF(X316=2,HLOOKUP(R316,データについて!$J$12:$M$18,7,FALSE),"*")</f>
        <v>*</v>
      </c>
    </row>
    <row r="317" spans="1:30">
      <c r="A317" s="30">
        <v>4875</v>
      </c>
      <c r="B317" s="30" t="s">
        <v>4862</v>
      </c>
      <c r="C317" s="30" t="s">
        <v>4863</v>
      </c>
      <c r="D317" s="30" t="s">
        <v>106</v>
      </c>
      <c r="E317" s="30"/>
      <c r="F317" s="30" t="s">
        <v>107</v>
      </c>
      <c r="G317" s="30" t="s">
        <v>106</v>
      </c>
      <c r="H317" s="30"/>
      <c r="I317" s="30" t="s">
        <v>191</v>
      </c>
      <c r="J317" s="30"/>
      <c r="K317" s="30" t="s">
        <v>4342</v>
      </c>
      <c r="L317" s="30" t="s">
        <v>117</v>
      </c>
      <c r="M317" s="30" t="s">
        <v>109</v>
      </c>
      <c r="N317" s="30" t="s">
        <v>110</v>
      </c>
      <c r="O317" s="30" t="s">
        <v>115</v>
      </c>
      <c r="P317" s="30" t="s">
        <v>118</v>
      </c>
      <c r="Q317" s="30" t="s">
        <v>112</v>
      </c>
      <c r="R317" s="30" t="s">
        <v>185</v>
      </c>
      <c r="S317" s="81">
        <f>HLOOKUP(L317,データについて!$J$6:$M$18,13,FALSE)</f>
        <v>2</v>
      </c>
      <c r="T317" s="81">
        <f>HLOOKUP(M317,データについて!$J$7:$M$18,12,FALSE)</f>
        <v>2</v>
      </c>
      <c r="U317" s="81">
        <f>HLOOKUP(N317,データについて!$J$8:$M$18,11,FALSE)</f>
        <v>2</v>
      </c>
      <c r="V317" s="81">
        <f>HLOOKUP(O317,データについて!$J$9:$M$18,10,FALSE)</f>
        <v>1</v>
      </c>
      <c r="W317" s="81">
        <f>HLOOKUP(P317,データについて!$J$10:$M$18,9,FALSE)</f>
        <v>2</v>
      </c>
      <c r="X317" s="81">
        <f>HLOOKUP(Q317,データについて!$J$11:$M$18,8,FALSE)</f>
        <v>1</v>
      </c>
      <c r="Y317" s="81">
        <f>HLOOKUP(R317,データについて!$J$12:$M$18,7,FALSE)</f>
        <v>2</v>
      </c>
      <c r="Z317" s="81">
        <f>HLOOKUP(I317,データについて!$J$3:$M$18,16,FALSE)</f>
        <v>2</v>
      </c>
      <c r="AA317" s="81" t="str">
        <f>IFERROR(HLOOKUP(J317,データについて!$J$4:$AH$19,16,FALSE),"")</f>
        <v/>
      </c>
      <c r="AB317" s="81">
        <f>IFERROR(HLOOKUP(K317,データについて!$J$5:$AH$20,14,FALSE),"")</f>
        <v>1</v>
      </c>
      <c r="AC317" s="81">
        <f>IF(X317=1,HLOOKUP(R317,データについて!$J$12:$M$18,7,FALSE),"*")</f>
        <v>2</v>
      </c>
      <c r="AD317" s="81" t="str">
        <f>IF(X317=2,HLOOKUP(R317,データについて!$J$12:$M$18,7,FALSE),"*")</f>
        <v>*</v>
      </c>
    </row>
    <row r="318" spans="1:30">
      <c r="A318" s="30">
        <v>4874</v>
      </c>
      <c r="B318" s="30" t="s">
        <v>4864</v>
      </c>
      <c r="C318" s="30" t="s">
        <v>4865</v>
      </c>
      <c r="D318" s="30" t="s">
        <v>106</v>
      </c>
      <c r="E318" s="30"/>
      <c r="F318" s="30" t="s">
        <v>107</v>
      </c>
      <c r="G318" s="30" t="s">
        <v>106</v>
      </c>
      <c r="H318" s="30"/>
      <c r="I318" s="30" t="s">
        <v>191</v>
      </c>
      <c r="J318" s="30"/>
      <c r="K318" s="30" t="s">
        <v>4342</v>
      </c>
      <c r="L318" s="30" t="s">
        <v>108</v>
      </c>
      <c r="M318" s="30" t="s">
        <v>113</v>
      </c>
      <c r="N318" s="30" t="s">
        <v>122</v>
      </c>
      <c r="O318" s="30" t="s">
        <v>115</v>
      </c>
      <c r="P318" s="30" t="s">
        <v>112</v>
      </c>
      <c r="Q318" s="30" t="s">
        <v>112</v>
      </c>
      <c r="R318" s="30" t="s">
        <v>183</v>
      </c>
      <c r="S318" s="81">
        <f>HLOOKUP(L318,データについて!$J$6:$M$18,13,FALSE)</f>
        <v>1</v>
      </c>
      <c r="T318" s="81">
        <f>HLOOKUP(M318,データについて!$J$7:$M$18,12,FALSE)</f>
        <v>1</v>
      </c>
      <c r="U318" s="81">
        <f>HLOOKUP(N318,データについて!$J$8:$M$18,11,FALSE)</f>
        <v>3</v>
      </c>
      <c r="V318" s="81">
        <f>HLOOKUP(O318,データについて!$J$9:$M$18,10,FALSE)</f>
        <v>1</v>
      </c>
      <c r="W318" s="81">
        <f>HLOOKUP(P318,データについて!$J$10:$M$18,9,FALSE)</f>
        <v>1</v>
      </c>
      <c r="X318" s="81">
        <f>HLOOKUP(Q318,データについて!$J$11:$M$18,8,FALSE)</f>
        <v>1</v>
      </c>
      <c r="Y318" s="81">
        <f>HLOOKUP(R318,データについて!$J$12:$M$18,7,FALSE)</f>
        <v>1</v>
      </c>
      <c r="Z318" s="81">
        <f>HLOOKUP(I318,データについて!$J$3:$M$18,16,FALSE)</f>
        <v>2</v>
      </c>
      <c r="AA318" s="81" t="str">
        <f>IFERROR(HLOOKUP(J318,データについて!$J$4:$AH$19,16,FALSE),"")</f>
        <v/>
      </c>
      <c r="AB318" s="81">
        <f>IFERROR(HLOOKUP(K318,データについて!$J$5:$AH$20,14,FALSE),"")</f>
        <v>1</v>
      </c>
      <c r="AC318" s="81">
        <f>IF(X318=1,HLOOKUP(R318,データについて!$J$12:$M$18,7,FALSE),"*")</f>
        <v>1</v>
      </c>
      <c r="AD318" s="81" t="str">
        <f>IF(X318=2,HLOOKUP(R318,データについて!$J$12:$M$18,7,FALSE),"*")</f>
        <v>*</v>
      </c>
    </row>
    <row r="319" spans="1:30">
      <c r="A319" s="30">
        <v>4873</v>
      </c>
      <c r="B319" s="30" t="s">
        <v>4866</v>
      </c>
      <c r="C319" s="30" t="s">
        <v>4867</v>
      </c>
      <c r="D319" s="30" t="s">
        <v>106</v>
      </c>
      <c r="E319" s="30"/>
      <c r="F319" s="30" t="s">
        <v>107</v>
      </c>
      <c r="G319" s="30" t="s">
        <v>106</v>
      </c>
      <c r="H319" s="30"/>
      <c r="I319" s="30" t="s">
        <v>191</v>
      </c>
      <c r="J319" s="30"/>
      <c r="K319" s="30" t="s">
        <v>4342</v>
      </c>
      <c r="L319" s="30" t="s">
        <v>108</v>
      </c>
      <c r="M319" s="30" t="s">
        <v>113</v>
      </c>
      <c r="N319" s="30" t="s">
        <v>114</v>
      </c>
      <c r="O319" s="30" t="s">
        <v>115</v>
      </c>
      <c r="P319" s="30" t="s">
        <v>112</v>
      </c>
      <c r="Q319" s="30" t="s">
        <v>112</v>
      </c>
      <c r="R319" s="30" t="s">
        <v>183</v>
      </c>
      <c r="S319" s="81">
        <f>HLOOKUP(L319,データについて!$J$6:$M$18,13,FALSE)</f>
        <v>1</v>
      </c>
      <c r="T319" s="81">
        <f>HLOOKUP(M319,データについて!$J$7:$M$18,12,FALSE)</f>
        <v>1</v>
      </c>
      <c r="U319" s="81">
        <f>HLOOKUP(N319,データについて!$J$8:$M$18,11,FALSE)</f>
        <v>1</v>
      </c>
      <c r="V319" s="81">
        <f>HLOOKUP(O319,データについて!$J$9:$M$18,10,FALSE)</f>
        <v>1</v>
      </c>
      <c r="W319" s="81">
        <f>HLOOKUP(P319,データについて!$J$10:$M$18,9,FALSE)</f>
        <v>1</v>
      </c>
      <c r="X319" s="81">
        <f>HLOOKUP(Q319,データについて!$J$11:$M$18,8,FALSE)</f>
        <v>1</v>
      </c>
      <c r="Y319" s="81">
        <f>HLOOKUP(R319,データについて!$J$12:$M$18,7,FALSE)</f>
        <v>1</v>
      </c>
      <c r="Z319" s="81">
        <f>HLOOKUP(I319,データについて!$J$3:$M$18,16,FALSE)</f>
        <v>2</v>
      </c>
      <c r="AA319" s="81" t="str">
        <f>IFERROR(HLOOKUP(J319,データについて!$J$4:$AH$19,16,FALSE),"")</f>
        <v/>
      </c>
      <c r="AB319" s="81">
        <f>IFERROR(HLOOKUP(K319,データについて!$J$5:$AH$20,14,FALSE),"")</f>
        <v>1</v>
      </c>
      <c r="AC319" s="81">
        <f>IF(X319=1,HLOOKUP(R319,データについて!$J$12:$M$18,7,FALSE),"*")</f>
        <v>1</v>
      </c>
      <c r="AD319" s="81" t="str">
        <f>IF(X319=2,HLOOKUP(R319,データについて!$J$12:$M$18,7,FALSE),"*")</f>
        <v>*</v>
      </c>
    </row>
    <row r="320" spans="1:30">
      <c r="A320" s="30">
        <v>4872</v>
      </c>
      <c r="B320" s="30" t="s">
        <v>4868</v>
      </c>
      <c r="C320" s="30" t="s">
        <v>4869</v>
      </c>
      <c r="D320" s="30" t="s">
        <v>106</v>
      </c>
      <c r="E320" s="30"/>
      <c r="F320" s="30" t="s">
        <v>107</v>
      </c>
      <c r="G320" s="30" t="s">
        <v>106</v>
      </c>
      <c r="H320" s="30"/>
      <c r="I320" s="30" t="s">
        <v>191</v>
      </c>
      <c r="J320" s="30"/>
      <c r="K320" s="30" t="s">
        <v>4342</v>
      </c>
      <c r="L320" s="30" t="s">
        <v>108</v>
      </c>
      <c r="M320" s="30" t="s">
        <v>113</v>
      </c>
      <c r="N320" s="30" t="s">
        <v>114</v>
      </c>
      <c r="O320" s="30" t="s">
        <v>115</v>
      </c>
      <c r="P320" s="30" t="s">
        <v>112</v>
      </c>
      <c r="Q320" s="30" t="s">
        <v>112</v>
      </c>
      <c r="R320" s="30" t="s">
        <v>183</v>
      </c>
      <c r="S320" s="81">
        <f>HLOOKUP(L320,データについて!$J$6:$M$18,13,FALSE)</f>
        <v>1</v>
      </c>
      <c r="T320" s="81">
        <f>HLOOKUP(M320,データについて!$J$7:$M$18,12,FALSE)</f>
        <v>1</v>
      </c>
      <c r="U320" s="81">
        <f>HLOOKUP(N320,データについて!$J$8:$M$18,11,FALSE)</f>
        <v>1</v>
      </c>
      <c r="V320" s="81">
        <f>HLOOKUP(O320,データについて!$J$9:$M$18,10,FALSE)</f>
        <v>1</v>
      </c>
      <c r="W320" s="81">
        <f>HLOOKUP(P320,データについて!$J$10:$M$18,9,FALSE)</f>
        <v>1</v>
      </c>
      <c r="X320" s="81">
        <f>HLOOKUP(Q320,データについて!$J$11:$M$18,8,FALSE)</f>
        <v>1</v>
      </c>
      <c r="Y320" s="81">
        <f>HLOOKUP(R320,データについて!$J$12:$M$18,7,FALSE)</f>
        <v>1</v>
      </c>
      <c r="Z320" s="81">
        <f>HLOOKUP(I320,データについて!$J$3:$M$18,16,FALSE)</f>
        <v>2</v>
      </c>
      <c r="AA320" s="81" t="str">
        <f>IFERROR(HLOOKUP(J320,データについて!$J$4:$AH$19,16,FALSE),"")</f>
        <v/>
      </c>
      <c r="AB320" s="81">
        <f>IFERROR(HLOOKUP(K320,データについて!$J$5:$AH$20,14,FALSE),"")</f>
        <v>1</v>
      </c>
      <c r="AC320" s="81">
        <f>IF(X320=1,HLOOKUP(R320,データについて!$J$12:$M$18,7,FALSE),"*")</f>
        <v>1</v>
      </c>
      <c r="AD320" s="81" t="str">
        <f>IF(X320=2,HLOOKUP(R320,データについて!$J$12:$M$18,7,FALSE),"*")</f>
        <v>*</v>
      </c>
    </row>
    <row r="321" spans="1:30">
      <c r="A321" s="30">
        <v>4871</v>
      </c>
      <c r="B321" s="30" t="s">
        <v>4870</v>
      </c>
      <c r="C321" s="30" t="s">
        <v>4871</v>
      </c>
      <c r="D321" s="30" t="s">
        <v>106</v>
      </c>
      <c r="E321" s="30"/>
      <c r="F321" s="30" t="s">
        <v>107</v>
      </c>
      <c r="G321" s="30" t="s">
        <v>106</v>
      </c>
      <c r="H321" s="30"/>
      <c r="I321" s="30" t="s">
        <v>191</v>
      </c>
      <c r="J321" s="30"/>
      <c r="K321" s="30" t="s">
        <v>4342</v>
      </c>
      <c r="L321" s="30" t="s">
        <v>108</v>
      </c>
      <c r="M321" s="30" t="s">
        <v>113</v>
      </c>
      <c r="N321" s="30" t="s">
        <v>114</v>
      </c>
      <c r="O321" s="30" t="s">
        <v>123</v>
      </c>
      <c r="P321" s="30" t="s">
        <v>112</v>
      </c>
      <c r="Q321" s="30" t="s">
        <v>112</v>
      </c>
      <c r="R321" s="30" t="s">
        <v>187</v>
      </c>
      <c r="S321" s="81">
        <f>HLOOKUP(L321,データについて!$J$6:$M$18,13,FALSE)</f>
        <v>1</v>
      </c>
      <c r="T321" s="81">
        <f>HLOOKUP(M321,データについて!$J$7:$M$18,12,FALSE)</f>
        <v>1</v>
      </c>
      <c r="U321" s="81">
        <f>HLOOKUP(N321,データについて!$J$8:$M$18,11,FALSE)</f>
        <v>1</v>
      </c>
      <c r="V321" s="81">
        <f>HLOOKUP(O321,データについて!$J$9:$M$18,10,FALSE)</f>
        <v>4</v>
      </c>
      <c r="W321" s="81">
        <f>HLOOKUP(P321,データについて!$J$10:$M$18,9,FALSE)</f>
        <v>1</v>
      </c>
      <c r="X321" s="81">
        <f>HLOOKUP(Q321,データについて!$J$11:$M$18,8,FALSE)</f>
        <v>1</v>
      </c>
      <c r="Y321" s="81">
        <f>HLOOKUP(R321,データについて!$J$12:$M$18,7,FALSE)</f>
        <v>3</v>
      </c>
      <c r="Z321" s="81">
        <f>HLOOKUP(I321,データについて!$J$3:$M$18,16,FALSE)</f>
        <v>2</v>
      </c>
      <c r="AA321" s="81" t="str">
        <f>IFERROR(HLOOKUP(J321,データについて!$J$4:$AH$19,16,FALSE),"")</f>
        <v/>
      </c>
      <c r="AB321" s="81">
        <f>IFERROR(HLOOKUP(K321,データについて!$J$5:$AH$20,14,FALSE),"")</f>
        <v>1</v>
      </c>
      <c r="AC321" s="81">
        <f>IF(X321=1,HLOOKUP(R321,データについて!$J$12:$M$18,7,FALSE),"*")</f>
        <v>3</v>
      </c>
      <c r="AD321" s="81" t="str">
        <f>IF(X321=2,HLOOKUP(R321,データについて!$J$12:$M$18,7,FALSE),"*")</f>
        <v>*</v>
      </c>
    </row>
    <row r="322" spans="1:30">
      <c r="A322" s="30">
        <v>4870</v>
      </c>
      <c r="B322" s="30" t="s">
        <v>4872</v>
      </c>
      <c r="C322" s="30" t="s">
        <v>4873</v>
      </c>
      <c r="D322" s="30" t="s">
        <v>106</v>
      </c>
      <c r="E322" s="30"/>
      <c r="F322" s="30" t="s">
        <v>107</v>
      </c>
      <c r="G322" s="30" t="s">
        <v>106</v>
      </c>
      <c r="H322" s="30"/>
      <c r="I322" s="30" t="s">
        <v>192</v>
      </c>
      <c r="J322" s="30" t="s">
        <v>4412</v>
      </c>
      <c r="K322" s="30"/>
      <c r="L322" s="30" t="s">
        <v>108</v>
      </c>
      <c r="M322" s="30" t="s">
        <v>113</v>
      </c>
      <c r="N322" s="30" t="s">
        <v>114</v>
      </c>
      <c r="O322" s="30" t="s">
        <v>115</v>
      </c>
      <c r="P322" s="30" t="s">
        <v>112</v>
      </c>
      <c r="Q322" s="30" t="s">
        <v>112</v>
      </c>
      <c r="R322" s="30" t="s">
        <v>183</v>
      </c>
      <c r="S322" s="81">
        <f>HLOOKUP(L322,データについて!$J$6:$M$18,13,FALSE)</f>
        <v>1</v>
      </c>
      <c r="T322" s="81">
        <f>HLOOKUP(M322,データについて!$J$7:$M$18,12,FALSE)</f>
        <v>1</v>
      </c>
      <c r="U322" s="81">
        <f>HLOOKUP(N322,データについて!$J$8:$M$18,11,FALSE)</f>
        <v>1</v>
      </c>
      <c r="V322" s="81">
        <f>HLOOKUP(O322,データについて!$J$9:$M$18,10,FALSE)</f>
        <v>1</v>
      </c>
      <c r="W322" s="81">
        <f>HLOOKUP(P322,データについて!$J$10:$M$18,9,FALSE)</f>
        <v>1</v>
      </c>
      <c r="X322" s="81">
        <f>HLOOKUP(Q322,データについて!$J$11:$M$18,8,FALSE)</f>
        <v>1</v>
      </c>
      <c r="Y322" s="81">
        <f>HLOOKUP(R322,データについて!$J$12:$M$18,7,FALSE)</f>
        <v>1</v>
      </c>
      <c r="Z322" s="81">
        <f>HLOOKUP(I322,データについて!$J$3:$M$18,16,FALSE)</f>
        <v>1</v>
      </c>
      <c r="AA322" s="81">
        <f>IFERROR(HLOOKUP(J322,データについて!$J$4:$AH$19,16,FALSE),"")</f>
        <v>2</v>
      </c>
      <c r="AB322" s="81" t="str">
        <f>IFERROR(HLOOKUP(K322,データについて!$J$5:$AH$20,14,FALSE),"")</f>
        <v/>
      </c>
      <c r="AC322" s="81">
        <f>IF(X322=1,HLOOKUP(R322,データについて!$J$12:$M$18,7,FALSE),"*")</f>
        <v>1</v>
      </c>
      <c r="AD322" s="81" t="str">
        <f>IF(X322=2,HLOOKUP(R322,データについて!$J$12:$M$18,7,FALSE),"*")</f>
        <v>*</v>
      </c>
    </row>
    <row r="323" spans="1:30">
      <c r="A323" s="30">
        <v>4869</v>
      </c>
      <c r="B323" s="30" t="s">
        <v>4874</v>
      </c>
      <c r="C323" s="30" t="s">
        <v>4875</v>
      </c>
      <c r="D323" s="30" t="s">
        <v>106</v>
      </c>
      <c r="E323" s="30"/>
      <c r="F323" s="30" t="s">
        <v>107</v>
      </c>
      <c r="G323" s="30" t="s">
        <v>106</v>
      </c>
      <c r="H323" s="30"/>
      <c r="I323" s="30" t="s">
        <v>192</v>
      </c>
      <c r="J323" s="30" t="s">
        <v>4412</v>
      </c>
      <c r="K323" s="30"/>
      <c r="L323" s="30" t="s">
        <v>108</v>
      </c>
      <c r="M323" s="30" t="s">
        <v>124</v>
      </c>
      <c r="N323" s="30" t="s">
        <v>122</v>
      </c>
      <c r="O323" s="30" t="s">
        <v>115</v>
      </c>
      <c r="P323" s="30" t="s">
        <v>112</v>
      </c>
      <c r="Q323" s="30" t="s">
        <v>118</v>
      </c>
      <c r="R323" s="30" t="s">
        <v>187</v>
      </c>
      <c r="S323" s="81">
        <f>HLOOKUP(L323,データについて!$J$6:$M$18,13,FALSE)</f>
        <v>1</v>
      </c>
      <c r="T323" s="81">
        <f>HLOOKUP(M323,データについて!$J$7:$M$18,12,FALSE)</f>
        <v>3</v>
      </c>
      <c r="U323" s="81">
        <f>HLOOKUP(N323,データについて!$J$8:$M$18,11,FALSE)</f>
        <v>3</v>
      </c>
      <c r="V323" s="81">
        <f>HLOOKUP(O323,データについて!$J$9:$M$18,10,FALSE)</f>
        <v>1</v>
      </c>
      <c r="W323" s="81">
        <f>HLOOKUP(P323,データについて!$J$10:$M$18,9,FALSE)</f>
        <v>1</v>
      </c>
      <c r="X323" s="81">
        <f>HLOOKUP(Q323,データについて!$J$11:$M$18,8,FALSE)</f>
        <v>2</v>
      </c>
      <c r="Y323" s="81">
        <f>HLOOKUP(R323,データについて!$J$12:$M$18,7,FALSE)</f>
        <v>3</v>
      </c>
      <c r="Z323" s="81">
        <f>HLOOKUP(I323,データについて!$J$3:$M$18,16,FALSE)</f>
        <v>1</v>
      </c>
      <c r="AA323" s="81">
        <f>IFERROR(HLOOKUP(J323,データについて!$J$4:$AH$19,16,FALSE),"")</f>
        <v>2</v>
      </c>
      <c r="AB323" s="81" t="str">
        <f>IFERROR(HLOOKUP(K323,データについて!$J$5:$AH$20,14,FALSE),"")</f>
        <v/>
      </c>
      <c r="AC323" s="81" t="str">
        <f>IF(X323=1,HLOOKUP(R323,データについて!$J$12:$M$18,7,FALSE),"*")</f>
        <v>*</v>
      </c>
      <c r="AD323" s="81">
        <f>IF(X323=2,HLOOKUP(R323,データについて!$J$12:$M$18,7,FALSE),"*")</f>
        <v>3</v>
      </c>
    </row>
    <row r="324" spans="1:30">
      <c r="A324" s="30">
        <v>4868</v>
      </c>
      <c r="B324" s="30" t="s">
        <v>4876</v>
      </c>
      <c r="C324" s="30" t="s">
        <v>4877</v>
      </c>
      <c r="D324" s="30" t="s">
        <v>106</v>
      </c>
      <c r="E324" s="30"/>
      <c r="F324" s="30" t="s">
        <v>107</v>
      </c>
      <c r="G324" s="30" t="s">
        <v>106</v>
      </c>
      <c r="H324" s="30"/>
      <c r="I324" s="30" t="s">
        <v>192</v>
      </c>
      <c r="J324" s="30" t="s">
        <v>4412</v>
      </c>
      <c r="K324" s="30"/>
      <c r="L324" s="30" t="s">
        <v>117</v>
      </c>
      <c r="M324" s="30" t="s">
        <v>113</v>
      </c>
      <c r="N324" s="30" t="s">
        <v>114</v>
      </c>
      <c r="O324" s="30" t="s">
        <v>115</v>
      </c>
      <c r="P324" s="30" t="s">
        <v>112</v>
      </c>
      <c r="Q324" s="30" t="s">
        <v>112</v>
      </c>
      <c r="R324" s="30" t="s">
        <v>187</v>
      </c>
      <c r="S324" s="81">
        <f>HLOOKUP(L324,データについて!$J$6:$M$18,13,FALSE)</f>
        <v>2</v>
      </c>
      <c r="T324" s="81">
        <f>HLOOKUP(M324,データについて!$J$7:$M$18,12,FALSE)</f>
        <v>1</v>
      </c>
      <c r="U324" s="81">
        <f>HLOOKUP(N324,データについて!$J$8:$M$18,11,FALSE)</f>
        <v>1</v>
      </c>
      <c r="V324" s="81">
        <f>HLOOKUP(O324,データについて!$J$9:$M$18,10,FALSE)</f>
        <v>1</v>
      </c>
      <c r="W324" s="81">
        <f>HLOOKUP(P324,データについて!$J$10:$M$18,9,FALSE)</f>
        <v>1</v>
      </c>
      <c r="X324" s="81">
        <f>HLOOKUP(Q324,データについて!$J$11:$M$18,8,FALSE)</f>
        <v>1</v>
      </c>
      <c r="Y324" s="81">
        <f>HLOOKUP(R324,データについて!$J$12:$M$18,7,FALSE)</f>
        <v>3</v>
      </c>
      <c r="Z324" s="81">
        <f>HLOOKUP(I324,データについて!$J$3:$M$18,16,FALSE)</f>
        <v>1</v>
      </c>
      <c r="AA324" s="81">
        <f>IFERROR(HLOOKUP(J324,データについて!$J$4:$AH$19,16,FALSE),"")</f>
        <v>2</v>
      </c>
      <c r="AB324" s="81" t="str">
        <f>IFERROR(HLOOKUP(K324,データについて!$J$5:$AH$20,14,FALSE),"")</f>
        <v/>
      </c>
      <c r="AC324" s="81">
        <f>IF(X324=1,HLOOKUP(R324,データについて!$J$12:$M$18,7,FALSE),"*")</f>
        <v>3</v>
      </c>
      <c r="AD324" s="81" t="str">
        <f>IF(X324=2,HLOOKUP(R324,データについて!$J$12:$M$18,7,FALSE),"*")</f>
        <v>*</v>
      </c>
    </row>
    <row r="325" spans="1:30">
      <c r="A325" s="30">
        <v>4867</v>
      </c>
      <c r="B325" s="30" t="s">
        <v>4878</v>
      </c>
      <c r="C325" s="30" t="s">
        <v>4879</v>
      </c>
      <c r="D325" s="30" t="s">
        <v>106</v>
      </c>
      <c r="E325" s="30"/>
      <c r="F325" s="30" t="s">
        <v>107</v>
      </c>
      <c r="G325" s="30" t="s">
        <v>106</v>
      </c>
      <c r="H325" s="30"/>
      <c r="I325" s="30" t="s">
        <v>192</v>
      </c>
      <c r="J325" s="30" t="s">
        <v>4412</v>
      </c>
      <c r="K325" s="30"/>
      <c r="L325" s="30" t="s">
        <v>117</v>
      </c>
      <c r="M325" s="30" t="s">
        <v>113</v>
      </c>
      <c r="N325" s="30" t="s">
        <v>114</v>
      </c>
      <c r="O325" s="30" t="s">
        <v>115</v>
      </c>
      <c r="P325" s="30" t="s">
        <v>112</v>
      </c>
      <c r="Q325" s="30" t="s">
        <v>112</v>
      </c>
      <c r="R325" s="30" t="s">
        <v>187</v>
      </c>
      <c r="S325" s="81">
        <f>HLOOKUP(L325,データについて!$J$6:$M$18,13,FALSE)</f>
        <v>2</v>
      </c>
      <c r="T325" s="81">
        <f>HLOOKUP(M325,データについて!$J$7:$M$18,12,FALSE)</f>
        <v>1</v>
      </c>
      <c r="U325" s="81">
        <f>HLOOKUP(N325,データについて!$J$8:$M$18,11,FALSE)</f>
        <v>1</v>
      </c>
      <c r="V325" s="81">
        <f>HLOOKUP(O325,データについて!$J$9:$M$18,10,FALSE)</f>
        <v>1</v>
      </c>
      <c r="W325" s="81">
        <f>HLOOKUP(P325,データについて!$J$10:$M$18,9,FALSE)</f>
        <v>1</v>
      </c>
      <c r="X325" s="81">
        <f>HLOOKUP(Q325,データについて!$J$11:$M$18,8,FALSE)</f>
        <v>1</v>
      </c>
      <c r="Y325" s="81">
        <f>HLOOKUP(R325,データについて!$J$12:$M$18,7,FALSE)</f>
        <v>3</v>
      </c>
      <c r="Z325" s="81">
        <f>HLOOKUP(I325,データについて!$J$3:$M$18,16,FALSE)</f>
        <v>1</v>
      </c>
      <c r="AA325" s="81">
        <f>IFERROR(HLOOKUP(J325,データについて!$J$4:$AH$19,16,FALSE),"")</f>
        <v>2</v>
      </c>
      <c r="AB325" s="81" t="str">
        <f>IFERROR(HLOOKUP(K325,データについて!$J$5:$AH$20,14,FALSE),"")</f>
        <v/>
      </c>
      <c r="AC325" s="81">
        <f>IF(X325=1,HLOOKUP(R325,データについて!$J$12:$M$18,7,FALSE),"*")</f>
        <v>3</v>
      </c>
      <c r="AD325" s="81" t="str">
        <f>IF(X325=2,HLOOKUP(R325,データについて!$J$12:$M$18,7,FALSE),"*")</f>
        <v>*</v>
      </c>
    </row>
    <row r="326" spans="1:30">
      <c r="A326" s="30">
        <v>4866</v>
      </c>
      <c r="B326" s="30" t="s">
        <v>4880</v>
      </c>
      <c r="C326" s="30" t="s">
        <v>4881</v>
      </c>
      <c r="D326" s="30" t="s">
        <v>106</v>
      </c>
      <c r="E326" s="30"/>
      <c r="F326" s="30" t="s">
        <v>107</v>
      </c>
      <c r="G326" s="30" t="s">
        <v>106</v>
      </c>
      <c r="H326" s="30"/>
      <c r="I326" s="30" t="s">
        <v>192</v>
      </c>
      <c r="J326" s="30" t="s">
        <v>4412</v>
      </c>
      <c r="K326" s="30"/>
      <c r="L326" s="30" t="s">
        <v>108</v>
      </c>
      <c r="M326" s="30" t="s">
        <v>113</v>
      </c>
      <c r="N326" s="30" t="s">
        <v>114</v>
      </c>
      <c r="O326" s="30" t="s">
        <v>115</v>
      </c>
      <c r="P326" s="30" t="s">
        <v>112</v>
      </c>
      <c r="Q326" s="30" t="s">
        <v>112</v>
      </c>
      <c r="R326" s="30" t="s">
        <v>187</v>
      </c>
      <c r="S326" s="81">
        <f>HLOOKUP(L326,データについて!$J$6:$M$18,13,FALSE)</f>
        <v>1</v>
      </c>
      <c r="T326" s="81">
        <f>HLOOKUP(M326,データについて!$J$7:$M$18,12,FALSE)</f>
        <v>1</v>
      </c>
      <c r="U326" s="81">
        <f>HLOOKUP(N326,データについて!$J$8:$M$18,11,FALSE)</f>
        <v>1</v>
      </c>
      <c r="V326" s="81">
        <f>HLOOKUP(O326,データについて!$J$9:$M$18,10,FALSE)</f>
        <v>1</v>
      </c>
      <c r="W326" s="81">
        <f>HLOOKUP(P326,データについて!$J$10:$M$18,9,FALSE)</f>
        <v>1</v>
      </c>
      <c r="X326" s="81">
        <f>HLOOKUP(Q326,データについて!$J$11:$M$18,8,FALSE)</f>
        <v>1</v>
      </c>
      <c r="Y326" s="81">
        <f>HLOOKUP(R326,データについて!$J$12:$M$18,7,FALSE)</f>
        <v>3</v>
      </c>
      <c r="Z326" s="81">
        <f>HLOOKUP(I326,データについて!$J$3:$M$18,16,FALSE)</f>
        <v>1</v>
      </c>
      <c r="AA326" s="81">
        <f>IFERROR(HLOOKUP(J326,データについて!$J$4:$AH$19,16,FALSE),"")</f>
        <v>2</v>
      </c>
      <c r="AB326" s="81" t="str">
        <f>IFERROR(HLOOKUP(K326,データについて!$J$5:$AH$20,14,FALSE),"")</f>
        <v/>
      </c>
      <c r="AC326" s="81">
        <f>IF(X326=1,HLOOKUP(R326,データについて!$J$12:$M$18,7,FALSE),"*")</f>
        <v>3</v>
      </c>
      <c r="AD326" s="81" t="str">
        <f>IF(X326=2,HLOOKUP(R326,データについて!$J$12:$M$18,7,FALSE),"*")</f>
        <v>*</v>
      </c>
    </row>
    <row r="327" spans="1:30">
      <c r="A327" s="30">
        <v>4865</v>
      </c>
      <c r="B327" s="30" t="s">
        <v>4882</v>
      </c>
      <c r="C327" s="30" t="s">
        <v>4883</v>
      </c>
      <c r="D327" s="30" t="s">
        <v>106</v>
      </c>
      <c r="E327" s="30"/>
      <c r="F327" s="30" t="s">
        <v>107</v>
      </c>
      <c r="G327" s="30" t="s">
        <v>106</v>
      </c>
      <c r="H327" s="30"/>
      <c r="I327" s="30" t="s">
        <v>192</v>
      </c>
      <c r="J327" s="30" t="s">
        <v>4412</v>
      </c>
      <c r="K327" s="30"/>
      <c r="L327" s="30" t="s">
        <v>117</v>
      </c>
      <c r="M327" s="30" t="s">
        <v>113</v>
      </c>
      <c r="N327" s="30" t="s">
        <v>114</v>
      </c>
      <c r="O327" s="30" t="s">
        <v>115</v>
      </c>
      <c r="P327" s="30" t="s">
        <v>112</v>
      </c>
      <c r="Q327" s="30" t="s">
        <v>112</v>
      </c>
      <c r="R327" s="30" t="s">
        <v>183</v>
      </c>
      <c r="S327" s="81">
        <f>HLOOKUP(L327,データについて!$J$6:$M$18,13,FALSE)</f>
        <v>2</v>
      </c>
      <c r="T327" s="81">
        <f>HLOOKUP(M327,データについて!$J$7:$M$18,12,FALSE)</f>
        <v>1</v>
      </c>
      <c r="U327" s="81">
        <f>HLOOKUP(N327,データについて!$J$8:$M$18,11,FALSE)</f>
        <v>1</v>
      </c>
      <c r="V327" s="81">
        <f>HLOOKUP(O327,データについて!$J$9:$M$18,10,FALSE)</f>
        <v>1</v>
      </c>
      <c r="W327" s="81">
        <f>HLOOKUP(P327,データについて!$J$10:$M$18,9,FALSE)</f>
        <v>1</v>
      </c>
      <c r="X327" s="81">
        <f>HLOOKUP(Q327,データについて!$J$11:$M$18,8,FALSE)</f>
        <v>1</v>
      </c>
      <c r="Y327" s="81">
        <f>HLOOKUP(R327,データについて!$J$12:$M$18,7,FALSE)</f>
        <v>1</v>
      </c>
      <c r="Z327" s="81">
        <f>HLOOKUP(I327,データについて!$J$3:$M$18,16,FALSE)</f>
        <v>1</v>
      </c>
      <c r="AA327" s="81">
        <f>IFERROR(HLOOKUP(J327,データについて!$J$4:$AH$19,16,FALSE),"")</f>
        <v>2</v>
      </c>
      <c r="AB327" s="81" t="str">
        <f>IFERROR(HLOOKUP(K327,データについて!$J$5:$AH$20,14,FALSE),"")</f>
        <v/>
      </c>
      <c r="AC327" s="81">
        <f>IF(X327=1,HLOOKUP(R327,データについて!$J$12:$M$18,7,FALSE),"*")</f>
        <v>1</v>
      </c>
      <c r="AD327" s="81" t="str">
        <f>IF(X327=2,HLOOKUP(R327,データについて!$J$12:$M$18,7,FALSE),"*")</f>
        <v>*</v>
      </c>
    </row>
    <row r="328" spans="1:30">
      <c r="A328" s="30">
        <v>4864</v>
      </c>
      <c r="B328" s="30" t="s">
        <v>4884</v>
      </c>
      <c r="C328" s="30" t="s">
        <v>4885</v>
      </c>
      <c r="D328" s="30" t="s">
        <v>106</v>
      </c>
      <c r="E328" s="30"/>
      <c r="F328" s="30" t="s">
        <v>107</v>
      </c>
      <c r="G328" s="30" t="s">
        <v>106</v>
      </c>
      <c r="H328" s="30"/>
      <c r="I328" s="30" t="s">
        <v>192</v>
      </c>
      <c r="J328" s="30" t="s">
        <v>4412</v>
      </c>
      <c r="K328" s="30"/>
      <c r="L328" s="30" t="s">
        <v>117</v>
      </c>
      <c r="M328" s="30" t="s">
        <v>113</v>
      </c>
      <c r="N328" s="30" t="s">
        <v>110</v>
      </c>
      <c r="O328" s="30" t="s">
        <v>115</v>
      </c>
      <c r="P328" s="30" t="s">
        <v>112</v>
      </c>
      <c r="Q328" s="30" t="s">
        <v>112</v>
      </c>
      <c r="R328" s="30" t="s">
        <v>183</v>
      </c>
      <c r="S328" s="81">
        <f>HLOOKUP(L328,データについて!$J$6:$M$18,13,FALSE)</f>
        <v>2</v>
      </c>
      <c r="T328" s="81">
        <f>HLOOKUP(M328,データについて!$J$7:$M$18,12,FALSE)</f>
        <v>1</v>
      </c>
      <c r="U328" s="81">
        <f>HLOOKUP(N328,データについて!$J$8:$M$18,11,FALSE)</f>
        <v>2</v>
      </c>
      <c r="V328" s="81">
        <f>HLOOKUP(O328,データについて!$J$9:$M$18,10,FALSE)</f>
        <v>1</v>
      </c>
      <c r="W328" s="81">
        <f>HLOOKUP(P328,データについて!$J$10:$M$18,9,FALSE)</f>
        <v>1</v>
      </c>
      <c r="X328" s="81">
        <f>HLOOKUP(Q328,データについて!$J$11:$M$18,8,FALSE)</f>
        <v>1</v>
      </c>
      <c r="Y328" s="81">
        <f>HLOOKUP(R328,データについて!$J$12:$M$18,7,FALSE)</f>
        <v>1</v>
      </c>
      <c r="Z328" s="81">
        <f>HLOOKUP(I328,データについて!$J$3:$M$18,16,FALSE)</f>
        <v>1</v>
      </c>
      <c r="AA328" s="81">
        <f>IFERROR(HLOOKUP(J328,データについて!$J$4:$AH$19,16,FALSE),"")</f>
        <v>2</v>
      </c>
      <c r="AB328" s="81" t="str">
        <f>IFERROR(HLOOKUP(K328,データについて!$J$5:$AH$20,14,FALSE),"")</f>
        <v/>
      </c>
      <c r="AC328" s="81">
        <f>IF(X328=1,HLOOKUP(R328,データについて!$J$12:$M$18,7,FALSE),"*")</f>
        <v>1</v>
      </c>
      <c r="AD328" s="81" t="str">
        <f>IF(X328=2,HLOOKUP(R328,データについて!$J$12:$M$18,7,FALSE),"*")</f>
        <v>*</v>
      </c>
    </row>
    <row r="329" spans="1:30">
      <c r="A329" s="30">
        <v>4863</v>
      </c>
      <c r="B329" s="30" t="s">
        <v>4886</v>
      </c>
      <c r="C329" s="30" t="s">
        <v>4887</v>
      </c>
      <c r="D329" s="30" t="s">
        <v>106</v>
      </c>
      <c r="E329" s="30"/>
      <c r="F329" s="30" t="s">
        <v>107</v>
      </c>
      <c r="G329" s="30" t="s">
        <v>106</v>
      </c>
      <c r="H329" s="30"/>
      <c r="I329" s="30" t="s">
        <v>192</v>
      </c>
      <c r="J329" s="30" t="s">
        <v>4412</v>
      </c>
      <c r="K329" s="30"/>
      <c r="L329" s="30" t="s">
        <v>117</v>
      </c>
      <c r="M329" s="30" t="s">
        <v>109</v>
      </c>
      <c r="N329" s="30" t="s">
        <v>114</v>
      </c>
      <c r="O329" s="30" t="s">
        <v>115</v>
      </c>
      <c r="P329" s="30" t="s">
        <v>112</v>
      </c>
      <c r="Q329" s="30" t="s">
        <v>112</v>
      </c>
      <c r="R329" s="30" t="s">
        <v>185</v>
      </c>
      <c r="S329" s="81">
        <f>HLOOKUP(L329,データについて!$J$6:$M$18,13,FALSE)</f>
        <v>2</v>
      </c>
      <c r="T329" s="81">
        <f>HLOOKUP(M329,データについて!$J$7:$M$18,12,FALSE)</f>
        <v>2</v>
      </c>
      <c r="U329" s="81">
        <f>HLOOKUP(N329,データについて!$J$8:$M$18,11,FALSE)</f>
        <v>1</v>
      </c>
      <c r="V329" s="81">
        <f>HLOOKUP(O329,データについて!$J$9:$M$18,10,FALSE)</f>
        <v>1</v>
      </c>
      <c r="W329" s="81">
        <f>HLOOKUP(P329,データについて!$J$10:$M$18,9,FALSE)</f>
        <v>1</v>
      </c>
      <c r="X329" s="81">
        <f>HLOOKUP(Q329,データについて!$J$11:$M$18,8,FALSE)</f>
        <v>1</v>
      </c>
      <c r="Y329" s="81">
        <f>HLOOKUP(R329,データについて!$J$12:$M$18,7,FALSE)</f>
        <v>2</v>
      </c>
      <c r="Z329" s="81">
        <f>HLOOKUP(I329,データについて!$J$3:$M$18,16,FALSE)</f>
        <v>1</v>
      </c>
      <c r="AA329" s="81">
        <f>IFERROR(HLOOKUP(J329,データについて!$J$4:$AH$19,16,FALSE),"")</f>
        <v>2</v>
      </c>
      <c r="AB329" s="81" t="str">
        <f>IFERROR(HLOOKUP(K329,データについて!$J$5:$AH$20,14,FALSE),"")</f>
        <v/>
      </c>
      <c r="AC329" s="81">
        <f>IF(X329=1,HLOOKUP(R329,データについて!$J$12:$M$18,7,FALSE),"*")</f>
        <v>2</v>
      </c>
      <c r="AD329" s="81" t="str">
        <f>IF(X329=2,HLOOKUP(R329,データについて!$J$12:$M$18,7,FALSE),"*")</f>
        <v>*</v>
      </c>
    </row>
    <row r="330" spans="1:30">
      <c r="A330" s="30">
        <v>4862</v>
      </c>
      <c r="B330" s="30" t="s">
        <v>4888</v>
      </c>
      <c r="C330" s="30" t="s">
        <v>4889</v>
      </c>
      <c r="D330" s="30" t="s">
        <v>106</v>
      </c>
      <c r="E330" s="30"/>
      <c r="F330" s="30" t="s">
        <v>107</v>
      </c>
      <c r="G330" s="30" t="s">
        <v>106</v>
      </c>
      <c r="H330" s="30"/>
      <c r="I330" s="30" t="s">
        <v>192</v>
      </c>
      <c r="J330" s="30" t="s">
        <v>4412</v>
      </c>
      <c r="K330" s="30"/>
      <c r="L330" s="30" t="s">
        <v>108</v>
      </c>
      <c r="M330" s="30" t="s">
        <v>113</v>
      </c>
      <c r="N330" s="30" t="s">
        <v>114</v>
      </c>
      <c r="O330" s="30" t="s">
        <v>115</v>
      </c>
      <c r="P330" s="30" t="s">
        <v>112</v>
      </c>
      <c r="Q330" s="30" t="s">
        <v>118</v>
      </c>
      <c r="R330" s="30" t="s">
        <v>187</v>
      </c>
      <c r="S330" s="81">
        <f>HLOOKUP(L330,データについて!$J$6:$M$18,13,FALSE)</f>
        <v>1</v>
      </c>
      <c r="T330" s="81">
        <f>HLOOKUP(M330,データについて!$J$7:$M$18,12,FALSE)</f>
        <v>1</v>
      </c>
      <c r="U330" s="81">
        <f>HLOOKUP(N330,データについて!$J$8:$M$18,11,FALSE)</f>
        <v>1</v>
      </c>
      <c r="V330" s="81">
        <f>HLOOKUP(O330,データについて!$J$9:$M$18,10,FALSE)</f>
        <v>1</v>
      </c>
      <c r="W330" s="81">
        <f>HLOOKUP(P330,データについて!$J$10:$M$18,9,FALSE)</f>
        <v>1</v>
      </c>
      <c r="X330" s="81">
        <f>HLOOKUP(Q330,データについて!$J$11:$M$18,8,FALSE)</f>
        <v>2</v>
      </c>
      <c r="Y330" s="81">
        <f>HLOOKUP(R330,データについて!$J$12:$M$18,7,FALSE)</f>
        <v>3</v>
      </c>
      <c r="Z330" s="81">
        <f>HLOOKUP(I330,データについて!$J$3:$M$18,16,FALSE)</f>
        <v>1</v>
      </c>
      <c r="AA330" s="81">
        <f>IFERROR(HLOOKUP(J330,データについて!$J$4:$AH$19,16,FALSE),"")</f>
        <v>2</v>
      </c>
      <c r="AB330" s="81" t="str">
        <f>IFERROR(HLOOKUP(K330,データについて!$J$5:$AH$20,14,FALSE),"")</f>
        <v/>
      </c>
      <c r="AC330" s="81" t="str">
        <f>IF(X330=1,HLOOKUP(R330,データについて!$J$12:$M$18,7,FALSE),"*")</f>
        <v>*</v>
      </c>
      <c r="AD330" s="81">
        <f>IF(X330=2,HLOOKUP(R330,データについて!$J$12:$M$18,7,FALSE),"*")</f>
        <v>3</v>
      </c>
    </row>
    <row r="331" spans="1:30">
      <c r="A331" s="30">
        <v>4861</v>
      </c>
      <c r="B331" s="30" t="s">
        <v>4890</v>
      </c>
      <c r="C331" s="30" t="s">
        <v>4891</v>
      </c>
      <c r="D331" s="30" t="s">
        <v>106</v>
      </c>
      <c r="E331" s="30"/>
      <c r="F331" s="30" t="s">
        <v>107</v>
      </c>
      <c r="G331" s="30" t="s">
        <v>106</v>
      </c>
      <c r="H331" s="30"/>
      <c r="I331" s="30" t="s">
        <v>192</v>
      </c>
      <c r="J331" s="30" t="s">
        <v>4412</v>
      </c>
      <c r="K331" s="30"/>
      <c r="L331" s="30" t="s">
        <v>117</v>
      </c>
      <c r="M331" s="30" t="s">
        <v>109</v>
      </c>
      <c r="N331" s="30" t="s">
        <v>114</v>
      </c>
      <c r="O331" s="30" t="s">
        <v>115</v>
      </c>
      <c r="P331" s="30" t="s">
        <v>112</v>
      </c>
      <c r="Q331" s="30" t="s">
        <v>112</v>
      </c>
      <c r="R331" s="30" t="s">
        <v>183</v>
      </c>
      <c r="S331" s="81">
        <f>HLOOKUP(L331,データについて!$J$6:$M$18,13,FALSE)</f>
        <v>2</v>
      </c>
      <c r="T331" s="81">
        <f>HLOOKUP(M331,データについて!$J$7:$M$18,12,FALSE)</f>
        <v>2</v>
      </c>
      <c r="U331" s="81">
        <f>HLOOKUP(N331,データについて!$J$8:$M$18,11,FALSE)</f>
        <v>1</v>
      </c>
      <c r="V331" s="81">
        <f>HLOOKUP(O331,データについて!$J$9:$M$18,10,FALSE)</f>
        <v>1</v>
      </c>
      <c r="W331" s="81">
        <f>HLOOKUP(P331,データについて!$J$10:$M$18,9,FALSE)</f>
        <v>1</v>
      </c>
      <c r="X331" s="81">
        <f>HLOOKUP(Q331,データについて!$J$11:$M$18,8,FALSE)</f>
        <v>1</v>
      </c>
      <c r="Y331" s="81">
        <f>HLOOKUP(R331,データについて!$J$12:$M$18,7,FALSE)</f>
        <v>1</v>
      </c>
      <c r="Z331" s="81">
        <f>HLOOKUP(I331,データについて!$J$3:$M$18,16,FALSE)</f>
        <v>1</v>
      </c>
      <c r="AA331" s="81">
        <f>IFERROR(HLOOKUP(J331,データについて!$J$4:$AH$19,16,FALSE),"")</f>
        <v>2</v>
      </c>
      <c r="AB331" s="81" t="str">
        <f>IFERROR(HLOOKUP(K331,データについて!$J$5:$AH$20,14,FALSE),"")</f>
        <v/>
      </c>
      <c r="AC331" s="81">
        <f>IF(X331=1,HLOOKUP(R331,データについて!$J$12:$M$18,7,FALSE),"*")</f>
        <v>1</v>
      </c>
      <c r="AD331" s="81" t="str">
        <f>IF(X331=2,HLOOKUP(R331,データについて!$J$12:$M$18,7,FALSE),"*")</f>
        <v>*</v>
      </c>
    </row>
    <row r="332" spans="1:30">
      <c r="A332" s="30">
        <v>4860</v>
      </c>
      <c r="B332" s="30" t="s">
        <v>4892</v>
      </c>
      <c r="C332" s="30" t="s">
        <v>4893</v>
      </c>
      <c r="D332" s="30" t="s">
        <v>106</v>
      </c>
      <c r="E332" s="30"/>
      <c r="F332" s="30" t="s">
        <v>107</v>
      </c>
      <c r="G332" s="30" t="s">
        <v>106</v>
      </c>
      <c r="H332" s="30"/>
      <c r="I332" s="30" t="s">
        <v>192</v>
      </c>
      <c r="J332" s="30" t="s">
        <v>4412</v>
      </c>
      <c r="K332" s="30"/>
      <c r="L332" s="30" t="s">
        <v>117</v>
      </c>
      <c r="M332" s="30" t="s">
        <v>113</v>
      </c>
      <c r="N332" s="30" t="s">
        <v>114</v>
      </c>
      <c r="O332" s="30" t="s">
        <v>115</v>
      </c>
      <c r="P332" s="30" t="s">
        <v>112</v>
      </c>
      <c r="Q332" s="30" t="s">
        <v>112</v>
      </c>
      <c r="R332" s="30" t="s">
        <v>189</v>
      </c>
      <c r="S332" s="81">
        <f>HLOOKUP(L332,データについて!$J$6:$M$18,13,FALSE)</f>
        <v>2</v>
      </c>
      <c r="T332" s="81">
        <f>HLOOKUP(M332,データについて!$J$7:$M$18,12,FALSE)</f>
        <v>1</v>
      </c>
      <c r="U332" s="81">
        <f>HLOOKUP(N332,データについて!$J$8:$M$18,11,FALSE)</f>
        <v>1</v>
      </c>
      <c r="V332" s="81">
        <f>HLOOKUP(O332,データについて!$J$9:$M$18,10,FALSE)</f>
        <v>1</v>
      </c>
      <c r="W332" s="81">
        <f>HLOOKUP(P332,データについて!$J$10:$M$18,9,FALSE)</f>
        <v>1</v>
      </c>
      <c r="X332" s="81">
        <f>HLOOKUP(Q332,データについて!$J$11:$M$18,8,FALSE)</f>
        <v>1</v>
      </c>
      <c r="Y332" s="81">
        <f>HLOOKUP(R332,データについて!$J$12:$M$18,7,FALSE)</f>
        <v>4</v>
      </c>
      <c r="Z332" s="81">
        <f>HLOOKUP(I332,データについて!$J$3:$M$18,16,FALSE)</f>
        <v>1</v>
      </c>
      <c r="AA332" s="81">
        <f>IFERROR(HLOOKUP(J332,データについて!$J$4:$AH$19,16,FALSE),"")</f>
        <v>2</v>
      </c>
      <c r="AB332" s="81" t="str">
        <f>IFERROR(HLOOKUP(K332,データについて!$J$5:$AH$20,14,FALSE),"")</f>
        <v/>
      </c>
      <c r="AC332" s="81">
        <f>IF(X332=1,HLOOKUP(R332,データについて!$J$12:$M$18,7,FALSE),"*")</f>
        <v>4</v>
      </c>
      <c r="AD332" s="81" t="str">
        <f>IF(X332=2,HLOOKUP(R332,データについて!$J$12:$M$18,7,FALSE),"*")</f>
        <v>*</v>
      </c>
    </row>
    <row r="333" spans="1:30">
      <c r="A333" s="30">
        <v>4859</v>
      </c>
      <c r="B333" s="30" t="s">
        <v>4894</v>
      </c>
      <c r="C333" s="30" t="s">
        <v>4895</v>
      </c>
      <c r="D333" s="30" t="s">
        <v>106</v>
      </c>
      <c r="E333" s="30"/>
      <c r="F333" s="30" t="s">
        <v>107</v>
      </c>
      <c r="G333" s="30" t="s">
        <v>106</v>
      </c>
      <c r="H333" s="30"/>
      <c r="I333" s="30" t="s">
        <v>192</v>
      </c>
      <c r="J333" s="30" t="s">
        <v>4412</v>
      </c>
      <c r="K333" s="30"/>
      <c r="L333" s="30" t="s">
        <v>108</v>
      </c>
      <c r="M333" s="30" t="s">
        <v>113</v>
      </c>
      <c r="N333" s="30" t="s">
        <v>110</v>
      </c>
      <c r="O333" s="30" t="s">
        <v>115</v>
      </c>
      <c r="P333" s="30" t="s">
        <v>112</v>
      </c>
      <c r="Q333" s="30" t="s">
        <v>112</v>
      </c>
      <c r="R333" s="30" t="s">
        <v>185</v>
      </c>
      <c r="S333" s="81">
        <f>HLOOKUP(L333,データについて!$J$6:$M$18,13,FALSE)</f>
        <v>1</v>
      </c>
      <c r="T333" s="81">
        <f>HLOOKUP(M333,データについて!$J$7:$M$18,12,FALSE)</f>
        <v>1</v>
      </c>
      <c r="U333" s="81">
        <f>HLOOKUP(N333,データについて!$J$8:$M$18,11,FALSE)</f>
        <v>2</v>
      </c>
      <c r="V333" s="81">
        <f>HLOOKUP(O333,データについて!$J$9:$M$18,10,FALSE)</f>
        <v>1</v>
      </c>
      <c r="W333" s="81">
        <f>HLOOKUP(P333,データについて!$J$10:$M$18,9,FALSE)</f>
        <v>1</v>
      </c>
      <c r="X333" s="81">
        <f>HLOOKUP(Q333,データについて!$J$11:$M$18,8,FALSE)</f>
        <v>1</v>
      </c>
      <c r="Y333" s="81">
        <f>HLOOKUP(R333,データについて!$J$12:$M$18,7,FALSE)</f>
        <v>2</v>
      </c>
      <c r="Z333" s="81">
        <f>HLOOKUP(I333,データについて!$J$3:$M$18,16,FALSE)</f>
        <v>1</v>
      </c>
      <c r="AA333" s="81">
        <f>IFERROR(HLOOKUP(J333,データについて!$J$4:$AH$19,16,FALSE),"")</f>
        <v>2</v>
      </c>
      <c r="AB333" s="81" t="str">
        <f>IFERROR(HLOOKUP(K333,データについて!$J$5:$AH$20,14,FALSE),"")</f>
        <v/>
      </c>
      <c r="AC333" s="81">
        <f>IF(X333=1,HLOOKUP(R333,データについて!$J$12:$M$18,7,FALSE),"*")</f>
        <v>2</v>
      </c>
      <c r="AD333" s="81" t="str">
        <f>IF(X333=2,HLOOKUP(R333,データについて!$J$12:$M$18,7,FALSE),"*")</f>
        <v>*</v>
      </c>
    </row>
    <row r="334" spans="1:30">
      <c r="A334" s="30">
        <v>4858</v>
      </c>
      <c r="B334" s="30" t="s">
        <v>4896</v>
      </c>
      <c r="C334" s="30" t="s">
        <v>4897</v>
      </c>
      <c r="D334" s="30" t="s">
        <v>106</v>
      </c>
      <c r="E334" s="30"/>
      <c r="F334" s="30" t="s">
        <v>107</v>
      </c>
      <c r="G334" s="30" t="s">
        <v>106</v>
      </c>
      <c r="H334" s="30"/>
      <c r="I334" s="30" t="s">
        <v>192</v>
      </c>
      <c r="J334" s="30" t="s">
        <v>4412</v>
      </c>
      <c r="K334" s="30"/>
      <c r="L334" s="30" t="s">
        <v>108</v>
      </c>
      <c r="M334" s="30" t="s">
        <v>124</v>
      </c>
      <c r="N334" s="30" t="s">
        <v>110</v>
      </c>
      <c r="O334" s="30" t="s">
        <v>115</v>
      </c>
      <c r="P334" s="30" t="s">
        <v>112</v>
      </c>
      <c r="Q334" s="30" t="s">
        <v>118</v>
      </c>
      <c r="R334" s="30" t="s">
        <v>187</v>
      </c>
      <c r="S334" s="81">
        <f>HLOOKUP(L334,データについて!$J$6:$M$18,13,FALSE)</f>
        <v>1</v>
      </c>
      <c r="T334" s="81">
        <f>HLOOKUP(M334,データについて!$J$7:$M$18,12,FALSE)</f>
        <v>3</v>
      </c>
      <c r="U334" s="81">
        <f>HLOOKUP(N334,データについて!$J$8:$M$18,11,FALSE)</f>
        <v>2</v>
      </c>
      <c r="V334" s="81">
        <f>HLOOKUP(O334,データについて!$J$9:$M$18,10,FALSE)</f>
        <v>1</v>
      </c>
      <c r="W334" s="81">
        <f>HLOOKUP(P334,データについて!$J$10:$M$18,9,FALSE)</f>
        <v>1</v>
      </c>
      <c r="X334" s="81">
        <f>HLOOKUP(Q334,データについて!$J$11:$M$18,8,FALSE)</f>
        <v>2</v>
      </c>
      <c r="Y334" s="81">
        <f>HLOOKUP(R334,データについて!$J$12:$M$18,7,FALSE)</f>
        <v>3</v>
      </c>
      <c r="Z334" s="81">
        <f>HLOOKUP(I334,データについて!$J$3:$M$18,16,FALSE)</f>
        <v>1</v>
      </c>
      <c r="AA334" s="81">
        <f>IFERROR(HLOOKUP(J334,データについて!$J$4:$AH$19,16,FALSE),"")</f>
        <v>2</v>
      </c>
      <c r="AB334" s="81" t="str">
        <f>IFERROR(HLOOKUP(K334,データについて!$J$5:$AH$20,14,FALSE),"")</f>
        <v/>
      </c>
      <c r="AC334" s="81" t="str">
        <f>IF(X334=1,HLOOKUP(R334,データについて!$J$12:$M$18,7,FALSE),"*")</f>
        <v>*</v>
      </c>
      <c r="AD334" s="81">
        <f>IF(X334=2,HLOOKUP(R334,データについて!$J$12:$M$18,7,FALSE),"*")</f>
        <v>3</v>
      </c>
    </row>
    <row r="335" spans="1:30">
      <c r="A335" s="30">
        <v>4857</v>
      </c>
      <c r="B335" s="30" t="s">
        <v>4898</v>
      </c>
      <c r="C335" s="30" t="s">
        <v>4899</v>
      </c>
      <c r="D335" s="30" t="s">
        <v>106</v>
      </c>
      <c r="E335" s="30"/>
      <c r="F335" s="30" t="s">
        <v>107</v>
      </c>
      <c r="G335" s="30" t="s">
        <v>106</v>
      </c>
      <c r="H335" s="30"/>
      <c r="I335" s="30" t="s">
        <v>192</v>
      </c>
      <c r="J335" s="30" t="s">
        <v>4412</v>
      </c>
      <c r="K335" s="30"/>
      <c r="L335" s="30" t="s">
        <v>117</v>
      </c>
      <c r="M335" s="30" t="s">
        <v>109</v>
      </c>
      <c r="N335" s="30" t="s">
        <v>110</v>
      </c>
      <c r="O335" s="30" t="s">
        <v>115</v>
      </c>
      <c r="P335" s="30" t="s">
        <v>112</v>
      </c>
      <c r="Q335" s="30" t="s">
        <v>112</v>
      </c>
      <c r="R335" s="30" t="s">
        <v>189</v>
      </c>
      <c r="S335" s="81">
        <f>HLOOKUP(L335,データについて!$J$6:$M$18,13,FALSE)</f>
        <v>2</v>
      </c>
      <c r="T335" s="81">
        <f>HLOOKUP(M335,データについて!$J$7:$M$18,12,FALSE)</f>
        <v>2</v>
      </c>
      <c r="U335" s="81">
        <f>HLOOKUP(N335,データについて!$J$8:$M$18,11,FALSE)</f>
        <v>2</v>
      </c>
      <c r="V335" s="81">
        <f>HLOOKUP(O335,データについて!$J$9:$M$18,10,FALSE)</f>
        <v>1</v>
      </c>
      <c r="W335" s="81">
        <f>HLOOKUP(P335,データについて!$J$10:$M$18,9,FALSE)</f>
        <v>1</v>
      </c>
      <c r="X335" s="81">
        <f>HLOOKUP(Q335,データについて!$J$11:$M$18,8,FALSE)</f>
        <v>1</v>
      </c>
      <c r="Y335" s="81">
        <f>HLOOKUP(R335,データについて!$J$12:$M$18,7,FALSE)</f>
        <v>4</v>
      </c>
      <c r="Z335" s="81">
        <f>HLOOKUP(I335,データについて!$J$3:$M$18,16,FALSE)</f>
        <v>1</v>
      </c>
      <c r="AA335" s="81">
        <f>IFERROR(HLOOKUP(J335,データについて!$J$4:$AH$19,16,FALSE),"")</f>
        <v>2</v>
      </c>
      <c r="AB335" s="81" t="str">
        <f>IFERROR(HLOOKUP(K335,データについて!$J$5:$AH$20,14,FALSE),"")</f>
        <v/>
      </c>
      <c r="AC335" s="81">
        <f>IF(X335=1,HLOOKUP(R335,データについて!$J$12:$M$18,7,FALSE),"*")</f>
        <v>4</v>
      </c>
      <c r="AD335" s="81" t="str">
        <f>IF(X335=2,HLOOKUP(R335,データについて!$J$12:$M$18,7,FALSE),"*")</f>
        <v>*</v>
      </c>
    </row>
    <row r="336" spans="1:30">
      <c r="A336" s="30">
        <v>4856</v>
      </c>
      <c r="B336" s="30" t="s">
        <v>4900</v>
      </c>
      <c r="C336" s="30" t="s">
        <v>4901</v>
      </c>
      <c r="D336" s="30" t="s">
        <v>106</v>
      </c>
      <c r="E336" s="30"/>
      <c r="F336" s="30" t="s">
        <v>107</v>
      </c>
      <c r="G336" s="30" t="s">
        <v>106</v>
      </c>
      <c r="H336" s="30"/>
      <c r="I336" s="30" t="s">
        <v>192</v>
      </c>
      <c r="J336" s="30" t="s">
        <v>4412</v>
      </c>
      <c r="K336" s="30"/>
      <c r="L336" s="30" t="s">
        <v>108</v>
      </c>
      <c r="M336" s="30" t="s">
        <v>113</v>
      </c>
      <c r="N336" s="30" t="s">
        <v>114</v>
      </c>
      <c r="O336" s="30" t="s">
        <v>115</v>
      </c>
      <c r="P336" s="30" t="s">
        <v>112</v>
      </c>
      <c r="Q336" s="30" t="s">
        <v>112</v>
      </c>
      <c r="R336" s="30" t="s">
        <v>187</v>
      </c>
      <c r="S336" s="81">
        <f>HLOOKUP(L336,データについて!$J$6:$M$18,13,FALSE)</f>
        <v>1</v>
      </c>
      <c r="T336" s="81">
        <f>HLOOKUP(M336,データについて!$J$7:$M$18,12,FALSE)</f>
        <v>1</v>
      </c>
      <c r="U336" s="81">
        <f>HLOOKUP(N336,データについて!$J$8:$M$18,11,FALSE)</f>
        <v>1</v>
      </c>
      <c r="V336" s="81">
        <f>HLOOKUP(O336,データについて!$J$9:$M$18,10,FALSE)</f>
        <v>1</v>
      </c>
      <c r="W336" s="81">
        <f>HLOOKUP(P336,データについて!$J$10:$M$18,9,FALSE)</f>
        <v>1</v>
      </c>
      <c r="X336" s="81">
        <f>HLOOKUP(Q336,データについて!$J$11:$M$18,8,FALSE)</f>
        <v>1</v>
      </c>
      <c r="Y336" s="81">
        <f>HLOOKUP(R336,データについて!$J$12:$M$18,7,FALSE)</f>
        <v>3</v>
      </c>
      <c r="Z336" s="81">
        <f>HLOOKUP(I336,データについて!$J$3:$M$18,16,FALSE)</f>
        <v>1</v>
      </c>
      <c r="AA336" s="81">
        <f>IFERROR(HLOOKUP(J336,データについて!$J$4:$AH$19,16,FALSE),"")</f>
        <v>2</v>
      </c>
      <c r="AB336" s="81" t="str">
        <f>IFERROR(HLOOKUP(K336,データについて!$J$5:$AH$20,14,FALSE),"")</f>
        <v/>
      </c>
      <c r="AC336" s="81">
        <f>IF(X336=1,HLOOKUP(R336,データについて!$J$12:$M$18,7,FALSE),"*")</f>
        <v>3</v>
      </c>
      <c r="AD336" s="81" t="str">
        <f>IF(X336=2,HLOOKUP(R336,データについて!$J$12:$M$18,7,FALSE),"*")</f>
        <v>*</v>
      </c>
    </row>
    <row r="337" spans="1:30">
      <c r="A337" s="30">
        <v>4855</v>
      </c>
      <c r="B337" s="30" t="s">
        <v>4902</v>
      </c>
      <c r="C337" s="30" t="s">
        <v>4903</v>
      </c>
      <c r="D337" s="30" t="s">
        <v>106</v>
      </c>
      <c r="E337" s="30"/>
      <c r="F337" s="30" t="s">
        <v>107</v>
      </c>
      <c r="G337" s="30" t="s">
        <v>106</v>
      </c>
      <c r="H337" s="30"/>
      <c r="I337" s="30" t="s">
        <v>192</v>
      </c>
      <c r="J337" s="30" t="s">
        <v>4412</v>
      </c>
      <c r="K337" s="30"/>
      <c r="L337" s="30" t="s">
        <v>108</v>
      </c>
      <c r="M337" s="30" t="s">
        <v>113</v>
      </c>
      <c r="N337" s="30" t="s">
        <v>114</v>
      </c>
      <c r="O337" s="30" t="s">
        <v>115</v>
      </c>
      <c r="P337" s="30" t="s">
        <v>112</v>
      </c>
      <c r="Q337" s="30" t="s">
        <v>112</v>
      </c>
      <c r="R337" s="30" t="s">
        <v>183</v>
      </c>
      <c r="S337" s="81">
        <f>HLOOKUP(L337,データについて!$J$6:$M$18,13,FALSE)</f>
        <v>1</v>
      </c>
      <c r="T337" s="81">
        <f>HLOOKUP(M337,データについて!$J$7:$M$18,12,FALSE)</f>
        <v>1</v>
      </c>
      <c r="U337" s="81">
        <f>HLOOKUP(N337,データについて!$J$8:$M$18,11,FALSE)</f>
        <v>1</v>
      </c>
      <c r="V337" s="81">
        <f>HLOOKUP(O337,データについて!$J$9:$M$18,10,FALSE)</f>
        <v>1</v>
      </c>
      <c r="W337" s="81">
        <f>HLOOKUP(P337,データについて!$J$10:$M$18,9,FALSE)</f>
        <v>1</v>
      </c>
      <c r="X337" s="81">
        <f>HLOOKUP(Q337,データについて!$J$11:$M$18,8,FALSE)</f>
        <v>1</v>
      </c>
      <c r="Y337" s="81">
        <f>HLOOKUP(R337,データについて!$J$12:$M$18,7,FALSE)</f>
        <v>1</v>
      </c>
      <c r="Z337" s="81">
        <f>HLOOKUP(I337,データについて!$J$3:$M$18,16,FALSE)</f>
        <v>1</v>
      </c>
      <c r="AA337" s="81">
        <f>IFERROR(HLOOKUP(J337,データについて!$J$4:$AH$19,16,FALSE),"")</f>
        <v>2</v>
      </c>
      <c r="AB337" s="81" t="str">
        <f>IFERROR(HLOOKUP(K337,データについて!$J$5:$AH$20,14,FALSE),"")</f>
        <v/>
      </c>
      <c r="AC337" s="81">
        <f>IF(X337=1,HLOOKUP(R337,データについて!$J$12:$M$18,7,FALSE),"*")</f>
        <v>1</v>
      </c>
      <c r="AD337" s="81" t="str">
        <f>IF(X337=2,HLOOKUP(R337,データについて!$J$12:$M$18,7,FALSE),"*")</f>
        <v>*</v>
      </c>
    </row>
    <row r="338" spans="1:30">
      <c r="A338" s="30">
        <v>4854</v>
      </c>
      <c r="B338" s="30" t="s">
        <v>4904</v>
      </c>
      <c r="C338" s="30" t="s">
        <v>4905</v>
      </c>
      <c r="D338" s="30" t="s">
        <v>106</v>
      </c>
      <c r="E338" s="30"/>
      <c r="F338" s="30" t="s">
        <v>107</v>
      </c>
      <c r="G338" s="30" t="s">
        <v>106</v>
      </c>
      <c r="H338" s="30"/>
      <c r="I338" s="30" t="s">
        <v>192</v>
      </c>
      <c r="J338" s="30" t="s">
        <v>4412</v>
      </c>
      <c r="K338" s="30"/>
      <c r="L338" s="30" t="s">
        <v>108</v>
      </c>
      <c r="M338" s="30" t="s">
        <v>109</v>
      </c>
      <c r="N338" s="30" t="s">
        <v>110</v>
      </c>
      <c r="O338" s="30" t="s">
        <v>115</v>
      </c>
      <c r="P338" s="30" t="s">
        <v>112</v>
      </c>
      <c r="Q338" s="30" t="s">
        <v>112</v>
      </c>
      <c r="R338" s="30" t="s">
        <v>185</v>
      </c>
      <c r="S338" s="81">
        <f>HLOOKUP(L338,データについて!$J$6:$M$18,13,FALSE)</f>
        <v>1</v>
      </c>
      <c r="T338" s="81">
        <f>HLOOKUP(M338,データについて!$J$7:$M$18,12,FALSE)</f>
        <v>2</v>
      </c>
      <c r="U338" s="81">
        <f>HLOOKUP(N338,データについて!$J$8:$M$18,11,FALSE)</f>
        <v>2</v>
      </c>
      <c r="V338" s="81">
        <f>HLOOKUP(O338,データについて!$J$9:$M$18,10,FALSE)</f>
        <v>1</v>
      </c>
      <c r="W338" s="81">
        <f>HLOOKUP(P338,データについて!$J$10:$M$18,9,FALSE)</f>
        <v>1</v>
      </c>
      <c r="X338" s="81">
        <f>HLOOKUP(Q338,データについて!$J$11:$M$18,8,FALSE)</f>
        <v>1</v>
      </c>
      <c r="Y338" s="81">
        <f>HLOOKUP(R338,データについて!$J$12:$M$18,7,FALSE)</f>
        <v>2</v>
      </c>
      <c r="Z338" s="81">
        <f>HLOOKUP(I338,データについて!$J$3:$M$18,16,FALSE)</f>
        <v>1</v>
      </c>
      <c r="AA338" s="81">
        <f>IFERROR(HLOOKUP(J338,データについて!$J$4:$AH$19,16,FALSE),"")</f>
        <v>2</v>
      </c>
      <c r="AB338" s="81" t="str">
        <f>IFERROR(HLOOKUP(K338,データについて!$J$5:$AH$20,14,FALSE),"")</f>
        <v/>
      </c>
      <c r="AC338" s="81">
        <f>IF(X338=1,HLOOKUP(R338,データについて!$J$12:$M$18,7,FALSE),"*")</f>
        <v>2</v>
      </c>
      <c r="AD338" s="81" t="str">
        <f>IF(X338=2,HLOOKUP(R338,データについて!$J$12:$M$18,7,FALSE),"*")</f>
        <v>*</v>
      </c>
    </row>
    <row r="339" spans="1:30">
      <c r="A339" s="30">
        <v>4853</v>
      </c>
      <c r="B339" s="30" t="s">
        <v>4906</v>
      </c>
      <c r="C339" s="30" t="s">
        <v>4907</v>
      </c>
      <c r="D339" s="30" t="s">
        <v>106</v>
      </c>
      <c r="E339" s="30"/>
      <c r="F339" s="30" t="s">
        <v>107</v>
      </c>
      <c r="G339" s="30" t="s">
        <v>106</v>
      </c>
      <c r="H339" s="30"/>
      <c r="I339" s="30" t="s">
        <v>192</v>
      </c>
      <c r="J339" s="30" t="s">
        <v>4412</v>
      </c>
      <c r="K339" s="30"/>
      <c r="L339" s="30" t="s">
        <v>108</v>
      </c>
      <c r="M339" s="30" t="s">
        <v>113</v>
      </c>
      <c r="N339" s="30" t="s">
        <v>114</v>
      </c>
      <c r="O339" s="30" t="s">
        <v>115</v>
      </c>
      <c r="P339" s="30" t="s">
        <v>112</v>
      </c>
      <c r="Q339" s="30" t="s">
        <v>112</v>
      </c>
      <c r="R339" s="30" t="s">
        <v>183</v>
      </c>
      <c r="S339" s="81">
        <f>HLOOKUP(L339,データについて!$J$6:$M$18,13,FALSE)</f>
        <v>1</v>
      </c>
      <c r="T339" s="81">
        <f>HLOOKUP(M339,データについて!$J$7:$M$18,12,FALSE)</f>
        <v>1</v>
      </c>
      <c r="U339" s="81">
        <f>HLOOKUP(N339,データについて!$J$8:$M$18,11,FALSE)</f>
        <v>1</v>
      </c>
      <c r="V339" s="81">
        <f>HLOOKUP(O339,データについて!$J$9:$M$18,10,FALSE)</f>
        <v>1</v>
      </c>
      <c r="W339" s="81">
        <f>HLOOKUP(P339,データについて!$J$10:$M$18,9,FALSE)</f>
        <v>1</v>
      </c>
      <c r="X339" s="81">
        <f>HLOOKUP(Q339,データについて!$J$11:$M$18,8,FALSE)</f>
        <v>1</v>
      </c>
      <c r="Y339" s="81">
        <f>HLOOKUP(R339,データについて!$J$12:$M$18,7,FALSE)</f>
        <v>1</v>
      </c>
      <c r="Z339" s="81">
        <f>HLOOKUP(I339,データについて!$J$3:$M$18,16,FALSE)</f>
        <v>1</v>
      </c>
      <c r="AA339" s="81">
        <f>IFERROR(HLOOKUP(J339,データについて!$J$4:$AH$19,16,FALSE),"")</f>
        <v>2</v>
      </c>
      <c r="AB339" s="81" t="str">
        <f>IFERROR(HLOOKUP(K339,データについて!$J$5:$AH$20,14,FALSE),"")</f>
        <v/>
      </c>
      <c r="AC339" s="81">
        <f>IF(X339=1,HLOOKUP(R339,データについて!$J$12:$M$18,7,FALSE),"*")</f>
        <v>1</v>
      </c>
      <c r="AD339" s="81" t="str">
        <f>IF(X339=2,HLOOKUP(R339,データについて!$J$12:$M$18,7,FALSE),"*")</f>
        <v>*</v>
      </c>
    </row>
    <row r="340" spans="1:30">
      <c r="A340" s="30">
        <v>4852</v>
      </c>
      <c r="B340" s="30" t="s">
        <v>4908</v>
      </c>
      <c r="C340" s="30" t="s">
        <v>4909</v>
      </c>
      <c r="D340" s="30" t="s">
        <v>106</v>
      </c>
      <c r="E340" s="30"/>
      <c r="F340" s="30" t="s">
        <v>107</v>
      </c>
      <c r="G340" s="30" t="s">
        <v>106</v>
      </c>
      <c r="H340" s="30"/>
      <c r="I340" s="30" t="s">
        <v>192</v>
      </c>
      <c r="J340" s="30" t="s">
        <v>4412</v>
      </c>
      <c r="K340" s="30"/>
      <c r="L340" s="30" t="s">
        <v>108</v>
      </c>
      <c r="M340" s="30" t="s">
        <v>113</v>
      </c>
      <c r="N340" s="30" t="s">
        <v>114</v>
      </c>
      <c r="O340" s="30" t="s">
        <v>115</v>
      </c>
      <c r="P340" s="30" t="s">
        <v>112</v>
      </c>
      <c r="Q340" s="30" t="s">
        <v>112</v>
      </c>
      <c r="R340" s="30" t="s">
        <v>185</v>
      </c>
      <c r="S340" s="81">
        <f>HLOOKUP(L340,データについて!$J$6:$M$18,13,FALSE)</f>
        <v>1</v>
      </c>
      <c r="T340" s="81">
        <f>HLOOKUP(M340,データについて!$J$7:$M$18,12,FALSE)</f>
        <v>1</v>
      </c>
      <c r="U340" s="81">
        <f>HLOOKUP(N340,データについて!$J$8:$M$18,11,FALSE)</f>
        <v>1</v>
      </c>
      <c r="V340" s="81">
        <f>HLOOKUP(O340,データについて!$J$9:$M$18,10,FALSE)</f>
        <v>1</v>
      </c>
      <c r="W340" s="81">
        <f>HLOOKUP(P340,データについて!$J$10:$M$18,9,FALSE)</f>
        <v>1</v>
      </c>
      <c r="X340" s="81">
        <f>HLOOKUP(Q340,データについて!$J$11:$M$18,8,FALSE)</f>
        <v>1</v>
      </c>
      <c r="Y340" s="81">
        <f>HLOOKUP(R340,データについて!$J$12:$M$18,7,FALSE)</f>
        <v>2</v>
      </c>
      <c r="Z340" s="81">
        <f>HLOOKUP(I340,データについて!$J$3:$M$18,16,FALSE)</f>
        <v>1</v>
      </c>
      <c r="AA340" s="81">
        <f>IFERROR(HLOOKUP(J340,データについて!$J$4:$AH$19,16,FALSE),"")</f>
        <v>2</v>
      </c>
      <c r="AB340" s="81" t="str">
        <f>IFERROR(HLOOKUP(K340,データについて!$J$5:$AH$20,14,FALSE),"")</f>
        <v/>
      </c>
      <c r="AC340" s="81">
        <f>IF(X340=1,HLOOKUP(R340,データについて!$J$12:$M$18,7,FALSE),"*")</f>
        <v>2</v>
      </c>
      <c r="AD340" s="81" t="str">
        <f>IF(X340=2,HLOOKUP(R340,データについて!$J$12:$M$18,7,FALSE),"*")</f>
        <v>*</v>
      </c>
    </row>
    <row r="341" spans="1:30">
      <c r="A341" s="30">
        <v>4851</v>
      </c>
      <c r="B341" s="30" t="s">
        <v>4910</v>
      </c>
      <c r="C341" s="30" t="s">
        <v>4911</v>
      </c>
      <c r="D341" s="30" t="s">
        <v>106</v>
      </c>
      <c r="E341" s="30"/>
      <c r="F341" s="30" t="s">
        <v>107</v>
      </c>
      <c r="G341" s="30" t="s">
        <v>106</v>
      </c>
      <c r="H341" s="30"/>
      <c r="I341" s="30" t="s">
        <v>192</v>
      </c>
      <c r="J341" s="30" t="s">
        <v>4412</v>
      </c>
      <c r="K341" s="30"/>
      <c r="L341" s="30" t="s">
        <v>117</v>
      </c>
      <c r="M341" s="30" t="s">
        <v>109</v>
      </c>
      <c r="N341" s="30" t="s">
        <v>114</v>
      </c>
      <c r="O341" s="30" t="s">
        <v>115</v>
      </c>
      <c r="P341" s="30" t="s">
        <v>112</v>
      </c>
      <c r="Q341" s="30" t="s">
        <v>112</v>
      </c>
      <c r="R341" s="30" t="s">
        <v>189</v>
      </c>
      <c r="S341" s="81">
        <f>HLOOKUP(L341,データについて!$J$6:$M$18,13,FALSE)</f>
        <v>2</v>
      </c>
      <c r="T341" s="81">
        <f>HLOOKUP(M341,データについて!$J$7:$M$18,12,FALSE)</f>
        <v>2</v>
      </c>
      <c r="U341" s="81">
        <f>HLOOKUP(N341,データについて!$J$8:$M$18,11,FALSE)</f>
        <v>1</v>
      </c>
      <c r="V341" s="81">
        <f>HLOOKUP(O341,データについて!$J$9:$M$18,10,FALSE)</f>
        <v>1</v>
      </c>
      <c r="W341" s="81">
        <f>HLOOKUP(P341,データについて!$J$10:$M$18,9,FALSE)</f>
        <v>1</v>
      </c>
      <c r="X341" s="81">
        <f>HLOOKUP(Q341,データについて!$J$11:$M$18,8,FALSE)</f>
        <v>1</v>
      </c>
      <c r="Y341" s="81">
        <f>HLOOKUP(R341,データについて!$J$12:$M$18,7,FALSE)</f>
        <v>4</v>
      </c>
      <c r="Z341" s="81">
        <f>HLOOKUP(I341,データについて!$J$3:$M$18,16,FALSE)</f>
        <v>1</v>
      </c>
      <c r="AA341" s="81">
        <f>IFERROR(HLOOKUP(J341,データについて!$J$4:$AH$19,16,FALSE),"")</f>
        <v>2</v>
      </c>
      <c r="AB341" s="81" t="str">
        <f>IFERROR(HLOOKUP(K341,データについて!$J$5:$AH$20,14,FALSE),"")</f>
        <v/>
      </c>
      <c r="AC341" s="81">
        <f>IF(X341=1,HLOOKUP(R341,データについて!$J$12:$M$18,7,FALSE),"*")</f>
        <v>4</v>
      </c>
      <c r="AD341" s="81" t="str">
        <f>IF(X341=2,HLOOKUP(R341,データについて!$J$12:$M$18,7,FALSE),"*")</f>
        <v>*</v>
      </c>
    </row>
    <row r="342" spans="1:30">
      <c r="A342" s="30">
        <v>4850</v>
      </c>
      <c r="B342" s="30" t="s">
        <v>4912</v>
      </c>
      <c r="C342" s="30" t="s">
        <v>4913</v>
      </c>
      <c r="D342" s="30" t="s">
        <v>106</v>
      </c>
      <c r="E342" s="30"/>
      <c r="F342" s="30" t="s">
        <v>107</v>
      </c>
      <c r="G342" s="30" t="s">
        <v>106</v>
      </c>
      <c r="H342" s="30"/>
      <c r="I342" s="30" t="s">
        <v>192</v>
      </c>
      <c r="J342" s="30" t="s">
        <v>4412</v>
      </c>
      <c r="K342" s="30"/>
      <c r="L342" s="30" t="s">
        <v>117</v>
      </c>
      <c r="M342" s="30" t="s">
        <v>113</v>
      </c>
      <c r="N342" s="30" t="s">
        <v>110</v>
      </c>
      <c r="O342" s="30" t="s">
        <v>115</v>
      </c>
      <c r="P342" s="30" t="s">
        <v>112</v>
      </c>
      <c r="Q342" s="30" t="s">
        <v>112</v>
      </c>
      <c r="R342" s="30" t="s">
        <v>185</v>
      </c>
      <c r="S342" s="81">
        <f>HLOOKUP(L342,データについて!$J$6:$M$18,13,FALSE)</f>
        <v>2</v>
      </c>
      <c r="T342" s="81">
        <f>HLOOKUP(M342,データについて!$J$7:$M$18,12,FALSE)</f>
        <v>1</v>
      </c>
      <c r="U342" s="81">
        <f>HLOOKUP(N342,データについて!$J$8:$M$18,11,FALSE)</f>
        <v>2</v>
      </c>
      <c r="V342" s="81">
        <f>HLOOKUP(O342,データについて!$J$9:$M$18,10,FALSE)</f>
        <v>1</v>
      </c>
      <c r="W342" s="81">
        <f>HLOOKUP(P342,データについて!$J$10:$M$18,9,FALSE)</f>
        <v>1</v>
      </c>
      <c r="X342" s="81">
        <f>HLOOKUP(Q342,データについて!$J$11:$M$18,8,FALSE)</f>
        <v>1</v>
      </c>
      <c r="Y342" s="81">
        <f>HLOOKUP(R342,データについて!$J$12:$M$18,7,FALSE)</f>
        <v>2</v>
      </c>
      <c r="Z342" s="81">
        <f>HLOOKUP(I342,データについて!$J$3:$M$18,16,FALSE)</f>
        <v>1</v>
      </c>
      <c r="AA342" s="81">
        <f>IFERROR(HLOOKUP(J342,データについて!$J$4:$AH$19,16,FALSE),"")</f>
        <v>2</v>
      </c>
      <c r="AB342" s="81" t="str">
        <f>IFERROR(HLOOKUP(K342,データについて!$J$5:$AH$20,14,FALSE),"")</f>
        <v/>
      </c>
      <c r="AC342" s="81">
        <f>IF(X342=1,HLOOKUP(R342,データについて!$J$12:$M$18,7,FALSE),"*")</f>
        <v>2</v>
      </c>
      <c r="AD342" s="81" t="str">
        <f>IF(X342=2,HLOOKUP(R342,データについて!$J$12:$M$18,7,FALSE),"*")</f>
        <v>*</v>
      </c>
    </row>
    <row r="343" spans="1:30">
      <c r="A343" s="30">
        <v>4849</v>
      </c>
      <c r="B343" s="30" t="s">
        <v>4914</v>
      </c>
      <c r="C343" s="30" t="s">
        <v>4915</v>
      </c>
      <c r="D343" s="30" t="s">
        <v>106</v>
      </c>
      <c r="E343" s="30"/>
      <c r="F343" s="30" t="s">
        <v>107</v>
      </c>
      <c r="G343" s="30" t="s">
        <v>106</v>
      </c>
      <c r="H343" s="30"/>
      <c r="I343" s="30" t="s">
        <v>192</v>
      </c>
      <c r="J343" s="30" t="s">
        <v>4412</v>
      </c>
      <c r="K343" s="30"/>
      <c r="L343" s="30" t="s">
        <v>117</v>
      </c>
      <c r="M343" s="30" t="s">
        <v>113</v>
      </c>
      <c r="N343" s="30" t="s">
        <v>114</v>
      </c>
      <c r="O343" s="30" t="s">
        <v>115</v>
      </c>
      <c r="P343" s="30" t="s">
        <v>112</v>
      </c>
      <c r="Q343" s="30" t="s">
        <v>112</v>
      </c>
      <c r="R343" s="30" t="s">
        <v>183</v>
      </c>
      <c r="S343" s="81">
        <f>HLOOKUP(L343,データについて!$J$6:$M$18,13,FALSE)</f>
        <v>2</v>
      </c>
      <c r="T343" s="81">
        <f>HLOOKUP(M343,データについて!$J$7:$M$18,12,FALSE)</f>
        <v>1</v>
      </c>
      <c r="U343" s="81">
        <f>HLOOKUP(N343,データについて!$J$8:$M$18,11,FALSE)</f>
        <v>1</v>
      </c>
      <c r="V343" s="81">
        <f>HLOOKUP(O343,データについて!$J$9:$M$18,10,FALSE)</f>
        <v>1</v>
      </c>
      <c r="W343" s="81">
        <f>HLOOKUP(P343,データについて!$J$10:$M$18,9,FALSE)</f>
        <v>1</v>
      </c>
      <c r="X343" s="81">
        <f>HLOOKUP(Q343,データについて!$J$11:$M$18,8,FALSE)</f>
        <v>1</v>
      </c>
      <c r="Y343" s="81">
        <f>HLOOKUP(R343,データについて!$J$12:$M$18,7,FALSE)</f>
        <v>1</v>
      </c>
      <c r="Z343" s="81">
        <f>HLOOKUP(I343,データについて!$J$3:$M$18,16,FALSE)</f>
        <v>1</v>
      </c>
      <c r="AA343" s="81">
        <f>IFERROR(HLOOKUP(J343,データについて!$J$4:$AH$19,16,FALSE),"")</f>
        <v>2</v>
      </c>
      <c r="AB343" s="81" t="str">
        <f>IFERROR(HLOOKUP(K343,データについて!$J$5:$AH$20,14,FALSE),"")</f>
        <v/>
      </c>
      <c r="AC343" s="81">
        <f>IF(X343=1,HLOOKUP(R343,データについて!$J$12:$M$18,7,FALSE),"*")</f>
        <v>1</v>
      </c>
      <c r="AD343" s="81" t="str">
        <f>IF(X343=2,HLOOKUP(R343,データについて!$J$12:$M$18,7,FALSE),"*")</f>
        <v>*</v>
      </c>
    </row>
    <row r="344" spans="1:30">
      <c r="A344" s="30">
        <v>4848</v>
      </c>
      <c r="B344" s="30" t="s">
        <v>4916</v>
      </c>
      <c r="C344" s="30" t="s">
        <v>4917</v>
      </c>
      <c r="D344" s="30" t="s">
        <v>106</v>
      </c>
      <c r="E344" s="30"/>
      <c r="F344" s="30" t="s">
        <v>107</v>
      </c>
      <c r="G344" s="30" t="s">
        <v>106</v>
      </c>
      <c r="H344" s="30"/>
      <c r="I344" s="30" t="s">
        <v>192</v>
      </c>
      <c r="J344" s="30" t="s">
        <v>4412</v>
      </c>
      <c r="K344" s="30"/>
      <c r="L344" s="30" t="s">
        <v>108</v>
      </c>
      <c r="M344" s="30" t="s">
        <v>113</v>
      </c>
      <c r="N344" s="30" t="s">
        <v>114</v>
      </c>
      <c r="O344" s="30" t="s">
        <v>115</v>
      </c>
      <c r="P344" s="30" t="s">
        <v>112</v>
      </c>
      <c r="Q344" s="30" t="s">
        <v>112</v>
      </c>
      <c r="R344" s="30" t="s">
        <v>187</v>
      </c>
      <c r="S344" s="81">
        <f>HLOOKUP(L344,データについて!$J$6:$M$18,13,FALSE)</f>
        <v>1</v>
      </c>
      <c r="T344" s="81">
        <f>HLOOKUP(M344,データについて!$J$7:$M$18,12,FALSE)</f>
        <v>1</v>
      </c>
      <c r="U344" s="81">
        <f>HLOOKUP(N344,データについて!$J$8:$M$18,11,FALSE)</f>
        <v>1</v>
      </c>
      <c r="V344" s="81">
        <f>HLOOKUP(O344,データについて!$J$9:$M$18,10,FALSE)</f>
        <v>1</v>
      </c>
      <c r="W344" s="81">
        <f>HLOOKUP(P344,データについて!$J$10:$M$18,9,FALSE)</f>
        <v>1</v>
      </c>
      <c r="X344" s="81">
        <f>HLOOKUP(Q344,データについて!$J$11:$M$18,8,FALSE)</f>
        <v>1</v>
      </c>
      <c r="Y344" s="81">
        <f>HLOOKUP(R344,データについて!$J$12:$M$18,7,FALSE)</f>
        <v>3</v>
      </c>
      <c r="Z344" s="81">
        <f>HLOOKUP(I344,データについて!$J$3:$M$18,16,FALSE)</f>
        <v>1</v>
      </c>
      <c r="AA344" s="81">
        <f>IFERROR(HLOOKUP(J344,データについて!$J$4:$AH$19,16,FALSE),"")</f>
        <v>2</v>
      </c>
      <c r="AB344" s="81" t="str">
        <f>IFERROR(HLOOKUP(K344,データについて!$J$5:$AH$20,14,FALSE),"")</f>
        <v/>
      </c>
      <c r="AC344" s="81">
        <f>IF(X344=1,HLOOKUP(R344,データについて!$J$12:$M$18,7,FALSE),"*")</f>
        <v>3</v>
      </c>
      <c r="AD344" s="81" t="str">
        <f>IF(X344=2,HLOOKUP(R344,データについて!$J$12:$M$18,7,FALSE),"*")</f>
        <v>*</v>
      </c>
    </row>
    <row r="345" spans="1:30">
      <c r="A345" s="30">
        <v>4847</v>
      </c>
      <c r="B345" s="30" t="s">
        <v>4918</v>
      </c>
      <c r="C345" s="30" t="s">
        <v>4919</v>
      </c>
      <c r="D345" s="30" t="s">
        <v>106</v>
      </c>
      <c r="E345" s="30"/>
      <c r="F345" s="30" t="s">
        <v>107</v>
      </c>
      <c r="G345" s="30" t="s">
        <v>106</v>
      </c>
      <c r="H345" s="30"/>
      <c r="I345" s="30" t="s">
        <v>192</v>
      </c>
      <c r="J345" s="30" t="s">
        <v>4412</v>
      </c>
      <c r="K345" s="30"/>
      <c r="L345" s="30" t="s">
        <v>108</v>
      </c>
      <c r="M345" s="30" t="s">
        <v>113</v>
      </c>
      <c r="N345" s="30" t="s">
        <v>114</v>
      </c>
      <c r="O345" s="30" t="s">
        <v>115</v>
      </c>
      <c r="P345" s="30" t="s">
        <v>112</v>
      </c>
      <c r="Q345" s="30" t="s">
        <v>112</v>
      </c>
      <c r="R345" s="30" t="s">
        <v>183</v>
      </c>
      <c r="S345" s="81">
        <f>HLOOKUP(L345,データについて!$J$6:$M$18,13,FALSE)</f>
        <v>1</v>
      </c>
      <c r="T345" s="81">
        <f>HLOOKUP(M345,データについて!$J$7:$M$18,12,FALSE)</f>
        <v>1</v>
      </c>
      <c r="U345" s="81">
        <f>HLOOKUP(N345,データについて!$J$8:$M$18,11,FALSE)</f>
        <v>1</v>
      </c>
      <c r="V345" s="81">
        <f>HLOOKUP(O345,データについて!$J$9:$M$18,10,FALSE)</f>
        <v>1</v>
      </c>
      <c r="W345" s="81">
        <f>HLOOKUP(P345,データについて!$J$10:$M$18,9,FALSE)</f>
        <v>1</v>
      </c>
      <c r="X345" s="81">
        <f>HLOOKUP(Q345,データについて!$J$11:$M$18,8,FALSE)</f>
        <v>1</v>
      </c>
      <c r="Y345" s="81">
        <f>HLOOKUP(R345,データについて!$J$12:$M$18,7,FALSE)</f>
        <v>1</v>
      </c>
      <c r="Z345" s="81">
        <f>HLOOKUP(I345,データについて!$J$3:$M$18,16,FALSE)</f>
        <v>1</v>
      </c>
      <c r="AA345" s="81">
        <f>IFERROR(HLOOKUP(J345,データについて!$J$4:$AH$19,16,FALSE),"")</f>
        <v>2</v>
      </c>
      <c r="AB345" s="81" t="str">
        <f>IFERROR(HLOOKUP(K345,データについて!$J$5:$AH$20,14,FALSE),"")</f>
        <v/>
      </c>
      <c r="AC345" s="81">
        <f>IF(X345=1,HLOOKUP(R345,データについて!$J$12:$M$18,7,FALSE),"*")</f>
        <v>1</v>
      </c>
      <c r="AD345" s="81" t="str">
        <f>IF(X345=2,HLOOKUP(R345,データについて!$J$12:$M$18,7,FALSE),"*")</f>
        <v>*</v>
      </c>
    </row>
    <row r="346" spans="1:30">
      <c r="A346" s="30">
        <v>4846</v>
      </c>
      <c r="B346" s="30" t="s">
        <v>4920</v>
      </c>
      <c r="C346" s="30" t="s">
        <v>4921</v>
      </c>
      <c r="D346" s="30" t="s">
        <v>106</v>
      </c>
      <c r="E346" s="30"/>
      <c r="F346" s="30" t="s">
        <v>107</v>
      </c>
      <c r="G346" s="30" t="s">
        <v>106</v>
      </c>
      <c r="H346" s="30"/>
      <c r="I346" s="30" t="s">
        <v>192</v>
      </c>
      <c r="J346" s="30" t="s">
        <v>4412</v>
      </c>
      <c r="K346" s="30"/>
      <c r="L346" s="30" t="s">
        <v>117</v>
      </c>
      <c r="M346" s="30" t="s">
        <v>113</v>
      </c>
      <c r="N346" s="30" t="s">
        <v>114</v>
      </c>
      <c r="O346" s="30" t="s">
        <v>115</v>
      </c>
      <c r="P346" s="30" t="s">
        <v>112</v>
      </c>
      <c r="Q346" s="30" t="s">
        <v>112</v>
      </c>
      <c r="R346" s="30" t="s">
        <v>187</v>
      </c>
      <c r="S346" s="81">
        <f>HLOOKUP(L346,データについて!$J$6:$M$18,13,FALSE)</f>
        <v>2</v>
      </c>
      <c r="T346" s="81">
        <f>HLOOKUP(M346,データについて!$J$7:$M$18,12,FALSE)</f>
        <v>1</v>
      </c>
      <c r="U346" s="81">
        <f>HLOOKUP(N346,データについて!$J$8:$M$18,11,FALSE)</f>
        <v>1</v>
      </c>
      <c r="V346" s="81">
        <f>HLOOKUP(O346,データについて!$J$9:$M$18,10,FALSE)</f>
        <v>1</v>
      </c>
      <c r="W346" s="81">
        <f>HLOOKUP(P346,データについて!$J$10:$M$18,9,FALSE)</f>
        <v>1</v>
      </c>
      <c r="X346" s="81">
        <f>HLOOKUP(Q346,データについて!$J$11:$M$18,8,FALSE)</f>
        <v>1</v>
      </c>
      <c r="Y346" s="81">
        <f>HLOOKUP(R346,データについて!$J$12:$M$18,7,FALSE)</f>
        <v>3</v>
      </c>
      <c r="Z346" s="81">
        <f>HLOOKUP(I346,データについて!$J$3:$M$18,16,FALSE)</f>
        <v>1</v>
      </c>
      <c r="AA346" s="81">
        <f>IFERROR(HLOOKUP(J346,データについて!$J$4:$AH$19,16,FALSE),"")</f>
        <v>2</v>
      </c>
      <c r="AB346" s="81" t="str">
        <f>IFERROR(HLOOKUP(K346,データについて!$J$5:$AH$20,14,FALSE),"")</f>
        <v/>
      </c>
      <c r="AC346" s="81">
        <f>IF(X346=1,HLOOKUP(R346,データについて!$J$12:$M$18,7,FALSE),"*")</f>
        <v>3</v>
      </c>
      <c r="AD346" s="81" t="str">
        <f>IF(X346=2,HLOOKUP(R346,データについて!$J$12:$M$18,7,FALSE),"*")</f>
        <v>*</v>
      </c>
    </row>
    <row r="347" spans="1:30">
      <c r="A347" s="30">
        <v>4845</v>
      </c>
      <c r="B347" s="30" t="s">
        <v>4922</v>
      </c>
      <c r="C347" s="30" t="s">
        <v>4923</v>
      </c>
      <c r="D347" s="30" t="s">
        <v>106</v>
      </c>
      <c r="E347" s="30"/>
      <c r="F347" s="30" t="s">
        <v>107</v>
      </c>
      <c r="G347" s="30" t="s">
        <v>106</v>
      </c>
      <c r="H347" s="30"/>
      <c r="I347" s="30" t="s">
        <v>192</v>
      </c>
      <c r="J347" s="30" t="s">
        <v>4412</v>
      </c>
      <c r="K347" s="30"/>
      <c r="L347" s="30" t="s">
        <v>117</v>
      </c>
      <c r="M347" s="30" t="s">
        <v>113</v>
      </c>
      <c r="N347" s="30" t="s">
        <v>122</v>
      </c>
      <c r="O347" s="30" t="s">
        <v>115</v>
      </c>
      <c r="P347" s="30" t="s">
        <v>112</v>
      </c>
      <c r="Q347" s="30" t="s">
        <v>112</v>
      </c>
      <c r="R347" s="30" t="s">
        <v>185</v>
      </c>
      <c r="S347" s="81">
        <f>HLOOKUP(L347,データについて!$J$6:$M$18,13,FALSE)</f>
        <v>2</v>
      </c>
      <c r="T347" s="81">
        <f>HLOOKUP(M347,データについて!$J$7:$M$18,12,FALSE)</f>
        <v>1</v>
      </c>
      <c r="U347" s="81">
        <f>HLOOKUP(N347,データについて!$J$8:$M$18,11,FALSE)</f>
        <v>3</v>
      </c>
      <c r="V347" s="81">
        <f>HLOOKUP(O347,データについて!$J$9:$M$18,10,FALSE)</f>
        <v>1</v>
      </c>
      <c r="W347" s="81">
        <f>HLOOKUP(P347,データについて!$J$10:$M$18,9,FALSE)</f>
        <v>1</v>
      </c>
      <c r="X347" s="81">
        <f>HLOOKUP(Q347,データについて!$J$11:$M$18,8,FALSE)</f>
        <v>1</v>
      </c>
      <c r="Y347" s="81">
        <f>HLOOKUP(R347,データについて!$J$12:$M$18,7,FALSE)</f>
        <v>2</v>
      </c>
      <c r="Z347" s="81">
        <f>HLOOKUP(I347,データについて!$J$3:$M$18,16,FALSE)</f>
        <v>1</v>
      </c>
      <c r="AA347" s="81">
        <f>IFERROR(HLOOKUP(J347,データについて!$J$4:$AH$19,16,FALSE),"")</f>
        <v>2</v>
      </c>
      <c r="AB347" s="81" t="str">
        <f>IFERROR(HLOOKUP(K347,データについて!$J$5:$AH$20,14,FALSE),"")</f>
        <v/>
      </c>
      <c r="AC347" s="81">
        <f>IF(X347=1,HLOOKUP(R347,データについて!$J$12:$M$18,7,FALSE),"*")</f>
        <v>2</v>
      </c>
      <c r="AD347" s="81" t="str">
        <f>IF(X347=2,HLOOKUP(R347,データについて!$J$12:$M$18,7,FALSE),"*")</f>
        <v>*</v>
      </c>
    </row>
    <row r="348" spans="1:30">
      <c r="A348" s="30">
        <v>4844</v>
      </c>
      <c r="B348" s="30" t="s">
        <v>4924</v>
      </c>
      <c r="C348" s="30" t="s">
        <v>4925</v>
      </c>
      <c r="D348" s="30" t="s">
        <v>106</v>
      </c>
      <c r="E348" s="30"/>
      <c r="F348" s="30" t="s">
        <v>107</v>
      </c>
      <c r="G348" s="30" t="s">
        <v>106</v>
      </c>
      <c r="H348" s="30"/>
      <c r="I348" s="30" t="s">
        <v>192</v>
      </c>
      <c r="J348" s="30" t="s">
        <v>4412</v>
      </c>
      <c r="K348" s="30"/>
      <c r="L348" s="30" t="s">
        <v>108</v>
      </c>
      <c r="M348" s="30" t="s">
        <v>109</v>
      </c>
      <c r="N348" s="30" t="s">
        <v>114</v>
      </c>
      <c r="O348" s="30" t="s">
        <v>115</v>
      </c>
      <c r="P348" s="30" t="s">
        <v>112</v>
      </c>
      <c r="Q348" s="30" t="s">
        <v>112</v>
      </c>
      <c r="R348" s="30" t="s">
        <v>189</v>
      </c>
      <c r="S348" s="81">
        <f>HLOOKUP(L348,データについて!$J$6:$M$18,13,FALSE)</f>
        <v>1</v>
      </c>
      <c r="T348" s="81">
        <f>HLOOKUP(M348,データについて!$J$7:$M$18,12,FALSE)</f>
        <v>2</v>
      </c>
      <c r="U348" s="81">
        <f>HLOOKUP(N348,データについて!$J$8:$M$18,11,FALSE)</f>
        <v>1</v>
      </c>
      <c r="V348" s="81">
        <f>HLOOKUP(O348,データについて!$J$9:$M$18,10,FALSE)</f>
        <v>1</v>
      </c>
      <c r="W348" s="81">
        <f>HLOOKUP(P348,データについて!$J$10:$M$18,9,FALSE)</f>
        <v>1</v>
      </c>
      <c r="X348" s="81">
        <f>HLOOKUP(Q348,データについて!$J$11:$M$18,8,FALSE)</f>
        <v>1</v>
      </c>
      <c r="Y348" s="81">
        <f>HLOOKUP(R348,データについて!$J$12:$M$18,7,FALSE)</f>
        <v>4</v>
      </c>
      <c r="Z348" s="81">
        <f>HLOOKUP(I348,データについて!$J$3:$M$18,16,FALSE)</f>
        <v>1</v>
      </c>
      <c r="AA348" s="81">
        <f>IFERROR(HLOOKUP(J348,データについて!$J$4:$AH$19,16,FALSE),"")</f>
        <v>2</v>
      </c>
      <c r="AB348" s="81" t="str">
        <f>IFERROR(HLOOKUP(K348,データについて!$J$5:$AH$20,14,FALSE),"")</f>
        <v/>
      </c>
      <c r="AC348" s="81">
        <f>IF(X348=1,HLOOKUP(R348,データについて!$J$12:$M$18,7,FALSE),"*")</f>
        <v>4</v>
      </c>
      <c r="AD348" s="81" t="str">
        <f>IF(X348=2,HLOOKUP(R348,データについて!$J$12:$M$18,7,FALSE),"*")</f>
        <v>*</v>
      </c>
    </row>
    <row r="349" spans="1:30">
      <c r="A349" s="30">
        <v>4843</v>
      </c>
      <c r="B349" s="30" t="s">
        <v>4926</v>
      </c>
      <c r="C349" s="30" t="s">
        <v>4927</v>
      </c>
      <c r="D349" s="30" t="s">
        <v>106</v>
      </c>
      <c r="E349" s="30"/>
      <c r="F349" s="30" t="s">
        <v>107</v>
      </c>
      <c r="G349" s="30" t="s">
        <v>106</v>
      </c>
      <c r="H349" s="30"/>
      <c r="I349" s="30" t="s">
        <v>192</v>
      </c>
      <c r="J349" s="30" t="s">
        <v>4412</v>
      </c>
      <c r="K349" s="30"/>
      <c r="L349" s="30" t="s">
        <v>108</v>
      </c>
      <c r="M349" s="30" t="s">
        <v>113</v>
      </c>
      <c r="N349" s="30" t="s">
        <v>114</v>
      </c>
      <c r="O349" s="30" t="s">
        <v>115</v>
      </c>
      <c r="P349" s="30" t="s">
        <v>112</v>
      </c>
      <c r="Q349" s="30" t="s">
        <v>112</v>
      </c>
      <c r="R349" s="30" t="s">
        <v>183</v>
      </c>
      <c r="S349" s="81">
        <f>HLOOKUP(L349,データについて!$J$6:$M$18,13,FALSE)</f>
        <v>1</v>
      </c>
      <c r="T349" s="81">
        <f>HLOOKUP(M349,データについて!$J$7:$M$18,12,FALSE)</f>
        <v>1</v>
      </c>
      <c r="U349" s="81">
        <f>HLOOKUP(N349,データについて!$J$8:$M$18,11,FALSE)</f>
        <v>1</v>
      </c>
      <c r="V349" s="81">
        <f>HLOOKUP(O349,データについて!$J$9:$M$18,10,FALSE)</f>
        <v>1</v>
      </c>
      <c r="W349" s="81">
        <f>HLOOKUP(P349,データについて!$J$10:$M$18,9,FALSE)</f>
        <v>1</v>
      </c>
      <c r="X349" s="81">
        <f>HLOOKUP(Q349,データについて!$J$11:$M$18,8,FALSE)</f>
        <v>1</v>
      </c>
      <c r="Y349" s="81">
        <f>HLOOKUP(R349,データについて!$J$12:$M$18,7,FALSE)</f>
        <v>1</v>
      </c>
      <c r="Z349" s="81">
        <f>HLOOKUP(I349,データについて!$J$3:$M$18,16,FALSE)</f>
        <v>1</v>
      </c>
      <c r="AA349" s="81">
        <f>IFERROR(HLOOKUP(J349,データについて!$J$4:$AH$19,16,FALSE),"")</f>
        <v>2</v>
      </c>
      <c r="AB349" s="81" t="str">
        <f>IFERROR(HLOOKUP(K349,データについて!$J$5:$AH$20,14,FALSE),"")</f>
        <v/>
      </c>
      <c r="AC349" s="81">
        <f>IF(X349=1,HLOOKUP(R349,データについて!$J$12:$M$18,7,FALSE),"*")</f>
        <v>1</v>
      </c>
      <c r="AD349" s="81" t="str">
        <f>IF(X349=2,HLOOKUP(R349,データについて!$J$12:$M$18,7,FALSE),"*")</f>
        <v>*</v>
      </c>
    </row>
    <row r="350" spans="1:30">
      <c r="A350" s="30">
        <v>4842</v>
      </c>
      <c r="B350" s="30" t="s">
        <v>4928</v>
      </c>
      <c r="C350" s="30" t="s">
        <v>4929</v>
      </c>
      <c r="D350" s="30" t="s">
        <v>106</v>
      </c>
      <c r="E350" s="30"/>
      <c r="F350" s="30" t="s">
        <v>107</v>
      </c>
      <c r="G350" s="30" t="s">
        <v>106</v>
      </c>
      <c r="H350" s="30"/>
      <c r="I350" s="30" t="s">
        <v>192</v>
      </c>
      <c r="J350" s="30" t="s">
        <v>4412</v>
      </c>
      <c r="K350" s="30"/>
      <c r="L350" s="30" t="s">
        <v>117</v>
      </c>
      <c r="M350" s="30" t="s">
        <v>113</v>
      </c>
      <c r="N350" s="30" t="s">
        <v>110</v>
      </c>
      <c r="O350" s="30" t="s">
        <v>115</v>
      </c>
      <c r="P350" s="30" t="s">
        <v>112</v>
      </c>
      <c r="Q350" s="30" t="s">
        <v>112</v>
      </c>
      <c r="R350" s="30" t="s">
        <v>185</v>
      </c>
      <c r="S350" s="81">
        <f>HLOOKUP(L350,データについて!$J$6:$M$18,13,FALSE)</f>
        <v>2</v>
      </c>
      <c r="T350" s="81">
        <f>HLOOKUP(M350,データについて!$J$7:$M$18,12,FALSE)</f>
        <v>1</v>
      </c>
      <c r="U350" s="81">
        <f>HLOOKUP(N350,データについて!$J$8:$M$18,11,FALSE)</f>
        <v>2</v>
      </c>
      <c r="V350" s="81">
        <f>HLOOKUP(O350,データについて!$J$9:$M$18,10,FALSE)</f>
        <v>1</v>
      </c>
      <c r="W350" s="81">
        <f>HLOOKUP(P350,データについて!$J$10:$M$18,9,FALSE)</f>
        <v>1</v>
      </c>
      <c r="X350" s="81">
        <f>HLOOKUP(Q350,データについて!$J$11:$M$18,8,FALSE)</f>
        <v>1</v>
      </c>
      <c r="Y350" s="81">
        <f>HLOOKUP(R350,データについて!$J$12:$M$18,7,FALSE)</f>
        <v>2</v>
      </c>
      <c r="Z350" s="81">
        <f>HLOOKUP(I350,データについて!$J$3:$M$18,16,FALSE)</f>
        <v>1</v>
      </c>
      <c r="AA350" s="81">
        <f>IFERROR(HLOOKUP(J350,データについて!$J$4:$AH$19,16,FALSE),"")</f>
        <v>2</v>
      </c>
      <c r="AB350" s="81" t="str">
        <f>IFERROR(HLOOKUP(K350,データについて!$J$5:$AH$20,14,FALSE),"")</f>
        <v/>
      </c>
      <c r="AC350" s="81">
        <f>IF(X350=1,HLOOKUP(R350,データについて!$J$12:$M$18,7,FALSE),"*")</f>
        <v>2</v>
      </c>
      <c r="AD350" s="81" t="str">
        <f>IF(X350=2,HLOOKUP(R350,データについて!$J$12:$M$18,7,FALSE),"*")</f>
        <v>*</v>
      </c>
    </row>
    <row r="351" spans="1:30">
      <c r="A351" s="30">
        <v>4841</v>
      </c>
      <c r="B351" s="30" t="s">
        <v>4930</v>
      </c>
      <c r="C351" s="30" t="s">
        <v>4931</v>
      </c>
      <c r="D351" s="30" t="s">
        <v>106</v>
      </c>
      <c r="E351" s="30"/>
      <c r="F351" s="30" t="s">
        <v>107</v>
      </c>
      <c r="G351" s="30" t="s">
        <v>106</v>
      </c>
      <c r="H351" s="30"/>
      <c r="I351" s="30" t="s">
        <v>192</v>
      </c>
      <c r="J351" s="30" t="s">
        <v>4412</v>
      </c>
      <c r="K351" s="30"/>
      <c r="L351" s="30" t="s">
        <v>117</v>
      </c>
      <c r="M351" s="30" t="s">
        <v>113</v>
      </c>
      <c r="N351" s="30" t="s">
        <v>114</v>
      </c>
      <c r="O351" s="30" t="s">
        <v>115</v>
      </c>
      <c r="P351" s="30" t="s">
        <v>118</v>
      </c>
      <c r="Q351" s="30" t="s">
        <v>112</v>
      </c>
      <c r="R351" s="30" t="s">
        <v>185</v>
      </c>
      <c r="S351" s="81">
        <f>HLOOKUP(L351,データについて!$J$6:$M$18,13,FALSE)</f>
        <v>2</v>
      </c>
      <c r="T351" s="81">
        <f>HLOOKUP(M351,データについて!$J$7:$M$18,12,FALSE)</f>
        <v>1</v>
      </c>
      <c r="U351" s="81">
        <f>HLOOKUP(N351,データについて!$J$8:$M$18,11,FALSE)</f>
        <v>1</v>
      </c>
      <c r="V351" s="81">
        <f>HLOOKUP(O351,データについて!$J$9:$M$18,10,FALSE)</f>
        <v>1</v>
      </c>
      <c r="W351" s="81">
        <f>HLOOKUP(P351,データについて!$J$10:$M$18,9,FALSE)</f>
        <v>2</v>
      </c>
      <c r="X351" s="81">
        <f>HLOOKUP(Q351,データについて!$J$11:$M$18,8,FALSE)</f>
        <v>1</v>
      </c>
      <c r="Y351" s="81">
        <f>HLOOKUP(R351,データについて!$J$12:$M$18,7,FALSE)</f>
        <v>2</v>
      </c>
      <c r="Z351" s="81">
        <f>HLOOKUP(I351,データについて!$J$3:$M$18,16,FALSE)</f>
        <v>1</v>
      </c>
      <c r="AA351" s="81">
        <f>IFERROR(HLOOKUP(J351,データについて!$J$4:$AH$19,16,FALSE),"")</f>
        <v>2</v>
      </c>
      <c r="AB351" s="81" t="str">
        <f>IFERROR(HLOOKUP(K351,データについて!$J$5:$AH$20,14,FALSE),"")</f>
        <v/>
      </c>
      <c r="AC351" s="81">
        <f>IF(X351=1,HLOOKUP(R351,データについて!$J$12:$M$18,7,FALSE),"*")</f>
        <v>2</v>
      </c>
      <c r="AD351" s="81" t="str">
        <f>IF(X351=2,HLOOKUP(R351,データについて!$J$12:$M$18,7,FALSE),"*")</f>
        <v>*</v>
      </c>
    </row>
    <row r="352" spans="1:30">
      <c r="A352" s="30">
        <v>4840</v>
      </c>
      <c r="B352" s="30" t="s">
        <v>4932</v>
      </c>
      <c r="C352" s="30" t="s">
        <v>4933</v>
      </c>
      <c r="D352" s="30" t="s">
        <v>106</v>
      </c>
      <c r="E352" s="30"/>
      <c r="F352" s="30" t="s">
        <v>107</v>
      </c>
      <c r="G352" s="30" t="s">
        <v>106</v>
      </c>
      <c r="H352" s="30"/>
      <c r="I352" s="30" t="s">
        <v>192</v>
      </c>
      <c r="J352" s="30" t="s">
        <v>4412</v>
      </c>
      <c r="K352" s="30"/>
      <c r="L352" s="30" t="s">
        <v>108</v>
      </c>
      <c r="M352" s="30" t="s">
        <v>109</v>
      </c>
      <c r="N352" s="30" t="s">
        <v>114</v>
      </c>
      <c r="O352" s="30" t="s">
        <v>115</v>
      </c>
      <c r="P352" s="30" t="s">
        <v>112</v>
      </c>
      <c r="Q352" s="30" t="s">
        <v>112</v>
      </c>
      <c r="R352" s="30" t="s">
        <v>187</v>
      </c>
      <c r="S352" s="81">
        <f>HLOOKUP(L352,データについて!$J$6:$M$18,13,FALSE)</f>
        <v>1</v>
      </c>
      <c r="T352" s="81">
        <f>HLOOKUP(M352,データについて!$J$7:$M$18,12,FALSE)</f>
        <v>2</v>
      </c>
      <c r="U352" s="81">
        <f>HLOOKUP(N352,データについて!$J$8:$M$18,11,FALSE)</f>
        <v>1</v>
      </c>
      <c r="V352" s="81">
        <f>HLOOKUP(O352,データについて!$J$9:$M$18,10,FALSE)</f>
        <v>1</v>
      </c>
      <c r="W352" s="81">
        <f>HLOOKUP(P352,データについて!$J$10:$M$18,9,FALSE)</f>
        <v>1</v>
      </c>
      <c r="X352" s="81">
        <f>HLOOKUP(Q352,データについて!$J$11:$M$18,8,FALSE)</f>
        <v>1</v>
      </c>
      <c r="Y352" s="81">
        <f>HLOOKUP(R352,データについて!$J$12:$M$18,7,FALSE)</f>
        <v>3</v>
      </c>
      <c r="Z352" s="81">
        <f>HLOOKUP(I352,データについて!$J$3:$M$18,16,FALSE)</f>
        <v>1</v>
      </c>
      <c r="AA352" s="81">
        <f>IFERROR(HLOOKUP(J352,データについて!$J$4:$AH$19,16,FALSE),"")</f>
        <v>2</v>
      </c>
      <c r="AB352" s="81" t="str">
        <f>IFERROR(HLOOKUP(K352,データについて!$J$5:$AH$20,14,FALSE),"")</f>
        <v/>
      </c>
      <c r="AC352" s="81">
        <f>IF(X352=1,HLOOKUP(R352,データについて!$J$12:$M$18,7,FALSE),"*")</f>
        <v>3</v>
      </c>
      <c r="AD352" s="81" t="str">
        <f>IF(X352=2,HLOOKUP(R352,データについて!$J$12:$M$18,7,FALSE),"*")</f>
        <v>*</v>
      </c>
    </row>
    <row r="353" spans="1:30">
      <c r="A353" s="30">
        <v>4839</v>
      </c>
      <c r="B353" s="30" t="s">
        <v>4934</v>
      </c>
      <c r="C353" s="30" t="s">
        <v>4935</v>
      </c>
      <c r="D353" s="30" t="s">
        <v>106</v>
      </c>
      <c r="E353" s="30"/>
      <c r="F353" s="30" t="s">
        <v>107</v>
      </c>
      <c r="G353" s="30" t="s">
        <v>106</v>
      </c>
      <c r="H353" s="30"/>
      <c r="I353" s="30" t="s">
        <v>192</v>
      </c>
      <c r="J353" s="30" t="s">
        <v>4412</v>
      </c>
      <c r="K353" s="30"/>
      <c r="L353" s="30" t="s">
        <v>108</v>
      </c>
      <c r="M353" s="30" t="s">
        <v>113</v>
      </c>
      <c r="N353" s="30" t="s">
        <v>110</v>
      </c>
      <c r="O353" s="30" t="s">
        <v>115</v>
      </c>
      <c r="P353" s="30" t="s">
        <v>112</v>
      </c>
      <c r="Q353" s="30" t="s">
        <v>112</v>
      </c>
      <c r="R353" s="30" t="s">
        <v>185</v>
      </c>
      <c r="S353" s="81">
        <f>HLOOKUP(L353,データについて!$J$6:$M$18,13,FALSE)</f>
        <v>1</v>
      </c>
      <c r="T353" s="81">
        <f>HLOOKUP(M353,データについて!$J$7:$M$18,12,FALSE)</f>
        <v>1</v>
      </c>
      <c r="U353" s="81">
        <f>HLOOKUP(N353,データについて!$J$8:$M$18,11,FALSE)</f>
        <v>2</v>
      </c>
      <c r="V353" s="81">
        <f>HLOOKUP(O353,データについて!$J$9:$M$18,10,FALSE)</f>
        <v>1</v>
      </c>
      <c r="W353" s="81">
        <f>HLOOKUP(P353,データについて!$J$10:$M$18,9,FALSE)</f>
        <v>1</v>
      </c>
      <c r="X353" s="81">
        <f>HLOOKUP(Q353,データについて!$J$11:$M$18,8,FALSE)</f>
        <v>1</v>
      </c>
      <c r="Y353" s="81">
        <f>HLOOKUP(R353,データについて!$J$12:$M$18,7,FALSE)</f>
        <v>2</v>
      </c>
      <c r="Z353" s="81">
        <f>HLOOKUP(I353,データについて!$J$3:$M$18,16,FALSE)</f>
        <v>1</v>
      </c>
      <c r="AA353" s="81">
        <f>IFERROR(HLOOKUP(J353,データについて!$J$4:$AH$19,16,FALSE),"")</f>
        <v>2</v>
      </c>
      <c r="AB353" s="81" t="str">
        <f>IFERROR(HLOOKUP(K353,データについて!$J$5:$AH$20,14,FALSE),"")</f>
        <v/>
      </c>
      <c r="AC353" s="81">
        <f>IF(X353=1,HLOOKUP(R353,データについて!$J$12:$M$18,7,FALSE),"*")</f>
        <v>2</v>
      </c>
      <c r="AD353" s="81" t="str">
        <f>IF(X353=2,HLOOKUP(R353,データについて!$J$12:$M$18,7,FALSE),"*")</f>
        <v>*</v>
      </c>
    </row>
    <row r="354" spans="1:30">
      <c r="A354" s="30">
        <v>4838</v>
      </c>
      <c r="B354" s="30" t="s">
        <v>4936</v>
      </c>
      <c r="C354" s="30" t="s">
        <v>4937</v>
      </c>
      <c r="D354" s="30" t="s">
        <v>106</v>
      </c>
      <c r="E354" s="30"/>
      <c r="F354" s="30" t="s">
        <v>107</v>
      </c>
      <c r="G354" s="30" t="s">
        <v>106</v>
      </c>
      <c r="H354" s="30"/>
      <c r="I354" s="30" t="s">
        <v>192</v>
      </c>
      <c r="J354" s="30" t="s">
        <v>4412</v>
      </c>
      <c r="K354" s="30"/>
      <c r="L354" s="30" t="s">
        <v>117</v>
      </c>
      <c r="M354" s="30" t="s">
        <v>113</v>
      </c>
      <c r="N354" s="30" t="s">
        <v>114</v>
      </c>
      <c r="O354" s="30" t="s">
        <v>115</v>
      </c>
      <c r="P354" s="30" t="s">
        <v>112</v>
      </c>
      <c r="Q354" s="30" t="s">
        <v>112</v>
      </c>
      <c r="R354" s="30" t="s">
        <v>187</v>
      </c>
      <c r="S354" s="81">
        <f>HLOOKUP(L354,データについて!$J$6:$M$18,13,FALSE)</f>
        <v>2</v>
      </c>
      <c r="T354" s="81">
        <f>HLOOKUP(M354,データについて!$J$7:$M$18,12,FALSE)</f>
        <v>1</v>
      </c>
      <c r="U354" s="81">
        <f>HLOOKUP(N354,データについて!$J$8:$M$18,11,FALSE)</f>
        <v>1</v>
      </c>
      <c r="V354" s="81">
        <f>HLOOKUP(O354,データについて!$J$9:$M$18,10,FALSE)</f>
        <v>1</v>
      </c>
      <c r="W354" s="81">
        <f>HLOOKUP(P354,データについて!$J$10:$M$18,9,FALSE)</f>
        <v>1</v>
      </c>
      <c r="X354" s="81">
        <f>HLOOKUP(Q354,データについて!$J$11:$M$18,8,FALSE)</f>
        <v>1</v>
      </c>
      <c r="Y354" s="81">
        <f>HLOOKUP(R354,データについて!$J$12:$M$18,7,FALSE)</f>
        <v>3</v>
      </c>
      <c r="Z354" s="81">
        <f>HLOOKUP(I354,データについて!$J$3:$M$18,16,FALSE)</f>
        <v>1</v>
      </c>
      <c r="AA354" s="81">
        <f>IFERROR(HLOOKUP(J354,データについて!$J$4:$AH$19,16,FALSE),"")</f>
        <v>2</v>
      </c>
      <c r="AB354" s="81" t="str">
        <f>IFERROR(HLOOKUP(K354,データについて!$J$5:$AH$20,14,FALSE),"")</f>
        <v/>
      </c>
      <c r="AC354" s="81">
        <f>IF(X354=1,HLOOKUP(R354,データについて!$J$12:$M$18,7,FALSE),"*")</f>
        <v>3</v>
      </c>
      <c r="AD354" s="81" t="str">
        <f>IF(X354=2,HLOOKUP(R354,データについて!$J$12:$M$18,7,FALSE),"*")</f>
        <v>*</v>
      </c>
    </row>
    <row r="355" spans="1:30">
      <c r="A355" s="30">
        <v>4837</v>
      </c>
      <c r="B355" s="30" t="s">
        <v>4938</v>
      </c>
      <c r="C355" s="30" t="s">
        <v>4939</v>
      </c>
      <c r="D355" s="30" t="s">
        <v>106</v>
      </c>
      <c r="E355" s="30"/>
      <c r="F355" s="30" t="s">
        <v>107</v>
      </c>
      <c r="G355" s="30" t="s">
        <v>106</v>
      </c>
      <c r="H355" s="30"/>
      <c r="I355" s="30" t="s">
        <v>192</v>
      </c>
      <c r="J355" s="30" t="s">
        <v>4412</v>
      </c>
      <c r="K355" s="30"/>
      <c r="L355" s="30" t="s">
        <v>108</v>
      </c>
      <c r="M355" s="30" t="s">
        <v>113</v>
      </c>
      <c r="N355" s="30" t="s">
        <v>114</v>
      </c>
      <c r="O355" s="30" t="s">
        <v>115</v>
      </c>
      <c r="P355" s="30" t="s">
        <v>112</v>
      </c>
      <c r="Q355" s="30" t="s">
        <v>112</v>
      </c>
      <c r="R355" s="30" t="s">
        <v>183</v>
      </c>
      <c r="S355" s="81">
        <f>HLOOKUP(L355,データについて!$J$6:$M$18,13,FALSE)</f>
        <v>1</v>
      </c>
      <c r="T355" s="81">
        <f>HLOOKUP(M355,データについて!$J$7:$M$18,12,FALSE)</f>
        <v>1</v>
      </c>
      <c r="U355" s="81">
        <f>HLOOKUP(N355,データについて!$J$8:$M$18,11,FALSE)</f>
        <v>1</v>
      </c>
      <c r="V355" s="81">
        <f>HLOOKUP(O355,データについて!$J$9:$M$18,10,FALSE)</f>
        <v>1</v>
      </c>
      <c r="W355" s="81">
        <f>HLOOKUP(P355,データについて!$J$10:$M$18,9,FALSE)</f>
        <v>1</v>
      </c>
      <c r="X355" s="81">
        <f>HLOOKUP(Q355,データについて!$J$11:$M$18,8,FALSE)</f>
        <v>1</v>
      </c>
      <c r="Y355" s="81">
        <f>HLOOKUP(R355,データについて!$J$12:$M$18,7,FALSE)</f>
        <v>1</v>
      </c>
      <c r="Z355" s="81">
        <f>HLOOKUP(I355,データについて!$J$3:$M$18,16,FALSE)</f>
        <v>1</v>
      </c>
      <c r="AA355" s="81">
        <f>IFERROR(HLOOKUP(J355,データについて!$J$4:$AH$19,16,FALSE),"")</f>
        <v>2</v>
      </c>
      <c r="AB355" s="81" t="str">
        <f>IFERROR(HLOOKUP(K355,データについて!$J$5:$AH$20,14,FALSE),"")</f>
        <v/>
      </c>
      <c r="AC355" s="81">
        <f>IF(X355=1,HLOOKUP(R355,データについて!$J$12:$M$18,7,FALSE),"*")</f>
        <v>1</v>
      </c>
      <c r="AD355" s="81" t="str">
        <f>IF(X355=2,HLOOKUP(R355,データについて!$J$12:$M$18,7,FALSE),"*")</f>
        <v>*</v>
      </c>
    </row>
    <row r="356" spans="1:30">
      <c r="A356" s="30">
        <v>4836</v>
      </c>
      <c r="B356" s="30" t="s">
        <v>4940</v>
      </c>
      <c r="C356" s="30" t="s">
        <v>4941</v>
      </c>
      <c r="D356" s="30" t="s">
        <v>106</v>
      </c>
      <c r="E356" s="30"/>
      <c r="F356" s="30" t="s">
        <v>107</v>
      </c>
      <c r="G356" s="30" t="s">
        <v>106</v>
      </c>
      <c r="H356" s="30"/>
      <c r="I356" s="30" t="s">
        <v>192</v>
      </c>
      <c r="J356" s="30" t="s">
        <v>4412</v>
      </c>
      <c r="K356" s="30"/>
      <c r="L356" s="30" t="s">
        <v>117</v>
      </c>
      <c r="M356" s="30" t="s">
        <v>113</v>
      </c>
      <c r="N356" s="30" t="s">
        <v>114</v>
      </c>
      <c r="O356" s="30" t="s">
        <v>115</v>
      </c>
      <c r="P356" s="30" t="s">
        <v>112</v>
      </c>
      <c r="Q356" s="30" t="s">
        <v>112</v>
      </c>
      <c r="R356" s="30" t="s">
        <v>187</v>
      </c>
      <c r="S356" s="81">
        <f>HLOOKUP(L356,データについて!$J$6:$M$18,13,FALSE)</f>
        <v>2</v>
      </c>
      <c r="T356" s="81">
        <f>HLOOKUP(M356,データについて!$J$7:$M$18,12,FALSE)</f>
        <v>1</v>
      </c>
      <c r="U356" s="81">
        <f>HLOOKUP(N356,データについて!$J$8:$M$18,11,FALSE)</f>
        <v>1</v>
      </c>
      <c r="V356" s="81">
        <f>HLOOKUP(O356,データについて!$J$9:$M$18,10,FALSE)</f>
        <v>1</v>
      </c>
      <c r="W356" s="81">
        <f>HLOOKUP(P356,データについて!$J$10:$M$18,9,FALSE)</f>
        <v>1</v>
      </c>
      <c r="X356" s="81">
        <f>HLOOKUP(Q356,データについて!$J$11:$M$18,8,FALSE)</f>
        <v>1</v>
      </c>
      <c r="Y356" s="81">
        <f>HLOOKUP(R356,データについて!$J$12:$M$18,7,FALSE)</f>
        <v>3</v>
      </c>
      <c r="Z356" s="81">
        <f>HLOOKUP(I356,データについて!$J$3:$M$18,16,FALSE)</f>
        <v>1</v>
      </c>
      <c r="AA356" s="81">
        <f>IFERROR(HLOOKUP(J356,データについて!$J$4:$AH$19,16,FALSE),"")</f>
        <v>2</v>
      </c>
      <c r="AB356" s="81" t="str">
        <f>IFERROR(HLOOKUP(K356,データについて!$J$5:$AH$20,14,FALSE),"")</f>
        <v/>
      </c>
      <c r="AC356" s="81">
        <f>IF(X356=1,HLOOKUP(R356,データについて!$J$12:$M$18,7,FALSE),"*")</f>
        <v>3</v>
      </c>
      <c r="AD356" s="81" t="str">
        <f>IF(X356=2,HLOOKUP(R356,データについて!$J$12:$M$18,7,FALSE),"*")</f>
        <v>*</v>
      </c>
    </row>
    <row r="357" spans="1:30">
      <c r="A357" s="30">
        <v>4835</v>
      </c>
      <c r="B357" s="30" t="s">
        <v>4942</v>
      </c>
      <c r="C357" s="30" t="s">
        <v>4943</v>
      </c>
      <c r="D357" s="30" t="s">
        <v>106</v>
      </c>
      <c r="E357" s="30"/>
      <c r="F357" s="30" t="s">
        <v>107</v>
      </c>
      <c r="G357" s="30" t="s">
        <v>106</v>
      </c>
      <c r="H357" s="30"/>
      <c r="I357" s="30" t="s">
        <v>192</v>
      </c>
      <c r="J357" s="30" t="s">
        <v>4412</v>
      </c>
      <c r="K357" s="30"/>
      <c r="L357" s="30" t="s">
        <v>117</v>
      </c>
      <c r="M357" s="30" t="s">
        <v>109</v>
      </c>
      <c r="N357" s="30" t="s">
        <v>122</v>
      </c>
      <c r="O357" s="30" t="s">
        <v>115</v>
      </c>
      <c r="P357" s="30" t="s">
        <v>112</v>
      </c>
      <c r="Q357" s="30" t="s">
        <v>112</v>
      </c>
      <c r="R357" s="30" t="s">
        <v>183</v>
      </c>
      <c r="S357" s="81">
        <f>HLOOKUP(L357,データについて!$J$6:$M$18,13,FALSE)</f>
        <v>2</v>
      </c>
      <c r="T357" s="81">
        <f>HLOOKUP(M357,データについて!$J$7:$M$18,12,FALSE)</f>
        <v>2</v>
      </c>
      <c r="U357" s="81">
        <f>HLOOKUP(N357,データについて!$J$8:$M$18,11,FALSE)</f>
        <v>3</v>
      </c>
      <c r="V357" s="81">
        <f>HLOOKUP(O357,データについて!$J$9:$M$18,10,FALSE)</f>
        <v>1</v>
      </c>
      <c r="W357" s="81">
        <f>HLOOKUP(P357,データについて!$J$10:$M$18,9,FALSE)</f>
        <v>1</v>
      </c>
      <c r="X357" s="81">
        <f>HLOOKUP(Q357,データについて!$J$11:$M$18,8,FALSE)</f>
        <v>1</v>
      </c>
      <c r="Y357" s="81">
        <f>HLOOKUP(R357,データについて!$J$12:$M$18,7,FALSE)</f>
        <v>1</v>
      </c>
      <c r="Z357" s="81">
        <f>HLOOKUP(I357,データについて!$J$3:$M$18,16,FALSE)</f>
        <v>1</v>
      </c>
      <c r="AA357" s="81">
        <f>IFERROR(HLOOKUP(J357,データについて!$J$4:$AH$19,16,FALSE),"")</f>
        <v>2</v>
      </c>
      <c r="AB357" s="81" t="str">
        <f>IFERROR(HLOOKUP(K357,データについて!$J$5:$AH$20,14,FALSE),"")</f>
        <v/>
      </c>
      <c r="AC357" s="81">
        <f>IF(X357=1,HLOOKUP(R357,データについて!$J$12:$M$18,7,FALSE),"*")</f>
        <v>1</v>
      </c>
      <c r="AD357" s="81" t="str">
        <f>IF(X357=2,HLOOKUP(R357,データについて!$J$12:$M$18,7,FALSE),"*")</f>
        <v>*</v>
      </c>
    </row>
    <row r="358" spans="1:30">
      <c r="A358" s="30">
        <v>4834</v>
      </c>
      <c r="B358" s="30" t="s">
        <v>4944</v>
      </c>
      <c r="C358" s="30" t="s">
        <v>4945</v>
      </c>
      <c r="D358" s="30" t="s">
        <v>106</v>
      </c>
      <c r="E358" s="30"/>
      <c r="F358" s="30" t="s">
        <v>107</v>
      </c>
      <c r="G358" s="30" t="s">
        <v>106</v>
      </c>
      <c r="H358" s="30"/>
      <c r="I358" s="30" t="s">
        <v>191</v>
      </c>
      <c r="J358" s="30"/>
      <c r="K358" s="30" t="s">
        <v>1713</v>
      </c>
      <c r="L358" s="30" t="s">
        <v>117</v>
      </c>
      <c r="M358" s="30" t="s">
        <v>124</v>
      </c>
      <c r="N358" s="30" t="s">
        <v>122</v>
      </c>
      <c r="O358" s="30" t="s">
        <v>111</v>
      </c>
      <c r="P358" s="30" t="s">
        <v>112</v>
      </c>
      <c r="Q358" s="30" t="s">
        <v>112</v>
      </c>
      <c r="R358" s="30" t="s">
        <v>185</v>
      </c>
      <c r="S358" s="81">
        <f>HLOOKUP(L358,データについて!$J$6:$M$18,13,FALSE)</f>
        <v>2</v>
      </c>
      <c r="T358" s="81">
        <f>HLOOKUP(M358,データについて!$J$7:$M$18,12,FALSE)</f>
        <v>3</v>
      </c>
      <c r="U358" s="81">
        <f>HLOOKUP(N358,データについて!$J$8:$M$18,11,FALSE)</f>
        <v>3</v>
      </c>
      <c r="V358" s="81">
        <f>HLOOKUP(O358,データについて!$J$9:$M$18,10,FALSE)</f>
        <v>3</v>
      </c>
      <c r="W358" s="81">
        <f>HLOOKUP(P358,データについて!$J$10:$M$18,9,FALSE)</f>
        <v>1</v>
      </c>
      <c r="X358" s="81">
        <f>HLOOKUP(Q358,データについて!$J$11:$M$18,8,FALSE)</f>
        <v>1</v>
      </c>
      <c r="Y358" s="81">
        <f>HLOOKUP(R358,データについて!$J$12:$M$18,7,FALSE)</f>
        <v>2</v>
      </c>
      <c r="Z358" s="81">
        <f>HLOOKUP(I358,データについて!$J$3:$M$18,16,FALSE)</f>
        <v>2</v>
      </c>
      <c r="AA358" s="81" t="str">
        <f>IFERROR(HLOOKUP(J358,データについて!$J$4:$AH$19,16,FALSE),"")</f>
        <v/>
      </c>
      <c r="AB358" s="81">
        <f>IFERROR(HLOOKUP(K358,データについて!$J$5:$AH$20,14,FALSE),"")</f>
        <v>2</v>
      </c>
      <c r="AC358" s="81">
        <f>IF(X358=1,HLOOKUP(R358,データについて!$J$12:$M$18,7,FALSE),"*")</f>
        <v>2</v>
      </c>
      <c r="AD358" s="81" t="str">
        <f>IF(X358=2,HLOOKUP(R358,データについて!$J$12:$M$18,7,FALSE),"*")</f>
        <v>*</v>
      </c>
    </row>
    <row r="359" spans="1:30">
      <c r="A359" s="30">
        <v>4833</v>
      </c>
      <c r="B359" s="30" t="s">
        <v>4946</v>
      </c>
      <c r="C359" s="30" t="s">
        <v>4947</v>
      </c>
      <c r="D359" s="30" t="s">
        <v>106</v>
      </c>
      <c r="E359" s="30"/>
      <c r="F359" s="30" t="s">
        <v>107</v>
      </c>
      <c r="G359" s="30" t="s">
        <v>106</v>
      </c>
      <c r="H359" s="30"/>
      <c r="I359" s="30" t="s">
        <v>191</v>
      </c>
      <c r="J359" s="30"/>
      <c r="K359" s="30" t="s">
        <v>1713</v>
      </c>
      <c r="L359" s="30" t="s">
        <v>108</v>
      </c>
      <c r="M359" s="30" t="s">
        <v>113</v>
      </c>
      <c r="N359" s="30" t="s">
        <v>110</v>
      </c>
      <c r="O359" s="30" t="s">
        <v>116</v>
      </c>
      <c r="P359" s="30" t="s">
        <v>112</v>
      </c>
      <c r="Q359" s="30" t="s">
        <v>112</v>
      </c>
      <c r="R359" s="30" t="s">
        <v>185</v>
      </c>
      <c r="S359" s="81">
        <f>HLOOKUP(L359,データについて!$J$6:$M$18,13,FALSE)</f>
        <v>1</v>
      </c>
      <c r="T359" s="81">
        <f>HLOOKUP(M359,データについて!$J$7:$M$18,12,FALSE)</f>
        <v>1</v>
      </c>
      <c r="U359" s="81">
        <f>HLOOKUP(N359,データについて!$J$8:$M$18,11,FALSE)</f>
        <v>2</v>
      </c>
      <c r="V359" s="81">
        <f>HLOOKUP(O359,データについて!$J$9:$M$18,10,FALSE)</f>
        <v>2</v>
      </c>
      <c r="W359" s="81">
        <f>HLOOKUP(P359,データについて!$J$10:$M$18,9,FALSE)</f>
        <v>1</v>
      </c>
      <c r="X359" s="81">
        <f>HLOOKUP(Q359,データについて!$J$11:$M$18,8,FALSE)</f>
        <v>1</v>
      </c>
      <c r="Y359" s="81">
        <f>HLOOKUP(R359,データについて!$J$12:$M$18,7,FALSE)</f>
        <v>2</v>
      </c>
      <c r="Z359" s="81">
        <f>HLOOKUP(I359,データについて!$J$3:$M$18,16,FALSE)</f>
        <v>2</v>
      </c>
      <c r="AA359" s="81" t="str">
        <f>IFERROR(HLOOKUP(J359,データについて!$J$4:$AH$19,16,FALSE),"")</f>
        <v/>
      </c>
      <c r="AB359" s="81">
        <f>IFERROR(HLOOKUP(K359,データについて!$J$5:$AH$20,14,FALSE),"")</f>
        <v>2</v>
      </c>
      <c r="AC359" s="81">
        <f>IF(X359=1,HLOOKUP(R359,データについて!$J$12:$M$18,7,FALSE),"*")</f>
        <v>2</v>
      </c>
      <c r="AD359" s="81" t="str">
        <f>IF(X359=2,HLOOKUP(R359,データについて!$J$12:$M$18,7,FALSE),"*")</f>
        <v>*</v>
      </c>
    </row>
    <row r="360" spans="1:30">
      <c r="A360" s="30">
        <v>4832</v>
      </c>
      <c r="B360" s="30" t="s">
        <v>4948</v>
      </c>
      <c r="C360" s="30" t="s">
        <v>4949</v>
      </c>
      <c r="D360" s="30" t="s">
        <v>106</v>
      </c>
      <c r="E360" s="30"/>
      <c r="F360" s="30" t="s">
        <v>107</v>
      </c>
      <c r="G360" s="30" t="s">
        <v>106</v>
      </c>
      <c r="H360" s="30"/>
      <c r="I360" s="30" t="s">
        <v>191</v>
      </c>
      <c r="J360" s="30"/>
      <c r="K360" s="30" t="s">
        <v>1713</v>
      </c>
      <c r="L360" s="30" t="s">
        <v>108</v>
      </c>
      <c r="M360" s="30" t="s">
        <v>109</v>
      </c>
      <c r="N360" s="30" t="s">
        <v>110</v>
      </c>
      <c r="O360" s="30" t="s">
        <v>115</v>
      </c>
      <c r="P360" s="30" t="s">
        <v>112</v>
      </c>
      <c r="Q360" s="30" t="s">
        <v>112</v>
      </c>
      <c r="R360" s="30" t="s">
        <v>187</v>
      </c>
      <c r="S360" s="81">
        <f>HLOOKUP(L360,データについて!$J$6:$M$18,13,FALSE)</f>
        <v>1</v>
      </c>
      <c r="T360" s="81">
        <f>HLOOKUP(M360,データについて!$J$7:$M$18,12,FALSE)</f>
        <v>2</v>
      </c>
      <c r="U360" s="81">
        <f>HLOOKUP(N360,データについて!$J$8:$M$18,11,FALSE)</f>
        <v>2</v>
      </c>
      <c r="V360" s="81">
        <f>HLOOKUP(O360,データについて!$J$9:$M$18,10,FALSE)</f>
        <v>1</v>
      </c>
      <c r="W360" s="81">
        <f>HLOOKUP(P360,データについて!$J$10:$M$18,9,FALSE)</f>
        <v>1</v>
      </c>
      <c r="X360" s="81">
        <f>HLOOKUP(Q360,データについて!$J$11:$M$18,8,FALSE)</f>
        <v>1</v>
      </c>
      <c r="Y360" s="81">
        <f>HLOOKUP(R360,データについて!$J$12:$M$18,7,FALSE)</f>
        <v>3</v>
      </c>
      <c r="Z360" s="81">
        <f>HLOOKUP(I360,データについて!$J$3:$M$18,16,FALSE)</f>
        <v>2</v>
      </c>
      <c r="AA360" s="81" t="str">
        <f>IFERROR(HLOOKUP(J360,データについて!$J$4:$AH$19,16,FALSE),"")</f>
        <v/>
      </c>
      <c r="AB360" s="81">
        <f>IFERROR(HLOOKUP(K360,データについて!$J$5:$AH$20,14,FALSE),"")</f>
        <v>2</v>
      </c>
      <c r="AC360" s="81">
        <f>IF(X360=1,HLOOKUP(R360,データについて!$J$12:$M$18,7,FALSE),"*")</f>
        <v>3</v>
      </c>
      <c r="AD360" s="81" t="str">
        <f>IF(X360=2,HLOOKUP(R360,データについて!$J$12:$M$18,7,FALSE),"*")</f>
        <v>*</v>
      </c>
    </row>
    <row r="361" spans="1:30">
      <c r="A361" s="30">
        <v>4831</v>
      </c>
      <c r="B361" s="30" t="s">
        <v>4950</v>
      </c>
      <c r="C361" s="30" t="s">
        <v>4951</v>
      </c>
      <c r="D361" s="30" t="s">
        <v>106</v>
      </c>
      <c r="E361" s="30"/>
      <c r="F361" s="30" t="s">
        <v>107</v>
      </c>
      <c r="G361" s="30" t="s">
        <v>106</v>
      </c>
      <c r="H361" s="30"/>
      <c r="I361" s="30" t="s">
        <v>191</v>
      </c>
      <c r="J361" s="30"/>
      <c r="K361" s="30" t="s">
        <v>1713</v>
      </c>
      <c r="L361" s="30" t="s">
        <v>108</v>
      </c>
      <c r="M361" s="30" t="s">
        <v>113</v>
      </c>
      <c r="N361" s="30" t="s">
        <v>114</v>
      </c>
      <c r="O361" s="30" t="s">
        <v>115</v>
      </c>
      <c r="P361" s="30" t="s">
        <v>118</v>
      </c>
      <c r="Q361" s="30" t="s">
        <v>112</v>
      </c>
      <c r="R361" s="30" t="s">
        <v>185</v>
      </c>
      <c r="S361" s="81">
        <f>HLOOKUP(L361,データについて!$J$6:$M$18,13,FALSE)</f>
        <v>1</v>
      </c>
      <c r="T361" s="81">
        <f>HLOOKUP(M361,データについて!$J$7:$M$18,12,FALSE)</f>
        <v>1</v>
      </c>
      <c r="U361" s="81">
        <f>HLOOKUP(N361,データについて!$J$8:$M$18,11,FALSE)</f>
        <v>1</v>
      </c>
      <c r="V361" s="81">
        <f>HLOOKUP(O361,データについて!$J$9:$M$18,10,FALSE)</f>
        <v>1</v>
      </c>
      <c r="W361" s="81">
        <f>HLOOKUP(P361,データについて!$J$10:$M$18,9,FALSE)</f>
        <v>2</v>
      </c>
      <c r="X361" s="81">
        <f>HLOOKUP(Q361,データについて!$J$11:$M$18,8,FALSE)</f>
        <v>1</v>
      </c>
      <c r="Y361" s="81">
        <f>HLOOKUP(R361,データについて!$J$12:$M$18,7,FALSE)</f>
        <v>2</v>
      </c>
      <c r="Z361" s="81">
        <f>HLOOKUP(I361,データについて!$J$3:$M$18,16,FALSE)</f>
        <v>2</v>
      </c>
      <c r="AA361" s="81" t="str">
        <f>IFERROR(HLOOKUP(J361,データについて!$J$4:$AH$19,16,FALSE),"")</f>
        <v/>
      </c>
      <c r="AB361" s="81">
        <f>IFERROR(HLOOKUP(K361,データについて!$J$5:$AH$20,14,FALSE),"")</f>
        <v>2</v>
      </c>
      <c r="AC361" s="81">
        <f>IF(X361=1,HLOOKUP(R361,データについて!$J$12:$M$18,7,FALSE),"*")</f>
        <v>2</v>
      </c>
      <c r="AD361" s="81" t="str">
        <f>IF(X361=2,HLOOKUP(R361,データについて!$J$12:$M$18,7,FALSE),"*")</f>
        <v>*</v>
      </c>
    </row>
    <row r="362" spans="1:30">
      <c r="A362" s="30">
        <v>4830</v>
      </c>
      <c r="B362" s="30" t="s">
        <v>4952</v>
      </c>
      <c r="C362" s="30" t="s">
        <v>4953</v>
      </c>
      <c r="D362" s="30" t="s">
        <v>106</v>
      </c>
      <c r="E362" s="30"/>
      <c r="F362" s="30" t="s">
        <v>107</v>
      </c>
      <c r="G362" s="30" t="s">
        <v>106</v>
      </c>
      <c r="H362" s="30"/>
      <c r="I362" s="30" t="s">
        <v>191</v>
      </c>
      <c r="J362" s="30"/>
      <c r="K362" s="30" t="s">
        <v>1713</v>
      </c>
      <c r="L362" s="30" t="s">
        <v>108</v>
      </c>
      <c r="M362" s="30" t="s">
        <v>109</v>
      </c>
      <c r="N362" s="30" t="s">
        <v>110</v>
      </c>
      <c r="O362" s="30" t="s">
        <v>115</v>
      </c>
      <c r="P362" s="30" t="s">
        <v>118</v>
      </c>
      <c r="Q362" s="30" t="s">
        <v>112</v>
      </c>
      <c r="R362" s="30" t="s">
        <v>185</v>
      </c>
      <c r="S362" s="81">
        <f>HLOOKUP(L362,データについて!$J$6:$M$18,13,FALSE)</f>
        <v>1</v>
      </c>
      <c r="T362" s="81">
        <f>HLOOKUP(M362,データについて!$J$7:$M$18,12,FALSE)</f>
        <v>2</v>
      </c>
      <c r="U362" s="81">
        <f>HLOOKUP(N362,データについて!$J$8:$M$18,11,FALSE)</f>
        <v>2</v>
      </c>
      <c r="V362" s="81">
        <f>HLOOKUP(O362,データについて!$J$9:$M$18,10,FALSE)</f>
        <v>1</v>
      </c>
      <c r="W362" s="81">
        <f>HLOOKUP(P362,データについて!$J$10:$M$18,9,FALSE)</f>
        <v>2</v>
      </c>
      <c r="X362" s="81">
        <f>HLOOKUP(Q362,データについて!$J$11:$M$18,8,FALSE)</f>
        <v>1</v>
      </c>
      <c r="Y362" s="81">
        <f>HLOOKUP(R362,データについて!$J$12:$M$18,7,FALSE)</f>
        <v>2</v>
      </c>
      <c r="Z362" s="81">
        <f>HLOOKUP(I362,データについて!$J$3:$M$18,16,FALSE)</f>
        <v>2</v>
      </c>
      <c r="AA362" s="81" t="str">
        <f>IFERROR(HLOOKUP(J362,データについて!$J$4:$AH$19,16,FALSE),"")</f>
        <v/>
      </c>
      <c r="AB362" s="81">
        <f>IFERROR(HLOOKUP(K362,データについて!$J$5:$AH$20,14,FALSE),"")</f>
        <v>2</v>
      </c>
      <c r="AC362" s="81">
        <f>IF(X362=1,HLOOKUP(R362,データについて!$J$12:$M$18,7,FALSE),"*")</f>
        <v>2</v>
      </c>
      <c r="AD362" s="81" t="str">
        <f>IF(X362=2,HLOOKUP(R362,データについて!$J$12:$M$18,7,FALSE),"*")</f>
        <v>*</v>
      </c>
    </row>
    <row r="363" spans="1:30">
      <c r="A363" s="30">
        <v>4829</v>
      </c>
      <c r="B363" s="30" t="s">
        <v>4954</v>
      </c>
      <c r="C363" s="30" t="s">
        <v>4955</v>
      </c>
      <c r="D363" s="30" t="s">
        <v>106</v>
      </c>
      <c r="E363" s="30"/>
      <c r="F363" s="30" t="s">
        <v>107</v>
      </c>
      <c r="G363" s="30" t="s">
        <v>106</v>
      </c>
      <c r="H363" s="30"/>
      <c r="I363" s="30" t="s">
        <v>191</v>
      </c>
      <c r="J363" s="30"/>
      <c r="K363" s="30" t="s">
        <v>1713</v>
      </c>
      <c r="L363" s="30" t="s">
        <v>117</v>
      </c>
      <c r="M363" s="30" t="s">
        <v>109</v>
      </c>
      <c r="N363" s="30" t="s">
        <v>110</v>
      </c>
      <c r="O363" s="30" t="s">
        <v>115</v>
      </c>
      <c r="P363" s="30" t="s">
        <v>118</v>
      </c>
      <c r="Q363" s="30" t="s">
        <v>112</v>
      </c>
      <c r="R363" s="30" t="s">
        <v>185</v>
      </c>
      <c r="S363" s="81">
        <f>HLOOKUP(L363,データについて!$J$6:$M$18,13,FALSE)</f>
        <v>2</v>
      </c>
      <c r="T363" s="81">
        <f>HLOOKUP(M363,データについて!$J$7:$M$18,12,FALSE)</f>
        <v>2</v>
      </c>
      <c r="U363" s="81">
        <f>HLOOKUP(N363,データについて!$J$8:$M$18,11,FALSE)</f>
        <v>2</v>
      </c>
      <c r="V363" s="81">
        <f>HLOOKUP(O363,データについて!$J$9:$M$18,10,FALSE)</f>
        <v>1</v>
      </c>
      <c r="W363" s="81">
        <f>HLOOKUP(P363,データについて!$J$10:$M$18,9,FALSE)</f>
        <v>2</v>
      </c>
      <c r="X363" s="81">
        <f>HLOOKUP(Q363,データについて!$J$11:$M$18,8,FALSE)</f>
        <v>1</v>
      </c>
      <c r="Y363" s="81">
        <f>HLOOKUP(R363,データについて!$J$12:$M$18,7,FALSE)</f>
        <v>2</v>
      </c>
      <c r="Z363" s="81">
        <f>HLOOKUP(I363,データについて!$J$3:$M$18,16,FALSE)</f>
        <v>2</v>
      </c>
      <c r="AA363" s="81" t="str">
        <f>IFERROR(HLOOKUP(J363,データについて!$J$4:$AH$19,16,FALSE),"")</f>
        <v/>
      </c>
      <c r="AB363" s="81">
        <f>IFERROR(HLOOKUP(K363,データについて!$J$5:$AH$20,14,FALSE),"")</f>
        <v>2</v>
      </c>
      <c r="AC363" s="81">
        <f>IF(X363=1,HLOOKUP(R363,データについて!$J$12:$M$18,7,FALSE),"*")</f>
        <v>2</v>
      </c>
      <c r="AD363" s="81" t="str">
        <f>IF(X363=2,HLOOKUP(R363,データについて!$J$12:$M$18,7,FALSE),"*")</f>
        <v>*</v>
      </c>
    </row>
    <row r="364" spans="1:30">
      <c r="A364" s="30">
        <v>4828</v>
      </c>
      <c r="B364" s="30" t="s">
        <v>4956</v>
      </c>
      <c r="C364" s="30" t="s">
        <v>4957</v>
      </c>
      <c r="D364" s="30" t="s">
        <v>106</v>
      </c>
      <c r="E364" s="30"/>
      <c r="F364" s="30" t="s">
        <v>107</v>
      </c>
      <c r="G364" s="30" t="s">
        <v>106</v>
      </c>
      <c r="H364" s="30"/>
      <c r="I364" s="30" t="s">
        <v>191</v>
      </c>
      <c r="J364" s="30"/>
      <c r="K364" s="30" t="s">
        <v>1713</v>
      </c>
      <c r="L364" s="30" t="s">
        <v>117</v>
      </c>
      <c r="M364" s="30" t="s">
        <v>109</v>
      </c>
      <c r="N364" s="30" t="s">
        <v>110</v>
      </c>
      <c r="O364" s="30" t="s">
        <v>115</v>
      </c>
      <c r="P364" s="30" t="s">
        <v>118</v>
      </c>
      <c r="Q364" s="30" t="s">
        <v>112</v>
      </c>
      <c r="R364" s="30" t="s">
        <v>185</v>
      </c>
      <c r="S364" s="81">
        <f>HLOOKUP(L364,データについて!$J$6:$M$18,13,FALSE)</f>
        <v>2</v>
      </c>
      <c r="T364" s="81">
        <f>HLOOKUP(M364,データについて!$J$7:$M$18,12,FALSE)</f>
        <v>2</v>
      </c>
      <c r="U364" s="81">
        <f>HLOOKUP(N364,データについて!$J$8:$M$18,11,FALSE)</f>
        <v>2</v>
      </c>
      <c r="V364" s="81">
        <f>HLOOKUP(O364,データについて!$J$9:$M$18,10,FALSE)</f>
        <v>1</v>
      </c>
      <c r="W364" s="81">
        <f>HLOOKUP(P364,データについて!$J$10:$M$18,9,FALSE)</f>
        <v>2</v>
      </c>
      <c r="X364" s="81">
        <f>HLOOKUP(Q364,データについて!$J$11:$M$18,8,FALSE)</f>
        <v>1</v>
      </c>
      <c r="Y364" s="81">
        <f>HLOOKUP(R364,データについて!$J$12:$M$18,7,FALSE)</f>
        <v>2</v>
      </c>
      <c r="Z364" s="81">
        <f>HLOOKUP(I364,データについて!$J$3:$M$18,16,FALSE)</f>
        <v>2</v>
      </c>
      <c r="AA364" s="81" t="str">
        <f>IFERROR(HLOOKUP(J364,データについて!$J$4:$AH$19,16,FALSE),"")</f>
        <v/>
      </c>
      <c r="AB364" s="81">
        <f>IFERROR(HLOOKUP(K364,データについて!$J$5:$AH$20,14,FALSE),"")</f>
        <v>2</v>
      </c>
      <c r="AC364" s="81">
        <f>IF(X364=1,HLOOKUP(R364,データについて!$J$12:$M$18,7,FALSE),"*")</f>
        <v>2</v>
      </c>
      <c r="AD364" s="81" t="str">
        <f>IF(X364=2,HLOOKUP(R364,データについて!$J$12:$M$18,7,FALSE),"*")</f>
        <v>*</v>
      </c>
    </row>
    <row r="365" spans="1:30">
      <c r="A365" s="30">
        <v>4827</v>
      </c>
      <c r="B365" s="30" t="s">
        <v>4958</v>
      </c>
      <c r="C365" s="30" t="s">
        <v>4957</v>
      </c>
      <c r="D365" s="30" t="s">
        <v>106</v>
      </c>
      <c r="E365" s="30"/>
      <c r="F365" s="30" t="s">
        <v>107</v>
      </c>
      <c r="G365" s="30" t="s">
        <v>106</v>
      </c>
      <c r="H365" s="30"/>
      <c r="I365" s="30" t="s">
        <v>191</v>
      </c>
      <c r="J365" s="30"/>
      <c r="K365" s="30" t="s">
        <v>1713</v>
      </c>
      <c r="L365" s="30" t="s">
        <v>108</v>
      </c>
      <c r="M365" s="30" t="s">
        <v>113</v>
      </c>
      <c r="N365" s="30" t="s">
        <v>114</v>
      </c>
      <c r="O365" s="30" t="s">
        <v>115</v>
      </c>
      <c r="P365" s="30" t="s">
        <v>112</v>
      </c>
      <c r="Q365" s="30" t="s">
        <v>112</v>
      </c>
      <c r="R365" s="30" t="s">
        <v>183</v>
      </c>
      <c r="S365" s="81">
        <f>HLOOKUP(L365,データについて!$J$6:$M$18,13,FALSE)</f>
        <v>1</v>
      </c>
      <c r="T365" s="81">
        <f>HLOOKUP(M365,データについて!$J$7:$M$18,12,FALSE)</f>
        <v>1</v>
      </c>
      <c r="U365" s="81">
        <f>HLOOKUP(N365,データについて!$J$8:$M$18,11,FALSE)</f>
        <v>1</v>
      </c>
      <c r="V365" s="81">
        <f>HLOOKUP(O365,データについて!$J$9:$M$18,10,FALSE)</f>
        <v>1</v>
      </c>
      <c r="W365" s="81">
        <f>HLOOKUP(P365,データについて!$J$10:$M$18,9,FALSE)</f>
        <v>1</v>
      </c>
      <c r="X365" s="81">
        <f>HLOOKUP(Q365,データについて!$J$11:$M$18,8,FALSE)</f>
        <v>1</v>
      </c>
      <c r="Y365" s="81">
        <f>HLOOKUP(R365,データについて!$J$12:$M$18,7,FALSE)</f>
        <v>1</v>
      </c>
      <c r="Z365" s="81">
        <f>HLOOKUP(I365,データについて!$J$3:$M$18,16,FALSE)</f>
        <v>2</v>
      </c>
      <c r="AA365" s="81" t="str">
        <f>IFERROR(HLOOKUP(J365,データについて!$J$4:$AH$19,16,FALSE),"")</f>
        <v/>
      </c>
      <c r="AB365" s="81">
        <f>IFERROR(HLOOKUP(K365,データについて!$J$5:$AH$20,14,FALSE),"")</f>
        <v>2</v>
      </c>
      <c r="AC365" s="81">
        <f>IF(X365=1,HLOOKUP(R365,データについて!$J$12:$M$18,7,FALSE),"*")</f>
        <v>1</v>
      </c>
      <c r="AD365" s="81" t="str">
        <f>IF(X365=2,HLOOKUP(R365,データについて!$J$12:$M$18,7,FALSE),"*")</f>
        <v>*</v>
      </c>
    </row>
    <row r="366" spans="1:30">
      <c r="A366" s="30">
        <v>4826</v>
      </c>
      <c r="B366" s="30" t="s">
        <v>4959</v>
      </c>
      <c r="C366" s="30" t="s">
        <v>4960</v>
      </c>
      <c r="D366" s="30" t="s">
        <v>106</v>
      </c>
      <c r="E366" s="30"/>
      <c r="F366" s="30" t="s">
        <v>107</v>
      </c>
      <c r="G366" s="30" t="s">
        <v>106</v>
      </c>
      <c r="H366" s="30"/>
      <c r="I366" s="30" t="s">
        <v>191</v>
      </c>
      <c r="J366" s="30"/>
      <c r="K366" s="30" t="s">
        <v>1713</v>
      </c>
      <c r="L366" s="30" t="s">
        <v>108</v>
      </c>
      <c r="M366" s="30" t="s">
        <v>109</v>
      </c>
      <c r="N366" s="30" t="s">
        <v>119</v>
      </c>
      <c r="O366" s="30" t="s">
        <v>115</v>
      </c>
      <c r="P366" s="30" t="s">
        <v>118</v>
      </c>
      <c r="Q366" s="30" t="s">
        <v>118</v>
      </c>
      <c r="R366" s="30" t="s">
        <v>189</v>
      </c>
      <c r="S366" s="81">
        <f>HLOOKUP(L366,データについて!$J$6:$M$18,13,FALSE)</f>
        <v>1</v>
      </c>
      <c r="T366" s="81">
        <f>HLOOKUP(M366,データについて!$J$7:$M$18,12,FALSE)</f>
        <v>2</v>
      </c>
      <c r="U366" s="81">
        <f>HLOOKUP(N366,データについて!$J$8:$M$18,11,FALSE)</f>
        <v>4</v>
      </c>
      <c r="V366" s="81">
        <f>HLOOKUP(O366,データについて!$J$9:$M$18,10,FALSE)</f>
        <v>1</v>
      </c>
      <c r="W366" s="81">
        <f>HLOOKUP(P366,データについて!$J$10:$M$18,9,FALSE)</f>
        <v>2</v>
      </c>
      <c r="X366" s="81">
        <f>HLOOKUP(Q366,データについて!$J$11:$M$18,8,FALSE)</f>
        <v>2</v>
      </c>
      <c r="Y366" s="81">
        <f>HLOOKUP(R366,データについて!$J$12:$M$18,7,FALSE)</f>
        <v>4</v>
      </c>
      <c r="Z366" s="81">
        <f>HLOOKUP(I366,データについて!$J$3:$M$18,16,FALSE)</f>
        <v>2</v>
      </c>
      <c r="AA366" s="81" t="str">
        <f>IFERROR(HLOOKUP(J366,データについて!$J$4:$AH$19,16,FALSE),"")</f>
        <v/>
      </c>
      <c r="AB366" s="81">
        <f>IFERROR(HLOOKUP(K366,データについて!$J$5:$AH$20,14,FALSE),"")</f>
        <v>2</v>
      </c>
      <c r="AC366" s="81" t="str">
        <f>IF(X366=1,HLOOKUP(R366,データについて!$J$12:$M$18,7,FALSE),"*")</f>
        <v>*</v>
      </c>
      <c r="AD366" s="81">
        <f>IF(X366=2,HLOOKUP(R366,データについて!$J$12:$M$18,7,FALSE),"*")</f>
        <v>4</v>
      </c>
    </row>
    <row r="367" spans="1:30">
      <c r="A367" s="30">
        <v>4825</v>
      </c>
      <c r="B367" s="30" t="s">
        <v>4961</v>
      </c>
      <c r="C367" s="30" t="s">
        <v>4960</v>
      </c>
      <c r="D367" s="30" t="s">
        <v>106</v>
      </c>
      <c r="E367" s="30"/>
      <c r="F367" s="30" t="s">
        <v>107</v>
      </c>
      <c r="G367" s="30" t="s">
        <v>106</v>
      </c>
      <c r="H367" s="30"/>
      <c r="I367" s="30" t="s">
        <v>191</v>
      </c>
      <c r="J367" s="30"/>
      <c r="K367" s="30" t="s">
        <v>1713</v>
      </c>
      <c r="L367" s="30" t="s">
        <v>117</v>
      </c>
      <c r="M367" s="30" t="s">
        <v>113</v>
      </c>
      <c r="N367" s="30" t="s">
        <v>110</v>
      </c>
      <c r="O367" s="30" t="s">
        <v>115</v>
      </c>
      <c r="P367" s="30" t="s">
        <v>112</v>
      </c>
      <c r="Q367" s="30" t="s">
        <v>118</v>
      </c>
      <c r="R367" s="30" t="s">
        <v>187</v>
      </c>
      <c r="S367" s="81">
        <f>HLOOKUP(L367,データについて!$J$6:$M$18,13,FALSE)</f>
        <v>2</v>
      </c>
      <c r="T367" s="81">
        <f>HLOOKUP(M367,データについて!$J$7:$M$18,12,FALSE)</f>
        <v>1</v>
      </c>
      <c r="U367" s="81">
        <f>HLOOKUP(N367,データについて!$J$8:$M$18,11,FALSE)</f>
        <v>2</v>
      </c>
      <c r="V367" s="81">
        <f>HLOOKUP(O367,データについて!$J$9:$M$18,10,FALSE)</f>
        <v>1</v>
      </c>
      <c r="W367" s="81">
        <f>HLOOKUP(P367,データについて!$J$10:$M$18,9,FALSE)</f>
        <v>1</v>
      </c>
      <c r="X367" s="81">
        <f>HLOOKUP(Q367,データについて!$J$11:$M$18,8,FALSE)</f>
        <v>2</v>
      </c>
      <c r="Y367" s="81">
        <f>HLOOKUP(R367,データについて!$J$12:$M$18,7,FALSE)</f>
        <v>3</v>
      </c>
      <c r="Z367" s="81">
        <f>HLOOKUP(I367,データについて!$J$3:$M$18,16,FALSE)</f>
        <v>2</v>
      </c>
      <c r="AA367" s="81" t="str">
        <f>IFERROR(HLOOKUP(J367,データについて!$J$4:$AH$19,16,FALSE),"")</f>
        <v/>
      </c>
      <c r="AB367" s="81">
        <f>IFERROR(HLOOKUP(K367,データについて!$J$5:$AH$20,14,FALSE),"")</f>
        <v>2</v>
      </c>
      <c r="AC367" s="81" t="str">
        <f>IF(X367=1,HLOOKUP(R367,データについて!$J$12:$M$18,7,FALSE),"*")</f>
        <v>*</v>
      </c>
      <c r="AD367" s="81">
        <f>IF(X367=2,HLOOKUP(R367,データについて!$J$12:$M$18,7,FALSE),"*")</f>
        <v>3</v>
      </c>
    </row>
    <row r="368" spans="1:30">
      <c r="A368" s="30">
        <v>4824</v>
      </c>
      <c r="B368" s="30" t="s">
        <v>4962</v>
      </c>
      <c r="C368" s="30" t="s">
        <v>4963</v>
      </c>
      <c r="D368" s="30" t="s">
        <v>106</v>
      </c>
      <c r="E368" s="30"/>
      <c r="F368" s="30" t="s">
        <v>107</v>
      </c>
      <c r="G368" s="30" t="s">
        <v>106</v>
      </c>
      <c r="H368" s="30"/>
      <c r="I368" s="30" t="s">
        <v>191</v>
      </c>
      <c r="J368" s="30"/>
      <c r="K368" s="30" t="s">
        <v>1713</v>
      </c>
      <c r="L368" s="30" t="s">
        <v>108</v>
      </c>
      <c r="M368" s="30" t="s">
        <v>109</v>
      </c>
      <c r="N368" s="30" t="s">
        <v>114</v>
      </c>
      <c r="O368" s="30" t="s">
        <v>115</v>
      </c>
      <c r="P368" s="30" t="s">
        <v>118</v>
      </c>
      <c r="Q368" s="30" t="s">
        <v>112</v>
      </c>
      <c r="R368" s="30" t="s">
        <v>185</v>
      </c>
      <c r="S368" s="81">
        <f>HLOOKUP(L368,データについて!$J$6:$M$18,13,FALSE)</f>
        <v>1</v>
      </c>
      <c r="T368" s="81">
        <f>HLOOKUP(M368,データについて!$J$7:$M$18,12,FALSE)</f>
        <v>2</v>
      </c>
      <c r="U368" s="81">
        <f>HLOOKUP(N368,データについて!$J$8:$M$18,11,FALSE)</f>
        <v>1</v>
      </c>
      <c r="V368" s="81">
        <f>HLOOKUP(O368,データについて!$J$9:$M$18,10,FALSE)</f>
        <v>1</v>
      </c>
      <c r="W368" s="81">
        <f>HLOOKUP(P368,データについて!$J$10:$M$18,9,FALSE)</f>
        <v>2</v>
      </c>
      <c r="X368" s="81">
        <f>HLOOKUP(Q368,データについて!$J$11:$M$18,8,FALSE)</f>
        <v>1</v>
      </c>
      <c r="Y368" s="81">
        <f>HLOOKUP(R368,データについて!$J$12:$M$18,7,FALSE)</f>
        <v>2</v>
      </c>
      <c r="Z368" s="81">
        <f>HLOOKUP(I368,データについて!$J$3:$M$18,16,FALSE)</f>
        <v>2</v>
      </c>
      <c r="AA368" s="81" t="str">
        <f>IFERROR(HLOOKUP(J368,データについて!$J$4:$AH$19,16,FALSE),"")</f>
        <v/>
      </c>
      <c r="AB368" s="81">
        <f>IFERROR(HLOOKUP(K368,データについて!$J$5:$AH$20,14,FALSE),"")</f>
        <v>2</v>
      </c>
      <c r="AC368" s="81">
        <f>IF(X368=1,HLOOKUP(R368,データについて!$J$12:$M$18,7,FALSE),"*")</f>
        <v>2</v>
      </c>
      <c r="AD368" s="81" t="str">
        <f>IF(X368=2,HLOOKUP(R368,データについて!$J$12:$M$18,7,FALSE),"*")</f>
        <v>*</v>
      </c>
    </row>
    <row r="369" spans="1:30">
      <c r="A369" s="30">
        <v>4823</v>
      </c>
      <c r="B369" s="30" t="s">
        <v>4964</v>
      </c>
      <c r="C369" s="30" t="s">
        <v>4965</v>
      </c>
      <c r="D369" s="30" t="s">
        <v>106</v>
      </c>
      <c r="E369" s="30"/>
      <c r="F369" s="30" t="s">
        <v>107</v>
      </c>
      <c r="G369" s="30" t="s">
        <v>106</v>
      </c>
      <c r="H369" s="30"/>
      <c r="I369" s="30" t="s">
        <v>191</v>
      </c>
      <c r="J369" s="30"/>
      <c r="K369" s="30" t="s">
        <v>1713</v>
      </c>
      <c r="L369" s="30" t="s">
        <v>108</v>
      </c>
      <c r="M369" s="30" t="s">
        <v>109</v>
      </c>
      <c r="N369" s="30" t="s">
        <v>114</v>
      </c>
      <c r="O369" s="30" t="s">
        <v>115</v>
      </c>
      <c r="P369" s="30" t="s">
        <v>118</v>
      </c>
      <c r="Q369" s="30" t="s">
        <v>112</v>
      </c>
      <c r="R369" s="30" t="s">
        <v>183</v>
      </c>
      <c r="S369" s="81">
        <f>HLOOKUP(L369,データについて!$J$6:$M$18,13,FALSE)</f>
        <v>1</v>
      </c>
      <c r="T369" s="81">
        <f>HLOOKUP(M369,データについて!$J$7:$M$18,12,FALSE)</f>
        <v>2</v>
      </c>
      <c r="U369" s="81">
        <f>HLOOKUP(N369,データについて!$J$8:$M$18,11,FALSE)</f>
        <v>1</v>
      </c>
      <c r="V369" s="81">
        <f>HLOOKUP(O369,データについて!$J$9:$M$18,10,FALSE)</f>
        <v>1</v>
      </c>
      <c r="W369" s="81">
        <f>HLOOKUP(P369,データについて!$J$10:$M$18,9,FALSE)</f>
        <v>2</v>
      </c>
      <c r="X369" s="81">
        <f>HLOOKUP(Q369,データについて!$J$11:$M$18,8,FALSE)</f>
        <v>1</v>
      </c>
      <c r="Y369" s="81">
        <f>HLOOKUP(R369,データについて!$J$12:$M$18,7,FALSE)</f>
        <v>1</v>
      </c>
      <c r="Z369" s="81">
        <f>HLOOKUP(I369,データについて!$J$3:$M$18,16,FALSE)</f>
        <v>2</v>
      </c>
      <c r="AA369" s="81" t="str">
        <f>IFERROR(HLOOKUP(J369,データについて!$J$4:$AH$19,16,FALSE),"")</f>
        <v/>
      </c>
      <c r="AB369" s="81">
        <f>IFERROR(HLOOKUP(K369,データについて!$J$5:$AH$20,14,FALSE),"")</f>
        <v>2</v>
      </c>
      <c r="AC369" s="81">
        <f>IF(X369=1,HLOOKUP(R369,データについて!$J$12:$M$18,7,FALSE),"*")</f>
        <v>1</v>
      </c>
      <c r="AD369" s="81" t="str">
        <f>IF(X369=2,HLOOKUP(R369,データについて!$J$12:$M$18,7,FALSE),"*")</f>
        <v>*</v>
      </c>
    </row>
    <row r="370" spans="1:30">
      <c r="A370" s="30">
        <v>4822</v>
      </c>
      <c r="B370" s="30" t="s">
        <v>4966</v>
      </c>
      <c r="C370" s="30" t="s">
        <v>4967</v>
      </c>
      <c r="D370" s="30" t="s">
        <v>106</v>
      </c>
      <c r="E370" s="30"/>
      <c r="F370" s="30" t="s">
        <v>107</v>
      </c>
      <c r="G370" s="30" t="s">
        <v>106</v>
      </c>
      <c r="H370" s="30"/>
      <c r="I370" s="30" t="s">
        <v>191</v>
      </c>
      <c r="J370" s="30"/>
      <c r="K370" s="30" t="s">
        <v>1713</v>
      </c>
      <c r="L370" s="30" t="s">
        <v>117</v>
      </c>
      <c r="M370" s="30" t="s">
        <v>113</v>
      </c>
      <c r="N370" s="30" t="s">
        <v>110</v>
      </c>
      <c r="O370" s="30" t="s">
        <v>115</v>
      </c>
      <c r="P370" s="30" t="s">
        <v>118</v>
      </c>
      <c r="Q370" s="30" t="s">
        <v>112</v>
      </c>
      <c r="R370" s="30" t="s">
        <v>187</v>
      </c>
      <c r="S370" s="81">
        <f>HLOOKUP(L370,データについて!$J$6:$M$18,13,FALSE)</f>
        <v>2</v>
      </c>
      <c r="T370" s="81">
        <f>HLOOKUP(M370,データについて!$J$7:$M$18,12,FALSE)</f>
        <v>1</v>
      </c>
      <c r="U370" s="81">
        <f>HLOOKUP(N370,データについて!$J$8:$M$18,11,FALSE)</f>
        <v>2</v>
      </c>
      <c r="V370" s="81">
        <f>HLOOKUP(O370,データについて!$J$9:$M$18,10,FALSE)</f>
        <v>1</v>
      </c>
      <c r="W370" s="81">
        <f>HLOOKUP(P370,データについて!$J$10:$M$18,9,FALSE)</f>
        <v>2</v>
      </c>
      <c r="X370" s="81">
        <f>HLOOKUP(Q370,データについて!$J$11:$M$18,8,FALSE)</f>
        <v>1</v>
      </c>
      <c r="Y370" s="81">
        <f>HLOOKUP(R370,データについて!$J$12:$M$18,7,FALSE)</f>
        <v>3</v>
      </c>
      <c r="Z370" s="81">
        <f>HLOOKUP(I370,データについて!$J$3:$M$18,16,FALSE)</f>
        <v>2</v>
      </c>
      <c r="AA370" s="81" t="str">
        <f>IFERROR(HLOOKUP(J370,データについて!$J$4:$AH$19,16,FALSE),"")</f>
        <v/>
      </c>
      <c r="AB370" s="81">
        <f>IFERROR(HLOOKUP(K370,データについて!$J$5:$AH$20,14,FALSE),"")</f>
        <v>2</v>
      </c>
      <c r="AC370" s="81">
        <f>IF(X370=1,HLOOKUP(R370,データについて!$J$12:$M$18,7,FALSE),"*")</f>
        <v>3</v>
      </c>
      <c r="AD370" s="81" t="str">
        <f>IF(X370=2,HLOOKUP(R370,データについて!$J$12:$M$18,7,FALSE),"*")</f>
        <v>*</v>
      </c>
    </row>
    <row r="371" spans="1:30">
      <c r="A371" s="30">
        <v>4821</v>
      </c>
      <c r="B371" s="30" t="s">
        <v>4968</v>
      </c>
      <c r="C371" s="30" t="s">
        <v>4969</v>
      </c>
      <c r="D371" s="30" t="s">
        <v>106</v>
      </c>
      <c r="E371" s="30"/>
      <c r="F371" s="30" t="s">
        <v>107</v>
      </c>
      <c r="G371" s="30" t="s">
        <v>106</v>
      </c>
      <c r="H371" s="30"/>
      <c r="I371" s="30" t="s">
        <v>191</v>
      </c>
      <c r="J371" s="30"/>
      <c r="K371" s="30" t="s">
        <v>1713</v>
      </c>
      <c r="L371" s="30" t="s">
        <v>117</v>
      </c>
      <c r="M371" s="30" t="s">
        <v>113</v>
      </c>
      <c r="N371" s="30" t="s">
        <v>114</v>
      </c>
      <c r="O371" s="30" t="s">
        <v>115</v>
      </c>
      <c r="P371" s="30" t="s">
        <v>118</v>
      </c>
      <c r="Q371" s="30" t="s">
        <v>112</v>
      </c>
      <c r="R371" s="30" t="s">
        <v>189</v>
      </c>
      <c r="S371" s="81">
        <f>HLOOKUP(L371,データについて!$J$6:$M$18,13,FALSE)</f>
        <v>2</v>
      </c>
      <c r="T371" s="81">
        <f>HLOOKUP(M371,データについて!$J$7:$M$18,12,FALSE)</f>
        <v>1</v>
      </c>
      <c r="U371" s="81">
        <f>HLOOKUP(N371,データについて!$J$8:$M$18,11,FALSE)</f>
        <v>1</v>
      </c>
      <c r="V371" s="81">
        <f>HLOOKUP(O371,データについて!$J$9:$M$18,10,FALSE)</f>
        <v>1</v>
      </c>
      <c r="W371" s="81">
        <f>HLOOKUP(P371,データについて!$J$10:$M$18,9,FALSE)</f>
        <v>2</v>
      </c>
      <c r="X371" s="81">
        <f>HLOOKUP(Q371,データについて!$J$11:$M$18,8,FALSE)</f>
        <v>1</v>
      </c>
      <c r="Y371" s="81">
        <f>HLOOKUP(R371,データについて!$J$12:$M$18,7,FALSE)</f>
        <v>4</v>
      </c>
      <c r="Z371" s="81">
        <f>HLOOKUP(I371,データについて!$J$3:$M$18,16,FALSE)</f>
        <v>2</v>
      </c>
      <c r="AA371" s="81" t="str">
        <f>IFERROR(HLOOKUP(J371,データについて!$J$4:$AH$19,16,FALSE),"")</f>
        <v/>
      </c>
      <c r="AB371" s="81">
        <f>IFERROR(HLOOKUP(K371,データについて!$J$5:$AH$20,14,FALSE),"")</f>
        <v>2</v>
      </c>
      <c r="AC371" s="81">
        <f>IF(X371=1,HLOOKUP(R371,データについて!$J$12:$M$18,7,FALSE),"*")</f>
        <v>4</v>
      </c>
      <c r="AD371" s="81" t="str">
        <f>IF(X371=2,HLOOKUP(R371,データについて!$J$12:$M$18,7,FALSE),"*")</f>
        <v>*</v>
      </c>
    </row>
    <row r="372" spans="1:30">
      <c r="A372" s="30">
        <v>4820</v>
      </c>
      <c r="B372" s="30" t="s">
        <v>4970</v>
      </c>
      <c r="C372" s="30" t="s">
        <v>4971</v>
      </c>
      <c r="D372" s="30" t="s">
        <v>106</v>
      </c>
      <c r="E372" s="30"/>
      <c r="F372" s="30" t="s">
        <v>107</v>
      </c>
      <c r="G372" s="30" t="s">
        <v>106</v>
      </c>
      <c r="H372" s="30"/>
      <c r="I372" s="30" t="s">
        <v>191</v>
      </c>
      <c r="J372" s="30"/>
      <c r="K372" s="30" t="s">
        <v>1713</v>
      </c>
      <c r="L372" s="30" t="s">
        <v>117</v>
      </c>
      <c r="M372" s="30" t="s">
        <v>124</v>
      </c>
      <c r="N372" s="30" t="s">
        <v>122</v>
      </c>
      <c r="O372" s="30" t="s">
        <v>115</v>
      </c>
      <c r="P372" s="30" t="s">
        <v>112</v>
      </c>
      <c r="Q372" s="30" t="s">
        <v>112</v>
      </c>
      <c r="R372" s="30" t="s">
        <v>185</v>
      </c>
      <c r="S372" s="81">
        <f>HLOOKUP(L372,データについて!$J$6:$M$18,13,FALSE)</f>
        <v>2</v>
      </c>
      <c r="T372" s="81">
        <f>HLOOKUP(M372,データについて!$J$7:$M$18,12,FALSE)</f>
        <v>3</v>
      </c>
      <c r="U372" s="81">
        <f>HLOOKUP(N372,データについて!$J$8:$M$18,11,FALSE)</f>
        <v>3</v>
      </c>
      <c r="V372" s="81">
        <f>HLOOKUP(O372,データについて!$J$9:$M$18,10,FALSE)</f>
        <v>1</v>
      </c>
      <c r="W372" s="81">
        <f>HLOOKUP(P372,データについて!$J$10:$M$18,9,FALSE)</f>
        <v>1</v>
      </c>
      <c r="X372" s="81">
        <f>HLOOKUP(Q372,データについて!$J$11:$M$18,8,FALSE)</f>
        <v>1</v>
      </c>
      <c r="Y372" s="81">
        <f>HLOOKUP(R372,データについて!$J$12:$M$18,7,FALSE)</f>
        <v>2</v>
      </c>
      <c r="Z372" s="81">
        <f>HLOOKUP(I372,データについて!$J$3:$M$18,16,FALSE)</f>
        <v>2</v>
      </c>
      <c r="AA372" s="81" t="str">
        <f>IFERROR(HLOOKUP(J372,データについて!$J$4:$AH$19,16,FALSE),"")</f>
        <v/>
      </c>
      <c r="AB372" s="81">
        <f>IFERROR(HLOOKUP(K372,データについて!$J$5:$AH$20,14,FALSE),"")</f>
        <v>2</v>
      </c>
      <c r="AC372" s="81">
        <f>IF(X372=1,HLOOKUP(R372,データについて!$J$12:$M$18,7,FALSE),"*")</f>
        <v>2</v>
      </c>
      <c r="AD372" s="81" t="str">
        <f>IF(X372=2,HLOOKUP(R372,データについて!$J$12:$M$18,7,FALSE),"*")</f>
        <v>*</v>
      </c>
    </row>
    <row r="373" spans="1:30">
      <c r="A373" s="30">
        <v>4819</v>
      </c>
      <c r="B373" s="30" t="s">
        <v>4972</v>
      </c>
      <c r="C373" s="30" t="s">
        <v>4971</v>
      </c>
      <c r="D373" s="30" t="s">
        <v>106</v>
      </c>
      <c r="E373" s="30"/>
      <c r="F373" s="30" t="s">
        <v>107</v>
      </c>
      <c r="G373" s="30" t="s">
        <v>106</v>
      </c>
      <c r="H373" s="30"/>
      <c r="I373" s="30" t="s">
        <v>191</v>
      </c>
      <c r="J373" s="30"/>
      <c r="K373" s="30" t="s">
        <v>1713</v>
      </c>
      <c r="L373" s="30" t="s">
        <v>117</v>
      </c>
      <c r="M373" s="30" t="s">
        <v>109</v>
      </c>
      <c r="N373" s="30" t="s">
        <v>110</v>
      </c>
      <c r="O373" s="30" t="s">
        <v>115</v>
      </c>
      <c r="P373" s="30" t="s">
        <v>118</v>
      </c>
      <c r="Q373" s="30" t="s">
        <v>112</v>
      </c>
      <c r="R373" s="30" t="s">
        <v>185</v>
      </c>
      <c r="S373" s="81">
        <f>HLOOKUP(L373,データについて!$J$6:$M$18,13,FALSE)</f>
        <v>2</v>
      </c>
      <c r="T373" s="81">
        <f>HLOOKUP(M373,データについて!$J$7:$M$18,12,FALSE)</f>
        <v>2</v>
      </c>
      <c r="U373" s="81">
        <f>HLOOKUP(N373,データについて!$J$8:$M$18,11,FALSE)</f>
        <v>2</v>
      </c>
      <c r="V373" s="81">
        <f>HLOOKUP(O373,データについて!$J$9:$M$18,10,FALSE)</f>
        <v>1</v>
      </c>
      <c r="W373" s="81">
        <f>HLOOKUP(P373,データについて!$J$10:$M$18,9,FALSE)</f>
        <v>2</v>
      </c>
      <c r="X373" s="81">
        <f>HLOOKUP(Q373,データについて!$J$11:$M$18,8,FALSE)</f>
        <v>1</v>
      </c>
      <c r="Y373" s="81">
        <f>HLOOKUP(R373,データについて!$J$12:$M$18,7,FALSE)</f>
        <v>2</v>
      </c>
      <c r="Z373" s="81">
        <f>HLOOKUP(I373,データについて!$J$3:$M$18,16,FALSE)</f>
        <v>2</v>
      </c>
      <c r="AA373" s="81" t="str">
        <f>IFERROR(HLOOKUP(J373,データについて!$J$4:$AH$19,16,FALSE),"")</f>
        <v/>
      </c>
      <c r="AB373" s="81">
        <f>IFERROR(HLOOKUP(K373,データについて!$J$5:$AH$20,14,FALSE),"")</f>
        <v>2</v>
      </c>
      <c r="AC373" s="81">
        <f>IF(X373=1,HLOOKUP(R373,データについて!$J$12:$M$18,7,FALSE),"*")</f>
        <v>2</v>
      </c>
      <c r="AD373" s="81" t="str">
        <f>IF(X373=2,HLOOKUP(R373,データについて!$J$12:$M$18,7,FALSE),"*")</f>
        <v>*</v>
      </c>
    </row>
    <row r="374" spans="1:30">
      <c r="A374" s="30">
        <v>4818</v>
      </c>
      <c r="B374" s="30" t="s">
        <v>4973</v>
      </c>
      <c r="C374" s="30" t="s">
        <v>4974</v>
      </c>
      <c r="D374" s="30" t="s">
        <v>106</v>
      </c>
      <c r="E374" s="30"/>
      <c r="F374" s="30" t="s">
        <v>107</v>
      </c>
      <c r="G374" s="30" t="s">
        <v>106</v>
      </c>
      <c r="H374" s="30"/>
      <c r="I374" s="30" t="s">
        <v>191</v>
      </c>
      <c r="J374" s="30"/>
      <c r="K374" s="30" t="s">
        <v>1713</v>
      </c>
      <c r="L374" s="30" t="s">
        <v>117</v>
      </c>
      <c r="M374" s="30" t="s">
        <v>124</v>
      </c>
      <c r="N374" s="30" t="s">
        <v>119</v>
      </c>
      <c r="O374" s="30" t="s">
        <v>115</v>
      </c>
      <c r="P374" s="30" t="s">
        <v>112</v>
      </c>
      <c r="Q374" s="30" t="s">
        <v>112</v>
      </c>
      <c r="R374" s="30" t="s">
        <v>189</v>
      </c>
      <c r="S374" s="81">
        <f>HLOOKUP(L374,データについて!$J$6:$M$18,13,FALSE)</f>
        <v>2</v>
      </c>
      <c r="T374" s="81">
        <f>HLOOKUP(M374,データについて!$J$7:$M$18,12,FALSE)</f>
        <v>3</v>
      </c>
      <c r="U374" s="81">
        <f>HLOOKUP(N374,データについて!$J$8:$M$18,11,FALSE)</f>
        <v>4</v>
      </c>
      <c r="V374" s="81">
        <f>HLOOKUP(O374,データについて!$J$9:$M$18,10,FALSE)</f>
        <v>1</v>
      </c>
      <c r="W374" s="81">
        <f>HLOOKUP(P374,データについて!$J$10:$M$18,9,FALSE)</f>
        <v>1</v>
      </c>
      <c r="X374" s="81">
        <f>HLOOKUP(Q374,データについて!$J$11:$M$18,8,FALSE)</f>
        <v>1</v>
      </c>
      <c r="Y374" s="81">
        <f>HLOOKUP(R374,データについて!$J$12:$M$18,7,FALSE)</f>
        <v>4</v>
      </c>
      <c r="Z374" s="81">
        <f>HLOOKUP(I374,データについて!$J$3:$M$18,16,FALSE)</f>
        <v>2</v>
      </c>
      <c r="AA374" s="81" t="str">
        <f>IFERROR(HLOOKUP(J374,データについて!$J$4:$AH$19,16,FALSE),"")</f>
        <v/>
      </c>
      <c r="AB374" s="81">
        <f>IFERROR(HLOOKUP(K374,データについて!$J$5:$AH$20,14,FALSE),"")</f>
        <v>2</v>
      </c>
      <c r="AC374" s="81">
        <f>IF(X374=1,HLOOKUP(R374,データについて!$J$12:$M$18,7,FALSE),"*")</f>
        <v>4</v>
      </c>
      <c r="AD374" s="81" t="str">
        <f>IF(X374=2,HLOOKUP(R374,データについて!$J$12:$M$18,7,FALSE),"*")</f>
        <v>*</v>
      </c>
    </row>
    <row r="375" spans="1:30">
      <c r="A375" s="30">
        <v>4817</v>
      </c>
      <c r="B375" s="30" t="s">
        <v>4975</v>
      </c>
      <c r="C375" s="30" t="s">
        <v>4976</v>
      </c>
      <c r="D375" s="30" t="s">
        <v>106</v>
      </c>
      <c r="E375" s="30"/>
      <c r="F375" s="30" t="s">
        <v>107</v>
      </c>
      <c r="G375" s="30" t="s">
        <v>106</v>
      </c>
      <c r="H375" s="30"/>
      <c r="I375" s="30" t="s">
        <v>191</v>
      </c>
      <c r="J375" s="30"/>
      <c r="K375" s="30" t="s">
        <v>1713</v>
      </c>
      <c r="L375" s="30" t="s">
        <v>117</v>
      </c>
      <c r="M375" s="30" t="s">
        <v>113</v>
      </c>
      <c r="N375" s="30" t="s">
        <v>114</v>
      </c>
      <c r="O375" s="30" t="s">
        <v>115</v>
      </c>
      <c r="P375" s="30" t="s">
        <v>118</v>
      </c>
      <c r="Q375" s="30" t="s">
        <v>112</v>
      </c>
      <c r="R375" s="30" t="s">
        <v>183</v>
      </c>
      <c r="S375" s="81">
        <f>HLOOKUP(L375,データについて!$J$6:$M$18,13,FALSE)</f>
        <v>2</v>
      </c>
      <c r="T375" s="81">
        <f>HLOOKUP(M375,データについて!$J$7:$M$18,12,FALSE)</f>
        <v>1</v>
      </c>
      <c r="U375" s="81">
        <f>HLOOKUP(N375,データについて!$J$8:$M$18,11,FALSE)</f>
        <v>1</v>
      </c>
      <c r="V375" s="81">
        <f>HLOOKUP(O375,データについて!$J$9:$M$18,10,FALSE)</f>
        <v>1</v>
      </c>
      <c r="W375" s="81">
        <f>HLOOKUP(P375,データについて!$J$10:$M$18,9,FALSE)</f>
        <v>2</v>
      </c>
      <c r="X375" s="81">
        <f>HLOOKUP(Q375,データについて!$J$11:$M$18,8,FALSE)</f>
        <v>1</v>
      </c>
      <c r="Y375" s="81">
        <f>HLOOKUP(R375,データについて!$J$12:$M$18,7,FALSE)</f>
        <v>1</v>
      </c>
      <c r="Z375" s="81">
        <f>HLOOKUP(I375,データについて!$J$3:$M$18,16,FALSE)</f>
        <v>2</v>
      </c>
      <c r="AA375" s="81" t="str">
        <f>IFERROR(HLOOKUP(J375,データについて!$J$4:$AH$19,16,FALSE),"")</f>
        <v/>
      </c>
      <c r="AB375" s="81">
        <f>IFERROR(HLOOKUP(K375,データについて!$J$5:$AH$20,14,FALSE),"")</f>
        <v>2</v>
      </c>
      <c r="AC375" s="81">
        <f>IF(X375=1,HLOOKUP(R375,データについて!$J$12:$M$18,7,FALSE),"*")</f>
        <v>1</v>
      </c>
      <c r="AD375" s="81" t="str">
        <f>IF(X375=2,HLOOKUP(R375,データについて!$J$12:$M$18,7,FALSE),"*")</f>
        <v>*</v>
      </c>
    </row>
    <row r="376" spans="1:30">
      <c r="A376" s="30">
        <v>4816</v>
      </c>
      <c r="B376" s="30" t="s">
        <v>4977</v>
      </c>
      <c r="C376" s="30" t="s">
        <v>4978</v>
      </c>
      <c r="D376" s="30" t="s">
        <v>106</v>
      </c>
      <c r="E376" s="30"/>
      <c r="F376" s="30" t="s">
        <v>107</v>
      </c>
      <c r="G376" s="30" t="s">
        <v>106</v>
      </c>
      <c r="H376" s="30"/>
      <c r="I376" s="30" t="s">
        <v>191</v>
      </c>
      <c r="J376" s="30"/>
      <c r="K376" s="30" t="s">
        <v>1713</v>
      </c>
      <c r="L376" s="30" t="s">
        <v>108</v>
      </c>
      <c r="M376" s="30" t="s">
        <v>113</v>
      </c>
      <c r="N376" s="30" t="s">
        <v>110</v>
      </c>
      <c r="O376" s="30" t="s">
        <v>111</v>
      </c>
      <c r="P376" s="30" t="s">
        <v>118</v>
      </c>
      <c r="Q376" s="30" t="s">
        <v>112</v>
      </c>
      <c r="R376" s="30" t="s">
        <v>183</v>
      </c>
      <c r="S376" s="81">
        <f>HLOOKUP(L376,データについて!$J$6:$M$18,13,FALSE)</f>
        <v>1</v>
      </c>
      <c r="T376" s="81">
        <f>HLOOKUP(M376,データについて!$J$7:$M$18,12,FALSE)</f>
        <v>1</v>
      </c>
      <c r="U376" s="81">
        <f>HLOOKUP(N376,データについて!$J$8:$M$18,11,FALSE)</f>
        <v>2</v>
      </c>
      <c r="V376" s="81">
        <f>HLOOKUP(O376,データについて!$J$9:$M$18,10,FALSE)</f>
        <v>3</v>
      </c>
      <c r="W376" s="81">
        <f>HLOOKUP(P376,データについて!$J$10:$M$18,9,FALSE)</f>
        <v>2</v>
      </c>
      <c r="X376" s="81">
        <f>HLOOKUP(Q376,データについて!$J$11:$M$18,8,FALSE)</f>
        <v>1</v>
      </c>
      <c r="Y376" s="81">
        <f>HLOOKUP(R376,データについて!$J$12:$M$18,7,FALSE)</f>
        <v>1</v>
      </c>
      <c r="Z376" s="81">
        <f>HLOOKUP(I376,データについて!$J$3:$M$18,16,FALSE)</f>
        <v>2</v>
      </c>
      <c r="AA376" s="81" t="str">
        <f>IFERROR(HLOOKUP(J376,データについて!$J$4:$AH$19,16,FALSE),"")</f>
        <v/>
      </c>
      <c r="AB376" s="81">
        <f>IFERROR(HLOOKUP(K376,データについて!$J$5:$AH$20,14,FALSE),"")</f>
        <v>2</v>
      </c>
      <c r="AC376" s="81">
        <f>IF(X376=1,HLOOKUP(R376,データについて!$J$12:$M$18,7,FALSE),"*")</f>
        <v>1</v>
      </c>
      <c r="AD376" s="81" t="str">
        <f>IF(X376=2,HLOOKUP(R376,データについて!$J$12:$M$18,7,FALSE),"*")</f>
        <v>*</v>
      </c>
    </row>
    <row r="377" spans="1:30">
      <c r="A377" s="30">
        <v>4815</v>
      </c>
      <c r="B377" s="30" t="s">
        <v>4979</v>
      </c>
      <c r="C377" s="30" t="s">
        <v>4978</v>
      </c>
      <c r="D377" s="30" t="s">
        <v>106</v>
      </c>
      <c r="E377" s="30"/>
      <c r="F377" s="30" t="s">
        <v>107</v>
      </c>
      <c r="G377" s="30" t="s">
        <v>106</v>
      </c>
      <c r="H377" s="30"/>
      <c r="I377" s="30" t="s">
        <v>191</v>
      </c>
      <c r="J377" s="30"/>
      <c r="K377" s="30" t="s">
        <v>1713</v>
      </c>
      <c r="L377" s="30" t="s">
        <v>120</v>
      </c>
      <c r="M377" s="30" t="s">
        <v>124</v>
      </c>
      <c r="N377" s="30" t="s">
        <v>110</v>
      </c>
      <c r="O377" s="30" t="s">
        <v>123</v>
      </c>
      <c r="P377" s="30" t="s">
        <v>112</v>
      </c>
      <c r="Q377" s="30" t="s">
        <v>112</v>
      </c>
      <c r="R377" s="30" t="s">
        <v>187</v>
      </c>
      <c r="S377" s="81">
        <f>HLOOKUP(L377,データについて!$J$6:$M$18,13,FALSE)</f>
        <v>3</v>
      </c>
      <c r="T377" s="81">
        <f>HLOOKUP(M377,データについて!$J$7:$M$18,12,FALSE)</f>
        <v>3</v>
      </c>
      <c r="U377" s="81">
        <f>HLOOKUP(N377,データについて!$J$8:$M$18,11,FALSE)</f>
        <v>2</v>
      </c>
      <c r="V377" s="81">
        <f>HLOOKUP(O377,データについて!$J$9:$M$18,10,FALSE)</f>
        <v>4</v>
      </c>
      <c r="W377" s="81">
        <f>HLOOKUP(P377,データについて!$J$10:$M$18,9,FALSE)</f>
        <v>1</v>
      </c>
      <c r="X377" s="81">
        <f>HLOOKUP(Q377,データについて!$J$11:$M$18,8,FALSE)</f>
        <v>1</v>
      </c>
      <c r="Y377" s="81">
        <f>HLOOKUP(R377,データについて!$J$12:$M$18,7,FALSE)</f>
        <v>3</v>
      </c>
      <c r="Z377" s="81">
        <f>HLOOKUP(I377,データについて!$J$3:$M$18,16,FALSE)</f>
        <v>2</v>
      </c>
      <c r="AA377" s="81" t="str">
        <f>IFERROR(HLOOKUP(J377,データについて!$J$4:$AH$19,16,FALSE),"")</f>
        <v/>
      </c>
      <c r="AB377" s="81">
        <f>IFERROR(HLOOKUP(K377,データについて!$J$5:$AH$20,14,FALSE),"")</f>
        <v>2</v>
      </c>
      <c r="AC377" s="81">
        <f>IF(X377=1,HLOOKUP(R377,データについて!$J$12:$M$18,7,FALSE),"*")</f>
        <v>3</v>
      </c>
      <c r="AD377" s="81" t="str">
        <f>IF(X377=2,HLOOKUP(R377,データについて!$J$12:$M$18,7,FALSE),"*")</f>
        <v>*</v>
      </c>
    </row>
    <row r="378" spans="1:30">
      <c r="A378" s="30">
        <v>4814</v>
      </c>
      <c r="B378" s="30" t="s">
        <v>4980</v>
      </c>
      <c r="C378" s="30" t="s">
        <v>4981</v>
      </c>
      <c r="D378" s="30" t="s">
        <v>106</v>
      </c>
      <c r="E378" s="30"/>
      <c r="F378" s="30" t="s">
        <v>107</v>
      </c>
      <c r="G378" s="30" t="s">
        <v>106</v>
      </c>
      <c r="H378" s="30"/>
      <c r="I378" s="30" t="s">
        <v>191</v>
      </c>
      <c r="J378" s="30"/>
      <c r="K378" s="30" t="s">
        <v>1713</v>
      </c>
      <c r="L378" s="30" t="s">
        <v>108</v>
      </c>
      <c r="M378" s="30" t="s">
        <v>109</v>
      </c>
      <c r="N378" s="30" t="s">
        <v>114</v>
      </c>
      <c r="O378" s="30" t="s">
        <v>115</v>
      </c>
      <c r="P378" s="30" t="s">
        <v>112</v>
      </c>
      <c r="Q378" s="30" t="s">
        <v>112</v>
      </c>
      <c r="R378" s="30" t="s">
        <v>185</v>
      </c>
      <c r="S378" s="81">
        <f>HLOOKUP(L378,データについて!$J$6:$M$18,13,FALSE)</f>
        <v>1</v>
      </c>
      <c r="T378" s="81">
        <f>HLOOKUP(M378,データについて!$J$7:$M$18,12,FALSE)</f>
        <v>2</v>
      </c>
      <c r="U378" s="81">
        <f>HLOOKUP(N378,データについて!$J$8:$M$18,11,FALSE)</f>
        <v>1</v>
      </c>
      <c r="V378" s="81">
        <f>HLOOKUP(O378,データについて!$J$9:$M$18,10,FALSE)</f>
        <v>1</v>
      </c>
      <c r="W378" s="81">
        <f>HLOOKUP(P378,データについて!$J$10:$M$18,9,FALSE)</f>
        <v>1</v>
      </c>
      <c r="X378" s="81">
        <f>HLOOKUP(Q378,データについて!$J$11:$M$18,8,FALSE)</f>
        <v>1</v>
      </c>
      <c r="Y378" s="81">
        <f>HLOOKUP(R378,データについて!$J$12:$M$18,7,FALSE)</f>
        <v>2</v>
      </c>
      <c r="Z378" s="81">
        <f>HLOOKUP(I378,データについて!$J$3:$M$18,16,FALSE)</f>
        <v>2</v>
      </c>
      <c r="AA378" s="81" t="str">
        <f>IFERROR(HLOOKUP(J378,データについて!$J$4:$AH$19,16,FALSE),"")</f>
        <v/>
      </c>
      <c r="AB378" s="81">
        <f>IFERROR(HLOOKUP(K378,データについて!$J$5:$AH$20,14,FALSE),"")</f>
        <v>2</v>
      </c>
      <c r="AC378" s="81">
        <f>IF(X378=1,HLOOKUP(R378,データについて!$J$12:$M$18,7,FALSE),"*")</f>
        <v>2</v>
      </c>
      <c r="AD378" s="81" t="str">
        <f>IF(X378=2,HLOOKUP(R378,データについて!$J$12:$M$18,7,FALSE),"*")</f>
        <v>*</v>
      </c>
    </row>
    <row r="379" spans="1:30">
      <c r="A379" s="30">
        <v>4813</v>
      </c>
      <c r="B379" s="30" t="s">
        <v>4982</v>
      </c>
      <c r="C379" s="30" t="s">
        <v>4981</v>
      </c>
      <c r="D379" s="30" t="s">
        <v>106</v>
      </c>
      <c r="E379" s="30"/>
      <c r="F379" s="30" t="s">
        <v>107</v>
      </c>
      <c r="G379" s="30" t="s">
        <v>106</v>
      </c>
      <c r="H379" s="30"/>
      <c r="I379" s="30" t="s">
        <v>191</v>
      </c>
      <c r="J379" s="30"/>
      <c r="K379" s="30" t="s">
        <v>1713</v>
      </c>
      <c r="L379" s="30" t="s">
        <v>117</v>
      </c>
      <c r="M379" s="30" t="s">
        <v>124</v>
      </c>
      <c r="N379" s="30" t="s">
        <v>119</v>
      </c>
      <c r="O379" s="30" t="s">
        <v>111</v>
      </c>
      <c r="P379" s="30" t="s">
        <v>112</v>
      </c>
      <c r="Q379" s="30" t="s">
        <v>112</v>
      </c>
      <c r="R379" s="30" t="s">
        <v>187</v>
      </c>
      <c r="S379" s="81">
        <f>HLOOKUP(L379,データについて!$J$6:$M$18,13,FALSE)</f>
        <v>2</v>
      </c>
      <c r="T379" s="81">
        <f>HLOOKUP(M379,データについて!$J$7:$M$18,12,FALSE)</f>
        <v>3</v>
      </c>
      <c r="U379" s="81">
        <f>HLOOKUP(N379,データについて!$J$8:$M$18,11,FALSE)</f>
        <v>4</v>
      </c>
      <c r="V379" s="81">
        <f>HLOOKUP(O379,データについて!$J$9:$M$18,10,FALSE)</f>
        <v>3</v>
      </c>
      <c r="W379" s="81">
        <f>HLOOKUP(P379,データについて!$J$10:$M$18,9,FALSE)</f>
        <v>1</v>
      </c>
      <c r="X379" s="81">
        <f>HLOOKUP(Q379,データについて!$J$11:$M$18,8,FALSE)</f>
        <v>1</v>
      </c>
      <c r="Y379" s="81">
        <f>HLOOKUP(R379,データについて!$J$12:$M$18,7,FALSE)</f>
        <v>3</v>
      </c>
      <c r="Z379" s="81">
        <f>HLOOKUP(I379,データについて!$J$3:$M$18,16,FALSE)</f>
        <v>2</v>
      </c>
      <c r="AA379" s="81" t="str">
        <f>IFERROR(HLOOKUP(J379,データについて!$J$4:$AH$19,16,FALSE),"")</f>
        <v/>
      </c>
      <c r="AB379" s="81">
        <f>IFERROR(HLOOKUP(K379,データについて!$J$5:$AH$20,14,FALSE),"")</f>
        <v>2</v>
      </c>
      <c r="AC379" s="81">
        <f>IF(X379=1,HLOOKUP(R379,データについて!$J$12:$M$18,7,FALSE),"*")</f>
        <v>3</v>
      </c>
      <c r="AD379" s="81" t="str">
        <f>IF(X379=2,HLOOKUP(R379,データについて!$J$12:$M$18,7,FALSE),"*")</f>
        <v>*</v>
      </c>
    </row>
    <row r="380" spans="1:30">
      <c r="A380" s="30">
        <v>4812</v>
      </c>
      <c r="B380" s="30" t="s">
        <v>4983</v>
      </c>
      <c r="C380" s="30" t="s">
        <v>4984</v>
      </c>
      <c r="D380" s="30" t="s">
        <v>106</v>
      </c>
      <c r="E380" s="30"/>
      <c r="F380" s="30" t="s">
        <v>107</v>
      </c>
      <c r="G380" s="30" t="s">
        <v>106</v>
      </c>
      <c r="H380" s="30"/>
      <c r="I380" s="30" t="s">
        <v>191</v>
      </c>
      <c r="J380" s="30"/>
      <c r="K380" s="30" t="s">
        <v>1713</v>
      </c>
      <c r="L380" s="30" t="s">
        <v>108</v>
      </c>
      <c r="M380" s="30" t="s">
        <v>113</v>
      </c>
      <c r="N380" s="30" t="s">
        <v>114</v>
      </c>
      <c r="O380" s="30" t="s">
        <v>115</v>
      </c>
      <c r="P380" s="30" t="s">
        <v>118</v>
      </c>
      <c r="Q380" s="30" t="s">
        <v>118</v>
      </c>
      <c r="R380" s="30" t="s">
        <v>189</v>
      </c>
      <c r="S380" s="81">
        <f>HLOOKUP(L380,データについて!$J$6:$M$18,13,FALSE)</f>
        <v>1</v>
      </c>
      <c r="T380" s="81">
        <f>HLOOKUP(M380,データについて!$J$7:$M$18,12,FALSE)</f>
        <v>1</v>
      </c>
      <c r="U380" s="81">
        <f>HLOOKUP(N380,データについて!$J$8:$M$18,11,FALSE)</f>
        <v>1</v>
      </c>
      <c r="V380" s="81">
        <f>HLOOKUP(O380,データについて!$J$9:$M$18,10,FALSE)</f>
        <v>1</v>
      </c>
      <c r="W380" s="81">
        <f>HLOOKUP(P380,データについて!$J$10:$M$18,9,FALSE)</f>
        <v>2</v>
      </c>
      <c r="X380" s="81">
        <f>HLOOKUP(Q380,データについて!$J$11:$M$18,8,FALSE)</f>
        <v>2</v>
      </c>
      <c r="Y380" s="81">
        <f>HLOOKUP(R380,データについて!$J$12:$M$18,7,FALSE)</f>
        <v>4</v>
      </c>
      <c r="Z380" s="81">
        <f>HLOOKUP(I380,データについて!$J$3:$M$18,16,FALSE)</f>
        <v>2</v>
      </c>
      <c r="AA380" s="81" t="str">
        <f>IFERROR(HLOOKUP(J380,データについて!$J$4:$AH$19,16,FALSE),"")</f>
        <v/>
      </c>
      <c r="AB380" s="81">
        <f>IFERROR(HLOOKUP(K380,データについて!$J$5:$AH$20,14,FALSE),"")</f>
        <v>2</v>
      </c>
      <c r="AC380" s="81" t="str">
        <f>IF(X380=1,HLOOKUP(R380,データについて!$J$12:$M$18,7,FALSE),"*")</f>
        <v>*</v>
      </c>
      <c r="AD380" s="81">
        <f>IF(X380=2,HLOOKUP(R380,データについて!$J$12:$M$18,7,FALSE),"*")</f>
        <v>4</v>
      </c>
    </row>
    <row r="381" spans="1:30">
      <c r="A381" s="30">
        <v>4811</v>
      </c>
      <c r="B381" s="30" t="s">
        <v>4985</v>
      </c>
      <c r="C381" s="30" t="s">
        <v>4986</v>
      </c>
      <c r="D381" s="30" t="s">
        <v>106</v>
      </c>
      <c r="E381" s="30"/>
      <c r="F381" s="30" t="s">
        <v>107</v>
      </c>
      <c r="G381" s="30" t="s">
        <v>106</v>
      </c>
      <c r="H381" s="30"/>
      <c r="I381" s="30" t="s">
        <v>191</v>
      </c>
      <c r="J381" s="30"/>
      <c r="K381" s="30" t="s">
        <v>1713</v>
      </c>
      <c r="L381" s="30" t="s">
        <v>117</v>
      </c>
      <c r="M381" s="30" t="s">
        <v>113</v>
      </c>
      <c r="N381" s="30" t="s">
        <v>114</v>
      </c>
      <c r="O381" s="30" t="s">
        <v>115</v>
      </c>
      <c r="P381" s="30" t="s">
        <v>112</v>
      </c>
      <c r="Q381" s="30" t="s">
        <v>112</v>
      </c>
      <c r="R381" s="30" t="s">
        <v>185</v>
      </c>
      <c r="S381" s="81">
        <f>HLOOKUP(L381,データについて!$J$6:$M$18,13,FALSE)</f>
        <v>2</v>
      </c>
      <c r="T381" s="81">
        <f>HLOOKUP(M381,データについて!$J$7:$M$18,12,FALSE)</f>
        <v>1</v>
      </c>
      <c r="U381" s="81">
        <f>HLOOKUP(N381,データについて!$J$8:$M$18,11,FALSE)</f>
        <v>1</v>
      </c>
      <c r="V381" s="81">
        <f>HLOOKUP(O381,データについて!$J$9:$M$18,10,FALSE)</f>
        <v>1</v>
      </c>
      <c r="W381" s="81">
        <f>HLOOKUP(P381,データについて!$J$10:$M$18,9,FALSE)</f>
        <v>1</v>
      </c>
      <c r="X381" s="81">
        <f>HLOOKUP(Q381,データについて!$J$11:$M$18,8,FALSE)</f>
        <v>1</v>
      </c>
      <c r="Y381" s="81">
        <f>HLOOKUP(R381,データについて!$J$12:$M$18,7,FALSE)</f>
        <v>2</v>
      </c>
      <c r="Z381" s="81">
        <f>HLOOKUP(I381,データについて!$J$3:$M$18,16,FALSE)</f>
        <v>2</v>
      </c>
      <c r="AA381" s="81" t="str">
        <f>IFERROR(HLOOKUP(J381,データについて!$J$4:$AH$19,16,FALSE),"")</f>
        <v/>
      </c>
      <c r="AB381" s="81">
        <f>IFERROR(HLOOKUP(K381,データについて!$J$5:$AH$20,14,FALSE),"")</f>
        <v>2</v>
      </c>
      <c r="AC381" s="81">
        <f>IF(X381=1,HLOOKUP(R381,データについて!$J$12:$M$18,7,FALSE),"*")</f>
        <v>2</v>
      </c>
      <c r="AD381" s="81" t="str">
        <f>IF(X381=2,HLOOKUP(R381,データについて!$J$12:$M$18,7,FALSE),"*")</f>
        <v>*</v>
      </c>
    </row>
    <row r="382" spans="1:30">
      <c r="A382" s="30">
        <v>4810</v>
      </c>
      <c r="B382" s="30" t="s">
        <v>4987</v>
      </c>
      <c r="C382" s="30" t="s">
        <v>4988</v>
      </c>
      <c r="D382" s="30" t="s">
        <v>106</v>
      </c>
      <c r="E382" s="30"/>
      <c r="F382" s="30" t="s">
        <v>107</v>
      </c>
      <c r="G382" s="30" t="s">
        <v>106</v>
      </c>
      <c r="H382" s="30"/>
      <c r="I382" s="30" t="s">
        <v>191</v>
      </c>
      <c r="J382" s="30"/>
      <c r="K382" s="30" t="s">
        <v>1713</v>
      </c>
      <c r="L382" s="30" t="s">
        <v>117</v>
      </c>
      <c r="M382" s="30" t="s">
        <v>113</v>
      </c>
      <c r="N382" s="30" t="s">
        <v>119</v>
      </c>
      <c r="O382" s="30" t="s">
        <v>115</v>
      </c>
      <c r="P382" s="30" t="s">
        <v>118</v>
      </c>
      <c r="Q382" s="30" t="s">
        <v>112</v>
      </c>
      <c r="R382" s="30" t="s">
        <v>185</v>
      </c>
      <c r="S382" s="81">
        <f>HLOOKUP(L382,データについて!$J$6:$M$18,13,FALSE)</f>
        <v>2</v>
      </c>
      <c r="T382" s="81">
        <f>HLOOKUP(M382,データについて!$J$7:$M$18,12,FALSE)</f>
        <v>1</v>
      </c>
      <c r="U382" s="81">
        <f>HLOOKUP(N382,データについて!$J$8:$M$18,11,FALSE)</f>
        <v>4</v>
      </c>
      <c r="V382" s="81">
        <f>HLOOKUP(O382,データについて!$J$9:$M$18,10,FALSE)</f>
        <v>1</v>
      </c>
      <c r="W382" s="81">
        <f>HLOOKUP(P382,データについて!$J$10:$M$18,9,FALSE)</f>
        <v>2</v>
      </c>
      <c r="X382" s="81">
        <f>HLOOKUP(Q382,データについて!$J$11:$M$18,8,FALSE)</f>
        <v>1</v>
      </c>
      <c r="Y382" s="81">
        <f>HLOOKUP(R382,データについて!$J$12:$M$18,7,FALSE)</f>
        <v>2</v>
      </c>
      <c r="Z382" s="81">
        <f>HLOOKUP(I382,データについて!$J$3:$M$18,16,FALSE)</f>
        <v>2</v>
      </c>
      <c r="AA382" s="81" t="str">
        <f>IFERROR(HLOOKUP(J382,データについて!$J$4:$AH$19,16,FALSE),"")</f>
        <v/>
      </c>
      <c r="AB382" s="81">
        <f>IFERROR(HLOOKUP(K382,データについて!$J$5:$AH$20,14,FALSE),"")</f>
        <v>2</v>
      </c>
      <c r="AC382" s="81">
        <f>IF(X382=1,HLOOKUP(R382,データについて!$J$12:$M$18,7,FALSE),"*")</f>
        <v>2</v>
      </c>
      <c r="AD382" s="81" t="str">
        <f>IF(X382=2,HLOOKUP(R382,データについて!$J$12:$M$18,7,FALSE),"*")</f>
        <v>*</v>
      </c>
    </row>
    <row r="383" spans="1:30">
      <c r="A383" s="30">
        <v>4809</v>
      </c>
      <c r="B383" s="30" t="s">
        <v>4989</v>
      </c>
      <c r="C383" s="30" t="s">
        <v>4990</v>
      </c>
      <c r="D383" s="30" t="s">
        <v>106</v>
      </c>
      <c r="E383" s="30"/>
      <c r="F383" s="30" t="s">
        <v>107</v>
      </c>
      <c r="G383" s="30" t="s">
        <v>106</v>
      </c>
      <c r="H383" s="30"/>
      <c r="I383" s="30" t="s">
        <v>191</v>
      </c>
      <c r="J383" s="30"/>
      <c r="K383" s="30" t="s">
        <v>1713</v>
      </c>
      <c r="L383" s="30" t="s">
        <v>117</v>
      </c>
      <c r="M383" s="30" t="s">
        <v>113</v>
      </c>
      <c r="N383" s="30" t="s">
        <v>110</v>
      </c>
      <c r="O383" s="30" t="s">
        <v>115</v>
      </c>
      <c r="P383" s="30" t="s">
        <v>112</v>
      </c>
      <c r="Q383" s="30" t="s">
        <v>112</v>
      </c>
      <c r="R383" s="30" t="s">
        <v>183</v>
      </c>
      <c r="S383" s="81">
        <f>HLOOKUP(L383,データについて!$J$6:$M$18,13,FALSE)</f>
        <v>2</v>
      </c>
      <c r="T383" s="81">
        <f>HLOOKUP(M383,データについて!$J$7:$M$18,12,FALSE)</f>
        <v>1</v>
      </c>
      <c r="U383" s="81">
        <f>HLOOKUP(N383,データについて!$J$8:$M$18,11,FALSE)</f>
        <v>2</v>
      </c>
      <c r="V383" s="81">
        <f>HLOOKUP(O383,データについて!$J$9:$M$18,10,FALSE)</f>
        <v>1</v>
      </c>
      <c r="W383" s="81">
        <f>HLOOKUP(P383,データについて!$J$10:$M$18,9,FALSE)</f>
        <v>1</v>
      </c>
      <c r="X383" s="81">
        <f>HLOOKUP(Q383,データについて!$J$11:$M$18,8,FALSE)</f>
        <v>1</v>
      </c>
      <c r="Y383" s="81">
        <f>HLOOKUP(R383,データについて!$J$12:$M$18,7,FALSE)</f>
        <v>1</v>
      </c>
      <c r="Z383" s="81">
        <f>HLOOKUP(I383,データについて!$J$3:$M$18,16,FALSE)</f>
        <v>2</v>
      </c>
      <c r="AA383" s="81" t="str">
        <f>IFERROR(HLOOKUP(J383,データについて!$J$4:$AH$19,16,FALSE),"")</f>
        <v/>
      </c>
      <c r="AB383" s="81">
        <f>IFERROR(HLOOKUP(K383,データについて!$J$5:$AH$20,14,FALSE),"")</f>
        <v>2</v>
      </c>
      <c r="AC383" s="81">
        <f>IF(X383=1,HLOOKUP(R383,データについて!$J$12:$M$18,7,FALSE),"*")</f>
        <v>1</v>
      </c>
      <c r="AD383" s="81" t="str">
        <f>IF(X383=2,HLOOKUP(R383,データについて!$J$12:$M$18,7,FALSE),"*")</f>
        <v>*</v>
      </c>
    </row>
    <row r="384" spans="1:30">
      <c r="A384" s="30">
        <v>4808</v>
      </c>
      <c r="B384" s="30" t="s">
        <v>4991</v>
      </c>
      <c r="C384" s="30" t="s">
        <v>4992</v>
      </c>
      <c r="D384" s="30" t="s">
        <v>106</v>
      </c>
      <c r="E384" s="30"/>
      <c r="F384" s="30" t="s">
        <v>107</v>
      </c>
      <c r="G384" s="30" t="s">
        <v>106</v>
      </c>
      <c r="H384" s="30"/>
      <c r="I384" s="30" t="s">
        <v>191</v>
      </c>
      <c r="J384" s="30"/>
      <c r="K384" s="30" t="s">
        <v>1713</v>
      </c>
      <c r="L384" s="30" t="s">
        <v>108</v>
      </c>
      <c r="M384" s="30" t="s">
        <v>109</v>
      </c>
      <c r="N384" s="30" t="s">
        <v>110</v>
      </c>
      <c r="O384" s="30" t="s">
        <v>115</v>
      </c>
      <c r="P384" s="30" t="s">
        <v>112</v>
      </c>
      <c r="Q384" s="30" t="s">
        <v>112</v>
      </c>
      <c r="R384" s="30" t="s">
        <v>185</v>
      </c>
      <c r="S384" s="81">
        <f>HLOOKUP(L384,データについて!$J$6:$M$18,13,FALSE)</f>
        <v>1</v>
      </c>
      <c r="T384" s="81">
        <f>HLOOKUP(M384,データについて!$J$7:$M$18,12,FALSE)</f>
        <v>2</v>
      </c>
      <c r="U384" s="81">
        <f>HLOOKUP(N384,データについて!$J$8:$M$18,11,FALSE)</f>
        <v>2</v>
      </c>
      <c r="V384" s="81">
        <f>HLOOKUP(O384,データについて!$J$9:$M$18,10,FALSE)</f>
        <v>1</v>
      </c>
      <c r="W384" s="81">
        <f>HLOOKUP(P384,データについて!$J$10:$M$18,9,FALSE)</f>
        <v>1</v>
      </c>
      <c r="X384" s="81">
        <f>HLOOKUP(Q384,データについて!$J$11:$M$18,8,FALSE)</f>
        <v>1</v>
      </c>
      <c r="Y384" s="81">
        <f>HLOOKUP(R384,データについて!$J$12:$M$18,7,FALSE)</f>
        <v>2</v>
      </c>
      <c r="Z384" s="81">
        <f>HLOOKUP(I384,データについて!$J$3:$M$18,16,FALSE)</f>
        <v>2</v>
      </c>
      <c r="AA384" s="81" t="str">
        <f>IFERROR(HLOOKUP(J384,データについて!$J$4:$AH$19,16,FALSE),"")</f>
        <v/>
      </c>
      <c r="AB384" s="81">
        <f>IFERROR(HLOOKUP(K384,データについて!$J$5:$AH$20,14,FALSE),"")</f>
        <v>2</v>
      </c>
      <c r="AC384" s="81">
        <f>IF(X384=1,HLOOKUP(R384,データについて!$J$12:$M$18,7,FALSE),"*")</f>
        <v>2</v>
      </c>
      <c r="AD384" s="81" t="str">
        <f>IF(X384=2,HLOOKUP(R384,データについて!$J$12:$M$18,7,FALSE),"*")</f>
        <v>*</v>
      </c>
    </row>
    <row r="385" spans="1:30">
      <c r="A385" s="30">
        <v>4807</v>
      </c>
      <c r="B385" s="30" t="s">
        <v>4993</v>
      </c>
      <c r="C385" s="30" t="s">
        <v>4994</v>
      </c>
      <c r="D385" s="30" t="s">
        <v>106</v>
      </c>
      <c r="E385" s="30"/>
      <c r="F385" s="30" t="s">
        <v>107</v>
      </c>
      <c r="G385" s="30" t="s">
        <v>106</v>
      </c>
      <c r="H385" s="30"/>
      <c r="I385" s="30" t="s">
        <v>191</v>
      </c>
      <c r="J385" s="30"/>
      <c r="K385" s="30" t="s">
        <v>1713</v>
      </c>
      <c r="L385" s="30" t="s">
        <v>108</v>
      </c>
      <c r="M385" s="30" t="s">
        <v>109</v>
      </c>
      <c r="N385" s="30" t="s">
        <v>110</v>
      </c>
      <c r="O385" s="30" t="s">
        <v>115</v>
      </c>
      <c r="P385" s="30" t="s">
        <v>118</v>
      </c>
      <c r="Q385" s="30" t="s">
        <v>112</v>
      </c>
      <c r="R385" s="30" t="s">
        <v>185</v>
      </c>
      <c r="S385" s="81">
        <f>HLOOKUP(L385,データについて!$J$6:$M$18,13,FALSE)</f>
        <v>1</v>
      </c>
      <c r="T385" s="81">
        <f>HLOOKUP(M385,データについて!$J$7:$M$18,12,FALSE)</f>
        <v>2</v>
      </c>
      <c r="U385" s="81">
        <f>HLOOKUP(N385,データについて!$J$8:$M$18,11,FALSE)</f>
        <v>2</v>
      </c>
      <c r="V385" s="81">
        <f>HLOOKUP(O385,データについて!$J$9:$M$18,10,FALSE)</f>
        <v>1</v>
      </c>
      <c r="W385" s="81">
        <f>HLOOKUP(P385,データについて!$J$10:$M$18,9,FALSE)</f>
        <v>2</v>
      </c>
      <c r="X385" s="81">
        <f>HLOOKUP(Q385,データについて!$J$11:$M$18,8,FALSE)</f>
        <v>1</v>
      </c>
      <c r="Y385" s="81">
        <f>HLOOKUP(R385,データについて!$J$12:$M$18,7,FALSE)</f>
        <v>2</v>
      </c>
      <c r="Z385" s="81">
        <f>HLOOKUP(I385,データについて!$J$3:$M$18,16,FALSE)</f>
        <v>2</v>
      </c>
      <c r="AA385" s="81" t="str">
        <f>IFERROR(HLOOKUP(J385,データについて!$J$4:$AH$19,16,FALSE),"")</f>
        <v/>
      </c>
      <c r="AB385" s="81">
        <f>IFERROR(HLOOKUP(K385,データについて!$J$5:$AH$20,14,FALSE),"")</f>
        <v>2</v>
      </c>
      <c r="AC385" s="81">
        <f>IF(X385=1,HLOOKUP(R385,データについて!$J$12:$M$18,7,FALSE),"*")</f>
        <v>2</v>
      </c>
      <c r="AD385" s="81" t="str">
        <f>IF(X385=2,HLOOKUP(R385,データについて!$J$12:$M$18,7,FALSE),"*")</f>
        <v>*</v>
      </c>
    </row>
    <row r="386" spans="1:30">
      <c r="A386" s="30">
        <v>4806</v>
      </c>
      <c r="B386" s="30" t="s">
        <v>4995</v>
      </c>
      <c r="C386" s="30" t="s">
        <v>4996</v>
      </c>
      <c r="D386" s="30" t="s">
        <v>106</v>
      </c>
      <c r="E386" s="30"/>
      <c r="F386" s="30" t="s">
        <v>107</v>
      </c>
      <c r="G386" s="30" t="s">
        <v>106</v>
      </c>
      <c r="H386" s="30"/>
      <c r="I386" s="30" t="s">
        <v>191</v>
      </c>
      <c r="J386" s="30"/>
      <c r="K386" s="30" t="s">
        <v>1713</v>
      </c>
      <c r="L386" s="30" t="s">
        <v>108</v>
      </c>
      <c r="M386" s="30" t="s">
        <v>113</v>
      </c>
      <c r="N386" s="30" t="s">
        <v>122</v>
      </c>
      <c r="O386" s="30" t="s">
        <v>115</v>
      </c>
      <c r="P386" s="30" t="s">
        <v>112</v>
      </c>
      <c r="Q386" s="30" t="s">
        <v>112</v>
      </c>
      <c r="R386" s="30" t="s">
        <v>185</v>
      </c>
      <c r="S386" s="81">
        <f>HLOOKUP(L386,データについて!$J$6:$M$18,13,FALSE)</f>
        <v>1</v>
      </c>
      <c r="T386" s="81">
        <f>HLOOKUP(M386,データについて!$J$7:$M$18,12,FALSE)</f>
        <v>1</v>
      </c>
      <c r="U386" s="81">
        <f>HLOOKUP(N386,データについて!$J$8:$M$18,11,FALSE)</f>
        <v>3</v>
      </c>
      <c r="V386" s="81">
        <f>HLOOKUP(O386,データについて!$J$9:$M$18,10,FALSE)</f>
        <v>1</v>
      </c>
      <c r="W386" s="81">
        <f>HLOOKUP(P386,データについて!$J$10:$M$18,9,FALSE)</f>
        <v>1</v>
      </c>
      <c r="X386" s="81">
        <f>HLOOKUP(Q386,データについて!$J$11:$M$18,8,FALSE)</f>
        <v>1</v>
      </c>
      <c r="Y386" s="81">
        <f>HLOOKUP(R386,データについて!$J$12:$M$18,7,FALSE)</f>
        <v>2</v>
      </c>
      <c r="Z386" s="81">
        <f>HLOOKUP(I386,データについて!$J$3:$M$18,16,FALSE)</f>
        <v>2</v>
      </c>
      <c r="AA386" s="81" t="str">
        <f>IFERROR(HLOOKUP(J386,データについて!$J$4:$AH$19,16,FALSE),"")</f>
        <v/>
      </c>
      <c r="AB386" s="81">
        <f>IFERROR(HLOOKUP(K386,データについて!$J$5:$AH$20,14,FALSE),"")</f>
        <v>2</v>
      </c>
      <c r="AC386" s="81">
        <f>IF(X386=1,HLOOKUP(R386,データについて!$J$12:$M$18,7,FALSE),"*")</f>
        <v>2</v>
      </c>
      <c r="AD386" s="81" t="str">
        <f>IF(X386=2,HLOOKUP(R386,データについて!$J$12:$M$18,7,FALSE),"*")</f>
        <v>*</v>
      </c>
    </row>
    <row r="387" spans="1:30">
      <c r="A387" s="30">
        <v>4805</v>
      </c>
      <c r="B387" s="30" t="s">
        <v>4997</v>
      </c>
      <c r="C387" s="30" t="s">
        <v>4998</v>
      </c>
      <c r="D387" s="30" t="s">
        <v>106</v>
      </c>
      <c r="E387" s="30"/>
      <c r="F387" s="30" t="s">
        <v>107</v>
      </c>
      <c r="G387" s="30" t="s">
        <v>106</v>
      </c>
      <c r="H387" s="30"/>
      <c r="I387" s="30" t="s">
        <v>191</v>
      </c>
      <c r="J387" s="30"/>
      <c r="K387" s="30" t="s">
        <v>1713</v>
      </c>
      <c r="L387" s="30" t="s">
        <v>117</v>
      </c>
      <c r="M387" s="30" t="s">
        <v>113</v>
      </c>
      <c r="N387" s="30" t="s">
        <v>122</v>
      </c>
      <c r="O387" s="30" t="s">
        <v>115</v>
      </c>
      <c r="P387" s="30" t="s">
        <v>118</v>
      </c>
      <c r="Q387" s="30" t="s">
        <v>112</v>
      </c>
      <c r="R387" s="30" t="s">
        <v>185</v>
      </c>
      <c r="S387" s="81">
        <f>HLOOKUP(L387,データについて!$J$6:$M$18,13,FALSE)</f>
        <v>2</v>
      </c>
      <c r="T387" s="81">
        <f>HLOOKUP(M387,データについて!$J$7:$M$18,12,FALSE)</f>
        <v>1</v>
      </c>
      <c r="U387" s="81">
        <f>HLOOKUP(N387,データについて!$J$8:$M$18,11,FALSE)</f>
        <v>3</v>
      </c>
      <c r="V387" s="81">
        <f>HLOOKUP(O387,データについて!$J$9:$M$18,10,FALSE)</f>
        <v>1</v>
      </c>
      <c r="W387" s="81">
        <f>HLOOKUP(P387,データについて!$J$10:$M$18,9,FALSE)</f>
        <v>2</v>
      </c>
      <c r="X387" s="81">
        <f>HLOOKUP(Q387,データについて!$J$11:$M$18,8,FALSE)</f>
        <v>1</v>
      </c>
      <c r="Y387" s="81">
        <f>HLOOKUP(R387,データについて!$J$12:$M$18,7,FALSE)</f>
        <v>2</v>
      </c>
      <c r="Z387" s="81">
        <f>HLOOKUP(I387,データについて!$J$3:$M$18,16,FALSE)</f>
        <v>2</v>
      </c>
      <c r="AA387" s="81" t="str">
        <f>IFERROR(HLOOKUP(J387,データについて!$J$4:$AH$19,16,FALSE),"")</f>
        <v/>
      </c>
      <c r="AB387" s="81">
        <f>IFERROR(HLOOKUP(K387,データについて!$J$5:$AH$20,14,FALSE),"")</f>
        <v>2</v>
      </c>
      <c r="AC387" s="81">
        <f>IF(X387=1,HLOOKUP(R387,データについて!$J$12:$M$18,7,FALSE),"*")</f>
        <v>2</v>
      </c>
      <c r="AD387" s="81" t="str">
        <f>IF(X387=2,HLOOKUP(R387,データについて!$J$12:$M$18,7,FALSE),"*")</f>
        <v>*</v>
      </c>
    </row>
    <row r="388" spans="1:30">
      <c r="A388" s="30">
        <v>4804</v>
      </c>
      <c r="B388" s="30" t="s">
        <v>4999</v>
      </c>
      <c r="C388" s="30" t="s">
        <v>5000</v>
      </c>
      <c r="D388" s="30" t="s">
        <v>106</v>
      </c>
      <c r="E388" s="30"/>
      <c r="F388" s="30" t="s">
        <v>107</v>
      </c>
      <c r="G388" s="30" t="s">
        <v>106</v>
      </c>
      <c r="H388" s="30"/>
      <c r="I388" s="30" t="s">
        <v>191</v>
      </c>
      <c r="J388" s="30"/>
      <c r="K388" s="30" t="s">
        <v>1713</v>
      </c>
      <c r="L388" s="30" t="s">
        <v>117</v>
      </c>
      <c r="M388" s="30" t="s">
        <v>113</v>
      </c>
      <c r="N388" s="30" t="s">
        <v>114</v>
      </c>
      <c r="O388" s="30" t="s">
        <v>115</v>
      </c>
      <c r="P388" s="30" t="s">
        <v>118</v>
      </c>
      <c r="Q388" s="30" t="s">
        <v>112</v>
      </c>
      <c r="R388" s="30" t="s">
        <v>183</v>
      </c>
      <c r="S388" s="81">
        <f>HLOOKUP(L388,データについて!$J$6:$M$18,13,FALSE)</f>
        <v>2</v>
      </c>
      <c r="T388" s="81">
        <f>HLOOKUP(M388,データについて!$J$7:$M$18,12,FALSE)</f>
        <v>1</v>
      </c>
      <c r="U388" s="81">
        <f>HLOOKUP(N388,データについて!$J$8:$M$18,11,FALSE)</f>
        <v>1</v>
      </c>
      <c r="V388" s="81">
        <f>HLOOKUP(O388,データについて!$J$9:$M$18,10,FALSE)</f>
        <v>1</v>
      </c>
      <c r="W388" s="81">
        <f>HLOOKUP(P388,データについて!$J$10:$M$18,9,FALSE)</f>
        <v>2</v>
      </c>
      <c r="X388" s="81">
        <f>HLOOKUP(Q388,データについて!$J$11:$M$18,8,FALSE)</f>
        <v>1</v>
      </c>
      <c r="Y388" s="81">
        <f>HLOOKUP(R388,データについて!$J$12:$M$18,7,FALSE)</f>
        <v>1</v>
      </c>
      <c r="Z388" s="81">
        <f>HLOOKUP(I388,データについて!$J$3:$M$18,16,FALSE)</f>
        <v>2</v>
      </c>
      <c r="AA388" s="81" t="str">
        <f>IFERROR(HLOOKUP(J388,データについて!$J$4:$AH$19,16,FALSE),"")</f>
        <v/>
      </c>
      <c r="AB388" s="81">
        <f>IFERROR(HLOOKUP(K388,データについて!$J$5:$AH$20,14,FALSE),"")</f>
        <v>2</v>
      </c>
      <c r="AC388" s="81">
        <f>IF(X388=1,HLOOKUP(R388,データについて!$J$12:$M$18,7,FALSE),"*")</f>
        <v>1</v>
      </c>
      <c r="AD388" s="81" t="str">
        <f>IF(X388=2,HLOOKUP(R388,データについて!$J$12:$M$18,7,FALSE),"*")</f>
        <v>*</v>
      </c>
    </row>
    <row r="389" spans="1:30">
      <c r="A389" s="30">
        <v>4803</v>
      </c>
      <c r="B389" s="30" t="s">
        <v>5001</v>
      </c>
      <c r="C389" s="30" t="s">
        <v>5002</v>
      </c>
      <c r="D389" s="30" t="s">
        <v>106</v>
      </c>
      <c r="E389" s="30"/>
      <c r="F389" s="30" t="s">
        <v>107</v>
      </c>
      <c r="G389" s="30" t="s">
        <v>106</v>
      </c>
      <c r="H389" s="30"/>
      <c r="I389" s="30" t="s">
        <v>191</v>
      </c>
      <c r="J389" s="30"/>
      <c r="K389" s="30" t="s">
        <v>1713</v>
      </c>
      <c r="L389" s="30" t="s">
        <v>108</v>
      </c>
      <c r="M389" s="30" t="s">
        <v>109</v>
      </c>
      <c r="N389" s="30" t="s">
        <v>110</v>
      </c>
      <c r="O389" s="30" t="s">
        <v>116</v>
      </c>
      <c r="P389" s="30" t="s">
        <v>112</v>
      </c>
      <c r="Q389" s="30" t="s">
        <v>112</v>
      </c>
      <c r="R389" s="30" t="s">
        <v>185</v>
      </c>
      <c r="S389" s="81">
        <f>HLOOKUP(L389,データについて!$J$6:$M$18,13,FALSE)</f>
        <v>1</v>
      </c>
      <c r="T389" s="81">
        <f>HLOOKUP(M389,データについて!$J$7:$M$18,12,FALSE)</f>
        <v>2</v>
      </c>
      <c r="U389" s="81">
        <f>HLOOKUP(N389,データについて!$J$8:$M$18,11,FALSE)</f>
        <v>2</v>
      </c>
      <c r="V389" s="81">
        <f>HLOOKUP(O389,データについて!$J$9:$M$18,10,FALSE)</f>
        <v>2</v>
      </c>
      <c r="W389" s="81">
        <f>HLOOKUP(P389,データについて!$J$10:$M$18,9,FALSE)</f>
        <v>1</v>
      </c>
      <c r="X389" s="81">
        <f>HLOOKUP(Q389,データについて!$J$11:$M$18,8,FALSE)</f>
        <v>1</v>
      </c>
      <c r="Y389" s="81">
        <f>HLOOKUP(R389,データについて!$J$12:$M$18,7,FALSE)</f>
        <v>2</v>
      </c>
      <c r="Z389" s="81">
        <f>HLOOKUP(I389,データについて!$J$3:$M$18,16,FALSE)</f>
        <v>2</v>
      </c>
      <c r="AA389" s="81" t="str">
        <f>IFERROR(HLOOKUP(J389,データについて!$J$4:$AH$19,16,FALSE),"")</f>
        <v/>
      </c>
      <c r="AB389" s="81">
        <f>IFERROR(HLOOKUP(K389,データについて!$J$5:$AH$20,14,FALSE),"")</f>
        <v>2</v>
      </c>
      <c r="AC389" s="81">
        <f>IF(X389=1,HLOOKUP(R389,データについて!$J$12:$M$18,7,FALSE),"*")</f>
        <v>2</v>
      </c>
      <c r="AD389" s="81" t="str">
        <f>IF(X389=2,HLOOKUP(R389,データについて!$J$12:$M$18,7,FALSE),"*")</f>
        <v>*</v>
      </c>
    </row>
    <row r="390" spans="1:30">
      <c r="A390" s="30">
        <v>4802</v>
      </c>
      <c r="B390" s="30" t="s">
        <v>5003</v>
      </c>
      <c r="C390" s="30" t="s">
        <v>5004</v>
      </c>
      <c r="D390" s="30" t="s">
        <v>106</v>
      </c>
      <c r="E390" s="30"/>
      <c r="F390" s="30" t="s">
        <v>107</v>
      </c>
      <c r="G390" s="30" t="s">
        <v>106</v>
      </c>
      <c r="H390" s="30"/>
      <c r="I390" s="30" t="s">
        <v>191</v>
      </c>
      <c r="J390" s="30"/>
      <c r="K390" s="30" t="s">
        <v>1713</v>
      </c>
      <c r="L390" s="30" t="s">
        <v>117</v>
      </c>
      <c r="M390" s="30" t="s">
        <v>113</v>
      </c>
      <c r="N390" s="30" t="s">
        <v>110</v>
      </c>
      <c r="O390" s="30" t="s">
        <v>115</v>
      </c>
      <c r="P390" s="30" t="s">
        <v>118</v>
      </c>
      <c r="Q390" s="30" t="s">
        <v>112</v>
      </c>
      <c r="R390" s="30" t="s">
        <v>187</v>
      </c>
      <c r="S390" s="81">
        <f>HLOOKUP(L390,データについて!$J$6:$M$18,13,FALSE)</f>
        <v>2</v>
      </c>
      <c r="T390" s="81">
        <f>HLOOKUP(M390,データについて!$J$7:$M$18,12,FALSE)</f>
        <v>1</v>
      </c>
      <c r="U390" s="81">
        <f>HLOOKUP(N390,データについて!$J$8:$M$18,11,FALSE)</f>
        <v>2</v>
      </c>
      <c r="V390" s="81">
        <f>HLOOKUP(O390,データについて!$J$9:$M$18,10,FALSE)</f>
        <v>1</v>
      </c>
      <c r="W390" s="81">
        <f>HLOOKUP(P390,データについて!$J$10:$M$18,9,FALSE)</f>
        <v>2</v>
      </c>
      <c r="X390" s="81">
        <f>HLOOKUP(Q390,データについて!$J$11:$M$18,8,FALSE)</f>
        <v>1</v>
      </c>
      <c r="Y390" s="81">
        <f>HLOOKUP(R390,データについて!$J$12:$M$18,7,FALSE)</f>
        <v>3</v>
      </c>
      <c r="Z390" s="81">
        <f>HLOOKUP(I390,データについて!$J$3:$M$18,16,FALSE)</f>
        <v>2</v>
      </c>
      <c r="AA390" s="81" t="str">
        <f>IFERROR(HLOOKUP(J390,データについて!$J$4:$AH$19,16,FALSE),"")</f>
        <v/>
      </c>
      <c r="AB390" s="81">
        <f>IFERROR(HLOOKUP(K390,データについて!$J$5:$AH$20,14,FALSE),"")</f>
        <v>2</v>
      </c>
      <c r="AC390" s="81">
        <f>IF(X390=1,HLOOKUP(R390,データについて!$J$12:$M$18,7,FALSE),"*")</f>
        <v>3</v>
      </c>
      <c r="AD390" s="81" t="str">
        <f>IF(X390=2,HLOOKUP(R390,データについて!$J$12:$M$18,7,FALSE),"*")</f>
        <v>*</v>
      </c>
    </row>
    <row r="391" spans="1:30">
      <c r="A391" s="30">
        <v>4801</v>
      </c>
      <c r="B391" s="30" t="s">
        <v>5005</v>
      </c>
      <c r="C391" s="30" t="s">
        <v>5006</v>
      </c>
      <c r="D391" s="30" t="s">
        <v>106</v>
      </c>
      <c r="E391" s="30"/>
      <c r="F391" s="30" t="s">
        <v>107</v>
      </c>
      <c r="G391" s="30" t="s">
        <v>106</v>
      </c>
      <c r="H391" s="30"/>
      <c r="I391" s="30" t="s">
        <v>192</v>
      </c>
      <c r="J391" s="30" t="s">
        <v>3847</v>
      </c>
      <c r="K391" s="30"/>
      <c r="L391" s="30" t="s">
        <v>117</v>
      </c>
      <c r="M391" s="30" t="s">
        <v>109</v>
      </c>
      <c r="N391" s="30" t="s">
        <v>122</v>
      </c>
      <c r="O391" s="30" t="s">
        <v>116</v>
      </c>
      <c r="P391" s="30" t="s">
        <v>112</v>
      </c>
      <c r="Q391" s="30" t="s">
        <v>112</v>
      </c>
      <c r="R391" s="30" t="s">
        <v>187</v>
      </c>
      <c r="S391" s="81">
        <f>HLOOKUP(L391,データについて!$J$6:$M$18,13,FALSE)</f>
        <v>2</v>
      </c>
      <c r="T391" s="81">
        <f>HLOOKUP(M391,データについて!$J$7:$M$18,12,FALSE)</f>
        <v>2</v>
      </c>
      <c r="U391" s="81">
        <f>HLOOKUP(N391,データについて!$J$8:$M$18,11,FALSE)</f>
        <v>3</v>
      </c>
      <c r="V391" s="81">
        <f>HLOOKUP(O391,データについて!$J$9:$M$18,10,FALSE)</f>
        <v>2</v>
      </c>
      <c r="W391" s="81">
        <f>HLOOKUP(P391,データについて!$J$10:$M$18,9,FALSE)</f>
        <v>1</v>
      </c>
      <c r="X391" s="81">
        <f>HLOOKUP(Q391,データについて!$J$11:$M$18,8,FALSE)</f>
        <v>1</v>
      </c>
      <c r="Y391" s="81">
        <f>HLOOKUP(R391,データについて!$J$12:$M$18,7,FALSE)</f>
        <v>3</v>
      </c>
      <c r="Z391" s="81">
        <f>HLOOKUP(I391,データについて!$J$3:$M$18,16,FALSE)</f>
        <v>1</v>
      </c>
      <c r="AA391" s="81">
        <f>IFERROR(HLOOKUP(J391,データについて!$J$4:$AH$19,16,FALSE),"")</f>
        <v>3</v>
      </c>
      <c r="AB391" s="81" t="str">
        <f>IFERROR(HLOOKUP(K391,データについて!$J$5:$AH$20,14,FALSE),"")</f>
        <v/>
      </c>
      <c r="AC391" s="81">
        <f>IF(X391=1,HLOOKUP(R391,データについて!$J$12:$M$18,7,FALSE),"*")</f>
        <v>3</v>
      </c>
      <c r="AD391" s="81" t="str">
        <f>IF(X391=2,HLOOKUP(R391,データについて!$J$12:$M$18,7,FALSE),"*")</f>
        <v>*</v>
      </c>
    </row>
    <row r="392" spans="1:30">
      <c r="A392" s="30">
        <v>4800</v>
      </c>
      <c r="B392" s="30" t="s">
        <v>5007</v>
      </c>
      <c r="C392" s="30" t="s">
        <v>5008</v>
      </c>
      <c r="D392" s="30" t="s">
        <v>106</v>
      </c>
      <c r="E392" s="30"/>
      <c r="F392" s="30" t="s">
        <v>107</v>
      </c>
      <c r="G392" s="30" t="s">
        <v>106</v>
      </c>
      <c r="H392" s="30"/>
      <c r="I392" s="30" t="s">
        <v>192</v>
      </c>
      <c r="J392" s="30" t="s">
        <v>3847</v>
      </c>
      <c r="K392" s="30"/>
      <c r="L392" s="30" t="s">
        <v>108</v>
      </c>
      <c r="M392" s="30" t="s">
        <v>113</v>
      </c>
      <c r="N392" s="30" t="s">
        <v>114</v>
      </c>
      <c r="O392" s="30" t="s">
        <v>115</v>
      </c>
      <c r="P392" s="30" t="s">
        <v>112</v>
      </c>
      <c r="Q392" s="30" t="s">
        <v>112</v>
      </c>
      <c r="R392" s="30" t="s">
        <v>183</v>
      </c>
      <c r="S392" s="81">
        <f>HLOOKUP(L392,データについて!$J$6:$M$18,13,FALSE)</f>
        <v>1</v>
      </c>
      <c r="T392" s="81">
        <f>HLOOKUP(M392,データについて!$J$7:$M$18,12,FALSE)</f>
        <v>1</v>
      </c>
      <c r="U392" s="81">
        <f>HLOOKUP(N392,データについて!$J$8:$M$18,11,FALSE)</f>
        <v>1</v>
      </c>
      <c r="V392" s="81">
        <f>HLOOKUP(O392,データについて!$J$9:$M$18,10,FALSE)</f>
        <v>1</v>
      </c>
      <c r="W392" s="81">
        <f>HLOOKUP(P392,データについて!$J$10:$M$18,9,FALSE)</f>
        <v>1</v>
      </c>
      <c r="X392" s="81">
        <f>HLOOKUP(Q392,データについて!$J$11:$M$18,8,FALSE)</f>
        <v>1</v>
      </c>
      <c r="Y392" s="81">
        <f>HLOOKUP(R392,データについて!$J$12:$M$18,7,FALSE)</f>
        <v>1</v>
      </c>
      <c r="Z392" s="81">
        <f>HLOOKUP(I392,データについて!$J$3:$M$18,16,FALSE)</f>
        <v>1</v>
      </c>
      <c r="AA392" s="81">
        <f>IFERROR(HLOOKUP(J392,データについて!$J$4:$AH$19,16,FALSE),"")</f>
        <v>3</v>
      </c>
      <c r="AB392" s="81" t="str">
        <f>IFERROR(HLOOKUP(K392,データについて!$J$5:$AH$20,14,FALSE),"")</f>
        <v/>
      </c>
      <c r="AC392" s="81">
        <f>IF(X392=1,HLOOKUP(R392,データについて!$J$12:$M$18,7,FALSE),"*")</f>
        <v>1</v>
      </c>
      <c r="AD392" s="81" t="str">
        <f>IF(X392=2,HLOOKUP(R392,データについて!$J$12:$M$18,7,FALSE),"*")</f>
        <v>*</v>
      </c>
    </row>
    <row r="393" spans="1:30">
      <c r="A393" s="30">
        <v>4799</v>
      </c>
      <c r="B393" s="30" t="s">
        <v>5009</v>
      </c>
      <c r="C393" s="30" t="s">
        <v>5010</v>
      </c>
      <c r="D393" s="30" t="s">
        <v>106</v>
      </c>
      <c r="E393" s="30"/>
      <c r="F393" s="30" t="s">
        <v>107</v>
      </c>
      <c r="G393" s="30" t="s">
        <v>106</v>
      </c>
      <c r="H393" s="30"/>
      <c r="I393" s="30" t="s">
        <v>192</v>
      </c>
      <c r="J393" s="30" t="s">
        <v>3847</v>
      </c>
      <c r="K393" s="30"/>
      <c r="L393" s="30" t="s">
        <v>117</v>
      </c>
      <c r="M393" s="30" t="s">
        <v>109</v>
      </c>
      <c r="N393" s="30" t="s">
        <v>114</v>
      </c>
      <c r="O393" s="30" t="s">
        <v>115</v>
      </c>
      <c r="P393" s="30" t="s">
        <v>112</v>
      </c>
      <c r="Q393" s="30" t="s">
        <v>112</v>
      </c>
      <c r="R393" s="30" t="s">
        <v>183</v>
      </c>
      <c r="S393" s="81">
        <f>HLOOKUP(L393,データについて!$J$6:$M$18,13,FALSE)</f>
        <v>2</v>
      </c>
      <c r="T393" s="81">
        <f>HLOOKUP(M393,データについて!$J$7:$M$18,12,FALSE)</f>
        <v>2</v>
      </c>
      <c r="U393" s="81">
        <f>HLOOKUP(N393,データについて!$J$8:$M$18,11,FALSE)</f>
        <v>1</v>
      </c>
      <c r="V393" s="81">
        <f>HLOOKUP(O393,データについて!$J$9:$M$18,10,FALSE)</f>
        <v>1</v>
      </c>
      <c r="W393" s="81">
        <f>HLOOKUP(P393,データについて!$J$10:$M$18,9,FALSE)</f>
        <v>1</v>
      </c>
      <c r="X393" s="81">
        <f>HLOOKUP(Q393,データについて!$J$11:$M$18,8,FALSE)</f>
        <v>1</v>
      </c>
      <c r="Y393" s="81">
        <f>HLOOKUP(R393,データについて!$J$12:$M$18,7,FALSE)</f>
        <v>1</v>
      </c>
      <c r="Z393" s="81">
        <f>HLOOKUP(I393,データについて!$J$3:$M$18,16,FALSE)</f>
        <v>1</v>
      </c>
      <c r="AA393" s="81">
        <f>IFERROR(HLOOKUP(J393,データについて!$J$4:$AH$19,16,FALSE),"")</f>
        <v>3</v>
      </c>
      <c r="AB393" s="81" t="str">
        <f>IFERROR(HLOOKUP(K393,データについて!$J$5:$AH$20,14,FALSE),"")</f>
        <v/>
      </c>
      <c r="AC393" s="81">
        <f>IF(X393=1,HLOOKUP(R393,データについて!$J$12:$M$18,7,FALSE),"*")</f>
        <v>1</v>
      </c>
      <c r="AD393" s="81" t="str">
        <f>IF(X393=2,HLOOKUP(R393,データについて!$J$12:$M$18,7,FALSE),"*")</f>
        <v>*</v>
      </c>
    </row>
    <row r="394" spans="1:30">
      <c r="A394" s="30">
        <v>4798</v>
      </c>
      <c r="B394" s="30" t="s">
        <v>5011</v>
      </c>
      <c r="C394" s="30" t="s">
        <v>5012</v>
      </c>
      <c r="D394" s="30" t="s">
        <v>106</v>
      </c>
      <c r="E394" s="30"/>
      <c r="F394" s="30" t="s">
        <v>107</v>
      </c>
      <c r="G394" s="30" t="s">
        <v>106</v>
      </c>
      <c r="H394" s="30"/>
      <c r="I394" s="30" t="s">
        <v>192</v>
      </c>
      <c r="J394" s="30" t="s">
        <v>3847</v>
      </c>
      <c r="K394" s="30"/>
      <c r="L394" s="30" t="s">
        <v>108</v>
      </c>
      <c r="M394" s="30" t="s">
        <v>113</v>
      </c>
      <c r="N394" s="30" t="s">
        <v>114</v>
      </c>
      <c r="O394" s="30" t="s">
        <v>115</v>
      </c>
      <c r="P394" s="30" t="s">
        <v>112</v>
      </c>
      <c r="Q394" s="30" t="s">
        <v>112</v>
      </c>
      <c r="R394" s="30" t="s">
        <v>183</v>
      </c>
      <c r="S394" s="81">
        <f>HLOOKUP(L394,データについて!$J$6:$M$18,13,FALSE)</f>
        <v>1</v>
      </c>
      <c r="T394" s="81">
        <f>HLOOKUP(M394,データについて!$J$7:$M$18,12,FALSE)</f>
        <v>1</v>
      </c>
      <c r="U394" s="81">
        <f>HLOOKUP(N394,データについて!$J$8:$M$18,11,FALSE)</f>
        <v>1</v>
      </c>
      <c r="V394" s="81">
        <f>HLOOKUP(O394,データについて!$J$9:$M$18,10,FALSE)</f>
        <v>1</v>
      </c>
      <c r="W394" s="81">
        <f>HLOOKUP(P394,データについて!$J$10:$M$18,9,FALSE)</f>
        <v>1</v>
      </c>
      <c r="X394" s="81">
        <f>HLOOKUP(Q394,データについて!$J$11:$M$18,8,FALSE)</f>
        <v>1</v>
      </c>
      <c r="Y394" s="81">
        <f>HLOOKUP(R394,データについて!$J$12:$M$18,7,FALSE)</f>
        <v>1</v>
      </c>
      <c r="Z394" s="81">
        <f>HLOOKUP(I394,データについて!$J$3:$M$18,16,FALSE)</f>
        <v>1</v>
      </c>
      <c r="AA394" s="81">
        <f>IFERROR(HLOOKUP(J394,データについて!$J$4:$AH$19,16,FALSE),"")</f>
        <v>3</v>
      </c>
      <c r="AB394" s="81" t="str">
        <f>IFERROR(HLOOKUP(K394,データについて!$J$5:$AH$20,14,FALSE),"")</f>
        <v/>
      </c>
      <c r="AC394" s="81">
        <f>IF(X394=1,HLOOKUP(R394,データについて!$J$12:$M$18,7,FALSE),"*")</f>
        <v>1</v>
      </c>
      <c r="AD394" s="81" t="str">
        <f>IF(X394=2,HLOOKUP(R394,データについて!$J$12:$M$18,7,FALSE),"*")</f>
        <v>*</v>
      </c>
    </row>
    <row r="395" spans="1:30">
      <c r="A395" s="30">
        <v>4797</v>
      </c>
      <c r="B395" s="30" t="s">
        <v>5013</v>
      </c>
      <c r="C395" s="30" t="s">
        <v>5014</v>
      </c>
      <c r="D395" s="30" t="s">
        <v>106</v>
      </c>
      <c r="E395" s="30"/>
      <c r="F395" s="30" t="s">
        <v>107</v>
      </c>
      <c r="G395" s="30" t="s">
        <v>106</v>
      </c>
      <c r="H395" s="30"/>
      <c r="I395" s="30" t="s">
        <v>192</v>
      </c>
      <c r="J395" s="30" t="s">
        <v>3847</v>
      </c>
      <c r="K395" s="30"/>
      <c r="L395" s="30" t="s">
        <v>108</v>
      </c>
      <c r="M395" s="30" t="s">
        <v>113</v>
      </c>
      <c r="N395" s="30" t="s">
        <v>114</v>
      </c>
      <c r="O395" s="30" t="s">
        <v>116</v>
      </c>
      <c r="P395" s="30" t="s">
        <v>112</v>
      </c>
      <c r="Q395" s="30" t="s">
        <v>112</v>
      </c>
      <c r="R395" s="30" t="s">
        <v>185</v>
      </c>
      <c r="S395" s="81">
        <f>HLOOKUP(L395,データについて!$J$6:$M$18,13,FALSE)</f>
        <v>1</v>
      </c>
      <c r="T395" s="81">
        <f>HLOOKUP(M395,データについて!$J$7:$M$18,12,FALSE)</f>
        <v>1</v>
      </c>
      <c r="U395" s="81">
        <f>HLOOKUP(N395,データについて!$J$8:$M$18,11,FALSE)</f>
        <v>1</v>
      </c>
      <c r="V395" s="81">
        <f>HLOOKUP(O395,データについて!$J$9:$M$18,10,FALSE)</f>
        <v>2</v>
      </c>
      <c r="W395" s="81">
        <f>HLOOKUP(P395,データについて!$J$10:$M$18,9,FALSE)</f>
        <v>1</v>
      </c>
      <c r="X395" s="81">
        <f>HLOOKUP(Q395,データについて!$J$11:$M$18,8,FALSE)</f>
        <v>1</v>
      </c>
      <c r="Y395" s="81">
        <f>HLOOKUP(R395,データについて!$J$12:$M$18,7,FALSE)</f>
        <v>2</v>
      </c>
      <c r="Z395" s="81">
        <f>HLOOKUP(I395,データについて!$J$3:$M$18,16,FALSE)</f>
        <v>1</v>
      </c>
      <c r="AA395" s="81">
        <f>IFERROR(HLOOKUP(J395,データについて!$J$4:$AH$19,16,FALSE),"")</f>
        <v>3</v>
      </c>
      <c r="AB395" s="81" t="str">
        <f>IFERROR(HLOOKUP(K395,データについて!$J$5:$AH$20,14,FALSE),"")</f>
        <v/>
      </c>
      <c r="AC395" s="81">
        <f>IF(X395=1,HLOOKUP(R395,データについて!$J$12:$M$18,7,FALSE),"*")</f>
        <v>2</v>
      </c>
      <c r="AD395" s="81" t="str">
        <f>IF(X395=2,HLOOKUP(R395,データについて!$J$12:$M$18,7,FALSE),"*")</f>
        <v>*</v>
      </c>
    </row>
    <row r="396" spans="1:30">
      <c r="A396" s="30">
        <v>4796</v>
      </c>
      <c r="B396" s="30" t="s">
        <v>5015</v>
      </c>
      <c r="C396" s="30" t="s">
        <v>5016</v>
      </c>
      <c r="D396" s="30" t="s">
        <v>106</v>
      </c>
      <c r="E396" s="30"/>
      <c r="F396" s="30" t="s">
        <v>107</v>
      </c>
      <c r="G396" s="30" t="s">
        <v>106</v>
      </c>
      <c r="H396" s="30"/>
      <c r="I396" s="30" t="s">
        <v>192</v>
      </c>
      <c r="J396" s="30" t="s">
        <v>3847</v>
      </c>
      <c r="K396" s="30"/>
      <c r="L396" s="30" t="s">
        <v>117</v>
      </c>
      <c r="M396" s="30" t="s">
        <v>113</v>
      </c>
      <c r="N396" s="30" t="s">
        <v>114</v>
      </c>
      <c r="O396" s="30" t="s">
        <v>115</v>
      </c>
      <c r="P396" s="30" t="s">
        <v>112</v>
      </c>
      <c r="Q396" s="30" t="s">
        <v>112</v>
      </c>
      <c r="R396" s="30" t="s">
        <v>185</v>
      </c>
      <c r="S396" s="81">
        <f>HLOOKUP(L396,データについて!$J$6:$M$18,13,FALSE)</f>
        <v>2</v>
      </c>
      <c r="T396" s="81">
        <f>HLOOKUP(M396,データについて!$J$7:$M$18,12,FALSE)</f>
        <v>1</v>
      </c>
      <c r="U396" s="81">
        <f>HLOOKUP(N396,データについて!$J$8:$M$18,11,FALSE)</f>
        <v>1</v>
      </c>
      <c r="V396" s="81">
        <f>HLOOKUP(O396,データについて!$J$9:$M$18,10,FALSE)</f>
        <v>1</v>
      </c>
      <c r="W396" s="81">
        <f>HLOOKUP(P396,データについて!$J$10:$M$18,9,FALSE)</f>
        <v>1</v>
      </c>
      <c r="X396" s="81">
        <f>HLOOKUP(Q396,データについて!$J$11:$M$18,8,FALSE)</f>
        <v>1</v>
      </c>
      <c r="Y396" s="81">
        <f>HLOOKUP(R396,データについて!$J$12:$M$18,7,FALSE)</f>
        <v>2</v>
      </c>
      <c r="Z396" s="81">
        <f>HLOOKUP(I396,データについて!$J$3:$M$18,16,FALSE)</f>
        <v>1</v>
      </c>
      <c r="AA396" s="81">
        <f>IFERROR(HLOOKUP(J396,データについて!$J$4:$AH$19,16,FALSE),"")</f>
        <v>3</v>
      </c>
      <c r="AB396" s="81" t="str">
        <f>IFERROR(HLOOKUP(K396,データについて!$J$5:$AH$20,14,FALSE),"")</f>
        <v/>
      </c>
      <c r="AC396" s="81">
        <f>IF(X396=1,HLOOKUP(R396,データについて!$J$12:$M$18,7,FALSE),"*")</f>
        <v>2</v>
      </c>
      <c r="AD396" s="81" t="str">
        <f>IF(X396=2,HLOOKUP(R396,データについて!$J$12:$M$18,7,FALSE),"*")</f>
        <v>*</v>
      </c>
    </row>
    <row r="397" spans="1:30">
      <c r="A397" s="30">
        <v>4795</v>
      </c>
      <c r="B397" s="30" t="s">
        <v>5017</v>
      </c>
      <c r="C397" s="30" t="s">
        <v>5018</v>
      </c>
      <c r="D397" s="30" t="s">
        <v>106</v>
      </c>
      <c r="E397" s="30"/>
      <c r="F397" s="30" t="s">
        <v>107</v>
      </c>
      <c r="G397" s="30" t="s">
        <v>106</v>
      </c>
      <c r="H397" s="30"/>
      <c r="I397" s="30" t="s">
        <v>192</v>
      </c>
      <c r="J397" s="30" t="s">
        <v>3847</v>
      </c>
      <c r="K397" s="30"/>
      <c r="L397" s="30" t="s">
        <v>117</v>
      </c>
      <c r="M397" s="30" t="s">
        <v>113</v>
      </c>
      <c r="N397" s="30" t="s">
        <v>114</v>
      </c>
      <c r="O397" s="30" t="s">
        <v>115</v>
      </c>
      <c r="P397" s="30" t="s">
        <v>112</v>
      </c>
      <c r="Q397" s="30" t="s">
        <v>112</v>
      </c>
      <c r="R397" s="30" t="s">
        <v>183</v>
      </c>
      <c r="S397" s="81">
        <f>HLOOKUP(L397,データについて!$J$6:$M$18,13,FALSE)</f>
        <v>2</v>
      </c>
      <c r="T397" s="81">
        <f>HLOOKUP(M397,データについて!$J$7:$M$18,12,FALSE)</f>
        <v>1</v>
      </c>
      <c r="U397" s="81">
        <f>HLOOKUP(N397,データについて!$J$8:$M$18,11,FALSE)</f>
        <v>1</v>
      </c>
      <c r="V397" s="81">
        <f>HLOOKUP(O397,データについて!$J$9:$M$18,10,FALSE)</f>
        <v>1</v>
      </c>
      <c r="W397" s="81">
        <f>HLOOKUP(P397,データについて!$J$10:$M$18,9,FALSE)</f>
        <v>1</v>
      </c>
      <c r="X397" s="81">
        <f>HLOOKUP(Q397,データについて!$J$11:$M$18,8,FALSE)</f>
        <v>1</v>
      </c>
      <c r="Y397" s="81">
        <f>HLOOKUP(R397,データについて!$J$12:$M$18,7,FALSE)</f>
        <v>1</v>
      </c>
      <c r="Z397" s="81">
        <f>HLOOKUP(I397,データについて!$J$3:$M$18,16,FALSE)</f>
        <v>1</v>
      </c>
      <c r="AA397" s="81">
        <f>IFERROR(HLOOKUP(J397,データについて!$J$4:$AH$19,16,FALSE),"")</f>
        <v>3</v>
      </c>
      <c r="AB397" s="81" t="str">
        <f>IFERROR(HLOOKUP(K397,データについて!$J$5:$AH$20,14,FALSE),"")</f>
        <v/>
      </c>
      <c r="AC397" s="81">
        <f>IF(X397=1,HLOOKUP(R397,データについて!$J$12:$M$18,7,FALSE),"*")</f>
        <v>1</v>
      </c>
      <c r="AD397" s="81" t="str">
        <f>IF(X397=2,HLOOKUP(R397,データについて!$J$12:$M$18,7,FALSE),"*")</f>
        <v>*</v>
      </c>
    </row>
    <row r="398" spans="1:30">
      <c r="A398" s="30">
        <v>4794</v>
      </c>
      <c r="B398" s="30" t="s">
        <v>5019</v>
      </c>
      <c r="C398" s="30" t="s">
        <v>5020</v>
      </c>
      <c r="D398" s="30" t="s">
        <v>106</v>
      </c>
      <c r="E398" s="30"/>
      <c r="F398" s="30" t="s">
        <v>107</v>
      </c>
      <c r="G398" s="30" t="s">
        <v>106</v>
      </c>
      <c r="H398" s="30"/>
      <c r="I398" s="30" t="s">
        <v>192</v>
      </c>
      <c r="J398" s="30" t="s">
        <v>3847</v>
      </c>
      <c r="K398" s="30"/>
      <c r="L398" s="30" t="s">
        <v>108</v>
      </c>
      <c r="M398" s="30" t="s">
        <v>113</v>
      </c>
      <c r="N398" s="30" t="s">
        <v>114</v>
      </c>
      <c r="O398" s="30" t="s">
        <v>116</v>
      </c>
      <c r="P398" s="30" t="s">
        <v>112</v>
      </c>
      <c r="Q398" s="30" t="s">
        <v>112</v>
      </c>
      <c r="R398" s="30" t="s">
        <v>185</v>
      </c>
      <c r="S398" s="81">
        <f>HLOOKUP(L398,データについて!$J$6:$M$18,13,FALSE)</f>
        <v>1</v>
      </c>
      <c r="T398" s="81">
        <f>HLOOKUP(M398,データについて!$J$7:$M$18,12,FALSE)</f>
        <v>1</v>
      </c>
      <c r="U398" s="81">
        <f>HLOOKUP(N398,データについて!$J$8:$M$18,11,FALSE)</f>
        <v>1</v>
      </c>
      <c r="V398" s="81">
        <f>HLOOKUP(O398,データについて!$J$9:$M$18,10,FALSE)</f>
        <v>2</v>
      </c>
      <c r="W398" s="81">
        <f>HLOOKUP(P398,データについて!$J$10:$M$18,9,FALSE)</f>
        <v>1</v>
      </c>
      <c r="X398" s="81">
        <f>HLOOKUP(Q398,データについて!$J$11:$M$18,8,FALSE)</f>
        <v>1</v>
      </c>
      <c r="Y398" s="81">
        <f>HLOOKUP(R398,データについて!$J$12:$M$18,7,FALSE)</f>
        <v>2</v>
      </c>
      <c r="Z398" s="81">
        <f>HLOOKUP(I398,データについて!$J$3:$M$18,16,FALSE)</f>
        <v>1</v>
      </c>
      <c r="AA398" s="81">
        <f>IFERROR(HLOOKUP(J398,データについて!$J$4:$AH$19,16,FALSE),"")</f>
        <v>3</v>
      </c>
      <c r="AB398" s="81" t="str">
        <f>IFERROR(HLOOKUP(K398,データについて!$J$5:$AH$20,14,FALSE),"")</f>
        <v/>
      </c>
      <c r="AC398" s="81">
        <f>IF(X398=1,HLOOKUP(R398,データについて!$J$12:$M$18,7,FALSE),"*")</f>
        <v>2</v>
      </c>
      <c r="AD398" s="81" t="str">
        <f>IF(X398=2,HLOOKUP(R398,データについて!$J$12:$M$18,7,FALSE),"*")</f>
        <v>*</v>
      </c>
    </row>
    <row r="399" spans="1:30">
      <c r="A399" s="30">
        <v>4793</v>
      </c>
      <c r="B399" s="30" t="s">
        <v>5021</v>
      </c>
      <c r="C399" s="30" t="s">
        <v>5022</v>
      </c>
      <c r="D399" s="30" t="s">
        <v>106</v>
      </c>
      <c r="E399" s="30"/>
      <c r="F399" s="30" t="s">
        <v>107</v>
      </c>
      <c r="G399" s="30" t="s">
        <v>106</v>
      </c>
      <c r="H399" s="30"/>
      <c r="I399" s="30" t="s">
        <v>192</v>
      </c>
      <c r="J399" s="30" t="s">
        <v>3847</v>
      </c>
      <c r="K399" s="30"/>
      <c r="L399" s="30" t="s">
        <v>108</v>
      </c>
      <c r="M399" s="30" t="s">
        <v>113</v>
      </c>
      <c r="N399" s="30" t="s">
        <v>114</v>
      </c>
      <c r="O399" s="30" t="s">
        <v>115</v>
      </c>
      <c r="P399" s="30" t="s">
        <v>112</v>
      </c>
      <c r="Q399" s="30" t="s">
        <v>112</v>
      </c>
      <c r="R399" s="30" t="s">
        <v>185</v>
      </c>
      <c r="S399" s="81">
        <f>HLOOKUP(L399,データについて!$J$6:$M$18,13,FALSE)</f>
        <v>1</v>
      </c>
      <c r="T399" s="81">
        <f>HLOOKUP(M399,データについて!$J$7:$M$18,12,FALSE)</f>
        <v>1</v>
      </c>
      <c r="U399" s="81">
        <f>HLOOKUP(N399,データについて!$J$8:$M$18,11,FALSE)</f>
        <v>1</v>
      </c>
      <c r="V399" s="81">
        <f>HLOOKUP(O399,データについて!$J$9:$M$18,10,FALSE)</f>
        <v>1</v>
      </c>
      <c r="W399" s="81">
        <f>HLOOKUP(P399,データについて!$J$10:$M$18,9,FALSE)</f>
        <v>1</v>
      </c>
      <c r="X399" s="81">
        <f>HLOOKUP(Q399,データについて!$J$11:$M$18,8,FALSE)</f>
        <v>1</v>
      </c>
      <c r="Y399" s="81">
        <f>HLOOKUP(R399,データについて!$J$12:$M$18,7,FALSE)</f>
        <v>2</v>
      </c>
      <c r="Z399" s="81">
        <f>HLOOKUP(I399,データについて!$J$3:$M$18,16,FALSE)</f>
        <v>1</v>
      </c>
      <c r="AA399" s="81">
        <f>IFERROR(HLOOKUP(J399,データについて!$J$4:$AH$19,16,FALSE),"")</f>
        <v>3</v>
      </c>
      <c r="AB399" s="81" t="str">
        <f>IFERROR(HLOOKUP(K399,データについて!$J$5:$AH$20,14,FALSE),"")</f>
        <v/>
      </c>
      <c r="AC399" s="81">
        <f>IF(X399=1,HLOOKUP(R399,データについて!$J$12:$M$18,7,FALSE),"*")</f>
        <v>2</v>
      </c>
      <c r="AD399" s="81" t="str">
        <f>IF(X399=2,HLOOKUP(R399,データについて!$J$12:$M$18,7,FALSE),"*")</f>
        <v>*</v>
      </c>
    </row>
    <row r="400" spans="1:30">
      <c r="A400" s="30">
        <v>4792</v>
      </c>
      <c r="B400" s="30" t="s">
        <v>5023</v>
      </c>
      <c r="C400" s="30" t="s">
        <v>5024</v>
      </c>
      <c r="D400" s="30" t="s">
        <v>106</v>
      </c>
      <c r="E400" s="30"/>
      <c r="F400" s="30" t="s">
        <v>107</v>
      </c>
      <c r="G400" s="30" t="s">
        <v>106</v>
      </c>
      <c r="H400" s="30"/>
      <c r="I400" s="30" t="s">
        <v>192</v>
      </c>
      <c r="J400" s="30" t="s">
        <v>3847</v>
      </c>
      <c r="K400" s="30"/>
      <c r="L400" s="30" t="s">
        <v>108</v>
      </c>
      <c r="M400" s="30" t="s">
        <v>113</v>
      </c>
      <c r="N400" s="30" t="s">
        <v>110</v>
      </c>
      <c r="O400" s="30" t="s">
        <v>116</v>
      </c>
      <c r="P400" s="30" t="s">
        <v>112</v>
      </c>
      <c r="Q400" s="30" t="s">
        <v>112</v>
      </c>
      <c r="R400" s="30" t="s">
        <v>189</v>
      </c>
      <c r="S400" s="81">
        <f>HLOOKUP(L400,データについて!$J$6:$M$18,13,FALSE)</f>
        <v>1</v>
      </c>
      <c r="T400" s="81">
        <f>HLOOKUP(M400,データについて!$J$7:$M$18,12,FALSE)</f>
        <v>1</v>
      </c>
      <c r="U400" s="81">
        <f>HLOOKUP(N400,データについて!$J$8:$M$18,11,FALSE)</f>
        <v>2</v>
      </c>
      <c r="V400" s="81">
        <f>HLOOKUP(O400,データについて!$J$9:$M$18,10,FALSE)</f>
        <v>2</v>
      </c>
      <c r="W400" s="81">
        <f>HLOOKUP(P400,データについて!$J$10:$M$18,9,FALSE)</f>
        <v>1</v>
      </c>
      <c r="X400" s="81">
        <f>HLOOKUP(Q400,データについて!$J$11:$M$18,8,FALSE)</f>
        <v>1</v>
      </c>
      <c r="Y400" s="81">
        <f>HLOOKUP(R400,データについて!$J$12:$M$18,7,FALSE)</f>
        <v>4</v>
      </c>
      <c r="Z400" s="81">
        <f>HLOOKUP(I400,データについて!$J$3:$M$18,16,FALSE)</f>
        <v>1</v>
      </c>
      <c r="AA400" s="81">
        <f>IFERROR(HLOOKUP(J400,データについて!$J$4:$AH$19,16,FALSE),"")</f>
        <v>3</v>
      </c>
      <c r="AB400" s="81" t="str">
        <f>IFERROR(HLOOKUP(K400,データについて!$J$5:$AH$20,14,FALSE),"")</f>
        <v/>
      </c>
      <c r="AC400" s="81">
        <f>IF(X400=1,HLOOKUP(R400,データについて!$J$12:$M$18,7,FALSE),"*")</f>
        <v>4</v>
      </c>
      <c r="AD400" s="81" t="str">
        <f>IF(X400=2,HLOOKUP(R400,データについて!$J$12:$M$18,7,FALSE),"*")</f>
        <v>*</v>
      </c>
    </row>
    <row r="401" spans="1:30">
      <c r="A401" s="30">
        <v>4791</v>
      </c>
      <c r="B401" s="30" t="s">
        <v>5025</v>
      </c>
      <c r="C401" s="30" t="s">
        <v>5026</v>
      </c>
      <c r="D401" s="30" t="s">
        <v>106</v>
      </c>
      <c r="E401" s="30"/>
      <c r="F401" s="30" t="s">
        <v>107</v>
      </c>
      <c r="G401" s="30" t="s">
        <v>106</v>
      </c>
      <c r="H401" s="30"/>
      <c r="I401" s="30" t="s">
        <v>192</v>
      </c>
      <c r="J401" s="30" t="s">
        <v>3847</v>
      </c>
      <c r="K401" s="30"/>
      <c r="L401" s="30" t="s">
        <v>108</v>
      </c>
      <c r="M401" s="30" t="s">
        <v>113</v>
      </c>
      <c r="N401" s="30" t="s">
        <v>114</v>
      </c>
      <c r="O401" s="30" t="s">
        <v>115</v>
      </c>
      <c r="P401" s="30" t="s">
        <v>112</v>
      </c>
      <c r="Q401" s="30" t="s">
        <v>112</v>
      </c>
      <c r="R401" s="30" t="s">
        <v>185</v>
      </c>
      <c r="S401" s="81">
        <f>HLOOKUP(L401,データについて!$J$6:$M$18,13,FALSE)</f>
        <v>1</v>
      </c>
      <c r="T401" s="81">
        <f>HLOOKUP(M401,データについて!$J$7:$M$18,12,FALSE)</f>
        <v>1</v>
      </c>
      <c r="U401" s="81">
        <f>HLOOKUP(N401,データについて!$J$8:$M$18,11,FALSE)</f>
        <v>1</v>
      </c>
      <c r="V401" s="81">
        <f>HLOOKUP(O401,データについて!$J$9:$M$18,10,FALSE)</f>
        <v>1</v>
      </c>
      <c r="W401" s="81">
        <f>HLOOKUP(P401,データについて!$J$10:$M$18,9,FALSE)</f>
        <v>1</v>
      </c>
      <c r="X401" s="81">
        <f>HLOOKUP(Q401,データについて!$J$11:$M$18,8,FALSE)</f>
        <v>1</v>
      </c>
      <c r="Y401" s="81">
        <f>HLOOKUP(R401,データについて!$J$12:$M$18,7,FALSE)</f>
        <v>2</v>
      </c>
      <c r="Z401" s="81">
        <f>HLOOKUP(I401,データについて!$J$3:$M$18,16,FALSE)</f>
        <v>1</v>
      </c>
      <c r="AA401" s="81">
        <f>IFERROR(HLOOKUP(J401,データについて!$J$4:$AH$19,16,FALSE),"")</f>
        <v>3</v>
      </c>
      <c r="AB401" s="81" t="str">
        <f>IFERROR(HLOOKUP(K401,データについて!$J$5:$AH$20,14,FALSE),"")</f>
        <v/>
      </c>
      <c r="AC401" s="81">
        <f>IF(X401=1,HLOOKUP(R401,データについて!$J$12:$M$18,7,FALSE),"*")</f>
        <v>2</v>
      </c>
      <c r="AD401" s="81" t="str">
        <f>IF(X401=2,HLOOKUP(R401,データについて!$J$12:$M$18,7,FALSE),"*")</f>
        <v>*</v>
      </c>
    </row>
    <row r="402" spans="1:30">
      <c r="A402" s="30">
        <v>4790</v>
      </c>
      <c r="B402" s="30" t="s">
        <v>5027</v>
      </c>
      <c r="C402" s="30" t="s">
        <v>5028</v>
      </c>
      <c r="D402" s="30" t="s">
        <v>106</v>
      </c>
      <c r="E402" s="30"/>
      <c r="F402" s="30" t="s">
        <v>107</v>
      </c>
      <c r="G402" s="30" t="s">
        <v>106</v>
      </c>
      <c r="H402" s="30"/>
      <c r="I402" s="30" t="s">
        <v>192</v>
      </c>
      <c r="J402" s="30" t="s">
        <v>3847</v>
      </c>
      <c r="K402" s="30"/>
      <c r="L402" s="30" t="s">
        <v>108</v>
      </c>
      <c r="M402" s="30" t="s">
        <v>113</v>
      </c>
      <c r="N402" s="30" t="s">
        <v>114</v>
      </c>
      <c r="O402" s="30" t="s">
        <v>115</v>
      </c>
      <c r="P402" s="30" t="s">
        <v>112</v>
      </c>
      <c r="Q402" s="30" t="s">
        <v>112</v>
      </c>
      <c r="R402" s="30" t="s">
        <v>187</v>
      </c>
      <c r="S402" s="81">
        <f>HLOOKUP(L402,データについて!$J$6:$M$18,13,FALSE)</f>
        <v>1</v>
      </c>
      <c r="T402" s="81">
        <f>HLOOKUP(M402,データについて!$J$7:$M$18,12,FALSE)</f>
        <v>1</v>
      </c>
      <c r="U402" s="81">
        <f>HLOOKUP(N402,データについて!$J$8:$M$18,11,FALSE)</f>
        <v>1</v>
      </c>
      <c r="V402" s="81">
        <f>HLOOKUP(O402,データについて!$J$9:$M$18,10,FALSE)</f>
        <v>1</v>
      </c>
      <c r="W402" s="81">
        <f>HLOOKUP(P402,データについて!$J$10:$M$18,9,FALSE)</f>
        <v>1</v>
      </c>
      <c r="X402" s="81">
        <f>HLOOKUP(Q402,データについて!$J$11:$M$18,8,FALSE)</f>
        <v>1</v>
      </c>
      <c r="Y402" s="81">
        <f>HLOOKUP(R402,データについて!$J$12:$M$18,7,FALSE)</f>
        <v>3</v>
      </c>
      <c r="Z402" s="81">
        <f>HLOOKUP(I402,データについて!$J$3:$M$18,16,FALSE)</f>
        <v>1</v>
      </c>
      <c r="AA402" s="81">
        <f>IFERROR(HLOOKUP(J402,データについて!$J$4:$AH$19,16,FALSE),"")</f>
        <v>3</v>
      </c>
      <c r="AB402" s="81" t="str">
        <f>IFERROR(HLOOKUP(K402,データについて!$J$5:$AH$20,14,FALSE),"")</f>
        <v/>
      </c>
      <c r="AC402" s="81">
        <f>IF(X402=1,HLOOKUP(R402,データについて!$J$12:$M$18,7,FALSE),"*")</f>
        <v>3</v>
      </c>
      <c r="AD402" s="81" t="str">
        <f>IF(X402=2,HLOOKUP(R402,データについて!$J$12:$M$18,7,FALSE),"*")</f>
        <v>*</v>
      </c>
    </row>
    <row r="403" spans="1:30">
      <c r="A403" s="30">
        <v>4789</v>
      </c>
      <c r="B403" s="30" t="s">
        <v>5029</v>
      </c>
      <c r="C403" s="30" t="s">
        <v>5030</v>
      </c>
      <c r="D403" s="30" t="s">
        <v>106</v>
      </c>
      <c r="E403" s="30"/>
      <c r="F403" s="30" t="s">
        <v>107</v>
      </c>
      <c r="G403" s="30" t="s">
        <v>106</v>
      </c>
      <c r="H403" s="30"/>
      <c r="I403" s="30" t="s">
        <v>192</v>
      </c>
      <c r="J403" s="30" t="s">
        <v>3847</v>
      </c>
      <c r="K403" s="30"/>
      <c r="L403" s="30" t="s">
        <v>117</v>
      </c>
      <c r="M403" s="30" t="s">
        <v>109</v>
      </c>
      <c r="N403" s="30" t="s">
        <v>119</v>
      </c>
      <c r="O403" s="30" t="s">
        <v>115</v>
      </c>
      <c r="P403" s="30" t="s">
        <v>118</v>
      </c>
      <c r="Q403" s="30" t="s">
        <v>112</v>
      </c>
      <c r="R403" s="30" t="s">
        <v>185</v>
      </c>
      <c r="S403" s="81">
        <f>HLOOKUP(L403,データについて!$J$6:$M$18,13,FALSE)</f>
        <v>2</v>
      </c>
      <c r="T403" s="81">
        <f>HLOOKUP(M403,データについて!$J$7:$M$18,12,FALSE)</f>
        <v>2</v>
      </c>
      <c r="U403" s="81">
        <f>HLOOKUP(N403,データについて!$J$8:$M$18,11,FALSE)</f>
        <v>4</v>
      </c>
      <c r="V403" s="81">
        <f>HLOOKUP(O403,データについて!$J$9:$M$18,10,FALSE)</f>
        <v>1</v>
      </c>
      <c r="W403" s="81">
        <f>HLOOKUP(P403,データについて!$J$10:$M$18,9,FALSE)</f>
        <v>2</v>
      </c>
      <c r="X403" s="81">
        <f>HLOOKUP(Q403,データについて!$J$11:$M$18,8,FALSE)</f>
        <v>1</v>
      </c>
      <c r="Y403" s="81">
        <f>HLOOKUP(R403,データについて!$J$12:$M$18,7,FALSE)</f>
        <v>2</v>
      </c>
      <c r="Z403" s="81">
        <f>HLOOKUP(I403,データについて!$J$3:$M$18,16,FALSE)</f>
        <v>1</v>
      </c>
      <c r="AA403" s="81">
        <f>IFERROR(HLOOKUP(J403,データについて!$J$4:$AH$19,16,FALSE),"")</f>
        <v>3</v>
      </c>
      <c r="AB403" s="81" t="str">
        <f>IFERROR(HLOOKUP(K403,データについて!$J$5:$AH$20,14,FALSE),"")</f>
        <v/>
      </c>
      <c r="AC403" s="81">
        <f>IF(X403=1,HLOOKUP(R403,データについて!$J$12:$M$18,7,FALSE),"*")</f>
        <v>2</v>
      </c>
      <c r="AD403" s="81" t="str">
        <f>IF(X403=2,HLOOKUP(R403,データについて!$J$12:$M$18,7,FALSE),"*")</f>
        <v>*</v>
      </c>
    </row>
    <row r="404" spans="1:30">
      <c r="A404" s="30">
        <v>4788</v>
      </c>
      <c r="B404" s="30" t="s">
        <v>5031</v>
      </c>
      <c r="C404" s="30" t="s">
        <v>5032</v>
      </c>
      <c r="D404" s="30" t="s">
        <v>106</v>
      </c>
      <c r="E404" s="30"/>
      <c r="F404" s="30" t="s">
        <v>107</v>
      </c>
      <c r="G404" s="30" t="s">
        <v>106</v>
      </c>
      <c r="H404" s="30"/>
      <c r="I404" s="30" t="s">
        <v>192</v>
      </c>
      <c r="J404" s="30" t="s">
        <v>3847</v>
      </c>
      <c r="K404" s="30"/>
      <c r="L404" s="30" t="s">
        <v>117</v>
      </c>
      <c r="M404" s="30" t="s">
        <v>109</v>
      </c>
      <c r="N404" s="30" t="s">
        <v>114</v>
      </c>
      <c r="O404" s="30" t="s">
        <v>115</v>
      </c>
      <c r="P404" s="30" t="s">
        <v>112</v>
      </c>
      <c r="Q404" s="30" t="s">
        <v>112</v>
      </c>
      <c r="R404" s="30" t="s">
        <v>185</v>
      </c>
      <c r="S404" s="81">
        <f>HLOOKUP(L404,データについて!$J$6:$M$18,13,FALSE)</f>
        <v>2</v>
      </c>
      <c r="T404" s="81">
        <f>HLOOKUP(M404,データについて!$J$7:$M$18,12,FALSE)</f>
        <v>2</v>
      </c>
      <c r="U404" s="81">
        <f>HLOOKUP(N404,データについて!$J$8:$M$18,11,FALSE)</f>
        <v>1</v>
      </c>
      <c r="V404" s="81">
        <f>HLOOKUP(O404,データについて!$J$9:$M$18,10,FALSE)</f>
        <v>1</v>
      </c>
      <c r="W404" s="81">
        <f>HLOOKUP(P404,データについて!$J$10:$M$18,9,FALSE)</f>
        <v>1</v>
      </c>
      <c r="X404" s="81">
        <f>HLOOKUP(Q404,データについて!$J$11:$M$18,8,FALSE)</f>
        <v>1</v>
      </c>
      <c r="Y404" s="81">
        <f>HLOOKUP(R404,データについて!$J$12:$M$18,7,FALSE)</f>
        <v>2</v>
      </c>
      <c r="Z404" s="81">
        <f>HLOOKUP(I404,データについて!$J$3:$M$18,16,FALSE)</f>
        <v>1</v>
      </c>
      <c r="AA404" s="81">
        <f>IFERROR(HLOOKUP(J404,データについて!$J$4:$AH$19,16,FALSE),"")</f>
        <v>3</v>
      </c>
      <c r="AB404" s="81" t="str">
        <f>IFERROR(HLOOKUP(K404,データについて!$J$5:$AH$20,14,FALSE),"")</f>
        <v/>
      </c>
      <c r="AC404" s="81">
        <f>IF(X404=1,HLOOKUP(R404,データについて!$J$12:$M$18,7,FALSE),"*")</f>
        <v>2</v>
      </c>
      <c r="AD404" s="81" t="str">
        <f>IF(X404=2,HLOOKUP(R404,データについて!$J$12:$M$18,7,FALSE),"*")</f>
        <v>*</v>
      </c>
    </row>
    <row r="405" spans="1:30">
      <c r="A405" s="30">
        <v>4787</v>
      </c>
      <c r="B405" s="30" t="s">
        <v>5033</v>
      </c>
      <c r="C405" s="30" t="s">
        <v>5034</v>
      </c>
      <c r="D405" s="30" t="s">
        <v>106</v>
      </c>
      <c r="E405" s="30"/>
      <c r="F405" s="30" t="s">
        <v>107</v>
      </c>
      <c r="G405" s="30" t="s">
        <v>106</v>
      </c>
      <c r="H405" s="30"/>
      <c r="I405" s="30" t="s">
        <v>192</v>
      </c>
      <c r="J405" s="30" t="s">
        <v>3847</v>
      </c>
      <c r="K405" s="30"/>
      <c r="L405" s="30" t="s">
        <v>108</v>
      </c>
      <c r="M405" s="30" t="s">
        <v>113</v>
      </c>
      <c r="N405" s="30" t="s">
        <v>114</v>
      </c>
      <c r="O405" s="30" t="s">
        <v>115</v>
      </c>
      <c r="P405" s="30" t="s">
        <v>112</v>
      </c>
      <c r="Q405" s="30" t="s">
        <v>112</v>
      </c>
      <c r="R405" s="30" t="s">
        <v>183</v>
      </c>
      <c r="S405" s="81">
        <f>HLOOKUP(L405,データについて!$J$6:$M$18,13,FALSE)</f>
        <v>1</v>
      </c>
      <c r="T405" s="81">
        <f>HLOOKUP(M405,データについて!$J$7:$M$18,12,FALSE)</f>
        <v>1</v>
      </c>
      <c r="U405" s="81">
        <f>HLOOKUP(N405,データについて!$J$8:$M$18,11,FALSE)</f>
        <v>1</v>
      </c>
      <c r="V405" s="81">
        <f>HLOOKUP(O405,データについて!$J$9:$M$18,10,FALSE)</f>
        <v>1</v>
      </c>
      <c r="W405" s="81">
        <f>HLOOKUP(P405,データについて!$J$10:$M$18,9,FALSE)</f>
        <v>1</v>
      </c>
      <c r="X405" s="81">
        <f>HLOOKUP(Q405,データについて!$J$11:$M$18,8,FALSE)</f>
        <v>1</v>
      </c>
      <c r="Y405" s="81">
        <f>HLOOKUP(R405,データについて!$J$12:$M$18,7,FALSE)</f>
        <v>1</v>
      </c>
      <c r="Z405" s="81">
        <f>HLOOKUP(I405,データについて!$J$3:$M$18,16,FALSE)</f>
        <v>1</v>
      </c>
      <c r="AA405" s="81">
        <f>IFERROR(HLOOKUP(J405,データについて!$J$4:$AH$19,16,FALSE),"")</f>
        <v>3</v>
      </c>
      <c r="AB405" s="81" t="str">
        <f>IFERROR(HLOOKUP(K405,データについて!$J$5:$AH$20,14,FALSE),"")</f>
        <v/>
      </c>
      <c r="AC405" s="81">
        <f>IF(X405=1,HLOOKUP(R405,データについて!$J$12:$M$18,7,FALSE),"*")</f>
        <v>1</v>
      </c>
      <c r="AD405" s="81" t="str">
        <f>IF(X405=2,HLOOKUP(R405,データについて!$J$12:$M$18,7,FALSE),"*")</f>
        <v>*</v>
      </c>
    </row>
    <row r="406" spans="1:30">
      <c r="A406" s="30">
        <v>4786</v>
      </c>
      <c r="B406" s="30" t="s">
        <v>5035</v>
      </c>
      <c r="C406" s="30" t="s">
        <v>5036</v>
      </c>
      <c r="D406" s="30" t="s">
        <v>106</v>
      </c>
      <c r="E406" s="30"/>
      <c r="F406" s="30" t="s">
        <v>107</v>
      </c>
      <c r="G406" s="30" t="s">
        <v>106</v>
      </c>
      <c r="H406" s="30"/>
      <c r="I406" s="30" t="s">
        <v>192</v>
      </c>
      <c r="J406" s="30" t="s">
        <v>3847</v>
      </c>
      <c r="K406" s="30"/>
      <c r="L406" s="30" t="s">
        <v>117</v>
      </c>
      <c r="M406" s="30" t="s">
        <v>113</v>
      </c>
      <c r="N406" s="30" t="s">
        <v>114</v>
      </c>
      <c r="O406" s="30" t="s">
        <v>115</v>
      </c>
      <c r="P406" s="30" t="s">
        <v>112</v>
      </c>
      <c r="Q406" s="30" t="s">
        <v>112</v>
      </c>
      <c r="R406" s="30" t="s">
        <v>183</v>
      </c>
      <c r="S406" s="81">
        <f>HLOOKUP(L406,データについて!$J$6:$M$18,13,FALSE)</f>
        <v>2</v>
      </c>
      <c r="T406" s="81">
        <f>HLOOKUP(M406,データについて!$J$7:$M$18,12,FALSE)</f>
        <v>1</v>
      </c>
      <c r="U406" s="81">
        <f>HLOOKUP(N406,データについて!$J$8:$M$18,11,FALSE)</f>
        <v>1</v>
      </c>
      <c r="V406" s="81">
        <f>HLOOKUP(O406,データについて!$J$9:$M$18,10,FALSE)</f>
        <v>1</v>
      </c>
      <c r="W406" s="81">
        <f>HLOOKUP(P406,データについて!$J$10:$M$18,9,FALSE)</f>
        <v>1</v>
      </c>
      <c r="X406" s="81">
        <f>HLOOKUP(Q406,データについて!$J$11:$M$18,8,FALSE)</f>
        <v>1</v>
      </c>
      <c r="Y406" s="81">
        <f>HLOOKUP(R406,データについて!$J$12:$M$18,7,FALSE)</f>
        <v>1</v>
      </c>
      <c r="Z406" s="81">
        <f>HLOOKUP(I406,データについて!$J$3:$M$18,16,FALSE)</f>
        <v>1</v>
      </c>
      <c r="AA406" s="81">
        <f>IFERROR(HLOOKUP(J406,データについて!$J$4:$AH$19,16,FALSE),"")</f>
        <v>3</v>
      </c>
      <c r="AB406" s="81" t="str">
        <f>IFERROR(HLOOKUP(K406,データについて!$J$5:$AH$20,14,FALSE),"")</f>
        <v/>
      </c>
      <c r="AC406" s="81">
        <f>IF(X406=1,HLOOKUP(R406,データについて!$J$12:$M$18,7,FALSE),"*")</f>
        <v>1</v>
      </c>
      <c r="AD406" s="81" t="str">
        <f>IF(X406=2,HLOOKUP(R406,データについて!$J$12:$M$18,7,FALSE),"*")</f>
        <v>*</v>
      </c>
    </row>
    <row r="407" spans="1:30">
      <c r="A407" s="30">
        <v>4785</v>
      </c>
      <c r="B407" s="30" t="s">
        <v>5037</v>
      </c>
      <c r="C407" s="30" t="s">
        <v>5038</v>
      </c>
      <c r="D407" s="30" t="s">
        <v>106</v>
      </c>
      <c r="E407" s="30"/>
      <c r="F407" s="30" t="s">
        <v>107</v>
      </c>
      <c r="G407" s="30" t="s">
        <v>106</v>
      </c>
      <c r="H407" s="30"/>
      <c r="I407" s="30" t="s">
        <v>192</v>
      </c>
      <c r="J407" s="30" t="s">
        <v>3847</v>
      </c>
      <c r="K407" s="30"/>
      <c r="L407" s="30" t="s">
        <v>108</v>
      </c>
      <c r="M407" s="30" t="s">
        <v>113</v>
      </c>
      <c r="N407" s="30" t="s">
        <v>114</v>
      </c>
      <c r="O407" s="30" t="s">
        <v>116</v>
      </c>
      <c r="P407" s="30" t="s">
        <v>112</v>
      </c>
      <c r="Q407" s="30" t="s">
        <v>112</v>
      </c>
      <c r="R407" s="30" t="s">
        <v>183</v>
      </c>
      <c r="S407" s="81">
        <f>HLOOKUP(L407,データについて!$J$6:$M$18,13,FALSE)</f>
        <v>1</v>
      </c>
      <c r="T407" s="81">
        <f>HLOOKUP(M407,データについて!$J$7:$M$18,12,FALSE)</f>
        <v>1</v>
      </c>
      <c r="U407" s="81">
        <f>HLOOKUP(N407,データについて!$J$8:$M$18,11,FALSE)</f>
        <v>1</v>
      </c>
      <c r="V407" s="81">
        <f>HLOOKUP(O407,データについて!$J$9:$M$18,10,FALSE)</f>
        <v>2</v>
      </c>
      <c r="W407" s="81">
        <f>HLOOKUP(P407,データについて!$J$10:$M$18,9,FALSE)</f>
        <v>1</v>
      </c>
      <c r="X407" s="81">
        <f>HLOOKUP(Q407,データについて!$J$11:$M$18,8,FALSE)</f>
        <v>1</v>
      </c>
      <c r="Y407" s="81">
        <f>HLOOKUP(R407,データについて!$J$12:$M$18,7,FALSE)</f>
        <v>1</v>
      </c>
      <c r="Z407" s="81">
        <f>HLOOKUP(I407,データについて!$J$3:$M$18,16,FALSE)</f>
        <v>1</v>
      </c>
      <c r="AA407" s="81">
        <f>IFERROR(HLOOKUP(J407,データについて!$J$4:$AH$19,16,FALSE),"")</f>
        <v>3</v>
      </c>
      <c r="AB407" s="81" t="str">
        <f>IFERROR(HLOOKUP(K407,データについて!$J$5:$AH$20,14,FALSE),"")</f>
        <v/>
      </c>
      <c r="AC407" s="81">
        <f>IF(X407=1,HLOOKUP(R407,データについて!$J$12:$M$18,7,FALSE),"*")</f>
        <v>1</v>
      </c>
      <c r="AD407" s="81" t="str">
        <f>IF(X407=2,HLOOKUP(R407,データについて!$J$12:$M$18,7,FALSE),"*")</f>
        <v>*</v>
      </c>
    </row>
    <row r="408" spans="1:30">
      <c r="A408" s="30">
        <v>4784</v>
      </c>
      <c r="B408" s="30" t="s">
        <v>5039</v>
      </c>
      <c r="C408" s="30" t="s">
        <v>5040</v>
      </c>
      <c r="D408" s="30" t="s">
        <v>106</v>
      </c>
      <c r="E408" s="30"/>
      <c r="F408" s="30" t="s">
        <v>107</v>
      </c>
      <c r="G408" s="30" t="s">
        <v>106</v>
      </c>
      <c r="H408" s="30"/>
      <c r="I408" s="30" t="s">
        <v>192</v>
      </c>
      <c r="J408" s="30" t="s">
        <v>3847</v>
      </c>
      <c r="K408" s="30"/>
      <c r="L408" s="30" t="s">
        <v>117</v>
      </c>
      <c r="M408" s="30" t="s">
        <v>109</v>
      </c>
      <c r="N408" s="30" t="s">
        <v>122</v>
      </c>
      <c r="O408" s="30" t="s">
        <v>115</v>
      </c>
      <c r="P408" s="30" t="s">
        <v>112</v>
      </c>
      <c r="Q408" s="30" t="s">
        <v>112</v>
      </c>
      <c r="R408" s="30" t="s">
        <v>185</v>
      </c>
      <c r="S408" s="81">
        <f>HLOOKUP(L408,データについて!$J$6:$M$18,13,FALSE)</f>
        <v>2</v>
      </c>
      <c r="T408" s="81">
        <f>HLOOKUP(M408,データについて!$J$7:$M$18,12,FALSE)</f>
        <v>2</v>
      </c>
      <c r="U408" s="81">
        <f>HLOOKUP(N408,データについて!$J$8:$M$18,11,FALSE)</f>
        <v>3</v>
      </c>
      <c r="V408" s="81">
        <f>HLOOKUP(O408,データについて!$J$9:$M$18,10,FALSE)</f>
        <v>1</v>
      </c>
      <c r="W408" s="81">
        <f>HLOOKUP(P408,データについて!$J$10:$M$18,9,FALSE)</f>
        <v>1</v>
      </c>
      <c r="X408" s="81">
        <f>HLOOKUP(Q408,データについて!$J$11:$M$18,8,FALSE)</f>
        <v>1</v>
      </c>
      <c r="Y408" s="81">
        <f>HLOOKUP(R408,データについて!$J$12:$M$18,7,FALSE)</f>
        <v>2</v>
      </c>
      <c r="Z408" s="81">
        <f>HLOOKUP(I408,データについて!$J$3:$M$18,16,FALSE)</f>
        <v>1</v>
      </c>
      <c r="AA408" s="81">
        <f>IFERROR(HLOOKUP(J408,データについて!$J$4:$AH$19,16,FALSE),"")</f>
        <v>3</v>
      </c>
      <c r="AB408" s="81" t="str">
        <f>IFERROR(HLOOKUP(K408,データについて!$J$5:$AH$20,14,FALSE),"")</f>
        <v/>
      </c>
      <c r="AC408" s="81">
        <f>IF(X408=1,HLOOKUP(R408,データについて!$J$12:$M$18,7,FALSE),"*")</f>
        <v>2</v>
      </c>
      <c r="AD408" s="81" t="str">
        <f>IF(X408=2,HLOOKUP(R408,データについて!$J$12:$M$18,7,FALSE),"*")</f>
        <v>*</v>
      </c>
    </row>
    <row r="409" spans="1:30">
      <c r="A409" s="30">
        <v>4783</v>
      </c>
      <c r="B409" s="30" t="s">
        <v>5041</v>
      </c>
      <c r="C409" s="30" t="s">
        <v>5042</v>
      </c>
      <c r="D409" s="30" t="s">
        <v>106</v>
      </c>
      <c r="E409" s="30"/>
      <c r="F409" s="30" t="s">
        <v>107</v>
      </c>
      <c r="G409" s="30" t="s">
        <v>106</v>
      </c>
      <c r="H409" s="30"/>
      <c r="I409" s="30" t="s">
        <v>192</v>
      </c>
      <c r="J409" s="30" t="s">
        <v>3847</v>
      </c>
      <c r="K409" s="30"/>
      <c r="L409" s="30" t="s">
        <v>117</v>
      </c>
      <c r="M409" s="30" t="s">
        <v>113</v>
      </c>
      <c r="N409" s="30" t="s">
        <v>114</v>
      </c>
      <c r="O409" s="30" t="s">
        <v>111</v>
      </c>
      <c r="P409" s="30" t="s">
        <v>112</v>
      </c>
      <c r="Q409" s="30" t="s">
        <v>112</v>
      </c>
      <c r="R409" s="30" t="s">
        <v>185</v>
      </c>
      <c r="S409" s="81">
        <f>HLOOKUP(L409,データについて!$J$6:$M$18,13,FALSE)</f>
        <v>2</v>
      </c>
      <c r="T409" s="81">
        <f>HLOOKUP(M409,データについて!$J$7:$M$18,12,FALSE)</f>
        <v>1</v>
      </c>
      <c r="U409" s="81">
        <f>HLOOKUP(N409,データについて!$J$8:$M$18,11,FALSE)</f>
        <v>1</v>
      </c>
      <c r="V409" s="81">
        <f>HLOOKUP(O409,データについて!$J$9:$M$18,10,FALSE)</f>
        <v>3</v>
      </c>
      <c r="W409" s="81">
        <f>HLOOKUP(P409,データについて!$J$10:$M$18,9,FALSE)</f>
        <v>1</v>
      </c>
      <c r="X409" s="81">
        <f>HLOOKUP(Q409,データについて!$J$11:$M$18,8,FALSE)</f>
        <v>1</v>
      </c>
      <c r="Y409" s="81">
        <f>HLOOKUP(R409,データについて!$J$12:$M$18,7,FALSE)</f>
        <v>2</v>
      </c>
      <c r="Z409" s="81">
        <f>HLOOKUP(I409,データについて!$J$3:$M$18,16,FALSE)</f>
        <v>1</v>
      </c>
      <c r="AA409" s="81">
        <f>IFERROR(HLOOKUP(J409,データについて!$J$4:$AH$19,16,FALSE),"")</f>
        <v>3</v>
      </c>
      <c r="AB409" s="81" t="str">
        <f>IFERROR(HLOOKUP(K409,データについて!$J$5:$AH$20,14,FALSE),"")</f>
        <v/>
      </c>
      <c r="AC409" s="81">
        <f>IF(X409=1,HLOOKUP(R409,データについて!$J$12:$M$18,7,FALSE),"*")</f>
        <v>2</v>
      </c>
      <c r="AD409" s="81" t="str">
        <f>IF(X409=2,HLOOKUP(R409,データについて!$J$12:$M$18,7,FALSE),"*")</f>
        <v>*</v>
      </c>
    </row>
    <row r="410" spans="1:30">
      <c r="A410" s="30">
        <v>4782</v>
      </c>
      <c r="B410" s="30" t="s">
        <v>5043</v>
      </c>
      <c r="C410" s="30" t="s">
        <v>5042</v>
      </c>
      <c r="D410" s="30" t="s">
        <v>106</v>
      </c>
      <c r="E410" s="30"/>
      <c r="F410" s="30" t="s">
        <v>107</v>
      </c>
      <c r="G410" s="30" t="s">
        <v>106</v>
      </c>
      <c r="H410" s="30"/>
      <c r="I410" s="30" t="s">
        <v>192</v>
      </c>
      <c r="J410" s="30" t="s">
        <v>3847</v>
      </c>
      <c r="K410" s="30"/>
      <c r="L410" s="30" t="s">
        <v>117</v>
      </c>
      <c r="M410" s="30" t="s">
        <v>109</v>
      </c>
      <c r="N410" s="30" t="s">
        <v>114</v>
      </c>
      <c r="O410" s="30" t="s">
        <v>115</v>
      </c>
      <c r="P410" s="30" t="s">
        <v>112</v>
      </c>
      <c r="Q410" s="30" t="s">
        <v>118</v>
      </c>
      <c r="R410" s="30" t="s">
        <v>189</v>
      </c>
      <c r="S410" s="81">
        <f>HLOOKUP(L410,データについて!$J$6:$M$18,13,FALSE)</f>
        <v>2</v>
      </c>
      <c r="T410" s="81">
        <f>HLOOKUP(M410,データについて!$J$7:$M$18,12,FALSE)</f>
        <v>2</v>
      </c>
      <c r="U410" s="81">
        <f>HLOOKUP(N410,データについて!$J$8:$M$18,11,FALSE)</f>
        <v>1</v>
      </c>
      <c r="V410" s="81">
        <f>HLOOKUP(O410,データについて!$J$9:$M$18,10,FALSE)</f>
        <v>1</v>
      </c>
      <c r="W410" s="81">
        <f>HLOOKUP(P410,データについて!$J$10:$M$18,9,FALSE)</f>
        <v>1</v>
      </c>
      <c r="X410" s="81">
        <f>HLOOKUP(Q410,データについて!$J$11:$M$18,8,FALSE)</f>
        <v>2</v>
      </c>
      <c r="Y410" s="81">
        <f>HLOOKUP(R410,データについて!$J$12:$M$18,7,FALSE)</f>
        <v>4</v>
      </c>
      <c r="Z410" s="81">
        <f>HLOOKUP(I410,データについて!$J$3:$M$18,16,FALSE)</f>
        <v>1</v>
      </c>
      <c r="AA410" s="81">
        <f>IFERROR(HLOOKUP(J410,データについて!$J$4:$AH$19,16,FALSE),"")</f>
        <v>3</v>
      </c>
      <c r="AB410" s="81" t="str">
        <f>IFERROR(HLOOKUP(K410,データについて!$J$5:$AH$20,14,FALSE),"")</f>
        <v/>
      </c>
      <c r="AC410" s="81" t="str">
        <f>IF(X410=1,HLOOKUP(R410,データについて!$J$12:$M$18,7,FALSE),"*")</f>
        <v>*</v>
      </c>
      <c r="AD410" s="81">
        <f>IF(X410=2,HLOOKUP(R410,データについて!$J$12:$M$18,7,FALSE),"*")</f>
        <v>4</v>
      </c>
    </row>
    <row r="411" spans="1:30">
      <c r="A411" s="30">
        <v>4781</v>
      </c>
      <c r="B411" s="30" t="s">
        <v>5044</v>
      </c>
      <c r="C411" s="30" t="s">
        <v>5045</v>
      </c>
      <c r="D411" s="30" t="s">
        <v>106</v>
      </c>
      <c r="E411" s="30"/>
      <c r="F411" s="30" t="s">
        <v>107</v>
      </c>
      <c r="G411" s="30" t="s">
        <v>106</v>
      </c>
      <c r="H411" s="30"/>
      <c r="I411" s="30" t="s">
        <v>192</v>
      </c>
      <c r="J411" s="30" t="s">
        <v>3847</v>
      </c>
      <c r="K411" s="30"/>
      <c r="L411" s="30" t="s">
        <v>108</v>
      </c>
      <c r="M411" s="30" t="s">
        <v>113</v>
      </c>
      <c r="N411" s="30" t="s">
        <v>114</v>
      </c>
      <c r="O411" s="30" t="s">
        <v>115</v>
      </c>
      <c r="P411" s="30" t="s">
        <v>112</v>
      </c>
      <c r="Q411" s="30" t="s">
        <v>112</v>
      </c>
      <c r="R411" s="30" t="s">
        <v>183</v>
      </c>
      <c r="S411" s="81">
        <f>HLOOKUP(L411,データについて!$J$6:$M$18,13,FALSE)</f>
        <v>1</v>
      </c>
      <c r="T411" s="81">
        <f>HLOOKUP(M411,データについて!$J$7:$M$18,12,FALSE)</f>
        <v>1</v>
      </c>
      <c r="U411" s="81">
        <f>HLOOKUP(N411,データについて!$J$8:$M$18,11,FALSE)</f>
        <v>1</v>
      </c>
      <c r="V411" s="81">
        <f>HLOOKUP(O411,データについて!$J$9:$M$18,10,FALSE)</f>
        <v>1</v>
      </c>
      <c r="W411" s="81">
        <f>HLOOKUP(P411,データについて!$J$10:$M$18,9,FALSE)</f>
        <v>1</v>
      </c>
      <c r="X411" s="81">
        <f>HLOOKUP(Q411,データについて!$J$11:$M$18,8,FALSE)</f>
        <v>1</v>
      </c>
      <c r="Y411" s="81">
        <f>HLOOKUP(R411,データについて!$J$12:$M$18,7,FALSE)</f>
        <v>1</v>
      </c>
      <c r="Z411" s="81">
        <f>HLOOKUP(I411,データについて!$J$3:$M$18,16,FALSE)</f>
        <v>1</v>
      </c>
      <c r="AA411" s="81">
        <f>IFERROR(HLOOKUP(J411,データについて!$J$4:$AH$19,16,FALSE),"")</f>
        <v>3</v>
      </c>
      <c r="AB411" s="81" t="str">
        <f>IFERROR(HLOOKUP(K411,データについて!$J$5:$AH$20,14,FALSE),"")</f>
        <v/>
      </c>
      <c r="AC411" s="81">
        <f>IF(X411=1,HLOOKUP(R411,データについて!$J$12:$M$18,7,FALSE),"*")</f>
        <v>1</v>
      </c>
      <c r="AD411" s="81" t="str">
        <f>IF(X411=2,HLOOKUP(R411,データについて!$J$12:$M$18,7,FALSE),"*")</f>
        <v>*</v>
      </c>
    </row>
    <row r="412" spans="1:30">
      <c r="A412" s="30">
        <v>4780</v>
      </c>
      <c r="B412" s="30" t="s">
        <v>5046</v>
      </c>
      <c r="C412" s="30" t="s">
        <v>5047</v>
      </c>
      <c r="D412" s="30" t="s">
        <v>106</v>
      </c>
      <c r="E412" s="30"/>
      <c r="F412" s="30" t="s">
        <v>107</v>
      </c>
      <c r="G412" s="30" t="s">
        <v>106</v>
      </c>
      <c r="H412" s="30"/>
      <c r="I412" s="30" t="s">
        <v>192</v>
      </c>
      <c r="J412" s="30" t="s">
        <v>3847</v>
      </c>
      <c r="K412" s="30"/>
      <c r="L412" s="30" t="s">
        <v>108</v>
      </c>
      <c r="M412" s="30" t="s">
        <v>113</v>
      </c>
      <c r="N412" s="30" t="s">
        <v>110</v>
      </c>
      <c r="O412" s="30" t="s">
        <v>115</v>
      </c>
      <c r="P412" s="30" t="s">
        <v>112</v>
      </c>
      <c r="Q412" s="30" t="s">
        <v>112</v>
      </c>
      <c r="R412" s="30" t="s">
        <v>183</v>
      </c>
      <c r="S412" s="81">
        <f>HLOOKUP(L412,データについて!$J$6:$M$18,13,FALSE)</f>
        <v>1</v>
      </c>
      <c r="T412" s="81">
        <f>HLOOKUP(M412,データについて!$J$7:$M$18,12,FALSE)</f>
        <v>1</v>
      </c>
      <c r="U412" s="81">
        <f>HLOOKUP(N412,データについて!$J$8:$M$18,11,FALSE)</f>
        <v>2</v>
      </c>
      <c r="V412" s="81">
        <f>HLOOKUP(O412,データについて!$J$9:$M$18,10,FALSE)</f>
        <v>1</v>
      </c>
      <c r="W412" s="81">
        <f>HLOOKUP(P412,データについて!$J$10:$M$18,9,FALSE)</f>
        <v>1</v>
      </c>
      <c r="X412" s="81">
        <f>HLOOKUP(Q412,データについて!$J$11:$M$18,8,FALSE)</f>
        <v>1</v>
      </c>
      <c r="Y412" s="81">
        <f>HLOOKUP(R412,データについて!$J$12:$M$18,7,FALSE)</f>
        <v>1</v>
      </c>
      <c r="Z412" s="81">
        <f>HLOOKUP(I412,データについて!$J$3:$M$18,16,FALSE)</f>
        <v>1</v>
      </c>
      <c r="AA412" s="81">
        <f>IFERROR(HLOOKUP(J412,データについて!$J$4:$AH$19,16,FALSE),"")</f>
        <v>3</v>
      </c>
      <c r="AB412" s="81" t="str">
        <f>IFERROR(HLOOKUP(K412,データについて!$J$5:$AH$20,14,FALSE),"")</f>
        <v/>
      </c>
      <c r="AC412" s="81">
        <f>IF(X412=1,HLOOKUP(R412,データについて!$J$12:$M$18,7,FALSE),"*")</f>
        <v>1</v>
      </c>
      <c r="AD412" s="81" t="str">
        <f>IF(X412=2,HLOOKUP(R412,データについて!$J$12:$M$18,7,FALSE),"*")</f>
        <v>*</v>
      </c>
    </row>
    <row r="413" spans="1:30">
      <c r="A413" s="30">
        <v>4779</v>
      </c>
      <c r="B413" s="30" t="s">
        <v>3841</v>
      </c>
      <c r="C413" s="30" t="s">
        <v>3842</v>
      </c>
      <c r="D413" s="30" t="s">
        <v>106</v>
      </c>
      <c r="E413" s="30"/>
      <c r="F413" s="30" t="s">
        <v>107</v>
      </c>
      <c r="G413" s="30" t="s">
        <v>106</v>
      </c>
      <c r="H413" s="30"/>
      <c r="I413" s="30" t="s">
        <v>191</v>
      </c>
      <c r="J413" s="30"/>
      <c r="K413" s="30" t="s">
        <v>126</v>
      </c>
      <c r="L413" s="30" t="s">
        <v>108</v>
      </c>
      <c r="M413" s="30" t="s">
        <v>109</v>
      </c>
      <c r="N413" s="30" t="s">
        <v>110</v>
      </c>
      <c r="O413" s="30" t="s">
        <v>115</v>
      </c>
      <c r="P413" s="30" t="s">
        <v>118</v>
      </c>
      <c r="Q413" s="30" t="s">
        <v>118</v>
      </c>
      <c r="R413" s="30" t="s">
        <v>187</v>
      </c>
      <c r="S413" s="81">
        <f>HLOOKUP(L413,データについて!$J$6:$M$18,13,FALSE)</f>
        <v>1</v>
      </c>
      <c r="T413" s="81">
        <f>HLOOKUP(M413,データについて!$J$7:$M$18,12,FALSE)</f>
        <v>2</v>
      </c>
      <c r="U413" s="81">
        <f>HLOOKUP(N413,データについて!$J$8:$M$18,11,FALSE)</f>
        <v>2</v>
      </c>
      <c r="V413" s="81">
        <f>HLOOKUP(O413,データについて!$J$9:$M$18,10,FALSE)</f>
        <v>1</v>
      </c>
      <c r="W413" s="81">
        <f>HLOOKUP(P413,データについて!$J$10:$M$18,9,FALSE)</f>
        <v>2</v>
      </c>
      <c r="X413" s="81">
        <f>HLOOKUP(Q413,データについて!$J$11:$M$18,8,FALSE)</f>
        <v>2</v>
      </c>
      <c r="Y413" s="81">
        <f>HLOOKUP(R413,データについて!$J$12:$M$18,7,FALSE)</f>
        <v>3</v>
      </c>
      <c r="Z413" s="81">
        <f>HLOOKUP(I413,データについて!$J$3:$M$18,16,FALSE)</f>
        <v>2</v>
      </c>
      <c r="AA413" s="81" t="str">
        <f>IFERROR(HLOOKUP(J413,データについて!$J$4:$AH$19,16,FALSE),"")</f>
        <v/>
      </c>
      <c r="AB413" s="81">
        <f>IFERROR(HLOOKUP(K413,データについて!$J$5:$AH$20,14,FALSE),"")</f>
        <v>0</v>
      </c>
      <c r="AC413" s="81" t="str">
        <f>IF(X413=1,HLOOKUP(R413,データについて!$J$12:$M$18,7,FALSE),"*")</f>
        <v>*</v>
      </c>
      <c r="AD413" s="81">
        <f>IF(X413=2,HLOOKUP(R413,データについて!$J$12:$M$18,7,FALSE),"*")</f>
        <v>3</v>
      </c>
    </row>
    <row r="414" spans="1:30">
      <c r="A414" s="30">
        <v>4778</v>
      </c>
      <c r="B414" s="30" t="s">
        <v>3843</v>
      </c>
      <c r="C414" s="30" t="s">
        <v>3844</v>
      </c>
      <c r="D414" s="30" t="s">
        <v>106</v>
      </c>
      <c r="E414" s="30"/>
      <c r="F414" s="30" t="s">
        <v>107</v>
      </c>
      <c r="G414" s="30" t="s">
        <v>106</v>
      </c>
      <c r="H414" s="30"/>
      <c r="I414" s="30" t="s">
        <v>191</v>
      </c>
      <c r="J414" s="30"/>
      <c r="K414" s="30" t="s">
        <v>126</v>
      </c>
      <c r="L414" s="30" t="s">
        <v>108</v>
      </c>
      <c r="M414" s="30" t="s">
        <v>124</v>
      </c>
      <c r="N414" s="30" t="s">
        <v>122</v>
      </c>
      <c r="O414" s="30" t="s">
        <v>116</v>
      </c>
      <c r="P414" s="30" t="s">
        <v>112</v>
      </c>
      <c r="Q414" s="30" t="s">
        <v>118</v>
      </c>
      <c r="R414" s="30" t="s">
        <v>187</v>
      </c>
      <c r="S414" s="81">
        <f>HLOOKUP(L414,データについて!$J$6:$M$18,13,FALSE)</f>
        <v>1</v>
      </c>
      <c r="T414" s="81">
        <f>HLOOKUP(M414,データについて!$J$7:$M$18,12,FALSE)</f>
        <v>3</v>
      </c>
      <c r="U414" s="81">
        <f>HLOOKUP(N414,データについて!$J$8:$M$18,11,FALSE)</f>
        <v>3</v>
      </c>
      <c r="V414" s="81">
        <f>HLOOKUP(O414,データについて!$J$9:$M$18,10,FALSE)</f>
        <v>2</v>
      </c>
      <c r="W414" s="81">
        <f>HLOOKUP(P414,データについて!$J$10:$M$18,9,FALSE)</f>
        <v>1</v>
      </c>
      <c r="X414" s="81">
        <f>HLOOKUP(Q414,データについて!$J$11:$M$18,8,FALSE)</f>
        <v>2</v>
      </c>
      <c r="Y414" s="81">
        <f>HLOOKUP(R414,データについて!$J$12:$M$18,7,FALSE)</f>
        <v>3</v>
      </c>
      <c r="Z414" s="81">
        <f>HLOOKUP(I414,データについて!$J$3:$M$18,16,FALSE)</f>
        <v>2</v>
      </c>
      <c r="AA414" s="81" t="str">
        <f>IFERROR(HLOOKUP(J414,データについて!$J$4:$AH$19,16,FALSE),"")</f>
        <v/>
      </c>
      <c r="AB414" s="81">
        <f>IFERROR(HLOOKUP(K414,データについて!$J$5:$AH$20,14,FALSE),"")</f>
        <v>0</v>
      </c>
      <c r="AC414" s="81" t="str">
        <f>IF(X414=1,HLOOKUP(R414,データについて!$J$12:$M$18,7,FALSE),"*")</f>
        <v>*</v>
      </c>
      <c r="AD414" s="81">
        <f>IF(X414=2,HLOOKUP(R414,データについて!$J$12:$M$18,7,FALSE),"*")</f>
        <v>3</v>
      </c>
    </row>
    <row r="415" spans="1:30">
      <c r="A415" s="30">
        <v>4777</v>
      </c>
      <c r="B415" s="30" t="s">
        <v>3845</v>
      </c>
      <c r="C415" s="30" t="s">
        <v>3846</v>
      </c>
      <c r="D415" s="30" t="s">
        <v>106</v>
      </c>
      <c r="E415" s="30"/>
      <c r="F415" s="30" t="s">
        <v>107</v>
      </c>
      <c r="G415" s="30" t="s">
        <v>106</v>
      </c>
      <c r="H415" s="30"/>
      <c r="I415" s="30" t="s">
        <v>192</v>
      </c>
      <c r="J415" s="30" t="s">
        <v>3847</v>
      </c>
      <c r="K415" s="30"/>
      <c r="L415" s="30" t="s">
        <v>117</v>
      </c>
      <c r="M415" s="30" t="s">
        <v>109</v>
      </c>
      <c r="N415" s="30" t="s">
        <v>114</v>
      </c>
      <c r="O415" s="30" t="s">
        <v>115</v>
      </c>
      <c r="P415" s="30" t="s">
        <v>112</v>
      </c>
      <c r="Q415" s="30" t="s">
        <v>118</v>
      </c>
      <c r="R415" s="30" t="s">
        <v>185</v>
      </c>
      <c r="S415" s="81">
        <f>HLOOKUP(L415,データについて!$J$6:$M$18,13,FALSE)</f>
        <v>2</v>
      </c>
      <c r="T415" s="81">
        <f>HLOOKUP(M415,データについて!$J$7:$M$18,12,FALSE)</f>
        <v>2</v>
      </c>
      <c r="U415" s="81">
        <f>HLOOKUP(N415,データについて!$J$8:$M$18,11,FALSE)</f>
        <v>1</v>
      </c>
      <c r="V415" s="81">
        <f>HLOOKUP(O415,データについて!$J$9:$M$18,10,FALSE)</f>
        <v>1</v>
      </c>
      <c r="W415" s="81">
        <f>HLOOKUP(P415,データについて!$J$10:$M$18,9,FALSE)</f>
        <v>1</v>
      </c>
      <c r="X415" s="81">
        <f>HLOOKUP(Q415,データについて!$J$11:$M$18,8,FALSE)</f>
        <v>2</v>
      </c>
      <c r="Y415" s="81">
        <f>HLOOKUP(R415,データについて!$J$12:$M$18,7,FALSE)</f>
        <v>2</v>
      </c>
      <c r="Z415" s="81">
        <f>HLOOKUP(I415,データについて!$J$3:$M$18,16,FALSE)</f>
        <v>1</v>
      </c>
      <c r="AA415" s="81">
        <f>IFERROR(HLOOKUP(J415,データについて!$J$4:$AH$19,16,FALSE),"")</f>
        <v>3</v>
      </c>
      <c r="AB415" s="81" t="str">
        <f>IFERROR(HLOOKUP(K415,データについて!$J$5:$AH$20,14,FALSE),"")</f>
        <v/>
      </c>
      <c r="AC415" s="81" t="str">
        <f>IF(X415=1,HLOOKUP(R415,データについて!$J$12:$M$18,7,FALSE),"*")</f>
        <v>*</v>
      </c>
      <c r="AD415" s="81">
        <f>IF(X415=2,HLOOKUP(R415,データについて!$J$12:$M$18,7,FALSE),"*")</f>
        <v>2</v>
      </c>
    </row>
    <row r="416" spans="1:30">
      <c r="A416" s="30">
        <v>4776</v>
      </c>
      <c r="B416" s="30" t="s">
        <v>3848</v>
      </c>
      <c r="C416" s="30" t="s">
        <v>3849</v>
      </c>
      <c r="D416" s="30" t="s">
        <v>106</v>
      </c>
      <c r="E416" s="30"/>
      <c r="F416" s="30" t="s">
        <v>107</v>
      </c>
      <c r="G416" s="30" t="s">
        <v>106</v>
      </c>
      <c r="H416" s="30"/>
      <c r="I416" s="30" t="s">
        <v>192</v>
      </c>
      <c r="J416" s="30" t="s">
        <v>3847</v>
      </c>
      <c r="K416" s="30"/>
      <c r="L416" s="30" t="s">
        <v>108</v>
      </c>
      <c r="M416" s="30" t="s">
        <v>109</v>
      </c>
      <c r="N416" s="30" t="s">
        <v>114</v>
      </c>
      <c r="O416" s="30" t="s">
        <v>115</v>
      </c>
      <c r="P416" s="30" t="s">
        <v>112</v>
      </c>
      <c r="Q416" s="30" t="s">
        <v>112</v>
      </c>
      <c r="R416" s="30" t="s">
        <v>185</v>
      </c>
      <c r="S416" s="81">
        <f>HLOOKUP(L416,データについて!$J$6:$M$18,13,FALSE)</f>
        <v>1</v>
      </c>
      <c r="T416" s="81">
        <f>HLOOKUP(M416,データについて!$J$7:$M$18,12,FALSE)</f>
        <v>2</v>
      </c>
      <c r="U416" s="81">
        <f>HLOOKUP(N416,データについて!$J$8:$M$18,11,FALSE)</f>
        <v>1</v>
      </c>
      <c r="V416" s="81">
        <f>HLOOKUP(O416,データについて!$J$9:$M$18,10,FALSE)</f>
        <v>1</v>
      </c>
      <c r="W416" s="81">
        <f>HLOOKUP(P416,データについて!$J$10:$M$18,9,FALSE)</f>
        <v>1</v>
      </c>
      <c r="X416" s="81">
        <f>HLOOKUP(Q416,データについて!$J$11:$M$18,8,FALSE)</f>
        <v>1</v>
      </c>
      <c r="Y416" s="81">
        <f>HLOOKUP(R416,データについて!$J$12:$M$18,7,FALSE)</f>
        <v>2</v>
      </c>
      <c r="Z416" s="81">
        <f>HLOOKUP(I416,データについて!$J$3:$M$18,16,FALSE)</f>
        <v>1</v>
      </c>
      <c r="AA416" s="81">
        <f>IFERROR(HLOOKUP(J416,データについて!$J$4:$AH$19,16,FALSE),"")</f>
        <v>3</v>
      </c>
      <c r="AB416" s="81" t="str">
        <f>IFERROR(HLOOKUP(K416,データについて!$J$5:$AH$20,14,FALSE),"")</f>
        <v/>
      </c>
      <c r="AC416" s="81">
        <f>IF(X416=1,HLOOKUP(R416,データについて!$J$12:$M$18,7,FALSE),"*")</f>
        <v>2</v>
      </c>
      <c r="AD416" s="81" t="str">
        <f>IF(X416=2,HLOOKUP(R416,データについて!$J$12:$M$18,7,FALSE),"*")</f>
        <v>*</v>
      </c>
    </row>
    <row r="417" spans="1:30">
      <c r="A417" s="30">
        <v>4775</v>
      </c>
      <c r="B417" s="30" t="s">
        <v>3850</v>
      </c>
      <c r="C417" s="30" t="s">
        <v>3851</v>
      </c>
      <c r="D417" s="30" t="s">
        <v>106</v>
      </c>
      <c r="E417" s="30"/>
      <c r="F417" s="30" t="s">
        <v>107</v>
      </c>
      <c r="G417" s="30" t="s">
        <v>106</v>
      </c>
      <c r="H417" s="30"/>
      <c r="I417" s="30" t="s">
        <v>192</v>
      </c>
      <c r="J417" s="30" t="s">
        <v>3847</v>
      </c>
      <c r="K417" s="30"/>
      <c r="L417" s="30" t="s">
        <v>108</v>
      </c>
      <c r="M417" s="30" t="s">
        <v>113</v>
      </c>
      <c r="N417" s="30" t="s">
        <v>110</v>
      </c>
      <c r="O417" s="30" t="s">
        <v>115</v>
      </c>
      <c r="P417" s="30" t="s">
        <v>112</v>
      </c>
      <c r="Q417" s="30" t="s">
        <v>118</v>
      </c>
      <c r="R417" s="30" t="s">
        <v>185</v>
      </c>
      <c r="S417" s="81">
        <f>HLOOKUP(L417,データについて!$J$6:$M$18,13,FALSE)</f>
        <v>1</v>
      </c>
      <c r="T417" s="81">
        <f>HLOOKUP(M417,データについて!$J$7:$M$18,12,FALSE)</f>
        <v>1</v>
      </c>
      <c r="U417" s="81">
        <f>HLOOKUP(N417,データについて!$J$8:$M$18,11,FALSE)</f>
        <v>2</v>
      </c>
      <c r="V417" s="81">
        <f>HLOOKUP(O417,データについて!$J$9:$M$18,10,FALSE)</f>
        <v>1</v>
      </c>
      <c r="W417" s="81">
        <f>HLOOKUP(P417,データについて!$J$10:$M$18,9,FALSE)</f>
        <v>1</v>
      </c>
      <c r="X417" s="81">
        <f>HLOOKUP(Q417,データについて!$J$11:$M$18,8,FALSE)</f>
        <v>2</v>
      </c>
      <c r="Y417" s="81">
        <f>HLOOKUP(R417,データについて!$J$12:$M$18,7,FALSE)</f>
        <v>2</v>
      </c>
      <c r="Z417" s="81">
        <f>HLOOKUP(I417,データについて!$J$3:$M$18,16,FALSE)</f>
        <v>1</v>
      </c>
      <c r="AA417" s="81">
        <f>IFERROR(HLOOKUP(J417,データについて!$J$4:$AH$19,16,FALSE),"")</f>
        <v>3</v>
      </c>
      <c r="AB417" s="81" t="str">
        <f>IFERROR(HLOOKUP(K417,データについて!$J$5:$AH$20,14,FALSE),"")</f>
        <v/>
      </c>
      <c r="AC417" s="81" t="str">
        <f>IF(X417=1,HLOOKUP(R417,データについて!$J$12:$M$18,7,FALSE),"*")</f>
        <v>*</v>
      </c>
      <c r="AD417" s="81">
        <f>IF(X417=2,HLOOKUP(R417,データについて!$J$12:$M$18,7,FALSE),"*")</f>
        <v>2</v>
      </c>
    </row>
    <row r="418" spans="1:30">
      <c r="A418" s="30">
        <v>4774</v>
      </c>
      <c r="B418" s="30" t="s">
        <v>3852</v>
      </c>
      <c r="C418" s="30" t="s">
        <v>3853</v>
      </c>
      <c r="D418" s="30" t="s">
        <v>106</v>
      </c>
      <c r="E418" s="30"/>
      <c r="F418" s="30" t="s">
        <v>107</v>
      </c>
      <c r="G418" s="30" t="s">
        <v>106</v>
      </c>
      <c r="H418" s="30"/>
      <c r="I418" s="30" t="s">
        <v>192</v>
      </c>
      <c r="J418" s="30" t="s">
        <v>3847</v>
      </c>
      <c r="K418" s="30"/>
      <c r="L418" s="30" t="s">
        <v>117</v>
      </c>
      <c r="M418" s="30" t="s">
        <v>113</v>
      </c>
      <c r="N418" s="30" t="s">
        <v>122</v>
      </c>
      <c r="O418" s="30" t="s">
        <v>115</v>
      </c>
      <c r="P418" s="30" t="s">
        <v>112</v>
      </c>
      <c r="Q418" s="30" t="s">
        <v>112</v>
      </c>
      <c r="R418" s="30" t="s">
        <v>187</v>
      </c>
      <c r="S418" s="81">
        <f>HLOOKUP(L418,データについて!$J$6:$M$18,13,FALSE)</f>
        <v>2</v>
      </c>
      <c r="T418" s="81">
        <f>HLOOKUP(M418,データについて!$J$7:$M$18,12,FALSE)</f>
        <v>1</v>
      </c>
      <c r="U418" s="81">
        <f>HLOOKUP(N418,データについて!$J$8:$M$18,11,FALSE)</f>
        <v>3</v>
      </c>
      <c r="V418" s="81">
        <f>HLOOKUP(O418,データについて!$J$9:$M$18,10,FALSE)</f>
        <v>1</v>
      </c>
      <c r="W418" s="81">
        <f>HLOOKUP(P418,データについて!$J$10:$M$18,9,FALSE)</f>
        <v>1</v>
      </c>
      <c r="X418" s="81">
        <f>HLOOKUP(Q418,データについて!$J$11:$M$18,8,FALSE)</f>
        <v>1</v>
      </c>
      <c r="Y418" s="81">
        <f>HLOOKUP(R418,データについて!$J$12:$M$18,7,FALSE)</f>
        <v>3</v>
      </c>
      <c r="Z418" s="81">
        <f>HLOOKUP(I418,データについて!$J$3:$M$18,16,FALSE)</f>
        <v>1</v>
      </c>
      <c r="AA418" s="81">
        <f>IFERROR(HLOOKUP(J418,データについて!$J$4:$AH$19,16,FALSE),"")</f>
        <v>3</v>
      </c>
      <c r="AB418" s="81" t="str">
        <f>IFERROR(HLOOKUP(K418,データについて!$J$5:$AH$20,14,FALSE),"")</f>
        <v/>
      </c>
      <c r="AC418" s="81">
        <f>IF(X418=1,HLOOKUP(R418,データについて!$J$12:$M$18,7,FALSE),"*")</f>
        <v>3</v>
      </c>
      <c r="AD418" s="81" t="str">
        <f>IF(X418=2,HLOOKUP(R418,データについて!$J$12:$M$18,7,FALSE),"*")</f>
        <v>*</v>
      </c>
    </row>
    <row r="419" spans="1:30">
      <c r="A419" s="30">
        <v>4773</v>
      </c>
      <c r="B419" s="30" t="s">
        <v>3854</v>
      </c>
      <c r="C419" s="30" t="s">
        <v>3855</v>
      </c>
      <c r="D419" s="30" t="s">
        <v>106</v>
      </c>
      <c r="E419" s="30"/>
      <c r="F419" s="30" t="s">
        <v>107</v>
      </c>
      <c r="G419" s="30" t="s">
        <v>106</v>
      </c>
      <c r="H419" s="30"/>
      <c r="I419" s="30" t="s">
        <v>192</v>
      </c>
      <c r="J419" s="30" t="s">
        <v>3847</v>
      </c>
      <c r="K419" s="30"/>
      <c r="L419" s="30" t="s">
        <v>117</v>
      </c>
      <c r="M419" s="30" t="s">
        <v>113</v>
      </c>
      <c r="N419" s="30" t="s">
        <v>114</v>
      </c>
      <c r="O419" s="30" t="s">
        <v>115</v>
      </c>
      <c r="P419" s="30" t="s">
        <v>112</v>
      </c>
      <c r="Q419" s="30" t="s">
        <v>112</v>
      </c>
      <c r="R419" s="30" t="s">
        <v>185</v>
      </c>
      <c r="S419" s="81">
        <f>HLOOKUP(L419,データについて!$J$6:$M$18,13,FALSE)</f>
        <v>2</v>
      </c>
      <c r="T419" s="81">
        <f>HLOOKUP(M419,データについて!$J$7:$M$18,12,FALSE)</f>
        <v>1</v>
      </c>
      <c r="U419" s="81">
        <f>HLOOKUP(N419,データについて!$J$8:$M$18,11,FALSE)</f>
        <v>1</v>
      </c>
      <c r="V419" s="81">
        <f>HLOOKUP(O419,データについて!$J$9:$M$18,10,FALSE)</f>
        <v>1</v>
      </c>
      <c r="W419" s="81">
        <f>HLOOKUP(P419,データについて!$J$10:$M$18,9,FALSE)</f>
        <v>1</v>
      </c>
      <c r="X419" s="81">
        <f>HLOOKUP(Q419,データについて!$J$11:$M$18,8,FALSE)</f>
        <v>1</v>
      </c>
      <c r="Y419" s="81">
        <f>HLOOKUP(R419,データについて!$J$12:$M$18,7,FALSE)</f>
        <v>2</v>
      </c>
      <c r="Z419" s="81">
        <f>HLOOKUP(I419,データについて!$J$3:$M$18,16,FALSE)</f>
        <v>1</v>
      </c>
      <c r="AA419" s="81">
        <f>IFERROR(HLOOKUP(J419,データについて!$J$4:$AH$19,16,FALSE),"")</f>
        <v>3</v>
      </c>
      <c r="AB419" s="81" t="str">
        <f>IFERROR(HLOOKUP(K419,データについて!$J$5:$AH$20,14,FALSE),"")</f>
        <v/>
      </c>
      <c r="AC419" s="81">
        <f>IF(X419=1,HLOOKUP(R419,データについて!$J$12:$M$18,7,FALSE),"*")</f>
        <v>2</v>
      </c>
      <c r="AD419" s="81" t="str">
        <f>IF(X419=2,HLOOKUP(R419,データについて!$J$12:$M$18,7,FALSE),"*")</f>
        <v>*</v>
      </c>
    </row>
    <row r="420" spans="1:30">
      <c r="A420" s="30">
        <v>4772</v>
      </c>
      <c r="B420" s="30" t="s">
        <v>3856</v>
      </c>
      <c r="C420" s="30" t="s">
        <v>3857</v>
      </c>
      <c r="D420" s="30" t="s">
        <v>106</v>
      </c>
      <c r="E420" s="30"/>
      <c r="F420" s="30" t="s">
        <v>107</v>
      </c>
      <c r="G420" s="30" t="s">
        <v>106</v>
      </c>
      <c r="H420" s="30"/>
      <c r="I420" s="30" t="s">
        <v>192</v>
      </c>
      <c r="J420" s="30" t="s">
        <v>3847</v>
      </c>
      <c r="K420" s="30"/>
      <c r="L420" s="30" t="s">
        <v>117</v>
      </c>
      <c r="M420" s="30" t="s">
        <v>113</v>
      </c>
      <c r="N420" s="30" t="s">
        <v>114</v>
      </c>
      <c r="O420" s="30" t="s">
        <v>115</v>
      </c>
      <c r="P420" s="30" t="s">
        <v>112</v>
      </c>
      <c r="Q420" s="30" t="s">
        <v>112</v>
      </c>
      <c r="R420" s="30" t="s">
        <v>185</v>
      </c>
      <c r="S420" s="81">
        <f>HLOOKUP(L420,データについて!$J$6:$M$18,13,FALSE)</f>
        <v>2</v>
      </c>
      <c r="T420" s="81">
        <f>HLOOKUP(M420,データについて!$J$7:$M$18,12,FALSE)</f>
        <v>1</v>
      </c>
      <c r="U420" s="81">
        <f>HLOOKUP(N420,データについて!$J$8:$M$18,11,FALSE)</f>
        <v>1</v>
      </c>
      <c r="V420" s="81">
        <f>HLOOKUP(O420,データについて!$J$9:$M$18,10,FALSE)</f>
        <v>1</v>
      </c>
      <c r="W420" s="81">
        <f>HLOOKUP(P420,データについて!$J$10:$M$18,9,FALSE)</f>
        <v>1</v>
      </c>
      <c r="X420" s="81">
        <f>HLOOKUP(Q420,データについて!$J$11:$M$18,8,FALSE)</f>
        <v>1</v>
      </c>
      <c r="Y420" s="81">
        <f>HLOOKUP(R420,データについて!$J$12:$M$18,7,FALSE)</f>
        <v>2</v>
      </c>
      <c r="Z420" s="81">
        <f>HLOOKUP(I420,データについて!$J$3:$M$18,16,FALSE)</f>
        <v>1</v>
      </c>
      <c r="AA420" s="81">
        <f>IFERROR(HLOOKUP(J420,データについて!$J$4:$AH$19,16,FALSE),"")</f>
        <v>3</v>
      </c>
      <c r="AB420" s="81" t="str">
        <f>IFERROR(HLOOKUP(K420,データについて!$J$5:$AH$20,14,FALSE),"")</f>
        <v/>
      </c>
      <c r="AC420" s="81">
        <f>IF(X420=1,HLOOKUP(R420,データについて!$J$12:$M$18,7,FALSE),"*")</f>
        <v>2</v>
      </c>
      <c r="AD420" s="81" t="str">
        <f>IF(X420=2,HLOOKUP(R420,データについて!$J$12:$M$18,7,FALSE),"*")</f>
        <v>*</v>
      </c>
    </row>
    <row r="421" spans="1:30">
      <c r="A421" s="30">
        <v>4771</v>
      </c>
      <c r="B421" s="30" t="s">
        <v>3858</v>
      </c>
      <c r="C421" s="30" t="s">
        <v>3859</v>
      </c>
      <c r="D421" s="30" t="s">
        <v>106</v>
      </c>
      <c r="E421" s="30"/>
      <c r="F421" s="30" t="s">
        <v>107</v>
      </c>
      <c r="G421" s="30" t="s">
        <v>106</v>
      </c>
      <c r="H421" s="30"/>
      <c r="I421" s="30" t="s">
        <v>192</v>
      </c>
      <c r="J421" s="30" t="s">
        <v>3847</v>
      </c>
      <c r="K421" s="30"/>
      <c r="L421" s="30" t="s">
        <v>108</v>
      </c>
      <c r="M421" s="30" t="s">
        <v>109</v>
      </c>
      <c r="N421" s="30" t="s">
        <v>114</v>
      </c>
      <c r="O421" s="30" t="s">
        <v>115</v>
      </c>
      <c r="P421" s="30" t="s">
        <v>112</v>
      </c>
      <c r="Q421" s="30" t="s">
        <v>112</v>
      </c>
      <c r="R421" s="30" t="s">
        <v>185</v>
      </c>
      <c r="S421" s="81">
        <f>HLOOKUP(L421,データについて!$J$6:$M$18,13,FALSE)</f>
        <v>1</v>
      </c>
      <c r="T421" s="81">
        <f>HLOOKUP(M421,データについて!$J$7:$M$18,12,FALSE)</f>
        <v>2</v>
      </c>
      <c r="U421" s="81">
        <f>HLOOKUP(N421,データについて!$J$8:$M$18,11,FALSE)</f>
        <v>1</v>
      </c>
      <c r="V421" s="81">
        <f>HLOOKUP(O421,データについて!$J$9:$M$18,10,FALSE)</f>
        <v>1</v>
      </c>
      <c r="W421" s="81">
        <f>HLOOKUP(P421,データについて!$J$10:$M$18,9,FALSE)</f>
        <v>1</v>
      </c>
      <c r="X421" s="81">
        <f>HLOOKUP(Q421,データについて!$J$11:$M$18,8,FALSE)</f>
        <v>1</v>
      </c>
      <c r="Y421" s="81">
        <f>HLOOKUP(R421,データについて!$J$12:$M$18,7,FALSE)</f>
        <v>2</v>
      </c>
      <c r="Z421" s="81">
        <f>HLOOKUP(I421,データについて!$J$3:$M$18,16,FALSE)</f>
        <v>1</v>
      </c>
      <c r="AA421" s="81">
        <f>IFERROR(HLOOKUP(J421,データについて!$J$4:$AH$19,16,FALSE),"")</f>
        <v>3</v>
      </c>
      <c r="AB421" s="81" t="str">
        <f>IFERROR(HLOOKUP(K421,データについて!$J$5:$AH$20,14,FALSE),"")</f>
        <v/>
      </c>
      <c r="AC421" s="81">
        <f>IF(X421=1,HLOOKUP(R421,データについて!$J$12:$M$18,7,FALSE),"*")</f>
        <v>2</v>
      </c>
      <c r="AD421" s="81" t="str">
        <f>IF(X421=2,HLOOKUP(R421,データについて!$J$12:$M$18,7,FALSE),"*")</f>
        <v>*</v>
      </c>
    </row>
    <row r="422" spans="1:30">
      <c r="A422" s="30">
        <v>4770</v>
      </c>
      <c r="B422" s="30" t="s">
        <v>3860</v>
      </c>
      <c r="C422" s="30" t="s">
        <v>3861</v>
      </c>
      <c r="D422" s="30" t="s">
        <v>106</v>
      </c>
      <c r="E422" s="30"/>
      <c r="F422" s="30" t="s">
        <v>107</v>
      </c>
      <c r="G422" s="30" t="s">
        <v>106</v>
      </c>
      <c r="H422" s="30"/>
      <c r="I422" s="30" t="s">
        <v>192</v>
      </c>
      <c r="J422" s="30" t="s">
        <v>3847</v>
      </c>
      <c r="K422" s="30"/>
      <c r="L422" s="30" t="s">
        <v>117</v>
      </c>
      <c r="M422" s="30" t="s">
        <v>113</v>
      </c>
      <c r="N422" s="30" t="s">
        <v>114</v>
      </c>
      <c r="O422" s="30" t="s">
        <v>115</v>
      </c>
      <c r="P422" s="30" t="s">
        <v>112</v>
      </c>
      <c r="Q422" s="30" t="s">
        <v>112</v>
      </c>
      <c r="R422" s="30" t="s">
        <v>185</v>
      </c>
      <c r="S422" s="81">
        <f>HLOOKUP(L422,データについて!$J$6:$M$18,13,FALSE)</f>
        <v>2</v>
      </c>
      <c r="T422" s="81">
        <f>HLOOKUP(M422,データについて!$J$7:$M$18,12,FALSE)</f>
        <v>1</v>
      </c>
      <c r="U422" s="81">
        <f>HLOOKUP(N422,データについて!$J$8:$M$18,11,FALSE)</f>
        <v>1</v>
      </c>
      <c r="V422" s="81">
        <f>HLOOKUP(O422,データについて!$J$9:$M$18,10,FALSE)</f>
        <v>1</v>
      </c>
      <c r="W422" s="81">
        <f>HLOOKUP(P422,データについて!$J$10:$M$18,9,FALSE)</f>
        <v>1</v>
      </c>
      <c r="X422" s="81">
        <f>HLOOKUP(Q422,データについて!$J$11:$M$18,8,FALSE)</f>
        <v>1</v>
      </c>
      <c r="Y422" s="81">
        <f>HLOOKUP(R422,データについて!$J$12:$M$18,7,FALSE)</f>
        <v>2</v>
      </c>
      <c r="Z422" s="81">
        <f>HLOOKUP(I422,データについて!$J$3:$M$18,16,FALSE)</f>
        <v>1</v>
      </c>
      <c r="AA422" s="81">
        <f>IFERROR(HLOOKUP(J422,データについて!$J$4:$AH$19,16,FALSE),"")</f>
        <v>3</v>
      </c>
      <c r="AB422" s="81" t="str">
        <f>IFERROR(HLOOKUP(K422,データについて!$J$5:$AH$20,14,FALSE),"")</f>
        <v/>
      </c>
      <c r="AC422" s="81">
        <f>IF(X422=1,HLOOKUP(R422,データについて!$J$12:$M$18,7,FALSE),"*")</f>
        <v>2</v>
      </c>
      <c r="AD422" s="81" t="str">
        <f>IF(X422=2,HLOOKUP(R422,データについて!$J$12:$M$18,7,FALSE),"*")</f>
        <v>*</v>
      </c>
    </row>
    <row r="423" spans="1:30">
      <c r="A423" s="30">
        <v>4769</v>
      </c>
      <c r="B423" s="30" t="s">
        <v>3862</v>
      </c>
      <c r="C423" s="30" t="s">
        <v>3861</v>
      </c>
      <c r="D423" s="30" t="s">
        <v>106</v>
      </c>
      <c r="E423" s="30"/>
      <c r="F423" s="30" t="s">
        <v>107</v>
      </c>
      <c r="G423" s="30" t="s">
        <v>106</v>
      </c>
      <c r="H423" s="30"/>
      <c r="I423" s="30" t="s">
        <v>192</v>
      </c>
      <c r="J423" s="30" t="s">
        <v>3847</v>
      </c>
      <c r="K423" s="30"/>
      <c r="L423" s="30" t="s">
        <v>108</v>
      </c>
      <c r="M423" s="30" t="s">
        <v>113</v>
      </c>
      <c r="N423" s="30" t="s">
        <v>110</v>
      </c>
      <c r="O423" s="30" t="s">
        <v>115</v>
      </c>
      <c r="P423" s="30" t="s">
        <v>112</v>
      </c>
      <c r="Q423" s="30" t="s">
        <v>112</v>
      </c>
      <c r="R423" s="30" t="s">
        <v>185</v>
      </c>
      <c r="S423" s="81">
        <f>HLOOKUP(L423,データについて!$J$6:$M$18,13,FALSE)</f>
        <v>1</v>
      </c>
      <c r="T423" s="81">
        <f>HLOOKUP(M423,データについて!$J$7:$M$18,12,FALSE)</f>
        <v>1</v>
      </c>
      <c r="U423" s="81">
        <f>HLOOKUP(N423,データについて!$J$8:$M$18,11,FALSE)</f>
        <v>2</v>
      </c>
      <c r="V423" s="81">
        <f>HLOOKUP(O423,データについて!$J$9:$M$18,10,FALSE)</f>
        <v>1</v>
      </c>
      <c r="W423" s="81">
        <f>HLOOKUP(P423,データについて!$J$10:$M$18,9,FALSE)</f>
        <v>1</v>
      </c>
      <c r="X423" s="81">
        <f>HLOOKUP(Q423,データについて!$J$11:$M$18,8,FALSE)</f>
        <v>1</v>
      </c>
      <c r="Y423" s="81">
        <f>HLOOKUP(R423,データについて!$J$12:$M$18,7,FALSE)</f>
        <v>2</v>
      </c>
      <c r="Z423" s="81">
        <f>HLOOKUP(I423,データについて!$J$3:$M$18,16,FALSE)</f>
        <v>1</v>
      </c>
      <c r="AA423" s="81">
        <f>IFERROR(HLOOKUP(J423,データについて!$J$4:$AH$19,16,FALSE),"")</f>
        <v>3</v>
      </c>
      <c r="AB423" s="81" t="str">
        <f>IFERROR(HLOOKUP(K423,データについて!$J$5:$AH$20,14,FALSE),"")</f>
        <v/>
      </c>
      <c r="AC423" s="81">
        <f>IF(X423=1,HLOOKUP(R423,データについて!$J$12:$M$18,7,FALSE),"*")</f>
        <v>2</v>
      </c>
      <c r="AD423" s="81" t="str">
        <f>IF(X423=2,HLOOKUP(R423,データについて!$J$12:$M$18,7,FALSE),"*")</f>
        <v>*</v>
      </c>
    </row>
    <row r="424" spans="1:30">
      <c r="A424" s="30">
        <v>4768</v>
      </c>
      <c r="B424" s="30" t="s">
        <v>3863</v>
      </c>
      <c r="C424" s="30" t="s">
        <v>3864</v>
      </c>
      <c r="D424" s="30" t="s">
        <v>106</v>
      </c>
      <c r="E424" s="30"/>
      <c r="F424" s="30" t="s">
        <v>107</v>
      </c>
      <c r="G424" s="30" t="s">
        <v>106</v>
      </c>
      <c r="H424" s="30"/>
      <c r="I424" s="30" t="s">
        <v>192</v>
      </c>
      <c r="J424" s="30" t="s">
        <v>3847</v>
      </c>
      <c r="K424" s="30"/>
      <c r="L424" s="30" t="s">
        <v>117</v>
      </c>
      <c r="M424" s="30" t="s">
        <v>109</v>
      </c>
      <c r="N424" s="30" t="s">
        <v>114</v>
      </c>
      <c r="O424" s="30" t="s">
        <v>115</v>
      </c>
      <c r="P424" s="30" t="s">
        <v>112</v>
      </c>
      <c r="Q424" s="30" t="s">
        <v>112</v>
      </c>
      <c r="R424" s="30" t="s">
        <v>183</v>
      </c>
      <c r="S424" s="81">
        <f>HLOOKUP(L424,データについて!$J$6:$M$18,13,FALSE)</f>
        <v>2</v>
      </c>
      <c r="T424" s="81">
        <f>HLOOKUP(M424,データについて!$J$7:$M$18,12,FALSE)</f>
        <v>2</v>
      </c>
      <c r="U424" s="81">
        <f>HLOOKUP(N424,データについて!$J$8:$M$18,11,FALSE)</f>
        <v>1</v>
      </c>
      <c r="V424" s="81">
        <f>HLOOKUP(O424,データについて!$J$9:$M$18,10,FALSE)</f>
        <v>1</v>
      </c>
      <c r="W424" s="81">
        <f>HLOOKUP(P424,データについて!$J$10:$M$18,9,FALSE)</f>
        <v>1</v>
      </c>
      <c r="X424" s="81">
        <f>HLOOKUP(Q424,データについて!$J$11:$M$18,8,FALSE)</f>
        <v>1</v>
      </c>
      <c r="Y424" s="81">
        <f>HLOOKUP(R424,データについて!$J$12:$M$18,7,FALSE)</f>
        <v>1</v>
      </c>
      <c r="Z424" s="81">
        <f>HLOOKUP(I424,データについて!$J$3:$M$18,16,FALSE)</f>
        <v>1</v>
      </c>
      <c r="AA424" s="81">
        <f>IFERROR(HLOOKUP(J424,データについて!$J$4:$AH$19,16,FALSE),"")</f>
        <v>3</v>
      </c>
      <c r="AB424" s="81" t="str">
        <f>IFERROR(HLOOKUP(K424,データについて!$J$5:$AH$20,14,FALSE),"")</f>
        <v/>
      </c>
      <c r="AC424" s="81">
        <f>IF(X424=1,HLOOKUP(R424,データについて!$J$12:$M$18,7,FALSE),"*")</f>
        <v>1</v>
      </c>
      <c r="AD424" s="81" t="str">
        <f>IF(X424=2,HLOOKUP(R424,データについて!$J$12:$M$18,7,FALSE),"*")</f>
        <v>*</v>
      </c>
    </row>
    <row r="425" spans="1:30">
      <c r="A425" s="30">
        <v>4767</v>
      </c>
      <c r="B425" s="30" t="s">
        <v>3865</v>
      </c>
      <c r="C425" s="30" t="s">
        <v>3866</v>
      </c>
      <c r="D425" s="30" t="s">
        <v>106</v>
      </c>
      <c r="E425" s="30"/>
      <c r="F425" s="30" t="s">
        <v>107</v>
      </c>
      <c r="G425" s="30" t="s">
        <v>106</v>
      </c>
      <c r="H425" s="30"/>
      <c r="I425" s="30" t="s">
        <v>192</v>
      </c>
      <c r="J425" s="30" t="s">
        <v>3847</v>
      </c>
      <c r="K425" s="30"/>
      <c r="L425" s="30" t="s">
        <v>117</v>
      </c>
      <c r="M425" s="30" t="s">
        <v>113</v>
      </c>
      <c r="N425" s="30" t="s">
        <v>122</v>
      </c>
      <c r="O425" s="30" t="s">
        <v>115</v>
      </c>
      <c r="P425" s="30" t="s">
        <v>112</v>
      </c>
      <c r="Q425" s="30" t="s">
        <v>112</v>
      </c>
      <c r="R425" s="30" t="s">
        <v>187</v>
      </c>
      <c r="S425" s="81">
        <f>HLOOKUP(L425,データについて!$J$6:$M$18,13,FALSE)</f>
        <v>2</v>
      </c>
      <c r="T425" s="81">
        <f>HLOOKUP(M425,データについて!$J$7:$M$18,12,FALSE)</f>
        <v>1</v>
      </c>
      <c r="U425" s="81">
        <f>HLOOKUP(N425,データについて!$J$8:$M$18,11,FALSE)</f>
        <v>3</v>
      </c>
      <c r="V425" s="81">
        <f>HLOOKUP(O425,データについて!$J$9:$M$18,10,FALSE)</f>
        <v>1</v>
      </c>
      <c r="W425" s="81">
        <f>HLOOKUP(P425,データについて!$J$10:$M$18,9,FALSE)</f>
        <v>1</v>
      </c>
      <c r="X425" s="81">
        <f>HLOOKUP(Q425,データについて!$J$11:$M$18,8,FALSE)</f>
        <v>1</v>
      </c>
      <c r="Y425" s="81">
        <f>HLOOKUP(R425,データについて!$J$12:$M$18,7,FALSE)</f>
        <v>3</v>
      </c>
      <c r="Z425" s="81">
        <f>HLOOKUP(I425,データについて!$J$3:$M$18,16,FALSE)</f>
        <v>1</v>
      </c>
      <c r="AA425" s="81">
        <f>IFERROR(HLOOKUP(J425,データについて!$J$4:$AH$19,16,FALSE),"")</f>
        <v>3</v>
      </c>
      <c r="AB425" s="81" t="str">
        <f>IFERROR(HLOOKUP(K425,データについて!$J$5:$AH$20,14,FALSE),"")</f>
        <v/>
      </c>
      <c r="AC425" s="81">
        <f>IF(X425=1,HLOOKUP(R425,データについて!$J$12:$M$18,7,FALSE),"*")</f>
        <v>3</v>
      </c>
      <c r="AD425" s="81" t="str">
        <f>IF(X425=2,HLOOKUP(R425,データについて!$J$12:$M$18,7,FALSE),"*")</f>
        <v>*</v>
      </c>
    </row>
    <row r="426" spans="1:30">
      <c r="A426" s="30">
        <v>4766</v>
      </c>
      <c r="B426" s="30" t="s">
        <v>3867</v>
      </c>
      <c r="C426" s="30" t="s">
        <v>3868</v>
      </c>
      <c r="D426" s="30" t="s">
        <v>106</v>
      </c>
      <c r="E426" s="30"/>
      <c r="F426" s="30" t="s">
        <v>107</v>
      </c>
      <c r="G426" s="30" t="s">
        <v>106</v>
      </c>
      <c r="H426" s="30"/>
      <c r="I426" s="30" t="s">
        <v>192</v>
      </c>
      <c r="J426" s="30" t="s">
        <v>3847</v>
      </c>
      <c r="K426" s="30"/>
      <c r="L426" s="30" t="s">
        <v>117</v>
      </c>
      <c r="M426" s="30" t="s">
        <v>113</v>
      </c>
      <c r="N426" s="30" t="s">
        <v>114</v>
      </c>
      <c r="O426" s="30" t="s">
        <v>115</v>
      </c>
      <c r="P426" s="30" t="s">
        <v>112</v>
      </c>
      <c r="Q426" s="30" t="s">
        <v>112</v>
      </c>
      <c r="R426" s="30" t="s">
        <v>183</v>
      </c>
      <c r="S426" s="81">
        <f>HLOOKUP(L426,データについて!$J$6:$M$18,13,FALSE)</f>
        <v>2</v>
      </c>
      <c r="T426" s="81">
        <f>HLOOKUP(M426,データについて!$J$7:$M$18,12,FALSE)</f>
        <v>1</v>
      </c>
      <c r="U426" s="81">
        <f>HLOOKUP(N426,データについて!$J$8:$M$18,11,FALSE)</f>
        <v>1</v>
      </c>
      <c r="V426" s="81">
        <f>HLOOKUP(O426,データについて!$J$9:$M$18,10,FALSE)</f>
        <v>1</v>
      </c>
      <c r="W426" s="81">
        <f>HLOOKUP(P426,データについて!$J$10:$M$18,9,FALSE)</f>
        <v>1</v>
      </c>
      <c r="X426" s="81">
        <f>HLOOKUP(Q426,データについて!$J$11:$M$18,8,FALSE)</f>
        <v>1</v>
      </c>
      <c r="Y426" s="81">
        <f>HLOOKUP(R426,データについて!$J$12:$M$18,7,FALSE)</f>
        <v>1</v>
      </c>
      <c r="Z426" s="81">
        <f>HLOOKUP(I426,データについて!$J$3:$M$18,16,FALSE)</f>
        <v>1</v>
      </c>
      <c r="AA426" s="81">
        <f>IFERROR(HLOOKUP(J426,データについて!$J$4:$AH$19,16,FALSE),"")</f>
        <v>3</v>
      </c>
      <c r="AB426" s="81" t="str">
        <f>IFERROR(HLOOKUP(K426,データについて!$J$5:$AH$20,14,FALSE),"")</f>
        <v/>
      </c>
      <c r="AC426" s="81">
        <f>IF(X426=1,HLOOKUP(R426,データについて!$J$12:$M$18,7,FALSE),"*")</f>
        <v>1</v>
      </c>
      <c r="AD426" s="81" t="str">
        <f>IF(X426=2,HLOOKUP(R426,データについて!$J$12:$M$18,7,FALSE),"*")</f>
        <v>*</v>
      </c>
    </row>
    <row r="427" spans="1:30">
      <c r="A427" s="30">
        <v>4765</v>
      </c>
      <c r="B427" s="30" t="s">
        <v>3869</v>
      </c>
      <c r="C427" s="30" t="s">
        <v>3870</v>
      </c>
      <c r="D427" s="30" t="s">
        <v>106</v>
      </c>
      <c r="E427" s="30"/>
      <c r="F427" s="30" t="s">
        <v>107</v>
      </c>
      <c r="G427" s="30" t="s">
        <v>106</v>
      </c>
      <c r="H427" s="30"/>
      <c r="I427" s="30" t="s">
        <v>192</v>
      </c>
      <c r="J427" s="30" t="s">
        <v>3847</v>
      </c>
      <c r="K427" s="30"/>
      <c r="L427" s="30" t="s">
        <v>108</v>
      </c>
      <c r="M427" s="30" t="s">
        <v>113</v>
      </c>
      <c r="N427" s="30" t="s">
        <v>114</v>
      </c>
      <c r="O427" s="30" t="s">
        <v>116</v>
      </c>
      <c r="P427" s="30" t="s">
        <v>118</v>
      </c>
      <c r="Q427" s="30" t="s">
        <v>112</v>
      </c>
      <c r="R427" s="30" t="s">
        <v>185</v>
      </c>
      <c r="S427" s="81">
        <f>HLOOKUP(L427,データについて!$J$6:$M$18,13,FALSE)</f>
        <v>1</v>
      </c>
      <c r="T427" s="81">
        <f>HLOOKUP(M427,データについて!$J$7:$M$18,12,FALSE)</f>
        <v>1</v>
      </c>
      <c r="U427" s="81">
        <f>HLOOKUP(N427,データについて!$J$8:$M$18,11,FALSE)</f>
        <v>1</v>
      </c>
      <c r="V427" s="81">
        <f>HLOOKUP(O427,データについて!$J$9:$M$18,10,FALSE)</f>
        <v>2</v>
      </c>
      <c r="W427" s="81">
        <f>HLOOKUP(P427,データについて!$J$10:$M$18,9,FALSE)</f>
        <v>2</v>
      </c>
      <c r="X427" s="81">
        <f>HLOOKUP(Q427,データについて!$J$11:$M$18,8,FALSE)</f>
        <v>1</v>
      </c>
      <c r="Y427" s="81">
        <f>HLOOKUP(R427,データについて!$J$12:$M$18,7,FALSE)</f>
        <v>2</v>
      </c>
      <c r="Z427" s="81">
        <f>HLOOKUP(I427,データについて!$J$3:$M$18,16,FALSE)</f>
        <v>1</v>
      </c>
      <c r="AA427" s="81">
        <f>IFERROR(HLOOKUP(J427,データについて!$J$4:$AH$19,16,FALSE),"")</f>
        <v>3</v>
      </c>
      <c r="AB427" s="81" t="str">
        <f>IFERROR(HLOOKUP(K427,データについて!$J$5:$AH$20,14,FALSE),"")</f>
        <v/>
      </c>
      <c r="AC427" s="81">
        <f>IF(X427=1,HLOOKUP(R427,データについて!$J$12:$M$18,7,FALSE),"*")</f>
        <v>2</v>
      </c>
      <c r="AD427" s="81" t="str">
        <f>IF(X427=2,HLOOKUP(R427,データについて!$J$12:$M$18,7,FALSE),"*")</f>
        <v>*</v>
      </c>
    </row>
    <row r="428" spans="1:30">
      <c r="A428" s="30">
        <v>4764</v>
      </c>
      <c r="B428" s="30" t="s">
        <v>3871</v>
      </c>
      <c r="C428" s="30" t="s">
        <v>3872</v>
      </c>
      <c r="D428" s="30" t="s">
        <v>106</v>
      </c>
      <c r="E428" s="30"/>
      <c r="F428" s="30" t="s">
        <v>107</v>
      </c>
      <c r="G428" s="30" t="s">
        <v>106</v>
      </c>
      <c r="H428" s="30"/>
      <c r="I428" s="30" t="s">
        <v>192</v>
      </c>
      <c r="J428" s="30" t="s">
        <v>3847</v>
      </c>
      <c r="K428" s="30"/>
      <c r="L428" s="30" t="s">
        <v>108</v>
      </c>
      <c r="M428" s="30" t="s">
        <v>109</v>
      </c>
      <c r="N428" s="30" t="s">
        <v>114</v>
      </c>
      <c r="O428" s="30" t="s">
        <v>116</v>
      </c>
      <c r="P428" s="30" t="s">
        <v>112</v>
      </c>
      <c r="Q428" s="30" t="s">
        <v>112</v>
      </c>
      <c r="R428" s="30" t="s">
        <v>183</v>
      </c>
      <c r="S428" s="81">
        <f>HLOOKUP(L428,データについて!$J$6:$M$18,13,FALSE)</f>
        <v>1</v>
      </c>
      <c r="T428" s="81">
        <f>HLOOKUP(M428,データについて!$J$7:$M$18,12,FALSE)</f>
        <v>2</v>
      </c>
      <c r="U428" s="81">
        <f>HLOOKUP(N428,データについて!$J$8:$M$18,11,FALSE)</f>
        <v>1</v>
      </c>
      <c r="V428" s="81">
        <f>HLOOKUP(O428,データについて!$J$9:$M$18,10,FALSE)</f>
        <v>2</v>
      </c>
      <c r="W428" s="81">
        <f>HLOOKUP(P428,データについて!$J$10:$M$18,9,FALSE)</f>
        <v>1</v>
      </c>
      <c r="X428" s="81">
        <f>HLOOKUP(Q428,データについて!$J$11:$M$18,8,FALSE)</f>
        <v>1</v>
      </c>
      <c r="Y428" s="81">
        <f>HLOOKUP(R428,データについて!$J$12:$M$18,7,FALSE)</f>
        <v>1</v>
      </c>
      <c r="Z428" s="81">
        <f>HLOOKUP(I428,データについて!$J$3:$M$18,16,FALSE)</f>
        <v>1</v>
      </c>
      <c r="AA428" s="81">
        <f>IFERROR(HLOOKUP(J428,データについて!$J$4:$AH$19,16,FALSE),"")</f>
        <v>3</v>
      </c>
      <c r="AB428" s="81" t="str">
        <f>IFERROR(HLOOKUP(K428,データについて!$J$5:$AH$20,14,FALSE),"")</f>
        <v/>
      </c>
      <c r="AC428" s="81">
        <f>IF(X428=1,HLOOKUP(R428,データについて!$J$12:$M$18,7,FALSE),"*")</f>
        <v>1</v>
      </c>
      <c r="AD428" s="81" t="str">
        <f>IF(X428=2,HLOOKUP(R428,データについて!$J$12:$M$18,7,FALSE),"*")</f>
        <v>*</v>
      </c>
    </row>
    <row r="429" spans="1:30">
      <c r="A429" s="30">
        <v>4763</v>
      </c>
      <c r="B429" s="30" t="s">
        <v>3873</v>
      </c>
      <c r="C429" s="30" t="s">
        <v>3874</v>
      </c>
      <c r="D429" s="30" t="s">
        <v>106</v>
      </c>
      <c r="E429" s="30"/>
      <c r="F429" s="30" t="s">
        <v>107</v>
      </c>
      <c r="G429" s="30" t="s">
        <v>106</v>
      </c>
      <c r="H429" s="30"/>
      <c r="I429" s="30" t="s">
        <v>192</v>
      </c>
      <c r="J429" s="30" t="s">
        <v>3847</v>
      </c>
      <c r="K429" s="30"/>
      <c r="L429" s="30" t="s">
        <v>108</v>
      </c>
      <c r="M429" s="30" t="s">
        <v>113</v>
      </c>
      <c r="N429" s="30" t="s">
        <v>114</v>
      </c>
      <c r="O429" s="30" t="s">
        <v>116</v>
      </c>
      <c r="P429" s="30" t="s">
        <v>112</v>
      </c>
      <c r="Q429" s="30" t="s">
        <v>112</v>
      </c>
      <c r="R429" s="30" t="s">
        <v>185</v>
      </c>
      <c r="S429" s="81">
        <f>HLOOKUP(L429,データについて!$J$6:$M$18,13,FALSE)</f>
        <v>1</v>
      </c>
      <c r="T429" s="81">
        <f>HLOOKUP(M429,データについて!$J$7:$M$18,12,FALSE)</f>
        <v>1</v>
      </c>
      <c r="U429" s="81">
        <f>HLOOKUP(N429,データについて!$J$8:$M$18,11,FALSE)</f>
        <v>1</v>
      </c>
      <c r="V429" s="81">
        <f>HLOOKUP(O429,データについて!$J$9:$M$18,10,FALSE)</f>
        <v>2</v>
      </c>
      <c r="W429" s="81">
        <f>HLOOKUP(P429,データについて!$J$10:$M$18,9,FALSE)</f>
        <v>1</v>
      </c>
      <c r="X429" s="81">
        <f>HLOOKUP(Q429,データについて!$J$11:$M$18,8,FALSE)</f>
        <v>1</v>
      </c>
      <c r="Y429" s="81">
        <f>HLOOKUP(R429,データについて!$J$12:$M$18,7,FALSE)</f>
        <v>2</v>
      </c>
      <c r="Z429" s="81">
        <f>HLOOKUP(I429,データについて!$J$3:$M$18,16,FALSE)</f>
        <v>1</v>
      </c>
      <c r="AA429" s="81">
        <f>IFERROR(HLOOKUP(J429,データについて!$J$4:$AH$19,16,FALSE),"")</f>
        <v>3</v>
      </c>
      <c r="AB429" s="81" t="str">
        <f>IFERROR(HLOOKUP(K429,データについて!$J$5:$AH$20,14,FALSE),"")</f>
        <v/>
      </c>
      <c r="AC429" s="81">
        <f>IF(X429=1,HLOOKUP(R429,データについて!$J$12:$M$18,7,FALSE),"*")</f>
        <v>2</v>
      </c>
      <c r="AD429" s="81" t="str">
        <f>IF(X429=2,HLOOKUP(R429,データについて!$J$12:$M$18,7,FALSE),"*")</f>
        <v>*</v>
      </c>
    </row>
    <row r="430" spans="1:30">
      <c r="A430" s="30">
        <v>4762</v>
      </c>
      <c r="B430" s="30" t="s">
        <v>3875</v>
      </c>
      <c r="C430" s="30" t="s">
        <v>3874</v>
      </c>
      <c r="D430" s="30" t="s">
        <v>106</v>
      </c>
      <c r="E430" s="30"/>
      <c r="F430" s="30" t="s">
        <v>107</v>
      </c>
      <c r="G430" s="30" t="s">
        <v>106</v>
      </c>
      <c r="H430" s="30"/>
      <c r="I430" s="30" t="s">
        <v>192</v>
      </c>
      <c r="J430" s="30" t="s">
        <v>3847</v>
      </c>
      <c r="K430" s="30"/>
      <c r="L430" s="30" t="s">
        <v>117</v>
      </c>
      <c r="M430" s="30" t="s">
        <v>113</v>
      </c>
      <c r="N430" s="30" t="s">
        <v>114</v>
      </c>
      <c r="O430" s="30" t="s">
        <v>115</v>
      </c>
      <c r="P430" s="30" t="s">
        <v>112</v>
      </c>
      <c r="Q430" s="30" t="s">
        <v>112</v>
      </c>
      <c r="R430" s="30" t="s">
        <v>183</v>
      </c>
      <c r="S430" s="81">
        <f>HLOOKUP(L430,データについて!$J$6:$M$18,13,FALSE)</f>
        <v>2</v>
      </c>
      <c r="T430" s="81">
        <f>HLOOKUP(M430,データについて!$J$7:$M$18,12,FALSE)</f>
        <v>1</v>
      </c>
      <c r="U430" s="81">
        <f>HLOOKUP(N430,データについて!$J$8:$M$18,11,FALSE)</f>
        <v>1</v>
      </c>
      <c r="V430" s="81">
        <f>HLOOKUP(O430,データについて!$J$9:$M$18,10,FALSE)</f>
        <v>1</v>
      </c>
      <c r="W430" s="81">
        <f>HLOOKUP(P430,データについて!$J$10:$M$18,9,FALSE)</f>
        <v>1</v>
      </c>
      <c r="X430" s="81">
        <f>HLOOKUP(Q430,データについて!$J$11:$M$18,8,FALSE)</f>
        <v>1</v>
      </c>
      <c r="Y430" s="81">
        <f>HLOOKUP(R430,データについて!$J$12:$M$18,7,FALSE)</f>
        <v>1</v>
      </c>
      <c r="Z430" s="81">
        <f>HLOOKUP(I430,データについて!$J$3:$M$18,16,FALSE)</f>
        <v>1</v>
      </c>
      <c r="AA430" s="81">
        <f>IFERROR(HLOOKUP(J430,データについて!$J$4:$AH$19,16,FALSE),"")</f>
        <v>3</v>
      </c>
      <c r="AB430" s="81" t="str">
        <f>IFERROR(HLOOKUP(K430,データについて!$J$5:$AH$20,14,FALSE),"")</f>
        <v/>
      </c>
      <c r="AC430" s="81">
        <f>IF(X430=1,HLOOKUP(R430,データについて!$J$12:$M$18,7,FALSE),"*")</f>
        <v>1</v>
      </c>
      <c r="AD430" s="81" t="str">
        <f>IF(X430=2,HLOOKUP(R430,データについて!$J$12:$M$18,7,FALSE),"*")</f>
        <v>*</v>
      </c>
    </row>
    <row r="431" spans="1:30">
      <c r="A431" s="30">
        <v>4761</v>
      </c>
      <c r="B431" s="30" t="s">
        <v>3876</v>
      </c>
      <c r="C431" s="30" t="s">
        <v>3877</v>
      </c>
      <c r="D431" s="30" t="s">
        <v>106</v>
      </c>
      <c r="E431" s="30"/>
      <c r="F431" s="30" t="s">
        <v>107</v>
      </c>
      <c r="G431" s="30" t="s">
        <v>106</v>
      </c>
      <c r="H431" s="30"/>
      <c r="I431" s="30" t="s">
        <v>192</v>
      </c>
      <c r="J431" s="30" t="s">
        <v>3847</v>
      </c>
      <c r="K431" s="30"/>
      <c r="L431" s="30" t="s">
        <v>117</v>
      </c>
      <c r="M431" s="30" t="s">
        <v>113</v>
      </c>
      <c r="N431" s="30" t="s">
        <v>114</v>
      </c>
      <c r="O431" s="30" t="s">
        <v>115</v>
      </c>
      <c r="P431" s="30" t="s">
        <v>112</v>
      </c>
      <c r="Q431" s="30" t="s">
        <v>112</v>
      </c>
      <c r="R431" s="30" t="s">
        <v>183</v>
      </c>
      <c r="S431" s="81">
        <f>HLOOKUP(L431,データについて!$J$6:$M$18,13,FALSE)</f>
        <v>2</v>
      </c>
      <c r="T431" s="81">
        <f>HLOOKUP(M431,データについて!$J$7:$M$18,12,FALSE)</f>
        <v>1</v>
      </c>
      <c r="U431" s="81">
        <f>HLOOKUP(N431,データについて!$J$8:$M$18,11,FALSE)</f>
        <v>1</v>
      </c>
      <c r="V431" s="81">
        <f>HLOOKUP(O431,データについて!$J$9:$M$18,10,FALSE)</f>
        <v>1</v>
      </c>
      <c r="W431" s="81">
        <f>HLOOKUP(P431,データについて!$J$10:$M$18,9,FALSE)</f>
        <v>1</v>
      </c>
      <c r="X431" s="81">
        <f>HLOOKUP(Q431,データについて!$J$11:$M$18,8,FALSE)</f>
        <v>1</v>
      </c>
      <c r="Y431" s="81">
        <f>HLOOKUP(R431,データについて!$J$12:$M$18,7,FALSE)</f>
        <v>1</v>
      </c>
      <c r="Z431" s="81">
        <f>HLOOKUP(I431,データについて!$J$3:$M$18,16,FALSE)</f>
        <v>1</v>
      </c>
      <c r="AA431" s="81">
        <f>IFERROR(HLOOKUP(J431,データについて!$J$4:$AH$19,16,FALSE),"")</f>
        <v>3</v>
      </c>
      <c r="AB431" s="81" t="str">
        <f>IFERROR(HLOOKUP(K431,データについて!$J$5:$AH$20,14,FALSE),"")</f>
        <v/>
      </c>
      <c r="AC431" s="81">
        <f>IF(X431=1,HLOOKUP(R431,データについて!$J$12:$M$18,7,FALSE),"*")</f>
        <v>1</v>
      </c>
      <c r="AD431" s="81" t="str">
        <f>IF(X431=2,HLOOKUP(R431,データについて!$J$12:$M$18,7,FALSE),"*")</f>
        <v>*</v>
      </c>
    </row>
    <row r="432" spans="1:30">
      <c r="A432" s="30">
        <v>4760</v>
      </c>
      <c r="B432" s="30" t="s">
        <v>3878</v>
      </c>
      <c r="C432" s="30" t="s">
        <v>3877</v>
      </c>
      <c r="D432" s="30" t="s">
        <v>106</v>
      </c>
      <c r="E432" s="30"/>
      <c r="F432" s="30" t="s">
        <v>107</v>
      </c>
      <c r="G432" s="30" t="s">
        <v>106</v>
      </c>
      <c r="H432" s="30"/>
      <c r="I432" s="30" t="s">
        <v>192</v>
      </c>
      <c r="J432" s="30" t="s">
        <v>3847</v>
      </c>
      <c r="K432" s="30"/>
      <c r="L432" s="30" t="s">
        <v>117</v>
      </c>
      <c r="M432" s="30" t="s">
        <v>109</v>
      </c>
      <c r="N432" s="30" t="s">
        <v>114</v>
      </c>
      <c r="O432" s="30" t="s">
        <v>115</v>
      </c>
      <c r="P432" s="30" t="s">
        <v>112</v>
      </c>
      <c r="Q432" s="30" t="s">
        <v>112</v>
      </c>
      <c r="R432" s="30" t="s">
        <v>185</v>
      </c>
      <c r="S432" s="81">
        <f>HLOOKUP(L432,データについて!$J$6:$M$18,13,FALSE)</f>
        <v>2</v>
      </c>
      <c r="T432" s="81">
        <f>HLOOKUP(M432,データについて!$J$7:$M$18,12,FALSE)</f>
        <v>2</v>
      </c>
      <c r="U432" s="81">
        <f>HLOOKUP(N432,データについて!$J$8:$M$18,11,FALSE)</f>
        <v>1</v>
      </c>
      <c r="V432" s="81">
        <f>HLOOKUP(O432,データについて!$J$9:$M$18,10,FALSE)</f>
        <v>1</v>
      </c>
      <c r="W432" s="81">
        <f>HLOOKUP(P432,データについて!$J$10:$M$18,9,FALSE)</f>
        <v>1</v>
      </c>
      <c r="X432" s="81">
        <f>HLOOKUP(Q432,データについて!$J$11:$M$18,8,FALSE)</f>
        <v>1</v>
      </c>
      <c r="Y432" s="81">
        <f>HLOOKUP(R432,データについて!$J$12:$M$18,7,FALSE)</f>
        <v>2</v>
      </c>
      <c r="Z432" s="81">
        <f>HLOOKUP(I432,データについて!$J$3:$M$18,16,FALSE)</f>
        <v>1</v>
      </c>
      <c r="AA432" s="81">
        <f>IFERROR(HLOOKUP(J432,データについて!$J$4:$AH$19,16,FALSE),"")</f>
        <v>3</v>
      </c>
      <c r="AB432" s="81" t="str">
        <f>IFERROR(HLOOKUP(K432,データについて!$J$5:$AH$20,14,FALSE),"")</f>
        <v/>
      </c>
      <c r="AC432" s="81">
        <f>IF(X432=1,HLOOKUP(R432,データについて!$J$12:$M$18,7,FALSE),"*")</f>
        <v>2</v>
      </c>
      <c r="AD432" s="81" t="str">
        <f>IF(X432=2,HLOOKUP(R432,データについて!$J$12:$M$18,7,FALSE),"*")</f>
        <v>*</v>
      </c>
    </row>
    <row r="433" spans="1:30">
      <c r="A433" s="30">
        <v>4759</v>
      </c>
      <c r="B433" s="30" t="s">
        <v>3879</v>
      </c>
      <c r="C433" s="30" t="s">
        <v>3877</v>
      </c>
      <c r="D433" s="30" t="s">
        <v>106</v>
      </c>
      <c r="E433" s="30"/>
      <c r="F433" s="30" t="s">
        <v>107</v>
      </c>
      <c r="G433" s="30" t="s">
        <v>106</v>
      </c>
      <c r="H433" s="30"/>
      <c r="I433" s="30" t="s">
        <v>192</v>
      </c>
      <c r="J433" s="30" t="s">
        <v>3847</v>
      </c>
      <c r="K433" s="30"/>
      <c r="L433" s="30" t="s">
        <v>108</v>
      </c>
      <c r="M433" s="30" t="s">
        <v>113</v>
      </c>
      <c r="N433" s="30" t="s">
        <v>114</v>
      </c>
      <c r="O433" s="30" t="s">
        <v>111</v>
      </c>
      <c r="P433" s="30" t="s">
        <v>112</v>
      </c>
      <c r="Q433" s="30" t="s">
        <v>112</v>
      </c>
      <c r="R433" s="30" t="s">
        <v>187</v>
      </c>
      <c r="S433" s="81">
        <f>HLOOKUP(L433,データについて!$J$6:$M$18,13,FALSE)</f>
        <v>1</v>
      </c>
      <c r="T433" s="81">
        <f>HLOOKUP(M433,データについて!$J$7:$M$18,12,FALSE)</f>
        <v>1</v>
      </c>
      <c r="U433" s="81">
        <f>HLOOKUP(N433,データについて!$J$8:$M$18,11,FALSE)</f>
        <v>1</v>
      </c>
      <c r="V433" s="81">
        <f>HLOOKUP(O433,データについて!$J$9:$M$18,10,FALSE)</f>
        <v>3</v>
      </c>
      <c r="W433" s="81">
        <f>HLOOKUP(P433,データについて!$J$10:$M$18,9,FALSE)</f>
        <v>1</v>
      </c>
      <c r="X433" s="81">
        <f>HLOOKUP(Q433,データについて!$J$11:$M$18,8,FALSE)</f>
        <v>1</v>
      </c>
      <c r="Y433" s="81">
        <f>HLOOKUP(R433,データについて!$J$12:$M$18,7,FALSE)</f>
        <v>3</v>
      </c>
      <c r="Z433" s="81">
        <f>HLOOKUP(I433,データについて!$J$3:$M$18,16,FALSE)</f>
        <v>1</v>
      </c>
      <c r="AA433" s="81">
        <f>IFERROR(HLOOKUP(J433,データについて!$J$4:$AH$19,16,FALSE),"")</f>
        <v>3</v>
      </c>
      <c r="AB433" s="81" t="str">
        <f>IFERROR(HLOOKUP(K433,データについて!$J$5:$AH$20,14,FALSE),"")</f>
        <v/>
      </c>
      <c r="AC433" s="81">
        <f>IF(X433=1,HLOOKUP(R433,データについて!$J$12:$M$18,7,FALSE),"*")</f>
        <v>3</v>
      </c>
      <c r="AD433" s="81" t="str">
        <f>IF(X433=2,HLOOKUP(R433,データについて!$J$12:$M$18,7,FALSE),"*")</f>
        <v>*</v>
      </c>
    </row>
    <row r="434" spans="1:30">
      <c r="A434" s="30">
        <v>4758</v>
      </c>
      <c r="B434" s="30" t="s">
        <v>3880</v>
      </c>
      <c r="C434" s="30" t="s">
        <v>3881</v>
      </c>
      <c r="D434" s="30" t="s">
        <v>106</v>
      </c>
      <c r="E434" s="30"/>
      <c r="F434" s="30" t="s">
        <v>107</v>
      </c>
      <c r="G434" s="30" t="s">
        <v>106</v>
      </c>
      <c r="H434" s="30"/>
      <c r="I434" s="30" t="s">
        <v>192</v>
      </c>
      <c r="J434" s="30" t="s">
        <v>3847</v>
      </c>
      <c r="K434" s="30"/>
      <c r="L434" s="30" t="s">
        <v>108</v>
      </c>
      <c r="M434" s="30" t="s">
        <v>113</v>
      </c>
      <c r="N434" s="30" t="s">
        <v>110</v>
      </c>
      <c r="O434" s="30" t="s">
        <v>115</v>
      </c>
      <c r="P434" s="30" t="s">
        <v>112</v>
      </c>
      <c r="Q434" s="30" t="s">
        <v>112</v>
      </c>
      <c r="R434" s="30" t="s">
        <v>185</v>
      </c>
      <c r="S434" s="81">
        <f>HLOOKUP(L434,データについて!$J$6:$M$18,13,FALSE)</f>
        <v>1</v>
      </c>
      <c r="T434" s="81">
        <f>HLOOKUP(M434,データについて!$J$7:$M$18,12,FALSE)</f>
        <v>1</v>
      </c>
      <c r="U434" s="81">
        <f>HLOOKUP(N434,データについて!$J$8:$M$18,11,FALSE)</f>
        <v>2</v>
      </c>
      <c r="V434" s="81">
        <f>HLOOKUP(O434,データについて!$J$9:$M$18,10,FALSE)</f>
        <v>1</v>
      </c>
      <c r="W434" s="81">
        <f>HLOOKUP(P434,データについて!$J$10:$M$18,9,FALSE)</f>
        <v>1</v>
      </c>
      <c r="X434" s="81">
        <f>HLOOKUP(Q434,データについて!$J$11:$M$18,8,FALSE)</f>
        <v>1</v>
      </c>
      <c r="Y434" s="81">
        <f>HLOOKUP(R434,データについて!$J$12:$M$18,7,FALSE)</f>
        <v>2</v>
      </c>
      <c r="Z434" s="81">
        <f>HLOOKUP(I434,データについて!$J$3:$M$18,16,FALSE)</f>
        <v>1</v>
      </c>
      <c r="AA434" s="81">
        <f>IFERROR(HLOOKUP(J434,データについて!$J$4:$AH$19,16,FALSE),"")</f>
        <v>3</v>
      </c>
      <c r="AB434" s="81" t="str">
        <f>IFERROR(HLOOKUP(K434,データについて!$J$5:$AH$20,14,FALSE),"")</f>
        <v/>
      </c>
      <c r="AC434" s="81">
        <f>IF(X434=1,HLOOKUP(R434,データについて!$J$12:$M$18,7,FALSE),"*")</f>
        <v>2</v>
      </c>
      <c r="AD434" s="81" t="str">
        <f>IF(X434=2,HLOOKUP(R434,データについて!$J$12:$M$18,7,FALSE),"*")</f>
        <v>*</v>
      </c>
    </row>
    <row r="435" spans="1:30">
      <c r="A435" s="30">
        <v>4757</v>
      </c>
      <c r="B435" s="30" t="s">
        <v>3882</v>
      </c>
      <c r="C435" s="30" t="s">
        <v>3883</v>
      </c>
      <c r="D435" s="30" t="s">
        <v>106</v>
      </c>
      <c r="E435" s="30"/>
      <c r="F435" s="30" t="s">
        <v>107</v>
      </c>
      <c r="G435" s="30" t="s">
        <v>106</v>
      </c>
      <c r="H435" s="30"/>
      <c r="I435" s="30" t="s">
        <v>192</v>
      </c>
      <c r="J435" s="30" t="s">
        <v>3847</v>
      </c>
      <c r="K435" s="30"/>
      <c r="L435" s="30" t="s">
        <v>108</v>
      </c>
      <c r="M435" s="30" t="s">
        <v>113</v>
      </c>
      <c r="N435" s="30" t="s">
        <v>110</v>
      </c>
      <c r="O435" s="30" t="s">
        <v>115</v>
      </c>
      <c r="P435" s="30" t="s">
        <v>112</v>
      </c>
      <c r="Q435" s="30" t="s">
        <v>112</v>
      </c>
      <c r="R435" s="30" t="s">
        <v>183</v>
      </c>
      <c r="S435" s="81">
        <f>HLOOKUP(L435,データについて!$J$6:$M$18,13,FALSE)</f>
        <v>1</v>
      </c>
      <c r="T435" s="81">
        <f>HLOOKUP(M435,データについて!$J$7:$M$18,12,FALSE)</f>
        <v>1</v>
      </c>
      <c r="U435" s="81">
        <f>HLOOKUP(N435,データについて!$J$8:$M$18,11,FALSE)</f>
        <v>2</v>
      </c>
      <c r="V435" s="81">
        <f>HLOOKUP(O435,データについて!$J$9:$M$18,10,FALSE)</f>
        <v>1</v>
      </c>
      <c r="W435" s="81">
        <f>HLOOKUP(P435,データについて!$J$10:$M$18,9,FALSE)</f>
        <v>1</v>
      </c>
      <c r="X435" s="81">
        <f>HLOOKUP(Q435,データについて!$J$11:$M$18,8,FALSE)</f>
        <v>1</v>
      </c>
      <c r="Y435" s="81">
        <f>HLOOKUP(R435,データについて!$J$12:$M$18,7,FALSE)</f>
        <v>1</v>
      </c>
      <c r="Z435" s="81">
        <f>HLOOKUP(I435,データについて!$J$3:$M$18,16,FALSE)</f>
        <v>1</v>
      </c>
      <c r="AA435" s="81">
        <f>IFERROR(HLOOKUP(J435,データについて!$J$4:$AH$19,16,FALSE),"")</f>
        <v>3</v>
      </c>
      <c r="AB435" s="81" t="str">
        <f>IFERROR(HLOOKUP(K435,データについて!$J$5:$AH$20,14,FALSE),"")</f>
        <v/>
      </c>
      <c r="AC435" s="81">
        <f>IF(X435=1,HLOOKUP(R435,データについて!$J$12:$M$18,7,FALSE),"*")</f>
        <v>1</v>
      </c>
      <c r="AD435" s="81" t="str">
        <f>IF(X435=2,HLOOKUP(R435,データについて!$J$12:$M$18,7,FALSE),"*")</f>
        <v>*</v>
      </c>
    </row>
    <row r="436" spans="1:30">
      <c r="A436" s="30">
        <v>4756</v>
      </c>
      <c r="B436" s="30" t="s">
        <v>3884</v>
      </c>
      <c r="C436" s="30" t="s">
        <v>3885</v>
      </c>
      <c r="D436" s="30" t="s">
        <v>106</v>
      </c>
      <c r="E436" s="30"/>
      <c r="F436" s="30" t="s">
        <v>107</v>
      </c>
      <c r="G436" s="30" t="s">
        <v>106</v>
      </c>
      <c r="H436" s="30"/>
      <c r="I436" s="30" t="s">
        <v>192</v>
      </c>
      <c r="J436" s="30" t="s">
        <v>3847</v>
      </c>
      <c r="K436" s="30"/>
      <c r="L436" s="30" t="s">
        <v>108</v>
      </c>
      <c r="M436" s="30" t="s">
        <v>113</v>
      </c>
      <c r="N436" s="30" t="s">
        <v>110</v>
      </c>
      <c r="O436" s="30" t="s">
        <v>115</v>
      </c>
      <c r="P436" s="30" t="s">
        <v>112</v>
      </c>
      <c r="Q436" s="30" t="s">
        <v>112</v>
      </c>
      <c r="R436" s="30" t="s">
        <v>183</v>
      </c>
      <c r="S436" s="81">
        <f>HLOOKUP(L436,データについて!$J$6:$M$18,13,FALSE)</f>
        <v>1</v>
      </c>
      <c r="T436" s="81">
        <f>HLOOKUP(M436,データについて!$J$7:$M$18,12,FALSE)</f>
        <v>1</v>
      </c>
      <c r="U436" s="81">
        <f>HLOOKUP(N436,データについて!$J$8:$M$18,11,FALSE)</f>
        <v>2</v>
      </c>
      <c r="V436" s="81">
        <f>HLOOKUP(O436,データについて!$J$9:$M$18,10,FALSE)</f>
        <v>1</v>
      </c>
      <c r="W436" s="81">
        <f>HLOOKUP(P436,データについて!$J$10:$M$18,9,FALSE)</f>
        <v>1</v>
      </c>
      <c r="X436" s="81">
        <f>HLOOKUP(Q436,データについて!$J$11:$M$18,8,FALSE)</f>
        <v>1</v>
      </c>
      <c r="Y436" s="81">
        <f>HLOOKUP(R436,データについて!$J$12:$M$18,7,FALSE)</f>
        <v>1</v>
      </c>
      <c r="Z436" s="81">
        <f>HLOOKUP(I436,データについて!$J$3:$M$18,16,FALSE)</f>
        <v>1</v>
      </c>
      <c r="AA436" s="81">
        <f>IFERROR(HLOOKUP(J436,データについて!$J$4:$AH$19,16,FALSE),"")</f>
        <v>3</v>
      </c>
      <c r="AB436" s="81" t="str">
        <f>IFERROR(HLOOKUP(K436,データについて!$J$5:$AH$20,14,FALSE),"")</f>
        <v/>
      </c>
      <c r="AC436" s="81">
        <f>IF(X436=1,HLOOKUP(R436,データについて!$J$12:$M$18,7,FALSE),"*")</f>
        <v>1</v>
      </c>
      <c r="AD436" s="81" t="str">
        <f>IF(X436=2,HLOOKUP(R436,データについて!$J$12:$M$18,7,FALSE),"*")</f>
        <v>*</v>
      </c>
    </row>
    <row r="437" spans="1:30">
      <c r="A437" s="30">
        <v>4755</v>
      </c>
      <c r="B437" s="30" t="s">
        <v>3886</v>
      </c>
      <c r="C437" s="30" t="s">
        <v>3887</v>
      </c>
      <c r="D437" s="30" t="s">
        <v>106</v>
      </c>
      <c r="E437" s="30"/>
      <c r="F437" s="30" t="s">
        <v>107</v>
      </c>
      <c r="G437" s="30" t="s">
        <v>106</v>
      </c>
      <c r="H437" s="30"/>
      <c r="I437" s="30" t="s">
        <v>192</v>
      </c>
      <c r="J437" s="30" t="s">
        <v>630</v>
      </c>
      <c r="K437" s="30"/>
      <c r="L437" s="30" t="s">
        <v>108</v>
      </c>
      <c r="M437" s="30" t="s">
        <v>113</v>
      </c>
      <c r="N437" s="30" t="s">
        <v>114</v>
      </c>
      <c r="O437" s="30" t="s">
        <v>115</v>
      </c>
      <c r="P437" s="30" t="s">
        <v>112</v>
      </c>
      <c r="Q437" s="30" t="s">
        <v>112</v>
      </c>
      <c r="R437" s="30" t="s">
        <v>183</v>
      </c>
      <c r="S437" s="81">
        <f>HLOOKUP(L437,データについて!$J$6:$M$18,13,FALSE)</f>
        <v>1</v>
      </c>
      <c r="T437" s="81">
        <f>HLOOKUP(M437,データについて!$J$7:$M$18,12,FALSE)</f>
        <v>1</v>
      </c>
      <c r="U437" s="81">
        <f>HLOOKUP(N437,データについて!$J$8:$M$18,11,FALSE)</f>
        <v>1</v>
      </c>
      <c r="V437" s="81">
        <f>HLOOKUP(O437,データについて!$J$9:$M$18,10,FALSE)</f>
        <v>1</v>
      </c>
      <c r="W437" s="81">
        <f>HLOOKUP(P437,データについて!$J$10:$M$18,9,FALSE)</f>
        <v>1</v>
      </c>
      <c r="X437" s="81">
        <f>HLOOKUP(Q437,データについて!$J$11:$M$18,8,FALSE)</f>
        <v>1</v>
      </c>
      <c r="Y437" s="81">
        <f>HLOOKUP(R437,データについて!$J$12:$M$18,7,FALSE)</f>
        <v>1</v>
      </c>
      <c r="Z437" s="81">
        <f>HLOOKUP(I437,データについて!$J$3:$M$18,16,FALSE)</f>
        <v>1</v>
      </c>
      <c r="AA437" s="81">
        <f>IFERROR(HLOOKUP(J437,データについて!$J$4:$AH$19,16,FALSE),"")</f>
        <v>4</v>
      </c>
      <c r="AB437" s="81" t="str">
        <f>IFERROR(HLOOKUP(K437,データについて!$J$5:$AH$20,14,FALSE),"")</f>
        <v/>
      </c>
      <c r="AC437" s="81">
        <f>IF(X437=1,HLOOKUP(R437,データについて!$J$12:$M$18,7,FALSE),"*")</f>
        <v>1</v>
      </c>
      <c r="AD437" s="81" t="str">
        <f>IF(X437=2,HLOOKUP(R437,データについて!$J$12:$M$18,7,FALSE),"*")</f>
        <v>*</v>
      </c>
    </row>
    <row r="438" spans="1:30">
      <c r="A438" s="30">
        <v>4754</v>
      </c>
      <c r="B438" s="30" t="s">
        <v>3888</v>
      </c>
      <c r="C438" s="30" t="s">
        <v>3889</v>
      </c>
      <c r="D438" s="30" t="s">
        <v>106</v>
      </c>
      <c r="E438" s="30"/>
      <c r="F438" s="30" t="s">
        <v>107</v>
      </c>
      <c r="G438" s="30" t="s">
        <v>106</v>
      </c>
      <c r="H438" s="30"/>
      <c r="I438" s="30" t="s">
        <v>191</v>
      </c>
      <c r="J438" s="30"/>
      <c r="K438" s="30" t="s">
        <v>126</v>
      </c>
      <c r="L438" s="30" t="s">
        <v>108</v>
      </c>
      <c r="M438" s="30" t="s">
        <v>109</v>
      </c>
      <c r="N438" s="30" t="s">
        <v>114</v>
      </c>
      <c r="O438" s="30" t="s">
        <v>115</v>
      </c>
      <c r="P438" s="30" t="s">
        <v>118</v>
      </c>
      <c r="Q438" s="30" t="s">
        <v>118</v>
      </c>
      <c r="R438" s="30" t="s">
        <v>185</v>
      </c>
      <c r="S438" s="81">
        <f>HLOOKUP(L438,データについて!$J$6:$M$18,13,FALSE)</f>
        <v>1</v>
      </c>
      <c r="T438" s="81">
        <f>HLOOKUP(M438,データについて!$J$7:$M$18,12,FALSE)</f>
        <v>2</v>
      </c>
      <c r="U438" s="81">
        <f>HLOOKUP(N438,データについて!$J$8:$M$18,11,FALSE)</f>
        <v>1</v>
      </c>
      <c r="V438" s="81">
        <f>HLOOKUP(O438,データについて!$J$9:$M$18,10,FALSE)</f>
        <v>1</v>
      </c>
      <c r="W438" s="81">
        <f>HLOOKUP(P438,データについて!$J$10:$M$18,9,FALSE)</f>
        <v>2</v>
      </c>
      <c r="X438" s="81">
        <f>HLOOKUP(Q438,データについて!$J$11:$M$18,8,FALSE)</f>
        <v>2</v>
      </c>
      <c r="Y438" s="81">
        <f>HLOOKUP(R438,データについて!$J$12:$M$18,7,FALSE)</f>
        <v>2</v>
      </c>
      <c r="Z438" s="81">
        <f>HLOOKUP(I438,データについて!$J$3:$M$18,16,FALSE)</f>
        <v>2</v>
      </c>
      <c r="AA438" s="81" t="str">
        <f>IFERROR(HLOOKUP(J438,データについて!$J$4:$AH$19,16,FALSE),"")</f>
        <v/>
      </c>
      <c r="AB438" s="81">
        <f>IFERROR(HLOOKUP(K438,データについて!$J$5:$AH$20,14,FALSE),"")</f>
        <v>0</v>
      </c>
      <c r="AC438" s="81" t="str">
        <f>IF(X438=1,HLOOKUP(R438,データについて!$J$12:$M$18,7,FALSE),"*")</f>
        <v>*</v>
      </c>
      <c r="AD438" s="81">
        <f>IF(X438=2,HLOOKUP(R438,データについて!$J$12:$M$18,7,FALSE),"*")</f>
        <v>2</v>
      </c>
    </row>
    <row r="439" spans="1:30">
      <c r="A439" s="30">
        <v>4753</v>
      </c>
      <c r="B439" s="30" t="s">
        <v>3890</v>
      </c>
      <c r="C439" s="30" t="s">
        <v>3891</v>
      </c>
      <c r="D439" s="30" t="s">
        <v>106</v>
      </c>
      <c r="E439" s="30"/>
      <c r="F439" s="30" t="s">
        <v>107</v>
      </c>
      <c r="G439" s="30" t="s">
        <v>106</v>
      </c>
      <c r="H439" s="30"/>
      <c r="I439" s="30" t="s">
        <v>191</v>
      </c>
      <c r="J439" s="30"/>
      <c r="K439" s="30" t="s">
        <v>126</v>
      </c>
      <c r="L439" s="30" t="s">
        <v>108</v>
      </c>
      <c r="M439" s="30" t="s">
        <v>113</v>
      </c>
      <c r="N439" s="30" t="s">
        <v>114</v>
      </c>
      <c r="O439" s="30" t="s">
        <v>115</v>
      </c>
      <c r="P439" s="30" t="s">
        <v>118</v>
      </c>
      <c r="Q439" s="30" t="s">
        <v>112</v>
      </c>
      <c r="R439" s="30" t="s">
        <v>183</v>
      </c>
      <c r="S439" s="81">
        <f>HLOOKUP(L439,データについて!$J$6:$M$18,13,FALSE)</f>
        <v>1</v>
      </c>
      <c r="T439" s="81">
        <f>HLOOKUP(M439,データについて!$J$7:$M$18,12,FALSE)</f>
        <v>1</v>
      </c>
      <c r="U439" s="81">
        <f>HLOOKUP(N439,データについて!$J$8:$M$18,11,FALSE)</f>
        <v>1</v>
      </c>
      <c r="V439" s="81">
        <f>HLOOKUP(O439,データについて!$J$9:$M$18,10,FALSE)</f>
        <v>1</v>
      </c>
      <c r="W439" s="81">
        <f>HLOOKUP(P439,データについて!$J$10:$M$18,9,FALSE)</f>
        <v>2</v>
      </c>
      <c r="X439" s="81">
        <f>HLOOKUP(Q439,データについて!$J$11:$M$18,8,FALSE)</f>
        <v>1</v>
      </c>
      <c r="Y439" s="81">
        <f>HLOOKUP(R439,データについて!$J$12:$M$18,7,FALSE)</f>
        <v>1</v>
      </c>
      <c r="Z439" s="81">
        <f>HLOOKUP(I439,データについて!$J$3:$M$18,16,FALSE)</f>
        <v>2</v>
      </c>
      <c r="AA439" s="81" t="str">
        <f>IFERROR(HLOOKUP(J439,データについて!$J$4:$AH$19,16,FALSE),"")</f>
        <v/>
      </c>
      <c r="AB439" s="81">
        <f>IFERROR(HLOOKUP(K439,データについて!$J$5:$AH$20,14,FALSE),"")</f>
        <v>0</v>
      </c>
      <c r="AC439" s="81">
        <f>IF(X439=1,HLOOKUP(R439,データについて!$J$12:$M$18,7,FALSE),"*")</f>
        <v>1</v>
      </c>
      <c r="AD439" s="81" t="str">
        <f>IF(X439=2,HLOOKUP(R439,データについて!$J$12:$M$18,7,FALSE),"*")</f>
        <v>*</v>
      </c>
    </row>
    <row r="440" spans="1:30">
      <c r="A440" s="30">
        <v>4752</v>
      </c>
      <c r="B440" s="30" t="s">
        <v>3892</v>
      </c>
      <c r="C440" s="30" t="s">
        <v>3893</v>
      </c>
      <c r="D440" s="30" t="s">
        <v>106</v>
      </c>
      <c r="E440" s="30"/>
      <c r="F440" s="30" t="s">
        <v>107</v>
      </c>
      <c r="G440" s="30" t="s">
        <v>106</v>
      </c>
      <c r="H440" s="30"/>
      <c r="I440" s="30" t="s">
        <v>191</v>
      </c>
      <c r="J440" s="30"/>
      <c r="K440" s="30" t="s">
        <v>126</v>
      </c>
      <c r="L440" s="30" t="s">
        <v>117</v>
      </c>
      <c r="M440" s="30" t="s">
        <v>113</v>
      </c>
      <c r="N440" s="30" t="s">
        <v>110</v>
      </c>
      <c r="O440" s="30" t="s">
        <v>115</v>
      </c>
      <c r="P440" s="30" t="s">
        <v>118</v>
      </c>
      <c r="Q440" s="30" t="s">
        <v>112</v>
      </c>
      <c r="R440" s="30" t="s">
        <v>183</v>
      </c>
      <c r="S440" s="81">
        <f>HLOOKUP(L440,データについて!$J$6:$M$18,13,FALSE)</f>
        <v>2</v>
      </c>
      <c r="T440" s="81">
        <f>HLOOKUP(M440,データについて!$J$7:$M$18,12,FALSE)</f>
        <v>1</v>
      </c>
      <c r="U440" s="81">
        <f>HLOOKUP(N440,データについて!$J$8:$M$18,11,FALSE)</f>
        <v>2</v>
      </c>
      <c r="V440" s="81">
        <f>HLOOKUP(O440,データについて!$J$9:$M$18,10,FALSE)</f>
        <v>1</v>
      </c>
      <c r="W440" s="81">
        <f>HLOOKUP(P440,データについて!$J$10:$M$18,9,FALSE)</f>
        <v>2</v>
      </c>
      <c r="X440" s="81">
        <f>HLOOKUP(Q440,データについて!$J$11:$M$18,8,FALSE)</f>
        <v>1</v>
      </c>
      <c r="Y440" s="81">
        <f>HLOOKUP(R440,データについて!$J$12:$M$18,7,FALSE)</f>
        <v>1</v>
      </c>
      <c r="Z440" s="81">
        <f>HLOOKUP(I440,データについて!$J$3:$M$18,16,FALSE)</f>
        <v>2</v>
      </c>
      <c r="AA440" s="81" t="str">
        <f>IFERROR(HLOOKUP(J440,データについて!$J$4:$AH$19,16,FALSE),"")</f>
        <v/>
      </c>
      <c r="AB440" s="81">
        <f>IFERROR(HLOOKUP(K440,データについて!$J$5:$AH$20,14,FALSE),"")</f>
        <v>0</v>
      </c>
      <c r="AC440" s="81">
        <f>IF(X440=1,HLOOKUP(R440,データについて!$J$12:$M$18,7,FALSE),"*")</f>
        <v>1</v>
      </c>
      <c r="AD440" s="81" t="str">
        <f>IF(X440=2,HLOOKUP(R440,データについて!$J$12:$M$18,7,FALSE),"*")</f>
        <v>*</v>
      </c>
    </row>
    <row r="441" spans="1:30">
      <c r="A441" s="30">
        <v>4751</v>
      </c>
      <c r="B441" s="30" t="s">
        <v>3894</v>
      </c>
      <c r="C441" s="30" t="s">
        <v>3895</v>
      </c>
      <c r="D441" s="30" t="s">
        <v>106</v>
      </c>
      <c r="E441" s="30"/>
      <c r="F441" s="30" t="s">
        <v>107</v>
      </c>
      <c r="G441" s="30" t="s">
        <v>106</v>
      </c>
      <c r="H441" s="30"/>
      <c r="I441" s="30" t="s">
        <v>191</v>
      </c>
      <c r="J441" s="30"/>
      <c r="K441" s="30" t="s">
        <v>126</v>
      </c>
      <c r="L441" s="30" t="s">
        <v>108</v>
      </c>
      <c r="M441" s="30" t="s">
        <v>113</v>
      </c>
      <c r="N441" s="30" t="s">
        <v>114</v>
      </c>
      <c r="O441" s="30" t="s">
        <v>115</v>
      </c>
      <c r="P441" s="30" t="s">
        <v>118</v>
      </c>
      <c r="Q441" s="30" t="s">
        <v>118</v>
      </c>
      <c r="R441" s="30" t="s">
        <v>183</v>
      </c>
      <c r="S441" s="81">
        <f>HLOOKUP(L441,データについて!$J$6:$M$18,13,FALSE)</f>
        <v>1</v>
      </c>
      <c r="T441" s="81">
        <f>HLOOKUP(M441,データについて!$J$7:$M$18,12,FALSE)</f>
        <v>1</v>
      </c>
      <c r="U441" s="81">
        <f>HLOOKUP(N441,データについて!$J$8:$M$18,11,FALSE)</f>
        <v>1</v>
      </c>
      <c r="V441" s="81">
        <f>HLOOKUP(O441,データについて!$J$9:$M$18,10,FALSE)</f>
        <v>1</v>
      </c>
      <c r="W441" s="81">
        <f>HLOOKUP(P441,データについて!$J$10:$M$18,9,FALSE)</f>
        <v>2</v>
      </c>
      <c r="X441" s="81">
        <f>HLOOKUP(Q441,データについて!$J$11:$M$18,8,FALSE)</f>
        <v>2</v>
      </c>
      <c r="Y441" s="81">
        <f>HLOOKUP(R441,データについて!$J$12:$M$18,7,FALSE)</f>
        <v>1</v>
      </c>
      <c r="Z441" s="81">
        <f>HLOOKUP(I441,データについて!$J$3:$M$18,16,FALSE)</f>
        <v>2</v>
      </c>
      <c r="AA441" s="81" t="str">
        <f>IFERROR(HLOOKUP(J441,データについて!$J$4:$AH$19,16,FALSE),"")</f>
        <v/>
      </c>
      <c r="AB441" s="81">
        <f>IFERROR(HLOOKUP(K441,データについて!$J$5:$AH$20,14,FALSE),"")</f>
        <v>0</v>
      </c>
      <c r="AC441" s="81" t="str">
        <f>IF(X441=1,HLOOKUP(R441,データについて!$J$12:$M$18,7,FALSE),"*")</f>
        <v>*</v>
      </c>
      <c r="AD441" s="81">
        <f>IF(X441=2,HLOOKUP(R441,データについて!$J$12:$M$18,7,FALSE),"*")</f>
        <v>1</v>
      </c>
    </row>
    <row r="442" spans="1:30">
      <c r="A442" s="30">
        <v>4750</v>
      </c>
      <c r="B442" s="30" t="s">
        <v>3896</v>
      </c>
      <c r="C442" s="30" t="s">
        <v>3897</v>
      </c>
      <c r="D442" s="30" t="s">
        <v>106</v>
      </c>
      <c r="E442" s="30"/>
      <c r="F442" s="30" t="s">
        <v>107</v>
      </c>
      <c r="G442" s="30" t="s">
        <v>106</v>
      </c>
      <c r="H442" s="30"/>
      <c r="I442" s="30" t="s">
        <v>191</v>
      </c>
      <c r="J442" s="30"/>
      <c r="K442" s="30" t="s">
        <v>126</v>
      </c>
      <c r="L442" s="30" t="s">
        <v>108</v>
      </c>
      <c r="M442" s="30" t="s">
        <v>109</v>
      </c>
      <c r="N442" s="30" t="s">
        <v>110</v>
      </c>
      <c r="O442" s="30" t="s">
        <v>115</v>
      </c>
      <c r="P442" s="30" t="s">
        <v>112</v>
      </c>
      <c r="Q442" s="30" t="s">
        <v>118</v>
      </c>
      <c r="R442" s="30" t="s">
        <v>187</v>
      </c>
      <c r="S442" s="81">
        <f>HLOOKUP(L442,データについて!$J$6:$M$18,13,FALSE)</f>
        <v>1</v>
      </c>
      <c r="T442" s="81">
        <f>HLOOKUP(M442,データについて!$J$7:$M$18,12,FALSE)</f>
        <v>2</v>
      </c>
      <c r="U442" s="81">
        <f>HLOOKUP(N442,データについて!$J$8:$M$18,11,FALSE)</f>
        <v>2</v>
      </c>
      <c r="V442" s="81">
        <f>HLOOKUP(O442,データについて!$J$9:$M$18,10,FALSE)</f>
        <v>1</v>
      </c>
      <c r="W442" s="81">
        <f>HLOOKUP(P442,データについて!$J$10:$M$18,9,FALSE)</f>
        <v>1</v>
      </c>
      <c r="X442" s="81">
        <f>HLOOKUP(Q442,データについて!$J$11:$M$18,8,FALSE)</f>
        <v>2</v>
      </c>
      <c r="Y442" s="81">
        <f>HLOOKUP(R442,データについて!$J$12:$M$18,7,FALSE)</f>
        <v>3</v>
      </c>
      <c r="Z442" s="81">
        <f>HLOOKUP(I442,データについて!$J$3:$M$18,16,FALSE)</f>
        <v>2</v>
      </c>
      <c r="AA442" s="81" t="str">
        <f>IFERROR(HLOOKUP(J442,データについて!$J$4:$AH$19,16,FALSE),"")</f>
        <v/>
      </c>
      <c r="AB442" s="81">
        <f>IFERROR(HLOOKUP(K442,データについて!$J$5:$AH$20,14,FALSE),"")</f>
        <v>0</v>
      </c>
      <c r="AC442" s="81" t="str">
        <f>IF(X442=1,HLOOKUP(R442,データについて!$J$12:$M$18,7,FALSE),"*")</f>
        <v>*</v>
      </c>
      <c r="AD442" s="81">
        <f>IF(X442=2,HLOOKUP(R442,データについて!$J$12:$M$18,7,FALSE),"*")</f>
        <v>3</v>
      </c>
    </row>
    <row r="443" spans="1:30">
      <c r="A443" s="30">
        <v>4749</v>
      </c>
      <c r="B443" s="30" t="s">
        <v>3898</v>
      </c>
      <c r="C443" s="30" t="s">
        <v>3899</v>
      </c>
      <c r="D443" s="30" t="s">
        <v>106</v>
      </c>
      <c r="E443" s="30"/>
      <c r="F443" s="30" t="s">
        <v>107</v>
      </c>
      <c r="G443" s="30" t="s">
        <v>106</v>
      </c>
      <c r="H443" s="30"/>
      <c r="I443" s="30" t="s">
        <v>191</v>
      </c>
      <c r="J443" s="30"/>
      <c r="K443" s="30" t="s">
        <v>126</v>
      </c>
      <c r="L443" s="30" t="s">
        <v>108</v>
      </c>
      <c r="M443" s="30" t="s">
        <v>113</v>
      </c>
      <c r="N443" s="30" t="s">
        <v>110</v>
      </c>
      <c r="O443" s="30" t="s">
        <v>123</v>
      </c>
      <c r="P443" s="30" t="s">
        <v>118</v>
      </c>
      <c r="Q443" s="30" t="s">
        <v>112</v>
      </c>
      <c r="R443" s="30" t="s">
        <v>187</v>
      </c>
      <c r="S443" s="81">
        <f>HLOOKUP(L443,データについて!$J$6:$M$18,13,FALSE)</f>
        <v>1</v>
      </c>
      <c r="T443" s="81">
        <f>HLOOKUP(M443,データについて!$J$7:$M$18,12,FALSE)</f>
        <v>1</v>
      </c>
      <c r="U443" s="81">
        <f>HLOOKUP(N443,データについて!$J$8:$M$18,11,FALSE)</f>
        <v>2</v>
      </c>
      <c r="V443" s="81">
        <f>HLOOKUP(O443,データについて!$J$9:$M$18,10,FALSE)</f>
        <v>4</v>
      </c>
      <c r="W443" s="81">
        <f>HLOOKUP(P443,データについて!$J$10:$M$18,9,FALSE)</f>
        <v>2</v>
      </c>
      <c r="X443" s="81">
        <f>HLOOKUP(Q443,データについて!$J$11:$M$18,8,FALSE)</f>
        <v>1</v>
      </c>
      <c r="Y443" s="81">
        <f>HLOOKUP(R443,データについて!$J$12:$M$18,7,FALSE)</f>
        <v>3</v>
      </c>
      <c r="Z443" s="81">
        <f>HLOOKUP(I443,データについて!$J$3:$M$18,16,FALSE)</f>
        <v>2</v>
      </c>
      <c r="AA443" s="81" t="str">
        <f>IFERROR(HLOOKUP(J443,データについて!$J$4:$AH$19,16,FALSE),"")</f>
        <v/>
      </c>
      <c r="AB443" s="81">
        <f>IFERROR(HLOOKUP(K443,データについて!$J$5:$AH$20,14,FALSE),"")</f>
        <v>0</v>
      </c>
      <c r="AC443" s="81">
        <f>IF(X443=1,HLOOKUP(R443,データについて!$J$12:$M$18,7,FALSE),"*")</f>
        <v>3</v>
      </c>
      <c r="AD443" s="81" t="str">
        <f>IF(X443=2,HLOOKUP(R443,データについて!$J$12:$M$18,7,FALSE),"*")</f>
        <v>*</v>
      </c>
    </row>
    <row r="444" spans="1:30">
      <c r="A444" s="30">
        <v>4748</v>
      </c>
      <c r="B444" s="30" t="s">
        <v>3900</v>
      </c>
      <c r="C444" s="30" t="s">
        <v>3901</v>
      </c>
      <c r="D444" s="30" t="s">
        <v>106</v>
      </c>
      <c r="E444" s="30"/>
      <c r="F444" s="30" t="s">
        <v>107</v>
      </c>
      <c r="G444" s="30" t="s">
        <v>106</v>
      </c>
      <c r="H444" s="30"/>
      <c r="I444" s="30" t="s">
        <v>191</v>
      </c>
      <c r="J444" s="30"/>
      <c r="K444" s="30" t="s">
        <v>126</v>
      </c>
      <c r="L444" s="30" t="s">
        <v>108</v>
      </c>
      <c r="M444" s="30" t="s">
        <v>113</v>
      </c>
      <c r="N444" s="30" t="s">
        <v>114</v>
      </c>
      <c r="O444" s="30" t="s">
        <v>115</v>
      </c>
      <c r="P444" s="30" t="s">
        <v>112</v>
      </c>
      <c r="Q444" s="30" t="s">
        <v>112</v>
      </c>
      <c r="R444" s="30" t="s">
        <v>185</v>
      </c>
      <c r="S444" s="81">
        <f>HLOOKUP(L444,データについて!$J$6:$M$18,13,FALSE)</f>
        <v>1</v>
      </c>
      <c r="T444" s="81">
        <f>HLOOKUP(M444,データについて!$J$7:$M$18,12,FALSE)</f>
        <v>1</v>
      </c>
      <c r="U444" s="81">
        <f>HLOOKUP(N444,データについて!$J$8:$M$18,11,FALSE)</f>
        <v>1</v>
      </c>
      <c r="V444" s="81">
        <f>HLOOKUP(O444,データについて!$J$9:$M$18,10,FALSE)</f>
        <v>1</v>
      </c>
      <c r="W444" s="81">
        <f>HLOOKUP(P444,データについて!$J$10:$M$18,9,FALSE)</f>
        <v>1</v>
      </c>
      <c r="X444" s="81">
        <f>HLOOKUP(Q444,データについて!$J$11:$M$18,8,FALSE)</f>
        <v>1</v>
      </c>
      <c r="Y444" s="81">
        <f>HLOOKUP(R444,データについて!$J$12:$M$18,7,FALSE)</f>
        <v>2</v>
      </c>
      <c r="Z444" s="81">
        <f>HLOOKUP(I444,データについて!$J$3:$M$18,16,FALSE)</f>
        <v>2</v>
      </c>
      <c r="AA444" s="81" t="str">
        <f>IFERROR(HLOOKUP(J444,データについて!$J$4:$AH$19,16,FALSE),"")</f>
        <v/>
      </c>
      <c r="AB444" s="81">
        <f>IFERROR(HLOOKUP(K444,データについて!$J$5:$AH$20,14,FALSE),"")</f>
        <v>0</v>
      </c>
      <c r="AC444" s="81">
        <f>IF(X444=1,HLOOKUP(R444,データについて!$J$12:$M$18,7,FALSE),"*")</f>
        <v>2</v>
      </c>
      <c r="AD444" s="81" t="str">
        <f>IF(X444=2,HLOOKUP(R444,データについて!$J$12:$M$18,7,FALSE),"*")</f>
        <v>*</v>
      </c>
    </row>
    <row r="445" spans="1:30">
      <c r="A445" s="30">
        <v>4747</v>
      </c>
      <c r="B445" s="30" t="s">
        <v>3902</v>
      </c>
      <c r="C445" s="30" t="s">
        <v>3903</v>
      </c>
      <c r="D445" s="30" t="s">
        <v>106</v>
      </c>
      <c r="E445" s="30"/>
      <c r="F445" s="30" t="s">
        <v>107</v>
      </c>
      <c r="G445" s="30" t="s">
        <v>106</v>
      </c>
      <c r="H445" s="30"/>
      <c r="I445" s="30" t="s">
        <v>191</v>
      </c>
      <c r="J445" s="30"/>
      <c r="K445" s="30" t="s">
        <v>126</v>
      </c>
      <c r="L445" s="30" t="s">
        <v>108</v>
      </c>
      <c r="M445" s="30" t="s">
        <v>113</v>
      </c>
      <c r="N445" s="30" t="s">
        <v>110</v>
      </c>
      <c r="O445" s="30" t="s">
        <v>111</v>
      </c>
      <c r="P445" s="30" t="s">
        <v>118</v>
      </c>
      <c r="Q445" s="30" t="s">
        <v>118</v>
      </c>
      <c r="R445" s="30" t="s">
        <v>187</v>
      </c>
      <c r="S445" s="81">
        <f>HLOOKUP(L445,データについて!$J$6:$M$18,13,FALSE)</f>
        <v>1</v>
      </c>
      <c r="T445" s="81">
        <f>HLOOKUP(M445,データについて!$J$7:$M$18,12,FALSE)</f>
        <v>1</v>
      </c>
      <c r="U445" s="81">
        <f>HLOOKUP(N445,データについて!$J$8:$M$18,11,FALSE)</f>
        <v>2</v>
      </c>
      <c r="V445" s="81">
        <f>HLOOKUP(O445,データについて!$J$9:$M$18,10,FALSE)</f>
        <v>3</v>
      </c>
      <c r="W445" s="81">
        <f>HLOOKUP(P445,データについて!$J$10:$M$18,9,FALSE)</f>
        <v>2</v>
      </c>
      <c r="X445" s="81">
        <f>HLOOKUP(Q445,データについて!$J$11:$M$18,8,FALSE)</f>
        <v>2</v>
      </c>
      <c r="Y445" s="81">
        <f>HLOOKUP(R445,データについて!$J$12:$M$18,7,FALSE)</f>
        <v>3</v>
      </c>
      <c r="Z445" s="81">
        <f>HLOOKUP(I445,データについて!$J$3:$M$18,16,FALSE)</f>
        <v>2</v>
      </c>
      <c r="AA445" s="81" t="str">
        <f>IFERROR(HLOOKUP(J445,データについて!$J$4:$AH$19,16,FALSE),"")</f>
        <v/>
      </c>
      <c r="AB445" s="81">
        <f>IFERROR(HLOOKUP(K445,データについて!$J$5:$AH$20,14,FALSE),"")</f>
        <v>0</v>
      </c>
      <c r="AC445" s="81" t="str">
        <f>IF(X445=1,HLOOKUP(R445,データについて!$J$12:$M$18,7,FALSE),"*")</f>
        <v>*</v>
      </c>
      <c r="AD445" s="81">
        <f>IF(X445=2,HLOOKUP(R445,データについて!$J$12:$M$18,7,FALSE),"*")</f>
        <v>3</v>
      </c>
    </row>
    <row r="446" spans="1:30">
      <c r="A446" s="30">
        <v>4746</v>
      </c>
      <c r="B446" s="30" t="s">
        <v>3904</v>
      </c>
      <c r="C446" s="30" t="s">
        <v>3905</v>
      </c>
      <c r="D446" s="30" t="s">
        <v>106</v>
      </c>
      <c r="E446" s="30"/>
      <c r="F446" s="30" t="s">
        <v>107</v>
      </c>
      <c r="G446" s="30" t="s">
        <v>106</v>
      </c>
      <c r="H446" s="30"/>
      <c r="I446" s="30" t="s">
        <v>192</v>
      </c>
      <c r="J446" s="30" t="s">
        <v>3010</v>
      </c>
      <c r="K446" s="30"/>
      <c r="L446" s="30" t="s">
        <v>108</v>
      </c>
      <c r="M446" s="30" t="s">
        <v>113</v>
      </c>
      <c r="N446" s="30" t="s">
        <v>114</v>
      </c>
      <c r="O446" s="30" t="s">
        <v>115</v>
      </c>
      <c r="P446" s="30" t="s">
        <v>112</v>
      </c>
      <c r="Q446" s="30" t="s">
        <v>112</v>
      </c>
      <c r="R446" s="30" t="s">
        <v>183</v>
      </c>
      <c r="S446" s="81">
        <f>HLOOKUP(L446,データについて!$J$6:$M$18,13,FALSE)</f>
        <v>1</v>
      </c>
      <c r="T446" s="81">
        <f>HLOOKUP(M446,データについて!$J$7:$M$18,12,FALSE)</f>
        <v>1</v>
      </c>
      <c r="U446" s="81">
        <f>HLOOKUP(N446,データについて!$J$8:$M$18,11,FALSE)</f>
        <v>1</v>
      </c>
      <c r="V446" s="81">
        <f>HLOOKUP(O446,データについて!$J$9:$M$18,10,FALSE)</f>
        <v>1</v>
      </c>
      <c r="W446" s="81">
        <f>HLOOKUP(P446,データについて!$J$10:$M$18,9,FALSE)</f>
        <v>1</v>
      </c>
      <c r="X446" s="81">
        <f>HLOOKUP(Q446,データについて!$J$11:$M$18,8,FALSE)</f>
        <v>1</v>
      </c>
      <c r="Y446" s="81">
        <f>HLOOKUP(R446,データについて!$J$12:$M$18,7,FALSE)</f>
        <v>1</v>
      </c>
      <c r="Z446" s="81">
        <f>HLOOKUP(I446,データについて!$J$3:$M$18,16,FALSE)</f>
        <v>1</v>
      </c>
      <c r="AA446" s="81">
        <f>IFERROR(HLOOKUP(J446,データについて!$J$4:$AH$19,16,FALSE),"")</f>
        <v>12</v>
      </c>
      <c r="AB446" s="81" t="str">
        <f>IFERROR(HLOOKUP(K446,データについて!$J$5:$AH$20,14,FALSE),"")</f>
        <v/>
      </c>
      <c r="AC446" s="81">
        <f>IF(X446=1,HLOOKUP(R446,データについて!$J$12:$M$18,7,FALSE),"*")</f>
        <v>1</v>
      </c>
      <c r="AD446" s="81" t="str">
        <f>IF(X446=2,HLOOKUP(R446,データについて!$J$12:$M$18,7,FALSE),"*")</f>
        <v>*</v>
      </c>
    </row>
    <row r="447" spans="1:30">
      <c r="A447" s="30">
        <v>4745</v>
      </c>
      <c r="B447" s="30" t="s">
        <v>3906</v>
      </c>
      <c r="C447" s="30" t="s">
        <v>3907</v>
      </c>
      <c r="D447" s="30" t="s">
        <v>106</v>
      </c>
      <c r="E447" s="30"/>
      <c r="F447" s="30" t="s">
        <v>107</v>
      </c>
      <c r="G447" s="30" t="s">
        <v>106</v>
      </c>
      <c r="H447" s="30"/>
      <c r="I447" s="30" t="s">
        <v>191</v>
      </c>
      <c r="J447" s="30"/>
      <c r="K447" s="30" t="s">
        <v>126</v>
      </c>
      <c r="L447" s="30" t="s">
        <v>117</v>
      </c>
      <c r="M447" s="30" t="s">
        <v>109</v>
      </c>
      <c r="N447" s="30" t="s">
        <v>114</v>
      </c>
      <c r="O447" s="30" t="s">
        <v>115</v>
      </c>
      <c r="P447" s="30" t="s">
        <v>118</v>
      </c>
      <c r="Q447" s="30" t="s">
        <v>112</v>
      </c>
      <c r="R447" s="30" t="s">
        <v>185</v>
      </c>
      <c r="S447" s="81">
        <f>HLOOKUP(L447,データについて!$J$6:$M$18,13,FALSE)</f>
        <v>2</v>
      </c>
      <c r="T447" s="81">
        <f>HLOOKUP(M447,データについて!$J$7:$M$18,12,FALSE)</f>
        <v>2</v>
      </c>
      <c r="U447" s="81">
        <f>HLOOKUP(N447,データについて!$J$8:$M$18,11,FALSE)</f>
        <v>1</v>
      </c>
      <c r="V447" s="81">
        <f>HLOOKUP(O447,データについて!$J$9:$M$18,10,FALSE)</f>
        <v>1</v>
      </c>
      <c r="W447" s="81">
        <f>HLOOKUP(P447,データについて!$J$10:$M$18,9,FALSE)</f>
        <v>2</v>
      </c>
      <c r="X447" s="81">
        <f>HLOOKUP(Q447,データについて!$J$11:$M$18,8,FALSE)</f>
        <v>1</v>
      </c>
      <c r="Y447" s="81">
        <f>HLOOKUP(R447,データについて!$J$12:$M$18,7,FALSE)</f>
        <v>2</v>
      </c>
      <c r="Z447" s="81">
        <f>HLOOKUP(I447,データについて!$J$3:$M$18,16,FALSE)</f>
        <v>2</v>
      </c>
      <c r="AA447" s="81" t="str">
        <f>IFERROR(HLOOKUP(J447,データについて!$J$4:$AH$19,16,FALSE),"")</f>
        <v/>
      </c>
      <c r="AB447" s="81">
        <f>IFERROR(HLOOKUP(K447,データについて!$J$5:$AH$20,14,FALSE),"")</f>
        <v>0</v>
      </c>
      <c r="AC447" s="81">
        <f>IF(X447=1,HLOOKUP(R447,データについて!$J$12:$M$18,7,FALSE),"*")</f>
        <v>2</v>
      </c>
      <c r="AD447" s="81" t="str">
        <f>IF(X447=2,HLOOKUP(R447,データについて!$J$12:$M$18,7,FALSE),"*")</f>
        <v>*</v>
      </c>
    </row>
    <row r="448" spans="1:30">
      <c r="A448" s="30">
        <v>4744</v>
      </c>
      <c r="B448" s="30" t="s">
        <v>3908</v>
      </c>
      <c r="C448" s="30" t="s">
        <v>3909</v>
      </c>
      <c r="D448" s="30" t="s">
        <v>106</v>
      </c>
      <c r="E448" s="30"/>
      <c r="F448" s="30" t="s">
        <v>107</v>
      </c>
      <c r="G448" s="30" t="s">
        <v>106</v>
      </c>
      <c r="H448" s="30"/>
      <c r="I448" s="30" t="s">
        <v>191</v>
      </c>
      <c r="J448" s="30"/>
      <c r="K448" s="30" t="s">
        <v>126</v>
      </c>
      <c r="L448" s="30" t="s">
        <v>117</v>
      </c>
      <c r="M448" s="30" t="s">
        <v>109</v>
      </c>
      <c r="N448" s="30" t="s">
        <v>110</v>
      </c>
      <c r="O448" s="30" t="s">
        <v>115</v>
      </c>
      <c r="P448" s="30" t="s">
        <v>112</v>
      </c>
      <c r="Q448" s="30" t="s">
        <v>112</v>
      </c>
      <c r="R448" s="30" t="s">
        <v>185</v>
      </c>
      <c r="S448" s="81">
        <f>HLOOKUP(L448,データについて!$J$6:$M$18,13,FALSE)</f>
        <v>2</v>
      </c>
      <c r="T448" s="81">
        <f>HLOOKUP(M448,データについて!$J$7:$M$18,12,FALSE)</f>
        <v>2</v>
      </c>
      <c r="U448" s="81">
        <f>HLOOKUP(N448,データについて!$J$8:$M$18,11,FALSE)</f>
        <v>2</v>
      </c>
      <c r="V448" s="81">
        <f>HLOOKUP(O448,データについて!$J$9:$M$18,10,FALSE)</f>
        <v>1</v>
      </c>
      <c r="W448" s="81">
        <f>HLOOKUP(P448,データについて!$J$10:$M$18,9,FALSE)</f>
        <v>1</v>
      </c>
      <c r="X448" s="81">
        <f>HLOOKUP(Q448,データについて!$J$11:$M$18,8,FALSE)</f>
        <v>1</v>
      </c>
      <c r="Y448" s="81">
        <f>HLOOKUP(R448,データについて!$J$12:$M$18,7,FALSE)</f>
        <v>2</v>
      </c>
      <c r="Z448" s="81">
        <f>HLOOKUP(I448,データについて!$J$3:$M$18,16,FALSE)</f>
        <v>2</v>
      </c>
      <c r="AA448" s="81" t="str">
        <f>IFERROR(HLOOKUP(J448,データについて!$J$4:$AH$19,16,FALSE),"")</f>
        <v/>
      </c>
      <c r="AB448" s="81">
        <f>IFERROR(HLOOKUP(K448,データについて!$J$5:$AH$20,14,FALSE),"")</f>
        <v>0</v>
      </c>
      <c r="AC448" s="81">
        <f>IF(X448=1,HLOOKUP(R448,データについて!$J$12:$M$18,7,FALSE),"*")</f>
        <v>2</v>
      </c>
      <c r="AD448" s="81" t="str">
        <f>IF(X448=2,HLOOKUP(R448,データについて!$J$12:$M$18,7,FALSE),"*")</f>
        <v>*</v>
      </c>
    </row>
    <row r="449" spans="1:30">
      <c r="A449" s="30">
        <v>4743</v>
      </c>
      <c r="B449" s="30" t="s">
        <v>3910</v>
      </c>
      <c r="C449" s="30" t="s">
        <v>3911</v>
      </c>
      <c r="D449" s="30" t="s">
        <v>106</v>
      </c>
      <c r="E449" s="30"/>
      <c r="F449" s="30" t="s">
        <v>107</v>
      </c>
      <c r="G449" s="30" t="s">
        <v>106</v>
      </c>
      <c r="H449" s="30"/>
      <c r="I449" s="30" t="s">
        <v>191</v>
      </c>
      <c r="J449" s="30"/>
      <c r="K449" s="30" t="s">
        <v>126</v>
      </c>
      <c r="L449" s="30" t="s">
        <v>108</v>
      </c>
      <c r="M449" s="30" t="s">
        <v>109</v>
      </c>
      <c r="N449" s="30" t="s">
        <v>110</v>
      </c>
      <c r="O449" s="30" t="s">
        <v>115</v>
      </c>
      <c r="P449" s="30" t="s">
        <v>112</v>
      </c>
      <c r="Q449" s="30" t="s">
        <v>112</v>
      </c>
      <c r="R449" s="30" t="s">
        <v>185</v>
      </c>
      <c r="S449" s="81">
        <f>HLOOKUP(L449,データについて!$J$6:$M$18,13,FALSE)</f>
        <v>1</v>
      </c>
      <c r="T449" s="81">
        <f>HLOOKUP(M449,データについて!$J$7:$M$18,12,FALSE)</f>
        <v>2</v>
      </c>
      <c r="U449" s="81">
        <f>HLOOKUP(N449,データについて!$J$8:$M$18,11,FALSE)</f>
        <v>2</v>
      </c>
      <c r="V449" s="81">
        <f>HLOOKUP(O449,データについて!$J$9:$M$18,10,FALSE)</f>
        <v>1</v>
      </c>
      <c r="W449" s="81">
        <f>HLOOKUP(P449,データについて!$J$10:$M$18,9,FALSE)</f>
        <v>1</v>
      </c>
      <c r="X449" s="81">
        <f>HLOOKUP(Q449,データについて!$J$11:$M$18,8,FALSE)</f>
        <v>1</v>
      </c>
      <c r="Y449" s="81">
        <f>HLOOKUP(R449,データについて!$J$12:$M$18,7,FALSE)</f>
        <v>2</v>
      </c>
      <c r="Z449" s="81">
        <f>HLOOKUP(I449,データについて!$J$3:$M$18,16,FALSE)</f>
        <v>2</v>
      </c>
      <c r="AA449" s="81" t="str">
        <f>IFERROR(HLOOKUP(J449,データについて!$J$4:$AH$19,16,FALSE),"")</f>
        <v/>
      </c>
      <c r="AB449" s="81">
        <f>IFERROR(HLOOKUP(K449,データについて!$J$5:$AH$20,14,FALSE),"")</f>
        <v>0</v>
      </c>
      <c r="AC449" s="81">
        <f>IF(X449=1,HLOOKUP(R449,データについて!$J$12:$M$18,7,FALSE),"*")</f>
        <v>2</v>
      </c>
      <c r="AD449" s="81" t="str">
        <f>IF(X449=2,HLOOKUP(R449,データについて!$J$12:$M$18,7,FALSE),"*")</f>
        <v>*</v>
      </c>
    </row>
    <row r="450" spans="1:30">
      <c r="A450" s="30">
        <v>4742</v>
      </c>
      <c r="B450" s="30" t="s">
        <v>3912</v>
      </c>
      <c r="C450" s="30" t="s">
        <v>3911</v>
      </c>
      <c r="D450" s="30" t="s">
        <v>106</v>
      </c>
      <c r="E450" s="30"/>
      <c r="F450" s="30" t="s">
        <v>107</v>
      </c>
      <c r="G450" s="30" t="s">
        <v>106</v>
      </c>
      <c r="H450" s="30"/>
      <c r="I450" s="30" t="s">
        <v>191</v>
      </c>
      <c r="J450" s="30"/>
      <c r="K450" s="30" t="s">
        <v>126</v>
      </c>
      <c r="L450" s="30" t="s">
        <v>117</v>
      </c>
      <c r="M450" s="30" t="s">
        <v>113</v>
      </c>
      <c r="N450" s="30" t="s">
        <v>114</v>
      </c>
      <c r="O450" s="30" t="s">
        <v>115</v>
      </c>
      <c r="P450" s="30" t="s">
        <v>112</v>
      </c>
      <c r="Q450" s="30" t="s">
        <v>112</v>
      </c>
      <c r="R450" s="30" t="s">
        <v>187</v>
      </c>
      <c r="S450" s="81">
        <f>HLOOKUP(L450,データについて!$J$6:$M$18,13,FALSE)</f>
        <v>2</v>
      </c>
      <c r="T450" s="81">
        <f>HLOOKUP(M450,データについて!$J$7:$M$18,12,FALSE)</f>
        <v>1</v>
      </c>
      <c r="U450" s="81">
        <f>HLOOKUP(N450,データについて!$J$8:$M$18,11,FALSE)</f>
        <v>1</v>
      </c>
      <c r="V450" s="81">
        <f>HLOOKUP(O450,データについて!$J$9:$M$18,10,FALSE)</f>
        <v>1</v>
      </c>
      <c r="W450" s="81">
        <f>HLOOKUP(P450,データについて!$J$10:$M$18,9,FALSE)</f>
        <v>1</v>
      </c>
      <c r="X450" s="81">
        <f>HLOOKUP(Q450,データについて!$J$11:$M$18,8,FALSE)</f>
        <v>1</v>
      </c>
      <c r="Y450" s="81">
        <f>HLOOKUP(R450,データについて!$J$12:$M$18,7,FALSE)</f>
        <v>3</v>
      </c>
      <c r="Z450" s="81">
        <f>HLOOKUP(I450,データについて!$J$3:$M$18,16,FALSE)</f>
        <v>2</v>
      </c>
      <c r="AA450" s="81" t="str">
        <f>IFERROR(HLOOKUP(J450,データについて!$J$4:$AH$19,16,FALSE),"")</f>
        <v/>
      </c>
      <c r="AB450" s="81">
        <f>IFERROR(HLOOKUP(K450,データについて!$J$5:$AH$20,14,FALSE),"")</f>
        <v>0</v>
      </c>
      <c r="AC450" s="81">
        <f>IF(X450=1,HLOOKUP(R450,データについて!$J$12:$M$18,7,FALSE),"*")</f>
        <v>3</v>
      </c>
      <c r="AD450" s="81" t="str">
        <f>IF(X450=2,HLOOKUP(R450,データについて!$J$12:$M$18,7,FALSE),"*")</f>
        <v>*</v>
      </c>
    </row>
    <row r="451" spans="1:30">
      <c r="A451" s="30">
        <v>4741</v>
      </c>
      <c r="B451" s="30" t="s">
        <v>3913</v>
      </c>
      <c r="C451" s="30" t="s">
        <v>3914</v>
      </c>
      <c r="D451" s="30" t="s">
        <v>106</v>
      </c>
      <c r="E451" s="30"/>
      <c r="F451" s="30" t="s">
        <v>107</v>
      </c>
      <c r="G451" s="30" t="s">
        <v>106</v>
      </c>
      <c r="H451" s="30"/>
      <c r="I451" s="30" t="s">
        <v>191</v>
      </c>
      <c r="J451" s="30"/>
      <c r="K451" s="30" t="s">
        <v>126</v>
      </c>
      <c r="L451" s="30" t="s">
        <v>108</v>
      </c>
      <c r="M451" s="30" t="s">
        <v>109</v>
      </c>
      <c r="N451" s="30" t="s">
        <v>110</v>
      </c>
      <c r="O451" s="30" t="s">
        <v>123</v>
      </c>
      <c r="P451" s="30" t="s">
        <v>112</v>
      </c>
      <c r="Q451" s="30" t="s">
        <v>118</v>
      </c>
      <c r="R451" s="30" t="s">
        <v>189</v>
      </c>
      <c r="S451" s="81">
        <f>HLOOKUP(L451,データについて!$J$6:$M$18,13,FALSE)</f>
        <v>1</v>
      </c>
      <c r="T451" s="81">
        <f>HLOOKUP(M451,データについて!$J$7:$M$18,12,FALSE)</f>
        <v>2</v>
      </c>
      <c r="U451" s="81">
        <f>HLOOKUP(N451,データについて!$J$8:$M$18,11,FALSE)</f>
        <v>2</v>
      </c>
      <c r="V451" s="81">
        <f>HLOOKUP(O451,データについて!$J$9:$M$18,10,FALSE)</f>
        <v>4</v>
      </c>
      <c r="W451" s="81">
        <f>HLOOKUP(P451,データについて!$J$10:$M$18,9,FALSE)</f>
        <v>1</v>
      </c>
      <c r="X451" s="81">
        <f>HLOOKUP(Q451,データについて!$J$11:$M$18,8,FALSE)</f>
        <v>2</v>
      </c>
      <c r="Y451" s="81">
        <f>HLOOKUP(R451,データについて!$J$12:$M$18,7,FALSE)</f>
        <v>4</v>
      </c>
      <c r="Z451" s="81">
        <f>HLOOKUP(I451,データについて!$J$3:$M$18,16,FALSE)</f>
        <v>2</v>
      </c>
      <c r="AA451" s="81" t="str">
        <f>IFERROR(HLOOKUP(J451,データについて!$J$4:$AH$19,16,FALSE),"")</f>
        <v/>
      </c>
      <c r="AB451" s="81">
        <f>IFERROR(HLOOKUP(K451,データについて!$J$5:$AH$20,14,FALSE),"")</f>
        <v>0</v>
      </c>
      <c r="AC451" s="81" t="str">
        <f>IF(X451=1,HLOOKUP(R451,データについて!$J$12:$M$18,7,FALSE),"*")</f>
        <v>*</v>
      </c>
      <c r="AD451" s="81">
        <f>IF(X451=2,HLOOKUP(R451,データについて!$J$12:$M$18,7,FALSE),"*")</f>
        <v>4</v>
      </c>
    </row>
    <row r="452" spans="1:30">
      <c r="A452" s="30">
        <v>4740</v>
      </c>
      <c r="B452" s="30" t="s">
        <v>3915</v>
      </c>
      <c r="C452" s="30" t="s">
        <v>3916</v>
      </c>
      <c r="D452" s="30" t="s">
        <v>106</v>
      </c>
      <c r="E452" s="30"/>
      <c r="F452" s="30" t="s">
        <v>107</v>
      </c>
      <c r="G452" s="30" t="s">
        <v>106</v>
      </c>
      <c r="H452" s="30"/>
      <c r="I452" s="30" t="s">
        <v>191</v>
      </c>
      <c r="J452" s="30"/>
      <c r="K452" s="30" t="s">
        <v>126</v>
      </c>
      <c r="L452" s="30" t="s">
        <v>117</v>
      </c>
      <c r="M452" s="30" t="s">
        <v>113</v>
      </c>
      <c r="N452" s="30" t="s">
        <v>114</v>
      </c>
      <c r="O452" s="30" t="s">
        <v>111</v>
      </c>
      <c r="P452" s="30" t="s">
        <v>112</v>
      </c>
      <c r="Q452" s="30" t="s">
        <v>112</v>
      </c>
      <c r="R452" s="30" t="s">
        <v>183</v>
      </c>
      <c r="S452" s="81">
        <f>HLOOKUP(L452,データについて!$J$6:$M$18,13,FALSE)</f>
        <v>2</v>
      </c>
      <c r="T452" s="81">
        <f>HLOOKUP(M452,データについて!$J$7:$M$18,12,FALSE)</f>
        <v>1</v>
      </c>
      <c r="U452" s="81">
        <f>HLOOKUP(N452,データについて!$J$8:$M$18,11,FALSE)</f>
        <v>1</v>
      </c>
      <c r="V452" s="81">
        <f>HLOOKUP(O452,データについて!$J$9:$M$18,10,FALSE)</f>
        <v>3</v>
      </c>
      <c r="W452" s="81">
        <f>HLOOKUP(P452,データについて!$J$10:$M$18,9,FALSE)</f>
        <v>1</v>
      </c>
      <c r="X452" s="81">
        <f>HLOOKUP(Q452,データについて!$J$11:$M$18,8,FALSE)</f>
        <v>1</v>
      </c>
      <c r="Y452" s="81">
        <f>HLOOKUP(R452,データについて!$J$12:$M$18,7,FALSE)</f>
        <v>1</v>
      </c>
      <c r="Z452" s="81">
        <f>HLOOKUP(I452,データについて!$J$3:$M$18,16,FALSE)</f>
        <v>2</v>
      </c>
      <c r="AA452" s="81" t="str">
        <f>IFERROR(HLOOKUP(J452,データについて!$J$4:$AH$19,16,FALSE),"")</f>
        <v/>
      </c>
      <c r="AB452" s="81">
        <f>IFERROR(HLOOKUP(K452,データについて!$J$5:$AH$20,14,FALSE),"")</f>
        <v>0</v>
      </c>
      <c r="AC452" s="81">
        <f>IF(X452=1,HLOOKUP(R452,データについて!$J$12:$M$18,7,FALSE),"*")</f>
        <v>1</v>
      </c>
      <c r="AD452" s="81" t="str">
        <f>IF(X452=2,HLOOKUP(R452,データについて!$J$12:$M$18,7,FALSE),"*")</f>
        <v>*</v>
      </c>
    </row>
    <row r="453" spans="1:30">
      <c r="A453" s="30">
        <v>4739</v>
      </c>
      <c r="B453" s="30" t="s">
        <v>3917</v>
      </c>
      <c r="C453" s="30" t="s">
        <v>3918</v>
      </c>
      <c r="D453" s="30" t="s">
        <v>106</v>
      </c>
      <c r="E453" s="30"/>
      <c r="F453" s="30" t="s">
        <v>107</v>
      </c>
      <c r="G453" s="30" t="s">
        <v>106</v>
      </c>
      <c r="H453" s="30"/>
      <c r="I453" s="30" t="s">
        <v>191</v>
      </c>
      <c r="J453" s="30"/>
      <c r="K453" s="30" t="s">
        <v>126</v>
      </c>
      <c r="L453" s="30" t="s">
        <v>108</v>
      </c>
      <c r="M453" s="30" t="s">
        <v>113</v>
      </c>
      <c r="N453" s="30" t="s">
        <v>110</v>
      </c>
      <c r="O453" s="30" t="s">
        <v>115</v>
      </c>
      <c r="P453" s="30" t="s">
        <v>118</v>
      </c>
      <c r="Q453" s="30" t="s">
        <v>112</v>
      </c>
      <c r="R453" s="30" t="s">
        <v>183</v>
      </c>
      <c r="S453" s="81">
        <f>HLOOKUP(L453,データについて!$J$6:$M$18,13,FALSE)</f>
        <v>1</v>
      </c>
      <c r="T453" s="81">
        <f>HLOOKUP(M453,データについて!$J$7:$M$18,12,FALSE)</f>
        <v>1</v>
      </c>
      <c r="U453" s="81">
        <f>HLOOKUP(N453,データについて!$J$8:$M$18,11,FALSE)</f>
        <v>2</v>
      </c>
      <c r="V453" s="81">
        <f>HLOOKUP(O453,データについて!$J$9:$M$18,10,FALSE)</f>
        <v>1</v>
      </c>
      <c r="W453" s="81">
        <f>HLOOKUP(P453,データについて!$J$10:$M$18,9,FALSE)</f>
        <v>2</v>
      </c>
      <c r="X453" s="81">
        <f>HLOOKUP(Q453,データについて!$J$11:$M$18,8,FALSE)</f>
        <v>1</v>
      </c>
      <c r="Y453" s="81">
        <f>HLOOKUP(R453,データについて!$J$12:$M$18,7,FALSE)</f>
        <v>1</v>
      </c>
      <c r="Z453" s="81">
        <f>HLOOKUP(I453,データについて!$J$3:$M$18,16,FALSE)</f>
        <v>2</v>
      </c>
      <c r="AA453" s="81" t="str">
        <f>IFERROR(HLOOKUP(J453,データについて!$J$4:$AH$19,16,FALSE),"")</f>
        <v/>
      </c>
      <c r="AB453" s="81">
        <f>IFERROR(HLOOKUP(K453,データについて!$J$5:$AH$20,14,FALSE),"")</f>
        <v>0</v>
      </c>
      <c r="AC453" s="81">
        <f>IF(X453=1,HLOOKUP(R453,データについて!$J$12:$M$18,7,FALSE),"*")</f>
        <v>1</v>
      </c>
      <c r="AD453" s="81" t="str">
        <f>IF(X453=2,HLOOKUP(R453,データについて!$J$12:$M$18,7,FALSE),"*")</f>
        <v>*</v>
      </c>
    </row>
    <row r="454" spans="1:30">
      <c r="A454" s="30">
        <v>4738</v>
      </c>
      <c r="B454" s="30" t="s">
        <v>3919</v>
      </c>
      <c r="C454" s="30" t="s">
        <v>3920</v>
      </c>
      <c r="D454" s="30" t="s">
        <v>106</v>
      </c>
      <c r="E454" s="30"/>
      <c r="F454" s="30" t="s">
        <v>107</v>
      </c>
      <c r="G454" s="30" t="s">
        <v>106</v>
      </c>
      <c r="H454" s="30"/>
      <c r="I454" s="30" t="s">
        <v>191</v>
      </c>
      <c r="J454" s="30"/>
      <c r="K454" s="30" t="s">
        <v>126</v>
      </c>
      <c r="L454" s="30" t="s">
        <v>108</v>
      </c>
      <c r="M454" s="30" t="s">
        <v>109</v>
      </c>
      <c r="N454" s="30" t="s">
        <v>110</v>
      </c>
      <c r="O454" s="30" t="s">
        <v>116</v>
      </c>
      <c r="P454" s="30" t="s">
        <v>112</v>
      </c>
      <c r="Q454" s="30" t="s">
        <v>112</v>
      </c>
      <c r="R454" s="30" t="s">
        <v>185</v>
      </c>
      <c r="S454" s="81">
        <f>HLOOKUP(L454,データについて!$J$6:$M$18,13,FALSE)</f>
        <v>1</v>
      </c>
      <c r="T454" s="81">
        <f>HLOOKUP(M454,データについて!$J$7:$M$18,12,FALSE)</f>
        <v>2</v>
      </c>
      <c r="U454" s="81">
        <f>HLOOKUP(N454,データについて!$J$8:$M$18,11,FALSE)</f>
        <v>2</v>
      </c>
      <c r="V454" s="81">
        <f>HLOOKUP(O454,データについて!$J$9:$M$18,10,FALSE)</f>
        <v>2</v>
      </c>
      <c r="W454" s="81">
        <f>HLOOKUP(P454,データについて!$J$10:$M$18,9,FALSE)</f>
        <v>1</v>
      </c>
      <c r="X454" s="81">
        <f>HLOOKUP(Q454,データについて!$J$11:$M$18,8,FALSE)</f>
        <v>1</v>
      </c>
      <c r="Y454" s="81">
        <f>HLOOKUP(R454,データについて!$J$12:$M$18,7,FALSE)</f>
        <v>2</v>
      </c>
      <c r="Z454" s="81">
        <f>HLOOKUP(I454,データについて!$J$3:$M$18,16,FALSE)</f>
        <v>2</v>
      </c>
      <c r="AA454" s="81" t="str">
        <f>IFERROR(HLOOKUP(J454,データについて!$J$4:$AH$19,16,FALSE),"")</f>
        <v/>
      </c>
      <c r="AB454" s="81">
        <f>IFERROR(HLOOKUP(K454,データについて!$J$5:$AH$20,14,FALSE),"")</f>
        <v>0</v>
      </c>
      <c r="AC454" s="81">
        <f>IF(X454=1,HLOOKUP(R454,データについて!$J$12:$M$18,7,FALSE),"*")</f>
        <v>2</v>
      </c>
      <c r="AD454" s="81" t="str">
        <f>IF(X454=2,HLOOKUP(R454,データについて!$J$12:$M$18,7,FALSE),"*")</f>
        <v>*</v>
      </c>
    </row>
    <row r="455" spans="1:30">
      <c r="A455" s="30">
        <v>4737</v>
      </c>
      <c r="B455" s="30" t="s">
        <v>3921</v>
      </c>
      <c r="C455" s="30" t="s">
        <v>3922</v>
      </c>
      <c r="D455" s="30" t="s">
        <v>106</v>
      </c>
      <c r="E455" s="30"/>
      <c r="F455" s="30" t="s">
        <v>107</v>
      </c>
      <c r="G455" s="30" t="s">
        <v>106</v>
      </c>
      <c r="H455" s="30"/>
      <c r="I455" s="30" t="s">
        <v>191</v>
      </c>
      <c r="J455" s="30"/>
      <c r="K455" s="30" t="s">
        <v>126</v>
      </c>
      <c r="L455" s="30" t="s">
        <v>108</v>
      </c>
      <c r="M455" s="30" t="s">
        <v>113</v>
      </c>
      <c r="N455" s="30" t="s">
        <v>110</v>
      </c>
      <c r="O455" s="30" t="s">
        <v>115</v>
      </c>
      <c r="P455" s="30" t="s">
        <v>112</v>
      </c>
      <c r="Q455" s="30" t="s">
        <v>112</v>
      </c>
      <c r="R455" s="30" t="s">
        <v>185</v>
      </c>
      <c r="S455" s="81">
        <f>HLOOKUP(L455,データについて!$J$6:$M$18,13,FALSE)</f>
        <v>1</v>
      </c>
      <c r="T455" s="81">
        <f>HLOOKUP(M455,データについて!$J$7:$M$18,12,FALSE)</f>
        <v>1</v>
      </c>
      <c r="U455" s="81">
        <f>HLOOKUP(N455,データについて!$J$8:$M$18,11,FALSE)</f>
        <v>2</v>
      </c>
      <c r="V455" s="81">
        <f>HLOOKUP(O455,データについて!$J$9:$M$18,10,FALSE)</f>
        <v>1</v>
      </c>
      <c r="W455" s="81">
        <f>HLOOKUP(P455,データについて!$J$10:$M$18,9,FALSE)</f>
        <v>1</v>
      </c>
      <c r="X455" s="81">
        <f>HLOOKUP(Q455,データについて!$J$11:$M$18,8,FALSE)</f>
        <v>1</v>
      </c>
      <c r="Y455" s="81">
        <f>HLOOKUP(R455,データについて!$J$12:$M$18,7,FALSE)</f>
        <v>2</v>
      </c>
      <c r="Z455" s="81">
        <f>HLOOKUP(I455,データについて!$J$3:$M$18,16,FALSE)</f>
        <v>2</v>
      </c>
      <c r="AA455" s="81" t="str">
        <f>IFERROR(HLOOKUP(J455,データについて!$J$4:$AH$19,16,FALSE),"")</f>
        <v/>
      </c>
      <c r="AB455" s="81">
        <f>IFERROR(HLOOKUP(K455,データについて!$J$5:$AH$20,14,FALSE),"")</f>
        <v>0</v>
      </c>
      <c r="AC455" s="81">
        <f>IF(X455=1,HLOOKUP(R455,データについて!$J$12:$M$18,7,FALSE),"*")</f>
        <v>2</v>
      </c>
      <c r="AD455" s="81" t="str">
        <f>IF(X455=2,HLOOKUP(R455,データについて!$J$12:$M$18,7,FALSE),"*")</f>
        <v>*</v>
      </c>
    </row>
    <row r="456" spans="1:30">
      <c r="A456" s="30">
        <v>4736</v>
      </c>
      <c r="B456" s="30" t="s">
        <v>3923</v>
      </c>
      <c r="C456" s="30" t="s">
        <v>3924</v>
      </c>
      <c r="D456" s="30" t="s">
        <v>106</v>
      </c>
      <c r="E456" s="30"/>
      <c r="F456" s="30" t="s">
        <v>107</v>
      </c>
      <c r="G456" s="30" t="s">
        <v>106</v>
      </c>
      <c r="H456" s="30"/>
      <c r="I456" s="30" t="s">
        <v>191</v>
      </c>
      <c r="J456" s="30"/>
      <c r="K456" s="30" t="s">
        <v>126</v>
      </c>
      <c r="L456" s="30" t="s">
        <v>117</v>
      </c>
      <c r="M456" s="30" t="s">
        <v>109</v>
      </c>
      <c r="N456" s="30" t="s">
        <v>110</v>
      </c>
      <c r="O456" s="30" t="s">
        <v>115</v>
      </c>
      <c r="P456" s="30" t="s">
        <v>118</v>
      </c>
      <c r="Q456" s="30" t="s">
        <v>112</v>
      </c>
      <c r="R456" s="30" t="s">
        <v>185</v>
      </c>
      <c r="S456" s="81">
        <f>HLOOKUP(L456,データについて!$J$6:$M$18,13,FALSE)</f>
        <v>2</v>
      </c>
      <c r="T456" s="81">
        <f>HLOOKUP(M456,データについて!$J$7:$M$18,12,FALSE)</f>
        <v>2</v>
      </c>
      <c r="U456" s="81">
        <f>HLOOKUP(N456,データについて!$J$8:$M$18,11,FALSE)</f>
        <v>2</v>
      </c>
      <c r="V456" s="81">
        <f>HLOOKUP(O456,データについて!$J$9:$M$18,10,FALSE)</f>
        <v>1</v>
      </c>
      <c r="W456" s="81">
        <f>HLOOKUP(P456,データについて!$J$10:$M$18,9,FALSE)</f>
        <v>2</v>
      </c>
      <c r="X456" s="81">
        <f>HLOOKUP(Q456,データについて!$J$11:$M$18,8,FALSE)</f>
        <v>1</v>
      </c>
      <c r="Y456" s="81">
        <f>HLOOKUP(R456,データについて!$J$12:$M$18,7,FALSE)</f>
        <v>2</v>
      </c>
      <c r="Z456" s="81">
        <f>HLOOKUP(I456,データについて!$J$3:$M$18,16,FALSE)</f>
        <v>2</v>
      </c>
      <c r="AA456" s="81" t="str">
        <f>IFERROR(HLOOKUP(J456,データについて!$J$4:$AH$19,16,FALSE),"")</f>
        <v/>
      </c>
      <c r="AB456" s="81">
        <f>IFERROR(HLOOKUP(K456,データについて!$J$5:$AH$20,14,FALSE),"")</f>
        <v>0</v>
      </c>
      <c r="AC456" s="81">
        <f>IF(X456=1,HLOOKUP(R456,データについて!$J$12:$M$18,7,FALSE),"*")</f>
        <v>2</v>
      </c>
      <c r="AD456" s="81" t="str">
        <f>IF(X456=2,HLOOKUP(R456,データについて!$J$12:$M$18,7,FALSE),"*")</f>
        <v>*</v>
      </c>
    </row>
    <row r="457" spans="1:30">
      <c r="A457" s="30">
        <v>4735</v>
      </c>
      <c r="B457" s="30" t="s">
        <v>3925</v>
      </c>
      <c r="C457" s="30" t="s">
        <v>3926</v>
      </c>
      <c r="D457" s="30" t="s">
        <v>106</v>
      </c>
      <c r="E457" s="30"/>
      <c r="F457" s="30" t="s">
        <v>107</v>
      </c>
      <c r="G457" s="30" t="s">
        <v>106</v>
      </c>
      <c r="H457" s="30"/>
      <c r="I457" s="30" t="s">
        <v>191</v>
      </c>
      <c r="J457" s="30"/>
      <c r="K457" s="30" t="s">
        <v>126</v>
      </c>
      <c r="L457" s="30" t="s">
        <v>108</v>
      </c>
      <c r="M457" s="30" t="s">
        <v>113</v>
      </c>
      <c r="N457" s="30" t="s">
        <v>110</v>
      </c>
      <c r="O457" s="30" t="s">
        <v>115</v>
      </c>
      <c r="P457" s="30" t="s">
        <v>118</v>
      </c>
      <c r="Q457" s="30" t="s">
        <v>112</v>
      </c>
      <c r="R457" s="30" t="s">
        <v>183</v>
      </c>
      <c r="S457" s="81">
        <f>HLOOKUP(L457,データについて!$J$6:$M$18,13,FALSE)</f>
        <v>1</v>
      </c>
      <c r="T457" s="81">
        <f>HLOOKUP(M457,データについて!$J$7:$M$18,12,FALSE)</f>
        <v>1</v>
      </c>
      <c r="U457" s="81">
        <f>HLOOKUP(N457,データについて!$J$8:$M$18,11,FALSE)</f>
        <v>2</v>
      </c>
      <c r="V457" s="81">
        <f>HLOOKUP(O457,データについて!$J$9:$M$18,10,FALSE)</f>
        <v>1</v>
      </c>
      <c r="W457" s="81">
        <f>HLOOKUP(P457,データについて!$J$10:$M$18,9,FALSE)</f>
        <v>2</v>
      </c>
      <c r="X457" s="81">
        <f>HLOOKUP(Q457,データについて!$J$11:$M$18,8,FALSE)</f>
        <v>1</v>
      </c>
      <c r="Y457" s="81">
        <f>HLOOKUP(R457,データについて!$J$12:$M$18,7,FALSE)</f>
        <v>1</v>
      </c>
      <c r="Z457" s="81">
        <f>HLOOKUP(I457,データについて!$J$3:$M$18,16,FALSE)</f>
        <v>2</v>
      </c>
      <c r="AA457" s="81" t="str">
        <f>IFERROR(HLOOKUP(J457,データについて!$J$4:$AH$19,16,FALSE),"")</f>
        <v/>
      </c>
      <c r="AB457" s="81">
        <f>IFERROR(HLOOKUP(K457,データについて!$J$5:$AH$20,14,FALSE),"")</f>
        <v>0</v>
      </c>
      <c r="AC457" s="81">
        <f>IF(X457=1,HLOOKUP(R457,データについて!$J$12:$M$18,7,FALSE),"*")</f>
        <v>1</v>
      </c>
      <c r="AD457" s="81" t="str">
        <f>IF(X457=2,HLOOKUP(R457,データについて!$J$12:$M$18,7,FALSE),"*")</f>
        <v>*</v>
      </c>
    </row>
    <row r="458" spans="1:30">
      <c r="A458" s="30">
        <v>4734</v>
      </c>
      <c r="B458" s="30" t="s">
        <v>3927</v>
      </c>
      <c r="C458" s="30" t="s">
        <v>3928</v>
      </c>
      <c r="D458" s="30" t="s">
        <v>106</v>
      </c>
      <c r="E458" s="30"/>
      <c r="F458" s="30" t="s">
        <v>107</v>
      </c>
      <c r="G458" s="30" t="s">
        <v>106</v>
      </c>
      <c r="H458" s="30"/>
      <c r="I458" s="30" t="s">
        <v>191</v>
      </c>
      <c r="J458" s="30"/>
      <c r="K458" s="30" t="s">
        <v>126</v>
      </c>
      <c r="L458" s="30" t="s">
        <v>117</v>
      </c>
      <c r="M458" s="30" t="s">
        <v>113</v>
      </c>
      <c r="N458" s="30" t="s">
        <v>110</v>
      </c>
      <c r="O458" s="30" t="s">
        <v>115</v>
      </c>
      <c r="P458" s="30" t="s">
        <v>118</v>
      </c>
      <c r="Q458" s="30" t="s">
        <v>112</v>
      </c>
      <c r="R458" s="30" t="s">
        <v>185</v>
      </c>
      <c r="S458" s="81">
        <f>HLOOKUP(L458,データについて!$J$6:$M$18,13,FALSE)</f>
        <v>2</v>
      </c>
      <c r="T458" s="81">
        <f>HLOOKUP(M458,データについて!$J$7:$M$18,12,FALSE)</f>
        <v>1</v>
      </c>
      <c r="U458" s="81">
        <f>HLOOKUP(N458,データについて!$J$8:$M$18,11,FALSE)</f>
        <v>2</v>
      </c>
      <c r="V458" s="81">
        <f>HLOOKUP(O458,データについて!$J$9:$M$18,10,FALSE)</f>
        <v>1</v>
      </c>
      <c r="W458" s="81">
        <f>HLOOKUP(P458,データについて!$J$10:$M$18,9,FALSE)</f>
        <v>2</v>
      </c>
      <c r="X458" s="81">
        <f>HLOOKUP(Q458,データについて!$J$11:$M$18,8,FALSE)</f>
        <v>1</v>
      </c>
      <c r="Y458" s="81">
        <f>HLOOKUP(R458,データについて!$J$12:$M$18,7,FALSE)</f>
        <v>2</v>
      </c>
      <c r="Z458" s="81">
        <f>HLOOKUP(I458,データについて!$J$3:$M$18,16,FALSE)</f>
        <v>2</v>
      </c>
      <c r="AA458" s="81" t="str">
        <f>IFERROR(HLOOKUP(J458,データについて!$J$4:$AH$19,16,FALSE),"")</f>
        <v/>
      </c>
      <c r="AB458" s="81">
        <f>IFERROR(HLOOKUP(K458,データについて!$J$5:$AH$20,14,FALSE),"")</f>
        <v>0</v>
      </c>
      <c r="AC458" s="81">
        <f>IF(X458=1,HLOOKUP(R458,データについて!$J$12:$M$18,7,FALSE),"*")</f>
        <v>2</v>
      </c>
      <c r="AD458" s="81" t="str">
        <f>IF(X458=2,HLOOKUP(R458,データについて!$J$12:$M$18,7,FALSE),"*")</f>
        <v>*</v>
      </c>
    </row>
    <row r="459" spans="1:30">
      <c r="A459" s="30">
        <v>4733</v>
      </c>
      <c r="B459" s="30" t="s">
        <v>3929</v>
      </c>
      <c r="C459" s="30" t="s">
        <v>3930</v>
      </c>
      <c r="D459" s="30" t="s">
        <v>106</v>
      </c>
      <c r="E459" s="30"/>
      <c r="F459" s="30" t="s">
        <v>107</v>
      </c>
      <c r="G459" s="30" t="s">
        <v>106</v>
      </c>
      <c r="H459" s="30"/>
      <c r="I459" s="30" t="s">
        <v>191</v>
      </c>
      <c r="J459" s="30"/>
      <c r="K459" s="30" t="s">
        <v>126</v>
      </c>
      <c r="L459" s="30" t="s">
        <v>117</v>
      </c>
      <c r="M459" s="30" t="s">
        <v>113</v>
      </c>
      <c r="N459" s="30" t="s">
        <v>114</v>
      </c>
      <c r="O459" s="30" t="s">
        <v>115</v>
      </c>
      <c r="P459" s="30" t="s">
        <v>118</v>
      </c>
      <c r="Q459" s="30" t="s">
        <v>112</v>
      </c>
      <c r="R459" s="30" t="s">
        <v>185</v>
      </c>
      <c r="S459" s="81">
        <f>HLOOKUP(L459,データについて!$J$6:$M$18,13,FALSE)</f>
        <v>2</v>
      </c>
      <c r="T459" s="81">
        <f>HLOOKUP(M459,データについて!$J$7:$M$18,12,FALSE)</f>
        <v>1</v>
      </c>
      <c r="U459" s="81">
        <f>HLOOKUP(N459,データについて!$J$8:$M$18,11,FALSE)</f>
        <v>1</v>
      </c>
      <c r="V459" s="81">
        <f>HLOOKUP(O459,データについて!$J$9:$M$18,10,FALSE)</f>
        <v>1</v>
      </c>
      <c r="W459" s="81">
        <f>HLOOKUP(P459,データについて!$J$10:$M$18,9,FALSE)</f>
        <v>2</v>
      </c>
      <c r="X459" s="81">
        <f>HLOOKUP(Q459,データについて!$J$11:$M$18,8,FALSE)</f>
        <v>1</v>
      </c>
      <c r="Y459" s="81">
        <f>HLOOKUP(R459,データについて!$J$12:$M$18,7,FALSE)</f>
        <v>2</v>
      </c>
      <c r="Z459" s="81">
        <f>HLOOKUP(I459,データについて!$J$3:$M$18,16,FALSE)</f>
        <v>2</v>
      </c>
      <c r="AA459" s="81" t="str">
        <f>IFERROR(HLOOKUP(J459,データについて!$J$4:$AH$19,16,FALSE),"")</f>
        <v/>
      </c>
      <c r="AB459" s="81">
        <f>IFERROR(HLOOKUP(K459,データについて!$J$5:$AH$20,14,FALSE),"")</f>
        <v>0</v>
      </c>
      <c r="AC459" s="81">
        <f>IF(X459=1,HLOOKUP(R459,データについて!$J$12:$M$18,7,FALSE),"*")</f>
        <v>2</v>
      </c>
      <c r="AD459" s="81" t="str">
        <f>IF(X459=2,HLOOKUP(R459,データについて!$J$12:$M$18,7,FALSE),"*")</f>
        <v>*</v>
      </c>
    </row>
    <row r="460" spans="1:30">
      <c r="A460" s="30">
        <v>4732</v>
      </c>
      <c r="B460" s="30" t="s">
        <v>3931</v>
      </c>
      <c r="C460" s="30" t="s">
        <v>3932</v>
      </c>
      <c r="D460" s="30" t="s">
        <v>106</v>
      </c>
      <c r="E460" s="30"/>
      <c r="F460" s="30" t="s">
        <v>107</v>
      </c>
      <c r="G460" s="30" t="s">
        <v>106</v>
      </c>
      <c r="H460" s="30"/>
      <c r="I460" s="30" t="s">
        <v>191</v>
      </c>
      <c r="J460" s="30"/>
      <c r="K460" s="30" t="s">
        <v>126</v>
      </c>
      <c r="L460" s="30" t="s">
        <v>117</v>
      </c>
      <c r="M460" s="30" t="s">
        <v>113</v>
      </c>
      <c r="N460" s="30" t="s">
        <v>114</v>
      </c>
      <c r="O460" s="30" t="s">
        <v>115</v>
      </c>
      <c r="P460" s="30" t="s">
        <v>112</v>
      </c>
      <c r="Q460" s="30" t="s">
        <v>112</v>
      </c>
      <c r="R460" s="30" t="s">
        <v>185</v>
      </c>
      <c r="S460" s="81">
        <f>HLOOKUP(L460,データについて!$J$6:$M$18,13,FALSE)</f>
        <v>2</v>
      </c>
      <c r="T460" s="81">
        <f>HLOOKUP(M460,データについて!$J$7:$M$18,12,FALSE)</f>
        <v>1</v>
      </c>
      <c r="U460" s="81">
        <f>HLOOKUP(N460,データについて!$J$8:$M$18,11,FALSE)</f>
        <v>1</v>
      </c>
      <c r="V460" s="81">
        <f>HLOOKUP(O460,データについて!$J$9:$M$18,10,FALSE)</f>
        <v>1</v>
      </c>
      <c r="W460" s="81">
        <f>HLOOKUP(P460,データについて!$J$10:$M$18,9,FALSE)</f>
        <v>1</v>
      </c>
      <c r="X460" s="81">
        <f>HLOOKUP(Q460,データについて!$J$11:$M$18,8,FALSE)</f>
        <v>1</v>
      </c>
      <c r="Y460" s="81">
        <f>HLOOKUP(R460,データについて!$J$12:$M$18,7,FALSE)</f>
        <v>2</v>
      </c>
      <c r="Z460" s="81">
        <f>HLOOKUP(I460,データについて!$J$3:$M$18,16,FALSE)</f>
        <v>2</v>
      </c>
      <c r="AA460" s="81" t="str">
        <f>IFERROR(HLOOKUP(J460,データについて!$J$4:$AH$19,16,FALSE),"")</f>
        <v/>
      </c>
      <c r="AB460" s="81">
        <f>IFERROR(HLOOKUP(K460,データについて!$J$5:$AH$20,14,FALSE),"")</f>
        <v>0</v>
      </c>
      <c r="AC460" s="81">
        <f>IF(X460=1,HLOOKUP(R460,データについて!$J$12:$M$18,7,FALSE),"*")</f>
        <v>2</v>
      </c>
      <c r="AD460" s="81" t="str">
        <f>IF(X460=2,HLOOKUP(R460,データについて!$J$12:$M$18,7,FALSE),"*")</f>
        <v>*</v>
      </c>
    </row>
    <row r="461" spans="1:30">
      <c r="A461" s="30">
        <v>4731</v>
      </c>
      <c r="B461" s="30" t="s">
        <v>3933</v>
      </c>
      <c r="C461" s="30" t="s">
        <v>3932</v>
      </c>
      <c r="D461" s="30" t="s">
        <v>106</v>
      </c>
      <c r="E461" s="30"/>
      <c r="F461" s="30" t="s">
        <v>107</v>
      </c>
      <c r="G461" s="30" t="s">
        <v>106</v>
      </c>
      <c r="H461" s="30"/>
      <c r="I461" s="30" t="s">
        <v>191</v>
      </c>
      <c r="J461" s="30"/>
      <c r="K461" s="30" t="s">
        <v>126</v>
      </c>
      <c r="L461" s="30" t="s">
        <v>108</v>
      </c>
      <c r="M461" s="30" t="s">
        <v>113</v>
      </c>
      <c r="N461" s="30" t="s">
        <v>114</v>
      </c>
      <c r="O461" s="30" t="s">
        <v>116</v>
      </c>
      <c r="P461" s="30" t="s">
        <v>118</v>
      </c>
      <c r="Q461" s="30" t="s">
        <v>112</v>
      </c>
      <c r="R461" s="30" t="s">
        <v>185</v>
      </c>
      <c r="S461" s="81">
        <f>HLOOKUP(L461,データについて!$J$6:$M$18,13,FALSE)</f>
        <v>1</v>
      </c>
      <c r="T461" s="81">
        <f>HLOOKUP(M461,データについて!$J$7:$M$18,12,FALSE)</f>
        <v>1</v>
      </c>
      <c r="U461" s="81">
        <f>HLOOKUP(N461,データについて!$J$8:$M$18,11,FALSE)</f>
        <v>1</v>
      </c>
      <c r="V461" s="81">
        <f>HLOOKUP(O461,データについて!$J$9:$M$18,10,FALSE)</f>
        <v>2</v>
      </c>
      <c r="W461" s="81">
        <f>HLOOKUP(P461,データについて!$J$10:$M$18,9,FALSE)</f>
        <v>2</v>
      </c>
      <c r="X461" s="81">
        <f>HLOOKUP(Q461,データについて!$J$11:$M$18,8,FALSE)</f>
        <v>1</v>
      </c>
      <c r="Y461" s="81">
        <f>HLOOKUP(R461,データについて!$J$12:$M$18,7,FALSE)</f>
        <v>2</v>
      </c>
      <c r="Z461" s="81">
        <f>HLOOKUP(I461,データについて!$J$3:$M$18,16,FALSE)</f>
        <v>2</v>
      </c>
      <c r="AA461" s="81" t="str">
        <f>IFERROR(HLOOKUP(J461,データについて!$J$4:$AH$19,16,FALSE),"")</f>
        <v/>
      </c>
      <c r="AB461" s="81">
        <f>IFERROR(HLOOKUP(K461,データについて!$J$5:$AH$20,14,FALSE),"")</f>
        <v>0</v>
      </c>
      <c r="AC461" s="81">
        <f>IF(X461=1,HLOOKUP(R461,データについて!$J$12:$M$18,7,FALSE),"*")</f>
        <v>2</v>
      </c>
      <c r="AD461" s="81" t="str">
        <f>IF(X461=2,HLOOKUP(R461,データについて!$J$12:$M$18,7,FALSE),"*")</f>
        <v>*</v>
      </c>
    </row>
    <row r="462" spans="1:30">
      <c r="A462" s="30">
        <v>4730</v>
      </c>
      <c r="B462" s="30" t="s">
        <v>3934</v>
      </c>
      <c r="C462" s="30" t="s">
        <v>3935</v>
      </c>
      <c r="D462" s="30" t="s">
        <v>106</v>
      </c>
      <c r="E462" s="30"/>
      <c r="F462" s="30" t="s">
        <v>107</v>
      </c>
      <c r="G462" s="30" t="s">
        <v>106</v>
      </c>
      <c r="H462" s="30"/>
      <c r="I462" s="30" t="s">
        <v>191</v>
      </c>
      <c r="J462" s="30"/>
      <c r="K462" s="30" t="s">
        <v>126</v>
      </c>
      <c r="L462" s="30" t="s">
        <v>117</v>
      </c>
      <c r="M462" s="30" t="s">
        <v>124</v>
      </c>
      <c r="N462" s="30" t="s">
        <v>110</v>
      </c>
      <c r="O462" s="30" t="s">
        <v>115</v>
      </c>
      <c r="P462" s="30" t="s">
        <v>118</v>
      </c>
      <c r="Q462" s="30" t="s">
        <v>112</v>
      </c>
      <c r="R462" s="30" t="s">
        <v>185</v>
      </c>
      <c r="S462" s="81">
        <f>HLOOKUP(L462,データについて!$J$6:$M$18,13,FALSE)</f>
        <v>2</v>
      </c>
      <c r="T462" s="81">
        <f>HLOOKUP(M462,データについて!$J$7:$M$18,12,FALSE)</f>
        <v>3</v>
      </c>
      <c r="U462" s="81">
        <f>HLOOKUP(N462,データについて!$J$8:$M$18,11,FALSE)</f>
        <v>2</v>
      </c>
      <c r="V462" s="81">
        <f>HLOOKUP(O462,データについて!$J$9:$M$18,10,FALSE)</f>
        <v>1</v>
      </c>
      <c r="W462" s="81">
        <f>HLOOKUP(P462,データについて!$J$10:$M$18,9,FALSE)</f>
        <v>2</v>
      </c>
      <c r="X462" s="81">
        <f>HLOOKUP(Q462,データについて!$J$11:$M$18,8,FALSE)</f>
        <v>1</v>
      </c>
      <c r="Y462" s="81">
        <f>HLOOKUP(R462,データについて!$J$12:$M$18,7,FALSE)</f>
        <v>2</v>
      </c>
      <c r="Z462" s="81">
        <f>HLOOKUP(I462,データについて!$J$3:$M$18,16,FALSE)</f>
        <v>2</v>
      </c>
      <c r="AA462" s="81" t="str">
        <f>IFERROR(HLOOKUP(J462,データについて!$J$4:$AH$19,16,FALSE),"")</f>
        <v/>
      </c>
      <c r="AB462" s="81">
        <f>IFERROR(HLOOKUP(K462,データについて!$J$5:$AH$20,14,FALSE),"")</f>
        <v>0</v>
      </c>
      <c r="AC462" s="81">
        <f>IF(X462=1,HLOOKUP(R462,データについて!$J$12:$M$18,7,FALSE),"*")</f>
        <v>2</v>
      </c>
      <c r="AD462" s="81" t="str">
        <f>IF(X462=2,HLOOKUP(R462,データについて!$J$12:$M$18,7,FALSE),"*")</f>
        <v>*</v>
      </c>
    </row>
    <row r="463" spans="1:30">
      <c r="A463" s="30">
        <v>4729</v>
      </c>
      <c r="B463" s="30" t="s">
        <v>3936</v>
      </c>
      <c r="C463" s="30" t="s">
        <v>3937</v>
      </c>
      <c r="D463" s="30" t="s">
        <v>106</v>
      </c>
      <c r="E463" s="30"/>
      <c r="F463" s="30" t="s">
        <v>107</v>
      </c>
      <c r="G463" s="30" t="s">
        <v>106</v>
      </c>
      <c r="H463" s="30"/>
      <c r="I463" s="30" t="s">
        <v>191</v>
      </c>
      <c r="J463" s="30"/>
      <c r="K463" s="30" t="s">
        <v>126</v>
      </c>
      <c r="L463" s="30" t="s">
        <v>117</v>
      </c>
      <c r="M463" s="30" t="s">
        <v>121</v>
      </c>
      <c r="N463" s="30" t="s">
        <v>114</v>
      </c>
      <c r="O463" s="30" t="s">
        <v>115</v>
      </c>
      <c r="P463" s="30" t="s">
        <v>118</v>
      </c>
      <c r="Q463" s="30" t="s">
        <v>118</v>
      </c>
      <c r="R463" s="30" t="s">
        <v>189</v>
      </c>
      <c r="S463" s="81">
        <f>HLOOKUP(L463,データについて!$J$6:$M$18,13,FALSE)</f>
        <v>2</v>
      </c>
      <c r="T463" s="81">
        <f>HLOOKUP(M463,データについて!$J$7:$M$18,12,FALSE)</f>
        <v>4</v>
      </c>
      <c r="U463" s="81">
        <f>HLOOKUP(N463,データについて!$J$8:$M$18,11,FALSE)</f>
        <v>1</v>
      </c>
      <c r="V463" s="81">
        <f>HLOOKUP(O463,データについて!$J$9:$M$18,10,FALSE)</f>
        <v>1</v>
      </c>
      <c r="W463" s="81">
        <f>HLOOKUP(P463,データについて!$J$10:$M$18,9,FALSE)</f>
        <v>2</v>
      </c>
      <c r="X463" s="81">
        <f>HLOOKUP(Q463,データについて!$J$11:$M$18,8,FALSE)</f>
        <v>2</v>
      </c>
      <c r="Y463" s="81">
        <f>HLOOKUP(R463,データについて!$J$12:$M$18,7,FALSE)</f>
        <v>4</v>
      </c>
      <c r="Z463" s="81">
        <f>HLOOKUP(I463,データについて!$J$3:$M$18,16,FALSE)</f>
        <v>2</v>
      </c>
      <c r="AA463" s="81" t="str">
        <f>IFERROR(HLOOKUP(J463,データについて!$J$4:$AH$19,16,FALSE),"")</f>
        <v/>
      </c>
      <c r="AB463" s="81">
        <f>IFERROR(HLOOKUP(K463,データについて!$J$5:$AH$20,14,FALSE),"")</f>
        <v>0</v>
      </c>
      <c r="AC463" s="81" t="str">
        <f>IF(X463=1,HLOOKUP(R463,データについて!$J$12:$M$18,7,FALSE),"*")</f>
        <v>*</v>
      </c>
      <c r="AD463" s="81">
        <f>IF(X463=2,HLOOKUP(R463,データについて!$J$12:$M$18,7,FALSE),"*")</f>
        <v>4</v>
      </c>
    </row>
    <row r="464" spans="1:30">
      <c r="A464" s="30">
        <v>4728</v>
      </c>
      <c r="B464" s="30" t="s">
        <v>3938</v>
      </c>
      <c r="C464" s="30" t="s">
        <v>3939</v>
      </c>
      <c r="D464" s="30" t="s">
        <v>106</v>
      </c>
      <c r="E464" s="30"/>
      <c r="F464" s="30" t="s">
        <v>107</v>
      </c>
      <c r="G464" s="30" t="s">
        <v>106</v>
      </c>
      <c r="H464" s="30"/>
      <c r="I464" s="30" t="s">
        <v>191</v>
      </c>
      <c r="J464" s="30"/>
      <c r="K464" s="30" t="s">
        <v>126</v>
      </c>
      <c r="L464" s="30" t="s">
        <v>117</v>
      </c>
      <c r="M464" s="30" t="s">
        <v>113</v>
      </c>
      <c r="N464" s="30" t="s">
        <v>122</v>
      </c>
      <c r="O464" s="30" t="s">
        <v>115</v>
      </c>
      <c r="P464" s="30" t="s">
        <v>118</v>
      </c>
      <c r="Q464" s="30" t="s">
        <v>112</v>
      </c>
      <c r="R464" s="30" t="s">
        <v>185</v>
      </c>
      <c r="S464" s="81">
        <f>HLOOKUP(L464,データについて!$J$6:$M$18,13,FALSE)</f>
        <v>2</v>
      </c>
      <c r="T464" s="81">
        <f>HLOOKUP(M464,データについて!$J$7:$M$18,12,FALSE)</f>
        <v>1</v>
      </c>
      <c r="U464" s="81">
        <f>HLOOKUP(N464,データについて!$J$8:$M$18,11,FALSE)</f>
        <v>3</v>
      </c>
      <c r="V464" s="81">
        <f>HLOOKUP(O464,データについて!$J$9:$M$18,10,FALSE)</f>
        <v>1</v>
      </c>
      <c r="W464" s="81">
        <f>HLOOKUP(P464,データについて!$J$10:$M$18,9,FALSE)</f>
        <v>2</v>
      </c>
      <c r="X464" s="81">
        <f>HLOOKUP(Q464,データについて!$J$11:$M$18,8,FALSE)</f>
        <v>1</v>
      </c>
      <c r="Y464" s="81">
        <f>HLOOKUP(R464,データについて!$J$12:$M$18,7,FALSE)</f>
        <v>2</v>
      </c>
      <c r="Z464" s="81">
        <f>HLOOKUP(I464,データについて!$J$3:$M$18,16,FALSE)</f>
        <v>2</v>
      </c>
      <c r="AA464" s="81" t="str">
        <f>IFERROR(HLOOKUP(J464,データについて!$J$4:$AH$19,16,FALSE),"")</f>
        <v/>
      </c>
      <c r="AB464" s="81">
        <f>IFERROR(HLOOKUP(K464,データについて!$J$5:$AH$20,14,FALSE),"")</f>
        <v>0</v>
      </c>
      <c r="AC464" s="81">
        <f>IF(X464=1,HLOOKUP(R464,データについて!$J$12:$M$18,7,FALSE),"*")</f>
        <v>2</v>
      </c>
      <c r="AD464" s="81" t="str">
        <f>IF(X464=2,HLOOKUP(R464,データについて!$J$12:$M$18,7,FALSE),"*")</f>
        <v>*</v>
      </c>
    </row>
    <row r="465" spans="1:30">
      <c r="A465" s="30">
        <v>4727</v>
      </c>
      <c r="B465" s="30" t="s">
        <v>3940</v>
      </c>
      <c r="C465" s="30" t="s">
        <v>3941</v>
      </c>
      <c r="D465" s="30" t="s">
        <v>106</v>
      </c>
      <c r="E465" s="30"/>
      <c r="F465" s="30" t="s">
        <v>107</v>
      </c>
      <c r="G465" s="30" t="s">
        <v>106</v>
      </c>
      <c r="H465" s="30"/>
      <c r="I465" s="30" t="s">
        <v>191</v>
      </c>
      <c r="J465" s="30"/>
      <c r="K465" s="30" t="s">
        <v>126</v>
      </c>
      <c r="L465" s="30" t="s">
        <v>108</v>
      </c>
      <c r="M465" s="30" t="s">
        <v>109</v>
      </c>
      <c r="N465" s="30" t="s">
        <v>110</v>
      </c>
      <c r="O465" s="30" t="s">
        <v>115</v>
      </c>
      <c r="P465" s="30" t="s">
        <v>118</v>
      </c>
      <c r="Q465" s="30" t="s">
        <v>118</v>
      </c>
      <c r="R465" s="30" t="s">
        <v>187</v>
      </c>
      <c r="S465" s="81">
        <f>HLOOKUP(L465,データについて!$J$6:$M$18,13,FALSE)</f>
        <v>1</v>
      </c>
      <c r="T465" s="81">
        <f>HLOOKUP(M465,データについて!$J$7:$M$18,12,FALSE)</f>
        <v>2</v>
      </c>
      <c r="U465" s="81">
        <f>HLOOKUP(N465,データについて!$J$8:$M$18,11,FALSE)</f>
        <v>2</v>
      </c>
      <c r="V465" s="81">
        <f>HLOOKUP(O465,データについて!$J$9:$M$18,10,FALSE)</f>
        <v>1</v>
      </c>
      <c r="W465" s="81">
        <f>HLOOKUP(P465,データについて!$J$10:$M$18,9,FALSE)</f>
        <v>2</v>
      </c>
      <c r="X465" s="81">
        <f>HLOOKUP(Q465,データについて!$J$11:$M$18,8,FALSE)</f>
        <v>2</v>
      </c>
      <c r="Y465" s="81">
        <f>HLOOKUP(R465,データについて!$J$12:$M$18,7,FALSE)</f>
        <v>3</v>
      </c>
      <c r="Z465" s="81">
        <f>HLOOKUP(I465,データについて!$J$3:$M$18,16,FALSE)</f>
        <v>2</v>
      </c>
      <c r="AA465" s="81" t="str">
        <f>IFERROR(HLOOKUP(J465,データについて!$J$4:$AH$19,16,FALSE),"")</f>
        <v/>
      </c>
      <c r="AB465" s="81">
        <f>IFERROR(HLOOKUP(K465,データについて!$J$5:$AH$20,14,FALSE),"")</f>
        <v>0</v>
      </c>
      <c r="AC465" s="81" t="str">
        <f>IF(X465=1,HLOOKUP(R465,データについて!$J$12:$M$18,7,FALSE),"*")</f>
        <v>*</v>
      </c>
      <c r="AD465" s="81">
        <f>IF(X465=2,HLOOKUP(R465,データについて!$J$12:$M$18,7,FALSE),"*")</f>
        <v>3</v>
      </c>
    </row>
    <row r="466" spans="1:30">
      <c r="A466" s="30">
        <v>4726</v>
      </c>
      <c r="B466" s="30" t="s">
        <v>3942</v>
      </c>
      <c r="C466" s="30" t="s">
        <v>3943</v>
      </c>
      <c r="D466" s="30" t="s">
        <v>106</v>
      </c>
      <c r="E466" s="30"/>
      <c r="F466" s="30" t="s">
        <v>107</v>
      </c>
      <c r="G466" s="30" t="s">
        <v>106</v>
      </c>
      <c r="H466" s="30"/>
      <c r="I466" s="30" t="s">
        <v>191</v>
      </c>
      <c r="J466" s="30"/>
      <c r="K466" s="30" t="s">
        <v>126</v>
      </c>
      <c r="L466" s="30" t="s">
        <v>117</v>
      </c>
      <c r="M466" s="30" t="s">
        <v>113</v>
      </c>
      <c r="N466" s="30" t="s">
        <v>122</v>
      </c>
      <c r="O466" s="30" t="s">
        <v>115</v>
      </c>
      <c r="P466" s="30" t="s">
        <v>118</v>
      </c>
      <c r="Q466" s="30" t="s">
        <v>112</v>
      </c>
      <c r="R466" s="30" t="s">
        <v>185</v>
      </c>
      <c r="S466" s="81">
        <f>HLOOKUP(L466,データについて!$J$6:$M$18,13,FALSE)</f>
        <v>2</v>
      </c>
      <c r="T466" s="81">
        <f>HLOOKUP(M466,データについて!$J$7:$M$18,12,FALSE)</f>
        <v>1</v>
      </c>
      <c r="U466" s="81">
        <f>HLOOKUP(N466,データについて!$J$8:$M$18,11,FALSE)</f>
        <v>3</v>
      </c>
      <c r="V466" s="81">
        <f>HLOOKUP(O466,データについて!$J$9:$M$18,10,FALSE)</f>
        <v>1</v>
      </c>
      <c r="W466" s="81">
        <f>HLOOKUP(P466,データについて!$J$10:$M$18,9,FALSE)</f>
        <v>2</v>
      </c>
      <c r="X466" s="81">
        <f>HLOOKUP(Q466,データについて!$J$11:$M$18,8,FALSE)</f>
        <v>1</v>
      </c>
      <c r="Y466" s="81">
        <f>HLOOKUP(R466,データについて!$J$12:$M$18,7,FALSE)</f>
        <v>2</v>
      </c>
      <c r="Z466" s="81">
        <f>HLOOKUP(I466,データについて!$J$3:$M$18,16,FALSE)</f>
        <v>2</v>
      </c>
      <c r="AA466" s="81" t="str">
        <f>IFERROR(HLOOKUP(J466,データについて!$J$4:$AH$19,16,FALSE),"")</f>
        <v/>
      </c>
      <c r="AB466" s="81">
        <f>IFERROR(HLOOKUP(K466,データについて!$J$5:$AH$20,14,FALSE),"")</f>
        <v>0</v>
      </c>
      <c r="AC466" s="81">
        <f>IF(X466=1,HLOOKUP(R466,データについて!$J$12:$M$18,7,FALSE),"*")</f>
        <v>2</v>
      </c>
      <c r="AD466" s="81" t="str">
        <f>IF(X466=2,HLOOKUP(R466,データについて!$J$12:$M$18,7,FALSE),"*")</f>
        <v>*</v>
      </c>
    </row>
    <row r="467" spans="1:30">
      <c r="A467" s="30">
        <v>4725</v>
      </c>
      <c r="B467" s="30" t="s">
        <v>3944</v>
      </c>
      <c r="C467" s="30" t="s">
        <v>3945</v>
      </c>
      <c r="D467" s="30" t="s">
        <v>106</v>
      </c>
      <c r="E467" s="30"/>
      <c r="F467" s="30" t="s">
        <v>107</v>
      </c>
      <c r="G467" s="30" t="s">
        <v>106</v>
      </c>
      <c r="H467" s="30"/>
      <c r="I467" s="30" t="s">
        <v>191</v>
      </c>
      <c r="J467" s="30"/>
      <c r="K467" s="30" t="s">
        <v>126</v>
      </c>
      <c r="L467" s="30" t="s">
        <v>108</v>
      </c>
      <c r="M467" s="30" t="s">
        <v>113</v>
      </c>
      <c r="N467" s="30" t="s">
        <v>114</v>
      </c>
      <c r="O467" s="30" t="s">
        <v>115</v>
      </c>
      <c r="P467" s="30" t="s">
        <v>112</v>
      </c>
      <c r="Q467" s="30" t="s">
        <v>118</v>
      </c>
      <c r="R467" s="30" t="s">
        <v>185</v>
      </c>
      <c r="S467" s="81">
        <f>HLOOKUP(L467,データについて!$J$6:$M$18,13,FALSE)</f>
        <v>1</v>
      </c>
      <c r="T467" s="81">
        <f>HLOOKUP(M467,データについて!$J$7:$M$18,12,FALSE)</f>
        <v>1</v>
      </c>
      <c r="U467" s="81">
        <f>HLOOKUP(N467,データについて!$J$8:$M$18,11,FALSE)</f>
        <v>1</v>
      </c>
      <c r="V467" s="81">
        <f>HLOOKUP(O467,データについて!$J$9:$M$18,10,FALSE)</f>
        <v>1</v>
      </c>
      <c r="W467" s="81">
        <f>HLOOKUP(P467,データについて!$J$10:$M$18,9,FALSE)</f>
        <v>1</v>
      </c>
      <c r="X467" s="81">
        <f>HLOOKUP(Q467,データについて!$J$11:$M$18,8,FALSE)</f>
        <v>2</v>
      </c>
      <c r="Y467" s="81">
        <f>HLOOKUP(R467,データについて!$J$12:$M$18,7,FALSE)</f>
        <v>2</v>
      </c>
      <c r="Z467" s="81">
        <f>HLOOKUP(I467,データについて!$J$3:$M$18,16,FALSE)</f>
        <v>2</v>
      </c>
      <c r="AA467" s="81" t="str">
        <f>IFERROR(HLOOKUP(J467,データについて!$J$4:$AH$19,16,FALSE),"")</f>
        <v/>
      </c>
      <c r="AB467" s="81">
        <f>IFERROR(HLOOKUP(K467,データについて!$J$5:$AH$20,14,FALSE),"")</f>
        <v>0</v>
      </c>
      <c r="AC467" s="81" t="str">
        <f>IF(X467=1,HLOOKUP(R467,データについて!$J$12:$M$18,7,FALSE),"*")</f>
        <v>*</v>
      </c>
      <c r="AD467" s="81">
        <f>IF(X467=2,HLOOKUP(R467,データについて!$J$12:$M$18,7,FALSE),"*")</f>
        <v>2</v>
      </c>
    </row>
    <row r="468" spans="1:30">
      <c r="A468" s="30">
        <v>4724</v>
      </c>
      <c r="B468" s="30" t="s">
        <v>3946</v>
      </c>
      <c r="C468" s="30" t="s">
        <v>3947</v>
      </c>
      <c r="D468" s="30" t="s">
        <v>106</v>
      </c>
      <c r="E468" s="30"/>
      <c r="F468" s="30" t="s">
        <v>107</v>
      </c>
      <c r="G468" s="30" t="s">
        <v>106</v>
      </c>
      <c r="H468" s="30"/>
      <c r="I468" s="30" t="s">
        <v>191</v>
      </c>
      <c r="J468" s="30"/>
      <c r="K468" s="30" t="s">
        <v>126</v>
      </c>
      <c r="L468" s="30" t="s">
        <v>117</v>
      </c>
      <c r="M468" s="30" t="s">
        <v>109</v>
      </c>
      <c r="N468" s="30" t="s">
        <v>119</v>
      </c>
      <c r="O468" s="30" t="s">
        <v>116</v>
      </c>
      <c r="P468" s="30" t="s">
        <v>118</v>
      </c>
      <c r="Q468" s="30" t="s">
        <v>112</v>
      </c>
      <c r="R468" s="30" t="s">
        <v>183</v>
      </c>
      <c r="S468" s="81">
        <f>HLOOKUP(L468,データについて!$J$6:$M$18,13,FALSE)</f>
        <v>2</v>
      </c>
      <c r="T468" s="81">
        <f>HLOOKUP(M468,データについて!$J$7:$M$18,12,FALSE)</f>
        <v>2</v>
      </c>
      <c r="U468" s="81">
        <f>HLOOKUP(N468,データについて!$J$8:$M$18,11,FALSE)</f>
        <v>4</v>
      </c>
      <c r="V468" s="81">
        <f>HLOOKUP(O468,データについて!$J$9:$M$18,10,FALSE)</f>
        <v>2</v>
      </c>
      <c r="W468" s="81">
        <f>HLOOKUP(P468,データについて!$J$10:$M$18,9,FALSE)</f>
        <v>2</v>
      </c>
      <c r="X468" s="81">
        <f>HLOOKUP(Q468,データについて!$J$11:$M$18,8,FALSE)</f>
        <v>1</v>
      </c>
      <c r="Y468" s="81">
        <f>HLOOKUP(R468,データについて!$J$12:$M$18,7,FALSE)</f>
        <v>1</v>
      </c>
      <c r="Z468" s="81">
        <f>HLOOKUP(I468,データについて!$J$3:$M$18,16,FALSE)</f>
        <v>2</v>
      </c>
      <c r="AA468" s="81" t="str">
        <f>IFERROR(HLOOKUP(J468,データについて!$J$4:$AH$19,16,FALSE),"")</f>
        <v/>
      </c>
      <c r="AB468" s="81">
        <f>IFERROR(HLOOKUP(K468,データについて!$J$5:$AH$20,14,FALSE),"")</f>
        <v>0</v>
      </c>
      <c r="AC468" s="81">
        <f>IF(X468=1,HLOOKUP(R468,データについて!$J$12:$M$18,7,FALSE),"*")</f>
        <v>1</v>
      </c>
      <c r="AD468" s="81" t="str">
        <f>IF(X468=2,HLOOKUP(R468,データについて!$J$12:$M$18,7,FALSE),"*")</f>
        <v>*</v>
      </c>
    </row>
    <row r="469" spans="1:30">
      <c r="A469" s="30">
        <v>4723</v>
      </c>
      <c r="B469" s="30" t="s">
        <v>3948</v>
      </c>
      <c r="C469" s="30" t="s">
        <v>3949</v>
      </c>
      <c r="D469" s="30" t="s">
        <v>106</v>
      </c>
      <c r="E469" s="30"/>
      <c r="F469" s="30" t="s">
        <v>107</v>
      </c>
      <c r="G469" s="30" t="s">
        <v>106</v>
      </c>
      <c r="H469" s="30"/>
      <c r="I469" s="30" t="s">
        <v>191</v>
      </c>
      <c r="J469" s="30"/>
      <c r="K469" s="30" t="s">
        <v>126</v>
      </c>
      <c r="L469" s="30" t="s">
        <v>108</v>
      </c>
      <c r="M469" s="30" t="s">
        <v>113</v>
      </c>
      <c r="N469" s="30" t="s">
        <v>114</v>
      </c>
      <c r="O469" s="30" t="s">
        <v>115</v>
      </c>
      <c r="P469" s="30" t="s">
        <v>118</v>
      </c>
      <c r="Q469" s="30" t="s">
        <v>112</v>
      </c>
      <c r="R469" s="30" t="s">
        <v>183</v>
      </c>
      <c r="S469" s="81">
        <f>HLOOKUP(L469,データについて!$J$6:$M$18,13,FALSE)</f>
        <v>1</v>
      </c>
      <c r="T469" s="81">
        <f>HLOOKUP(M469,データについて!$J$7:$M$18,12,FALSE)</f>
        <v>1</v>
      </c>
      <c r="U469" s="81">
        <f>HLOOKUP(N469,データについて!$J$8:$M$18,11,FALSE)</f>
        <v>1</v>
      </c>
      <c r="V469" s="81">
        <f>HLOOKUP(O469,データについて!$J$9:$M$18,10,FALSE)</f>
        <v>1</v>
      </c>
      <c r="W469" s="81">
        <f>HLOOKUP(P469,データについて!$J$10:$M$18,9,FALSE)</f>
        <v>2</v>
      </c>
      <c r="X469" s="81">
        <f>HLOOKUP(Q469,データについて!$J$11:$M$18,8,FALSE)</f>
        <v>1</v>
      </c>
      <c r="Y469" s="81">
        <f>HLOOKUP(R469,データについて!$J$12:$M$18,7,FALSE)</f>
        <v>1</v>
      </c>
      <c r="Z469" s="81">
        <f>HLOOKUP(I469,データについて!$J$3:$M$18,16,FALSE)</f>
        <v>2</v>
      </c>
      <c r="AA469" s="81" t="str">
        <f>IFERROR(HLOOKUP(J469,データについて!$J$4:$AH$19,16,FALSE),"")</f>
        <v/>
      </c>
      <c r="AB469" s="81">
        <f>IFERROR(HLOOKUP(K469,データについて!$J$5:$AH$20,14,FALSE),"")</f>
        <v>0</v>
      </c>
      <c r="AC469" s="81">
        <f>IF(X469=1,HLOOKUP(R469,データについて!$J$12:$M$18,7,FALSE),"*")</f>
        <v>1</v>
      </c>
      <c r="AD469" s="81" t="str">
        <f>IF(X469=2,HLOOKUP(R469,データについて!$J$12:$M$18,7,FALSE),"*")</f>
        <v>*</v>
      </c>
    </row>
    <row r="470" spans="1:30">
      <c r="A470" s="30">
        <v>4722</v>
      </c>
      <c r="B470" s="30" t="s">
        <v>3950</v>
      </c>
      <c r="C470" s="30" t="s">
        <v>3951</v>
      </c>
      <c r="D470" s="30" t="s">
        <v>106</v>
      </c>
      <c r="E470" s="30"/>
      <c r="F470" s="30" t="s">
        <v>107</v>
      </c>
      <c r="G470" s="30" t="s">
        <v>106</v>
      </c>
      <c r="H470" s="30"/>
      <c r="I470" s="30" t="s">
        <v>191</v>
      </c>
      <c r="J470" s="30"/>
      <c r="K470" s="30" t="s">
        <v>126</v>
      </c>
      <c r="L470" s="30" t="s">
        <v>108</v>
      </c>
      <c r="M470" s="30" t="s">
        <v>113</v>
      </c>
      <c r="N470" s="30" t="s">
        <v>110</v>
      </c>
      <c r="O470" s="30" t="s">
        <v>115</v>
      </c>
      <c r="P470" s="30" t="s">
        <v>112</v>
      </c>
      <c r="Q470" s="30" t="s">
        <v>112</v>
      </c>
      <c r="R470" s="30" t="s">
        <v>185</v>
      </c>
      <c r="S470" s="81">
        <f>HLOOKUP(L470,データについて!$J$6:$M$18,13,FALSE)</f>
        <v>1</v>
      </c>
      <c r="T470" s="81">
        <f>HLOOKUP(M470,データについて!$J$7:$M$18,12,FALSE)</f>
        <v>1</v>
      </c>
      <c r="U470" s="81">
        <f>HLOOKUP(N470,データについて!$J$8:$M$18,11,FALSE)</f>
        <v>2</v>
      </c>
      <c r="V470" s="81">
        <f>HLOOKUP(O470,データについて!$J$9:$M$18,10,FALSE)</f>
        <v>1</v>
      </c>
      <c r="W470" s="81">
        <f>HLOOKUP(P470,データについて!$J$10:$M$18,9,FALSE)</f>
        <v>1</v>
      </c>
      <c r="X470" s="81">
        <f>HLOOKUP(Q470,データについて!$J$11:$M$18,8,FALSE)</f>
        <v>1</v>
      </c>
      <c r="Y470" s="81">
        <f>HLOOKUP(R470,データについて!$J$12:$M$18,7,FALSE)</f>
        <v>2</v>
      </c>
      <c r="Z470" s="81">
        <f>HLOOKUP(I470,データについて!$J$3:$M$18,16,FALSE)</f>
        <v>2</v>
      </c>
      <c r="AA470" s="81" t="str">
        <f>IFERROR(HLOOKUP(J470,データについて!$J$4:$AH$19,16,FALSE),"")</f>
        <v/>
      </c>
      <c r="AB470" s="81">
        <f>IFERROR(HLOOKUP(K470,データについて!$J$5:$AH$20,14,FALSE),"")</f>
        <v>0</v>
      </c>
      <c r="AC470" s="81">
        <f>IF(X470=1,HLOOKUP(R470,データについて!$J$12:$M$18,7,FALSE),"*")</f>
        <v>2</v>
      </c>
      <c r="AD470" s="81" t="str">
        <f>IF(X470=2,HLOOKUP(R470,データについて!$J$12:$M$18,7,FALSE),"*")</f>
        <v>*</v>
      </c>
    </row>
    <row r="471" spans="1:30">
      <c r="A471" s="30">
        <v>4721</v>
      </c>
      <c r="B471" s="30" t="s">
        <v>3952</v>
      </c>
      <c r="C471" s="30" t="s">
        <v>3951</v>
      </c>
      <c r="D471" s="30" t="s">
        <v>106</v>
      </c>
      <c r="E471" s="30"/>
      <c r="F471" s="30" t="s">
        <v>107</v>
      </c>
      <c r="G471" s="30" t="s">
        <v>106</v>
      </c>
      <c r="H471" s="30"/>
      <c r="I471" s="30" t="s">
        <v>191</v>
      </c>
      <c r="J471" s="30"/>
      <c r="K471" s="30" t="s">
        <v>126</v>
      </c>
      <c r="L471" s="30" t="s">
        <v>117</v>
      </c>
      <c r="M471" s="30" t="s">
        <v>113</v>
      </c>
      <c r="N471" s="30" t="s">
        <v>110</v>
      </c>
      <c r="O471" s="30" t="s">
        <v>115</v>
      </c>
      <c r="P471" s="30" t="s">
        <v>118</v>
      </c>
      <c r="Q471" s="30" t="s">
        <v>112</v>
      </c>
      <c r="R471" s="30" t="s">
        <v>183</v>
      </c>
      <c r="S471" s="81">
        <f>HLOOKUP(L471,データについて!$J$6:$M$18,13,FALSE)</f>
        <v>2</v>
      </c>
      <c r="T471" s="81">
        <f>HLOOKUP(M471,データについて!$J$7:$M$18,12,FALSE)</f>
        <v>1</v>
      </c>
      <c r="U471" s="81">
        <f>HLOOKUP(N471,データについて!$J$8:$M$18,11,FALSE)</f>
        <v>2</v>
      </c>
      <c r="V471" s="81">
        <f>HLOOKUP(O471,データについて!$J$9:$M$18,10,FALSE)</f>
        <v>1</v>
      </c>
      <c r="W471" s="81">
        <f>HLOOKUP(P471,データについて!$J$10:$M$18,9,FALSE)</f>
        <v>2</v>
      </c>
      <c r="X471" s="81">
        <f>HLOOKUP(Q471,データについて!$J$11:$M$18,8,FALSE)</f>
        <v>1</v>
      </c>
      <c r="Y471" s="81">
        <f>HLOOKUP(R471,データについて!$J$12:$M$18,7,FALSE)</f>
        <v>1</v>
      </c>
      <c r="Z471" s="81">
        <f>HLOOKUP(I471,データについて!$J$3:$M$18,16,FALSE)</f>
        <v>2</v>
      </c>
      <c r="AA471" s="81" t="str">
        <f>IFERROR(HLOOKUP(J471,データについて!$J$4:$AH$19,16,FALSE),"")</f>
        <v/>
      </c>
      <c r="AB471" s="81">
        <f>IFERROR(HLOOKUP(K471,データについて!$J$5:$AH$20,14,FALSE),"")</f>
        <v>0</v>
      </c>
      <c r="AC471" s="81">
        <f>IF(X471=1,HLOOKUP(R471,データについて!$J$12:$M$18,7,FALSE),"*")</f>
        <v>1</v>
      </c>
      <c r="AD471" s="81" t="str">
        <f>IF(X471=2,HLOOKUP(R471,データについて!$J$12:$M$18,7,FALSE),"*")</f>
        <v>*</v>
      </c>
    </row>
    <row r="472" spans="1:30">
      <c r="A472" s="30">
        <v>4720</v>
      </c>
      <c r="B472" s="30" t="s">
        <v>3953</v>
      </c>
      <c r="C472" s="30" t="s">
        <v>3954</v>
      </c>
      <c r="D472" s="30" t="s">
        <v>106</v>
      </c>
      <c r="E472" s="30"/>
      <c r="F472" s="30" t="s">
        <v>107</v>
      </c>
      <c r="G472" s="30" t="s">
        <v>106</v>
      </c>
      <c r="H472" s="30"/>
      <c r="I472" s="30" t="s">
        <v>191</v>
      </c>
      <c r="J472" s="30"/>
      <c r="K472" s="30" t="s">
        <v>126</v>
      </c>
      <c r="L472" s="30" t="s">
        <v>108</v>
      </c>
      <c r="M472" s="30" t="s">
        <v>113</v>
      </c>
      <c r="N472" s="30" t="s">
        <v>114</v>
      </c>
      <c r="O472" s="30" t="s">
        <v>115</v>
      </c>
      <c r="P472" s="30" t="s">
        <v>118</v>
      </c>
      <c r="Q472" s="30" t="s">
        <v>112</v>
      </c>
      <c r="R472" s="30" t="s">
        <v>183</v>
      </c>
      <c r="S472" s="81">
        <f>HLOOKUP(L472,データについて!$J$6:$M$18,13,FALSE)</f>
        <v>1</v>
      </c>
      <c r="T472" s="81">
        <f>HLOOKUP(M472,データについて!$J$7:$M$18,12,FALSE)</f>
        <v>1</v>
      </c>
      <c r="U472" s="81">
        <f>HLOOKUP(N472,データについて!$J$8:$M$18,11,FALSE)</f>
        <v>1</v>
      </c>
      <c r="V472" s="81">
        <f>HLOOKUP(O472,データについて!$J$9:$M$18,10,FALSE)</f>
        <v>1</v>
      </c>
      <c r="W472" s="81">
        <f>HLOOKUP(P472,データについて!$J$10:$M$18,9,FALSE)</f>
        <v>2</v>
      </c>
      <c r="X472" s="81">
        <f>HLOOKUP(Q472,データについて!$J$11:$M$18,8,FALSE)</f>
        <v>1</v>
      </c>
      <c r="Y472" s="81">
        <f>HLOOKUP(R472,データについて!$J$12:$M$18,7,FALSE)</f>
        <v>1</v>
      </c>
      <c r="Z472" s="81">
        <f>HLOOKUP(I472,データについて!$J$3:$M$18,16,FALSE)</f>
        <v>2</v>
      </c>
      <c r="AA472" s="81" t="str">
        <f>IFERROR(HLOOKUP(J472,データについて!$J$4:$AH$19,16,FALSE),"")</f>
        <v/>
      </c>
      <c r="AB472" s="81">
        <f>IFERROR(HLOOKUP(K472,データについて!$J$5:$AH$20,14,FALSE),"")</f>
        <v>0</v>
      </c>
      <c r="AC472" s="81">
        <f>IF(X472=1,HLOOKUP(R472,データについて!$J$12:$M$18,7,FALSE),"*")</f>
        <v>1</v>
      </c>
      <c r="AD472" s="81" t="str">
        <f>IF(X472=2,HLOOKUP(R472,データについて!$J$12:$M$18,7,FALSE),"*")</f>
        <v>*</v>
      </c>
    </row>
    <row r="473" spans="1:30">
      <c r="A473" s="30">
        <v>4719</v>
      </c>
      <c r="B473" s="30" t="s">
        <v>3955</v>
      </c>
      <c r="C473" s="30" t="s">
        <v>3956</v>
      </c>
      <c r="D473" s="30" t="s">
        <v>106</v>
      </c>
      <c r="E473" s="30"/>
      <c r="F473" s="30" t="s">
        <v>107</v>
      </c>
      <c r="G473" s="30" t="s">
        <v>106</v>
      </c>
      <c r="H473" s="30"/>
      <c r="I473" s="30" t="s">
        <v>191</v>
      </c>
      <c r="J473" s="30"/>
      <c r="K473" s="30" t="s">
        <v>126</v>
      </c>
      <c r="L473" s="30" t="s">
        <v>108</v>
      </c>
      <c r="M473" s="30" t="s">
        <v>113</v>
      </c>
      <c r="N473" s="30" t="s">
        <v>110</v>
      </c>
      <c r="O473" s="30" t="s">
        <v>115</v>
      </c>
      <c r="P473" s="30" t="s">
        <v>118</v>
      </c>
      <c r="Q473" s="30" t="s">
        <v>112</v>
      </c>
      <c r="R473" s="30" t="s">
        <v>183</v>
      </c>
      <c r="S473" s="81">
        <f>HLOOKUP(L473,データについて!$J$6:$M$18,13,FALSE)</f>
        <v>1</v>
      </c>
      <c r="T473" s="81">
        <f>HLOOKUP(M473,データについて!$J$7:$M$18,12,FALSE)</f>
        <v>1</v>
      </c>
      <c r="U473" s="81">
        <f>HLOOKUP(N473,データについて!$J$8:$M$18,11,FALSE)</f>
        <v>2</v>
      </c>
      <c r="V473" s="81">
        <f>HLOOKUP(O473,データについて!$J$9:$M$18,10,FALSE)</f>
        <v>1</v>
      </c>
      <c r="W473" s="81">
        <f>HLOOKUP(P473,データについて!$J$10:$M$18,9,FALSE)</f>
        <v>2</v>
      </c>
      <c r="X473" s="81">
        <f>HLOOKUP(Q473,データについて!$J$11:$M$18,8,FALSE)</f>
        <v>1</v>
      </c>
      <c r="Y473" s="81">
        <f>HLOOKUP(R473,データについて!$J$12:$M$18,7,FALSE)</f>
        <v>1</v>
      </c>
      <c r="Z473" s="81">
        <f>HLOOKUP(I473,データについて!$J$3:$M$18,16,FALSE)</f>
        <v>2</v>
      </c>
      <c r="AA473" s="81" t="str">
        <f>IFERROR(HLOOKUP(J473,データについて!$J$4:$AH$19,16,FALSE),"")</f>
        <v/>
      </c>
      <c r="AB473" s="81">
        <f>IFERROR(HLOOKUP(K473,データについて!$J$5:$AH$20,14,FALSE),"")</f>
        <v>0</v>
      </c>
      <c r="AC473" s="81">
        <f>IF(X473=1,HLOOKUP(R473,データについて!$J$12:$M$18,7,FALSE),"*")</f>
        <v>1</v>
      </c>
      <c r="AD473" s="81" t="str">
        <f>IF(X473=2,HLOOKUP(R473,データについて!$J$12:$M$18,7,FALSE),"*")</f>
        <v>*</v>
      </c>
    </row>
    <row r="474" spans="1:30">
      <c r="A474" s="30">
        <v>4718</v>
      </c>
      <c r="B474" s="30" t="s">
        <v>3957</v>
      </c>
      <c r="C474" s="30" t="s">
        <v>3958</v>
      </c>
      <c r="D474" s="30" t="s">
        <v>106</v>
      </c>
      <c r="E474" s="30"/>
      <c r="F474" s="30" t="s">
        <v>107</v>
      </c>
      <c r="G474" s="30" t="s">
        <v>106</v>
      </c>
      <c r="H474" s="30"/>
      <c r="I474" s="30" t="s">
        <v>191</v>
      </c>
      <c r="J474" s="30"/>
      <c r="K474" s="30" t="s">
        <v>126</v>
      </c>
      <c r="L474" s="30" t="s">
        <v>108</v>
      </c>
      <c r="M474" s="30" t="s">
        <v>113</v>
      </c>
      <c r="N474" s="30" t="s">
        <v>114</v>
      </c>
      <c r="O474" s="30" t="s">
        <v>115</v>
      </c>
      <c r="P474" s="30" t="s">
        <v>118</v>
      </c>
      <c r="Q474" s="30" t="s">
        <v>112</v>
      </c>
      <c r="R474" s="30" t="s">
        <v>183</v>
      </c>
      <c r="S474" s="81">
        <f>HLOOKUP(L474,データについて!$J$6:$M$18,13,FALSE)</f>
        <v>1</v>
      </c>
      <c r="T474" s="81">
        <f>HLOOKUP(M474,データについて!$J$7:$M$18,12,FALSE)</f>
        <v>1</v>
      </c>
      <c r="U474" s="81">
        <f>HLOOKUP(N474,データについて!$J$8:$M$18,11,FALSE)</f>
        <v>1</v>
      </c>
      <c r="V474" s="81">
        <f>HLOOKUP(O474,データについて!$J$9:$M$18,10,FALSE)</f>
        <v>1</v>
      </c>
      <c r="W474" s="81">
        <f>HLOOKUP(P474,データについて!$J$10:$M$18,9,FALSE)</f>
        <v>2</v>
      </c>
      <c r="X474" s="81">
        <f>HLOOKUP(Q474,データについて!$J$11:$M$18,8,FALSE)</f>
        <v>1</v>
      </c>
      <c r="Y474" s="81">
        <f>HLOOKUP(R474,データについて!$J$12:$M$18,7,FALSE)</f>
        <v>1</v>
      </c>
      <c r="Z474" s="81">
        <f>HLOOKUP(I474,データについて!$J$3:$M$18,16,FALSE)</f>
        <v>2</v>
      </c>
      <c r="AA474" s="81" t="str">
        <f>IFERROR(HLOOKUP(J474,データについて!$J$4:$AH$19,16,FALSE),"")</f>
        <v/>
      </c>
      <c r="AB474" s="81">
        <f>IFERROR(HLOOKUP(K474,データについて!$J$5:$AH$20,14,FALSE),"")</f>
        <v>0</v>
      </c>
      <c r="AC474" s="81">
        <f>IF(X474=1,HLOOKUP(R474,データについて!$J$12:$M$18,7,FALSE),"*")</f>
        <v>1</v>
      </c>
      <c r="AD474" s="81" t="str">
        <f>IF(X474=2,HLOOKUP(R474,データについて!$J$12:$M$18,7,FALSE),"*")</f>
        <v>*</v>
      </c>
    </row>
    <row r="475" spans="1:30">
      <c r="A475" s="30">
        <v>4717</v>
      </c>
      <c r="B475" s="30" t="s">
        <v>3959</v>
      </c>
      <c r="C475" s="30" t="s">
        <v>3960</v>
      </c>
      <c r="D475" s="30" t="s">
        <v>106</v>
      </c>
      <c r="E475" s="30"/>
      <c r="F475" s="30" t="s">
        <v>107</v>
      </c>
      <c r="G475" s="30" t="s">
        <v>106</v>
      </c>
      <c r="H475" s="30"/>
      <c r="I475" s="30" t="s">
        <v>191</v>
      </c>
      <c r="J475" s="30"/>
      <c r="K475" s="30" t="s">
        <v>126</v>
      </c>
      <c r="L475" s="30" t="s">
        <v>108</v>
      </c>
      <c r="M475" s="30" t="s">
        <v>109</v>
      </c>
      <c r="N475" s="30" t="s">
        <v>110</v>
      </c>
      <c r="O475" s="30" t="s">
        <v>123</v>
      </c>
      <c r="P475" s="30" t="s">
        <v>112</v>
      </c>
      <c r="Q475" s="30" t="s">
        <v>112</v>
      </c>
      <c r="R475" s="30" t="s">
        <v>185</v>
      </c>
      <c r="S475" s="81">
        <f>HLOOKUP(L475,データについて!$J$6:$M$18,13,FALSE)</f>
        <v>1</v>
      </c>
      <c r="T475" s="81">
        <f>HLOOKUP(M475,データについて!$J$7:$M$18,12,FALSE)</f>
        <v>2</v>
      </c>
      <c r="U475" s="81">
        <f>HLOOKUP(N475,データについて!$J$8:$M$18,11,FALSE)</f>
        <v>2</v>
      </c>
      <c r="V475" s="81">
        <f>HLOOKUP(O475,データについて!$J$9:$M$18,10,FALSE)</f>
        <v>4</v>
      </c>
      <c r="W475" s="81">
        <f>HLOOKUP(P475,データについて!$J$10:$M$18,9,FALSE)</f>
        <v>1</v>
      </c>
      <c r="X475" s="81">
        <f>HLOOKUP(Q475,データについて!$J$11:$M$18,8,FALSE)</f>
        <v>1</v>
      </c>
      <c r="Y475" s="81">
        <f>HLOOKUP(R475,データについて!$J$12:$M$18,7,FALSE)</f>
        <v>2</v>
      </c>
      <c r="Z475" s="81">
        <f>HLOOKUP(I475,データについて!$J$3:$M$18,16,FALSE)</f>
        <v>2</v>
      </c>
      <c r="AA475" s="81" t="str">
        <f>IFERROR(HLOOKUP(J475,データについて!$J$4:$AH$19,16,FALSE),"")</f>
        <v/>
      </c>
      <c r="AB475" s="81">
        <f>IFERROR(HLOOKUP(K475,データについて!$J$5:$AH$20,14,FALSE),"")</f>
        <v>0</v>
      </c>
      <c r="AC475" s="81">
        <f>IF(X475=1,HLOOKUP(R475,データについて!$J$12:$M$18,7,FALSE),"*")</f>
        <v>2</v>
      </c>
      <c r="AD475" s="81" t="str">
        <f>IF(X475=2,HLOOKUP(R475,データについて!$J$12:$M$18,7,FALSE),"*")</f>
        <v>*</v>
      </c>
    </row>
    <row r="476" spans="1:30">
      <c r="A476" s="30">
        <v>4716</v>
      </c>
      <c r="B476" s="30" t="s">
        <v>3961</v>
      </c>
      <c r="C476" s="30" t="s">
        <v>3962</v>
      </c>
      <c r="D476" s="30" t="s">
        <v>106</v>
      </c>
      <c r="E476" s="30"/>
      <c r="F476" s="30" t="s">
        <v>107</v>
      </c>
      <c r="G476" s="30" t="s">
        <v>106</v>
      </c>
      <c r="H476" s="30"/>
      <c r="I476" s="30" t="s">
        <v>191</v>
      </c>
      <c r="J476" s="30"/>
      <c r="K476" s="30" t="s">
        <v>126</v>
      </c>
      <c r="L476" s="30" t="s">
        <v>108</v>
      </c>
      <c r="M476" s="30" t="s">
        <v>109</v>
      </c>
      <c r="N476" s="30" t="s">
        <v>110</v>
      </c>
      <c r="O476" s="30" t="s">
        <v>115</v>
      </c>
      <c r="P476" s="30" t="s">
        <v>112</v>
      </c>
      <c r="Q476" s="30" t="s">
        <v>112</v>
      </c>
      <c r="R476" s="30" t="s">
        <v>183</v>
      </c>
      <c r="S476" s="81">
        <f>HLOOKUP(L476,データについて!$J$6:$M$18,13,FALSE)</f>
        <v>1</v>
      </c>
      <c r="T476" s="81">
        <f>HLOOKUP(M476,データについて!$J$7:$M$18,12,FALSE)</f>
        <v>2</v>
      </c>
      <c r="U476" s="81">
        <f>HLOOKUP(N476,データについて!$J$8:$M$18,11,FALSE)</f>
        <v>2</v>
      </c>
      <c r="V476" s="81">
        <f>HLOOKUP(O476,データについて!$J$9:$M$18,10,FALSE)</f>
        <v>1</v>
      </c>
      <c r="W476" s="81">
        <f>HLOOKUP(P476,データについて!$J$10:$M$18,9,FALSE)</f>
        <v>1</v>
      </c>
      <c r="X476" s="81">
        <f>HLOOKUP(Q476,データについて!$J$11:$M$18,8,FALSE)</f>
        <v>1</v>
      </c>
      <c r="Y476" s="81">
        <f>HLOOKUP(R476,データについて!$J$12:$M$18,7,FALSE)</f>
        <v>1</v>
      </c>
      <c r="Z476" s="81">
        <f>HLOOKUP(I476,データについて!$J$3:$M$18,16,FALSE)</f>
        <v>2</v>
      </c>
      <c r="AA476" s="81" t="str">
        <f>IFERROR(HLOOKUP(J476,データについて!$J$4:$AH$19,16,FALSE),"")</f>
        <v/>
      </c>
      <c r="AB476" s="81">
        <f>IFERROR(HLOOKUP(K476,データについて!$J$5:$AH$20,14,FALSE),"")</f>
        <v>0</v>
      </c>
      <c r="AC476" s="81">
        <f>IF(X476=1,HLOOKUP(R476,データについて!$J$12:$M$18,7,FALSE),"*")</f>
        <v>1</v>
      </c>
      <c r="AD476" s="81" t="str">
        <f>IF(X476=2,HLOOKUP(R476,データについて!$J$12:$M$18,7,FALSE),"*")</f>
        <v>*</v>
      </c>
    </row>
    <row r="477" spans="1:30">
      <c r="A477" s="30">
        <v>4715</v>
      </c>
      <c r="B477" s="30" t="s">
        <v>3963</v>
      </c>
      <c r="C477" s="30" t="s">
        <v>3964</v>
      </c>
      <c r="D477" s="30" t="s">
        <v>106</v>
      </c>
      <c r="E477" s="30"/>
      <c r="F477" s="30" t="s">
        <v>107</v>
      </c>
      <c r="G477" s="30" t="s">
        <v>106</v>
      </c>
      <c r="H477" s="30"/>
      <c r="I477" s="30" t="s">
        <v>191</v>
      </c>
      <c r="J477" s="30"/>
      <c r="K477" s="30" t="s">
        <v>126</v>
      </c>
      <c r="L477" s="30" t="s">
        <v>117</v>
      </c>
      <c r="M477" s="30" t="s">
        <v>113</v>
      </c>
      <c r="N477" s="30" t="s">
        <v>114</v>
      </c>
      <c r="O477" s="30" t="s">
        <v>115</v>
      </c>
      <c r="P477" s="30" t="s">
        <v>118</v>
      </c>
      <c r="Q477" s="30" t="s">
        <v>112</v>
      </c>
      <c r="R477" s="30" t="s">
        <v>185</v>
      </c>
      <c r="S477" s="81">
        <f>HLOOKUP(L477,データについて!$J$6:$M$18,13,FALSE)</f>
        <v>2</v>
      </c>
      <c r="T477" s="81">
        <f>HLOOKUP(M477,データについて!$J$7:$M$18,12,FALSE)</f>
        <v>1</v>
      </c>
      <c r="U477" s="81">
        <f>HLOOKUP(N477,データについて!$J$8:$M$18,11,FALSE)</f>
        <v>1</v>
      </c>
      <c r="V477" s="81">
        <f>HLOOKUP(O477,データについて!$J$9:$M$18,10,FALSE)</f>
        <v>1</v>
      </c>
      <c r="W477" s="81">
        <f>HLOOKUP(P477,データについて!$J$10:$M$18,9,FALSE)</f>
        <v>2</v>
      </c>
      <c r="X477" s="81">
        <f>HLOOKUP(Q477,データについて!$J$11:$M$18,8,FALSE)</f>
        <v>1</v>
      </c>
      <c r="Y477" s="81">
        <f>HLOOKUP(R477,データについて!$J$12:$M$18,7,FALSE)</f>
        <v>2</v>
      </c>
      <c r="Z477" s="81">
        <f>HLOOKUP(I477,データについて!$J$3:$M$18,16,FALSE)</f>
        <v>2</v>
      </c>
      <c r="AA477" s="81" t="str">
        <f>IFERROR(HLOOKUP(J477,データについて!$J$4:$AH$19,16,FALSE),"")</f>
        <v/>
      </c>
      <c r="AB477" s="81">
        <f>IFERROR(HLOOKUP(K477,データについて!$J$5:$AH$20,14,FALSE),"")</f>
        <v>0</v>
      </c>
      <c r="AC477" s="81">
        <f>IF(X477=1,HLOOKUP(R477,データについて!$J$12:$M$18,7,FALSE),"*")</f>
        <v>2</v>
      </c>
      <c r="AD477" s="81" t="str">
        <f>IF(X477=2,HLOOKUP(R477,データについて!$J$12:$M$18,7,FALSE),"*")</f>
        <v>*</v>
      </c>
    </row>
    <row r="478" spans="1:30">
      <c r="A478" s="30">
        <v>4714</v>
      </c>
      <c r="B478" s="30" t="s">
        <v>3965</v>
      </c>
      <c r="C478" s="30" t="s">
        <v>3966</v>
      </c>
      <c r="D478" s="30" t="s">
        <v>106</v>
      </c>
      <c r="E478" s="30"/>
      <c r="F478" s="30" t="s">
        <v>107</v>
      </c>
      <c r="G478" s="30" t="s">
        <v>106</v>
      </c>
      <c r="H478" s="30"/>
      <c r="I478" s="30" t="s">
        <v>191</v>
      </c>
      <c r="J478" s="30"/>
      <c r="K478" s="30" t="s">
        <v>126</v>
      </c>
      <c r="L478" s="30" t="s">
        <v>108</v>
      </c>
      <c r="M478" s="30" t="s">
        <v>109</v>
      </c>
      <c r="N478" s="30" t="s">
        <v>110</v>
      </c>
      <c r="O478" s="30" t="s">
        <v>115</v>
      </c>
      <c r="P478" s="30" t="s">
        <v>112</v>
      </c>
      <c r="Q478" s="30" t="s">
        <v>112</v>
      </c>
      <c r="R478" s="30" t="s">
        <v>189</v>
      </c>
      <c r="S478" s="81">
        <f>HLOOKUP(L478,データについて!$J$6:$M$18,13,FALSE)</f>
        <v>1</v>
      </c>
      <c r="T478" s="81">
        <f>HLOOKUP(M478,データについて!$J$7:$M$18,12,FALSE)</f>
        <v>2</v>
      </c>
      <c r="U478" s="81">
        <f>HLOOKUP(N478,データについて!$J$8:$M$18,11,FALSE)</f>
        <v>2</v>
      </c>
      <c r="V478" s="81">
        <f>HLOOKUP(O478,データについて!$J$9:$M$18,10,FALSE)</f>
        <v>1</v>
      </c>
      <c r="W478" s="81">
        <f>HLOOKUP(P478,データについて!$J$10:$M$18,9,FALSE)</f>
        <v>1</v>
      </c>
      <c r="X478" s="81">
        <f>HLOOKUP(Q478,データについて!$J$11:$M$18,8,FALSE)</f>
        <v>1</v>
      </c>
      <c r="Y478" s="81">
        <f>HLOOKUP(R478,データについて!$J$12:$M$18,7,FALSE)</f>
        <v>4</v>
      </c>
      <c r="Z478" s="81">
        <f>HLOOKUP(I478,データについて!$J$3:$M$18,16,FALSE)</f>
        <v>2</v>
      </c>
      <c r="AA478" s="81" t="str">
        <f>IFERROR(HLOOKUP(J478,データについて!$J$4:$AH$19,16,FALSE),"")</f>
        <v/>
      </c>
      <c r="AB478" s="81">
        <f>IFERROR(HLOOKUP(K478,データについて!$J$5:$AH$20,14,FALSE),"")</f>
        <v>0</v>
      </c>
      <c r="AC478" s="81">
        <f>IF(X478=1,HLOOKUP(R478,データについて!$J$12:$M$18,7,FALSE),"*")</f>
        <v>4</v>
      </c>
      <c r="AD478" s="81" t="str">
        <f>IF(X478=2,HLOOKUP(R478,データについて!$J$12:$M$18,7,FALSE),"*")</f>
        <v>*</v>
      </c>
    </row>
    <row r="479" spans="1:30">
      <c r="A479" s="30">
        <v>4713</v>
      </c>
      <c r="B479" s="30" t="s">
        <v>3967</v>
      </c>
      <c r="C479" s="30" t="s">
        <v>3968</v>
      </c>
      <c r="D479" s="30" t="s">
        <v>106</v>
      </c>
      <c r="E479" s="30"/>
      <c r="F479" s="30" t="s">
        <v>107</v>
      </c>
      <c r="G479" s="30" t="s">
        <v>106</v>
      </c>
      <c r="H479" s="30"/>
      <c r="I479" s="30" t="s">
        <v>191</v>
      </c>
      <c r="J479" s="30"/>
      <c r="K479" s="30" t="s">
        <v>126</v>
      </c>
      <c r="L479" s="30" t="s">
        <v>117</v>
      </c>
      <c r="M479" s="30" t="s">
        <v>109</v>
      </c>
      <c r="N479" s="30" t="s">
        <v>110</v>
      </c>
      <c r="O479" s="30" t="s">
        <v>115</v>
      </c>
      <c r="P479" s="30" t="s">
        <v>118</v>
      </c>
      <c r="Q479" s="30" t="s">
        <v>112</v>
      </c>
      <c r="R479" s="30" t="s">
        <v>183</v>
      </c>
      <c r="S479" s="81">
        <f>HLOOKUP(L479,データについて!$J$6:$M$18,13,FALSE)</f>
        <v>2</v>
      </c>
      <c r="T479" s="81">
        <f>HLOOKUP(M479,データについて!$J$7:$M$18,12,FALSE)</f>
        <v>2</v>
      </c>
      <c r="U479" s="81">
        <f>HLOOKUP(N479,データについて!$J$8:$M$18,11,FALSE)</f>
        <v>2</v>
      </c>
      <c r="V479" s="81">
        <f>HLOOKUP(O479,データについて!$J$9:$M$18,10,FALSE)</f>
        <v>1</v>
      </c>
      <c r="W479" s="81">
        <f>HLOOKUP(P479,データについて!$J$10:$M$18,9,FALSE)</f>
        <v>2</v>
      </c>
      <c r="X479" s="81">
        <f>HLOOKUP(Q479,データについて!$J$11:$M$18,8,FALSE)</f>
        <v>1</v>
      </c>
      <c r="Y479" s="81">
        <f>HLOOKUP(R479,データについて!$J$12:$M$18,7,FALSE)</f>
        <v>1</v>
      </c>
      <c r="Z479" s="81">
        <f>HLOOKUP(I479,データについて!$J$3:$M$18,16,FALSE)</f>
        <v>2</v>
      </c>
      <c r="AA479" s="81" t="str">
        <f>IFERROR(HLOOKUP(J479,データについて!$J$4:$AH$19,16,FALSE),"")</f>
        <v/>
      </c>
      <c r="AB479" s="81">
        <f>IFERROR(HLOOKUP(K479,データについて!$J$5:$AH$20,14,FALSE),"")</f>
        <v>0</v>
      </c>
      <c r="AC479" s="81">
        <f>IF(X479=1,HLOOKUP(R479,データについて!$J$12:$M$18,7,FALSE),"*")</f>
        <v>1</v>
      </c>
      <c r="AD479" s="81" t="str">
        <f>IF(X479=2,HLOOKUP(R479,データについて!$J$12:$M$18,7,FALSE),"*")</f>
        <v>*</v>
      </c>
    </row>
    <row r="480" spans="1:30">
      <c r="A480" s="30">
        <v>4712</v>
      </c>
      <c r="B480" s="30" t="s">
        <v>3969</v>
      </c>
      <c r="C480" s="30" t="s">
        <v>3970</v>
      </c>
      <c r="D480" s="30" t="s">
        <v>106</v>
      </c>
      <c r="E480" s="30"/>
      <c r="F480" s="30" t="s">
        <v>107</v>
      </c>
      <c r="G480" s="30" t="s">
        <v>106</v>
      </c>
      <c r="H480" s="30"/>
      <c r="I480" s="30" t="s">
        <v>191</v>
      </c>
      <c r="J480" s="30"/>
      <c r="K480" s="30" t="s">
        <v>126</v>
      </c>
      <c r="L480" s="30" t="s">
        <v>108</v>
      </c>
      <c r="M480" s="30" t="s">
        <v>113</v>
      </c>
      <c r="N480" s="30" t="s">
        <v>114</v>
      </c>
      <c r="O480" s="30" t="s">
        <v>116</v>
      </c>
      <c r="P480" s="30" t="s">
        <v>118</v>
      </c>
      <c r="Q480" s="30" t="s">
        <v>112</v>
      </c>
      <c r="R480" s="30" t="s">
        <v>185</v>
      </c>
      <c r="S480" s="81">
        <f>HLOOKUP(L480,データについて!$J$6:$M$18,13,FALSE)</f>
        <v>1</v>
      </c>
      <c r="T480" s="81">
        <f>HLOOKUP(M480,データについて!$J$7:$M$18,12,FALSE)</f>
        <v>1</v>
      </c>
      <c r="U480" s="81">
        <f>HLOOKUP(N480,データについて!$J$8:$M$18,11,FALSE)</f>
        <v>1</v>
      </c>
      <c r="V480" s="81">
        <f>HLOOKUP(O480,データについて!$J$9:$M$18,10,FALSE)</f>
        <v>2</v>
      </c>
      <c r="W480" s="81">
        <f>HLOOKUP(P480,データについて!$J$10:$M$18,9,FALSE)</f>
        <v>2</v>
      </c>
      <c r="X480" s="81">
        <f>HLOOKUP(Q480,データについて!$J$11:$M$18,8,FALSE)</f>
        <v>1</v>
      </c>
      <c r="Y480" s="81">
        <f>HLOOKUP(R480,データについて!$J$12:$M$18,7,FALSE)</f>
        <v>2</v>
      </c>
      <c r="Z480" s="81">
        <f>HLOOKUP(I480,データについて!$J$3:$M$18,16,FALSE)</f>
        <v>2</v>
      </c>
      <c r="AA480" s="81" t="str">
        <f>IFERROR(HLOOKUP(J480,データについて!$J$4:$AH$19,16,FALSE),"")</f>
        <v/>
      </c>
      <c r="AB480" s="81">
        <f>IFERROR(HLOOKUP(K480,データについて!$J$5:$AH$20,14,FALSE),"")</f>
        <v>0</v>
      </c>
      <c r="AC480" s="81">
        <f>IF(X480=1,HLOOKUP(R480,データについて!$J$12:$M$18,7,FALSE),"*")</f>
        <v>2</v>
      </c>
      <c r="AD480" s="81" t="str">
        <f>IF(X480=2,HLOOKUP(R480,データについて!$J$12:$M$18,7,FALSE),"*")</f>
        <v>*</v>
      </c>
    </row>
    <row r="481" spans="1:30">
      <c r="A481" s="30">
        <v>4711</v>
      </c>
      <c r="B481" s="30" t="s">
        <v>3971</v>
      </c>
      <c r="C481" s="30" t="s">
        <v>3972</v>
      </c>
      <c r="D481" s="30" t="s">
        <v>106</v>
      </c>
      <c r="E481" s="30"/>
      <c r="F481" s="30" t="s">
        <v>107</v>
      </c>
      <c r="G481" s="30" t="s">
        <v>106</v>
      </c>
      <c r="H481" s="30"/>
      <c r="I481" s="30" t="s">
        <v>191</v>
      </c>
      <c r="J481" s="30"/>
      <c r="K481" s="30" t="s">
        <v>126</v>
      </c>
      <c r="L481" s="30" t="s">
        <v>117</v>
      </c>
      <c r="M481" s="30" t="s">
        <v>113</v>
      </c>
      <c r="N481" s="30" t="s">
        <v>110</v>
      </c>
      <c r="O481" s="30" t="s">
        <v>115</v>
      </c>
      <c r="P481" s="30" t="s">
        <v>118</v>
      </c>
      <c r="Q481" s="30" t="s">
        <v>112</v>
      </c>
      <c r="R481" s="30" t="s">
        <v>185</v>
      </c>
      <c r="S481" s="81">
        <f>HLOOKUP(L481,データについて!$J$6:$M$18,13,FALSE)</f>
        <v>2</v>
      </c>
      <c r="T481" s="81">
        <f>HLOOKUP(M481,データについて!$J$7:$M$18,12,FALSE)</f>
        <v>1</v>
      </c>
      <c r="U481" s="81">
        <f>HLOOKUP(N481,データについて!$J$8:$M$18,11,FALSE)</f>
        <v>2</v>
      </c>
      <c r="V481" s="81">
        <f>HLOOKUP(O481,データについて!$J$9:$M$18,10,FALSE)</f>
        <v>1</v>
      </c>
      <c r="W481" s="81">
        <f>HLOOKUP(P481,データについて!$J$10:$M$18,9,FALSE)</f>
        <v>2</v>
      </c>
      <c r="X481" s="81">
        <f>HLOOKUP(Q481,データについて!$J$11:$M$18,8,FALSE)</f>
        <v>1</v>
      </c>
      <c r="Y481" s="81">
        <f>HLOOKUP(R481,データについて!$J$12:$M$18,7,FALSE)</f>
        <v>2</v>
      </c>
      <c r="Z481" s="81">
        <f>HLOOKUP(I481,データについて!$J$3:$M$18,16,FALSE)</f>
        <v>2</v>
      </c>
      <c r="AA481" s="81" t="str">
        <f>IFERROR(HLOOKUP(J481,データについて!$J$4:$AH$19,16,FALSE),"")</f>
        <v/>
      </c>
      <c r="AB481" s="81">
        <f>IFERROR(HLOOKUP(K481,データについて!$J$5:$AH$20,14,FALSE),"")</f>
        <v>0</v>
      </c>
      <c r="AC481" s="81">
        <f>IF(X481=1,HLOOKUP(R481,データについて!$J$12:$M$18,7,FALSE),"*")</f>
        <v>2</v>
      </c>
      <c r="AD481" s="81" t="str">
        <f>IF(X481=2,HLOOKUP(R481,データについて!$J$12:$M$18,7,FALSE),"*")</f>
        <v>*</v>
      </c>
    </row>
    <row r="482" spans="1:30">
      <c r="A482" s="30">
        <v>4710</v>
      </c>
      <c r="B482" s="30" t="s">
        <v>3973</v>
      </c>
      <c r="C482" s="30" t="s">
        <v>3972</v>
      </c>
      <c r="D482" s="30" t="s">
        <v>106</v>
      </c>
      <c r="E482" s="30"/>
      <c r="F482" s="30" t="s">
        <v>107</v>
      </c>
      <c r="G482" s="30" t="s">
        <v>106</v>
      </c>
      <c r="H482" s="30"/>
      <c r="I482" s="30" t="s">
        <v>191</v>
      </c>
      <c r="J482" s="30"/>
      <c r="K482" s="30" t="s">
        <v>126</v>
      </c>
      <c r="L482" s="30" t="s">
        <v>117</v>
      </c>
      <c r="M482" s="30" t="s">
        <v>109</v>
      </c>
      <c r="N482" s="30" t="s">
        <v>110</v>
      </c>
      <c r="O482" s="30" t="s">
        <v>116</v>
      </c>
      <c r="P482" s="30" t="s">
        <v>118</v>
      </c>
      <c r="Q482" s="30" t="s">
        <v>112</v>
      </c>
      <c r="R482" s="30" t="s">
        <v>187</v>
      </c>
      <c r="S482" s="81">
        <f>HLOOKUP(L482,データについて!$J$6:$M$18,13,FALSE)</f>
        <v>2</v>
      </c>
      <c r="T482" s="81">
        <f>HLOOKUP(M482,データについて!$J$7:$M$18,12,FALSE)</f>
        <v>2</v>
      </c>
      <c r="U482" s="81">
        <f>HLOOKUP(N482,データについて!$J$8:$M$18,11,FALSE)</f>
        <v>2</v>
      </c>
      <c r="V482" s="81">
        <f>HLOOKUP(O482,データについて!$J$9:$M$18,10,FALSE)</f>
        <v>2</v>
      </c>
      <c r="W482" s="81">
        <f>HLOOKUP(P482,データについて!$J$10:$M$18,9,FALSE)</f>
        <v>2</v>
      </c>
      <c r="X482" s="81">
        <f>HLOOKUP(Q482,データについて!$J$11:$M$18,8,FALSE)</f>
        <v>1</v>
      </c>
      <c r="Y482" s="81">
        <f>HLOOKUP(R482,データについて!$J$12:$M$18,7,FALSE)</f>
        <v>3</v>
      </c>
      <c r="Z482" s="81">
        <f>HLOOKUP(I482,データについて!$J$3:$M$18,16,FALSE)</f>
        <v>2</v>
      </c>
      <c r="AA482" s="81" t="str">
        <f>IFERROR(HLOOKUP(J482,データについて!$J$4:$AH$19,16,FALSE),"")</f>
        <v/>
      </c>
      <c r="AB482" s="81">
        <f>IFERROR(HLOOKUP(K482,データについて!$J$5:$AH$20,14,FALSE),"")</f>
        <v>0</v>
      </c>
      <c r="AC482" s="81">
        <f>IF(X482=1,HLOOKUP(R482,データについて!$J$12:$M$18,7,FALSE),"*")</f>
        <v>3</v>
      </c>
      <c r="AD482" s="81" t="str">
        <f>IF(X482=2,HLOOKUP(R482,データについて!$J$12:$M$18,7,FALSE),"*")</f>
        <v>*</v>
      </c>
    </row>
    <row r="483" spans="1:30">
      <c r="A483" s="30">
        <v>4709</v>
      </c>
      <c r="B483" s="30" t="s">
        <v>3974</v>
      </c>
      <c r="C483" s="30" t="s">
        <v>3975</v>
      </c>
      <c r="D483" s="30" t="s">
        <v>106</v>
      </c>
      <c r="E483" s="30"/>
      <c r="F483" s="30" t="s">
        <v>107</v>
      </c>
      <c r="G483" s="30" t="s">
        <v>106</v>
      </c>
      <c r="H483" s="30"/>
      <c r="I483" s="30" t="s">
        <v>191</v>
      </c>
      <c r="J483" s="30"/>
      <c r="K483" s="30" t="s">
        <v>126</v>
      </c>
      <c r="L483" s="30" t="s">
        <v>117</v>
      </c>
      <c r="M483" s="30" t="s">
        <v>113</v>
      </c>
      <c r="N483" s="30" t="s">
        <v>114</v>
      </c>
      <c r="O483" s="30" t="s">
        <v>115</v>
      </c>
      <c r="P483" s="30" t="s">
        <v>118</v>
      </c>
      <c r="Q483" s="30" t="s">
        <v>112</v>
      </c>
      <c r="R483" s="30" t="s">
        <v>185</v>
      </c>
      <c r="S483" s="81">
        <f>HLOOKUP(L483,データについて!$J$6:$M$18,13,FALSE)</f>
        <v>2</v>
      </c>
      <c r="T483" s="81">
        <f>HLOOKUP(M483,データについて!$J$7:$M$18,12,FALSE)</f>
        <v>1</v>
      </c>
      <c r="U483" s="81">
        <f>HLOOKUP(N483,データについて!$J$8:$M$18,11,FALSE)</f>
        <v>1</v>
      </c>
      <c r="V483" s="81">
        <f>HLOOKUP(O483,データについて!$J$9:$M$18,10,FALSE)</f>
        <v>1</v>
      </c>
      <c r="W483" s="81">
        <f>HLOOKUP(P483,データについて!$J$10:$M$18,9,FALSE)</f>
        <v>2</v>
      </c>
      <c r="X483" s="81">
        <f>HLOOKUP(Q483,データについて!$J$11:$M$18,8,FALSE)</f>
        <v>1</v>
      </c>
      <c r="Y483" s="81">
        <f>HLOOKUP(R483,データについて!$J$12:$M$18,7,FALSE)</f>
        <v>2</v>
      </c>
      <c r="Z483" s="81">
        <f>HLOOKUP(I483,データについて!$J$3:$M$18,16,FALSE)</f>
        <v>2</v>
      </c>
      <c r="AA483" s="81" t="str">
        <f>IFERROR(HLOOKUP(J483,データについて!$J$4:$AH$19,16,FALSE),"")</f>
        <v/>
      </c>
      <c r="AB483" s="81">
        <f>IFERROR(HLOOKUP(K483,データについて!$J$5:$AH$20,14,FALSE),"")</f>
        <v>0</v>
      </c>
      <c r="AC483" s="81">
        <f>IF(X483=1,HLOOKUP(R483,データについて!$J$12:$M$18,7,FALSE),"*")</f>
        <v>2</v>
      </c>
      <c r="AD483" s="81" t="str">
        <f>IF(X483=2,HLOOKUP(R483,データについて!$J$12:$M$18,7,FALSE),"*")</f>
        <v>*</v>
      </c>
    </row>
    <row r="484" spans="1:30">
      <c r="A484" s="30">
        <v>4708</v>
      </c>
      <c r="B484" s="30" t="s">
        <v>3976</v>
      </c>
      <c r="C484" s="30" t="s">
        <v>3977</v>
      </c>
      <c r="D484" s="30" t="s">
        <v>106</v>
      </c>
      <c r="E484" s="30"/>
      <c r="F484" s="30" t="s">
        <v>107</v>
      </c>
      <c r="G484" s="30" t="s">
        <v>106</v>
      </c>
      <c r="H484" s="30"/>
      <c r="I484" s="30" t="s">
        <v>191</v>
      </c>
      <c r="J484" s="30"/>
      <c r="K484" s="30" t="s">
        <v>126</v>
      </c>
      <c r="L484" s="30" t="s">
        <v>117</v>
      </c>
      <c r="M484" s="30" t="s">
        <v>124</v>
      </c>
      <c r="N484" s="30" t="s">
        <v>122</v>
      </c>
      <c r="O484" s="30" t="s">
        <v>115</v>
      </c>
      <c r="P484" s="30" t="s">
        <v>118</v>
      </c>
      <c r="Q484" s="30" t="s">
        <v>112</v>
      </c>
      <c r="R484" s="30" t="s">
        <v>187</v>
      </c>
      <c r="S484" s="81">
        <f>HLOOKUP(L484,データについて!$J$6:$M$18,13,FALSE)</f>
        <v>2</v>
      </c>
      <c r="T484" s="81">
        <f>HLOOKUP(M484,データについて!$J$7:$M$18,12,FALSE)</f>
        <v>3</v>
      </c>
      <c r="U484" s="81">
        <f>HLOOKUP(N484,データについて!$J$8:$M$18,11,FALSE)</f>
        <v>3</v>
      </c>
      <c r="V484" s="81">
        <f>HLOOKUP(O484,データについて!$J$9:$M$18,10,FALSE)</f>
        <v>1</v>
      </c>
      <c r="W484" s="81">
        <f>HLOOKUP(P484,データについて!$J$10:$M$18,9,FALSE)</f>
        <v>2</v>
      </c>
      <c r="X484" s="81">
        <f>HLOOKUP(Q484,データについて!$J$11:$M$18,8,FALSE)</f>
        <v>1</v>
      </c>
      <c r="Y484" s="81">
        <f>HLOOKUP(R484,データについて!$J$12:$M$18,7,FALSE)</f>
        <v>3</v>
      </c>
      <c r="Z484" s="81">
        <f>HLOOKUP(I484,データについて!$J$3:$M$18,16,FALSE)</f>
        <v>2</v>
      </c>
      <c r="AA484" s="81" t="str">
        <f>IFERROR(HLOOKUP(J484,データについて!$J$4:$AH$19,16,FALSE),"")</f>
        <v/>
      </c>
      <c r="AB484" s="81">
        <f>IFERROR(HLOOKUP(K484,データについて!$J$5:$AH$20,14,FALSE),"")</f>
        <v>0</v>
      </c>
      <c r="AC484" s="81">
        <f>IF(X484=1,HLOOKUP(R484,データについて!$J$12:$M$18,7,FALSE),"*")</f>
        <v>3</v>
      </c>
      <c r="AD484" s="81" t="str">
        <f>IF(X484=2,HLOOKUP(R484,データについて!$J$12:$M$18,7,FALSE),"*")</f>
        <v>*</v>
      </c>
    </row>
    <row r="485" spans="1:30">
      <c r="A485" s="30">
        <v>4707</v>
      </c>
      <c r="B485" s="30" t="s">
        <v>3978</v>
      </c>
      <c r="C485" s="30" t="s">
        <v>3979</v>
      </c>
      <c r="D485" s="30" t="s">
        <v>106</v>
      </c>
      <c r="E485" s="30"/>
      <c r="F485" s="30" t="s">
        <v>107</v>
      </c>
      <c r="G485" s="30" t="s">
        <v>106</v>
      </c>
      <c r="H485" s="30"/>
      <c r="I485" s="30" t="s">
        <v>191</v>
      </c>
      <c r="J485" s="30"/>
      <c r="K485" s="30" t="s">
        <v>126</v>
      </c>
      <c r="L485" s="30" t="s">
        <v>108</v>
      </c>
      <c r="M485" s="30" t="s">
        <v>109</v>
      </c>
      <c r="N485" s="30" t="s">
        <v>110</v>
      </c>
      <c r="O485" s="30" t="s">
        <v>115</v>
      </c>
      <c r="P485" s="30" t="s">
        <v>118</v>
      </c>
      <c r="Q485" s="30" t="s">
        <v>112</v>
      </c>
      <c r="R485" s="30" t="s">
        <v>185</v>
      </c>
      <c r="S485" s="81">
        <f>HLOOKUP(L485,データについて!$J$6:$M$18,13,FALSE)</f>
        <v>1</v>
      </c>
      <c r="T485" s="81">
        <f>HLOOKUP(M485,データについて!$J$7:$M$18,12,FALSE)</f>
        <v>2</v>
      </c>
      <c r="U485" s="81">
        <f>HLOOKUP(N485,データについて!$J$8:$M$18,11,FALSE)</f>
        <v>2</v>
      </c>
      <c r="V485" s="81">
        <f>HLOOKUP(O485,データについて!$J$9:$M$18,10,FALSE)</f>
        <v>1</v>
      </c>
      <c r="W485" s="81">
        <f>HLOOKUP(P485,データについて!$J$10:$M$18,9,FALSE)</f>
        <v>2</v>
      </c>
      <c r="X485" s="81">
        <f>HLOOKUP(Q485,データについて!$J$11:$M$18,8,FALSE)</f>
        <v>1</v>
      </c>
      <c r="Y485" s="81">
        <f>HLOOKUP(R485,データについて!$J$12:$M$18,7,FALSE)</f>
        <v>2</v>
      </c>
      <c r="Z485" s="81">
        <f>HLOOKUP(I485,データについて!$J$3:$M$18,16,FALSE)</f>
        <v>2</v>
      </c>
      <c r="AA485" s="81" t="str">
        <f>IFERROR(HLOOKUP(J485,データについて!$J$4:$AH$19,16,FALSE),"")</f>
        <v/>
      </c>
      <c r="AB485" s="81">
        <f>IFERROR(HLOOKUP(K485,データについて!$J$5:$AH$20,14,FALSE),"")</f>
        <v>0</v>
      </c>
      <c r="AC485" s="81">
        <f>IF(X485=1,HLOOKUP(R485,データについて!$J$12:$M$18,7,FALSE),"*")</f>
        <v>2</v>
      </c>
      <c r="AD485" s="81" t="str">
        <f>IF(X485=2,HLOOKUP(R485,データについて!$J$12:$M$18,7,FALSE),"*")</f>
        <v>*</v>
      </c>
    </row>
    <row r="486" spans="1:30">
      <c r="A486" s="30">
        <v>4706</v>
      </c>
      <c r="B486" s="30" t="s">
        <v>3980</v>
      </c>
      <c r="C486" s="30" t="s">
        <v>3981</v>
      </c>
      <c r="D486" s="30" t="s">
        <v>106</v>
      </c>
      <c r="E486" s="30"/>
      <c r="F486" s="30" t="s">
        <v>107</v>
      </c>
      <c r="G486" s="30" t="s">
        <v>106</v>
      </c>
      <c r="H486" s="30"/>
      <c r="I486" s="30" t="s">
        <v>191</v>
      </c>
      <c r="J486" s="30"/>
      <c r="K486" s="30" t="s">
        <v>126</v>
      </c>
      <c r="L486" s="30" t="s">
        <v>117</v>
      </c>
      <c r="M486" s="30" t="s">
        <v>113</v>
      </c>
      <c r="N486" s="30" t="s">
        <v>110</v>
      </c>
      <c r="O486" s="30" t="s">
        <v>115</v>
      </c>
      <c r="P486" s="30" t="s">
        <v>118</v>
      </c>
      <c r="Q486" s="30" t="s">
        <v>112</v>
      </c>
      <c r="R486" s="30" t="s">
        <v>185</v>
      </c>
      <c r="S486" s="81">
        <f>HLOOKUP(L486,データについて!$J$6:$M$18,13,FALSE)</f>
        <v>2</v>
      </c>
      <c r="T486" s="81">
        <f>HLOOKUP(M486,データについて!$J$7:$M$18,12,FALSE)</f>
        <v>1</v>
      </c>
      <c r="U486" s="81">
        <f>HLOOKUP(N486,データについて!$J$8:$M$18,11,FALSE)</f>
        <v>2</v>
      </c>
      <c r="V486" s="81">
        <f>HLOOKUP(O486,データについて!$J$9:$M$18,10,FALSE)</f>
        <v>1</v>
      </c>
      <c r="W486" s="81">
        <f>HLOOKUP(P486,データについて!$J$10:$M$18,9,FALSE)</f>
        <v>2</v>
      </c>
      <c r="X486" s="81">
        <f>HLOOKUP(Q486,データについて!$J$11:$M$18,8,FALSE)</f>
        <v>1</v>
      </c>
      <c r="Y486" s="81">
        <f>HLOOKUP(R486,データについて!$J$12:$M$18,7,FALSE)</f>
        <v>2</v>
      </c>
      <c r="Z486" s="81">
        <f>HLOOKUP(I486,データについて!$J$3:$M$18,16,FALSE)</f>
        <v>2</v>
      </c>
      <c r="AA486" s="81" t="str">
        <f>IFERROR(HLOOKUP(J486,データについて!$J$4:$AH$19,16,FALSE),"")</f>
        <v/>
      </c>
      <c r="AB486" s="81">
        <f>IFERROR(HLOOKUP(K486,データについて!$J$5:$AH$20,14,FALSE),"")</f>
        <v>0</v>
      </c>
      <c r="AC486" s="81">
        <f>IF(X486=1,HLOOKUP(R486,データについて!$J$12:$M$18,7,FALSE),"*")</f>
        <v>2</v>
      </c>
      <c r="AD486" s="81" t="str">
        <f>IF(X486=2,HLOOKUP(R486,データについて!$J$12:$M$18,7,FALSE),"*")</f>
        <v>*</v>
      </c>
    </row>
    <row r="487" spans="1:30">
      <c r="A487" s="30">
        <v>4705</v>
      </c>
      <c r="B487" s="30" t="s">
        <v>3982</v>
      </c>
      <c r="C487" s="30" t="s">
        <v>3983</v>
      </c>
      <c r="D487" s="30" t="s">
        <v>106</v>
      </c>
      <c r="E487" s="30"/>
      <c r="F487" s="30" t="s">
        <v>107</v>
      </c>
      <c r="G487" s="30" t="s">
        <v>106</v>
      </c>
      <c r="H487" s="30"/>
      <c r="I487" s="30" t="s">
        <v>191</v>
      </c>
      <c r="J487" s="30"/>
      <c r="K487" s="30" t="s">
        <v>126</v>
      </c>
      <c r="L487" s="30" t="s">
        <v>117</v>
      </c>
      <c r="M487" s="30" t="s">
        <v>113</v>
      </c>
      <c r="N487" s="30" t="s">
        <v>110</v>
      </c>
      <c r="O487" s="30" t="s">
        <v>115</v>
      </c>
      <c r="P487" s="30" t="s">
        <v>112</v>
      </c>
      <c r="Q487" s="30" t="s">
        <v>112</v>
      </c>
      <c r="R487" s="30" t="s">
        <v>185</v>
      </c>
      <c r="S487" s="81">
        <f>HLOOKUP(L487,データについて!$J$6:$M$18,13,FALSE)</f>
        <v>2</v>
      </c>
      <c r="T487" s="81">
        <f>HLOOKUP(M487,データについて!$J$7:$M$18,12,FALSE)</f>
        <v>1</v>
      </c>
      <c r="U487" s="81">
        <f>HLOOKUP(N487,データについて!$J$8:$M$18,11,FALSE)</f>
        <v>2</v>
      </c>
      <c r="V487" s="81">
        <f>HLOOKUP(O487,データについて!$J$9:$M$18,10,FALSE)</f>
        <v>1</v>
      </c>
      <c r="W487" s="81">
        <f>HLOOKUP(P487,データについて!$J$10:$M$18,9,FALSE)</f>
        <v>1</v>
      </c>
      <c r="X487" s="81">
        <f>HLOOKUP(Q487,データについて!$J$11:$M$18,8,FALSE)</f>
        <v>1</v>
      </c>
      <c r="Y487" s="81">
        <f>HLOOKUP(R487,データについて!$J$12:$M$18,7,FALSE)</f>
        <v>2</v>
      </c>
      <c r="Z487" s="81">
        <f>HLOOKUP(I487,データについて!$J$3:$M$18,16,FALSE)</f>
        <v>2</v>
      </c>
      <c r="AA487" s="81" t="str">
        <f>IFERROR(HLOOKUP(J487,データについて!$J$4:$AH$19,16,FALSE),"")</f>
        <v/>
      </c>
      <c r="AB487" s="81">
        <f>IFERROR(HLOOKUP(K487,データについて!$J$5:$AH$20,14,FALSE),"")</f>
        <v>0</v>
      </c>
      <c r="AC487" s="81">
        <f>IF(X487=1,HLOOKUP(R487,データについて!$J$12:$M$18,7,FALSE),"*")</f>
        <v>2</v>
      </c>
      <c r="AD487" s="81" t="str">
        <f>IF(X487=2,HLOOKUP(R487,データについて!$J$12:$M$18,7,FALSE),"*")</f>
        <v>*</v>
      </c>
    </row>
    <row r="488" spans="1:30">
      <c r="A488" s="30">
        <v>4704</v>
      </c>
      <c r="B488" s="30" t="s">
        <v>3984</v>
      </c>
      <c r="C488" s="30" t="s">
        <v>3985</v>
      </c>
      <c r="D488" s="30" t="s">
        <v>106</v>
      </c>
      <c r="E488" s="30"/>
      <c r="F488" s="30" t="s">
        <v>107</v>
      </c>
      <c r="G488" s="30" t="s">
        <v>106</v>
      </c>
      <c r="H488" s="30"/>
      <c r="I488" s="30" t="s">
        <v>191</v>
      </c>
      <c r="J488" s="30"/>
      <c r="K488" s="30" t="s">
        <v>126</v>
      </c>
      <c r="L488" s="30" t="s">
        <v>108</v>
      </c>
      <c r="M488" s="30" t="s">
        <v>109</v>
      </c>
      <c r="N488" s="30" t="s">
        <v>122</v>
      </c>
      <c r="O488" s="30" t="s">
        <v>123</v>
      </c>
      <c r="P488" s="30" t="s">
        <v>118</v>
      </c>
      <c r="Q488" s="30" t="s">
        <v>112</v>
      </c>
      <c r="R488" s="30" t="s">
        <v>187</v>
      </c>
      <c r="S488" s="81">
        <f>HLOOKUP(L488,データについて!$J$6:$M$18,13,FALSE)</f>
        <v>1</v>
      </c>
      <c r="T488" s="81">
        <f>HLOOKUP(M488,データについて!$J$7:$M$18,12,FALSE)</f>
        <v>2</v>
      </c>
      <c r="U488" s="81">
        <f>HLOOKUP(N488,データについて!$J$8:$M$18,11,FALSE)</f>
        <v>3</v>
      </c>
      <c r="V488" s="81">
        <f>HLOOKUP(O488,データについて!$J$9:$M$18,10,FALSE)</f>
        <v>4</v>
      </c>
      <c r="W488" s="81">
        <f>HLOOKUP(P488,データについて!$J$10:$M$18,9,FALSE)</f>
        <v>2</v>
      </c>
      <c r="X488" s="81">
        <f>HLOOKUP(Q488,データについて!$J$11:$M$18,8,FALSE)</f>
        <v>1</v>
      </c>
      <c r="Y488" s="81">
        <f>HLOOKUP(R488,データについて!$J$12:$M$18,7,FALSE)</f>
        <v>3</v>
      </c>
      <c r="Z488" s="81">
        <f>HLOOKUP(I488,データについて!$J$3:$M$18,16,FALSE)</f>
        <v>2</v>
      </c>
      <c r="AA488" s="81" t="str">
        <f>IFERROR(HLOOKUP(J488,データについて!$J$4:$AH$19,16,FALSE),"")</f>
        <v/>
      </c>
      <c r="AB488" s="81">
        <f>IFERROR(HLOOKUP(K488,データについて!$J$5:$AH$20,14,FALSE),"")</f>
        <v>0</v>
      </c>
      <c r="AC488" s="81">
        <f>IF(X488=1,HLOOKUP(R488,データについて!$J$12:$M$18,7,FALSE),"*")</f>
        <v>3</v>
      </c>
      <c r="AD488" s="81" t="str">
        <f>IF(X488=2,HLOOKUP(R488,データについて!$J$12:$M$18,7,FALSE),"*")</f>
        <v>*</v>
      </c>
    </row>
    <row r="489" spans="1:30">
      <c r="A489" s="30">
        <v>4703</v>
      </c>
      <c r="B489" s="30" t="s">
        <v>3986</v>
      </c>
      <c r="C489" s="30" t="s">
        <v>3985</v>
      </c>
      <c r="D489" s="30" t="s">
        <v>106</v>
      </c>
      <c r="E489" s="30"/>
      <c r="F489" s="30" t="s">
        <v>107</v>
      </c>
      <c r="G489" s="30" t="s">
        <v>106</v>
      </c>
      <c r="H489" s="30"/>
      <c r="I489" s="30" t="s">
        <v>191</v>
      </c>
      <c r="J489" s="30"/>
      <c r="K489" s="30" t="s">
        <v>126</v>
      </c>
      <c r="L489" s="30" t="s">
        <v>117</v>
      </c>
      <c r="M489" s="30" t="s">
        <v>109</v>
      </c>
      <c r="N489" s="30" t="s">
        <v>122</v>
      </c>
      <c r="O489" s="30" t="s">
        <v>115</v>
      </c>
      <c r="P489" s="30" t="s">
        <v>118</v>
      </c>
      <c r="Q489" s="30" t="s">
        <v>112</v>
      </c>
      <c r="R489" s="30" t="s">
        <v>187</v>
      </c>
      <c r="S489" s="81">
        <f>HLOOKUP(L489,データについて!$J$6:$M$18,13,FALSE)</f>
        <v>2</v>
      </c>
      <c r="T489" s="81">
        <f>HLOOKUP(M489,データについて!$J$7:$M$18,12,FALSE)</f>
        <v>2</v>
      </c>
      <c r="U489" s="81">
        <f>HLOOKUP(N489,データについて!$J$8:$M$18,11,FALSE)</f>
        <v>3</v>
      </c>
      <c r="V489" s="81">
        <f>HLOOKUP(O489,データについて!$J$9:$M$18,10,FALSE)</f>
        <v>1</v>
      </c>
      <c r="W489" s="81">
        <f>HLOOKUP(P489,データについて!$J$10:$M$18,9,FALSE)</f>
        <v>2</v>
      </c>
      <c r="X489" s="81">
        <f>HLOOKUP(Q489,データについて!$J$11:$M$18,8,FALSE)</f>
        <v>1</v>
      </c>
      <c r="Y489" s="81">
        <f>HLOOKUP(R489,データについて!$J$12:$M$18,7,FALSE)</f>
        <v>3</v>
      </c>
      <c r="Z489" s="81">
        <f>HLOOKUP(I489,データについて!$J$3:$M$18,16,FALSE)</f>
        <v>2</v>
      </c>
      <c r="AA489" s="81" t="str">
        <f>IFERROR(HLOOKUP(J489,データについて!$J$4:$AH$19,16,FALSE),"")</f>
        <v/>
      </c>
      <c r="AB489" s="81">
        <f>IFERROR(HLOOKUP(K489,データについて!$J$5:$AH$20,14,FALSE),"")</f>
        <v>0</v>
      </c>
      <c r="AC489" s="81">
        <f>IF(X489=1,HLOOKUP(R489,データについて!$J$12:$M$18,7,FALSE),"*")</f>
        <v>3</v>
      </c>
      <c r="AD489" s="81" t="str">
        <f>IF(X489=2,HLOOKUP(R489,データについて!$J$12:$M$18,7,FALSE),"*")</f>
        <v>*</v>
      </c>
    </row>
    <row r="490" spans="1:30">
      <c r="A490" s="30">
        <v>4702</v>
      </c>
      <c r="B490" s="30" t="s">
        <v>3987</v>
      </c>
      <c r="C490" s="30" t="s">
        <v>3988</v>
      </c>
      <c r="D490" s="30" t="s">
        <v>106</v>
      </c>
      <c r="E490" s="30"/>
      <c r="F490" s="30" t="s">
        <v>107</v>
      </c>
      <c r="G490" s="30" t="s">
        <v>106</v>
      </c>
      <c r="H490" s="30"/>
      <c r="I490" s="30" t="s">
        <v>191</v>
      </c>
      <c r="J490" s="30"/>
      <c r="K490" s="30" t="s">
        <v>126</v>
      </c>
      <c r="L490" s="30" t="s">
        <v>117</v>
      </c>
      <c r="M490" s="30" t="s">
        <v>113</v>
      </c>
      <c r="N490" s="30" t="s">
        <v>114</v>
      </c>
      <c r="O490" s="30" t="s">
        <v>115</v>
      </c>
      <c r="P490" s="30" t="s">
        <v>118</v>
      </c>
      <c r="Q490" s="30" t="s">
        <v>112</v>
      </c>
      <c r="R490" s="30" t="s">
        <v>185</v>
      </c>
      <c r="S490" s="81">
        <f>HLOOKUP(L490,データについて!$J$6:$M$18,13,FALSE)</f>
        <v>2</v>
      </c>
      <c r="T490" s="81">
        <f>HLOOKUP(M490,データについて!$J$7:$M$18,12,FALSE)</f>
        <v>1</v>
      </c>
      <c r="U490" s="81">
        <f>HLOOKUP(N490,データについて!$J$8:$M$18,11,FALSE)</f>
        <v>1</v>
      </c>
      <c r="V490" s="81">
        <f>HLOOKUP(O490,データについて!$J$9:$M$18,10,FALSE)</f>
        <v>1</v>
      </c>
      <c r="W490" s="81">
        <f>HLOOKUP(P490,データについて!$J$10:$M$18,9,FALSE)</f>
        <v>2</v>
      </c>
      <c r="X490" s="81">
        <f>HLOOKUP(Q490,データについて!$J$11:$M$18,8,FALSE)</f>
        <v>1</v>
      </c>
      <c r="Y490" s="81">
        <f>HLOOKUP(R490,データについて!$J$12:$M$18,7,FALSE)</f>
        <v>2</v>
      </c>
      <c r="Z490" s="81">
        <f>HLOOKUP(I490,データについて!$J$3:$M$18,16,FALSE)</f>
        <v>2</v>
      </c>
      <c r="AA490" s="81" t="str">
        <f>IFERROR(HLOOKUP(J490,データについて!$J$4:$AH$19,16,FALSE),"")</f>
        <v/>
      </c>
      <c r="AB490" s="81">
        <f>IFERROR(HLOOKUP(K490,データについて!$J$5:$AH$20,14,FALSE),"")</f>
        <v>0</v>
      </c>
      <c r="AC490" s="81">
        <f>IF(X490=1,HLOOKUP(R490,データについて!$J$12:$M$18,7,FALSE),"*")</f>
        <v>2</v>
      </c>
      <c r="AD490" s="81" t="str">
        <f>IF(X490=2,HLOOKUP(R490,データについて!$J$12:$M$18,7,FALSE),"*")</f>
        <v>*</v>
      </c>
    </row>
    <row r="491" spans="1:30">
      <c r="A491" s="30">
        <v>4701</v>
      </c>
      <c r="B491" s="30" t="s">
        <v>3989</v>
      </c>
      <c r="C491" s="30" t="s">
        <v>3990</v>
      </c>
      <c r="D491" s="30" t="s">
        <v>106</v>
      </c>
      <c r="E491" s="30"/>
      <c r="F491" s="30" t="s">
        <v>107</v>
      </c>
      <c r="G491" s="30" t="s">
        <v>106</v>
      </c>
      <c r="H491" s="30"/>
      <c r="I491" s="30" t="s">
        <v>191</v>
      </c>
      <c r="J491" s="30"/>
      <c r="K491" s="30" t="s">
        <v>126</v>
      </c>
      <c r="L491" s="30" t="s">
        <v>117</v>
      </c>
      <c r="M491" s="30" t="s">
        <v>109</v>
      </c>
      <c r="N491" s="30" t="s">
        <v>114</v>
      </c>
      <c r="O491" s="30" t="s">
        <v>115</v>
      </c>
      <c r="P491" s="30" t="s">
        <v>118</v>
      </c>
      <c r="Q491" s="30" t="s">
        <v>112</v>
      </c>
      <c r="R491" s="30" t="s">
        <v>185</v>
      </c>
      <c r="S491" s="81">
        <f>HLOOKUP(L491,データについて!$J$6:$M$18,13,FALSE)</f>
        <v>2</v>
      </c>
      <c r="T491" s="81">
        <f>HLOOKUP(M491,データについて!$J$7:$M$18,12,FALSE)</f>
        <v>2</v>
      </c>
      <c r="U491" s="81">
        <f>HLOOKUP(N491,データについて!$J$8:$M$18,11,FALSE)</f>
        <v>1</v>
      </c>
      <c r="V491" s="81">
        <f>HLOOKUP(O491,データについて!$J$9:$M$18,10,FALSE)</f>
        <v>1</v>
      </c>
      <c r="W491" s="81">
        <f>HLOOKUP(P491,データについて!$J$10:$M$18,9,FALSE)</f>
        <v>2</v>
      </c>
      <c r="X491" s="81">
        <f>HLOOKUP(Q491,データについて!$J$11:$M$18,8,FALSE)</f>
        <v>1</v>
      </c>
      <c r="Y491" s="81">
        <f>HLOOKUP(R491,データについて!$J$12:$M$18,7,FALSE)</f>
        <v>2</v>
      </c>
      <c r="Z491" s="81">
        <f>HLOOKUP(I491,データについて!$J$3:$M$18,16,FALSE)</f>
        <v>2</v>
      </c>
      <c r="AA491" s="81" t="str">
        <f>IFERROR(HLOOKUP(J491,データについて!$J$4:$AH$19,16,FALSE),"")</f>
        <v/>
      </c>
      <c r="AB491" s="81">
        <f>IFERROR(HLOOKUP(K491,データについて!$J$5:$AH$20,14,FALSE),"")</f>
        <v>0</v>
      </c>
      <c r="AC491" s="81">
        <f>IF(X491=1,HLOOKUP(R491,データについて!$J$12:$M$18,7,FALSE),"*")</f>
        <v>2</v>
      </c>
      <c r="AD491" s="81" t="str">
        <f>IF(X491=2,HLOOKUP(R491,データについて!$J$12:$M$18,7,FALSE),"*")</f>
        <v>*</v>
      </c>
    </row>
    <row r="492" spans="1:30">
      <c r="A492" s="30">
        <v>4700</v>
      </c>
      <c r="B492" s="30" t="s">
        <v>3991</v>
      </c>
      <c r="C492" s="30" t="s">
        <v>3992</v>
      </c>
      <c r="D492" s="30" t="s">
        <v>106</v>
      </c>
      <c r="E492" s="30"/>
      <c r="F492" s="30" t="s">
        <v>107</v>
      </c>
      <c r="G492" s="30" t="s">
        <v>106</v>
      </c>
      <c r="H492" s="30"/>
      <c r="I492" s="30" t="s">
        <v>191</v>
      </c>
      <c r="J492" s="30"/>
      <c r="K492" s="30" t="s">
        <v>126</v>
      </c>
      <c r="L492" s="30" t="s">
        <v>117</v>
      </c>
      <c r="M492" s="30" t="s">
        <v>113</v>
      </c>
      <c r="N492" s="30" t="s">
        <v>110</v>
      </c>
      <c r="O492" s="30" t="s">
        <v>115</v>
      </c>
      <c r="P492" s="30" t="s">
        <v>118</v>
      </c>
      <c r="Q492" s="30" t="s">
        <v>112</v>
      </c>
      <c r="R492" s="30" t="s">
        <v>185</v>
      </c>
      <c r="S492" s="81">
        <f>HLOOKUP(L492,データについて!$J$6:$M$18,13,FALSE)</f>
        <v>2</v>
      </c>
      <c r="T492" s="81">
        <f>HLOOKUP(M492,データについて!$J$7:$M$18,12,FALSE)</f>
        <v>1</v>
      </c>
      <c r="U492" s="81">
        <f>HLOOKUP(N492,データについて!$J$8:$M$18,11,FALSE)</f>
        <v>2</v>
      </c>
      <c r="V492" s="81">
        <f>HLOOKUP(O492,データについて!$J$9:$M$18,10,FALSE)</f>
        <v>1</v>
      </c>
      <c r="W492" s="81">
        <f>HLOOKUP(P492,データについて!$J$10:$M$18,9,FALSE)</f>
        <v>2</v>
      </c>
      <c r="X492" s="81">
        <f>HLOOKUP(Q492,データについて!$J$11:$M$18,8,FALSE)</f>
        <v>1</v>
      </c>
      <c r="Y492" s="81">
        <f>HLOOKUP(R492,データについて!$J$12:$M$18,7,FALSE)</f>
        <v>2</v>
      </c>
      <c r="Z492" s="81">
        <f>HLOOKUP(I492,データについて!$J$3:$M$18,16,FALSE)</f>
        <v>2</v>
      </c>
      <c r="AA492" s="81" t="str">
        <f>IFERROR(HLOOKUP(J492,データについて!$J$4:$AH$19,16,FALSE),"")</f>
        <v/>
      </c>
      <c r="AB492" s="81">
        <f>IFERROR(HLOOKUP(K492,データについて!$J$5:$AH$20,14,FALSE),"")</f>
        <v>0</v>
      </c>
      <c r="AC492" s="81">
        <f>IF(X492=1,HLOOKUP(R492,データについて!$J$12:$M$18,7,FALSE),"*")</f>
        <v>2</v>
      </c>
      <c r="AD492" s="81" t="str">
        <f>IF(X492=2,HLOOKUP(R492,データについて!$J$12:$M$18,7,FALSE),"*")</f>
        <v>*</v>
      </c>
    </row>
    <row r="493" spans="1:30">
      <c r="A493" s="30">
        <v>4699</v>
      </c>
      <c r="B493" s="30" t="s">
        <v>3993</v>
      </c>
      <c r="C493" s="30" t="s">
        <v>3992</v>
      </c>
      <c r="D493" s="30" t="s">
        <v>106</v>
      </c>
      <c r="E493" s="30"/>
      <c r="F493" s="30" t="s">
        <v>107</v>
      </c>
      <c r="G493" s="30" t="s">
        <v>106</v>
      </c>
      <c r="H493" s="30"/>
      <c r="I493" s="30" t="s">
        <v>191</v>
      </c>
      <c r="J493" s="30"/>
      <c r="K493" s="30" t="s">
        <v>126</v>
      </c>
      <c r="L493" s="30" t="s">
        <v>108</v>
      </c>
      <c r="M493" s="30" t="s">
        <v>113</v>
      </c>
      <c r="N493" s="30" t="s">
        <v>114</v>
      </c>
      <c r="O493" s="30" t="s">
        <v>115</v>
      </c>
      <c r="P493" s="30" t="s">
        <v>118</v>
      </c>
      <c r="Q493" s="30" t="s">
        <v>112</v>
      </c>
      <c r="R493" s="30" t="s">
        <v>183</v>
      </c>
      <c r="S493" s="81">
        <f>HLOOKUP(L493,データについて!$J$6:$M$18,13,FALSE)</f>
        <v>1</v>
      </c>
      <c r="T493" s="81">
        <f>HLOOKUP(M493,データについて!$J$7:$M$18,12,FALSE)</f>
        <v>1</v>
      </c>
      <c r="U493" s="81">
        <f>HLOOKUP(N493,データについて!$J$8:$M$18,11,FALSE)</f>
        <v>1</v>
      </c>
      <c r="V493" s="81">
        <f>HLOOKUP(O493,データについて!$J$9:$M$18,10,FALSE)</f>
        <v>1</v>
      </c>
      <c r="W493" s="81">
        <f>HLOOKUP(P493,データについて!$J$10:$M$18,9,FALSE)</f>
        <v>2</v>
      </c>
      <c r="X493" s="81">
        <f>HLOOKUP(Q493,データについて!$J$11:$M$18,8,FALSE)</f>
        <v>1</v>
      </c>
      <c r="Y493" s="81">
        <f>HLOOKUP(R493,データについて!$J$12:$M$18,7,FALSE)</f>
        <v>1</v>
      </c>
      <c r="Z493" s="81">
        <f>HLOOKUP(I493,データについて!$J$3:$M$18,16,FALSE)</f>
        <v>2</v>
      </c>
      <c r="AA493" s="81" t="str">
        <f>IFERROR(HLOOKUP(J493,データについて!$J$4:$AH$19,16,FALSE),"")</f>
        <v/>
      </c>
      <c r="AB493" s="81">
        <f>IFERROR(HLOOKUP(K493,データについて!$J$5:$AH$20,14,FALSE),"")</f>
        <v>0</v>
      </c>
      <c r="AC493" s="81">
        <f>IF(X493=1,HLOOKUP(R493,データについて!$J$12:$M$18,7,FALSE),"*")</f>
        <v>1</v>
      </c>
      <c r="AD493" s="81" t="str">
        <f>IF(X493=2,HLOOKUP(R493,データについて!$J$12:$M$18,7,FALSE),"*")</f>
        <v>*</v>
      </c>
    </row>
    <row r="494" spans="1:30">
      <c r="A494" s="30">
        <v>4698</v>
      </c>
      <c r="B494" s="30" t="s">
        <v>3994</v>
      </c>
      <c r="C494" s="30" t="s">
        <v>3995</v>
      </c>
      <c r="D494" s="30" t="s">
        <v>106</v>
      </c>
      <c r="E494" s="30"/>
      <c r="F494" s="30" t="s">
        <v>107</v>
      </c>
      <c r="G494" s="30" t="s">
        <v>106</v>
      </c>
      <c r="H494" s="30"/>
      <c r="I494" s="30" t="s">
        <v>191</v>
      </c>
      <c r="J494" s="30"/>
      <c r="K494" s="30" t="s">
        <v>126</v>
      </c>
      <c r="L494" s="30" t="s">
        <v>108</v>
      </c>
      <c r="M494" s="30" t="s">
        <v>109</v>
      </c>
      <c r="N494" s="30" t="s">
        <v>119</v>
      </c>
      <c r="O494" s="30" t="s">
        <v>115</v>
      </c>
      <c r="P494" s="30" t="s">
        <v>118</v>
      </c>
      <c r="Q494" s="30" t="s">
        <v>112</v>
      </c>
      <c r="R494" s="30" t="s">
        <v>185</v>
      </c>
      <c r="S494" s="81">
        <f>HLOOKUP(L494,データについて!$J$6:$M$18,13,FALSE)</f>
        <v>1</v>
      </c>
      <c r="T494" s="81">
        <f>HLOOKUP(M494,データについて!$J$7:$M$18,12,FALSE)</f>
        <v>2</v>
      </c>
      <c r="U494" s="81">
        <f>HLOOKUP(N494,データについて!$J$8:$M$18,11,FALSE)</f>
        <v>4</v>
      </c>
      <c r="V494" s="81">
        <f>HLOOKUP(O494,データについて!$J$9:$M$18,10,FALSE)</f>
        <v>1</v>
      </c>
      <c r="W494" s="81">
        <f>HLOOKUP(P494,データについて!$J$10:$M$18,9,FALSE)</f>
        <v>2</v>
      </c>
      <c r="X494" s="81">
        <f>HLOOKUP(Q494,データについて!$J$11:$M$18,8,FALSE)</f>
        <v>1</v>
      </c>
      <c r="Y494" s="81">
        <f>HLOOKUP(R494,データについて!$J$12:$M$18,7,FALSE)</f>
        <v>2</v>
      </c>
      <c r="Z494" s="81">
        <f>HLOOKUP(I494,データについて!$J$3:$M$18,16,FALSE)</f>
        <v>2</v>
      </c>
      <c r="AA494" s="81" t="str">
        <f>IFERROR(HLOOKUP(J494,データについて!$J$4:$AH$19,16,FALSE),"")</f>
        <v/>
      </c>
      <c r="AB494" s="81">
        <f>IFERROR(HLOOKUP(K494,データについて!$J$5:$AH$20,14,FALSE),"")</f>
        <v>0</v>
      </c>
      <c r="AC494" s="81">
        <f>IF(X494=1,HLOOKUP(R494,データについて!$J$12:$M$18,7,FALSE),"*")</f>
        <v>2</v>
      </c>
      <c r="AD494" s="81" t="str">
        <f>IF(X494=2,HLOOKUP(R494,データについて!$J$12:$M$18,7,FALSE),"*")</f>
        <v>*</v>
      </c>
    </row>
    <row r="495" spans="1:30">
      <c r="A495" s="30">
        <v>4697</v>
      </c>
      <c r="B495" s="30" t="s">
        <v>3996</v>
      </c>
      <c r="C495" s="30" t="s">
        <v>3997</v>
      </c>
      <c r="D495" s="30" t="s">
        <v>106</v>
      </c>
      <c r="E495" s="30"/>
      <c r="F495" s="30" t="s">
        <v>107</v>
      </c>
      <c r="G495" s="30" t="s">
        <v>106</v>
      </c>
      <c r="H495" s="30"/>
      <c r="I495" s="30" t="s">
        <v>191</v>
      </c>
      <c r="J495" s="30"/>
      <c r="K495" s="30" t="s">
        <v>126</v>
      </c>
      <c r="L495" s="30" t="s">
        <v>108</v>
      </c>
      <c r="M495" s="30" t="s">
        <v>113</v>
      </c>
      <c r="N495" s="30" t="s">
        <v>122</v>
      </c>
      <c r="O495" s="30" t="s">
        <v>116</v>
      </c>
      <c r="P495" s="30" t="s">
        <v>118</v>
      </c>
      <c r="Q495" s="30" t="s">
        <v>118</v>
      </c>
      <c r="R495" s="30" t="s">
        <v>189</v>
      </c>
      <c r="S495" s="81">
        <f>HLOOKUP(L495,データについて!$J$6:$M$18,13,FALSE)</f>
        <v>1</v>
      </c>
      <c r="T495" s="81">
        <f>HLOOKUP(M495,データについて!$J$7:$M$18,12,FALSE)</f>
        <v>1</v>
      </c>
      <c r="U495" s="81">
        <f>HLOOKUP(N495,データについて!$J$8:$M$18,11,FALSE)</f>
        <v>3</v>
      </c>
      <c r="V495" s="81">
        <f>HLOOKUP(O495,データについて!$J$9:$M$18,10,FALSE)</f>
        <v>2</v>
      </c>
      <c r="W495" s="81">
        <f>HLOOKUP(P495,データについて!$J$10:$M$18,9,FALSE)</f>
        <v>2</v>
      </c>
      <c r="X495" s="81">
        <f>HLOOKUP(Q495,データについて!$J$11:$M$18,8,FALSE)</f>
        <v>2</v>
      </c>
      <c r="Y495" s="81">
        <f>HLOOKUP(R495,データについて!$J$12:$M$18,7,FALSE)</f>
        <v>4</v>
      </c>
      <c r="Z495" s="81">
        <f>HLOOKUP(I495,データについて!$J$3:$M$18,16,FALSE)</f>
        <v>2</v>
      </c>
      <c r="AA495" s="81" t="str">
        <f>IFERROR(HLOOKUP(J495,データについて!$J$4:$AH$19,16,FALSE),"")</f>
        <v/>
      </c>
      <c r="AB495" s="81">
        <f>IFERROR(HLOOKUP(K495,データについて!$J$5:$AH$20,14,FALSE),"")</f>
        <v>0</v>
      </c>
      <c r="AC495" s="81" t="str">
        <f>IF(X495=1,HLOOKUP(R495,データについて!$J$12:$M$18,7,FALSE),"*")</f>
        <v>*</v>
      </c>
      <c r="AD495" s="81">
        <f>IF(X495=2,HLOOKUP(R495,データについて!$J$12:$M$18,7,FALSE),"*")</f>
        <v>4</v>
      </c>
    </row>
    <row r="496" spans="1:30">
      <c r="A496" s="30">
        <v>4696</v>
      </c>
      <c r="B496" s="30" t="s">
        <v>3998</v>
      </c>
      <c r="C496" s="30" t="s">
        <v>3999</v>
      </c>
      <c r="D496" s="30" t="s">
        <v>106</v>
      </c>
      <c r="E496" s="30"/>
      <c r="F496" s="30" t="s">
        <v>107</v>
      </c>
      <c r="G496" s="30" t="s">
        <v>106</v>
      </c>
      <c r="H496" s="30"/>
      <c r="I496" s="30" t="s">
        <v>191</v>
      </c>
      <c r="J496" s="30"/>
      <c r="K496" s="30" t="s">
        <v>126</v>
      </c>
      <c r="L496" s="30" t="s">
        <v>108</v>
      </c>
      <c r="M496" s="30" t="s">
        <v>113</v>
      </c>
      <c r="N496" s="30" t="s">
        <v>122</v>
      </c>
      <c r="O496" s="30" t="s">
        <v>115</v>
      </c>
      <c r="P496" s="30" t="s">
        <v>112</v>
      </c>
      <c r="Q496" s="30" t="s">
        <v>118</v>
      </c>
      <c r="R496" s="30" t="s">
        <v>189</v>
      </c>
      <c r="S496" s="81">
        <f>HLOOKUP(L496,データについて!$J$6:$M$18,13,FALSE)</f>
        <v>1</v>
      </c>
      <c r="T496" s="81">
        <f>HLOOKUP(M496,データについて!$J$7:$M$18,12,FALSE)</f>
        <v>1</v>
      </c>
      <c r="U496" s="81">
        <f>HLOOKUP(N496,データについて!$J$8:$M$18,11,FALSE)</f>
        <v>3</v>
      </c>
      <c r="V496" s="81">
        <f>HLOOKUP(O496,データについて!$J$9:$M$18,10,FALSE)</f>
        <v>1</v>
      </c>
      <c r="W496" s="81">
        <f>HLOOKUP(P496,データについて!$J$10:$M$18,9,FALSE)</f>
        <v>1</v>
      </c>
      <c r="X496" s="81">
        <f>HLOOKUP(Q496,データについて!$J$11:$M$18,8,FALSE)</f>
        <v>2</v>
      </c>
      <c r="Y496" s="81">
        <f>HLOOKUP(R496,データについて!$J$12:$M$18,7,FALSE)</f>
        <v>4</v>
      </c>
      <c r="Z496" s="81">
        <f>HLOOKUP(I496,データについて!$J$3:$M$18,16,FALSE)</f>
        <v>2</v>
      </c>
      <c r="AA496" s="81" t="str">
        <f>IFERROR(HLOOKUP(J496,データについて!$J$4:$AH$19,16,FALSE),"")</f>
        <v/>
      </c>
      <c r="AB496" s="81">
        <f>IFERROR(HLOOKUP(K496,データについて!$J$5:$AH$20,14,FALSE),"")</f>
        <v>0</v>
      </c>
      <c r="AC496" s="81" t="str">
        <f>IF(X496=1,HLOOKUP(R496,データについて!$J$12:$M$18,7,FALSE),"*")</f>
        <v>*</v>
      </c>
      <c r="AD496" s="81">
        <f>IF(X496=2,HLOOKUP(R496,データについて!$J$12:$M$18,7,FALSE),"*")</f>
        <v>4</v>
      </c>
    </row>
    <row r="497" spans="1:30">
      <c r="A497" s="30">
        <v>4695</v>
      </c>
      <c r="B497" s="30" t="s">
        <v>4000</v>
      </c>
      <c r="C497" s="30" t="s">
        <v>4001</v>
      </c>
      <c r="D497" s="30" t="s">
        <v>106</v>
      </c>
      <c r="E497" s="30"/>
      <c r="F497" s="30" t="s">
        <v>107</v>
      </c>
      <c r="G497" s="30" t="s">
        <v>106</v>
      </c>
      <c r="H497" s="30"/>
      <c r="I497" s="30" t="s">
        <v>191</v>
      </c>
      <c r="J497" s="30"/>
      <c r="K497" s="30" t="s">
        <v>126</v>
      </c>
      <c r="L497" s="30" t="s">
        <v>117</v>
      </c>
      <c r="M497" s="30" t="s">
        <v>113</v>
      </c>
      <c r="N497" s="30" t="s">
        <v>114</v>
      </c>
      <c r="O497" s="30" t="s">
        <v>115</v>
      </c>
      <c r="P497" s="30" t="s">
        <v>112</v>
      </c>
      <c r="Q497" s="30" t="s">
        <v>112</v>
      </c>
      <c r="R497" s="30" t="s">
        <v>185</v>
      </c>
      <c r="S497" s="81">
        <f>HLOOKUP(L497,データについて!$J$6:$M$18,13,FALSE)</f>
        <v>2</v>
      </c>
      <c r="T497" s="81">
        <f>HLOOKUP(M497,データについて!$J$7:$M$18,12,FALSE)</f>
        <v>1</v>
      </c>
      <c r="U497" s="81">
        <f>HLOOKUP(N497,データについて!$J$8:$M$18,11,FALSE)</f>
        <v>1</v>
      </c>
      <c r="V497" s="81">
        <f>HLOOKUP(O497,データについて!$J$9:$M$18,10,FALSE)</f>
        <v>1</v>
      </c>
      <c r="W497" s="81">
        <f>HLOOKUP(P497,データについて!$J$10:$M$18,9,FALSE)</f>
        <v>1</v>
      </c>
      <c r="X497" s="81">
        <f>HLOOKUP(Q497,データについて!$J$11:$M$18,8,FALSE)</f>
        <v>1</v>
      </c>
      <c r="Y497" s="81">
        <f>HLOOKUP(R497,データについて!$J$12:$M$18,7,FALSE)</f>
        <v>2</v>
      </c>
      <c r="Z497" s="81">
        <f>HLOOKUP(I497,データについて!$J$3:$M$18,16,FALSE)</f>
        <v>2</v>
      </c>
      <c r="AA497" s="81" t="str">
        <f>IFERROR(HLOOKUP(J497,データについて!$J$4:$AH$19,16,FALSE),"")</f>
        <v/>
      </c>
      <c r="AB497" s="81">
        <f>IFERROR(HLOOKUP(K497,データについて!$J$5:$AH$20,14,FALSE),"")</f>
        <v>0</v>
      </c>
      <c r="AC497" s="81">
        <f>IF(X497=1,HLOOKUP(R497,データについて!$J$12:$M$18,7,FALSE),"*")</f>
        <v>2</v>
      </c>
      <c r="AD497" s="81" t="str">
        <f>IF(X497=2,HLOOKUP(R497,データについて!$J$12:$M$18,7,FALSE),"*")</f>
        <v>*</v>
      </c>
    </row>
    <row r="498" spans="1:30">
      <c r="A498" s="30">
        <v>4694</v>
      </c>
      <c r="B498" s="30" t="s">
        <v>4002</v>
      </c>
      <c r="C498" s="30" t="s">
        <v>4003</v>
      </c>
      <c r="D498" s="30" t="s">
        <v>106</v>
      </c>
      <c r="E498" s="30"/>
      <c r="F498" s="30" t="s">
        <v>107</v>
      </c>
      <c r="G498" s="30" t="s">
        <v>106</v>
      </c>
      <c r="H498" s="30"/>
      <c r="I498" s="30" t="s">
        <v>191</v>
      </c>
      <c r="J498" s="30"/>
      <c r="K498" s="30" t="s">
        <v>126</v>
      </c>
      <c r="L498" s="30" t="s">
        <v>117</v>
      </c>
      <c r="M498" s="30" t="s">
        <v>124</v>
      </c>
      <c r="N498" s="30" t="s">
        <v>110</v>
      </c>
      <c r="O498" s="30" t="s">
        <v>115</v>
      </c>
      <c r="P498" s="30" t="s">
        <v>112</v>
      </c>
      <c r="Q498" s="30" t="s">
        <v>118</v>
      </c>
      <c r="R498" s="30" t="s">
        <v>187</v>
      </c>
      <c r="S498" s="81">
        <f>HLOOKUP(L498,データについて!$J$6:$M$18,13,FALSE)</f>
        <v>2</v>
      </c>
      <c r="T498" s="81">
        <f>HLOOKUP(M498,データについて!$J$7:$M$18,12,FALSE)</f>
        <v>3</v>
      </c>
      <c r="U498" s="81">
        <f>HLOOKUP(N498,データについて!$J$8:$M$18,11,FALSE)</f>
        <v>2</v>
      </c>
      <c r="V498" s="81">
        <f>HLOOKUP(O498,データについて!$J$9:$M$18,10,FALSE)</f>
        <v>1</v>
      </c>
      <c r="W498" s="81">
        <f>HLOOKUP(P498,データについて!$J$10:$M$18,9,FALSE)</f>
        <v>1</v>
      </c>
      <c r="X498" s="81">
        <f>HLOOKUP(Q498,データについて!$J$11:$M$18,8,FALSE)</f>
        <v>2</v>
      </c>
      <c r="Y498" s="81">
        <f>HLOOKUP(R498,データについて!$J$12:$M$18,7,FALSE)</f>
        <v>3</v>
      </c>
      <c r="Z498" s="81">
        <f>HLOOKUP(I498,データについて!$J$3:$M$18,16,FALSE)</f>
        <v>2</v>
      </c>
      <c r="AA498" s="81" t="str">
        <f>IFERROR(HLOOKUP(J498,データについて!$J$4:$AH$19,16,FALSE),"")</f>
        <v/>
      </c>
      <c r="AB498" s="81">
        <f>IFERROR(HLOOKUP(K498,データについて!$J$5:$AH$20,14,FALSE),"")</f>
        <v>0</v>
      </c>
      <c r="AC498" s="81" t="str">
        <f>IF(X498=1,HLOOKUP(R498,データについて!$J$12:$M$18,7,FALSE),"*")</f>
        <v>*</v>
      </c>
      <c r="AD498" s="81">
        <f>IF(X498=2,HLOOKUP(R498,データについて!$J$12:$M$18,7,FALSE),"*")</f>
        <v>3</v>
      </c>
    </row>
    <row r="499" spans="1:30">
      <c r="A499" s="30">
        <v>4693</v>
      </c>
      <c r="B499" s="30" t="s">
        <v>4004</v>
      </c>
      <c r="C499" s="30" t="s">
        <v>4003</v>
      </c>
      <c r="D499" s="30" t="s">
        <v>106</v>
      </c>
      <c r="E499" s="30"/>
      <c r="F499" s="30" t="s">
        <v>107</v>
      </c>
      <c r="G499" s="30" t="s">
        <v>106</v>
      </c>
      <c r="H499" s="30"/>
      <c r="I499" s="30" t="s">
        <v>191</v>
      </c>
      <c r="J499" s="30"/>
      <c r="K499" s="30" t="s">
        <v>126</v>
      </c>
      <c r="L499" s="30" t="s">
        <v>117</v>
      </c>
      <c r="M499" s="30" t="s">
        <v>109</v>
      </c>
      <c r="N499" s="30" t="s">
        <v>122</v>
      </c>
      <c r="O499" s="30" t="s">
        <v>115</v>
      </c>
      <c r="P499" s="30" t="s">
        <v>118</v>
      </c>
      <c r="Q499" s="30" t="s">
        <v>112</v>
      </c>
      <c r="R499" s="30" t="s">
        <v>183</v>
      </c>
      <c r="S499" s="81">
        <f>HLOOKUP(L499,データについて!$J$6:$M$18,13,FALSE)</f>
        <v>2</v>
      </c>
      <c r="T499" s="81">
        <f>HLOOKUP(M499,データについて!$J$7:$M$18,12,FALSE)</f>
        <v>2</v>
      </c>
      <c r="U499" s="81">
        <f>HLOOKUP(N499,データについて!$J$8:$M$18,11,FALSE)</f>
        <v>3</v>
      </c>
      <c r="V499" s="81">
        <f>HLOOKUP(O499,データについて!$J$9:$M$18,10,FALSE)</f>
        <v>1</v>
      </c>
      <c r="W499" s="81">
        <f>HLOOKUP(P499,データについて!$J$10:$M$18,9,FALSE)</f>
        <v>2</v>
      </c>
      <c r="X499" s="81">
        <f>HLOOKUP(Q499,データについて!$J$11:$M$18,8,FALSE)</f>
        <v>1</v>
      </c>
      <c r="Y499" s="81">
        <f>HLOOKUP(R499,データについて!$J$12:$M$18,7,FALSE)</f>
        <v>1</v>
      </c>
      <c r="Z499" s="81">
        <f>HLOOKUP(I499,データについて!$J$3:$M$18,16,FALSE)</f>
        <v>2</v>
      </c>
      <c r="AA499" s="81" t="str">
        <f>IFERROR(HLOOKUP(J499,データについて!$J$4:$AH$19,16,FALSE),"")</f>
        <v/>
      </c>
      <c r="AB499" s="81">
        <f>IFERROR(HLOOKUP(K499,データについて!$J$5:$AH$20,14,FALSE),"")</f>
        <v>0</v>
      </c>
      <c r="AC499" s="81">
        <f>IF(X499=1,HLOOKUP(R499,データについて!$J$12:$M$18,7,FALSE),"*")</f>
        <v>1</v>
      </c>
      <c r="AD499" s="81" t="str">
        <f>IF(X499=2,HLOOKUP(R499,データについて!$J$12:$M$18,7,FALSE),"*")</f>
        <v>*</v>
      </c>
    </row>
    <row r="500" spans="1:30">
      <c r="A500" s="30">
        <v>4692</v>
      </c>
      <c r="B500" s="30" t="s">
        <v>4005</v>
      </c>
      <c r="C500" s="30" t="s">
        <v>4003</v>
      </c>
      <c r="D500" s="30" t="s">
        <v>106</v>
      </c>
      <c r="E500" s="30"/>
      <c r="F500" s="30" t="s">
        <v>107</v>
      </c>
      <c r="G500" s="30" t="s">
        <v>106</v>
      </c>
      <c r="H500" s="30"/>
      <c r="I500" s="30" t="s">
        <v>191</v>
      </c>
      <c r="J500" s="30"/>
      <c r="K500" s="30" t="s">
        <v>126</v>
      </c>
      <c r="L500" s="30" t="s">
        <v>117</v>
      </c>
      <c r="M500" s="30" t="s">
        <v>124</v>
      </c>
      <c r="N500" s="30" t="s">
        <v>122</v>
      </c>
      <c r="O500" s="30" t="s">
        <v>115</v>
      </c>
      <c r="P500" s="30" t="s">
        <v>118</v>
      </c>
      <c r="Q500" s="30" t="s">
        <v>118</v>
      </c>
      <c r="R500" s="30" t="s">
        <v>189</v>
      </c>
      <c r="S500" s="81">
        <f>HLOOKUP(L500,データについて!$J$6:$M$18,13,FALSE)</f>
        <v>2</v>
      </c>
      <c r="T500" s="81">
        <f>HLOOKUP(M500,データについて!$J$7:$M$18,12,FALSE)</f>
        <v>3</v>
      </c>
      <c r="U500" s="81">
        <f>HLOOKUP(N500,データについて!$J$8:$M$18,11,FALSE)</f>
        <v>3</v>
      </c>
      <c r="V500" s="81">
        <f>HLOOKUP(O500,データについて!$J$9:$M$18,10,FALSE)</f>
        <v>1</v>
      </c>
      <c r="W500" s="81">
        <f>HLOOKUP(P500,データについて!$J$10:$M$18,9,FALSE)</f>
        <v>2</v>
      </c>
      <c r="X500" s="81">
        <f>HLOOKUP(Q500,データについて!$J$11:$M$18,8,FALSE)</f>
        <v>2</v>
      </c>
      <c r="Y500" s="81">
        <f>HLOOKUP(R500,データについて!$J$12:$M$18,7,FALSE)</f>
        <v>4</v>
      </c>
      <c r="Z500" s="81">
        <f>HLOOKUP(I500,データについて!$J$3:$M$18,16,FALSE)</f>
        <v>2</v>
      </c>
      <c r="AA500" s="81" t="str">
        <f>IFERROR(HLOOKUP(J500,データについて!$J$4:$AH$19,16,FALSE),"")</f>
        <v/>
      </c>
      <c r="AB500" s="81">
        <f>IFERROR(HLOOKUP(K500,データについて!$J$5:$AH$20,14,FALSE),"")</f>
        <v>0</v>
      </c>
      <c r="AC500" s="81" t="str">
        <f>IF(X500=1,HLOOKUP(R500,データについて!$J$12:$M$18,7,FALSE),"*")</f>
        <v>*</v>
      </c>
      <c r="AD500" s="81">
        <f>IF(X500=2,HLOOKUP(R500,データについて!$J$12:$M$18,7,FALSE),"*")</f>
        <v>4</v>
      </c>
    </row>
    <row r="501" spans="1:30">
      <c r="A501" s="30">
        <v>4691</v>
      </c>
      <c r="B501" s="30" t="s">
        <v>4006</v>
      </c>
      <c r="C501" s="30" t="s">
        <v>4007</v>
      </c>
      <c r="D501" s="30" t="s">
        <v>106</v>
      </c>
      <c r="E501" s="30"/>
      <c r="F501" s="30" t="s">
        <v>107</v>
      </c>
      <c r="G501" s="30" t="s">
        <v>106</v>
      </c>
      <c r="H501" s="30"/>
      <c r="I501" s="30" t="s">
        <v>191</v>
      </c>
      <c r="J501" s="30"/>
      <c r="K501" s="30" t="s">
        <v>126</v>
      </c>
      <c r="L501" s="30" t="s">
        <v>108</v>
      </c>
      <c r="M501" s="30" t="s">
        <v>113</v>
      </c>
      <c r="N501" s="30" t="s">
        <v>114</v>
      </c>
      <c r="O501" s="30" t="s">
        <v>115</v>
      </c>
      <c r="P501" s="30" t="s">
        <v>118</v>
      </c>
      <c r="Q501" s="30" t="s">
        <v>112</v>
      </c>
      <c r="R501" s="30" t="s">
        <v>185</v>
      </c>
      <c r="S501" s="81">
        <f>HLOOKUP(L501,データについて!$J$6:$M$18,13,FALSE)</f>
        <v>1</v>
      </c>
      <c r="T501" s="81">
        <f>HLOOKUP(M501,データについて!$J$7:$M$18,12,FALSE)</f>
        <v>1</v>
      </c>
      <c r="U501" s="81">
        <f>HLOOKUP(N501,データについて!$J$8:$M$18,11,FALSE)</f>
        <v>1</v>
      </c>
      <c r="V501" s="81">
        <f>HLOOKUP(O501,データについて!$J$9:$M$18,10,FALSE)</f>
        <v>1</v>
      </c>
      <c r="W501" s="81">
        <f>HLOOKUP(P501,データについて!$J$10:$M$18,9,FALSE)</f>
        <v>2</v>
      </c>
      <c r="X501" s="81">
        <f>HLOOKUP(Q501,データについて!$J$11:$M$18,8,FALSE)</f>
        <v>1</v>
      </c>
      <c r="Y501" s="81">
        <f>HLOOKUP(R501,データについて!$J$12:$M$18,7,FALSE)</f>
        <v>2</v>
      </c>
      <c r="Z501" s="81">
        <f>HLOOKUP(I501,データについて!$J$3:$M$18,16,FALSE)</f>
        <v>2</v>
      </c>
      <c r="AA501" s="81" t="str">
        <f>IFERROR(HLOOKUP(J501,データについて!$J$4:$AH$19,16,FALSE),"")</f>
        <v/>
      </c>
      <c r="AB501" s="81">
        <f>IFERROR(HLOOKUP(K501,データについて!$J$5:$AH$20,14,FALSE),"")</f>
        <v>0</v>
      </c>
      <c r="AC501" s="81">
        <f>IF(X501=1,HLOOKUP(R501,データについて!$J$12:$M$18,7,FALSE),"*")</f>
        <v>2</v>
      </c>
      <c r="AD501" s="81" t="str">
        <f>IF(X501=2,HLOOKUP(R501,データについて!$J$12:$M$18,7,FALSE),"*")</f>
        <v>*</v>
      </c>
    </row>
    <row r="502" spans="1:30">
      <c r="A502" s="30">
        <v>4690</v>
      </c>
      <c r="B502" s="30" t="s">
        <v>4008</v>
      </c>
      <c r="C502" s="30" t="s">
        <v>4009</v>
      </c>
      <c r="D502" s="30" t="s">
        <v>106</v>
      </c>
      <c r="E502" s="30"/>
      <c r="F502" s="30" t="s">
        <v>107</v>
      </c>
      <c r="G502" s="30" t="s">
        <v>106</v>
      </c>
      <c r="H502" s="30"/>
      <c r="I502" s="30" t="s">
        <v>191</v>
      </c>
      <c r="J502" s="30"/>
      <c r="K502" s="30" t="s">
        <v>126</v>
      </c>
      <c r="L502" s="30" t="s">
        <v>117</v>
      </c>
      <c r="M502" s="30" t="s">
        <v>109</v>
      </c>
      <c r="N502" s="30" t="s">
        <v>110</v>
      </c>
      <c r="O502" s="30" t="s">
        <v>115</v>
      </c>
      <c r="P502" s="30" t="s">
        <v>118</v>
      </c>
      <c r="Q502" s="30" t="s">
        <v>118</v>
      </c>
      <c r="R502" s="30" t="s">
        <v>189</v>
      </c>
      <c r="S502" s="81">
        <f>HLOOKUP(L502,データについて!$J$6:$M$18,13,FALSE)</f>
        <v>2</v>
      </c>
      <c r="T502" s="81">
        <f>HLOOKUP(M502,データについて!$J$7:$M$18,12,FALSE)</f>
        <v>2</v>
      </c>
      <c r="U502" s="81">
        <f>HLOOKUP(N502,データについて!$J$8:$M$18,11,FALSE)</f>
        <v>2</v>
      </c>
      <c r="V502" s="81">
        <f>HLOOKUP(O502,データについて!$J$9:$M$18,10,FALSE)</f>
        <v>1</v>
      </c>
      <c r="W502" s="81">
        <f>HLOOKUP(P502,データについて!$J$10:$M$18,9,FALSE)</f>
        <v>2</v>
      </c>
      <c r="X502" s="81">
        <f>HLOOKUP(Q502,データについて!$J$11:$M$18,8,FALSE)</f>
        <v>2</v>
      </c>
      <c r="Y502" s="81">
        <f>HLOOKUP(R502,データについて!$J$12:$M$18,7,FALSE)</f>
        <v>4</v>
      </c>
      <c r="Z502" s="81">
        <f>HLOOKUP(I502,データについて!$J$3:$M$18,16,FALSE)</f>
        <v>2</v>
      </c>
      <c r="AA502" s="81" t="str">
        <f>IFERROR(HLOOKUP(J502,データについて!$J$4:$AH$19,16,FALSE),"")</f>
        <v/>
      </c>
      <c r="AB502" s="81">
        <f>IFERROR(HLOOKUP(K502,データについて!$J$5:$AH$20,14,FALSE),"")</f>
        <v>0</v>
      </c>
      <c r="AC502" s="81" t="str">
        <f>IF(X502=1,HLOOKUP(R502,データについて!$J$12:$M$18,7,FALSE),"*")</f>
        <v>*</v>
      </c>
      <c r="AD502" s="81">
        <f>IF(X502=2,HLOOKUP(R502,データについて!$J$12:$M$18,7,FALSE),"*")</f>
        <v>4</v>
      </c>
    </row>
    <row r="503" spans="1:30">
      <c r="A503" s="30">
        <v>4689</v>
      </c>
      <c r="B503" s="30" t="s">
        <v>4010</v>
      </c>
      <c r="C503" s="30" t="s">
        <v>4011</v>
      </c>
      <c r="D503" s="30" t="s">
        <v>106</v>
      </c>
      <c r="E503" s="30"/>
      <c r="F503" s="30" t="s">
        <v>107</v>
      </c>
      <c r="G503" s="30" t="s">
        <v>106</v>
      </c>
      <c r="H503" s="30"/>
      <c r="I503" s="30" t="s">
        <v>191</v>
      </c>
      <c r="J503" s="30"/>
      <c r="K503" s="30" t="s">
        <v>126</v>
      </c>
      <c r="L503" s="30" t="s">
        <v>117</v>
      </c>
      <c r="M503" s="30" t="s">
        <v>109</v>
      </c>
      <c r="N503" s="30" t="s">
        <v>122</v>
      </c>
      <c r="O503" s="30" t="s">
        <v>115</v>
      </c>
      <c r="P503" s="30" t="s">
        <v>118</v>
      </c>
      <c r="Q503" s="30" t="s">
        <v>118</v>
      </c>
      <c r="R503" s="30" t="s">
        <v>189</v>
      </c>
      <c r="S503" s="81">
        <f>HLOOKUP(L503,データについて!$J$6:$M$18,13,FALSE)</f>
        <v>2</v>
      </c>
      <c r="T503" s="81">
        <f>HLOOKUP(M503,データについて!$J$7:$M$18,12,FALSE)</f>
        <v>2</v>
      </c>
      <c r="U503" s="81">
        <f>HLOOKUP(N503,データについて!$J$8:$M$18,11,FALSE)</f>
        <v>3</v>
      </c>
      <c r="V503" s="81">
        <f>HLOOKUP(O503,データについて!$J$9:$M$18,10,FALSE)</f>
        <v>1</v>
      </c>
      <c r="W503" s="81">
        <f>HLOOKUP(P503,データについて!$J$10:$M$18,9,FALSE)</f>
        <v>2</v>
      </c>
      <c r="X503" s="81">
        <f>HLOOKUP(Q503,データについて!$J$11:$M$18,8,FALSE)</f>
        <v>2</v>
      </c>
      <c r="Y503" s="81">
        <f>HLOOKUP(R503,データについて!$J$12:$M$18,7,FALSE)</f>
        <v>4</v>
      </c>
      <c r="Z503" s="81">
        <f>HLOOKUP(I503,データについて!$J$3:$M$18,16,FALSE)</f>
        <v>2</v>
      </c>
      <c r="AA503" s="81" t="str">
        <f>IFERROR(HLOOKUP(J503,データについて!$J$4:$AH$19,16,FALSE),"")</f>
        <v/>
      </c>
      <c r="AB503" s="81">
        <f>IFERROR(HLOOKUP(K503,データについて!$J$5:$AH$20,14,FALSE),"")</f>
        <v>0</v>
      </c>
      <c r="AC503" s="81" t="str">
        <f>IF(X503=1,HLOOKUP(R503,データについて!$J$12:$M$18,7,FALSE),"*")</f>
        <v>*</v>
      </c>
      <c r="AD503" s="81">
        <f>IF(X503=2,HLOOKUP(R503,データについて!$J$12:$M$18,7,FALSE),"*")</f>
        <v>4</v>
      </c>
    </row>
    <row r="504" spans="1:30">
      <c r="A504" s="30">
        <v>4688</v>
      </c>
      <c r="B504" s="30" t="s">
        <v>4012</v>
      </c>
      <c r="C504" s="30" t="s">
        <v>4013</v>
      </c>
      <c r="D504" s="30" t="s">
        <v>106</v>
      </c>
      <c r="E504" s="30"/>
      <c r="F504" s="30" t="s">
        <v>107</v>
      </c>
      <c r="G504" s="30" t="s">
        <v>106</v>
      </c>
      <c r="H504" s="30"/>
      <c r="I504" s="30" t="s">
        <v>191</v>
      </c>
      <c r="J504" s="30"/>
      <c r="K504" s="30" t="s">
        <v>126</v>
      </c>
      <c r="L504" s="30" t="s">
        <v>108</v>
      </c>
      <c r="M504" s="30" t="s">
        <v>109</v>
      </c>
      <c r="N504" s="30" t="s">
        <v>122</v>
      </c>
      <c r="O504" s="30" t="s">
        <v>115</v>
      </c>
      <c r="P504" s="30" t="s">
        <v>118</v>
      </c>
      <c r="Q504" s="30" t="s">
        <v>112</v>
      </c>
      <c r="R504" s="30" t="s">
        <v>183</v>
      </c>
      <c r="S504" s="81">
        <f>HLOOKUP(L504,データについて!$J$6:$M$18,13,FALSE)</f>
        <v>1</v>
      </c>
      <c r="T504" s="81">
        <f>HLOOKUP(M504,データについて!$J$7:$M$18,12,FALSE)</f>
        <v>2</v>
      </c>
      <c r="U504" s="81">
        <f>HLOOKUP(N504,データについて!$J$8:$M$18,11,FALSE)</f>
        <v>3</v>
      </c>
      <c r="V504" s="81">
        <f>HLOOKUP(O504,データについて!$J$9:$M$18,10,FALSE)</f>
        <v>1</v>
      </c>
      <c r="W504" s="81">
        <f>HLOOKUP(P504,データについて!$J$10:$M$18,9,FALSE)</f>
        <v>2</v>
      </c>
      <c r="X504" s="81">
        <f>HLOOKUP(Q504,データについて!$J$11:$M$18,8,FALSE)</f>
        <v>1</v>
      </c>
      <c r="Y504" s="81">
        <f>HLOOKUP(R504,データについて!$J$12:$M$18,7,FALSE)</f>
        <v>1</v>
      </c>
      <c r="Z504" s="81">
        <f>HLOOKUP(I504,データについて!$J$3:$M$18,16,FALSE)</f>
        <v>2</v>
      </c>
      <c r="AA504" s="81" t="str">
        <f>IFERROR(HLOOKUP(J504,データについて!$J$4:$AH$19,16,FALSE),"")</f>
        <v/>
      </c>
      <c r="AB504" s="81">
        <f>IFERROR(HLOOKUP(K504,データについて!$J$5:$AH$20,14,FALSE),"")</f>
        <v>0</v>
      </c>
      <c r="AC504" s="81">
        <f>IF(X504=1,HLOOKUP(R504,データについて!$J$12:$M$18,7,FALSE),"*")</f>
        <v>1</v>
      </c>
      <c r="AD504" s="81" t="str">
        <f>IF(X504=2,HLOOKUP(R504,データについて!$J$12:$M$18,7,FALSE),"*")</f>
        <v>*</v>
      </c>
    </row>
    <row r="505" spans="1:30">
      <c r="A505" s="30">
        <v>4687</v>
      </c>
      <c r="B505" s="30" t="s">
        <v>4014</v>
      </c>
      <c r="C505" s="30" t="s">
        <v>4013</v>
      </c>
      <c r="D505" s="30" t="s">
        <v>106</v>
      </c>
      <c r="E505" s="30"/>
      <c r="F505" s="30" t="s">
        <v>107</v>
      </c>
      <c r="G505" s="30" t="s">
        <v>106</v>
      </c>
      <c r="H505" s="30"/>
      <c r="I505" s="30" t="s">
        <v>191</v>
      </c>
      <c r="J505" s="30"/>
      <c r="K505" s="30" t="s">
        <v>126</v>
      </c>
      <c r="L505" s="30" t="s">
        <v>108</v>
      </c>
      <c r="M505" s="30" t="s">
        <v>113</v>
      </c>
      <c r="N505" s="30" t="s">
        <v>110</v>
      </c>
      <c r="O505" s="30" t="s">
        <v>115</v>
      </c>
      <c r="P505" s="30" t="s">
        <v>118</v>
      </c>
      <c r="Q505" s="30" t="s">
        <v>112</v>
      </c>
      <c r="R505" s="30" t="s">
        <v>183</v>
      </c>
      <c r="S505" s="81">
        <f>HLOOKUP(L505,データについて!$J$6:$M$18,13,FALSE)</f>
        <v>1</v>
      </c>
      <c r="T505" s="81">
        <f>HLOOKUP(M505,データについて!$J$7:$M$18,12,FALSE)</f>
        <v>1</v>
      </c>
      <c r="U505" s="81">
        <f>HLOOKUP(N505,データについて!$J$8:$M$18,11,FALSE)</f>
        <v>2</v>
      </c>
      <c r="V505" s="81">
        <f>HLOOKUP(O505,データについて!$J$9:$M$18,10,FALSE)</f>
        <v>1</v>
      </c>
      <c r="W505" s="81">
        <f>HLOOKUP(P505,データについて!$J$10:$M$18,9,FALSE)</f>
        <v>2</v>
      </c>
      <c r="X505" s="81">
        <f>HLOOKUP(Q505,データについて!$J$11:$M$18,8,FALSE)</f>
        <v>1</v>
      </c>
      <c r="Y505" s="81">
        <f>HLOOKUP(R505,データについて!$J$12:$M$18,7,FALSE)</f>
        <v>1</v>
      </c>
      <c r="Z505" s="81">
        <f>HLOOKUP(I505,データについて!$J$3:$M$18,16,FALSE)</f>
        <v>2</v>
      </c>
      <c r="AA505" s="81" t="str">
        <f>IFERROR(HLOOKUP(J505,データについて!$J$4:$AH$19,16,FALSE),"")</f>
        <v/>
      </c>
      <c r="AB505" s="81">
        <f>IFERROR(HLOOKUP(K505,データについて!$J$5:$AH$20,14,FALSE),"")</f>
        <v>0</v>
      </c>
      <c r="AC505" s="81">
        <f>IF(X505=1,HLOOKUP(R505,データについて!$J$12:$M$18,7,FALSE),"*")</f>
        <v>1</v>
      </c>
      <c r="AD505" s="81" t="str">
        <f>IF(X505=2,HLOOKUP(R505,データについて!$J$12:$M$18,7,FALSE),"*")</f>
        <v>*</v>
      </c>
    </row>
    <row r="506" spans="1:30">
      <c r="A506" s="30">
        <v>4686</v>
      </c>
      <c r="B506" s="30" t="s">
        <v>4015</v>
      </c>
      <c r="C506" s="30" t="s">
        <v>4013</v>
      </c>
      <c r="D506" s="30" t="s">
        <v>106</v>
      </c>
      <c r="E506" s="30"/>
      <c r="F506" s="30" t="s">
        <v>107</v>
      </c>
      <c r="G506" s="30" t="s">
        <v>106</v>
      </c>
      <c r="H506" s="30"/>
      <c r="I506" s="30" t="s">
        <v>191</v>
      </c>
      <c r="J506" s="30"/>
      <c r="K506" s="30" t="s">
        <v>126</v>
      </c>
      <c r="L506" s="30" t="s">
        <v>117</v>
      </c>
      <c r="M506" s="30" t="s">
        <v>113</v>
      </c>
      <c r="N506" s="30" t="s">
        <v>110</v>
      </c>
      <c r="O506" s="30" t="s">
        <v>111</v>
      </c>
      <c r="P506" s="30" t="s">
        <v>118</v>
      </c>
      <c r="Q506" s="30" t="s">
        <v>112</v>
      </c>
      <c r="R506" s="30" t="s">
        <v>183</v>
      </c>
      <c r="S506" s="81">
        <f>HLOOKUP(L506,データについて!$J$6:$M$18,13,FALSE)</f>
        <v>2</v>
      </c>
      <c r="T506" s="81">
        <f>HLOOKUP(M506,データについて!$J$7:$M$18,12,FALSE)</f>
        <v>1</v>
      </c>
      <c r="U506" s="81">
        <f>HLOOKUP(N506,データについて!$J$8:$M$18,11,FALSE)</f>
        <v>2</v>
      </c>
      <c r="V506" s="81">
        <f>HLOOKUP(O506,データについて!$J$9:$M$18,10,FALSE)</f>
        <v>3</v>
      </c>
      <c r="W506" s="81">
        <f>HLOOKUP(P506,データについて!$J$10:$M$18,9,FALSE)</f>
        <v>2</v>
      </c>
      <c r="X506" s="81">
        <f>HLOOKUP(Q506,データについて!$J$11:$M$18,8,FALSE)</f>
        <v>1</v>
      </c>
      <c r="Y506" s="81">
        <f>HLOOKUP(R506,データについて!$J$12:$M$18,7,FALSE)</f>
        <v>1</v>
      </c>
      <c r="Z506" s="81">
        <f>HLOOKUP(I506,データについて!$J$3:$M$18,16,FALSE)</f>
        <v>2</v>
      </c>
      <c r="AA506" s="81" t="str">
        <f>IFERROR(HLOOKUP(J506,データについて!$J$4:$AH$19,16,FALSE),"")</f>
        <v/>
      </c>
      <c r="AB506" s="81">
        <f>IFERROR(HLOOKUP(K506,データについて!$J$5:$AH$20,14,FALSE),"")</f>
        <v>0</v>
      </c>
      <c r="AC506" s="81">
        <f>IF(X506=1,HLOOKUP(R506,データについて!$J$12:$M$18,7,FALSE),"*")</f>
        <v>1</v>
      </c>
      <c r="AD506" s="81" t="str">
        <f>IF(X506=2,HLOOKUP(R506,データについて!$J$12:$M$18,7,FALSE),"*")</f>
        <v>*</v>
      </c>
    </row>
    <row r="507" spans="1:30">
      <c r="A507" s="30">
        <v>4685</v>
      </c>
      <c r="B507" s="30" t="s">
        <v>4016</v>
      </c>
      <c r="C507" s="30" t="s">
        <v>4017</v>
      </c>
      <c r="D507" s="30" t="s">
        <v>106</v>
      </c>
      <c r="E507" s="30"/>
      <c r="F507" s="30" t="s">
        <v>107</v>
      </c>
      <c r="G507" s="30" t="s">
        <v>106</v>
      </c>
      <c r="H507" s="30"/>
      <c r="I507" s="30" t="s">
        <v>191</v>
      </c>
      <c r="J507" s="30"/>
      <c r="K507" s="30" t="s">
        <v>126</v>
      </c>
      <c r="L507" s="30" t="s">
        <v>108</v>
      </c>
      <c r="M507" s="30" t="s">
        <v>113</v>
      </c>
      <c r="N507" s="30" t="s">
        <v>114</v>
      </c>
      <c r="O507" s="30" t="s">
        <v>115</v>
      </c>
      <c r="P507" s="30" t="s">
        <v>112</v>
      </c>
      <c r="Q507" s="30" t="s">
        <v>112</v>
      </c>
      <c r="R507" s="30" t="s">
        <v>187</v>
      </c>
      <c r="S507" s="81">
        <f>HLOOKUP(L507,データについて!$J$6:$M$18,13,FALSE)</f>
        <v>1</v>
      </c>
      <c r="T507" s="81">
        <f>HLOOKUP(M507,データについて!$J$7:$M$18,12,FALSE)</f>
        <v>1</v>
      </c>
      <c r="U507" s="81">
        <f>HLOOKUP(N507,データについて!$J$8:$M$18,11,FALSE)</f>
        <v>1</v>
      </c>
      <c r="V507" s="81">
        <f>HLOOKUP(O507,データについて!$J$9:$M$18,10,FALSE)</f>
        <v>1</v>
      </c>
      <c r="W507" s="81">
        <f>HLOOKUP(P507,データについて!$J$10:$M$18,9,FALSE)</f>
        <v>1</v>
      </c>
      <c r="X507" s="81">
        <f>HLOOKUP(Q507,データについて!$J$11:$M$18,8,FALSE)</f>
        <v>1</v>
      </c>
      <c r="Y507" s="81">
        <f>HLOOKUP(R507,データについて!$J$12:$M$18,7,FALSE)</f>
        <v>3</v>
      </c>
      <c r="Z507" s="81">
        <f>HLOOKUP(I507,データについて!$J$3:$M$18,16,FALSE)</f>
        <v>2</v>
      </c>
      <c r="AA507" s="81" t="str">
        <f>IFERROR(HLOOKUP(J507,データについて!$J$4:$AH$19,16,FALSE),"")</f>
        <v/>
      </c>
      <c r="AB507" s="81">
        <f>IFERROR(HLOOKUP(K507,データについて!$J$5:$AH$20,14,FALSE),"")</f>
        <v>0</v>
      </c>
      <c r="AC507" s="81">
        <f>IF(X507=1,HLOOKUP(R507,データについて!$J$12:$M$18,7,FALSE),"*")</f>
        <v>3</v>
      </c>
      <c r="AD507" s="81" t="str">
        <f>IF(X507=2,HLOOKUP(R507,データについて!$J$12:$M$18,7,FALSE),"*")</f>
        <v>*</v>
      </c>
    </row>
    <row r="508" spans="1:30">
      <c r="A508" s="30">
        <v>4684</v>
      </c>
      <c r="B508" s="30" t="s">
        <v>4018</v>
      </c>
      <c r="C508" s="30" t="s">
        <v>4019</v>
      </c>
      <c r="D508" s="30" t="s">
        <v>106</v>
      </c>
      <c r="E508" s="30"/>
      <c r="F508" s="30" t="s">
        <v>107</v>
      </c>
      <c r="G508" s="30" t="s">
        <v>106</v>
      </c>
      <c r="H508" s="30"/>
      <c r="I508" s="30" t="s">
        <v>191</v>
      </c>
      <c r="J508" s="30"/>
      <c r="K508" s="30" t="s">
        <v>126</v>
      </c>
      <c r="L508" s="30" t="s">
        <v>117</v>
      </c>
      <c r="M508" s="30" t="s">
        <v>113</v>
      </c>
      <c r="N508" s="30" t="s">
        <v>114</v>
      </c>
      <c r="O508" s="30" t="s">
        <v>116</v>
      </c>
      <c r="P508" s="30" t="s">
        <v>118</v>
      </c>
      <c r="Q508" s="30" t="s">
        <v>112</v>
      </c>
      <c r="R508" s="30" t="s">
        <v>187</v>
      </c>
      <c r="S508" s="81">
        <f>HLOOKUP(L508,データについて!$J$6:$M$18,13,FALSE)</f>
        <v>2</v>
      </c>
      <c r="T508" s="81">
        <f>HLOOKUP(M508,データについて!$J$7:$M$18,12,FALSE)</f>
        <v>1</v>
      </c>
      <c r="U508" s="81">
        <f>HLOOKUP(N508,データについて!$J$8:$M$18,11,FALSE)</f>
        <v>1</v>
      </c>
      <c r="V508" s="81">
        <f>HLOOKUP(O508,データについて!$J$9:$M$18,10,FALSE)</f>
        <v>2</v>
      </c>
      <c r="W508" s="81">
        <f>HLOOKUP(P508,データについて!$J$10:$M$18,9,FALSE)</f>
        <v>2</v>
      </c>
      <c r="X508" s="81">
        <f>HLOOKUP(Q508,データについて!$J$11:$M$18,8,FALSE)</f>
        <v>1</v>
      </c>
      <c r="Y508" s="81">
        <f>HLOOKUP(R508,データについて!$J$12:$M$18,7,FALSE)</f>
        <v>3</v>
      </c>
      <c r="Z508" s="81">
        <f>HLOOKUP(I508,データについて!$J$3:$M$18,16,FALSE)</f>
        <v>2</v>
      </c>
      <c r="AA508" s="81" t="str">
        <f>IFERROR(HLOOKUP(J508,データについて!$J$4:$AH$19,16,FALSE),"")</f>
        <v/>
      </c>
      <c r="AB508" s="81">
        <f>IFERROR(HLOOKUP(K508,データについて!$J$5:$AH$20,14,FALSE),"")</f>
        <v>0</v>
      </c>
      <c r="AC508" s="81">
        <f>IF(X508=1,HLOOKUP(R508,データについて!$J$12:$M$18,7,FALSE),"*")</f>
        <v>3</v>
      </c>
      <c r="AD508" s="81" t="str">
        <f>IF(X508=2,HLOOKUP(R508,データについて!$J$12:$M$18,7,FALSE),"*")</f>
        <v>*</v>
      </c>
    </row>
    <row r="509" spans="1:30">
      <c r="A509" s="30">
        <v>4683</v>
      </c>
      <c r="B509" s="30" t="s">
        <v>4020</v>
      </c>
      <c r="C509" s="30" t="s">
        <v>4019</v>
      </c>
      <c r="D509" s="30" t="s">
        <v>106</v>
      </c>
      <c r="E509" s="30"/>
      <c r="F509" s="30" t="s">
        <v>107</v>
      </c>
      <c r="G509" s="30" t="s">
        <v>106</v>
      </c>
      <c r="H509" s="30"/>
      <c r="I509" s="30" t="s">
        <v>191</v>
      </c>
      <c r="J509" s="30"/>
      <c r="K509" s="30" t="s">
        <v>126</v>
      </c>
      <c r="L509" s="30" t="s">
        <v>117</v>
      </c>
      <c r="M509" s="30" t="s">
        <v>109</v>
      </c>
      <c r="N509" s="30" t="s">
        <v>122</v>
      </c>
      <c r="O509" s="30" t="s">
        <v>123</v>
      </c>
      <c r="P509" s="30" t="s">
        <v>118</v>
      </c>
      <c r="Q509" s="30" t="s">
        <v>112</v>
      </c>
      <c r="R509" s="30" t="s">
        <v>185</v>
      </c>
      <c r="S509" s="81">
        <f>HLOOKUP(L509,データについて!$J$6:$M$18,13,FALSE)</f>
        <v>2</v>
      </c>
      <c r="T509" s="81">
        <f>HLOOKUP(M509,データについて!$J$7:$M$18,12,FALSE)</f>
        <v>2</v>
      </c>
      <c r="U509" s="81">
        <f>HLOOKUP(N509,データについて!$J$8:$M$18,11,FALSE)</f>
        <v>3</v>
      </c>
      <c r="V509" s="81">
        <f>HLOOKUP(O509,データについて!$J$9:$M$18,10,FALSE)</f>
        <v>4</v>
      </c>
      <c r="W509" s="81">
        <f>HLOOKUP(P509,データについて!$J$10:$M$18,9,FALSE)</f>
        <v>2</v>
      </c>
      <c r="X509" s="81">
        <f>HLOOKUP(Q509,データについて!$J$11:$M$18,8,FALSE)</f>
        <v>1</v>
      </c>
      <c r="Y509" s="81">
        <f>HLOOKUP(R509,データについて!$J$12:$M$18,7,FALSE)</f>
        <v>2</v>
      </c>
      <c r="Z509" s="81">
        <f>HLOOKUP(I509,データについて!$J$3:$M$18,16,FALSE)</f>
        <v>2</v>
      </c>
      <c r="AA509" s="81" t="str">
        <f>IFERROR(HLOOKUP(J509,データについて!$J$4:$AH$19,16,FALSE),"")</f>
        <v/>
      </c>
      <c r="AB509" s="81">
        <f>IFERROR(HLOOKUP(K509,データについて!$J$5:$AH$20,14,FALSE),"")</f>
        <v>0</v>
      </c>
      <c r="AC509" s="81">
        <f>IF(X509=1,HLOOKUP(R509,データについて!$J$12:$M$18,7,FALSE),"*")</f>
        <v>2</v>
      </c>
      <c r="AD509" s="81" t="str">
        <f>IF(X509=2,HLOOKUP(R509,データについて!$J$12:$M$18,7,FALSE),"*")</f>
        <v>*</v>
      </c>
    </row>
    <row r="510" spans="1:30">
      <c r="A510" s="30">
        <v>4682</v>
      </c>
      <c r="B510" s="30" t="s">
        <v>4021</v>
      </c>
      <c r="C510" s="30" t="s">
        <v>4022</v>
      </c>
      <c r="D510" s="30" t="s">
        <v>106</v>
      </c>
      <c r="E510" s="30"/>
      <c r="F510" s="30" t="s">
        <v>107</v>
      </c>
      <c r="G510" s="30" t="s">
        <v>106</v>
      </c>
      <c r="H510" s="30"/>
      <c r="I510" s="30" t="s">
        <v>191</v>
      </c>
      <c r="J510" s="30"/>
      <c r="K510" s="30" t="s">
        <v>126</v>
      </c>
      <c r="L510" s="30" t="s">
        <v>117</v>
      </c>
      <c r="M510" s="30" t="s">
        <v>113</v>
      </c>
      <c r="N510" s="30" t="s">
        <v>110</v>
      </c>
      <c r="O510" s="30" t="s">
        <v>115</v>
      </c>
      <c r="P510" s="30" t="s">
        <v>118</v>
      </c>
      <c r="Q510" s="30" t="s">
        <v>112</v>
      </c>
      <c r="R510" s="30" t="s">
        <v>185</v>
      </c>
      <c r="S510" s="81">
        <f>HLOOKUP(L510,データについて!$J$6:$M$18,13,FALSE)</f>
        <v>2</v>
      </c>
      <c r="T510" s="81">
        <f>HLOOKUP(M510,データについて!$J$7:$M$18,12,FALSE)</f>
        <v>1</v>
      </c>
      <c r="U510" s="81">
        <f>HLOOKUP(N510,データについて!$J$8:$M$18,11,FALSE)</f>
        <v>2</v>
      </c>
      <c r="V510" s="81">
        <f>HLOOKUP(O510,データについて!$J$9:$M$18,10,FALSE)</f>
        <v>1</v>
      </c>
      <c r="W510" s="81">
        <f>HLOOKUP(P510,データについて!$J$10:$M$18,9,FALSE)</f>
        <v>2</v>
      </c>
      <c r="X510" s="81">
        <f>HLOOKUP(Q510,データについて!$J$11:$M$18,8,FALSE)</f>
        <v>1</v>
      </c>
      <c r="Y510" s="81">
        <f>HLOOKUP(R510,データについて!$J$12:$M$18,7,FALSE)</f>
        <v>2</v>
      </c>
      <c r="Z510" s="81">
        <f>HLOOKUP(I510,データについて!$J$3:$M$18,16,FALSE)</f>
        <v>2</v>
      </c>
      <c r="AA510" s="81" t="str">
        <f>IFERROR(HLOOKUP(J510,データについて!$J$4:$AH$19,16,FALSE),"")</f>
        <v/>
      </c>
      <c r="AB510" s="81">
        <f>IFERROR(HLOOKUP(K510,データについて!$J$5:$AH$20,14,FALSE),"")</f>
        <v>0</v>
      </c>
      <c r="AC510" s="81">
        <f>IF(X510=1,HLOOKUP(R510,データについて!$J$12:$M$18,7,FALSE),"*")</f>
        <v>2</v>
      </c>
      <c r="AD510" s="81" t="str">
        <f>IF(X510=2,HLOOKUP(R510,データについて!$J$12:$M$18,7,FALSE),"*")</f>
        <v>*</v>
      </c>
    </row>
    <row r="511" spans="1:30">
      <c r="A511" s="30">
        <v>4681</v>
      </c>
      <c r="B511" s="30" t="s">
        <v>4023</v>
      </c>
      <c r="C511" s="30" t="s">
        <v>4024</v>
      </c>
      <c r="D511" s="30" t="s">
        <v>106</v>
      </c>
      <c r="E511" s="30"/>
      <c r="F511" s="30" t="s">
        <v>107</v>
      </c>
      <c r="G511" s="30" t="s">
        <v>106</v>
      </c>
      <c r="H511" s="30"/>
      <c r="I511" s="30" t="s">
        <v>191</v>
      </c>
      <c r="J511" s="30"/>
      <c r="K511" s="30" t="s">
        <v>126</v>
      </c>
      <c r="L511" s="30" t="s">
        <v>108</v>
      </c>
      <c r="M511" s="30" t="s">
        <v>109</v>
      </c>
      <c r="N511" s="30" t="s">
        <v>110</v>
      </c>
      <c r="O511" s="30" t="s">
        <v>116</v>
      </c>
      <c r="P511" s="30" t="s">
        <v>118</v>
      </c>
      <c r="Q511" s="30" t="s">
        <v>118</v>
      </c>
      <c r="R511" s="30" t="s">
        <v>187</v>
      </c>
      <c r="S511" s="81">
        <f>HLOOKUP(L511,データについて!$J$6:$M$18,13,FALSE)</f>
        <v>1</v>
      </c>
      <c r="T511" s="81">
        <f>HLOOKUP(M511,データについて!$J$7:$M$18,12,FALSE)</f>
        <v>2</v>
      </c>
      <c r="U511" s="81">
        <f>HLOOKUP(N511,データについて!$J$8:$M$18,11,FALSE)</f>
        <v>2</v>
      </c>
      <c r="V511" s="81">
        <f>HLOOKUP(O511,データについて!$J$9:$M$18,10,FALSE)</f>
        <v>2</v>
      </c>
      <c r="W511" s="81">
        <f>HLOOKUP(P511,データについて!$J$10:$M$18,9,FALSE)</f>
        <v>2</v>
      </c>
      <c r="X511" s="81">
        <f>HLOOKUP(Q511,データについて!$J$11:$M$18,8,FALSE)</f>
        <v>2</v>
      </c>
      <c r="Y511" s="81">
        <f>HLOOKUP(R511,データについて!$J$12:$M$18,7,FALSE)</f>
        <v>3</v>
      </c>
      <c r="Z511" s="81">
        <f>HLOOKUP(I511,データについて!$J$3:$M$18,16,FALSE)</f>
        <v>2</v>
      </c>
      <c r="AA511" s="81" t="str">
        <f>IFERROR(HLOOKUP(J511,データについて!$J$4:$AH$19,16,FALSE),"")</f>
        <v/>
      </c>
      <c r="AB511" s="81">
        <f>IFERROR(HLOOKUP(K511,データについて!$J$5:$AH$20,14,FALSE),"")</f>
        <v>0</v>
      </c>
      <c r="AC511" s="81" t="str">
        <f>IF(X511=1,HLOOKUP(R511,データについて!$J$12:$M$18,7,FALSE),"*")</f>
        <v>*</v>
      </c>
      <c r="AD511" s="81">
        <f>IF(X511=2,HLOOKUP(R511,データについて!$J$12:$M$18,7,FALSE),"*")</f>
        <v>3</v>
      </c>
    </row>
    <row r="512" spans="1:30">
      <c r="A512" s="30">
        <v>4680</v>
      </c>
      <c r="B512" s="30" t="s">
        <v>4025</v>
      </c>
      <c r="C512" s="30" t="s">
        <v>4024</v>
      </c>
      <c r="D512" s="30" t="s">
        <v>106</v>
      </c>
      <c r="E512" s="30"/>
      <c r="F512" s="30" t="s">
        <v>107</v>
      </c>
      <c r="G512" s="30" t="s">
        <v>106</v>
      </c>
      <c r="H512" s="30"/>
      <c r="I512" s="30" t="s">
        <v>191</v>
      </c>
      <c r="J512" s="30"/>
      <c r="K512" s="30" t="s">
        <v>126</v>
      </c>
      <c r="L512" s="30" t="s">
        <v>117</v>
      </c>
      <c r="M512" s="30" t="s">
        <v>124</v>
      </c>
      <c r="N512" s="30" t="s">
        <v>110</v>
      </c>
      <c r="O512" s="30" t="s">
        <v>116</v>
      </c>
      <c r="P512" s="30" t="s">
        <v>118</v>
      </c>
      <c r="Q512" s="30" t="s">
        <v>112</v>
      </c>
      <c r="R512" s="30" t="s">
        <v>185</v>
      </c>
      <c r="S512" s="81">
        <f>HLOOKUP(L512,データについて!$J$6:$M$18,13,FALSE)</f>
        <v>2</v>
      </c>
      <c r="T512" s="81">
        <f>HLOOKUP(M512,データについて!$J$7:$M$18,12,FALSE)</f>
        <v>3</v>
      </c>
      <c r="U512" s="81">
        <f>HLOOKUP(N512,データについて!$J$8:$M$18,11,FALSE)</f>
        <v>2</v>
      </c>
      <c r="V512" s="81">
        <f>HLOOKUP(O512,データについて!$J$9:$M$18,10,FALSE)</f>
        <v>2</v>
      </c>
      <c r="W512" s="81">
        <f>HLOOKUP(P512,データについて!$J$10:$M$18,9,FALSE)</f>
        <v>2</v>
      </c>
      <c r="X512" s="81">
        <f>HLOOKUP(Q512,データについて!$J$11:$M$18,8,FALSE)</f>
        <v>1</v>
      </c>
      <c r="Y512" s="81">
        <f>HLOOKUP(R512,データについて!$J$12:$M$18,7,FALSE)</f>
        <v>2</v>
      </c>
      <c r="Z512" s="81">
        <f>HLOOKUP(I512,データについて!$J$3:$M$18,16,FALSE)</f>
        <v>2</v>
      </c>
      <c r="AA512" s="81" t="str">
        <f>IFERROR(HLOOKUP(J512,データについて!$J$4:$AH$19,16,FALSE),"")</f>
        <v/>
      </c>
      <c r="AB512" s="81">
        <f>IFERROR(HLOOKUP(K512,データについて!$J$5:$AH$20,14,FALSE),"")</f>
        <v>0</v>
      </c>
      <c r="AC512" s="81">
        <f>IF(X512=1,HLOOKUP(R512,データについて!$J$12:$M$18,7,FALSE),"*")</f>
        <v>2</v>
      </c>
      <c r="AD512" s="81" t="str">
        <f>IF(X512=2,HLOOKUP(R512,データについて!$J$12:$M$18,7,FALSE),"*")</f>
        <v>*</v>
      </c>
    </row>
    <row r="513" spans="1:30">
      <c r="A513" s="30">
        <v>4679</v>
      </c>
      <c r="B513" s="30" t="s">
        <v>4026</v>
      </c>
      <c r="C513" s="30" t="s">
        <v>4027</v>
      </c>
      <c r="D513" s="30" t="s">
        <v>106</v>
      </c>
      <c r="E513" s="30"/>
      <c r="F513" s="30" t="s">
        <v>107</v>
      </c>
      <c r="G513" s="30" t="s">
        <v>106</v>
      </c>
      <c r="H513" s="30"/>
      <c r="I513" s="30" t="s">
        <v>191</v>
      </c>
      <c r="J513" s="30"/>
      <c r="K513" s="30" t="s">
        <v>126</v>
      </c>
      <c r="L513" s="30" t="s">
        <v>108</v>
      </c>
      <c r="M513" s="30" t="s">
        <v>113</v>
      </c>
      <c r="N513" s="30" t="s">
        <v>110</v>
      </c>
      <c r="O513" s="30" t="s">
        <v>115</v>
      </c>
      <c r="P513" s="30" t="s">
        <v>112</v>
      </c>
      <c r="Q513" s="30" t="s">
        <v>118</v>
      </c>
      <c r="R513" s="30" t="s">
        <v>187</v>
      </c>
      <c r="S513" s="81">
        <f>HLOOKUP(L513,データについて!$J$6:$M$18,13,FALSE)</f>
        <v>1</v>
      </c>
      <c r="T513" s="81">
        <f>HLOOKUP(M513,データについて!$J$7:$M$18,12,FALSE)</f>
        <v>1</v>
      </c>
      <c r="U513" s="81">
        <f>HLOOKUP(N513,データについて!$J$8:$M$18,11,FALSE)</f>
        <v>2</v>
      </c>
      <c r="V513" s="81">
        <f>HLOOKUP(O513,データについて!$J$9:$M$18,10,FALSE)</f>
        <v>1</v>
      </c>
      <c r="W513" s="81">
        <f>HLOOKUP(P513,データについて!$J$10:$M$18,9,FALSE)</f>
        <v>1</v>
      </c>
      <c r="X513" s="81">
        <f>HLOOKUP(Q513,データについて!$J$11:$M$18,8,FALSE)</f>
        <v>2</v>
      </c>
      <c r="Y513" s="81">
        <f>HLOOKUP(R513,データについて!$J$12:$M$18,7,FALSE)</f>
        <v>3</v>
      </c>
      <c r="Z513" s="81">
        <f>HLOOKUP(I513,データについて!$J$3:$M$18,16,FALSE)</f>
        <v>2</v>
      </c>
      <c r="AA513" s="81" t="str">
        <f>IFERROR(HLOOKUP(J513,データについて!$J$4:$AH$19,16,FALSE),"")</f>
        <v/>
      </c>
      <c r="AB513" s="81">
        <f>IFERROR(HLOOKUP(K513,データについて!$J$5:$AH$20,14,FALSE),"")</f>
        <v>0</v>
      </c>
      <c r="AC513" s="81" t="str">
        <f>IF(X513=1,HLOOKUP(R513,データについて!$J$12:$M$18,7,FALSE),"*")</f>
        <v>*</v>
      </c>
      <c r="AD513" s="81">
        <f>IF(X513=2,HLOOKUP(R513,データについて!$J$12:$M$18,7,FALSE),"*")</f>
        <v>3</v>
      </c>
    </row>
    <row r="514" spans="1:30">
      <c r="A514" s="30">
        <v>4678</v>
      </c>
      <c r="B514" s="30" t="s">
        <v>4028</v>
      </c>
      <c r="C514" s="30" t="s">
        <v>4029</v>
      </c>
      <c r="D514" s="30" t="s">
        <v>106</v>
      </c>
      <c r="E514" s="30"/>
      <c r="F514" s="30" t="s">
        <v>107</v>
      </c>
      <c r="G514" s="30" t="s">
        <v>106</v>
      </c>
      <c r="H514" s="30"/>
      <c r="I514" s="30" t="s">
        <v>191</v>
      </c>
      <c r="J514" s="30"/>
      <c r="K514" s="30" t="s">
        <v>126</v>
      </c>
      <c r="L514" s="30" t="s">
        <v>117</v>
      </c>
      <c r="M514" s="30" t="s">
        <v>113</v>
      </c>
      <c r="N514" s="30" t="s">
        <v>114</v>
      </c>
      <c r="O514" s="30" t="s">
        <v>116</v>
      </c>
      <c r="P514" s="30" t="s">
        <v>112</v>
      </c>
      <c r="Q514" s="30" t="s">
        <v>112</v>
      </c>
      <c r="R514" s="30" t="s">
        <v>183</v>
      </c>
      <c r="S514" s="81">
        <f>HLOOKUP(L514,データについて!$J$6:$M$18,13,FALSE)</f>
        <v>2</v>
      </c>
      <c r="T514" s="81">
        <f>HLOOKUP(M514,データについて!$J$7:$M$18,12,FALSE)</f>
        <v>1</v>
      </c>
      <c r="U514" s="81">
        <f>HLOOKUP(N514,データについて!$J$8:$M$18,11,FALSE)</f>
        <v>1</v>
      </c>
      <c r="V514" s="81">
        <f>HLOOKUP(O514,データについて!$J$9:$M$18,10,FALSE)</f>
        <v>2</v>
      </c>
      <c r="W514" s="81">
        <f>HLOOKUP(P514,データについて!$J$10:$M$18,9,FALSE)</f>
        <v>1</v>
      </c>
      <c r="X514" s="81">
        <f>HLOOKUP(Q514,データについて!$J$11:$M$18,8,FALSE)</f>
        <v>1</v>
      </c>
      <c r="Y514" s="81">
        <f>HLOOKUP(R514,データについて!$J$12:$M$18,7,FALSE)</f>
        <v>1</v>
      </c>
      <c r="Z514" s="81">
        <f>HLOOKUP(I514,データについて!$J$3:$M$18,16,FALSE)</f>
        <v>2</v>
      </c>
      <c r="AA514" s="81" t="str">
        <f>IFERROR(HLOOKUP(J514,データについて!$J$4:$AH$19,16,FALSE),"")</f>
        <v/>
      </c>
      <c r="AB514" s="81">
        <f>IFERROR(HLOOKUP(K514,データについて!$J$5:$AH$20,14,FALSE),"")</f>
        <v>0</v>
      </c>
      <c r="AC514" s="81">
        <f>IF(X514=1,HLOOKUP(R514,データについて!$J$12:$M$18,7,FALSE),"*")</f>
        <v>1</v>
      </c>
      <c r="AD514" s="81" t="str">
        <f>IF(X514=2,HLOOKUP(R514,データについて!$J$12:$M$18,7,FALSE),"*")</f>
        <v>*</v>
      </c>
    </row>
    <row r="515" spans="1:30">
      <c r="A515" s="30">
        <v>4677</v>
      </c>
      <c r="B515" s="30" t="s">
        <v>4030</v>
      </c>
      <c r="C515" s="30" t="s">
        <v>4031</v>
      </c>
      <c r="D515" s="30" t="s">
        <v>106</v>
      </c>
      <c r="E515" s="30"/>
      <c r="F515" s="30" t="s">
        <v>107</v>
      </c>
      <c r="G515" s="30" t="s">
        <v>106</v>
      </c>
      <c r="H515" s="30"/>
      <c r="I515" s="30" t="s">
        <v>191</v>
      </c>
      <c r="J515" s="30"/>
      <c r="K515" s="30" t="s">
        <v>126</v>
      </c>
      <c r="L515" s="30" t="s">
        <v>117</v>
      </c>
      <c r="M515" s="30" t="s">
        <v>113</v>
      </c>
      <c r="N515" s="30" t="s">
        <v>114</v>
      </c>
      <c r="O515" s="30" t="s">
        <v>116</v>
      </c>
      <c r="P515" s="30" t="s">
        <v>118</v>
      </c>
      <c r="Q515" s="30" t="s">
        <v>112</v>
      </c>
      <c r="R515" s="30" t="s">
        <v>185</v>
      </c>
      <c r="S515" s="81">
        <f>HLOOKUP(L515,データについて!$J$6:$M$18,13,FALSE)</f>
        <v>2</v>
      </c>
      <c r="T515" s="81">
        <f>HLOOKUP(M515,データについて!$J$7:$M$18,12,FALSE)</f>
        <v>1</v>
      </c>
      <c r="U515" s="81">
        <f>HLOOKUP(N515,データについて!$J$8:$M$18,11,FALSE)</f>
        <v>1</v>
      </c>
      <c r="V515" s="81">
        <f>HLOOKUP(O515,データについて!$J$9:$M$18,10,FALSE)</f>
        <v>2</v>
      </c>
      <c r="W515" s="81">
        <f>HLOOKUP(P515,データについて!$J$10:$M$18,9,FALSE)</f>
        <v>2</v>
      </c>
      <c r="X515" s="81">
        <f>HLOOKUP(Q515,データについて!$J$11:$M$18,8,FALSE)</f>
        <v>1</v>
      </c>
      <c r="Y515" s="81">
        <f>HLOOKUP(R515,データについて!$J$12:$M$18,7,FALSE)</f>
        <v>2</v>
      </c>
      <c r="Z515" s="81">
        <f>HLOOKUP(I515,データについて!$J$3:$M$18,16,FALSE)</f>
        <v>2</v>
      </c>
      <c r="AA515" s="81" t="str">
        <f>IFERROR(HLOOKUP(J515,データについて!$J$4:$AH$19,16,FALSE),"")</f>
        <v/>
      </c>
      <c r="AB515" s="81">
        <f>IFERROR(HLOOKUP(K515,データについて!$J$5:$AH$20,14,FALSE),"")</f>
        <v>0</v>
      </c>
      <c r="AC515" s="81">
        <f>IF(X515=1,HLOOKUP(R515,データについて!$J$12:$M$18,7,FALSE),"*")</f>
        <v>2</v>
      </c>
      <c r="AD515" s="81" t="str">
        <f>IF(X515=2,HLOOKUP(R515,データについて!$J$12:$M$18,7,FALSE),"*")</f>
        <v>*</v>
      </c>
    </row>
    <row r="516" spans="1:30">
      <c r="A516" s="30">
        <v>4676</v>
      </c>
      <c r="B516" s="30" t="s">
        <v>4032</v>
      </c>
      <c r="C516" s="30" t="s">
        <v>4031</v>
      </c>
      <c r="D516" s="30" t="s">
        <v>106</v>
      </c>
      <c r="E516" s="30"/>
      <c r="F516" s="30" t="s">
        <v>107</v>
      </c>
      <c r="G516" s="30" t="s">
        <v>106</v>
      </c>
      <c r="H516" s="30"/>
      <c r="I516" s="30" t="s">
        <v>191</v>
      </c>
      <c r="J516" s="30"/>
      <c r="K516" s="30" t="s">
        <v>126</v>
      </c>
      <c r="L516" s="30" t="s">
        <v>108</v>
      </c>
      <c r="M516" s="30" t="s">
        <v>113</v>
      </c>
      <c r="N516" s="30" t="s">
        <v>110</v>
      </c>
      <c r="O516" s="30" t="s">
        <v>115</v>
      </c>
      <c r="P516" s="30" t="s">
        <v>118</v>
      </c>
      <c r="Q516" s="30" t="s">
        <v>112</v>
      </c>
      <c r="R516" s="30" t="s">
        <v>185</v>
      </c>
      <c r="S516" s="81">
        <f>HLOOKUP(L516,データについて!$J$6:$M$18,13,FALSE)</f>
        <v>1</v>
      </c>
      <c r="T516" s="81">
        <f>HLOOKUP(M516,データについて!$J$7:$M$18,12,FALSE)</f>
        <v>1</v>
      </c>
      <c r="U516" s="81">
        <f>HLOOKUP(N516,データについて!$J$8:$M$18,11,FALSE)</f>
        <v>2</v>
      </c>
      <c r="V516" s="81">
        <f>HLOOKUP(O516,データについて!$J$9:$M$18,10,FALSE)</f>
        <v>1</v>
      </c>
      <c r="W516" s="81">
        <f>HLOOKUP(P516,データについて!$J$10:$M$18,9,FALSE)</f>
        <v>2</v>
      </c>
      <c r="X516" s="81">
        <f>HLOOKUP(Q516,データについて!$J$11:$M$18,8,FALSE)</f>
        <v>1</v>
      </c>
      <c r="Y516" s="81">
        <f>HLOOKUP(R516,データについて!$J$12:$M$18,7,FALSE)</f>
        <v>2</v>
      </c>
      <c r="Z516" s="81">
        <f>HLOOKUP(I516,データについて!$J$3:$M$18,16,FALSE)</f>
        <v>2</v>
      </c>
      <c r="AA516" s="81" t="str">
        <f>IFERROR(HLOOKUP(J516,データについて!$J$4:$AH$19,16,FALSE),"")</f>
        <v/>
      </c>
      <c r="AB516" s="81">
        <f>IFERROR(HLOOKUP(K516,データについて!$J$5:$AH$20,14,FALSE),"")</f>
        <v>0</v>
      </c>
      <c r="AC516" s="81">
        <f>IF(X516=1,HLOOKUP(R516,データについて!$J$12:$M$18,7,FALSE),"*")</f>
        <v>2</v>
      </c>
      <c r="AD516" s="81" t="str">
        <f>IF(X516=2,HLOOKUP(R516,データについて!$J$12:$M$18,7,FALSE),"*")</f>
        <v>*</v>
      </c>
    </row>
    <row r="517" spans="1:30">
      <c r="A517" s="30">
        <v>4675</v>
      </c>
      <c r="B517" s="30" t="s">
        <v>4033</v>
      </c>
      <c r="C517" s="30" t="s">
        <v>4034</v>
      </c>
      <c r="D517" s="30" t="s">
        <v>106</v>
      </c>
      <c r="E517" s="30"/>
      <c r="F517" s="30" t="s">
        <v>107</v>
      </c>
      <c r="G517" s="30" t="s">
        <v>106</v>
      </c>
      <c r="H517" s="30"/>
      <c r="I517" s="30" t="s">
        <v>191</v>
      </c>
      <c r="J517" s="30"/>
      <c r="K517" s="30" t="s">
        <v>126</v>
      </c>
      <c r="L517" s="30" t="s">
        <v>108</v>
      </c>
      <c r="M517" s="30" t="s">
        <v>113</v>
      </c>
      <c r="N517" s="30" t="s">
        <v>114</v>
      </c>
      <c r="O517" s="30" t="s">
        <v>116</v>
      </c>
      <c r="P517" s="30" t="s">
        <v>118</v>
      </c>
      <c r="Q517" s="30" t="s">
        <v>112</v>
      </c>
      <c r="R517" s="30" t="s">
        <v>185</v>
      </c>
      <c r="S517" s="81">
        <f>HLOOKUP(L517,データについて!$J$6:$M$18,13,FALSE)</f>
        <v>1</v>
      </c>
      <c r="T517" s="81">
        <f>HLOOKUP(M517,データについて!$J$7:$M$18,12,FALSE)</f>
        <v>1</v>
      </c>
      <c r="U517" s="81">
        <f>HLOOKUP(N517,データについて!$J$8:$M$18,11,FALSE)</f>
        <v>1</v>
      </c>
      <c r="V517" s="81">
        <f>HLOOKUP(O517,データについて!$J$9:$M$18,10,FALSE)</f>
        <v>2</v>
      </c>
      <c r="W517" s="81">
        <f>HLOOKUP(P517,データについて!$J$10:$M$18,9,FALSE)</f>
        <v>2</v>
      </c>
      <c r="X517" s="81">
        <f>HLOOKUP(Q517,データについて!$J$11:$M$18,8,FALSE)</f>
        <v>1</v>
      </c>
      <c r="Y517" s="81">
        <f>HLOOKUP(R517,データについて!$J$12:$M$18,7,FALSE)</f>
        <v>2</v>
      </c>
      <c r="Z517" s="81">
        <f>HLOOKUP(I517,データについて!$J$3:$M$18,16,FALSE)</f>
        <v>2</v>
      </c>
      <c r="AA517" s="81" t="str">
        <f>IFERROR(HLOOKUP(J517,データについて!$J$4:$AH$19,16,FALSE),"")</f>
        <v/>
      </c>
      <c r="AB517" s="81">
        <f>IFERROR(HLOOKUP(K517,データについて!$J$5:$AH$20,14,FALSE),"")</f>
        <v>0</v>
      </c>
      <c r="AC517" s="81">
        <f>IF(X517=1,HLOOKUP(R517,データについて!$J$12:$M$18,7,FALSE),"*")</f>
        <v>2</v>
      </c>
      <c r="AD517" s="81" t="str">
        <f>IF(X517=2,HLOOKUP(R517,データについて!$J$12:$M$18,7,FALSE),"*")</f>
        <v>*</v>
      </c>
    </row>
    <row r="518" spans="1:30">
      <c r="A518" s="30">
        <v>4674</v>
      </c>
      <c r="B518" s="30" t="s">
        <v>4035</v>
      </c>
      <c r="C518" s="30" t="s">
        <v>4036</v>
      </c>
      <c r="D518" s="30" t="s">
        <v>106</v>
      </c>
      <c r="E518" s="30"/>
      <c r="F518" s="30" t="s">
        <v>107</v>
      </c>
      <c r="G518" s="30" t="s">
        <v>106</v>
      </c>
      <c r="H518" s="30"/>
      <c r="I518" s="30" t="s">
        <v>191</v>
      </c>
      <c r="J518" s="30"/>
      <c r="K518" s="30" t="s">
        <v>126</v>
      </c>
      <c r="L518" s="30" t="s">
        <v>117</v>
      </c>
      <c r="M518" s="30" t="s">
        <v>113</v>
      </c>
      <c r="N518" s="30" t="s">
        <v>110</v>
      </c>
      <c r="O518" s="30" t="s">
        <v>115</v>
      </c>
      <c r="P518" s="30" t="s">
        <v>118</v>
      </c>
      <c r="Q518" s="30" t="s">
        <v>112</v>
      </c>
      <c r="R518" s="30" t="s">
        <v>183</v>
      </c>
      <c r="S518" s="81">
        <f>HLOOKUP(L518,データについて!$J$6:$M$18,13,FALSE)</f>
        <v>2</v>
      </c>
      <c r="T518" s="81">
        <f>HLOOKUP(M518,データについて!$J$7:$M$18,12,FALSE)</f>
        <v>1</v>
      </c>
      <c r="U518" s="81">
        <f>HLOOKUP(N518,データについて!$J$8:$M$18,11,FALSE)</f>
        <v>2</v>
      </c>
      <c r="V518" s="81">
        <f>HLOOKUP(O518,データについて!$J$9:$M$18,10,FALSE)</f>
        <v>1</v>
      </c>
      <c r="W518" s="81">
        <f>HLOOKUP(P518,データについて!$J$10:$M$18,9,FALSE)</f>
        <v>2</v>
      </c>
      <c r="X518" s="81">
        <f>HLOOKUP(Q518,データについて!$J$11:$M$18,8,FALSE)</f>
        <v>1</v>
      </c>
      <c r="Y518" s="81">
        <f>HLOOKUP(R518,データについて!$J$12:$M$18,7,FALSE)</f>
        <v>1</v>
      </c>
      <c r="Z518" s="81">
        <f>HLOOKUP(I518,データについて!$J$3:$M$18,16,FALSE)</f>
        <v>2</v>
      </c>
      <c r="AA518" s="81" t="str">
        <f>IFERROR(HLOOKUP(J518,データについて!$J$4:$AH$19,16,FALSE),"")</f>
        <v/>
      </c>
      <c r="AB518" s="81">
        <f>IFERROR(HLOOKUP(K518,データについて!$J$5:$AH$20,14,FALSE),"")</f>
        <v>0</v>
      </c>
      <c r="AC518" s="81">
        <f>IF(X518=1,HLOOKUP(R518,データについて!$J$12:$M$18,7,FALSE),"*")</f>
        <v>1</v>
      </c>
      <c r="AD518" s="81" t="str">
        <f>IF(X518=2,HLOOKUP(R518,データについて!$J$12:$M$18,7,FALSE),"*")</f>
        <v>*</v>
      </c>
    </row>
    <row r="519" spans="1:30">
      <c r="A519" s="30">
        <v>4673</v>
      </c>
      <c r="B519" s="30" t="s">
        <v>4037</v>
      </c>
      <c r="C519" s="30" t="s">
        <v>4038</v>
      </c>
      <c r="D519" s="30" t="s">
        <v>106</v>
      </c>
      <c r="E519" s="30"/>
      <c r="F519" s="30" t="s">
        <v>107</v>
      </c>
      <c r="G519" s="30" t="s">
        <v>106</v>
      </c>
      <c r="H519" s="30"/>
      <c r="I519" s="30" t="s">
        <v>191</v>
      </c>
      <c r="J519" s="30"/>
      <c r="K519" s="30" t="s">
        <v>126</v>
      </c>
      <c r="L519" s="30" t="s">
        <v>108</v>
      </c>
      <c r="M519" s="30" t="s">
        <v>109</v>
      </c>
      <c r="N519" s="30" t="s">
        <v>110</v>
      </c>
      <c r="O519" s="30" t="s">
        <v>115</v>
      </c>
      <c r="P519" s="30" t="s">
        <v>118</v>
      </c>
      <c r="Q519" s="30" t="s">
        <v>112</v>
      </c>
      <c r="R519" s="30" t="s">
        <v>187</v>
      </c>
      <c r="S519" s="81">
        <f>HLOOKUP(L519,データについて!$J$6:$M$18,13,FALSE)</f>
        <v>1</v>
      </c>
      <c r="T519" s="81">
        <f>HLOOKUP(M519,データについて!$J$7:$M$18,12,FALSE)</f>
        <v>2</v>
      </c>
      <c r="U519" s="81">
        <f>HLOOKUP(N519,データについて!$J$8:$M$18,11,FALSE)</f>
        <v>2</v>
      </c>
      <c r="V519" s="81">
        <f>HLOOKUP(O519,データについて!$J$9:$M$18,10,FALSE)</f>
        <v>1</v>
      </c>
      <c r="W519" s="81">
        <f>HLOOKUP(P519,データについて!$J$10:$M$18,9,FALSE)</f>
        <v>2</v>
      </c>
      <c r="X519" s="81">
        <f>HLOOKUP(Q519,データについて!$J$11:$M$18,8,FALSE)</f>
        <v>1</v>
      </c>
      <c r="Y519" s="81">
        <f>HLOOKUP(R519,データについて!$J$12:$M$18,7,FALSE)</f>
        <v>3</v>
      </c>
      <c r="Z519" s="81">
        <f>HLOOKUP(I519,データについて!$J$3:$M$18,16,FALSE)</f>
        <v>2</v>
      </c>
      <c r="AA519" s="81" t="str">
        <f>IFERROR(HLOOKUP(J519,データについて!$J$4:$AH$19,16,FALSE),"")</f>
        <v/>
      </c>
      <c r="AB519" s="81">
        <f>IFERROR(HLOOKUP(K519,データについて!$J$5:$AH$20,14,FALSE),"")</f>
        <v>0</v>
      </c>
      <c r="AC519" s="81">
        <f>IF(X519=1,HLOOKUP(R519,データについて!$J$12:$M$18,7,FALSE),"*")</f>
        <v>3</v>
      </c>
      <c r="AD519" s="81" t="str">
        <f>IF(X519=2,HLOOKUP(R519,データについて!$J$12:$M$18,7,FALSE),"*")</f>
        <v>*</v>
      </c>
    </row>
    <row r="520" spans="1:30">
      <c r="A520" s="30">
        <v>4672</v>
      </c>
      <c r="B520" s="30" t="s">
        <v>4039</v>
      </c>
      <c r="C520" s="30" t="s">
        <v>4040</v>
      </c>
      <c r="D520" s="30" t="s">
        <v>106</v>
      </c>
      <c r="E520" s="30"/>
      <c r="F520" s="30" t="s">
        <v>107</v>
      </c>
      <c r="G520" s="30" t="s">
        <v>106</v>
      </c>
      <c r="H520" s="30"/>
      <c r="I520" s="30" t="s">
        <v>191</v>
      </c>
      <c r="J520" s="30"/>
      <c r="K520" s="30" t="s">
        <v>126</v>
      </c>
      <c r="L520" s="30" t="s">
        <v>108</v>
      </c>
      <c r="M520" s="30" t="s">
        <v>124</v>
      </c>
      <c r="N520" s="30" t="s">
        <v>110</v>
      </c>
      <c r="O520" s="30" t="s">
        <v>115</v>
      </c>
      <c r="P520" s="30" t="s">
        <v>112</v>
      </c>
      <c r="Q520" s="30" t="s">
        <v>118</v>
      </c>
      <c r="R520" s="30" t="s">
        <v>185</v>
      </c>
      <c r="S520" s="81">
        <f>HLOOKUP(L520,データについて!$J$6:$M$18,13,FALSE)</f>
        <v>1</v>
      </c>
      <c r="T520" s="81">
        <f>HLOOKUP(M520,データについて!$J$7:$M$18,12,FALSE)</f>
        <v>3</v>
      </c>
      <c r="U520" s="81">
        <f>HLOOKUP(N520,データについて!$J$8:$M$18,11,FALSE)</f>
        <v>2</v>
      </c>
      <c r="V520" s="81">
        <f>HLOOKUP(O520,データについて!$J$9:$M$18,10,FALSE)</f>
        <v>1</v>
      </c>
      <c r="W520" s="81">
        <f>HLOOKUP(P520,データについて!$J$10:$M$18,9,FALSE)</f>
        <v>1</v>
      </c>
      <c r="X520" s="81">
        <f>HLOOKUP(Q520,データについて!$J$11:$M$18,8,FALSE)</f>
        <v>2</v>
      </c>
      <c r="Y520" s="81">
        <f>HLOOKUP(R520,データについて!$J$12:$M$18,7,FALSE)</f>
        <v>2</v>
      </c>
      <c r="Z520" s="81">
        <f>HLOOKUP(I520,データについて!$J$3:$M$18,16,FALSE)</f>
        <v>2</v>
      </c>
      <c r="AA520" s="81" t="str">
        <f>IFERROR(HLOOKUP(J520,データについて!$J$4:$AH$19,16,FALSE),"")</f>
        <v/>
      </c>
      <c r="AB520" s="81">
        <f>IFERROR(HLOOKUP(K520,データについて!$J$5:$AH$20,14,FALSE),"")</f>
        <v>0</v>
      </c>
      <c r="AC520" s="81" t="str">
        <f>IF(X520=1,HLOOKUP(R520,データについて!$J$12:$M$18,7,FALSE),"*")</f>
        <v>*</v>
      </c>
      <c r="AD520" s="81">
        <f>IF(X520=2,HLOOKUP(R520,データについて!$J$12:$M$18,7,FALSE),"*")</f>
        <v>2</v>
      </c>
    </row>
    <row r="521" spans="1:30">
      <c r="A521" s="30">
        <v>4671</v>
      </c>
      <c r="B521" s="30" t="s">
        <v>4041</v>
      </c>
      <c r="C521" s="30" t="s">
        <v>4040</v>
      </c>
      <c r="D521" s="30" t="s">
        <v>106</v>
      </c>
      <c r="E521" s="30"/>
      <c r="F521" s="30" t="s">
        <v>107</v>
      </c>
      <c r="G521" s="30" t="s">
        <v>106</v>
      </c>
      <c r="H521" s="30"/>
      <c r="I521" s="30" t="s">
        <v>191</v>
      </c>
      <c r="J521" s="30"/>
      <c r="K521" s="30" t="s">
        <v>126</v>
      </c>
      <c r="L521" s="30" t="s">
        <v>117</v>
      </c>
      <c r="M521" s="30" t="s">
        <v>113</v>
      </c>
      <c r="N521" s="30" t="s">
        <v>110</v>
      </c>
      <c r="O521" s="30" t="s">
        <v>115</v>
      </c>
      <c r="P521" s="30" t="s">
        <v>118</v>
      </c>
      <c r="Q521" s="30" t="s">
        <v>112</v>
      </c>
      <c r="R521" s="30" t="s">
        <v>183</v>
      </c>
      <c r="S521" s="81">
        <f>HLOOKUP(L521,データについて!$J$6:$M$18,13,FALSE)</f>
        <v>2</v>
      </c>
      <c r="T521" s="81">
        <f>HLOOKUP(M521,データについて!$J$7:$M$18,12,FALSE)</f>
        <v>1</v>
      </c>
      <c r="U521" s="81">
        <f>HLOOKUP(N521,データについて!$J$8:$M$18,11,FALSE)</f>
        <v>2</v>
      </c>
      <c r="V521" s="81">
        <f>HLOOKUP(O521,データについて!$J$9:$M$18,10,FALSE)</f>
        <v>1</v>
      </c>
      <c r="W521" s="81">
        <f>HLOOKUP(P521,データについて!$J$10:$M$18,9,FALSE)</f>
        <v>2</v>
      </c>
      <c r="X521" s="81">
        <f>HLOOKUP(Q521,データについて!$J$11:$M$18,8,FALSE)</f>
        <v>1</v>
      </c>
      <c r="Y521" s="81">
        <f>HLOOKUP(R521,データについて!$J$12:$M$18,7,FALSE)</f>
        <v>1</v>
      </c>
      <c r="Z521" s="81">
        <f>HLOOKUP(I521,データについて!$J$3:$M$18,16,FALSE)</f>
        <v>2</v>
      </c>
      <c r="AA521" s="81" t="str">
        <f>IFERROR(HLOOKUP(J521,データについて!$J$4:$AH$19,16,FALSE),"")</f>
        <v/>
      </c>
      <c r="AB521" s="81">
        <f>IFERROR(HLOOKUP(K521,データについて!$J$5:$AH$20,14,FALSE),"")</f>
        <v>0</v>
      </c>
      <c r="AC521" s="81">
        <f>IF(X521=1,HLOOKUP(R521,データについて!$J$12:$M$18,7,FALSE),"*")</f>
        <v>1</v>
      </c>
      <c r="AD521" s="81" t="str">
        <f>IF(X521=2,HLOOKUP(R521,データについて!$J$12:$M$18,7,FALSE),"*")</f>
        <v>*</v>
      </c>
    </row>
    <row r="522" spans="1:30">
      <c r="A522" s="30">
        <v>4670</v>
      </c>
      <c r="B522" s="30" t="s">
        <v>4042</v>
      </c>
      <c r="C522" s="30" t="s">
        <v>4043</v>
      </c>
      <c r="D522" s="30" t="s">
        <v>106</v>
      </c>
      <c r="E522" s="30"/>
      <c r="F522" s="30" t="s">
        <v>107</v>
      </c>
      <c r="G522" s="30" t="s">
        <v>106</v>
      </c>
      <c r="H522" s="30"/>
      <c r="I522" s="30" t="s">
        <v>191</v>
      </c>
      <c r="J522" s="30"/>
      <c r="K522" s="30" t="s">
        <v>126</v>
      </c>
      <c r="L522" s="30" t="s">
        <v>117</v>
      </c>
      <c r="M522" s="30" t="s">
        <v>109</v>
      </c>
      <c r="N522" s="30" t="s">
        <v>110</v>
      </c>
      <c r="O522" s="30" t="s">
        <v>111</v>
      </c>
      <c r="P522" s="30" t="s">
        <v>118</v>
      </c>
      <c r="Q522" s="30" t="s">
        <v>112</v>
      </c>
      <c r="R522" s="30" t="s">
        <v>185</v>
      </c>
      <c r="S522" s="81">
        <f>HLOOKUP(L522,データについて!$J$6:$M$18,13,FALSE)</f>
        <v>2</v>
      </c>
      <c r="T522" s="81">
        <f>HLOOKUP(M522,データについて!$J$7:$M$18,12,FALSE)</f>
        <v>2</v>
      </c>
      <c r="U522" s="81">
        <f>HLOOKUP(N522,データについて!$J$8:$M$18,11,FALSE)</f>
        <v>2</v>
      </c>
      <c r="V522" s="81">
        <f>HLOOKUP(O522,データについて!$J$9:$M$18,10,FALSE)</f>
        <v>3</v>
      </c>
      <c r="W522" s="81">
        <f>HLOOKUP(P522,データについて!$J$10:$M$18,9,FALSE)</f>
        <v>2</v>
      </c>
      <c r="X522" s="81">
        <f>HLOOKUP(Q522,データについて!$J$11:$M$18,8,FALSE)</f>
        <v>1</v>
      </c>
      <c r="Y522" s="81">
        <f>HLOOKUP(R522,データについて!$J$12:$M$18,7,FALSE)</f>
        <v>2</v>
      </c>
      <c r="Z522" s="81">
        <f>HLOOKUP(I522,データについて!$J$3:$M$18,16,FALSE)</f>
        <v>2</v>
      </c>
      <c r="AA522" s="81" t="str">
        <f>IFERROR(HLOOKUP(J522,データについて!$J$4:$AH$19,16,FALSE),"")</f>
        <v/>
      </c>
      <c r="AB522" s="81">
        <f>IFERROR(HLOOKUP(K522,データについて!$J$5:$AH$20,14,FALSE),"")</f>
        <v>0</v>
      </c>
      <c r="AC522" s="81">
        <f>IF(X522=1,HLOOKUP(R522,データについて!$J$12:$M$18,7,FALSE),"*")</f>
        <v>2</v>
      </c>
      <c r="AD522" s="81" t="str">
        <f>IF(X522=2,HLOOKUP(R522,データについて!$J$12:$M$18,7,FALSE),"*")</f>
        <v>*</v>
      </c>
    </row>
    <row r="523" spans="1:30">
      <c r="A523" s="30">
        <v>4669</v>
      </c>
      <c r="B523" s="30" t="s">
        <v>4044</v>
      </c>
      <c r="C523" s="30" t="s">
        <v>4045</v>
      </c>
      <c r="D523" s="30" t="s">
        <v>106</v>
      </c>
      <c r="E523" s="30"/>
      <c r="F523" s="30" t="s">
        <v>107</v>
      </c>
      <c r="G523" s="30" t="s">
        <v>106</v>
      </c>
      <c r="H523" s="30"/>
      <c r="I523" s="30" t="s">
        <v>191</v>
      </c>
      <c r="J523" s="30"/>
      <c r="K523" s="30" t="s">
        <v>126</v>
      </c>
      <c r="L523" s="30" t="s">
        <v>108</v>
      </c>
      <c r="M523" s="30" t="s">
        <v>113</v>
      </c>
      <c r="N523" s="30" t="s">
        <v>110</v>
      </c>
      <c r="O523" s="30" t="s">
        <v>115</v>
      </c>
      <c r="P523" s="30" t="s">
        <v>112</v>
      </c>
      <c r="Q523" s="30" t="s">
        <v>112</v>
      </c>
      <c r="R523" s="30" t="s">
        <v>183</v>
      </c>
      <c r="S523" s="81">
        <f>HLOOKUP(L523,データについて!$J$6:$M$18,13,FALSE)</f>
        <v>1</v>
      </c>
      <c r="T523" s="81">
        <f>HLOOKUP(M523,データについて!$J$7:$M$18,12,FALSE)</f>
        <v>1</v>
      </c>
      <c r="U523" s="81">
        <f>HLOOKUP(N523,データについて!$J$8:$M$18,11,FALSE)</f>
        <v>2</v>
      </c>
      <c r="V523" s="81">
        <f>HLOOKUP(O523,データについて!$J$9:$M$18,10,FALSE)</f>
        <v>1</v>
      </c>
      <c r="W523" s="81">
        <f>HLOOKUP(P523,データについて!$J$10:$M$18,9,FALSE)</f>
        <v>1</v>
      </c>
      <c r="X523" s="81">
        <f>HLOOKUP(Q523,データについて!$J$11:$M$18,8,FALSE)</f>
        <v>1</v>
      </c>
      <c r="Y523" s="81">
        <f>HLOOKUP(R523,データについて!$J$12:$M$18,7,FALSE)</f>
        <v>1</v>
      </c>
      <c r="Z523" s="81">
        <f>HLOOKUP(I523,データについて!$J$3:$M$18,16,FALSE)</f>
        <v>2</v>
      </c>
      <c r="AA523" s="81" t="str">
        <f>IFERROR(HLOOKUP(J523,データについて!$J$4:$AH$19,16,FALSE),"")</f>
        <v/>
      </c>
      <c r="AB523" s="81">
        <f>IFERROR(HLOOKUP(K523,データについて!$J$5:$AH$20,14,FALSE),"")</f>
        <v>0</v>
      </c>
      <c r="AC523" s="81">
        <f>IF(X523=1,HLOOKUP(R523,データについて!$J$12:$M$18,7,FALSE),"*")</f>
        <v>1</v>
      </c>
      <c r="AD523" s="81" t="str">
        <f>IF(X523=2,HLOOKUP(R523,データについて!$J$12:$M$18,7,FALSE),"*")</f>
        <v>*</v>
      </c>
    </row>
    <row r="524" spans="1:30">
      <c r="A524" s="30">
        <v>4668</v>
      </c>
      <c r="B524" s="30" t="s">
        <v>4046</v>
      </c>
      <c r="C524" s="30" t="s">
        <v>4047</v>
      </c>
      <c r="D524" s="30" t="s">
        <v>106</v>
      </c>
      <c r="E524" s="30"/>
      <c r="F524" s="30" t="s">
        <v>107</v>
      </c>
      <c r="G524" s="30" t="s">
        <v>106</v>
      </c>
      <c r="H524" s="30"/>
      <c r="I524" s="30" t="s">
        <v>191</v>
      </c>
      <c r="J524" s="30"/>
      <c r="K524" s="30" t="s">
        <v>126</v>
      </c>
      <c r="L524" s="30" t="s">
        <v>117</v>
      </c>
      <c r="M524" s="30" t="s">
        <v>109</v>
      </c>
      <c r="N524" s="30" t="s">
        <v>122</v>
      </c>
      <c r="O524" s="30" t="s">
        <v>123</v>
      </c>
      <c r="P524" s="30" t="s">
        <v>118</v>
      </c>
      <c r="Q524" s="30" t="s">
        <v>112</v>
      </c>
      <c r="R524" s="30" t="s">
        <v>185</v>
      </c>
      <c r="S524" s="81">
        <f>HLOOKUP(L524,データについて!$J$6:$M$18,13,FALSE)</f>
        <v>2</v>
      </c>
      <c r="T524" s="81">
        <f>HLOOKUP(M524,データについて!$J$7:$M$18,12,FALSE)</f>
        <v>2</v>
      </c>
      <c r="U524" s="81">
        <f>HLOOKUP(N524,データについて!$J$8:$M$18,11,FALSE)</f>
        <v>3</v>
      </c>
      <c r="V524" s="81">
        <f>HLOOKUP(O524,データについて!$J$9:$M$18,10,FALSE)</f>
        <v>4</v>
      </c>
      <c r="W524" s="81">
        <f>HLOOKUP(P524,データについて!$J$10:$M$18,9,FALSE)</f>
        <v>2</v>
      </c>
      <c r="X524" s="81">
        <f>HLOOKUP(Q524,データについて!$J$11:$M$18,8,FALSE)</f>
        <v>1</v>
      </c>
      <c r="Y524" s="81">
        <f>HLOOKUP(R524,データについて!$J$12:$M$18,7,FALSE)</f>
        <v>2</v>
      </c>
      <c r="Z524" s="81">
        <f>HLOOKUP(I524,データについて!$J$3:$M$18,16,FALSE)</f>
        <v>2</v>
      </c>
      <c r="AA524" s="81" t="str">
        <f>IFERROR(HLOOKUP(J524,データについて!$J$4:$AH$19,16,FALSE),"")</f>
        <v/>
      </c>
      <c r="AB524" s="81">
        <f>IFERROR(HLOOKUP(K524,データについて!$J$5:$AH$20,14,FALSE),"")</f>
        <v>0</v>
      </c>
      <c r="AC524" s="81">
        <f>IF(X524=1,HLOOKUP(R524,データについて!$J$12:$M$18,7,FALSE),"*")</f>
        <v>2</v>
      </c>
      <c r="AD524" s="81" t="str">
        <f>IF(X524=2,HLOOKUP(R524,データについて!$J$12:$M$18,7,FALSE),"*")</f>
        <v>*</v>
      </c>
    </row>
    <row r="525" spans="1:30">
      <c r="A525" s="30">
        <v>4667</v>
      </c>
      <c r="B525" s="30" t="s">
        <v>4048</v>
      </c>
      <c r="C525" s="30" t="s">
        <v>4049</v>
      </c>
      <c r="D525" s="30" t="s">
        <v>106</v>
      </c>
      <c r="E525" s="30"/>
      <c r="F525" s="30" t="s">
        <v>107</v>
      </c>
      <c r="G525" s="30" t="s">
        <v>106</v>
      </c>
      <c r="H525" s="30"/>
      <c r="I525" s="30" t="s">
        <v>191</v>
      </c>
      <c r="J525" s="30"/>
      <c r="K525" s="30" t="s">
        <v>126</v>
      </c>
      <c r="L525" s="30" t="s">
        <v>117</v>
      </c>
      <c r="M525" s="30" t="s">
        <v>109</v>
      </c>
      <c r="N525" s="30" t="s">
        <v>110</v>
      </c>
      <c r="O525" s="30" t="s">
        <v>115</v>
      </c>
      <c r="P525" s="30" t="s">
        <v>118</v>
      </c>
      <c r="Q525" s="30" t="s">
        <v>112</v>
      </c>
      <c r="R525" s="30" t="s">
        <v>183</v>
      </c>
      <c r="S525" s="81">
        <f>HLOOKUP(L525,データについて!$J$6:$M$18,13,FALSE)</f>
        <v>2</v>
      </c>
      <c r="T525" s="81">
        <f>HLOOKUP(M525,データについて!$J$7:$M$18,12,FALSE)</f>
        <v>2</v>
      </c>
      <c r="U525" s="81">
        <f>HLOOKUP(N525,データについて!$J$8:$M$18,11,FALSE)</f>
        <v>2</v>
      </c>
      <c r="V525" s="81">
        <f>HLOOKUP(O525,データについて!$J$9:$M$18,10,FALSE)</f>
        <v>1</v>
      </c>
      <c r="W525" s="81">
        <f>HLOOKUP(P525,データについて!$J$10:$M$18,9,FALSE)</f>
        <v>2</v>
      </c>
      <c r="X525" s="81">
        <f>HLOOKUP(Q525,データについて!$J$11:$M$18,8,FALSE)</f>
        <v>1</v>
      </c>
      <c r="Y525" s="81">
        <f>HLOOKUP(R525,データについて!$J$12:$M$18,7,FALSE)</f>
        <v>1</v>
      </c>
      <c r="Z525" s="81">
        <f>HLOOKUP(I525,データについて!$J$3:$M$18,16,FALSE)</f>
        <v>2</v>
      </c>
      <c r="AA525" s="81" t="str">
        <f>IFERROR(HLOOKUP(J525,データについて!$J$4:$AH$19,16,FALSE),"")</f>
        <v/>
      </c>
      <c r="AB525" s="81">
        <f>IFERROR(HLOOKUP(K525,データについて!$J$5:$AH$20,14,FALSE),"")</f>
        <v>0</v>
      </c>
      <c r="AC525" s="81">
        <f>IF(X525=1,HLOOKUP(R525,データについて!$J$12:$M$18,7,FALSE),"*")</f>
        <v>1</v>
      </c>
      <c r="AD525" s="81" t="str">
        <f>IF(X525=2,HLOOKUP(R525,データについて!$J$12:$M$18,7,FALSE),"*")</f>
        <v>*</v>
      </c>
    </row>
    <row r="526" spans="1:30">
      <c r="A526" s="30">
        <v>4666</v>
      </c>
      <c r="B526" s="30" t="s">
        <v>4050</v>
      </c>
      <c r="C526" s="30" t="s">
        <v>4049</v>
      </c>
      <c r="D526" s="30" t="s">
        <v>106</v>
      </c>
      <c r="E526" s="30"/>
      <c r="F526" s="30" t="s">
        <v>107</v>
      </c>
      <c r="G526" s="30" t="s">
        <v>106</v>
      </c>
      <c r="H526" s="30"/>
      <c r="I526" s="30" t="s">
        <v>191</v>
      </c>
      <c r="J526" s="30"/>
      <c r="K526" s="30" t="s">
        <v>126</v>
      </c>
      <c r="L526" s="30" t="s">
        <v>117</v>
      </c>
      <c r="M526" s="30" t="s">
        <v>109</v>
      </c>
      <c r="N526" s="30" t="s">
        <v>110</v>
      </c>
      <c r="O526" s="30" t="s">
        <v>115</v>
      </c>
      <c r="P526" s="30" t="s">
        <v>112</v>
      </c>
      <c r="Q526" s="30" t="s">
        <v>112</v>
      </c>
      <c r="R526" s="30" t="s">
        <v>183</v>
      </c>
      <c r="S526" s="81">
        <f>HLOOKUP(L526,データについて!$J$6:$M$18,13,FALSE)</f>
        <v>2</v>
      </c>
      <c r="T526" s="81">
        <f>HLOOKUP(M526,データについて!$J$7:$M$18,12,FALSE)</f>
        <v>2</v>
      </c>
      <c r="U526" s="81">
        <f>HLOOKUP(N526,データについて!$J$8:$M$18,11,FALSE)</f>
        <v>2</v>
      </c>
      <c r="V526" s="81">
        <f>HLOOKUP(O526,データについて!$J$9:$M$18,10,FALSE)</f>
        <v>1</v>
      </c>
      <c r="W526" s="81">
        <f>HLOOKUP(P526,データについて!$J$10:$M$18,9,FALSE)</f>
        <v>1</v>
      </c>
      <c r="X526" s="81">
        <f>HLOOKUP(Q526,データについて!$J$11:$M$18,8,FALSE)</f>
        <v>1</v>
      </c>
      <c r="Y526" s="81">
        <f>HLOOKUP(R526,データについて!$J$12:$M$18,7,FALSE)</f>
        <v>1</v>
      </c>
      <c r="Z526" s="81">
        <f>HLOOKUP(I526,データについて!$J$3:$M$18,16,FALSE)</f>
        <v>2</v>
      </c>
      <c r="AA526" s="81" t="str">
        <f>IFERROR(HLOOKUP(J526,データについて!$J$4:$AH$19,16,FALSE),"")</f>
        <v/>
      </c>
      <c r="AB526" s="81">
        <f>IFERROR(HLOOKUP(K526,データについて!$J$5:$AH$20,14,FALSE),"")</f>
        <v>0</v>
      </c>
      <c r="AC526" s="81">
        <f>IF(X526=1,HLOOKUP(R526,データについて!$J$12:$M$18,7,FALSE),"*")</f>
        <v>1</v>
      </c>
      <c r="AD526" s="81" t="str">
        <f>IF(X526=2,HLOOKUP(R526,データについて!$J$12:$M$18,7,FALSE),"*")</f>
        <v>*</v>
      </c>
    </row>
    <row r="527" spans="1:30">
      <c r="A527" s="30">
        <v>4665</v>
      </c>
      <c r="B527" s="30" t="s">
        <v>4051</v>
      </c>
      <c r="C527" s="30" t="s">
        <v>4049</v>
      </c>
      <c r="D527" s="30" t="s">
        <v>106</v>
      </c>
      <c r="E527" s="30"/>
      <c r="F527" s="30" t="s">
        <v>107</v>
      </c>
      <c r="G527" s="30" t="s">
        <v>106</v>
      </c>
      <c r="H527" s="30"/>
      <c r="I527" s="30" t="s">
        <v>191</v>
      </c>
      <c r="J527" s="30"/>
      <c r="K527" s="30" t="s">
        <v>126</v>
      </c>
      <c r="L527" s="30" t="s">
        <v>108</v>
      </c>
      <c r="M527" s="30" t="s">
        <v>109</v>
      </c>
      <c r="N527" s="30" t="s">
        <v>110</v>
      </c>
      <c r="O527" s="30" t="s">
        <v>115</v>
      </c>
      <c r="P527" s="30" t="s">
        <v>118</v>
      </c>
      <c r="Q527" s="30" t="s">
        <v>112</v>
      </c>
      <c r="R527" s="30" t="s">
        <v>185</v>
      </c>
      <c r="S527" s="81">
        <f>HLOOKUP(L527,データについて!$J$6:$M$18,13,FALSE)</f>
        <v>1</v>
      </c>
      <c r="T527" s="81">
        <f>HLOOKUP(M527,データについて!$J$7:$M$18,12,FALSE)</f>
        <v>2</v>
      </c>
      <c r="U527" s="81">
        <f>HLOOKUP(N527,データについて!$J$8:$M$18,11,FALSE)</f>
        <v>2</v>
      </c>
      <c r="V527" s="81">
        <f>HLOOKUP(O527,データについて!$J$9:$M$18,10,FALSE)</f>
        <v>1</v>
      </c>
      <c r="W527" s="81">
        <f>HLOOKUP(P527,データについて!$J$10:$M$18,9,FALSE)</f>
        <v>2</v>
      </c>
      <c r="X527" s="81">
        <f>HLOOKUP(Q527,データについて!$J$11:$M$18,8,FALSE)</f>
        <v>1</v>
      </c>
      <c r="Y527" s="81">
        <f>HLOOKUP(R527,データについて!$J$12:$M$18,7,FALSE)</f>
        <v>2</v>
      </c>
      <c r="Z527" s="81">
        <f>HLOOKUP(I527,データについて!$J$3:$M$18,16,FALSE)</f>
        <v>2</v>
      </c>
      <c r="AA527" s="81" t="str">
        <f>IFERROR(HLOOKUP(J527,データについて!$J$4:$AH$19,16,FALSE),"")</f>
        <v/>
      </c>
      <c r="AB527" s="81">
        <f>IFERROR(HLOOKUP(K527,データについて!$J$5:$AH$20,14,FALSE),"")</f>
        <v>0</v>
      </c>
      <c r="AC527" s="81">
        <f>IF(X527=1,HLOOKUP(R527,データについて!$J$12:$M$18,7,FALSE),"*")</f>
        <v>2</v>
      </c>
      <c r="AD527" s="81" t="str">
        <f>IF(X527=2,HLOOKUP(R527,データについて!$J$12:$M$18,7,FALSE),"*")</f>
        <v>*</v>
      </c>
    </row>
    <row r="528" spans="1:30">
      <c r="A528" s="30">
        <v>4664</v>
      </c>
      <c r="B528" s="30" t="s">
        <v>4052</v>
      </c>
      <c r="C528" s="30" t="s">
        <v>4053</v>
      </c>
      <c r="D528" s="30" t="s">
        <v>106</v>
      </c>
      <c r="E528" s="30"/>
      <c r="F528" s="30" t="s">
        <v>107</v>
      </c>
      <c r="G528" s="30" t="s">
        <v>106</v>
      </c>
      <c r="H528" s="30"/>
      <c r="I528" s="30" t="s">
        <v>191</v>
      </c>
      <c r="J528" s="30"/>
      <c r="K528" s="30" t="s">
        <v>126</v>
      </c>
      <c r="L528" s="30" t="s">
        <v>108</v>
      </c>
      <c r="M528" s="30" t="s">
        <v>113</v>
      </c>
      <c r="N528" s="30" t="s">
        <v>114</v>
      </c>
      <c r="O528" s="30" t="s">
        <v>115</v>
      </c>
      <c r="P528" s="30" t="s">
        <v>118</v>
      </c>
      <c r="Q528" s="30" t="s">
        <v>112</v>
      </c>
      <c r="R528" s="30" t="s">
        <v>183</v>
      </c>
      <c r="S528" s="81">
        <f>HLOOKUP(L528,データについて!$J$6:$M$18,13,FALSE)</f>
        <v>1</v>
      </c>
      <c r="T528" s="81">
        <f>HLOOKUP(M528,データについて!$J$7:$M$18,12,FALSE)</f>
        <v>1</v>
      </c>
      <c r="U528" s="81">
        <f>HLOOKUP(N528,データについて!$J$8:$M$18,11,FALSE)</f>
        <v>1</v>
      </c>
      <c r="V528" s="81">
        <f>HLOOKUP(O528,データについて!$J$9:$M$18,10,FALSE)</f>
        <v>1</v>
      </c>
      <c r="W528" s="81">
        <f>HLOOKUP(P528,データについて!$J$10:$M$18,9,FALSE)</f>
        <v>2</v>
      </c>
      <c r="X528" s="81">
        <f>HLOOKUP(Q528,データについて!$J$11:$M$18,8,FALSE)</f>
        <v>1</v>
      </c>
      <c r="Y528" s="81">
        <f>HLOOKUP(R528,データについて!$J$12:$M$18,7,FALSE)</f>
        <v>1</v>
      </c>
      <c r="Z528" s="81">
        <f>HLOOKUP(I528,データについて!$J$3:$M$18,16,FALSE)</f>
        <v>2</v>
      </c>
      <c r="AA528" s="81" t="str">
        <f>IFERROR(HLOOKUP(J528,データについて!$J$4:$AH$19,16,FALSE),"")</f>
        <v/>
      </c>
      <c r="AB528" s="81">
        <f>IFERROR(HLOOKUP(K528,データについて!$J$5:$AH$20,14,FALSE),"")</f>
        <v>0</v>
      </c>
      <c r="AC528" s="81">
        <f>IF(X528=1,HLOOKUP(R528,データについて!$J$12:$M$18,7,FALSE),"*")</f>
        <v>1</v>
      </c>
      <c r="AD528" s="81" t="str">
        <f>IF(X528=2,HLOOKUP(R528,データについて!$J$12:$M$18,7,FALSE),"*")</f>
        <v>*</v>
      </c>
    </row>
    <row r="529" spans="1:30">
      <c r="A529" s="30">
        <v>4663</v>
      </c>
      <c r="B529" s="30" t="s">
        <v>4054</v>
      </c>
      <c r="C529" s="30" t="s">
        <v>4055</v>
      </c>
      <c r="D529" s="30" t="s">
        <v>106</v>
      </c>
      <c r="E529" s="30"/>
      <c r="F529" s="30" t="s">
        <v>107</v>
      </c>
      <c r="G529" s="30" t="s">
        <v>106</v>
      </c>
      <c r="H529" s="30"/>
      <c r="I529" s="30" t="s">
        <v>191</v>
      </c>
      <c r="J529" s="30"/>
      <c r="K529" s="30" t="s">
        <v>126</v>
      </c>
      <c r="L529" s="30" t="s">
        <v>117</v>
      </c>
      <c r="M529" s="30" t="s">
        <v>113</v>
      </c>
      <c r="N529" s="30" t="s">
        <v>110</v>
      </c>
      <c r="O529" s="30" t="s">
        <v>115</v>
      </c>
      <c r="P529" s="30" t="s">
        <v>118</v>
      </c>
      <c r="Q529" s="30" t="s">
        <v>112</v>
      </c>
      <c r="R529" s="30" t="s">
        <v>185</v>
      </c>
      <c r="S529" s="81">
        <f>HLOOKUP(L529,データについて!$J$6:$M$18,13,FALSE)</f>
        <v>2</v>
      </c>
      <c r="T529" s="81">
        <f>HLOOKUP(M529,データについて!$J$7:$M$18,12,FALSE)</f>
        <v>1</v>
      </c>
      <c r="U529" s="81">
        <f>HLOOKUP(N529,データについて!$J$8:$M$18,11,FALSE)</f>
        <v>2</v>
      </c>
      <c r="V529" s="81">
        <f>HLOOKUP(O529,データについて!$J$9:$M$18,10,FALSE)</f>
        <v>1</v>
      </c>
      <c r="W529" s="81">
        <f>HLOOKUP(P529,データについて!$J$10:$M$18,9,FALSE)</f>
        <v>2</v>
      </c>
      <c r="X529" s="81">
        <f>HLOOKUP(Q529,データについて!$J$11:$M$18,8,FALSE)</f>
        <v>1</v>
      </c>
      <c r="Y529" s="81">
        <f>HLOOKUP(R529,データについて!$J$12:$M$18,7,FALSE)</f>
        <v>2</v>
      </c>
      <c r="Z529" s="81">
        <f>HLOOKUP(I529,データについて!$J$3:$M$18,16,FALSE)</f>
        <v>2</v>
      </c>
      <c r="AA529" s="81" t="str">
        <f>IFERROR(HLOOKUP(J529,データについて!$J$4:$AH$19,16,FALSE),"")</f>
        <v/>
      </c>
      <c r="AB529" s="81">
        <f>IFERROR(HLOOKUP(K529,データについて!$J$5:$AH$20,14,FALSE),"")</f>
        <v>0</v>
      </c>
      <c r="AC529" s="81">
        <f>IF(X529=1,HLOOKUP(R529,データについて!$J$12:$M$18,7,FALSE),"*")</f>
        <v>2</v>
      </c>
      <c r="AD529" s="81" t="str">
        <f>IF(X529=2,HLOOKUP(R529,データについて!$J$12:$M$18,7,FALSE),"*")</f>
        <v>*</v>
      </c>
    </row>
    <row r="530" spans="1:30">
      <c r="A530" s="30">
        <v>4662</v>
      </c>
      <c r="B530" s="30" t="s">
        <v>4056</v>
      </c>
      <c r="C530" s="30" t="s">
        <v>4057</v>
      </c>
      <c r="D530" s="30" t="s">
        <v>106</v>
      </c>
      <c r="E530" s="30"/>
      <c r="F530" s="30" t="s">
        <v>107</v>
      </c>
      <c r="G530" s="30" t="s">
        <v>106</v>
      </c>
      <c r="H530" s="30"/>
      <c r="I530" s="30" t="s">
        <v>191</v>
      </c>
      <c r="J530" s="30"/>
      <c r="K530" s="30" t="s">
        <v>126</v>
      </c>
      <c r="L530" s="30" t="s">
        <v>108</v>
      </c>
      <c r="M530" s="30" t="s">
        <v>113</v>
      </c>
      <c r="N530" s="30" t="s">
        <v>110</v>
      </c>
      <c r="O530" s="30" t="s">
        <v>115</v>
      </c>
      <c r="P530" s="30" t="s">
        <v>118</v>
      </c>
      <c r="Q530" s="30" t="s">
        <v>112</v>
      </c>
      <c r="R530" s="30" t="s">
        <v>183</v>
      </c>
      <c r="S530" s="81">
        <f>HLOOKUP(L530,データについて!$J$6:$M$18,13,FALSE)</f>
        <v>1</v>
      </c>
      <c r="T530" s="81">
        <f>HLOOKUP(M530,データについて!$J$7:$M$18,12,FALSE)</f>
        <v>1</v>
      </c>
      <c r="U530" s="81">
        <f>HLOOKUP(N530,データについて!$J$8:$M$18,11,FALSE)</f>
        <v>2</v>
      </c>
      <c r="V530" s="81">
        <f>HLOOKUP(O530,データについて!$J$9:$M$18,10,FALSE)</f>
        <v>1</v>
      </c>
      <c r="W530" s="81">
        <f>HLOOKUP(P530,データについて!$J$10:$M$18,9,FALSE)</f>
        <v>2</v>
      </c>
      <c r="X530" s="81">
        <f>HLOOKUP(Q530,データについて!$J$11:$M$18,8,FALSE)</f>
        <v>1</v>
      </c>
      <c r="Y530" s="81">
        <f>HLOOKUP(R530,データについて!$J$12:$M$18,7,FALSE)</f>
        <v>1</v>
      </c>
      <c r="Z530" s="81">
        <f>HLOOKUP(I530,データについて!$J$3:$M$18,16,FALSE)</f>
        <v>2</v>
      </c>
      <c r="AA530" s="81" t="str">
        <f>IFERROR(HLOOKUP(J530,データについて!$J$4:$AH$19,16,FALSE),"")</f>
        <v/>
      </c>
      <c r="AB530" s="81">
        <f>IFERROR(HLOOKUP(K530,データについて!$J$5:$AH$20,14,FALSE),"")</f>
        <v>0</v>
      </c>
      <c r="AC530" s="81">
        <f>IF(X530=1,HLOOKUP(R530,データについて!$J$12:$M$18,7,FALSE),"*")</f>
        <v>1</v>
      </c>
      <c r="AD530" s="81" t="str">
        <f>IF(X530=2,HLOOKUP(R530,データについて!$J$12:$M$18,7,FALSE),"*")</f>
        <v>*</v>
      </c>
    </row>
    <row r="531" spans="1:30">
      <c r="A531" s="30">
        <v>4661</v>
      </c>
      <c r="B531" s="30" t="s">
        <v>4058</v>
      </c>
      <c r="C531" s="30" t="s">
        <v>4059</v>
      </c>
      <c r="D531" s="30" t="s">
        <v>106</v>
      </c>
      <c r="E531" s="30"/>
      <c r="F531" s="30" t="s">
        <v>107</v>
      </c>
      <c r="G531" s="30" t="s">
        <v>106</v>
      </c>
      <c r="H531" s="30"/>
      <c r="I531" s="30" t="s">
        <v>191</v>
      </c>
      <c r="J531" s="30"/>
      <c r="K531" s="30" t="s">
        <v>126</v>
      </c>
      <c r="L531" s="30" t="s">
        <v>108</v>
      </c>
      <c r="M531" s="30" t="s">
        <v>113</v>
      </c>
      <c r="N531" s="30" t="s">
        <v>110</v>
      </c>
      <c r="O531" s="30" t="s">
        <v>115</v>
      </c>
      <c r="P531" s="30" t="s">
        <v>118</v>
      </c>
      <c r="Q531" s="30" t="s">
        <v>112</v>
      </c>
      <c r="R531" s="30" t="s">
        <v>183</v>
      </c>
      <c r="S531" s="81">
        <f>HLOOKUP(L531,データについて!$J$6:$M$18,13,FALSE)</f>
        <v>1</v>
      </c>
      <c r="T531" s="81">
        <f>HLOOKUP(M531,データについて!$J$7:$M$18,12,FALSE)</f>
        <v>1</v>
      </c>
      <c r="U531" s="81">
        <f>HLOOKUP(N531,データについて!$J$8:$M$18,11,FALSE)</f>
        <v>2</v>
      </c>
      <c r="V531" s="81">
        <f>HLOOKUP(O531,データについて!$J$9:$M$18,10,FALSE)</f>
        <v>1</v>
      </c>
      <c r="W531" s="81">
        <f>HLOOKUP(P531,データについて!$J$10:$M$18,9,FALSE)</f>
        <v>2</v>
      </c>
      <c r="X531" s="81">
        <f>HLOOKUP(Q531,データについて!$J$11:$M$18,8,FALSE)</f>
        <v>1</v>
      </c>
      <c r="Y531" s="81">
        <f>HLOOKUP(R531,データについて!$J$12:$M$18,7,FALSE)</f>
        <v>1</v>
      </c>
      <c r="Z531" s="81">
        <f>HLOOKUP(I531,データについて!$J$3:$M$18,16,FALSE)</f>
        <v>2</v>
      </c>
      <c r="AA531" s="81" t="str">
        <f>IFERROR(HLOOKUP(J531,データについて!$J$4:$AH$19,16,FALSE),"")</f>
        <v/>
      </c>
      <c r="AB531" s="81">
        <f>IFERROR(HLOOKUP(K531,データについて!$J$5:$AH$20,14,FALSE),"")</f>
        <v>0</v>
      </c>
      <c r="AC531" s="81">
        <f>IF(X531=1,HLOOKUP(R531,データについて!$J$12:$M$18,7,FALSE),"*")</f>
        <v>1</v>
      </c>
      <c r="AD531" s="81" t="str">
        <f>IF(X531=2,HLOOKUP(R531,データについて!$J$12:$M$18,7,FALSE),"*")</f>
        <v>*</v>
      </c>
    </row>
    <row r="532" spans="1:30">
      <c r="A532" s="30">
        <v>4660</v>
      </c>
      <c r="B532" s="30" t="s">
        <v>4060</v>
      </c>
      <c r="C532" s="30" t="s">
        <v>4059</v>
      </c>
      <c r="D532" s="30" t="s">
        <v>106</v>
      </c>
      <c r="E532" s="30"/>
      <c r="F532" s="30" t="s">
        <v>107</v>
      </c>
      <c r="G532" s="30" t="s">
        <v>106</v>
      </c>
      <c r="H532" s="30"/>
      <c r="I532" s="30" t="s">
        <v>191</v>
      </c>
      <c r="J532" s="30"/>
      <c r="K532" s="30" t="s">
        <v>126</v>
      </c>
      <c r="L532" s="30" t="s">
        <v>108</v>
      </c>
      <c r="M532" s="30" t="s">
        <v>113</v>
      </c>
      <c r="N532" s="30" t="s">
        <v>110</v>
      </c>
      <c r="O532" s="30" t="s">
        <v>115</v>
      </c>
      <c r="P532" s="30" t="s">
        <v>112</v>
      </c>
      <c r="Q532" s="30" t="s">
        <v>118</v>
      </c>
      <c r="R532" s="30" t="s">
        <v>187</v>
      </c>
      <c r="S532" s="81">
        <f>HLOOKUP(L532,データについて!$J$6:$M$18,13,FALSE)</f>
        <v>1</v>
      </c>
      <c r="T532" s="81">
        <f>HLOOKUP(M532,データについて!$J$7:$M$18,12,FALSE)</f>
        <v>1</v>
      </c>
      <c r="U532" s="81">
        <f>HLOOKUP(N532,データについて!$J$8:$M$18,11,FALSE)</f>
        <v>2</v>
      </c>
      <c r="V532" s="81">
        <f>HLOOKUP(O532,データについて!$J$9:$M$18,10,FALSE)</f>
        <v>1</v>
      </c>
      <c r="W532" s="81">
        <f>HLOOKUP(P532,データについて!$J$10:$M$18,9,FALSE)</f>
        <v>1</v>
      </c>
      <c r="X532" s="81">
        <f>HLOOKUP(Q532,データについて!$J$11:$M$18,8,FALSE)</f>
        <v>2</v>
      </c>
      <c r="Y532" s="81">
        <f>HLOOKUP(R532,データについて!$J$12:$M$18,7,FALSE)</f>
        <v>3</v>
      </c>
      <c r="Z532" s="81">
        <f>HLOOKUP(I532,データについて!$J$3:$M$18,16,FALSE)</f>
        <v>2</v>
      </c>
      <c r="AA532" s="81" t="str">
        <f>IFERROR(HLOOKUP(J532,データについて!$J$4:$AH$19,16,FALSE),"")</f>
        <v/>
      </c>
      <c r="AB532" s="81">
        <f>IFERROR(HLOOKUP(K532,データについて!$J$5:$AH$20,14,FALSE),"")</f>
        <v>0</v>
      </c>
      <c r="AC532" s="81" t="str">
        <f>IF(X532=1,HLOOKUP(R532,データについて!$J$12:$M$18,7,FALSE),"*")</f>
        <v>*</v>
      </c>
      <c r="AD532" s="81">
        <f>IF(X532=2,HLOOKUP(R532,データについて!$J$12:$M$18,7,FALSE),"*")</f>
        <v>3</v>
      </c>
    </row>
    <row r="533" spans="1:30">
      <c r="A533" s="30">
        <v>4659</v>
      </c>
      <c r="B533" s="30" t="s">
        <v>4061</v>
      </c>
      <c r="C533" s="30" t="s">
        <v>4059</v>
      </c>
      <c r="D533" s="30" t="s">
        <v>106</v>
      </c>
      <c r="E533" s="30"/>
      <c r="F533" s="30" t="s">
        <v>107</v>
      </c>
      <c r="G533" s="30" t="s">
        <v>106</v>
      </c>
      <c r="H533" s="30"/>
      <c r="I533" s="30" t="s">
        <v>191</v>
      </c>
      <c r="J533" s="30"/>
      <c r="K533" s="30" t="s">
        <v>126</v>
      </c>
      <c r="L533" s="30" t="s">
        <v>108</v>
      </c>
      <c r="M533" s="30" t="s">
        <v>113</v>
      </c>
      <c r="N533" s="30" t="s">
        <v>114</v>
      </c>
      <c r="O533" s="30" t="s">
        <v>111</v>
      </c>
      <c r="P533" s="30" t="s">
        <v>112</v>
      </c>
      <c r="Q533" s="30" t="s">
        <v>112</v>
      </c>
      <c r="R533" s="30" t="s">
        <v>183</v>
      </c>
      <c r="S533" s="81">
        <f>HLOOKUP(L533,データについて!$J$6:$M$18,13,FALSE)</f>
        <v>1</v>
      </c>
      <c r="T533" s="81">
        <f>HLOOKUP(M533,データについて!$J$7:$M$18,12,FALSE)</f>
        <v>1</v>
      </c>
      <c r="U533" s="81">
        <f>HLOOKUP(N533,データについて!$J$8:$M$18,11,FALSE)</f>
        <v>1</v>
      </c>
      <c r="V533" s="81">
        <f>HLOOKUP(O533,データについて!$J$9:$M$18,10,FALSE)</f>
        <v>3</v>
      </c>
      <c r="W533" s="81">
        <f>HLOOKUP(P533,データについて!$J$10:$M$18,9,FALSE)</f>
        <v>1</v>
      </c>
      <c r="X533" s="81">
        <f>HLOOKUP(Q533,データについて!$J$11:$M$18,8,FALSE)</f>
        <v>1</v>
      </c>
      <c r="Y533" s="81">
        <f>HLOOKUP(R533,データについて!$J$12:$M$18,7,FALSE)</f>
        <v>1</v>
      </c>
      <c r="Z533" s="81">
        <f>HLOOKUP(I533,データについて!$J$3:$M$18,16,FALSE)</f>
        <v>2</v>
      </c>
      <c r="AA533" s="81" t="str">
        <f>IFERROR(HLOOKUP(J533,データについて!$J$4:$AH$19,16,FALSE),"")</f>
        <v/>
      </c>
      <c r="AB533" s="81">
        <f>IFERROR(HLOOKUP(K533,データについて!$J$5:$AH$20,14,FALSE),"")</f>
        <v>0</v>
      </c>
      <c r="AC533" s="81">
        <f>IF(X533=1,HLOOKUP(R533,データについて!$J$12:$M$18,7,FALSE),"*")</f>
        <v>1</v>
      </c>
      <c r="AD533" s="81" t="str">
        <f>IF(X533=2,HLOOKUP(R533,データについて!$J$12:$M$18,7,FALSE),"*")</f>
        <v>*</v>
      </c>
    </row>
    <row r="534" spans="1:30">
      <c r="A534" s="30">
        <v>4658</v>
      </c>
      <c r="B534" s="30" t="s">
        <v>4062</v>
      </c>
      <c r="C534" s="30" t="s">
        <v>4063</v>
      </c>
      <c r="D534" s="30" t="s">
        <v>106</v>
      </c>
      <c r="E534" s="30"/>
      <c r="F534" s="30" t="s">
        <v>107</v>
      </c>
      <c r="G534" s="30" t="s">
        <v>106</v>
      </c>
      <c r="H534" s="30"/>
      <c r="I534" s="30" t="s">
        <v>191</v>
      </c>
      <c r="J534" s="30"/>
      <c r="K534" s="30" t="s">
        <v>126</v>
      </c>
      <c r="L534" s="30" t="s">
        <v>117</v>
      </c>
      <c r="M534" s="30" t="s">
        <v>109</v>
      </c>
      <c r="N534" s="30" t="s">
        <v>122</v>
      </c>
      <c r="O534" s="30" t="s">
        <v>115</v>
      </c>
      <c r="P534" s="30" t="s">
        <v>118</v>
      </c>
      <c r="Q534" s="30" t="s">
        <v>112</v>
      </c>
      <c r="R534" s="30" t="s">
        <v>183</v>
      </c>
      <c r="S534" s="81">
        <f>HLOOKUP(L534,データについて!$J$6:$M$18,13,FALSE)</f>
        <v>2</v>
      </c>
      <c r="T534" s="81">
        <f>HLOOKUP(M534,データについて!$J$7:$M$18,12,FALSE)</f>
        <v>2</v>
      </c>
      <c r="U534" s="81">
        <f>HLOOKUP(N534,データについて!$J$8:$M$18,11,FALSE)</f>
        <v>3</v>
      </c>
      <c r="V534" s="81">
        <f>HLOOKUP(O534,データについて!$J$9:$M$18,10,FALSE)</f>
        <v>1</v>
      </c>
      <c r="W534" s="81">
        <f>HLOOKUP(P534,データについて!$J$10:$M$18,9,FALSE)</f>
        <v>2</v>
      </c>
      <c r="X534" s="81">
        <f>HLOOKUP(Q534,データについて!$J$11:$M$18,8,FALSE)</f>
        <v>1</v>
      </c>
      <c r="Y534" s="81">
        <f>HLOOKUP(R534,データについて!$J$12:$M$18,7,FALSE)</f>
        <v>1</v>
      </c>
      <c r="Z534" s="81">
        <f>HLOOKUP(I534,データについて!$J$3:$M$18,16,FALSE)</f>
        <v>2</v>
      </c>
      <c r="AA534" s="81" t="str">
        <f>IFERROR(HLOOKUP(J534,データについて!$J$4:$AH$19,16,FALSE),"")</f>
        <v/>
      </c>
      <c r="AB534" s="81">
        <f>IFERROR(HLOOKUP(K534,データについて!$J$5:$AH$20,14,FALSE),"")</f>
        <v>0</v>
      </c>
      <c r="AC534" s="81">
        <f>IF(X534=1,HLOOKUP(R534,データについて!$J$12:$M$18,7,FALSE),"*")</f>
        <v>1</v>
      </c>
      <c r="AD534" s="81" t="str">
        <f>IF(X534=2,HLOOKUP(R534,データについて!$J$12:$M$18,7,FALSE),"*")</f>
        <v>*</v>
      </c>
    </row>
    <row r="535" spans="1:30">
      <c r="A535" s="30">
        <v>4657</v>
      </c>
      <c r="B535" s="30" t="s">
        <v>4064</v>
      </c>
      <c r="C535" s="30" t="s">
        <v>4065</v>
      </c>
      <c r="D535" s="30" t="s">
        <v>106</v>
      </c>
      <c r="E535" s="30"/>
      <c r="F535" s="30" t="s">
        <v>107</v>
      </c>
      <c r="G535" s="30" t="s">
        <v>106</v>
      </c>
      <c r="H535" s="30"/>
      <c r="I535" s="30" t="s">
        <v>191</v>
      </c>
      <c r="J535" s="30"/>
      <c r="K535" s="30" t="s">
        <v>126</v>
      </c>
      <c r="L535" s="30" t="s">
        <v>117</v>
      </c>
      <c r="M535" s="30" t="s">
        <v>113</v>
      </c>
      <c r="N535" s="30" t="s">
        <v>114</v>
      </c>
      <c r="O535" s="30" t="s">
        <v>115</v>
      </c>
      <c r="P535" s="30" t="s">
        <v>118</v>
      </c>
      <c r="Q535" s="30" t="s">
        <v>112</v>
      </c>
      <c r="R535" s="30" t="s">
        <v>183</v>
      </c>
      <c r="S535" s="81">
        <f>HLOOKUP(L535,データについて!$J$6:$M$18,13,FALSE)</f>
        <v>2</v>
      </c>
      <c r="T535" s="81">
        <f>HLOOKUP(M535,データについて!$J$7:$M$18,12,FALSE)</f>
        <v>1</v>
      </c>
      <c r="U535" s="81">
        <f>HLOOKUP(N535,データについて!$J$8:$M$18,11,FALSE)</f>
        <v>1</v>
      </c>
      <c r="V535" s="81">
        <f>HLOOKUP(O535,データについて!$J$9:$M$18,10,FALSE)</f>
        <v>1</v>
      </c>
      <c r="W535" s="81">
        <f>HLOOKUP(P535,データについて!$J$10:$M$18,9,FALSE)</f>
        <v>2</v>
      </c>
      <c r="X535" s="81">
        <f>HLOOKUP(Q535,データについて!$J$11:$M$18,8,FALSE)</f>
        <v>1</v>
      </c>
      <c r="Y535" s="81">
        <f>HLOOKUP(R535,データについて!$J$12:$M$18,7,FALSE)</f>
        <v>1</v>
      </c>
      <c r="Z535" s="81">
        <f>HLOOKUP(I535,データについて!$J$3:$M$18,16,FALSE)</f>
        <v>2</v>
      </c>
      <c r="AA535" s="81" t="str">
        <f>IFERROR(HLOOKUP(J535,データについて!$J$4:$AH$19,16,FALSE),"")</f>
        <v/>
      </c>
      <c r="AB535" s="81">
        <f>IFERROR(HLOOKUP(K535,データについて!$J$5:$AH$20,14,FALSE),"")</f>
        <v>0</v>
      </c>
      <c r="AC535" s="81">
        <f>IF(X535=1,HLOOKUP(R535,データについて!$J$12:$M$18,7,FALSE),"*")</f>
        <v>1</v>
      </c>
      <c r="AD535" s="81" t="str">
        <f>IF(X535=2,HLOOKUP(R535,データについて!$J$12:$M$18,7,FALSE),"*")</f>
        <v>*</v>
      </c>
    </row>
    <row r="536" spans="1:30">
      <c r="A536" s="30">
        <v>4656</v>
      </c>
      <c r="B536" s="30" t="s">
        <v>4066</v>
      </c>
      <c r="C536" s="30" t="s">
        <v>4067</v>
      </c>
      <c r="D536" s="30" t="s">
        <v>106</v>
      </c>
      <c r="E536" s="30"/>
      <c r="F536" s="30" t="s">
        <v>107</v>
      </c>
      <c r="G536" s="30" t="s">
        <v>106</v>
      </c>
      <c r="H536" s="30"/>
      <c r="I536" s="30" t="s">
        <v>191</v>
      </c>
      <c r="J536" s="30"/>
      <c r="K536" s="30" t="s">
        <v>126</v>
      </c>
      <c r="L536" s="30" t="s">
        <v>108</v>
      </c>
      <c r="M536" s="30" t="s">
        <v>113</v>
      </c>
      <c r="N536" s="30" t="s">
        <v>114</v>
      </c>
      <c r="O536" s="30" t="s">
        <v>115</v>
      </c>
      <c r="P536" s="30" t="s">
        <v>118</v>
      </c>
      <c r="Q536" s="30" t="s">
        <v>112</v>
      </c>
      <c r="R536" s="30" t="s">
        <v>183</v>
      </c>
      <c r="S536" s="81">
        <f>HLOOKUP(L536,データについて!$J$6:$M$18,13,FALSE)</f>
        <v>1</v>
      </c>
      <c r="T536" s="81">
        <f>HLOOKUP(M536,データについて!$J$7:$M$18,12,FALSE)</f>
        <v>1</v>
      </c>
      <c r="U536" s="81">
        <f>HLOOKUP(N536,データについて!$J$8:$M$18,11,FALSE)</f>
        <v>1</v>
      </c>
      <c r="V536" s="81">
        <f>HLOOKUP(O536,データについて!$J$9:$M$18,10,FALSE)</f>
        <v>1</v>
      </c>
      <c r="W536" s="81">
        <f>HLOOKUP(P536,データについて!$J$10:$M$18,9,FALSE)</f>
        <v>2</v>
      </c>
      <c r="X536" s="81">
        <f>HLOOKUP(Q536,データについて!$J$11:$M$18,8,FALSE)</f>
        <v>1</v>
      </c>
      <c r="Y536" s="81">
        <f>HLOOKUP(R536,データについて!$J$12:$M$18,7,FALSE)</f>
        <v>1</v>
      </c>
      <c r="Z536" s="81">
        <f>HLOOKUP(I536,データについて!$J$3:$M$18,16,FALSE)</f>
        <v>2</v>
      </c>
      <c r="AA536" s="81" t="str">
        <f>IFERROR(HLOOKUP(J536,データについて!$J$4:$AH$19,16,FALSE),"")</f>
        <v/>
      </c>
      <c r="AB536" s="81">
        <f>IFERROR(HLOOKUP(K536,データについて!$J$5:$AH$20,14,FALSE),"")</f>
        <v>0</v>
      </c>
      <c r="AC536" s="81">
        <f>IF(X536=1,HLOOKUP(R536,データについて!$J$12:$M$18,7,FALSE),"*")</f>
        <v>1</v>
      </c>
      <c r="AD536" s="81" t="str">
        <f>IF(X536=2,HLOOKUP(R536,データについて!$J$12:$M$18,7,FALSE),"*")</f>
        <v>*</v>
      </c>
    </row>
    <row r="537" spans="1:30">
      <c r="A537" s="30">
        <v>4655</v>
      </c>
      <c r="B537" s="30" t="s">
        <v>4068</v>
      </c>
      <c r="C537" s="30" t="s">
        <v>4069</v>
      </c>
      <c r="D537" s="30" t="s">
        <v>106</v>
      </c>
      <c r="E537" s="30"/>
      <c r="F537" s="30" t="s">
        <v>107</v>
      </c>
      <c r="G537" s="30" t="s">
        <v>106</v>
      </c>
      <c r="H537" s="30"/>
      <c r="I537" s="30" t="s">
        <v>191</v>
      </c>
      <c r="J537" s="30"/>
      <c r="K537" s="30" t="s">
        <v>126</v>
      </c>
      <c r="L537" s="30" t="s">
        <v>117</v>
      </c>
      <c r="M537" s="30" t="s">
        <v>109</v>
      </c>
      <c r="N537" s="30" t="s">
        <v>122</v>
      </c>
      <c r="O537" s="30" t="s">
        <v>115</v>
      </c>
      <c r="P537" s="30" t="s">
        <v>112</v>
      </c>
      <c r="Q537" s="30" t="s">
        <v>112</v>
      </c>
      <c r="R537" s="30" t="s">
        <v>189</v>
      </c>
      <c r="S537" s="81">
        <f>HLOOKUP(L537,データについて!$J$6:$M$18,13,FALSE)</f>
        <v>2</v>
      </c>
      <c r="T537" s="81">
        <f>HLOOKUP(M537,データについて!$J$7:$M$18,12,FALSE)</f>
        <v>2</v>
      </c>
      <c r="U537" s="81">
        <f>HLOOKUP(N537,データについて!$J$8:$M$18,11,FALSE)</f>
        <v>3</v>
      </c>
      <c r="V537" s="81">
        <f>HLOOKUP(O537,データについて!$J$9:$M$18,10,FALSE)</f>
        <v>1</v>
      </c>
      <c r="W537" s="81">
        <f>HLOOKUP(P537,データについて!$J$10:$M$18,9,FALSE)</f>
        <v>1</v>
      </c>
      <c r="X537" s="81">
        <f>HLOOKUP(Q537,データについて!$J$11:$M$18,8,FALSE)</f>
        <v>1</v>
      </c>
      <c r="Y537" s="81">
        <f>HLOOKUP(R537,データについて!$J$12:$M$18,7,FALSE)</f>
        <v>4</v>
      </c>
      <c r="Z537" s="81">
        <f>HLOOKUP(I537,データについて!$J$3:$M$18,16,FALSE)</f>
        <v>2</v>
      </c>
      <c r="AA537" s="81" t="str">
        <f>IFERROR(HLOOKUP(J537,データについて!$J$4:$AH$19,16,FALSE),"")</f>
        <v/>
      </c>
      <c r="AB537" s="81">
        <f>IFERROR(HLOOKUP(K537,データについて!$J$5:$AH$20,14,FALSE),"")</f>
        <v>0</v>
      </c>
      <c r="AC537" s="81">
        <f>IF(X537=1,HLOOKUP(R537,データについて!$J$12:$M$18,7,FALSE),"*")</f>
        <v>4</v>
      </c>
      <c r="AD537" s="81" t="str">
        <f>IF(X537=2,HLOOKUP(R537,データについて!$J$12:$M$18,7,FALSE),"*")</f>
        <v>*</v>
      </c>
    </row>
    <row r="538" spans="1:30">
      <c r="A538" s="30">
        <v>4654</v>
      </c>
      <c r="B538" s="30" t="s">
        <v>4070</v>
      </c>
      <c r="C538" s="30" t="s">
        <v>4071</v>
      </c>
      <c r="D538" s="30" t="s">
        <v>106</v>
      </c>
      <c r="E538" s="30"/>
      <c r="F538" s="30" t="s">
        <v>107</v>
      </c>
      <c r="G538" s="30" t="s">
        <v>106</v>
      </c>
      <c r="H538" s="30"/>
      <c r="I538" s="30" t="s">
        <v>191</v>
      </c>
      <c r="J538" s="30"/>
      <c r="K538" s="30" t="s">
        <v>126</v>
      </c>
      <c r="L538" s="30" t="s">
        <v>117</v>
      </c>
      <c r="M538" s="30" t="s">
        <v>113</v>
      </c>
      <c r="N538" s="30" t="s">
        <v>110</v>
      </c>
      <c r="O538" s="30" t="s">
        <v>115</v>
      </c>
      <c r="P538" s="30" t="s">
        <v>118</v>
      </c>
      <c r="Q538" s="30" t="s">
        <v>112</v>
      </c>
      <c r="R538" s="30" t="s">
        <v>185</v>
      </c>
      <c r="S538" s="81">
        <f>HLOOKUP(L538,データについて!$J$6:$M$18,13,FALSE)</f>
        <v>2</v>
      </c>
      <c r="T538" s="81">
        <f>HLOOKUP(M538,データについて!$J$7:$M$18,12,FALSE)</f>
        <v>1</v>
      </c>
      <c r="U538" s="81">
        <f>HLOOKUP(N538,データについて!$J$8:$M$18,11,FALSE)</f>
        <v>2</v>
      </c>
      <c r="V538" s="81">
        <f>HLOOKUP(O538,データについて!$J$9:$M$18,10,FALSE)</f>
        <v>1</v>
      </c>
      <c r="W538" s="81">
        <f>HLOOKUP(P538,データについて!$J$10:$M$18,9,FALSE)</f>
        <v>2</v>
      </c>
      <c r="X538" s="81">
        <f>HLOOKUP(Q538,データについて!$J$11:$M$18,8,FALSE)</f>
        <v>1</v>
      </c>
      <c r="Y538" s="81">
        <f>HLOOKUP(R538,データについて!$J$12:$M$18,7,FALSE)</f>
        <v>2</v>
      </c>
      <c r="Z538" s="81">
        <f>HLOOKUP(I538,データについて!$J$3:$M$18,16,FALSE)</f>
        <v>2</v>
      </c>
      <c r="AA538" s="81" t="str">
        <f>IFERROR(HLOOKUP(J538,データについて!$J$4:$AH$19,16,FALSE),"")</f>
        <v/>
      </c>
      <c r="AB538" s="81">
        <f>IFERROR(HLOOKUP(K538,データについて!$J$5:$AH$20,14,FALSE),"")</f>
        <v>0</v>
      </c>
      <c r="AC538" s="81">
        <f>IF(X538=1,HLOOKUP(R538,データについて!$J$12:$M$18,7,FALSE),"*")</f>
        <v>2</v>
      </c>
      <c r="AD538" s="81" t="str">
        <f>IF(X538=2,HLOOKUP(R538,データについて!$J$12:$M$18,7,FALSE),"*")</f>
        <v>*</v>
      </c>
    </row>
    <row r="539" spans="1:30">
      <c r="A539" s="30">
        <v>4653</v>
      </c>
      <c r="B539" s="30" t="s">
        <v>4072</v>
      </c>
      <c r="C539" s="30" t="s">
        <v>4073</v>
      </c>
      <c r="D539" s="30" t="s">
        <v>106</v>
      </c>
      <c r="E539" s="30"/>
      <c r="F539" s="30" t="s">
        <v>107</v>
      </c>
      <c r="G539" s="30" t="s">
        <v>106</v>
      </c>
      <c r="H539" s="30"/>
      <c r="I539" s="30" t="s">
        <v>191</v>
      </c>
      <c r="J539" s="30"/>
      <c r="K539" s="30" t="s">
        <v>126</v>
      </c>
      <c r="L539" s="30" t="s">
        <v>108</v>
      </c>
      <c r="M539" s="30" t="s">
        <v>113</v>
      </c>
      <c r="N539" s="30" t="s">
        <v>114</v>
      </c>
      <c r="O539" s="30" t="s">
        <v>116</v>
      </c>
      <c r="P539" s="30" t="s">
        <v>112</v>
      </c>
      <c r="Q539" s="30" t="s">
        <v>118</v>
      </c>
      <c r="R539" s="30" t="s">
        <v>185</v>
      </c>
      <c r="S539" s="81">
        <f>HLOOKUP(L539,データについて!$J$6:$M$18,13,FALSE)</f>
        <v>1</v>
      </c>
      <c r="T539" s="81">
        <f>HLOOKUP(M539,データについて!$J$7:$M$18,12,FALSE)</f>
        <v>1</v>
      </c>
      <c r="U539" s="81">
        <f>HLOOKUP(N539,データについて!$J$8:$M$18,11,FALSE)</f>
        <v>1</v>
      </c>
      <c r="V539" s="81">
        <f>HLOOKUP(O539,データについて!$J$9:$M$18,10,FALSE)</f>
        <v>2</v>
      </c>
      <c r="W539" s="81">
        <f>HLOOKUP(P539,データについて!$J$10:$M$18,9,FALSE)</f>
        <v>1</v>
      </c>
      <c r="X539" s="81">
        <f>HLOOKUP(Q539,データについて!$J$11:$M$18,8,FALSE)</f>
        <v>2</v>
      </c>
      <c r="Y539" s="81">
        <f>HLOOKUP(R539,データについて!$J$12:$M$18,7,FALSE)</f>
        <v>2</v>
      </c>
      <c r="Z539" s="81">
        <f>HLOOKUP(I539,データについて!$J$3:$M$18,16,FALSE)</f>
        <v>2</v>
      </c>
      <c r="AA539" s="81" t="str">
        <f>IFERROR(HLOOKUP(J539,データについて!$J$4:$AH$19,16,FALSE),"")</f>
        <v/>
      </c>
      <c r="AB539" s="81">
        <f>IFERROR(HLOOKUP(K539,データについて!$J$5:$AH$20,14,FALSE),"")</f>
        <v>0</v>
      </c>
      <c r="AC539" s="81" t="str">
        <f>IF(X539=1,HLOOKUP(R539,データについて!$J$12:$M$18,7,FALSE),"*")</f>
        <v>*</v>
      </c>
      <c r="AD539" s="81">
        <f>IF(X539=2,HLOOKUP(R539,データについて!$J$12:$M$18,7,FALSE),"*")</f>
        <v>2</v>
      </c>
    </row>
    <row r="540" spans="1:30">
      <c r="A540" s="30">
        <v>4652</v>
      </c>
      <c r="B540" s="30" t="s">
        <v>4074</v>
      </c>
      <c r="C540" s="30" t="s">
        <v>4073</v>
      </c>
      <c r="D540" s="30" t="s">
        <v>106</v>
      </c>
      <c r="E540" s="30"/>
      <c r="F540" s="30" t="s">
        <v>107</v>
      </c>
      <c r="G540" s="30" t="s">
        <v>106</v>
      </c>
      <c r="H540" s="30"/>
      <c r="I540" s="30" t="s">
        <v>191</v>
      </c>
      <c r="J540" s="30"/>
      <c r="K540" s="30" t="s">
        <v>126</v>
      </c>
      <c r="L540" s="30" t="s">
        <v>117</v>
      </c>
      <c r="M540" s="30" t="s">
        <v>109</v>
      </c>
      <c r="N540" s="30" t="s">
        <v>110</v>
      </c>
      <c r="O540" s="30" t="s">
        <v>115</v>
      </c>
      <c r="P540" s="30" t="s">
        <v>112</v>
      </c>
      <c r="Q540" s="30" t="s">
        <v>112</v>
      </c>
      <c r="R540" s="30" t="s">
        <v>185</v>
      </c>
      <c r="S540" s="81">
        <f>HLOOKUP(L540,データについて!$J$6:$M$18,13,FALSE)</f>
        <v>2</v>
      </c>
      <c r="T540" s="81">
        <f>HLOOKUP(M540,データについて!$J$7:$M$18,12,FALSE)</f>
        <v>2</v>
      </c>
      <c r="U540" s="81">
        <f>HLOOKUP(N540,データについて!$J$8:$M$18,11,FALSE)</f>
        <v>2</v>
      </c>
      <c r="V540" s="81">
        <f>HLOOKUP(O540,データについて!$J$9:$M$18,10,FALSE)</f>
        <v>1</v>
      </c>
      <c r="W540" s="81">
        <f>HLOOKUP(P540,データについて!$J$10:$M$18,9,FALSE)</f>
        <v>1</v>
      </c>
      <c r="X540" s="81">
        <f>HLOOKUP(Q540,データについて!$J$11:$M$18,8,FALSE)</f>
        <v>1</v>
      </c>
      <c r="Y540" s="81">
        <f>HLOOKUP(R540,データについて!$J$12:$M$18,7,FALSE)</f>
        <v>2</v>
      </c>
      <c r="Z540" s="81">
        <f>HLOOKUP(I540,データについて!$J$3:$M$18,16,FALSE)</f>
        <v>2</v>
      </c>
      <c r="AA540" s="81" t="str">
        <f>IFERROR(HLOOKUP(J540,データについて!$J$4:$AH$19,16,FALSE),"")</f>
        <v/>
      </c>
      <c r="AB540" s="81">
        <f>IFERROR(HLOOKUP(K540,データについて!$J$5:$AH$20,14,FALSE),"")</f>
        <v>0</v>
      </c>
      <c r="AC540" s="81">
        <f>IF(X540=1,HLOOKUP(R540,データについて!$J$12:$M$18,7,FALSE),"*")</f>
        <v>2</v>
      </c>
      <c r="AD540" s="81" t="str">
        <f>IF(X540=2,HLOOKUP(R540,データについて!$J$12:$M$18,7,FALSE),"*")</f>
        <v>*</v>
      </c>
    </row>
    <row r="541" spans="1:30">
      <c r="A541" s="30">
        <v>4651</v>
      </c>
      <c r="B541" s="30" t="s">
        <v>4075</v>
      </c>
      <c r="C541" s="30" t="s">
        <v>4076</v>
      </c>
      <c r="D541" s="30" t="s">
        <v>106</v>
      </c>
      <c r="E541" s="30"/>
      <c r="F541" s="30" t="s">
        <v>107</v>
      </c>
      <c r="G541" s="30" t="s">
        <v>106</v>
      </c>
      <c r="H541" s="30"/>
      <c r="I541" s="30" t="s">
        <v>191</v>
      </c>
      <c r="J541" s="30"/>
      <c r="K541" s="30" t="s">
        <v>126</v>
      </c>
      <c r="L541" s="30" t="s">
        <v>117</v>
      </c>
      <c r="M541" s="30" t="s">
        <v>113</v>
      </c>
      <c r="N541" s="30" t="s">
        <v>122</v>
      </c>
      <c r="O541" s="30" t="s">
        <v>111</v>
      </c>
      <c r="P541" s="30" t="s">
        <v>118</v>
      </c>
      <c r="Q541" s="30" t="s">
        <v>112</v>
      </c>
      <c r="R541" s="30" t="s">
        <v>185</v>
      </c>
      <c r="S541" s="81">
        <f>HLOOKUP(L541,データについて!$J$6:$M$18,13,FALSE)</f>
        <v>2</v>
      </c>
      <c r="T541" s="81">
        <f>HLOOKUP(M541,データについて!$J$7:$M$18,12,FALSE)</f>
        <v>1</v>
      </c>
      <c r="U541" s="81">
        <f>HLOOKUP(N541,データについて!$J$8:$M$18,11,FALSE)</f>
        <v>3</v>
      </c>
      <c r="V541" s="81">
        <f>HLOOKUP(O541,データについて!$J$9:$M$18,10,FALSE)</f>
        <v>3</v>
      </c>
      <c r="W541" s="81">
        <f>HLOOKUP(P541,データについて!$J$10:$M$18,9,FALSE)</f>
        <v>2</v>
      </c>
      <c r="X541" s="81">
        <f>HLOOKUP(Q541,データについて!$J$11:$M$18,8,FALSE)</f>
        <v>1</v>
      </c>
      <c r="Y541" s="81">
        <f>HLOOKUP(R541,データについて!$J$12:$M$18,7,FALSE)</f>
        <v>2</v>
      </c>
      <c r="Z541" s="81">
        <f>HLOOKUP(I541,データについて!$J$3:$M$18,16,FALSE)</f>
        <v>2</v>
      </c>
      <c r="AA541" s="81" t="str">
        <f>IFERROR(HLOOKUP(J541,データについて!$J$4:$AH$19,16,FALSE),"")</f>
        <v/>
      </c>
      <c r="AB541" s="81">
        <f>IFERROR(HLOOKUP(K541,データについて!$J$5:$AH$20,14,FALSE),"")</f>
        <v>0</v>
      </c>
      <c r="AC541" s="81">
        <f>IF(X541=1,HLOOKUP(R541,データについて!$J$12:$M$18,7,FALSE),"*")</f>
        <v>2</v>
      </c>
      <c r="AD541" s="81" t="str">
        <f>IF(X541=2,HLOOKUP(R541,データについて!$J$12:$M$18,7,FALSE),"*")</f>
        <v>*</v>
      </c>
    </row>
    <row r="542" spans="1:30">
      <c r="A542" s="30">
        <v>4650</v>
      </c>
      <c r="B542" s="30" t="s">
        <v>4077</v>
      </c>
      <c r="C542" s="30" t="s">
        <v>4076</v>
      </c>
      <c r="D542" s="30" t="s">
        <v>106</v>
      </c>
      <c r="E542" s="30"/>
      <c r="F542" s="30" t="s">
        <v>107</v>
      </c>
      <c r="G542" s="30" t="s">
        <v>106</v>
      </c>
      <c r="H542" s="30"/>
      <c r="I542" s="30" t="s">
        <v>191</v>
      </c>
      <c r="J542" s="30"/>
      <c r="K542" s="30" t="s">
        <v>126</v>
      </c>
      <c r="L542" s="30" t="s">
        <v>117</v>
      </c>
      <c r="M542" s="30" t="s">
        <v>109</v>
      </c>
      <c r="N542" s="30" t="s">
        <v>119</v>
      </c>
      <c r="O542" s="30" t="s">
        <v>115</v>
      </c>
      <c r="P542" s="30" t="s">
        <v>112</v>
      </c>
      <c r="Q542" s="30" t="s">
        <v>112</v>
      </c>
      <c r="R542" s="30" t="s">
        <v>189</v>
      </c>
      <c r="S542" s="81">
        <f>HLOOKUP(L542,データについて!$J$6:$M$18,13,FALSE)</f>
        <v>2</v>
      </c>
      <c r="T542" s="81">
        <f>HLOOKUP(M542,データについて!$J$7:$M$18,12,FALSE)</f>
        <v>2</v>
      </c>
      <c r="U542" s="81">
        <f>HLOOKUP(N542,データについて!$J$8:$M$18,11,FALSE)</f>
        <v>4</v>
      </c>
      <c r="V542" s="81">
        <f>HLOOKUP(O542,データについて!$J$9:$M$18,10,FALSE)</f>
        <v>1</v>
      </c>
      <c r="W542" s="81">
        <f>HLOOKUP(P542,データについて!$J$10:$M$18,9,FALSE)</f>
        <v>1</v>
      </c>
      <c r="X542" s="81">
        <f>HLOOKUP(Q542,データについて!$J$11:$M$18,8,FALSE)</f>
        <v>1</v>
      </c>
      <c r="Y542" s="81">
        <f>HLOOKUP(R542,データについて!$J$12:$M$18,7,FALSE)</f>
        <v>4</v>
      </c>
      <c r="Z542" s="81">
        <f>HLOOKUP(I542,データについて!$J$3:$M$18,16,FALSE)</f>
        <v>2</v>
      </c>
      <c r="AA542" s="81" t="str">
        <f>IFERROR(HLOOKUP(J542,データについて!$J$4:$AH$19,16,FALSE),"")</f>
        <v/>
      </c>
      <c r="AB542" s="81">
        <f>IFERROR(HLOOKUP(K542,データについて!$J$5:$AH$20,14,FALSE),"")</f>
        <v>0</v>
      </c>
      <c r="AC542" s="81">
        <f>IF(X542=1,HLOOKUP(R542,データについて!$J$12:$M$18,7,FALSE),"*")</f>
        <v>4</v>
      </c>
      <c r="AD542" s="81" t="str">
        <f>IF(X542=2,HLOOKUP(R542,データについて!$J$12:$M$18,7,FALSE),"*")</f>
        <v>*</v>
      </c>
    </row>
    <row r="543" spans="1:30">
      <c r="A543" s="30">
        <v>4649</v>
      </c>
      <c r="B543" s="30" t="s">
        <v>4078</v>
      </c>
      <c r="C543" s="30" t="s">
        <v>4079</v>
      </c>
      <c r="D543" s="30" t="s">
        <v>106</v>
      </c>
      <c r="E543" s="30"/>
      <c r="F543" s="30" t="s">
        <v>107</v>
      </c>
      <c r="G543" s="30" t="s">
        <v>106</v>
      </c>
      <c r="H543" s="30"/>
      <c r="I543" s="30" t="s">
        <v>191</v>
      </c>
      <c r="J543" s="30"/>
      <c r="K543" s="30" t="s">
        <v>126</v>
      </c>
      <c r="L543" s="30" t="s">
        <v>108</v>
      </c>
      <c r="M543" s="30" t="s">
        <v>113</v>
      </c>
      <c r="N543" s="30" t="s">
        <v>110</v>
      </c>
      <c r="O543" s="30" t="s">
        <v>115</v>
      </c>
      <c r="P543" s="30" t="s">
        <v>118</v>
      </c>
      <c r="Q543" s="30" t="s">
        <v>112</v>
      </c>
      <c r="R543" s="30" t="s">
        <v>185</v>
      </c>
      <c r="S543" s="81">
        <f>HLOOKUP(L543,データについて!$J$6:$M$18,13,FALSE)</f>
        <v>1</v>
      </c>
      <c r="T543" s="81">
        <f>HLOOKUP(M543,データについて!$J$7:$M$18,12,FALSE)</f>
        <v>1</v>
      </c>
      <c r="U543" s="81">
        <f>HLOOKUP(N543,データについて!$J$8:$M$18,11,FALSE)</f>
        <v>2</v>
      </c>
      <c r="V543" s="81">
        <f>HLOOKUP(O543,データについて!$J$9:$M$18,10,FALSE)</f>
        <v>1</v>
      </c>
      <c r="W543" s="81">
        <f>HLOOKUP(P543,データについて!$J$10:$M$18,9,FALSE)</f>
        <v>2</v>
      </c>
      <c r="X543" s="81">
        <f>HLOOKUP(Q543,データについて!$J$11:$M$18,8,FALSE)</f>
        <v>1</v>
      </c>
      <c r="Y543" s="81">
        <f>HLOOKUP(R543,データについて!$J$12:$M$18,7,FALSE)</f>
        <v>2</v>
      </c>
      <c r="Z543" s="81">
        <f>HLOOKUP(I543,データについて!$J$3:$M$18,16,FALSE)</f>
        <v>2</v>
      </c>
      <c r="AA543" s="81" t="str">
        <f>IFERROR(HLOOKUP(J543,データについて!$J$4:$AH$19,16,FALSE),"")</f>
        <v/>
      </c>
      <c r="AB543" s="81">
        <f>IFERROR(HLOOKUP(K543,データについて!$J$5:$AH$20,14,FALSE),"")</f>
        <v>0</v>
      </c>
      <c r="AC543" s="81">
        <f>IF(X543=1,HLOOKUP(R543,データについて!$J$12:$M$18,7,FALSE),"*")</f>
        <v>2</v>
      </c>
      <c r="AD543" s="81" t="str">
        <f>IF(X543=2,HLOOKUP(R543,データについて!$J$12:$M$18,7,FALSE),"*")</f>
        <v>*</v>
      </c>
    </row>
    <row r="544" spans="1:30">
      <c r="A544" s="30">
        <v>4648</v>
      </c>
      <c r="B544" s="30" t="s">
        <v>4080</v>
      </c>
      <c r="C544" s="30" t="s">
        <v>4079</v>
      </c>
      <c r="D544" s="30" t="s">
        <v>106</v>
      </c>
      <c r="E544" s="30"/>
      <c r="F544" s="30" t="s">
        <v>107</v>
      </c>
      <c r="G544" s="30" t="s">
        <v>106</v>
      </c>
      <c r="H544" s="30"/>
      <c r="I544" s="30" t="s">
        <v>191</v>
      </c>
      <c r="J544" s="30"/>
      <c r="K544" s="30" t="s">
        <v>126</v>
      </c>
      <c r="L544" s="30" t="s">
        <v>108</v>
      </c>
      <c r="M544" s="30" t="s">
        <v>124</v>
      </c>
      <c r="N544" s="30" t="s">
        <v>122</v>
      </c>
      <c r="O544" s="30" t="s">
        <v>115</v>
      </c>
      <c r="P544" s="30" t="s">
        <v>112</v>
      </c>
      <c r="Q544" s="30" t="s">
        <v>118</v>
      </c>
      <c r="R544" s="30" t="s">
        <v>187</v>
      </c>
      <c r="S544" s="81">
        <f>HLOOKUP(L544,データについて!$J$6:$M$18,13,FALSE)</f>
        <v>1</v>
      </c>
      <c r="T544" s="81">
        <f>HLOOKUP(M544,データについて!$J$7:$M$18,12,FALSE)</f>
        <v>3</v>
      </c>
      <c r="U544" s="81">
        <f>HLOOKUP(N544,データについて!$J$8:$M$18,11,FALSE)</f>
        <v>3</v>
      </c>
      <c r="V544" s="81">
        <f>HLOOKUP(O544,データについて!$J$9:$M$18,10,FALSE)</f>
        <v>1</v>
      </c>
      <c r="W544" s="81">
        <f>HLOOKUP(P544,データについて!$J$10:$M$18,9,FALSE)</f>
        <v>1</v>
      </c>
      <c r="X544" s="81">
        <f>HLOOKUP(Q544,データについて!$J$11:$M$18,8,FALSE)</f>
        <v>2</v>
      </c>
      <c r="Y544" s="81">
        <f>HLOOKUP(R544,データについて!$J$12:$M$18,7,FALSE)</f>
        <v>3</v>
      </c>
      <c r="Z544" s="81">
        <f>HLOOKUP(I544,データについて!$J$3:$M$18,16,FALSE)</f>
        <v>2</v>
      </c>
      <c r="AA544" s="81" t="str">
        <f>IFERROR(HLOOKUP(J544,データについて!$J$4:$AH$19,16,FALSE),"")</f>
        <v/>
      </c>
      <c r="AB544" s="81">
        <f>IFERROR(HLOOKUP(K544,データについて!$J$5:$AH$20,14,FALSE),"")</f>
        <v>0</v>
      </c>
      <c r="AC544" s="81" t="str">
        <f>IF(X544=1,HLOOKUP(R544,データについて!$J$12:$M$18,7,FALSE),"*")</f>
        <v>*</v>
      </c>
      <c r="AD544" s="81">
        <f>IF(X544=2,HLOOKUP(R544,データについて!$J$12:$M$18,7,FALSE),"*")</f>
        <v>3</v>
      </c>
    </row>
    <row r="545" spans="1:30">
      <c r="A545" s="30">
        <v>4647</v>
      </c>
      <c r="B545" s="30" t="s">
        <v>4081</v>
      </c>
      <c r="C545" s="30" t="s">
        <v>4079</v>
      </c>
      <c r="D545" s="30" t="s">
        <v>106</v>
      </c>
      <c r="E545" s="30"/>
      <c r="F545" s="30" t="s">
        <v>107</v>
      </c>
      <c r="G545" s="30" t="s">
        <v>106</v>
      </c>
      <c r="H545" s="30"/>
      <c r="I545" s="30" t="s">
        <v>191</v>
      </c>
      <c r="J545" s="30"/>
      <c r="K545" s="30" t="s">
        <v>126</v>
      </c>
      <c r="L545" s="30" t="s">
        <v>117</v>
      </c>
      <c r="M545" s="30" t="s">
        <v>113</v>
      </c>
      <c r="N545" s="30" t="s">
        <v>119</v>
      </c>
      <c r="O545" s="30" t="s">
        <v>115</v>
      </c>
      <c r="P545" s="30" t="s">
        <v>118</v>
      </c>
      <c r="Q545" s="30" t="s">
        <v>112</v>
      </c>
      <c r="R545" s="30" t="s">
        <v>185</v>
      </c>
      <c r="S545" s="81">
        <f>HLOOKUP(L545,データについて!$J$6:$M$18,13,FALSE)</f>
        <v>2</v>
      </c>
      <c r="T545" s="81">
        <f>HLOOKUP(M545,データについて!$J$7:$M$18,12,FALSE)</f>
        <v>1</v>
      </c>
      <c r="U545" s="81">
        <f>HLOOKUP(N545,データについて!$J$8:$M$18,11,FALSE)</f>
        <v>4</v>
      </c>
      <c r="V545" s="81">
        <f>HLOOKUP(O545,データについて!$J$9:$M$18,10,FALSE)</f>
        <v>1</v>
      </c>
      <c r="W545" s="81">
        <f>HLOOKUP(P545,データについて!$J$10:$M$18,9,FALSE)</f>
        <v>2</v>
      </c>
      <c r="X545" s="81">
        <f>HLOOKUP(Q545,データについて!$J$11:$M$18,8,FALSE)</f>
        <v>1</v>
      </c>
      <c r="Y545" s="81">
        <f>HLOOKUP(R545,データについて!$J$12:$M$18,7,FALSE)</f>
        <v>2</v>
      </c>
      <c r="Z545" s="81">
        <f>HLOOKUP(I545,データについて!$J$3:$M$18,16,FALSE)</f>
        <v>2</v>
      </c>
      <c r="AA545" s="81" t="str">
        <f>IFERROR(HLOOKUP(J545,データについて!$J$4:$AH$19,16,FALSE),"")</f>
        <v/>
      </c>
      <c r="AB545" s="81">
        <f>IFERROR(HLOOKUP(K545,データについて!$J$5:$AH$20,14,FALSE),"")</f>
        <v>0</v>
      </c>
      <c r="AC545" s="81">
        <f>IF(X545=1,HLOOKUP(R545,データについて!$J$12:$M$18,7,FALSE),"*")</f>
        <v>2</v>
      </c>
      <c r="AD545" s="81" t="str">
        <f>IF(X545=2,HLOOKUP(R545,データについて!$J$12:$M$18,7,FALSE),"*")</f>
        <v>*</v>
      </c>
    </row>
    <row r="546" spans="1:30">
      <c r="A546" s="30">
        <v>4646</v>
      </c>
      <c r="B546" s="30" t="s">
        <v>4082</v>
      </c>
      <c r="C546" s="30" t="s">
        <v>4083</v>
      </c>
      <c r="D546" s="30" t="s">
        <v>106</v>
      </c>
      <c r="E546" s="30"/>
      <c r="F546" s="30" t="s">
        <v>107</v>
      </c>
      <c r="G546" s="30" t="s">
        <v>106</v>
      </c>
      <c r="H546" s="30"/>
      <c r="I546" s="30" t="s">
        <v>191</v>
      </c>
      <c r="J546" s="30"/>
      <c r="K546" s="30" t="s">
        <v>126</v>
      </c>
      <c r="L546" s="30" t="s">
        <v>117</v>
      </c>
      <c r="M546" s="30" t="s">
        <v>124</v>
      </c>
      <c r="N546" s="30" t="s">
        <v>122</v>
      </c>
      <c r="O546" s="30" t="s">
        <v>115</v>
      </c>
      <c r="P546" s="30" t="s">
        <v>118</v>
      </c>
      <c r="Q546" s="30" t="s">
        <v>118</v>
      </c>
      <c r="R546" s="30" t="s">
        <v>189</v>
      </c>
      <c r="S546" s="81">
        <f>HLOOKUP(L546,データについて!$J$6:$M$18,13,FALSE)</f>
        <v>2</v>
      </c>
      <c r="T546" s="81">
        <f>HLOOKUP(M546,データについて!$J$7:$M$18,12,FALSE)</f>
        <v>3</v>
      </c>
      <c r="U546" s="81">
        <f>HLOOKUP(N546,データについて!$J$8:$M$18,11,FALSE)</f>
        <v>3</v>
      </c>
      <c r="V546" s="81">
        <f>HLOOKUP(O546,データについて!$J$9:$M$18,10,FALSE)</f>
        <v>1</v>
      </c>
      <c r="W546" s="81">
        <f>HLOOKUP(P546,データについて!$J$10:$M$18,9,FALSE)</f>
        <v>2</v>
      </c>
      <c r="X546" s="81">
        <f>HLOOKUP(Q546,データについて!$J$11:$M$18,8,FALSE)</f>
        <v>2</v>
      </c>
      <c r="Y546" s="81">
        <f>HLOOKUP(R546,データについて!$J$12:$M$18,7,FALSE)</f>
        <v>4</v>
      </c>
      <c r="Z546" s="81">
        <f>HLOOKUP(I546,データについて!$J$3:$M$18,16,FALSE)</f>
        <v>2</v>
      </c>
      <c r="AA546" s="81" t="str">
        <f>IFERROR(HLOOKUP(J546,データについて!$J$4:$AH$19,16,FALSE),"")</f>
        <v/>
      </c>
      <c r="AB546" s="81">
        <f>IFERROR(HLOOKUP(K546,データについて!$J$5:$AH$20,14,FALSE),"")</f>
        <v>0</v>
      </c>
      <c r="AC546" s="81" t="str">
        <f>IF(X546=1,HLOOKUP(R546,データについて!$J$12:$M$18,7,FALSE),"*")</f>
        <v>*</v>
      </c>
      <c r="AD546" s="81">
        <f>IF(X546=2,HLOOKUP(R546,データについて!$J$12:$M$18,7,FALSE),"*")</f>
        <v>4</v>
      </c>
    </row>
    <row r="547" spans="1:30">
      <c r="A547" s="30">
        <v>4645</v>
      </c>
      <c r="B547" s="30" t="s">
        <v>4084</v>
      </c>
      <c r="C547" s="30" t="s">
        <v>4083</v>
      </c>
      <c r="D547" s="30" t="s">
        <v>106</v>
      </c>
      <c r="E547" s="30"/>
      <c r="F547" s="30" t="s">
        <v>107</v>
      </c>
      <c r="G547" s="30" t="s">
        <v>106</v>
      </c>
      <c r="H547" s="30"/>
      <c r="I547" s="30" t="s">
        <v>191</v>
      </c>
      <c r="J547" s="30"/>
      <c r="K547" s="30" t="s">
        <v>126</v>
      </c>
      <c r="L547" s="30" t="s">
        <v>117</v>
      </c>
      <c r="M547" s="30" t="s">
        <v>109</v>
      </c>
      <c r="N547" s="30" t="s">
        <v>119</v>
      </c>
      <c r="O547" s="30" t="s">
        <v>111</v>
      </c>
      <c r="P547" s="30" t="s">
        <v>118</v>
      </c>
      <c r="Q547" s="30" t="s">
        <v>118</v>
      </c>
      <c r="R547" s="30" t="s">
        <v>189</v>
      </c>
      <c r="S547" s="81">
        <f>HLOOKUP(L547,データについて!$J$6:$M$18,13,FALSE)</f>
        <v>2</v>
      </c>
      <c r="T547" s="81">
        <f>HLOOKUP(M547,データについて!$J$7:$M$18,12,FALSE)</f>
        <v>2</v>
      </c>
      <c r="U547" s="81">
        <f>HLOOKUP(N547,データについて!$J$8:$M$18,11,FALSE)</f>
        <v>4</v>
      </c>
      <c r="V547" s="81">
        <f>HLOOKUP(O547,データについて!$J$9:$M$18,10,FALSE)</f>
        <v>3</v>
      </c>
      <c r="W547" s="81">
        <f>HLOOKUP(P547,データについて!$J$10:$M$18,9,FALSE)</f>
        <v>2</v>
      </c>
      <c r="X547" s="81">
        <f>HLOOKUP(Q547,データについて!$J$11:$M$18,8,FALSE)</f>
        <v>2</v>
      </c>
      <c r="Y547" s="81">
        <f>HLOOKUP(R547,データについて!$J$12:$M$18,7,FALSE)</f>
        <v>4</v>
      </c>
      <c r="Z547" s="81">
        <f>HLOOKUP(I547,データについて!$J$3:$M$18,16,FALSE)</f>
        <v>2</v>
      </c>
      <c r="AA547" s="81" t="str">
        <f>IFERROR(HLOOKUP(J547,データについて!$J$4:$AH$19,16,FALSE),"")</f>
        <v/>
      </c>
      <c r="AB547" s="81">
        <f>IFERROR(HLOOKUP(K547,データについて!$J$5:$AH$20,14,FALSE),"")</f>
        <v>0</v>
      </c>
      <c r="AC547" s="81" t="str">
        <f>IF(X547=1,HLOOKUP(R547,データについて!$J$12:$M$18,7,FALSE),"*")</f>
        <v>*</v>
      </c>
      <c r="AD547" s="81">
        <f>IF(X547=2,HLOOKUP(R547,データについて!$J$12:$M$18,7,FALSE),"*")</f>
        <v>4</v>
      </c>
    </row>
    <row r="548" spans="1:30">
      <c r="A548" s="30">
        <v>4644</v>
      </c>
      <c r="B548" s="30" t="s">
        <v>4085</v>
      </c>
      <c r="C548" s="30" t="s">
        <v>4086</v>
      </c>
      <c r="D548" s="30" t="s">
        <v>106</v>
      </c>
      <c r="E548" s="30"/>
      <c r="F548" s="30" t="s">
        <v>107</v>
      </c>
      <c r="G548" s="30" t="s">
        <v>106</v>
      </c>
      <c r="H548" s="30"/>
      <c r="I548" s="30" t="s">
        <v>191</v>
      </c>
      <c r="J548" s="30"/>
      <c r="K548" s="30" t="s">
        <v>126</v>
      </c>
      <c r="L548" s="30" t="s">
        <v>108</v>
      </c>
      <c r="M548" s="30" t="s">
        <v>113</v>
      </c>
      <c r="N548" s="30" t="s">
        <v>110</v>
      </c>
      <c r="O548" s="30" t="s">
        <v>115</v>
      </c>
      <c r="P548" s="30" t="s">
        <v>118</v>
      </c>
      <c r="Q548" s="30" t="s">
        <v>112</v>
      </c>
      <c r="R548" s="30" t="s">
        <v>185</v>
      </c>
      <c r="S548" s="81">
        <f>HLOOKUP(L548,データについて!$J$6:$M$18,13,FALSE)</f>
        <v>1</v>
      </c>
      <c r="T548" s="81">
        <f>HLOOKUP(M548,データについて!$J$7:$M$18,12,FALSE)</f>
        <v>1</v>
      </c>
      <c r="U548" s="81">
        <f>HLOOKUP(N548,データについて!$J$8:$M$18,11,FALSE)</f>
        <v>2</v>
      </c>
      <c r="V548" s="81">
        <f>HLOOKUP(O548,データについて!$J$9:$M$18,10,FALSE)</f>
        <v>1</v>
      </c>
      <c r="W548" s="81">
        <f>HLOOKUP(P548,データについて!$J$10:$M$18,9,FALSE)</f>
        <v>2</v>
      </c>
      <c r="X548" s="81">
        <f>HLOOKUP(Q548,データについて!$J$11:$M$18,8,FALSE)</f>
        <v>1</v>
      </c>
      <c r="Y548" s="81">
        <f>HLOOKUP(R548,データについて!$J$12:$M$18,7,FALSE)</f>
        <v>2</v>
      </c>
      <c r="Z548" s="81">
        <f>HLOOKUP(I548,データについて!$J$3:$M$18,16,FALSE)</f>
        <v>2</v>
      </c>
      <c r="AA548" s="81" t="str">
        <f>IFERROR(HLOOKUP(J548,データについて!$J$4:$AH$19,16,FALSE),"")</f>
        <v/>
      </c>
      <c r="AB548" s="81">
        <f>IFERROR(HLOOKUP(K548,データについて!$J$5:$AH$20,14,FALSE),"")</f>
        <v>0</v>
      </c>
      <c r="AC548" s="81">
        <f>IF(X548=1,HLOOKUP(R548,データについて!$J$12:$M$18,7,FALSE),"*")</f>
        <v>2</v>
      </c>
      <c r="AD548" s="81" t="str">
        <f>IF(X548=2,HLOOKUP(R548,データについて!$J$12:$M$18,7,FALSE),"*")</f>
        <v>*</v>
      </c>
    </row>
    <row r="549" spans="1:30">
      <c r="A549" s="30">
        <v>4643</v>
      </c>
      <c r="B549" s="30" t="s">
        <v>4087</v>
      </c>
      <c r="C549" s="30" t="s">
        <v>4086</v>
      </c>
      <c r="D549" s="30" t="s">
        <v>106</v>
      </c>
      <c r="E549" s="30"/>
      <c r="F549" s="30" t="s">
        <v>107</v>
      </c>
      <c r="G549" s="30" t="s">
        <v>106</v>
      </c>
      <c r="H549" s="30"/>
      <c r="I549" s="30" t="s">
        <v>191</v>
      </c>
      <c r="J549" s="30"/>
      <c r="K549" s="30" t="s">
        <v>126</v>
      </c>
      <c r="L549" s="30" t="s">
        <v>108</v>
      </c>
      <c r="M549" s="30" t="s">
        <v>109</v>
      </c>
      <c r="N549" s="30" t="s">
        <v>122</v>
      </c>
      <c r="O549" s="30" t="s">
        <v>115</v>
      </c>
      <c r="P549" s="30" t="s">
        <v>118</v>
      </c>
      <c r="Q549" s="30" t="s">
        <v>118</v>
      </c>
      <c r="R549" s="30" t="s">
        <v>187</v>
      </c>
      <c r="S549" s="81">
        <f>HLOOKUP(L549,データについて!$J$6:$M$18,13,FALSE)</f>
        <v>1</v>
      </c>
      <c r="T549" s="81">
        <f>HLOOKUP(M549,データについて!$J$7:$M$18,12,FALSE)</f>
        <v>2</v>
      </c>
      <c r="U549" s="81">
        <f>HLOOKUP(N549,データについて!$J$8:$M$18,11,FALSE)</f>
        <v>3</v>
      </c>
      <c r="V549" s="81">
        <f>HLOOKUP(O549,データについて!$J$9:$M$18,10,FALSE)</f>
        <v>1</v>
      </c>
      <c r="W549" s="81">
        <f>HLOOKUP(P549,データについて!$J$10:$M$18,9,FALSE)</f>
        <v>2</v>
      </c>
      <c r="X549" s="81">
        <f>HLOOKUP(Q549,データについて!$J$11:$M$18,8,FALSE)</f>
        <v>2</v>
      </c>
      <c r="Y549" s="81">
        <f>HLOOKUP(R549,データについて!$J$12:$M$18,7,FALSE)</f>
        <v>3</v>
      </c>
      <c r="Z549" s="81">
        <f>HLOOKUP(I549,データについて!$J$3:$M$18,16,FALSE)</f>
        <v>2</v>
      </c>
      <c r="AA549" s="81" t="str">
        <f>IFERROR(HLOOKUP(J549,データについて!$J$4:$AH$19,16,FALSE),"")</f>
        <v/>
      </c>
      <c r="AB549" s="81">
        <f>IFERROR(HLOOKUP(K549,データについて!$J$5:$AH$20,14,FALSE),"")</f>
        <v>0</v>
      </c>
      <c r="AC549" s="81" t="str">
        <f>IF(X549=1,HLOOKUP(R549,データについて!$J$12:$M$18,7,FALSE),"*")</f>
        <v>*</v>
      </c>
      <c r="AD549" s="81">
        <f>IF(X549=2,HLOOKUP(R549,データについて!$J$12:$M$18,7,FALSE),"*")</f>
        <v>3</v>
      </c>
    </row>
    <row r="550" spans="1:30">
      <c r="A550" s="30">
        <v>4642</v>
      </c>
      <c r="B550" s="30" t="s">
        <v>4088</v>
      </c>
      <c r="C550" s="30" t="s">
        <v>4089</v>
      </c>
      <c r="D550" s="30" t="s">
        <v>106</v>
      </c>
      <c r="E550" s="30"/>
      <c r="F550" s="30" t="s">
        <v>107</v>
      </c>
      <c r="G550" s="30" t="s">
        <v>106</v>
      </c>
      <c r="H550" s="30"/>
      <c r="I550" s="30" t="s">
        <v>191</v>
      </c>
      <c r="J550" s="30"/>
      <c r="K550" s="30" t="s">
        <v>126</v>
      </c>
      <c r="L550" s="30" t="s">
        <v>108</v>
      </c>
      <c r="M550" s="30" t="s">
        <v>113</v>
      </c>
      <c r="N550" s="30" t="s">
        <v>114</v>
      </c>
      <c r="O550" s="30" t="s">
        <v>116</v>
      </c>
      <c r="P550" s="30" t="s">
        <v>118</v>
      </c>
      <c r="Q550" s="30" t="s">
        <v>112</v>
      </c>
      <c r="R550" s="30" t="s">
        <v>185</v>
      </c>
      <c r="S550" s="81">
        <f>HLOOKUP(L550,データについて!$J$6:$M$18,13,FALSE)</f>
        <v>1</v>
      </c>
      <c r="T550" s="81">
        <f>HLOOKUP(M550,データについて!$J$7:$M$18,12,FALSE)</f>
        <v>1</v>
      </c>
      <c r="U550" s="81">
        <f>HLOOKUP(N550,データについて!$J$8:$M$18,11,FALSE)</f>
        <v>1</v>
      </c>
      <c r="V550" s="81">
        <f>HLOOKUP(O550,データについて!$J$9:$M$18,10,FALSE)</f>
        <v>2</v>
      </c>
      <c r="W550" s="81">
        <f>HLOOKUP(P550,データについて!$J$10:$M$18,9,FALSE)</f>
        <v>2</v>
      </c>
      <c r="X550" s="81">
        <f>HLOOKUP(Q550,データについて!$J$11:$M$18,8,FALSE)</f>
        <v>1</v>
      </c>
      <c r="Y550" s="81">
        <f>HLOOKUP(R550,データについて!$J$12:$M$18,7,FALSE)</f>
        <v>2</v>
      </c>
      <c r="Z550" s="81">
        <f>HLOOKUP(I550,データについて!$J$3:$M$18,16,FALSE)</f>
        <v>2</v>
      </c>
      <c r="AA550" s="81" t="str">
        <f>IFERROR(HLOOKUP(J550,データについて!$J$4:$AH$19,16,FALSE),"")</f>
        <v/>
      </c>
      <c r="AB550" s="81">
        <f>IFERROR(HLOOKUP(K550,データについて!$J$5:$AH$20,14,FALSE),"")</f>
        <v>0</v>
      </c>
      <c r="AC550" s="81">
        <f>IF(X550=1,HLOOKUP(R550,データについて!$J$12:$M$18,7,FALSE),"*")</f>
        <v>2</v>
      </c>
      <c r="AD550" s="81" t="str">
        <f>IF(X550=2,HLOOKUP(R550,データについて!$J$12:$M$18,7,FALSE),"*")</f>
        <v>*</v>
      </c>
    </row>
    <row r="551" spans="1:30">
      <c r="A551" s="30">
        <v>4641</v>
      </c>
      <c r="B551" s="30" t="s">
        <v>4090</v>
      </c>
      <c r="C551" s="30" t="s">
        <v>4091</v>
      </c>
      <c r="D551" s="30" t="s">
        <v>106</v>
      </c>
      <c r="E551" s="30"/>
      <c r="F551" s="30" t="s">
        <v>107</v>
      </c>
      <c r="G551" s="30" t="s">
        <v>106</v>
      </c>
      <c r="H551" s="30"/>
      <c r="I551" s="30" t="s">
        <v>191</v>
      </c>
      <c r="J551" s="30"/>
      <c r="K551" s="30" t="s">
        <v>126</v>
      </c>
      <c r="L551" s="30" t="s">
        <v>117</v>
      </c>
      <c r="M551" s="30" t="s">
        <v>113</v>
      </c>
      <c r="N551" s="30" t="s">
        <v>110</v>
      </c>
      <c r="O551" s="30" t="s">
        <v>115</v>
      </c>
      <c r="P551" s="30" t="s">
        <v>118</v>
      </c>
      <c r="Q551" s="30" t="s">
        <v>112</v>
      </c>
      <c r="R551" s="30" t="s">
        <v>185</v>
      </c>
      <c r="S551" s="81">
        <f>HLOOKUP(L551,データについて!$J$6:$M$18,13,FALSE)</f>
        <v>2</v>
      </c>
      <c r="T551" s="81">
        <f>HLOOKUP(M551,データについて!$J$7:$M$18,12,FALSE)</f>
        <v>1</v>
      </c>
      <c r="U551" s="81">
        <f>HLOOKUP(N551,データについて!$J$8:$M$18,11,FALSE)</f>
        <v>2</v>
      </c>
      <c r="V551" s="81">
        <f>HLOOKUP(O551,データについて!$J$9:$M$18,10,FALSE)</f>
        <v>1</v>
      </c>
      <c r="W551" s="81">
        <f>HLOOKUP(P551,データについて!$J$10:$M$18,9,FALSE)</f>
        <v>2</v>
      </c>
      <c r="X551" s="81">
        <f>HLOOKUP(Q551,データについて!$J$11:$M$18,8,FALSE)</f>
        <v>1</v>
      </c>
      <c r="Y551" s="81">
        <f>HLOOKUP(R551,データについて!$J$12:$M$18,7,FALSE)</f>
        <v>2</v>
      </c>
      <c r="Z551" s="81">
        <f>HLOOKUP(I551,データについて!$J$3:$M$18,16,FALSE)</f>
        <v>2</v>
      </c>
      <c r="AA551" s="81" t="str">
        <f>IFERROR(HLOOKUP(J551,データについて!$J$4:$AH$19,16,FALSE),"")</f>
        <v/>
      </c>
      <c r="AB551" s="81">
        <f>IFERROR(HLOOKUP(K551,データについて!$J$5:$AH$20,14,FALSE),"")</f>
        <v>0</v>
      </c>
      <c r="AC551" s="81">
        <f>IF(X551=1,HLOOKUP(R551,データについて!$J$12:$M$18,7,FALSE),"*")</f>
        <v>2</v>
      </c>
      <c r="AD551" s="81" t="str">
        <f>IF(X551=2,HLOOKUP(R551,データについて!$J$12:$M$18,7,FALSE),"*")</f>
        <v>*</v>
      </c>
    </row>
    <row r="552" spans="1:30">
      <c r="A552" s="30">
        <v>4640</v>
      </c>
      <c r="B552" s="30" t="s">
        <v>4092</v>
      </c>
      <c r="C552" s="30" t="s">
        <v>4093</v>
      </c>
      <c r="D552" s="30" t="s">
        <v>106</v>
      </c>
      <c r="E552" s="30"/>
      <c r="F552" s="30" t="s">
        <v>107</v>
      </c>
      <c r="G552" s="30" t="s">
        <v>106</v>
      </c>
      <c r="H552" s="30"/>
      <c r="I552" s="30" t="s">
        <v>191</v>
      </c>
      <c r="J552" s="30"/>
      <c r="K552" s="30" t="s">
        <v>126</v>
      </c>
      <c r="L552" s="30" t="s">
        <v>117</v>
      </c>
      <c r="M552" s="30" t="s">
        <v>109</v>
      </c>
      <c r="N552" s="30" t="s">
        <v>122</v>
      </c>
      <c r="O552" s="30" t="s">
        <v>115</v>
      </c>
      <c r="P552" s="30" t="s">
        <v>118</v>
      </c>
      <c r="Q552" s="30" t="s">
        <v>112</v>
      </c>
      <c r="R552" s="30" t="s">
        <v>185</v>
      </c>
      <c r="S552" s="81">
        <f>HLOOKUP(L552,データについて!$J$6:$M$18,13,FALSE)</f>
        <v>2</v>
      </c>
      <c r="T552" s="81">
        <f>HLOOKUP(M552,データについて!$J$7:$M$18,12,FALSE)</f>
        <v>2</v>
      </c>
      <c r="U552" s="81">
        <f>HLOOKUP(N552,データについて!$J$8:$M$18,11,FALSE)</f>
        <v>3</v>
      </c>
      <c r="V552" s="81">
        <f>HLOOKUP(O552,データについて!$J$9:$M$18,10,FALSE)</f>
        <v>1</v>
      </c>
      <c r="W552" s="81">
        <f>HLOOKUP(P552,データについて!$J$10:$M$18,9,FALSE)</f>
        <v>2</v>
      </c>
      <c r="X552" s="81">
        <f>HLOOKUP(Q552,データについて!$J$11:$M$18,8,FALSE)</f>
        <v>1</v>
      </c>
      <c r="Y552" s="81">
        <f>HLOOKUP(R552,データについて!$J$12:$M$18,7,FALSE)</f>
        <v>2</v>
      </c>
      <c r="Z552" s="81">
        <f>HLOOKUP(I552,データについて!$J$3:$M$18,16,FALSE)</f>
        <v>2</v>
      </c>
      <c r="AA552" s="81" t="str">
        <f>IFERROR(HLOOKUP(J552,データについて!$J$4:$AH$19,16,FALSE),"")</f>
        <v/>
      </c>
      <c r="AB552" s="81">
        <f>IFERROR(HLOOKUP(K552,データについて!$J$5:$AH$20,14,FALSE),"")</f>
        <v>0</v>
      </c>
      <c r="AC552" s="81">
        <f>IF(X552=1,HLOOKUP(R552,データについて!$J$12:$M$18,7,FALSE),"*")</f>
        <v>2</v>
      </c>
      <c r="AD552" s="81" t="str">
        <f>IF(X552=2,HLOOKUP(R552,データについて!$J$12:$M$18,7,FALSE),"*")</f>
        <v>*</v>
      </c>
    </row>
    <row r="553" spans="1:30">
      <c r="A553" s="30">
        <v>4639</v>
      </c>
      <c r="B553" s="30" t="s">
        <v>4094</v>
      </c>
      <c r="C553" s="30" t="s">
        <v>4093</v>
      </c>
      <c r="D553" s="30" t="s">
        <v>106</v>
      </c>
      <c r="E553" s="30"/>
      <c r="F553" s="30" t="s">
        <v>107</v>
      </c>
      <c r="G553" s="30" t="s">
        <v>106</v>
      </c>
      <c r="H553" s="30"/>
      <c r="I553" s="30" t="s">
        <v>191</v>
      </c>
      <c r="J553" s="30"/>
      <c r="K553" s="30" t="s">
        <v>126</v>
      </c>
      <c r="L553" s="30" t="s">
        <v>117</v>
      </c>
      <c r="M553" s="30" t="s">
        <v>109</v>
      </c>
      <c r="N553" s="30" t="s">
        <v>114</v>
      </c>
      <c r="O553" s="30" t="s">
        <v>115</v>
      </c>
      <c r="P553" s="30" t="s">
        <v>112</v>
      </c>
      <c r="Q553" s="30" t="s">
        <v>112</v>
      </c>
      <c r="R553" s="30" t="s">
        <v>183</v>
      </c>
      <c r="S553" s="81">
        <f>HLOOKUP(L553,データについて!$J$6:$M$18,13,FALSE)</f>
        <v>2</v>
      </c>
      <c r="T553" s="81">
        <f>HLOOKUP(M553,データについて!$J$7:$M$18,12,FALSE)</f>
        <v>2</v>
      </c>
      <c r="U553" s="81">
        <f>HLOOKUP(N553,データについて!$J$8:$M$18,11,FALSE)</f>
        <v>1</v>
      </c>
      <c r="V553" s="81">
        <f>HLOOKUP(O553,データについて!$J$9:$M$18,10,FALSE)</f>
        <v>1</v>
      </c>
      <c r="W553" s="81">
        <f>HLOOKUP(P553,データについて!$J$10:$M$18,9,FALSE)</f>
        <v>1</v>
      </c>
      <c r="X553" s="81">
        <f>HLOOKUP(Q553,データについて!$J$11:$M$18,8,FALSE)</f>
        <v>1</v>
      </c>
      <c r="Y553" s="81">
        <f>HLOOKUP(R553,データについて!$J$12:$M$18,7,FALSE)</f>
        <v>1</v>
      </c>
      <c r="Z553" s="81">
        <f>HLOOKUP(I553,データについて!$J$3:$M$18,16,FALSE)</f>
        <v>2</v>
      </c>
      <c r="AA553" s="81" t="str">
        <f>IFERROR(HLOOKUP(J553,データについて!$J$4:$AH$19,16,FALSE),"")</f>
        <v/>
      </c>
      <c r="AB553" s="81">
        <f>IFERROR(HLOOKUP(K553,データについて!$J$5:$AH$20,14,FALSE),"")</f>
        <v>0</v>
      </c>
      <c r="AC553" s="81">
        <f>IF(X553=1,HLOOKUP(R553,データについて!$J$12:$M$18,7,FALSE),"*")</f>
        <v>1</v>
      </c>
      <c r="AD553" s="81" t="str">
        <f>IF(X553=2,HLOOKUP(R553,データについて!$J$12:$M$18,7,FALSE),"*")</f>
        <v>*</v>
      </c>
    </row>
    <row r="554" spans="1:30">
      <c r="A554" s="30">
        <v>4638</v>
      </c>
      <c r="B554" s="30" t="s">
        <v>4095</v>
      </c>
      <c r="C554" s="30" t="s">
        <v>4096</v>
      </c>
      <c r="D554" s="30" t="s">
        <v>106</v>
      </c>
      <c r="E554" s="30"/>
      <c r="F554" s="30" t="s">
        <v>107</v>
      </c>
      <c r="G554" s="30" t="s">
        <v>106</v>
      </c>
      <c r="H554" s="30"/>
      <c r="I554" s="30" t="s">
        <v>191</v>
      </c>
      <c r="J554" s="30"/>
      <c r="K554" s="30" t="s">
        <v>126</v>
      </c>
      <c r="L554" s="30" t="s">
        <v>108</v>
      </c>
      <c r="M554" s="30" t="s">
        <v>109</v>
      </c>
      <c r="N554" s="30" t="s">
        <v>110</v>
      </c>
      <c r="O554" s="30" t="s">
        <v>115</v>
      </c>
      <c r="P554" s="30" t="s">
        <v>118</v>
      </c>
      <c r="Q554" s="30" t="s">
        <v>118</v>
      </c>
      <c r="R554" s="30" t="s">
        <v>185</v>
      </c>
      <c r="S554" s="81">
        <f>HLOOKUP(L554,データについて!$J$6:$M$18,13,FALSE)</f>
        <v>1</v>
      </c>
      <c r="T554" s="81">
        <f>HLOOKUP(M554,データについて!$J$7:$M$18,12,FALSE)</f>
        <v>2</v>
      </c>
      <c r="U554" s="81">
        <f>HLOOKUP(N554,データについて!$J$8:$M$18,11,FALSE)</f>
        <v>2</v>
      </c>
      <c r="V554" s="81">
        <f>HLOOKUP(O554,データについて!$J$9:$M$18,10,FALSE)</f>
        <v>1</v>
      </c>
      <c r="W554" s="81">
        <f>HLOOKUP(P554,データについて!$J$10:$M$18,9,FALSE)</f>
        <v>2</v>
      </c>
      <c r="X554" s="81">
        <f>HLOOKUP(Q554,データについて!$J$11:$M$18,8,FALSE)</f>
        <v>2</v>
      </c>
      <c r="Y554" s="81">
        <f>HLOOKUP(R554,データについて!$J$12:$M$18,7,FALSE)</f>
        <v>2</v>
      </c>
      <c r="Z554" s="81">
        <f>HLOOKUP(I554,データについて!$J$3:$M$18,16,FALSE)</f>
        <v>2</v>
      </c>
      <c r="AA554" s="81" t="str">
        <f>IFERROR(HLOOKUP(J554,データについて!$J$4:$AH$19,16,FALSE),"")</f>
        <v/>
      </c>
      <c r="AB554" s="81">
        <f>IFERROR(HLOOKUP(K554,データについて!$J$5:$AH$20,14,FALSE),"")</f>
        <v>0</v>
      </c>
      <c r="AC554" s="81" t="str">
        <f>IF(X554=1,HLOOKUP(R554,データについて!$J$12:$M$18,7,FALSE),"*")</f>
        <v>*</v>
      </c>
      <c r="AD554" s="81">
        <f>IF(X554=2,HLOOKUP(R554,データについて!$J$12:$M$18,7,FALSE),"*")</f>
        <v>2</v>
      </c>
    </row>
    <row r="555" spans="1:30">
      <c r="A555" s="30">
        <v>4637</v>
      </c>
      <c r="B555" s="30" t="s">
        <v>4097</v>
      </c>
      <c r="C555" s="30" t="s">
        <v>4098</v>
      </c>
      <c r="D555" s="30" t="s">
        <v>106</v>
      </c>
      <c r="E555" s="30"/>
      <c r="F555" s="30" t="s">
        <v>107</v>
      </c>
      <c r="G555" s="30" t="s">
        <v>106</v>
      </c>
      <c r="H555" s="30"/>
      <c r="I555" s="30" t="s">
        <v>191</v>
      </c>
      <c r="J555" s="30"/>
      <c r="K555" s="30" t="s">
        <v>126</v>
      </c>
      <c r="L555" s="30" t="s">
        <v>108</v>
      </c>
      <c r="M555" s="30" t="s">
        <v>113</v>
      </c>
      <c r="N555" s="30" t="s">
        <v>114</v>
      </c>
      <c r="O555" s="30" t="s">
        <v>115</v>
      </c>
      <c r="P555" s="30" t="s">
        <v>112</v>
      </c>
      <c r="Q555" s="30" t="s">
        <v>112</v>
      </c>
      <c r="R555" s="30" t="s">
        <v>187</v>
      </c>
      <c r="S555" s="81">
        <f>HLOOKUP(L555,データについて!$J$6:$M$18,13,FALSE)</f>
        <v>1</v>
      </c>
      <c r="T555" s="81">
        <f>HLOOKUP(M555,データについて!$J$7:$M$18,12,FALSE)</f>
        <v>1</v>
      </c>
      <c r="U555" s="81">
        <f>HLOOKUP(N555,データについて!$J$8:$M$18,11,FALSE)</f>
        <v>1</v>
      </c>
      <c r="V555" s="81">
        <f>HLOOKUP(O555,データについて!$J$9:$M$18,10,FALSE)</f>
        <v>1</v>
      </c>
      <c r="W555" s="81">
        <f>HLOOKUP(P555,データについて!$J$10:$M$18,9,FALSE)</f>
        <v>1</v>
      </c>
      <c r="X555" s="81">
        <f>HLOOKUP(Q555,データについて!$J$11:$M$18,8,FALSE)</f>
        <v>1</v>
      </c>
      <c r="Y555" s="81">
        <f>HLOOKUP(R555,データについて!$J$12:$M$18,7,FALSE)</f>
        <v>3</v>
      </c>
      <c r="Z555" s="81">
        <f>HLOOKUP(I555,データについて!$J$3:$M$18,16,FALSE)</f>
        <v>2</v>
      </c>
      <c r="AA555" s="81" t="str">
        <f>IFERROR(HLOOKUP(J555,データについて!$J$4:$AH$19,16,FALSE),"")</f>
        <v/>
      </c>
      <c r="AB555" s="81">
        <f>IFERROR(HLOOKUP(K555,データについて!$J$5:$AH$20,14,FALSE),"")</f>
        <v>0</v>
      </c>
      <c r="AC555" s="81">
        <f>IF(X555=1,HLOOKUP(R555,データについて!$J$12:$M$18,7,FALSE),"*")</f>
        <v>3</v>
      </c>
      <c r="AD555" s="81" t="str">
        <f>IF(X555=2,HLOOKUP(R555,データについて!$J$12:$M$18,7,FALSE),"*")</f>
        <v>*</v>
      </c>
    </row>
    <row r="556" spans="1:30">
      <c r="A556" s="30">
        <v>4636</v>
      </c>
      <c r="B556" s="30" t="s">
        <v>4099</v>
      </c>
      <c r="C556" s="30" t="s">
        <v>4100</v>
      </c>
      <c r="D556" s="30" t="s">
        <v>106</v>
      </c>
      <c r="E556" s="30"/>
      <c r="F556" s="30" t="s">
        <v>107</v>
      </c>
      <c r="G556" s="30" t="s">
        <v>106</v>
      </c>
      <c r="H556" s="30"/>
      <c r="I556" s="30" t="s">
        <v>191</v>
      </c>
      <c r="J556" s="30"/>
      <c r="K556" s="30" t="s">
        <v>126</v>
      </c>
      <c r="L556" s="30" t="s">
        <v>108</v>
      </c>
      <c r="M556" s="30" t="s">
        <v>113</v>
      </c>
      <c r="N556" s="30" t="s">
        <v>110</v>
      </c>
      <c r="O556" s="30" t="s">
        <v>115</v>
      </c>
      <c r="P556" s="30" t="s">
        <v>118</v>
      </c>
      <c r="Q556" s="30" t="s">
        <v>112</v>
      </c>
      <c r="R556" s="30" t="s">
        <v>187</v>
      </c>
      <c r="S556" s="81">
        <f>HLOOKUP(L556,データについて!$J$6:$M$18,13,FALSE)</f>
        <v>1</v>
      </c>
      <c r="T556" s="81">
        <f>HLOOKUP(M556,データについて!$J$7:$M$18,12,FALSE)</f>
        <v>1</v>
      </c>
      <c r="U556" s="81">
        <f>HLOOKUP(N556,データについて!$J$8:$M$18,11,FALSE)</f>
        <v>2</v>
      </c>
      <c r="V556" s="81">
        <f>HLOOKUP(O556,データについて!$J$9:$M$18,10,FALSE)</f>
        <v>1</v>
      </c>
      <c r="W556" s="81">
        <f>HLOOKUP(P556,データについて!$J$10:$M$18,9,FALSE)</f>
        <v>2</v>
      </c>
      <c r="X556" s="81">
        <f>HLOOKUP(Q556,データについて!$J$11:$M$18,8,FALSE)</f>
        <v>1</v>
      </c>
      <c r="Y556" s="81">
        <f>HLOOKUP(R556,データについて!$J$12:$M$18,7,FALSE)</f>
        <v>3</v>
      </c>
      <c r="Z556" s="81">
        <f>HLOOKUP(I556,データについて!$J$3:$M$18,16,FALSE)</f>
        <v>2</v>
      </c>
      <c r="AA556" s="81" t="str">
        <f>IFERROR(HLOOKUP(J556,データについて!$J$4:$AH$19,16,FALSE),"")</f>
        <v/>
      </c>
      <c r="AB556" s="81">
        <f>IFERROR(HLOOKUP(K556,データについて!$J$5:$AH$20,14,FALSE),"")</f>
        <v>0</v>
      </c>
      <c r="AC556" s="81">
        <f>IF(X556=1,HLOOKUP(R556,データについて!$J$12:$M$18,7,FALSE),"*")</f>
        <v>3</v>
      </c>
      <c r="AD556" s="81" t="str">
        <f>IF(X556=2,HLOOKUP(R556,データについて!$J$12:$M$18,7,FALSE),"*")</f>
        <v>*</v>
      </c>
    </row>
    <row r="557" spans="1:30">
      <c r="A557" s="30">
        <v>4635</v>
      </c>
      <c r="B557" s="30" t="s">
        <v>4101</v>
      </c>
      <c r="C557" s="30" t="s">
        <v>4100</v>
      </c>
      <c r="D557" s="30" t="s">
        <v>106</v>
      </c>
      <c r="E557" s="30"/>
      <c r="F557" s="30" t="s">
        <v>107</v>
      </c>
      <c r="G557" s="30" t="s">
        <v>106</v>
      </c>
      <c r="H557" s="30"/>
      <c r="I557" s="30" t="s">
        <v>191</v>
      </c>
      <c r="J557" s="30"/>
      <c r="K557" s="30" t="s">
        <v>126</v>
      </c>
      <c r="L557" s="30" t="s">
        <v>108</v>
      </c>
      <c r="M557" s="30" t="s">
        <v>113</v>
      </c>
      <c r="N557" s="30" t="s">
        <v>110</v>
      </c>
      <c r="O557" s="30" t="s">
        <v>115</v>
      </c>
      <c r="P557" s="30" t="s">
        <v>118</v>
      </c>
      <c r="Q557" s="30" t="s">
        <v>112</v>
      </c>
      <c r="R557" s="30" t="s">
        <v>185</v>
      </c>
      <c r="S557" s="81">
        <f>HLOOKUP(L557,データについて!$J$6:$M$18,13,FALSE)</f>
        <v>1</v>
      </c>
      <c r="T557" s="81">
        <f>HLOOKUP(M557,データについて!$J$7:$M$18,12,FALSE)</f>
        <v>1</v>
      </c>
      <c r="U557" s="81">
        <f>HLOOKUP(N557,データについて!$J$8:$M$18,11,FALSE)</f>
        <v>2</v>
      </c>
      <c r="V557" s="81">
        <f>HLOOKUP(O557,データについて!$J$9:$M$18,10,FALSE)</f>
        <v>1</v>
      </c>
      <c r="W557" s="81">
        <f>HLOOKUP(P557,データについて!$J$10:$M$18,9,FALSE)</f>
        <v>2</v>
      </c>
      <c r="X557" s="81">
        <f>HLOOKUP(Q557,データについて!$J$11:$M$18,8,FALSE)</f>
        <v>1</v>
      </c>
      <c r="Y557" s="81">
        <f>HLOOKUP(R557,データについて!$J$12:$M$18,7,FALSE)</f>
        <v>2</v>
      </c>
      <c r="Z557" s="81">
        <f>HLOOKUP(I557,データについて!$J$3:$M$18,16,FALSE)</f>
        <v>2</v>
      </c>
      <c r="AA557" s="81" t="str">
        <f>IFERROR(HLOOKUP(J557,データについて!$J$4:$AH$19,16,FALSE),"")</f>
        <v/>
      </c>
      <c r="AB557" s="81">
        <f>IFERROR(HLOOKUP(K557,データについて!$J$5:$AH$20,14,FALSE),"")</f>
        <v>0</v>
      </c>
      <c r="AC557" s="81">
        <f>IF(X557=1,HLOOKUP(R557,データについて!$J$12:$M$18,7,FALSE),"*")</f>
        <v>2</v>
      </c>
      <c r="AD557" s="81" t="str">
        <f>IF(X557=2,HLOOKUP(R557,データについて!$J$12:$M$18,7,FALSE),"*")</f>
        <v>*</v>
      </c>
    </row>
    <row r="558" spans="1:30">
      <c r="A558" s="30">
        <v>4634</v>
      </c>
      <c r="B558" s="30" t="s">
        <v>4102</v>
      </c>
      <c r="C558" s="30" t="s">
        <v>4103</v>
      </c>
      <c r="D558" s="30" t="s">
        <v>106</v>
      </c>
      <c r="E558" s="30"/>
      <c r="F558" s="30" t="s">
        <v>107</v>
      </c>
      <c r="G558" s="30" t="s">
        <v>106</v>
      </c>
      <c r="H558" s="30"/>
      <c r="I558" s="30" t="s">
        <v>191</v>
      </c>
      <c r="J558" s="30"/>
      <c r="K558" s="30" t="s">
        <v>126</v>
      </c>
      <c r="L558" s="30" t="s">
        <v>108</v>
      </c>
      <c r="M558" s="30" t="s">
        <v>113</v>
      </c>
      <c r="N558" s="30" t="s">
        <v>110</v>
      </c>
      <c r="O558" s="30" t="s">
        <v>115</v>
      </c>
      <c r="P558" s="30" t="s">
        <v>112</v>
      </c>
      <c r="Q558" s="30" t="s">
        <v>118</v>
      </c>
      <c r="R558" s="30" t="s">
        <v>185</v>
      </c>
      <c r="S558" s="81">
        <f>HLOOKUP(L558,データについて!$J$6:$M$18,13,FALSE)</f>
        <v>1</v>
      </c>
      <c r="T558" s="81">
        <f>HLOOKUP(M558,データについて!$J$7:$M$18,12,FALSE)</f>
        <v>1</v>
      </c>
      <c r="U558" s="81">
        <f>HLOOKUP(N558,データについて!$J$8:$M$18,11,FALSE)</f>
        <v>2</v>
      </c>
      <c r="V558" s="81">
        <f>HLOOKUP(O558,データについて!$J$9:$M$18,10,FALSE)</f>
        <v>1</v>
      </c>
      <c r="W558" s="81">
        <f>HLOOKUP(P558,データについて!$J$10:$M$18,9,FALSE)</f>
        <v>1</v>
      </c>
      <c r="X558" s="81">
        <f>HLOOKUP(Q558,データについて!$J$11:$M$18,8,FALSE)</f>
        <v>2</v>
      </c>
      <c r="Y558" s="81">
        <f>HLOOKUP(R558,データについて!$J$12:$M$18,7,FALSE)</f>
        <v>2</v>
      </c>
      <c r="Z558" s="81">
        <f>HLOOKUP(I558,データについて!$J$3:$M$18,16,FALSE)</f>
        <v>2</v>
      </c>
      <c r="AA558" s="81" t="str">
        <f>IFERROR(HLOOKUP(J558,データについて!$J$4:$AH$19,16,FALSE),"")</f>
        <v/>
      </c>
      <c r="AB558" s="81">
        <f>IFERROR(HLOOKUP(K558,データについて!$J$5:$AH$20,14,FALSE),"")</f>
        <v>0</v>
      </c>
      <c r="AC558" s="81" t="str">
        <f>IF(X558=1,HLOOKUP(R558,データについて!$J$12:$M$18,7,FALSE),"*")</f>
        <v>*</v>
      </c>
      <c r="AD558" s="81">
        <f>IF(X558=2,HLOOKUP(R558,データについて!$J$12:$M$18,7,FALSE),"*")</f>
        <v>2</v>
      </c>
    </row>
    <row r="559" spans="1:30">
      <c r="A559" s="30">
        <v>4633</v>
      </c>
      <c r="B559" s="30" t="s">
        <v>4104</v>
      </c>
      <c r="C559" s="30" t="s">
        <v>4105</v>
      </c>
      <c r="D559" s="30" t="s">
        <v>106</v>
      </c>
      <c r="E559" s="30"/>
      <c r="F559" s="30" t="s">
        <v>107</v>
      </c>
      <c r="G559" s="30" t="s">
        <v>106</v>
      </c>
      <c r="H559" s="30"/>
      <c r="I559" s="30" t="s">
        <v>192</v>
      </c>
      <c r="J559" s="30" t="s">
        <v>3010</v>
      </c>
      <c r="K559" s="30"/>
      <c r="L559" s="30" t="s">
        <v>108</v>
      </c>
      <c r="M559" s="30" t="s">
        <v>113</v>
      </c>
      <c r="N559" s="30" t="s">
        <v>114</v>
      </c>
      <c r="O559" s="30" t="s">
        <v>115</v>
      </c>
      <c r="P559" s="30" t="s">
        <v>112</v>
      </c>
      <c r="Q559" s="30" t="s">
        <v>118</v>
      </c>
      <c r="R559" s="30" t="s">
        <v>187</v>
      </c>
      <c r="S559" s="81">
        <f>HLOOKUP(L559,データについて!$J$6:$M$18,13,FALSE)</f>
        <v>1</v>
      </c>
      <c r="T559" s="81">
        <f>HLOOKUP(M559,データについて!$J$7:$M$18,12,FALSE)</f>
        <v>1</v>
      </c>
      <c r="U559" s="81">
        <f>HLOOKUP(N559,データについて!$J$8:$M$18,11,FALSE)</f>
        <v>1</v>
      </c>
      <c r="V559" s="81">
        <f>HLOOKUP(O559,データについて!$J$9:$M$18,10,FALSE)</f>
        <v>1</v>
      </c>
      <c r="W559" s="81">
        <f>HLOOKUP(P559,データについて!$J$10:$M$18,9,FALSE)</f>
        <v>1</v>
      </c>
      <c r="X559" s="81">
        <f>HLOOKUP(Q559,データについて!$J$11:$M$18,8,FALSE)</f>
        <v>2</v>
      </c>
      <c r="Y559" s="81">
        <f>HLOOKUP(R559,データについて!$J$12:$M$18,7,FALSE)</f>
        <v>3</v>
      </c>
      <c r="Z559" s="81">
        <f>HLOOKUP(I559,データについて!$J$3:$M$18,16,FALSE)</f>
        <v>1</v>
      </c>
      <c r="AA559" s="81">
        <f>IFERROR(HLOOKUP(J559,データについて!$J$4:$AH$19,16,FALSE),"")</f>
        <v>12</v>
      </c>
      <c r="AB559" s="81" t="str">
        <f>IFERROR(HLOOKUP(K559,データについて!$J$5:$AH$20,14,FALSE),"")</f>
        <v/>
      </c>
      <c r="AC559" s="81" t="str">
        <f>IF(X559=1,HLOOKUP(R559,データについて!$J$12:$M$18,7,FALSE),"*")</f>
        <v>*</v>
      </c>
      <c r="AD559" s="81">
        <f>IF(X559=2,HLOOKUP(R559,データについて!$J$12:$M$18,7,FALSE),"*")</f>
        <v>3</v>
      </c>
    </row>
    <row r="560" spans="1:30">
      <c r="A560" s="30">
        <v>4632</v>
      </c>
      <c r="B560" s="30" t="s">
        <v>4106</v>
      </c>
      <c r="C560" s="30" t="s">
        <v>4105</v>
      </c>
      <c r="D560" s="30" t="s">
        <v>106</v>
      </c>
      <c r="E560" s="30"/>
      <c r="F560" s="30" t="s">
        <v>107</v>
      </c>
      <c r="G560" s="30" t="s">
        <v>106</v>
      </c>
      <c r="H560" s="30"/>
      <c r="I560" s="30" t="s">
        <v>191</v>
      </c>
      <c r="J560" s="30"/>
      <c r="K560" s="30" t="s">
        <v>126</v>
      </c>
      <c r="L560" s="30" t="s">
        <v>108</v>
      </c>
      <c r="M560" s="30" t="s">
        <v>113</v>
      </c>
      <c r="N560" s="30" t="s">
        <v>114</v>
      </c>
      <c r="O560" s="30" t="s">
        <v>115</v>
      </c>
      <c r="P560" s="30" t="s">
        <v>112</v>
      </c>
      <c r="Q560" s="30" t="s">
        <v>112</v>
      </c>
      <c r="R560" s="30" t="s">
        <v>183</v>
      </c>
      <c r="S560" s="81">
        <f>HLOOKUP(L560,データについて!$J$6:$M$18,13,FALSE)</f>
        <v>1</v>
      </c>
      <c r="T560" s="81">
        <f>HLOOKUP(M560,データについて!$J$7:$M$18,12,FALSE)</f>
        <v>1</v>
      </c>
      <c r="U560" s="81">
        <f>HLOOKUP(N560,データについて!$J$8:$M$18,11,FALSE)</f>
        <v>1</v>
      </c>
      <c r="V560" s="81">
        <f>HLOOKUP(O560,データについて!$J$9:$M$18,10,FALSE)</f>
        <v>1</v>
      </c>
      <c r="W560" s="81">
        <f>HLOOKUP(P560,データについて!$J$10:$M$18,9,FALSE)</f>
        <v>1</v>
      </c>
      <c r="X560" s="81">
        <f>HLOOKUP(Q560,データについて!$J$11:$M$18,8,FALSE)</f>
        <v>1</v>
      </c>
      <c r="Y560" s="81">
        <f>HLOOKUP(R560,データについて!$J$12:$M$18,7,FALSE)</f>
        <v>1</v>
      </c>
      <c r="Z560" s="81">
        <f>HLOOKUP(I560,データについて!$J$3:$M$18,16,FALSE)</f>
        <v>2</v>
      </c>
      <c r="AA560" s="81" t="str">
        <f>IFERROR(HLOOKUP(J560,データについて!$J$4:$AH$19,16,FALSE),"")</f>
        <v/>
      </c>
      <c r="AB560" s="81">
        <f>IFERROR(HLOOKUP(K560,データについて!$J$5:$AH$20,14,FALSE),"")</f>
        <v>0</v>
      </c>
      <c r="AC560" s="81">
        <f>IF(X560=1,HLOOKUP(R560,データについて!$J$12:$M$18,7,FALSE),"*")</f>
        <v>1</v>
      </c>
      <c r="AD560" s="81" t="str">
        <f>IF(X560=2,HLOOKUP(R560,データについて!$J$12:$M$18,7,FALSE),"*")</f>
        <v>*</v>
      </c>
    </row>
    <row r="561" spans="1:30">
      <c r="A561" s="30">
        <v>4631</v>
      </c>
      <c r="B561" s="30" t="s">
        <v>4107</v>
      </c>
      <c r="C561" s="30" t="s">
        <v>4108</v>
      </c>
      <c r="D561" s="30" t="s">
        <v>106</v>
      </c>
      <c r="E561" s="30"/>
      <c r="F561" s="30" t="s">
        <v>107</v>
      </c>
      <c r="G561" s="30" t="s">
        <v>106</v>
      </c>
      <c r="H561" s="30"/>
      <c r="I561" s="30" t="s">
        <v>191</v>
      </c>
      <c r="J561" s="30"/>
      <c r="K561" s="30" t="s">
        <v>126</v>
      </c>
      <c r="L561" s="30" t="s">
        <v>117</v>
      </c>
      <c r="M561" s="30" t="s">
        <v>113</v>
      </c>
      <c r="N561" s="30" t="s">
        <v>114</v>
      </c>
      <c r="O561" s="30" t="s">
        <v>115</v>
      </c>
      <c r="P561" s="30" t="s">
        <v>118</v>
      </c>
      <c r="Q561" s="30" t="s">
        <v>112</v>
      </c>
      <c r="R561" s="30" t="s">
        <v>183</v>
      </c>
      <c r="S561" s="81">
        <f>HLOOKUP(L561,データについて!$J$6:$M$18,13,FALSE)</f>
        <v>2</v>
      </c>
      <c r="T561" s="81">
        <f>HLOOKUP(M561,データについて!$J$7:$M$18,12,FALSE)</f>
        <v>1</v>
      </c>
      <c r="U561" s="81">
        <f>HLOOKUP(N561,データについて!$J$8:$M$18,11,FALSE)</f>
        <v>1</v>
      </c>
      <c r="V561" s="81">
        <f>HLOOKUP(O561,データについて!$J$9:$M$18,10,FALSE)</f>
        <v>1</v>
      </c>
      <c r="W561" s="81">
        <f>HLOOKUP(P561,データについて!$J$10:$M$18,9,FALSE)</f>
        <v>2</v>
      </c>
      <c r="X561" s="81">
        <f>HLOOKUP(Q561,データについて!$J$11:$M$18,8,FALSE)</f>
        <v>1</v>
      </c>
      <c r="Y561" s="81">
        <f>HLOOKUP(R561,データについて!$J$12:$M$18,7,FALSE)</f>
        <v>1</v>
      </c>
      <c r="Z561" s="81">
        <f>HLOOKUP(I561,データについて!$J$3:$M$18,16,FALSE)</f>
        <v>2</v>
      </c>
      <c r="AA561" s="81" t="str">
        <f>IFERROR(HLOOKUP(J561,データについて!$J$4:$AH$19,16,FALSE),"")</f>
        <v/>
      </c>
      <c r="AB561" s="81">
        <f>IFERROR(HLOOKUP(K561,データについて!$J$5:$AH$20,14,FALSE),"")</f>
        <v>0</v>
      </c>
      <c r="AC561" s="81">
        <f>IF(X561=1,HLOOKUP(R561,データについて!$J$12:$M$18,7,FALSE),"*")</f>
        <v>1</v>
      </c>
      <c r="AD561" s="81" t="str">
        <f>IF(X561=2,HLOOKUP(R561,データについて!$J$12:$M$18,7,FALSE),"*")</f>
        <v>*</v>
      </c>
    </row>
    <row r="562" spans="1:30">
      <c r="A562" s="30">
        <v>4630</v>
      </c>
      <c r="B562" s="30" t="s">
        <v>4109</v>
      </c>
      <c r="C562" s="30" t="s">
        <v>4108</v>
      </c>
      <c r="D562" s="30" t="s">
        <v>106</v>
      </c>
      <c r="E562" s="30"/>
      <c r="F562" s="30" t="s">
        <v>107</v>
      </c>
      <c r="G562" s="30" t="s">
        <v>106</v>
      </c>
      <c r="H562" s="30"/>
      <c r="I562" s="30" t="s">
        <v>191</v>
      </c>
      <c r="J562" s="30"/>
      <c r="K562" s="30" t="s">
        <v>126</v>
      </c>
      <c r="L562" s="30" t="s">
        <v>117</v>
      </c>
      <c r="M562" s="30" t="s">
        <v>109</v>
      </c>
      <c r="N562" s="30" t="s">
        <v>110</v>
      </c>
      <c r="O562" s="30" t="s">
        <v>115</v>
      </c>
      <c r="P562" s="30" t="s">
        <v>112</v>
      </c>
      <c r="Q562" s="30" t="s">
        <v>112</v>
      </c>
      <c r="R562" s="30" t="s">
        <v>187</v>
      </c>
      <c r="S562" s="81">
        <f>HLOOKUP(L562,データについて!$J$6:$M$18,13,FALSE)</f>
        <v>2</v>
      </c>
      <c r="T562" s="81">
        <f>HLOOKUP(M562,データについて!$J$7:$M$18,12,FALSE)</f>
        <v>2</v>
      </c>
      <c r="U562" s="81">
        <f>HLOOKUP(N562,データについて!$J$8:$M$18,11,FALSE)</f>
        <v>2</v>
      </c>
      <c r="V562" s="81">
        <f>HLOOKUP(O562,データについて!$J$9:$M$18,10,FALSE)</f>
        <v>1</v>
      </c>
      <c r="W562" s="81">
        <f>HLOOKUP(P562,データについて!$J$10:$M$18,9,FALSE)</f>
        <v>1</v>
      </c>
      <c r="X562" s="81">
        <f>HLOOKUP(Q562,データについて!$J$11:$M$18,8,FALSE)</f>
        <v>1</v>
      </c>
      <c r="Y562" s="81">
        <f>HLOOKUP(R562,データについて!$J$12:$M$18,7,FALSE)</f>
        <v>3</v>
      </c>
      <c r="Z562" s="81">
        <f>HLOOKUP(I562,データについて!$J$3:$M$18,16,FALSE)</f>
        <v>2</v>
      </c>
      <c r="AA562" s="81" t="str">
        <f>IFERROR(HLOOKUP(J562,データについて!$J$4:$AH$19,16,FALSE),"")</f>
        <v/>
      </c>
      <c r="AB562" s="81">
        <f>IFERROR(HLOOKUP(K562,データについて!$J$5:$AH$20,14,FALSE),"")</f>
        <v>0</v>
      </c>
      <c r="AC562" s="81">
        <f>IF(X562=1,HLOOKUP(R562,データについて!$J$12:$M$18,7,FALSE),"*")</f>
        <v>3</v>
      </c>
      <c r="AD562" s="81" t="str">
        <f>IF(X562=2,HLOOKUP(R562,データについて!$J$12:$M$18,7,FALSE),"*")</f>
        <v>*</v>
      </c>
    </row>
    <row r="563" spans="1:30">
      <c r="A563" s="30">
        <v>4629</v>
      </c>
      <c r="B563" s="30" t="s">
        <v>4110</v>
      </c>
      <c r="C563" s="30" t="s">
        <v>4111</v>
      </c>
      <c r="D563" s="30" t="s">
        <v>106</v>
      </c>
      <c r="E563" s="30"/>
      <c r="F563" s="30" t="s">
        <v>107</v>
      </c>
      <c r="G563" s="30" t="s">
        <v>106</v>
      </c>
      <c r="H563" s="30"/>
      <c r="I563" s="30" t="s">
        <v>191</v>
      </c>
      <c r="J563" s="30"/>
      <c r="K563" s="30" t="s">
        <v>126</v>
      </c>
      <c r="L563" s="30" t="s">
        <v>108</v>
      </c>
      <c r="M563" s="30" t="s">
        <v>113</v>
      </c>
      <c r="N563" s="30" t="s">
        <v>122</v>
      </c>
      <c r="O563" s="30" t="s">
        <v>111</v>
      </c>
      <c r="P563" s="30" t="s">
        <v>112</v>
      </c>
      <c r="Q563" s="30" t="s">
        <v>112</v>
      </c>
      <c r="R563" s="30" t="s">
        <v>183</v>
      </c>
      <c r="S563" s="81">
        <f>HLOOKUP(L563,データについて!$J$6:$M$18,13,FALSE)</f>
        <v>1</v>
      </c>
      <c r="T563" s="81">
        <f>HLOOKUP(M563,データについて!$J$7:$M$18,12,FALSE)</f>
        <v>1</v>
      </c>
      <c r="U563" s="81">
        <f>HLOOKUP(N563,データについて!$J$8:$M$18,11,FALSE)</f>
        <v>3</v>
      </c>
      <c r="V563" s="81">
        <f>HLOOKUP(O563,データについて!$J$9:$M$18,10,FALSE)</f>
        <v>3</v>
      </c>
      <c r="W563" s="81">
        <f>HLOOKUP(P563,データについて!$J$10:$M$18,9,FALSE)</f>
        <v>1</v>
      </c>
      <c r="X563" s="81">
        <f>HLOOKUP(Q563,データについて!$J$11:$M$18,8,FALSE)</f>
        <v>1</v>
      </c>
      <c r="Y563" s="81">
        <f>HLOOKUP(R563,データについて!$J$12:$M$18,7,FALSE)</f>
        <v>1</v>
      </c>
      <c r="Z563" s="81">
        <f>HLOOKUP(I563,データについて!$J$3:$M$18,16,FALSE)</f>
        <v>2</v>
      </c>
      <c r="AA563" s="81" t="str">
        <f>IFERROR(HLOOKUP(J563,データについて!$J$4:$AH$19,16,FALSE),"")</f>
        <v/>
      </c>
      <c r="AB563" s="81">
        <f>IFERROR(HLOOKUP(K563,データについて!$J$5:$AH$20,14,FALSE),"")</f>
        <v>0</v>
      </c>
      <c r="AC563" s="81">
        <f>IF(X563=1,HLOOKUP(R563,データについて!$J$12:$M$18,7,FALSE),"*")</f>
        <v>1</v>
      </c>
      <c r="AD563" s="81" t="str">
        <f>IF(X563=2,HLOOKUP(R563,データについて!$J$12:$M$18,7,FALSE),"*")</f>
        <v>*</v>
      </c>
    </row>
    <row r="564" spans="1:30">
      <c r="A564" s="30">
        <v>4628</v>
      </c>
      <c r="B564" s="30" t="s">
        <v>4112</v>
      </c>
      <c r="C564" s="30" t="s">
        <v>4111</v>
      </c>
      <c r="D564" s="30" t="s">
        <v>106</v>
      </c>
      <c r="E564" s="30"/>
      <c r="F564" s="30" t="s">
        <v>107</v>
      </c>
      <c r="G564" s="30" t="s">
        <v>106</v>
      </c>
      <c r="H564" s="30"/>
      <c r="I564" s="30" t="s">
        <v>191</v>
      </c>
      <c r="J564" s="30"/>
      <c r="K564" s="30" t="s">
        <v>126</v>
      </c>
      <c r="L564" s="30" t="s">
        <v>108</v>
      </c>
      <c r="M564" s="30" t="s">
        <v>113</v>
      </c>
      <c r="N564" s="30" t="s">
        <v>114</v>
      </c>
      <c r="O564" s="30" t="s">
        <v>115</v>
      </c>
      <c r="P564" s="30" t="s">
        <v>112</v>
      </c>
      <c r="Q564" s="30" t="s">
        <v>112</v>
      </c>
      <c r="R564" s="30" t="s">
        <v>185</v>
      </c>
      <c r="S564" s="81">
        <f>HLOOKUP(L564,データについて!$J$6:$M$18,13,FALSE)</f>
        <v>1</v>
      </c>
      <c r="T564" s="81">
        <f>HLOOKUP(M564,データについて!$J$7:$M$18,12,FALSE)</f>
        <v>1</v>
      </c>
      <c r="U564" s="81">
        <f>HLOOKUP(N564,データについて!$J$8:$M$18,11,FALSE)</f>
        <v>1</v>
      </c>
      <c r="V564" s="81">
        <f>HLOOKUP(O564,データについて!$J$9:$M$18,10,FALSE)</f>
        <v>1</v>
      </c>
      <c r="W564" s="81">
        <f>HLOOKUP(P564,データについて!$J$10:$M$18,9,FALSE)</f>
        <v>1</v>
      </c>
      <c r="X564" s="81">
        <f>HLOOKUP(Q564,データについて!$J$11:$M$18,8,FALSE)</f>
        <v>1</v>
      </c>
      <c r="Y564" s="81">
        <f>HLOOKUP(R564,データについて!$J$12:$M$18,7,FALSE)</f>
        <v>2</v>
      </c>
      <c r="Z564" s="81">
        <f>HLOOKUP(I564,データについて!$J$3:$M$18,16,FALSE)</f>
        <v>2</v>
      </c>
      <c r="AA564" s="81" t="str">
        <f>IFERROR(HLOOKUP(J564,データについて!$J$4:$AH$19,16,FALSE),"")</f>
        <v/>
      </c>
      <c r="AB564" s="81">
        <f>IFERROR(HLOOKUP(K564,データについて!$J$5:$AH$20,14,FALSE),"")</f>
        <v>0</v>
      </c>
      <c r="AC564" s="81">
        <f>IF(X564=1,HLOOKUP(R564,データについて!$J$12:$M$18,7,FALSE),"*")</f>
        <v>2</v>
      </c>
      <c r="AD564" s="81" t="str">
        <f>IF(X564=2,HLOOKUP(R564,データについて!$J$12:$M$18,7,FALSE),"*")</f>
        <v>*</v>
      </c>
    </row>
    <row r="565" spans="1:30">
      <c r="A565" s="30">
        <v>4627</v>
      </c>
      <c r="B565" s="30" t="s">
        <v>4113</v>
      </c>
      <c r="C565" s="30" t="s">
        <v>4111</v>
      </c>
      <c r="D565" s="30" t="s">
        <v>106</v>
      </c>
      <c r="E565" s="30"/>
      <c r="F565" s="30" t="s">
        <v>107</v>
      </c>
      <c r="G565" s="30" t="s">
        <v>106</v>
      </c>
      <c r="H565" s="30"/>
      <c r="I565" s="30" t="s">
        <v>191</v>
      </c>
      <c r="J565" s="30"/>
      <c r="K565" s="30" t="s">
        <v>126</v>
      </c>
      <c r="L565" s="30" t="s">
        <v>117</v>
      </c>
      <c r="M565" s="30" t="s">
        <v>109</v>
      </c>
      <c r="N565" s="30" t="s">
        <v>122</v>
      </c>
      <c r="O565" s="30" t="s">
        <v>123</v>
      </c>
      <c r="P565" s="30" t="s">
        <v>112</v>
      </c>
      <c r="Q565" s="30" t="s">
        <v>112</v>
      </c>
      <c r="R565" s="30" t="s">
        <v>187</v>
      </c>
      <c r="S565" s="81">
        <f>HLOOKUP(L565,データについて!$J$6:$M$18,13,FALSE)</f>
        <v>2</v>
      </c>
      <c r="T565" s="81">
        <f>HLOOKUP(M565,データについて!$J$7:$M$18,12,FALSE)</f>
        <v>2</v>
      </c>
      <c r="U565" s="81">
        <f>HLOOKUP(N565,データについて!$J$8:$M$18,11,FALSE)</f>
        <v>3</v>
      </c>
      <c r="V565" s="81">
        <f>HLOOKUP(O565,データについて!$J$9:$M$18,10,FALSE)</f>
        <v>4</v>
      </c>
      <c r="W565" s="81">
        <f>HLOOKUP(P565,データについて!$J$10:$M$18,9,FALSE)</f>
        <v>1</v>
      </c>
      <c r="X565" s="81">
        <f>HLOOKUP(Q565,データについて!$J$11:$M$18,8,FALSE)</f>
        <v>1</v>
      </c>
      <c r="Y565" s="81">
        <f>HLOOKUP(R565,データについて!$J$12:$M$18,7,FALSE)</f>
        <v>3</v>
      </c>
      <c r="Z565" s="81">
        <f>HLOOKUP(I565,データについて!$J$3:$M$18,16,FALSE)</f>
        <v>2</v>
      </c>
      <c r="AA565" s="81" t="str">
        <f>IFERROR(HLOOKUP(J565,データについて!$J$4:$AH$19,16,FALSE),"")</f>
        <v/>
      </c>
      <c r="AB565" s="81">
        <f>IFERROR(HLOOKUP(K565,データについて!$J$5:$AH$20,14,FALSE),"")</f>
        <v>0</v>
      </c>
      <c r="AC565" s="81">
        <f>IF(X565=1,HLOOKUP(R565,データについて!$J$12:$M$18,7,FALSE),"*")</f>
        <v>3</v>
      </c>
      <c r="AD565" s="81" t="str">
        <f>IF(X565=2,HLOOKUP(R565,データについて!$J$12:$M$18,7,FALSE),"*")</f>
        <v>*</v>
      </c>
    </row>
    <row r="566" spans="1:30">
      <c r="A566" s="30">
        <v>4626</v>
      </c>
      <c r="B566" s="30" t="s">
        <v>4114</v>
      </c>
      <c r="C566" s="30" t="s">
        <v>4115</v>
      </c>
      <c r="D566" s="30" t="s">
        <v>106</v>
      </c>
      <c r="E566" s="30"/>
      <c r="F566" s="30" t="s">
        <v>107</v>
      </c>
      <c r="G566" s="30" t="s">
        <v>106</v>
      </c>
      <c r="H566" s="30"/>
      <c r="I566" s="30" t="s">
        <v>191</v>
      </c>
      <c r="J566" s="30"/>
      <c r="K566" s="30" t="s">
        <v>126</v>
      </c>
      <c r="L566" s="30" t="s">
        <v>117</v>
      </c>
      <c r="M566" s="30" t="s">
        <v>113</v>
      </c>
      <c r="N566" s="30" t="s">
        <v>114</v>
      </c>
      <c r="O566" s="30" t="s">
        <v>115</v>
      </c>
      <c r="P566" s="30" t="s">
        <v>118</v>
      </c>
      <c r="Q566" s="30" t="s">
        <v>112</v>
      </c>
      <c r="R566" s="30" t="s">
        <v>183</v>
      </c>
      <c r="S566" s="81">
        <f>HLOOKUP(L566,データについて!$J$6:$M$18,13,FALSE)</f>
        <v>2</v>
      </c>
      <c r="T566" s="81">
        <f>HLOOKUP(M566,データについて!$J$7:$M$18,12,FALSE)</f>
        <v>1</v>
      </c>
      <c r="U566" s="81">
        <f>HLOOKUP(N566,データについて!$J$8:$M$18,11,FALSE)</f>
        <v>1</v>
      </c>
      <c r="V566" s="81">
        <f>HLOOKUP(O566,データについて!$J$9:$M$18,10,FALSE)</f>
        <v>1</v>
      </c>
      <c r="W566" s="81">
        <f>HLOOKUP(P566,データについて!$J$10:$M$18,9,FALSE)</f>
        <v>2</v>
      </c>
      <c r="X566" s="81">
        <f>HLOOKUP(Q566,データについて!$J$11:$M$18,8,FALSE)</f>
        <v>1</v>
      </c>
      <c r="Y566" s="81">
        <f>HLOOKUP(R566,データについて!$J$12:$M$18,7,FALSE)</f>
        <v>1</v>
      </c>
      <c r="Z566" s="81">
        <f>HLOOKUP(I566,データについて!$J$3:$M$18,16,FALSE)</f>
        <v>2</v>
      </c>
      <c r="AA566" s="81" t="str">
        <f>IFERROR(HLOOKUP(J566,データについて!$J$4:$AH$19,16,FALSE),"")</f>
        <v/>
      </c>
      <c r="AB566" s="81">
        <f>IFERROR(HLOOKUP(K566,データについて!$J$5:$AH$20,14,FALSE),"")</f>
        <v>0</v>
      </c>
      <c r="AC566" s="81">
        <f>IF(X566=1,HLOOKUP(R566,データについて!$J$12:$M$18,7,FALSE),"*")</f>
        <v>1</v>
      </c>
      <c r="AD566" s="81" t="str">
        <f>IF(X566=2,HLOOKUP(R566,データについて!$J$12:$M$18,7,FALSE),"*")</f>
        <v>*</v>
      </c>
    </row>
    <row r="567" spans="1:30">
      <c r="A567" s="30">
        <v>4625</v>
      </c>
      <c r="B567" s="30" t="s">
        <v>4116</v>
      </c>
      <c r="C567" s="30" t="s">
        <v>4115</v>
      </c>
      <c r="D567" s="30" t="s">
        <v>106</v>
      </c>
      <c r="E567" s="30"/>
      <c r="F567" s="30" t="s">
        <v>107</v>
      </c>
      <c r="G567" s="30" t="s">
        <v>106</v>
      </c>
      <c r="H567" s="30"/>
      <c r="I567" s="30" t="s">
        <v>191</v>
      </c>
      <c r="J567" s="30"/>
      <c r="K567" s="30" t="s">
        <v>126</v>
      </c>
      <c r="L567" s="30" t="s">
        <v>108</v>
      </c>
      <c r="M567" s="30" t="s">
        <v>109</v>
      </c>
      <c r="N567" s="30" t="s">
        <v>110</v>
      </c>
      <c r="O567" s="30" t="s">
        <v>115</v>
      </c>
      <c r="P567" s="30" t="s">
        <v>112</v>
      </c>
      <c r="Q567" s="30" t="s">
        <v>112</v>
      </c>
      <c r="R567" s="30" t="s">
        <v>187</v>
      </c>
      <c r="S567" s="81">
        <f>HLOOKUP(L567,データについて!$J$6:$M$18,13,FALSE)</f>
        <v>1</v>
      </c>
      <c r="T567" s="81">
        <f>HLOOKUP(M567,データについて!$J$7:$M$18,12,FALSE)</f>
        <v>2</v>
      </c>
      <c r="U567" s="81">
        <f>HLOOKUP(N567,データについて!$J$8:$M$18,11,FALSE)</f>
        <v>2</v>
      </c>
      <c r="V567" s="81">
        <f>HLOOKUP(O567,データについて!$J$9:$M$18,10,FALSE)</f>
        <v>1</v>
      </c>
      <c r="W567" s="81">
        <f>HLOOKUP(P567,データについて!$J$10:$M$18,9,FALSE)</f>
        <v>1</v>
      </c>
      <c r="X567" s="81">
        <f>HLOOKUP(Q567,データについて!$J$11:$M$18,8,FALSE)</f>
        <v>1</v>
      </c>
      <c r="Y567" s="81">
        <f>HLOOKUP(R567,データについて!$J$12:$M$18,7,FALSE)</f>
        <v>3</v>
      </c>
      <c r="Z567" s="81">
        <f>HLOOKUP(I567,データについて!$J$3:$M$18,16,FALSE)</f>
        <v>2</v>
      </c>
      <c r="AA567" s="81" t="str">
        <f>IFERROR(HLOOKUP(J567,データについて!$J$4:$AH$19,16,FALSE),"")</f>
        <v/>
      </c>
      <c r="AB567" s="81">
        <f>IFERROR(HLOOKUP(K567,データについて!$J$5:$AH$20,14,FALSE),"")</f>
        <v>0</v>
      </c>
      <c r="AC567" s="81">
        <f>IF(X567=1,HLOOKUP(R567,データについて!$J$12:$M$18,7,FALSE),"*")</f>
        <v>3</v>
      </c>
      <c r="AD567" s="81" t="str">
        <f>IF(X567=2,HLOOKUP(R567,データについて!$J$12:$M$18,7,FALSE),"*")</f>
        <v>*</v>
      </c>
    </row>
    <row r="568" spans="1:30">
      <c r="A568" s="30">
        <v>4624</v>
      </c>
      <c r="B568" s="30" t="s">
        <v>4117</v>
      </c>
      <c r="C568" s="30" t="s">
        <v>4118</v>
      </c>
      <c r="D568" s="30" t="s">
        <v>106</v>
      </c>
      <c r="E568" s="30"/>
      <c r="F568" s="30" t="s">
        <v>107</v>
      </c>
      <c r="G568" s="30" t="s">
        <v>106</v>
      </c>
      <c r="H568" s="30"/>
      <c r="I568" s="30" t="s">
        <v>191</v>
      </c>
      <c r="J568" s="30"/>
      <c r="K568" s="30" t="s">
        <v>126</v>
      </c>
      <c r="L568" s="30" t="s">
        <v>117</v>
      </c>
      <c r="M568" s="30" t="s">
        <v>109</v>
      </c>
      <c r="N568" s="30" t="s">
        <v>122</v>
      </c>
      <c r="O568" s="30" t="s">
        <v>115</v>
      </c>
      <c r="P568" s="30" t="s">
        <v>118</v>
      </c>
      <c r="Q568" s="30" t="s">
        <v>112</v>
      </c>
      <c r="R568" s="30" t="s">
        <v>187</v>
      </c>
      <c r="S568" s="81">
        <f>HLOOKUP(L568,データについて!$J$6:$M$18,13,FALSE)</f>
        <v>2</v>
      </c>
      <c r="T568" s="81">
        <f>HLOOKUP(M568,データについて!$J$7:$M$18,12,FALSE)</f>
        <v>2</v>
      </c>
      <c r="U568" s="81">
        <f>HLOOKUP(N568,データについて!$J$8:$M$18,11,FALSE)</f>
        <v>3</v>
      </c>
      <c r="V568" s="81">
        <f>HLOOKUP(O568,データについて!$J$9:$M$18,10,FALSE)</f>
        <v>1</v>
      </c>
      <c r="W568" s="81">
        <f>HLOOKUP(P568,データについて!$J$10:$M$18,9,FALSE)</f>
        <v>2</v>
      </c>
      <c r="X568" s="81">
        <f>HLOOKUP(Q568,データについて!$J$11:$M$18,8,FALSE)</f>
        <v>1</v>
      </c>
      <c r="Y568" s="81">
        <f>HLOOKUP(R568,データについて!$J$12:$M$18,7,FALSE)</f>
        <v>3</v>
      </c>
      <c r="Z568" s="81">
        <f>HLOOKUP(I568,データについて!$J$3:$M$18,16,FALSE)</f>
        <v>2</v>
      </c>
      <c r="AA568" s="81" t="str">
        <f>IFERROR(HLOOKUP(J568,データについて!$J$4:$AH$19,16,FALSE),"")</f>
        <v/>
      </c>
      <c r="AB568" s="81">
        <f>IFERROR(HLOOKUP(K568,データについて!$J$5:$AH$20,14,FALSE),"")</f>
        <v>0</v>
      </c>
      <c r="AC568" s="81">
        <f>IF(X568=1,HLOOKUP(R568,データについて!$J$12:$M$18,7,FALSE),"*")</f>
        <v>3</v>
      </c>
      <c r="AD568" s="81" t="str">
        <f>IF(X568=2,HLOOKUP(R568,データについて!$J$12:$M$18,7,FALSE),"*")</f>
        <v>*</v>
      </c>
    </row>
    <row r="569" spans="1:30">
      <c r="A569" s="30">
        <v>4623</v>
      </c>
      <c r="B569" s="30" t="s">
        <v>4119</v>
      </c>
      <c r="C569" s="30" t="s">
        <v>4120</v>
      </c>
      <c r="D569" s="30" t="s">
        <v>106</v>
      </c>
      <c r="E569" s="30"/>
      <c r="F569" s="30" t="s">
        <v>107</v>
      </c>
      <c r="G569" s="30" t="s">
        <v>106</v>
      </c>
      <c r="H569" s="30"/>
      <c r="I569" s="30" t="s">
        <v>191</v>
      </c>
      <c r="J569" s="30"/>
      <c r="K569" s="30" t="s">
        <v>126</v>
      </c>
      <c r="L569" s="30" t="s">
        <v>108</v>
      </c>
      <c r="M569" s="30" t="s">
        <v>109</v>
      </c>
      <c r="N569" s="30" t="s">
        <v>110</v>
      </c>
      <c r="O569" s="30" t="s">
        <v>111</v>
      </c>
      <c r="P569" s="30" t="s">
        <v>118</v>
      </c>
      <c r="Q569" s="30" t="s">
        <v>112</v>
      </c>
      <c r="R569" s="30" t="s">
        <v>187</v>
      </c>
      <c r="S569" s="81">
        <f>HLOOKUP(L569,データについて!$J$6:$M$18,13,FALSE)</f>
        <v>1</v>
      </c>
      <c r="T569" s="81">
        <f>HLOOKUP(M569,データについて!$J$7:$M$18,12,FALSE)</f>
        <v>2</v>
      </c>
      <c r="U569" s="81">
        <f>HLOOKUP(N569,データについて!$J$8:$M$18,11,FALSE)</f>
        <v>2</v>
      </c>
      <c r="V569" s="81">
        <f>HLOOKUP(O569,データについて!$J$9:$M$18,10,FALSE)</f>
        <v>3</v>
      </c>
      <c r="W569" s="81">
        <f>HLOOKUP(P569,データについて!$J$10:$M$18,9,FALSE)</f>
        <v>2</v>
      </c>
      <c r="X569" s="81">
        <f>HLOOKUP(Q569,データについて!$J$11:$M$18,8,FALSE)</f>
        <v>1</v>
      </c>
      <c r="Y569" s="81">
        <f>HLOOKUP(R569,データについて!$J$12:$M$18,7,FALSE)</f>
        <v>3</v>
      </c>
      <c r="Z569" s="81">
        <f>HLOOKUP(I569,データについて!$J$3:$M$18,16,FALSE)</f>
        <v>2</v>
      </c>
      <c r="AA569" s="81" t="str">
        <f>IFERROR(HLOOKUP(J569,データについて!$J$4:$AH$19,16,FALSE),"")</f>
        <v/>
      </c>
      <c r="AB569" s="81">
        <f>IFERROR(HLOOKUP(K569,データについて!$J$5:$AH$20,14,FALSE),"")</f>
        <v>0</v>
      </c>
      <c r="AC569" s="81">
        <f>IF(X569=1,HLOOKUP(R569,データについて!$J$12:$M$18,7,FALSE),"*")</f>
        <v>3</v>
      </c>
      <c r="AD569" s="81" t="str">
        <f>IF(X569=2,HLOOKUP(R569,データについて!$J$12:$M$18,7,FALSE),"*")</f>
        <v>*</v>
      </c>
    </row>
    <row r="570" spans="1:30">
      <c r="A570" s="30">
        <v>4622</v>
      </c>
      <c r="B570" s="30" t="s">
        <v>4121</v>
      </c>
      <c r="C570" s="30" t="s">
        <v>4120</v>
      </c>
      <c r="D570" s="30" t="s">
        <v>106</v>
      </c>
      <c r="E570" s="30"/>
      <c r="F570" s="30" t="s">
        <v>107</v>
      </c>
      <c r="G570" s="30" t="s">
        <v>106</v>
      </c>
      <c r="H570" s="30"/>
      <c r="I570" s="30" t="s">
        <v>191</v>
      </c>
      <c r="J570" s="30"/>
      <c r="K570" s="30" t="s">
        <v>126</v>
      </c>
      <c r="L570" s="30" t="s">
        <v>117</v>
      </c>
      <c r="M570" s="30" t="s">
        <v>109</v>
      </c>
      <c r="N570" s="30" t="s">
        <v>110</v>
      </c>
      <c r="O570" s="30" t="s">
        <v>115</v>
      </c>
      <c r="P570" s="30" t="s">
        <v>118</v>
      </c>
      <c r="Q570" s="30" t="s">
        <v>112</v>
      </c>
      <c r="R570" s="30" t="s">
        <v>185</v>
      </c>
      <c r="S570" s="81">
        <f>HLOOKUP(L570,データについて!$J$6:$M$18,13,FALSE)</f>
        <v>2</v>
      </c>
      <c r="T570" s="81">
        <f>HLOOKUP(M570,データについて!$J$7:$M$18,12,FALSE)</f>
        <v>2</v>
      </c>
      <c r="U570" s="81">
        <f>HLOOKUP(N570,データについて!$J$8:$M$18,11,FALSE)</f>
        <v>2</v>
      </c>
      <c r="V570" s="81">
        <f>HLOOKUP(O570,データについて!$J$9:$M$18,10,FALSE)</f>
        <v>1</v>
      </c>
      <c r="W570" s="81">
        <f>HLOOKUP(P570,データについて!$J$10:$M$18,9,FALSE)</f>
        <v>2</v>
      </c>
      <c r="X570" s="81">
        <f>HLOOKUP(Q570,データについて!$J$11:$M$18,8,FALSE)</f>
        <v>1</v>
      </c>
      <c r="Y570" s="81">
        <f>HLOOKUP(R570,データについて!$J$12:$M$18,7,FALSE)</f>
        <v>2</v>
      </c>
      <c r="Z570" s="81">
        <f>HLOOKUP(I570,データについて!$J$3:$M$18,16,FALSE)</f>
        <v>2</v>
      </c>
      <c r="AA570" s="81" t="str">
        <f>IFERROR(HLOOKUP(J570,データについて!$J$4:$AH$19,16,FALSE),"")</f>
        <v/>
      </c>
      <c r="AB570" s="81">
        <f>IFERROR(HLOOKUP(K570,データについて!$J$5:$AH$20,14,FALSE),"")</f>
        <v>0</v>
      </c>
      <c r="AC570" s="81">
        <f>IF(X570=1,HLOOKUP(R570,データについて!$J$12:$M$18,7,FALSE),"*")</f>
        <v>2</v>
      </c>
      <c r="AD570" s="81" t="str">
        <f>IF(X570=2,HLOOKUP(R570,データについて!$J$12:$M$18,7,FALSE),"*")</f>
        <v>*</v>
      </c>
    </row>
    <row r="571" spans="1:30">
      <c r="A571" s="30">
        <v>4621</v>
      </c>
      <c r="B571" s="30" t="s">
        <v>4122</v>
      </c>
      <c r="C571" s="30" t="s">
        <v>4123</v>
      </c>
      <c r="D571" s="30" t="s">
        <v>106</v>
      </c>
      <c r="E571" s="30"/>
      <c r="F571" s="30" t="s">
        <v>107</v>
      </c>
      <c r="G571" s="30" t="s">
        <v>106</v>
      </c>
      <c r="H571" s="30"/>
      <c r="I571" s="30" t="s">
        <v>192</v>
      </c>
      <c r="J571" s="30" t="s">
        <v>3010</v>
      </c>
      <c r="K571" s="30"/>
      <c r="L571" s="30" t="s">
        <v>108</v>
      </c>
      <c r="M571" s="30" t="s">
        <v>113</v>
      </c>
      <c r="N571" s="30" t="s">
        <v>110</v>
      </c>
      <c r="O571" s="30" t="s">
        <v>116</v>
      </c>
      <c r="P571" s="30" t="s">
        <v>112</v>
      </c>
      <c r="Q571" s="30" t="s">
        <v>112</v>
      </c>
      <c r="R571" s="30" t="s">
        <v>185</v>
      </c>
      <c r="S571" s="81">
        <f>HLOOKUP(L571,データについて!$J$6:$M$18,13,FALSE)</f>
        <v>1</v>
      </c>
      <c r="T571" s="81">
        <f>HLOOKUP(M571,データについて!$J$7:$M$18,12,FALSE)</f>
        <v>1</v>
      </c>
      <c r="U571" s="81">
        <f>HLOOKUP(N571,データについて!$J$8:$M$18,11,FALSE)</f>
        <v>2</v>
      </c>
      <c r="V571" s="81">
        <f>HLOOKUP(O571,データについて!$J$9:$M$18,10,FALSE)</f>
        <v>2</v>
      </c>
      <c r="W571" s="81">
        <f>HLOOKUP(P571,データについて!$J$10:$M$18,9,FALSE)</f>
        <v>1</v>
      </c>
      <c r="X571" s="81">
        <f>HLOOKUP(Q571,データについて!$J$11:$M$18,8,FALSE)</f>
        <v>1</v>
      </c>
      <c r="Y571" s="81">
        <f>HLOOKUP(R571,データについて!$J$12:$M$18,7,FALSE)</f>
        <v>2</v>
      </c>
      <c r="Z571" s="81">
        <f>HLOOKUP(I571,データについて!$J$3:$M$18,16,FALSE)</f>
        <v>1</v>
      </c>
      <c r="AA571" s="81">
        <f>IFERROR(HLOOKUP(J571,データについて!$J$4:$AH$19,16,FALSE),"")</f>
        <v>12</v>
      </c>
      <c r="AB571" s="81" t="str">
        <f>IFERROR(HLOOKUP(K571,データについて!$J$5:$AH$20,14,FALSE),"")</f>
        <v/>
      </c>
      <c r="AC571" s="81">
        <f>IF(X571=1,HLOOKUP(R571,データについて!$J$12:$M$18,7,FALSE),"*")</f>
        <v>2</v>
      </c>
      <c r="AD571" s="81" t="str">
        <f>IF(X571=2,HLOOKUP(R571,データについて!$J$12:$M$18,7,FALSE),"*")</f>
        <v>*</v>
      </c>
    </row>
    <row r="572" spans="1:30">
      <c r="A572" s="30">
        <v>4620</v>
      </c>
      <c r="B572" s="30" t="s">
        <v>4124</v>
      </c>
      <c r="C572" s="30" t="s">
        <v>4123</v>
      </c>
      <c r="D572" s="30" t="s">
        <v>106</v>
      </c>
      <c r="E572" s="30"/>
      <c r="F572" s="30" t="s">
        <v>107</v>
      </c>
      <c r="G572" s="30" t="s">
        <v>106</v>
      </c>
      <c r="H572" s="30"/>
      <c r="I572" s="30" t="s">
        <v>191</v>
      </c>
      <c r="J572" s="30"/>
      <c r="K572" s="30" t="s">
        <v>126</v>
      </c>
      <c r="L572" s="30" t="s">
        <v>108</v>
      </c>
      <c r="M572" s="30" t="s">
        <v>113</v>
      </c>
      <c r="N572" s="30" t="s">
        <v>114</v>
      </c>
      <c r="O572" s="30" t="s">
        <v>115</v>
      </c>
      <c r="P572" s="30" t="s">
        <v>118</v>
      </c>
      <c r="Q572" s="30" t="s">
        <v>112</v>
      </c>
      <c r="R572" s="30" t="s">
        <v>185</v>
      </c>
      <c r="S572" s="81">
        <f>HLOOKUP(L572,データについて!$J$6:$M$18,13,FALSE)</f>
        <v>1</v>
      </c>
      <c r="T572" s="81">
        <f>HLOOKUP(M572,データについて!$J$7:$M$18,12,FALSE)</f>
        <v>1</v>
      </c>
      <c r="U572" s="81">
        <f>HLOOKUP(N572,データについて!$J$8:$M$18,11,FALSE)</f>
        <v>1</v>
      </c>
      <c r="V572" s="81">
        <f>HLOOKUP(O572,データについて!$J$9:$M$18,10,FALSE)</f>
        <v>1</v>
      </c>
      <c r="W572" s="81">
        <f>HLOOKUP(P572,データについて!$J$10:$M$18,9,FALSE)</f>
        <v>2</v>
      </c>
      <c r="X572" s="81">
        <f>HLOOKUP(Q572,データについて!$J$11:$M$18,8,FALSE)</f>
        <v>1</v>
      </c>
      <c r="Y572" s="81">
        <f>HLOOKUP(R572,データについて!$J$12:$M$18,7,FALSE)</f>
        <v>2</v>
      </c>
      <c r="Z572" s="81">
        <f>HLOOKUP(I572,データについて!$J$3:$M$18,16,FALSE)</f>
        <v>2</v>
      </c>
      <c r="AA572" s="81" t="str">
        <f>IFERROR(HLOOKUP(J572,データについて!$J$4:$AH$19,16,FALSE),"")</f>
        <v/>
      </c>
      <c r="AB572" s="81">
        <f>IFERROR(HLOOKUP(K572,データについて!$J$5:$AH$20,14,FALSE),"")</f>
        <v>0</v>
      </c>
      <c r="AC572" s="81">
        <f>IF(X572=1,HLOOKUP(R572,データについて!$J$12:$M$18,7,FALSE),"*")</f>
        <v>2</v>
      </c>
      <c r="AD572" s="81" t="str">
        <f>IF(X572=2,HLOOKUP(R572,データについて!$J$12:$M$18,7,FALSE),"*")</f>
        <v>*</v>
      </c>
    </row>
    <row r="573" spans="1:30">
      <c r="A573" s="30">
        <v>4619</v>
      </c>
      <c r="B573" s="30" t="s">
        <v>4125</v>
      </c>
      <c r="C573" s="30" t="s">
        <v>4123</v>
      </c>
      <c r="D573" s="30" t="s">
        <v>106</v>
      </c>
      <c r="E573" s="30"/>
      <c r="F573" s="30" t="s">
        <v>107</v>
      </c>
      <c r="G573" s="30" t="s">
        <v>106</v>
      </c>
      <c r="H573" s="30"/>
      <c r="I573" s="30" t="s">
        <v>191</v>
      </c>
      <c r="J573" s="30"/>
      <c r="K573" s="30" t="s">
        <v>126</v>
      </c>
      <c r="L573" s="30" t="s">
        <v>108</v>
      </c>
      <c r="M573" s="30" t="s">
        <v>113</v>
      </c>
      <c r="N573" s="30" t="s">
        <v>114</v>
      </c>
      <c r="O573" s="30" t="s">
        <v>115</v>
      </c>
      <c r="P573" s="30" t="s">
        <v>118</v>
      </c>
      <c r="Q573" s="30" t="s">
        <v>112</v>
      </c>
      <c r="R573" s="30" t="s">
        <v>183</v>
      </c>
      <c r="S573" s="81">
        <f>HLOOKUP(L573,データについて!$J$6:$M$18,13,FALSE)</f>
        <v>1</v>
      </c>
      <c r="T573" s="81">
        <f>HLOOKUP(M573,データについて!$J$7:$M$18,12,FALSE)</f>
        <v>1</v>
      </c>
      <c r="U573" s="81">
        <f>HLOOKUP(N573,データについて!$J$8:$M$18,11,FALSE)</f>
        <v>1</v>
      </c>
      <c r="V573" s="81">
        <f>HLOOKUP(O573,データについて!$J$9:$M$18,10,FALSE)</f>
        <v>1</v>
      </c>
      <c r="W573" s="81">
        <f>HLOOKUP(P573,データについて!$J$10:$M$18,9,FALSE)</f>
        <v>2</v>
      </c>
      <c r="X573" s="81">
        <f>HLOOKUP(Q573,データについて!$J$11:$M$18,8,FALSE)</f>
        <v>1</v>
      </c>
      <c r="Y573" s="81">
        <f>HLOOKUP(R573,データについて!$J$12:$M$18,7,FALSE)</f>
        <v>1</v>
      </c>
      <c r="Z573" s="81">
        <f>HLOOKUP(I573,データについて!$J$3:$M$18,16,FALSE)</f>
        <v>2</v>
      </c>
      <c r="AA573" s="81" t="str">
        <f>IFERROR(HLOOKUP(J573,データについて!$J$4:$AH$19,16,FALSE),"")</f>
        <v/>
      </c>
      <c r="AB573" s="81">
        <f>IFERROR(HLOOKUP(K573,データについて!$J$5:$AH$20,14,FALSE),"")</f>
        <v>0</v>
      </c>
      <c r="AC573" s="81">
        <f>IF(X573=1,HLOOKUP(R573,データについて!$J$12:$M$18,7,FALSE),"*")</f>
        <v>1</v>
      </c>
      <c r="AD573" s="81" t="str">
        <f>IF(X573=2,HLOOKUP(R573,データについて!$J$12:$M$18,7,FALSE),"*")</f>
        <v>*</v>
      </c>
    </row>
    <row r="574" spans="1:30">
      <c r="A574" s="30">
        <v>4618</v>
      </c>
      <c r="B574" s="30" t="s">
        <v>4126</v>
      </c>
      <c r="C574" s="30" t="s">
        <v>4123</v>
      </c>
      <c r="D574" s="30" t="s">
        <v>106</v>
      </c>
      <c r="E574" s="30"/>
      <c r="F574" s="30" t="s">
        <v>107</v>
      </c>
      <c r="G574" s="30" t="s">
        <v>106</v>
      </c>
      <c r="H574" s="30"/>
      <c r="I574" s="30" t="s">
        <v>191</v>
      </c>
      <c r="J574" s="30"/>
      <c r="K574" s="30" t="s">
        <v>126</v>
      </c>
      <c r="L574" s="30" t="s">
        <v>117</v>
      </c>
      <c r="M574" s="30" t="s">
        <v>113</v>
      </c>
      <c r="N574" s="30" t="s">
        <v>110</v>
      </c>
      <c r="O574" s="30" t="s">
        <v>115</v>
      </c>
      <c r="P574" s="30" t="s">
        <v>118</v>
      </c>
      <c r="Q574" s="30" t="s">
        <v>112</v>
      </c>
      <c r="R574" s="30" t="s">
        <v>183</v>
      </c>
      <c r="S574" s="81">
        <f>HLOOKUP(L574,データについて!$J$6:$M$18,13,FALSE)</f>
        <v>2</v>
      </c>
      <c r="T574" s="81">
        <f>HLOOKUP(M574,データについて!$J$7:$M$18,12,FALSE)</f>
        <v>1</v>
      </c>
      <c r="U574" s="81">
        <f>HLOOKUP(N574,データについて!$J$8:$M$18,11,FALSE)</f>
        <v>2</v>
      </c>
      <c r="V574" s="81">
        <f>HLOOKUP(O574,データについて!$J$9:$M$18,10,FALSE)</f>
        <v>1</v>
      </c>
      <c r="W574" s="81">
        <f>HLOOKUP(P574,データについて!$J$10:$M$18,9,FALSE)</f>
        <v>2</v>
      </c>
      <c r="X574" s="81">
        <f>HLOOKUP(Q574,データについて!$J$11:$M$18,8,FALSE)</f>
        <v>1</v>
      </c>
      <c r="Y574" s="81">
        <f>HLOOKUP(R574,データについて!$J$12:$M$18,7,FALSE)</f>
        <v>1</v>
      </c>
      <c r="Z574" s="81">
        <f>HLOOKUP(I574,データについて!$J$3:$M$18,16,FALSE)</f>
        <v>2</v>
      </c>
      <c r="AA574" s="81" t="str">
        <f>IFERROR(HLOOKUP(J574,データについて!$J$4:$AH$19,16,FALSE),"")</f>
        <v/>
      </c>
      <c r="AB574" s="81">
        <f>IFERROR(HLOOKUP(K574,データについて!$J$5:$AH$20,14,FALSE),"")</f>
        <v>0</v>
      </c>
      <c r="AC574" s="81">
        <f>IF(X574=1,HLOOKUP(R574,データについて!$J$12:$M$18,7,FALSE),"*")</f>
        <v>1</v>
      </c>
      <c r="AD574" s="81" t="str">
        <f>IF(X574=2,HLOOKUP(R574,データについて!$J$12:$M$18,7,FALSE),"*")</f>
        <v>*</v>
      </c>
    </row>
    <row r="575" spans="1:30">
      <c r="A575" s="30">
        <v>4617</v>
      </c>
      <c r="B575" s="30" t="s">
        <v>4127</v>
      </c>
      <c r="C575" s="30" t="s">
        <v>4128</v>
      </c>
      <c r="D575" s="30" t="s">
        <v>106</v>
      </c>
      <c r="E575" s="30"/>
      <c r="F575" s="30" t="s">
        <v>107</v>
      </c>
      <c r="G575" s="30" t="s">
        <v>106</v>
      </c>
      <c r="H575" s="30"/>
      <c r="I575" s="30" t="s">
        <v>192</v>
      </c>
      <c r="J575" s="30" t="s">
        <v>3010</v>
      </c>
      <c r="K575" s="30"/>
      <c r="L575" s="30" t="s">
        <v>117</v>
      </c>
      <c r="M575" s="30" t="s">
        <v>113</v>
      </c>
      <c r="N575" s="30" t="s">
        <v>110</v>
      </c>
      <c r="O575" s="30" t="s">
        <v>115</v>
      </c>
      <c r="P575" s="30" t="s">
        <v>118</v>
      </c>
      <c r="Q575" s="30" t="s">
        <v>112</v>
      </c>
      <c r="R575" s="30" t="s">
        <v>185</v>
      </c>
      <c r="S575" s="81">
        <f>HLOOKUP(L575,データについて!$J$6:$M$18,13,FALSE)</f>
        <v>2</v>
      </c>
      <c r="T575" s="81">
        <f>HLOOKUP(M575,データについて!$J$7:$M$18,12,FALSE)</f>
        <v>1</v>
      </c>
      <c r="U575" s="81">
        <f>HLOOKUP(N575,データについて!$J$8:$M$18,11,FALSE)</f>
        <v>2</v>
      </c>
      <c r="V575" s="81">
        <f>HLOOKUP(O575,データについて!$J$9:$M$18,10,FALSE)</f>
        <v>1</v>
      </c>
      <c r="W575" s="81">
        <f>HLOOKUP(P575,データについて!$J$10:$M$18,9,FALSE)</f>
        <v>2</v>
      </c>
      <c r="X575" s="81">
        <f>HLOOKUP(Q575,データについて!$J$11:$M$18,8,FALSE)</f>
        <v>1</v>
      </c>
      <c r="Y575" s="81">
        <f>HLOOKUP(R575,データについて!$J$12:$M$18,7,FALSE)</f>
        <v>2</v>
      </c>
      <c r="Z575" s="81">
        <f>HLOOKUP(I575,データについて!$J$3:$M$18,16,FALSE)</f>
        <v>1</v>
      </c>
      <c r="AA575" s="81">
        <f>IFERROR(HLOOKUP(J575,データについて!$J$4:$AH$19,16,FALSE),"")</f>
        <v>12</v>
      </c>
      <c r="AB575" s="81" t="str">
        <f>IFERROR(HLOOKUP(K575,データについて!$J$5:$AH$20,14,FALSE),"")</f>
        <v/>
      </c>
      <c r="AC575" s="81">
        <f>IF(X575=1,HLOOKUP(R575,データについて!$J$12:$M$18,7,FALSE),"*")</f>
        <v>2</v>
      </c>
      <c r="AD575" s="81" t="str">
        <f>IF(X575=2,HLOOKUP(R575,データについて!$J$12:$M$18,7,FALSE),"*")</f>
        <v>*</v>
      </c>
    </row>
    <row r="576" spans="1:30">
      <c r="A576" s="30">
        <v>4616</v>
      </c>
      <c r="B576" s="30" t="s">
        <v>4129</v>
      </c>
      <c r="C576" s="30" t="s">
        <v>4128</v>
      </c>
      <c r="D576" s="30" t="s">
        <v>106</v>
      </c>
      <c r="E576" s="30"/>
      <c r="F576" s="30" t="s">
        <v>107</v>
      </c>
      <c r="G576" s="30" t="s">
        <v>106</v>
      </c>
      <c r="H576" s="30"/>
      <c r="I576" s="30" t="s">
        <v>191</v>
      </c>
      <c r="J576" s="30"/>
      <c r="K576" s="30" t="s">
        <v>126</v>
      </c>
      <c r="L576" s="30" t="s">
        <v>117</v>
      </c>
      <c r="M576" s="30" t="s">
        <v>113</v>
      </c>
      <c r="N576" s="30" t="s">
        <v>110</v>
      </c>
      <c r="O576" s="30" t="s">
        <v>115</v>
      </c>
      <c r="P576" s="30" t="s">
        <v>118</v>
      </c>
      <c r="Q576" s="30" t="s">
        <v>112</v>
      </c>
      <c r="R576" s="30" t="s">
        <v>185</v>
      </c>
      <c r="S576" s="81">
        <f>HLOOKUP(L576,データについて!$J$6:$M$18,13,FALSE)</f>
        <v>2</v>
      </c>
      <c r="T576" s="81">
        <f>HLOOKUP(M576,データについて!$J$7:$M$18,12,FALSE)</f>
        <v>1</v>
      </c>
      <c r="U576" s="81">
        <f>HLOOKUP(N576,データについて!$J$8:$M$18,11,FALSE)</f>
        <v>2</v>
      </c>
      <c r="V576" s="81">
        <f>HLOOKUP(O576,データについて!$J$9:$M$18,10,FALSE)</f>
        <v>1</v>
      </c>
      <c r="W576" s="81">
        <f>HLOOKUP(P576,データについて!$J$10:$M$18,9,FALSE)</f>
        <v>2</v>
      </c>
      <c r="X576" s="81">
        <f>HLOOKUP(Q576,データについて!$J$11:$M$18,8,FALSE)</f>
        <v>1</v>
      </c>
      <c r="Y576" s="81">
        <f>HLOOKUP(R576,データについて!$J$12:$M$18,7,FALSE)</f>
        <v>2</v>
      </c>
      <c r="Z576" s="81">
        <f>HLOOKUP(I576,データについて!$J$3:$M$18,16,FALSE)</f>
        <v>2</v>
      </c>
      <c r="AA576" s="81" t="str">
        <f>IFERROR(HLOOKUP(J576,データについて!$J$4:$AH$19,16,FALSE),"")</f>
        <v/>
      </c>
      <c r="AB576" s="81">
        <f>IFERROR(HLOOKUP(K576,データについて!$J$5:$AH$20,14,FALSE),"")</f>
        <v>0</v>
      </c>
      <c r="AC576" s="81">
        <f>IF(X576=1,HLOOKUP(R576,データについて!$J$12:$M$18,7,FALSE),"*")</f>
        <v>2</v>
      </c>
      <c r="AD576" s="81" t="str">
        <f>IF(X576=2,HLOOKUP(R576,データについて!$J$12:$M$18,7,FALSE),"*")</f>
        <v>*</v>
      </c>
    </row>
    <row r="577" spans="1:30">
      <c r="A577" s="30">
        <v>4615</v>
      </c>
      <c r="B577" s="30" t="s">
        <v>4130</v>
      </c>
      <c r="C577" s="30" t="s">
        <v>4131</v>
      </c>
      <c r="D577" s="30" t="s">
        <v>106</v>
      </c>
      <c r="E577" s="30"/>
      <c r="F577" s="30" t="s">
        <v>107</v>
      </c>
      <c r="G577" s="30" t="s">
        <v>106</v>
      </c>
      <c r="H577" s="30"/>
      <c r="I577" s="30" t="s">
        <v>191</v>
      </c>
      <c r="J577" s="30"/>
      <c r="K577" s="30" t="s">
        <v>126</v>
      </c>
      <c r="L577" s="30" t="s">
        <v>117</v>
      </c>
      <c r="M577" s="30" t="s">
        <v>124</v>
      </c>
      <c r="N577" s="30" t="s">
        <v>119</v>
      </c>
      <c r="O577" s="30" t="s">
        <v>116</v>
      </c>
      <c r="P577" s="30" t="s">
        <v>112</v>
      </c>
      <c r="Q577" s="30" t="s">
        <v>112</v>
      </c>
      <c r="R577" s="30" t="s">
        <v>189</v>
      </c>
      <c r="S577" s="81">
        <f>HLOOKUP(L577,データについて!$J$6:$M$18,13,FALSE)</f>
        <v>2</v>
      </c>
      <c r="T577" s="81">
        <f>HLOOKUP(M577,データについて!$J$7:$M$18,12,FALSE)</f>
        <v>3</v>
      </c>
      <c r="U577" s="81">
        <f>HLOOKUP(N577,データについて!$J$8:$M$18,11,FALSE)</f>
        <v>4</v>
      </c>
      <c r="V577" s="81">
        <f>HLOOKUP(O577,データについて!$J$9:$M$18,10,FALSE)</f>
        <v>2</v>
      </c>
      <c r="W577" s="81">
        <f>HLOOKUP(P577,データについて!$J$10:$M$18,9,FALSE)</f>
        <v>1</v>
      </c>
      <c r="X577" s="81">
        <f>HLOOKUP(Q577,データについて!$J$11:$M$18,8,FALSE)</f>
        <v>1</v>
      </c>
      <c r="Y577" s="81">
        <f>HLOOKUP(R577,データについて!$J$12:$M$18,7,FALSE)</f>
        <v>4</v>
      </c>
      <c r="Z577" s="81">
        <f>HLOOKUP(I577,データについて!$J$3:$M$18,16,FALSE)</f>
        <v>2</v>
      </c>
      <c r="AA577" s="81" t="str">
        <f>IFERROR(HLOOKUP(J577,データについて!$J$4:$AH$19,16,FALSE),"")</f>
        <v/>
      </c>
      <c r="AB577" s="81">
        <f>IFERROR(HLOOKUP(K577,データについて!$J$5:$AH$20,14,FALSE),"")</f>
        <v>0</v>
      </c>
      <c r="AC577" s="81">
        <f>IF(X577=1,HLOOKUP(R577,データについて!$J$12:$M$18,7,FALSE),"*")</f>
        <v>4</v>
      </c>
      <c r="AD577" s="81" t="str">
        <f>IF(X577=2,HLOOKUP(R577,データについて!$J$12:$M$18,7,FALSE),"*")</f>
        <v>*</v>
      </c>
    </row>
    <row r="578" spans="1:30">
      <c r="A578" s="30">
        <v>4614</v>
      </c>
      <c r="B578" s="30" t="s">
        <v>4132</v>
      </c>
      <c r="C578" s="30" t="s">
        <v>4131</v>
      </c>
      <c r="D578" s="30" t="s">
        <v>106</v>
      </c>
      <c r="E578" s="30"/>
      <c r="F578" s="30" t="s">
        <v>107</v>
      </c>
      <c r="G578" s="30" t="s">
        <v>106</v>
      </c>
      <c r="H578" s="30"/>
      <c r="I578" s="30" t="s">
        <v>191</v>
      </c>
      <c r="J578" s="30"/>
      <c r="K578" s="30" t="s">
        <v>126</v>
      </c>
      <c r="L578" s="30" t="s">
        <v>117</v>
      </c>
      <c r="M578" s="30" t="s">
        <v>113</v>
      </c>
      <c r="N578" s="30" t="s">
        <v>119</v>
      </c>
      <c r="O578" s="30" t="s">
        <v>123</v>
      </c>
      <c r="P578" s="30" t="s">
        <v>118</v>
      </c>
      <c r="Q578" s="30" t="s">
        <v>112</v>
      </c>
      <c r="R578" s="30" t="s">
        <v>185</v>
      </c>
      <c r="S578" s="81">
        <f>HLOOKUP(L578,データについて!$J$6:$M$18,13,FALSE)</f>
        <v>2</v>
      </c>
      <c r="T578" s="81">
        <f>HLOOKUP(M578,データについて!$J$7:$M$18,12,FALSE)</f>
        <v>1</v>
      </c>
      <c r="U578" s="81">
        <f>HLOOKUP(N578,データについて!$J$8:$M$18,11,FALSE)</f>
        <v>4</v>
      </c>
      <c r="V578" s="81">
        <f>HLOOKUP(O578,データについて!$J$9:$M$18,10,FALSE)</f>
        <v>4</v>
      </c>
      <c r="W578" s="81">
        <f>HLOOKUP(P578,データについて!$J$10:$M$18,9,FALSE)</f>
        <v>2</v>
      </c>
      <c r="X578" s="81">
        <f>HLOOKUP(Q578,データについて!$J$11:$M$18,8,FALSE)</f>
        <v>1</v>
      </c>
      <c r="Y578" s="81">
        <f>HLOOKUP(R578,データについて!$J$12:$M$18,7,FALSE)</f>
        <v>2</v>
      </c>
      <c r="Z578" s="81">
        <f>HLOOKUP(I578,データについて!$J$3:$M$18,16,FALSE)</f>
        <v>2</v>
      </c>
      <c r="AA578" s="81" t="str">
        <f>IFERROR(HLOOKUP(J578,データについて!$J$4:$AH$19,16,FALSE),"")</f>
        <v/>
      </c>
      <c r="AB578" s="81">
        <f>IFERROR(HLOOKUP(K578,データについて!$J$5:$AH$20,14,FALSE),"")</f>
        <v>0</v>
      </c>
      <c r="AC578" s="81">
        <f>IF(X578=1,HLOOKUP(R578,データについて!$J$12:$M$18,7,FALSE),"*")</f>
        <v>2</v>
      </c>
      <c r="AD578" s="81" t="str">
        <f>IF(X578=2,HLOOKUP(R578,データについて!$J$12:$M$18,7,FALSE),"*")</f>
        <v>*</v>
      </c>
    </row>
    <row r="579" spans="1:30">
      <c r="A579" s="30">
        <v>4613</v>
      </c>
      <c r="B579" s="30" t="s">
        <v>4133</v>
      </c>
      <c r="C579" s="30" t="s">
        <v>4131</v>
      </c>
      <c r="D579" s="30" t="s">
        <v>106</v>
      </c>
      <c r="E579" s="30"/>
      <c r="F579" s="30" t="s">
        <v>107</v>
      </c>
      <c r="G579" s="30" t="s">
        <v>106</v>
      </c>
      <c r="H579" s="30"/>
      <c r="I579" s="30" t="s">
        <v>191</v>
      </c>
      <c r="J579" s="30"/>
      <c r="K579" s="30" t="s">
        <v>126</v>
      </c>
      <c r="L579" s="30" t="s">
        <v>117</v>
      </c>
      <c r="M579" s="30" t="s">
        <v>113</v>
      </c>
      <c r="N579" s="30" t="s">
        <v>110</v>
      </c>
      <c r="O579" s="30" t="s">
        <v>115</v>
      </c>
      <c r="P579" s="30" t="s">
        <v>118</v>
      </c>
      <c r="Q579" s="30" t="s">
        <v>112</v>
      </c>
      <c r="R579" s="30" t="s">
        <v>185</v>
      </c>
      <c r="S579" s="81">
        <f>HLOOKUP(L579,データについて!$J$6:$M$18,13,FALSE)</f>
        <v>2</v>
      </c>
      <c r="T579" s="81">
        <f>HLOOKUP(M579,データについて!$J$7:$M$18,12,FALSE)</f>
        <v>1</v>
      </c>
      <c r="U579" s="81">
        <f>HLOOKUP(N579,データについて!$J$8:$M$18,11,FALSE)</f>
        <v>2</v>
      </c>
      <c r="V579" s="81">
        <f>HLOOKUP(O579,データについて!$J$9:$M$18,10,FALSE)</f>
        <v>1</v>
      </c>
      <c r="W579" s="81">
        <f>HLOOKUP(P579,データについて!$J$10:$M$18,9,FALSE)</f>
        <v>2</v>
      </c>
      <c r="X579" s="81">
        <f>HLOOKUP(Q579,データについて!$J$11:$M$18,8,FALSE)</f>
        <v>1</v>
      </c>
      <c r="Y579" s="81">
        <f>HLOOKUP(R579,データについて!$J$12:$M$18,7,FALSE)</f>
        <v>2</v>
      </c>
      <c r="Z579" s="81">
        <f>HLOOKUP(I579,データについて!$J$3:$M$18,16,FALSE)</f>
        <v>2</v>
      </c>
      <c r="AA579" s="81" t="str">
        <f>IFERROR(HLOOKUP(J579,データについて!$J$4:$AH$19,16,FALSE),"")</f>
        <v/>
      </c>
      <c r="AB579" s="81">
        <f>IFERROR(HLOOKUP(K579,データについて!$J$5:$AH$20,14,FALSE),"")</f>
        <v>0</v>
      </c>
      <c r="AC579" s="81">
        <f>IF(X579=1,HLOOKUP(R579,データについて!$J$12:$M$18,7,FALSE),"*")</f>
        <v>2</v>
      </c>
      <c r="AD579" s="81" t="str">
        <f>IF(X579=2,HLOOKUP(R579,データについて!$J$12:$M$18,7,FALSE),"*")</f>
        <v>*</v>
      </c>
    </row>
    <row r="580" spans="1:30">
      <c r="A580" s="30">
        <v>4612</v>
      </c>
      <c r="B580" s="30" t="s">
        <v>4134</v>
      </c>
      <c r="C580" s="30" t="s">
        <v>4135</v>
      </c>
      <c r="D580" s="30" t="s">
        <v>106</v>
      </c>
      <c r="E580" s="30"/>
      <c r="F580" s="30" t="s">
        <v>107</v>
      </c>
      <c r="G580" s="30" t="s">
        <v>106</v>
      </c>
      <c r="H580" s="30"/>
      <c r="I580" s="30" t="s">
        <v>191</v>
      </c>
      <c r="J580" s="30"/>
      <c r="K580" s="30" t="s">
        <v>126</v>
      </c>
      <c r="L580" s="30" t="s">
        <v>108</v>
      </c>
      <c r="M580" s="30" t="s">
        <v>113</v>
      </c>
      <c r="N580" s="30" t="s">
        <v>110</v>
      </c>
      <c r="O580" s="30" t="s">
        <v>115</v>
      </c>
      <c r="P580" s="30" t="s">
        <v>118</v>
      </c>
      <c r="Q580" s="30" t="s">
        <v>112</v>
      </c>
      <c r="R580" s="30" t="s">
        <v>183</v>
      </c>
      <c r="S580" s="81">
        <f>HLOOKUP(L580,データについて!$J$6:$M$18,13,FALSE)</f>
        <v>1</v>
      </c>
      <c r="T580" s="81">
        <f>HLOOKUP(M580,データについて!$J$7:$M$18,12,FALSE)</f>
        <v>1</v>
      </c>
      <c r="U580" s="81">
        <f>HLOOKUP(N580,データについて!$J$8:$M$18,11,FALSE)</f>
        <v>2</v>
      </c>
      <c r="V580" s="81">
        <f>HLOOKUP(O580,データについて!$J$9:$M$18,10,FALSE)</f>
        <v>1</v>
      </c>
      <c r="W580" s="81">
        <f>HLOOKUP(P580,データについて!$J$10:$M$18,9,FALSE)</f>
        <v>2</v>
      </c>
      <c r="X580" s="81">
        <f>HLOOKUP(Q580,データについて!$J$11:$M$18,8,FALSE)</f>
        <v>1</v>
      </c>
      <c r="Y580" s="81">
        <f>HLOOKUP(R580,データについて!$J$12:$M$18,7,FALSE)</f>
        <v>1</v>
      </c>
      <c r="Z580" s="81">
        <f>HLOOKUP(I580,データについて!$J$3:$M$18,16,FALSE)</f>
        <v>2</v>
      </c>
      <c r="AA580" s="81" t="str">
        <f>IFERROR(HLOOKUP(J580,データについて!$J$4:$AH$19,16,FALSE),"")</f>
        <v/>
      </c>
      <c r="AB580" s="81">
        <f>IFERROR(HLOOKUP(K580,データについて!$J$5:$AH$20,14,FALSE),"")</f>
        <v>0</v>
      </c>
      <c r="AC580" s="81">
        <f>IF(X580=1,HLOOKUP(R580,データについて!$J$12:$M$18,7,FALSE),"*")</f>
        <v>1</v>
      </c>
      <c r="AD580" s="81" t="str">
        <f>IF(X580=2,HLOOKUP(R580,データについて!$J$12:$M$18,7,FALSE),"*")</f>
        <v>*</v>
      </c>
    </row>
    <row r="581" spans="1:30">
      <c r="A581" s="30">
        <v>4611</v>
      </c>
      <c r="B581" s="30" t="s">
        <v>4136</v>
      </c>
      <c r="C581" s="30" t="s">
        <v>4137</v>
      </c>
      <c r="D581" s="30" t="s">
        <v>106</v>
      </c>
      <c r="E581" s="30"/>
      <c r="F581" s="30" t="s">
        <v>107</v>
      </c>
      <c r="G581" s="30" t="s">
        <v>106</v>
      </c>
      <c r="H581" s="30"/>
      <c r="I581" s="30" t="s">
        <v>191</v>
      </c>
      <c r="J581" s="30"/>
      <c r="K581" s="30" t="s">
        <v>126</v>
      </c>
      <c r="L581" s="30" t="s">
        <v>117</v>
      </c>
      <c r="M581" s="30" t="s">
        <v>113</v>
      </c>
      <c r="N581" s="30" t="s">
        <v>114</v>
      </c>
      <c r="O581" s="30" t="s">
        <v>115</v>
      </c>
      <c r="P581" s="30" t="s">
        <v>118</v>
      </c>
      <c r="Q581" s="30" t="s">
        <v>112</v>
      </c>
      <c r="R581" s="30" t="s">
        <v>185</v>
      </c>
      <c r="S581" s="81">
        <f>HLOOKUP(L581,データについて!$J$6:$M$18,13,FALSE)</f>
        <v>2</v>
      </c>
      <c r="T581" s="81">
        <f>HLOOKUP(M581,データについて!$J$7:$M$18,12,FALSE)</f>
        <v>1</v>
      </c>
      <c r="U581" s="81">
        <f>HLOOKUP(N581,データについて!$J$8:$M$18,11,FALSE)</f>
        <v>1</v>
      </c>
      <c r="V581" s="81">
        <f>HLOOKUP(O581,データについて!$J$9:$M$18,10,FALSE)</f>
        <v>1</v>
      </c>
      <c r="W581" s="81">
        <f>HLOOKUP(P581,データについて!$J$10:$M$18,9,FALSE)</f>
        <v>2</v>
      </c>
      <c r="X581" s="81">
        <f>HLOOKUP(Q581,データについて!$J$11:$M$18,8,FALSE)</f>
        <v>1</v>
      </c>
      <c r="Y581" s="81">
        <f>HLOOKUP(R581,データについて!$J$12:$M$18,7,FALSE)</f>
        <v>2</v>
      </c>
      <c r="Z581" s="81">
        <f>HLOOKUP(I581,データについて!$J$3:$M$18,16,FALSE)</f>
        <v>2</v>
      </c>
      <c r="AA581" s="81" t="str">
        <f>IFERROR(HLOOKUP(J581,データについて!$J$4:$AH$19,16,FALSE),"")</f>
        <v/>
      </c>
      <c r="AB581" s="81">
        <f>IFERROR(HLOOKUP(K581,データについて!$J$5:$AH$20,14,FALSE),"")</f>
        <v>0</v>
      </c>
      <c r="AC581" s="81">
        <f>IF(X581=1,HLOOKUP(R581,データについて!$J$12:$M$18,7,FALSE),"*")</f>
        <v>2</v>
      </c>
      <c r="AD581" s="81" t="str">
        <f>IF(X581=2,HLOOKUP(R581,データについて!$J$12:$M$18,7,FALSE),"*")</f>
        <v>*</v>
      </c>
    </row>
    <row r="582" spans="1:30">
      <c r="A582" s="30">
        <v>4610</v>
      </c>
      <c r="B582" s="30" t="s">
        <v>4138</v>
      </c>
      <c r="C582" s="30" t="s">
        <v>4137</v>
      </c>
      <c r="D582" s="30" t="s">
        <v>106</v>
      </c>
      <c r="E582" s="30"/>
      <c r="F582" s="30" t="s">
        <v>107</v>
      </c>
      <c r="G582" s="30" t="s">
        <v>106</v>
      </c>
      <c r="H582" s="30"/>
      <c r="I582" s="30" t="s">
        <v>192</v>
      </c>
      <c r="J582" s="30" t="s">
        <v>3010</v>
      </c>
      <c r="K582" s="30"/>
      <c r="L582" s="30" t="s">
        <v>108</v>
      </c>
      <c r="M582" s="30" t="s">
        <v>109</v>
      </c>
      <c r="N582" s="30" t="s">
        <v>114</v>
      </c>
      <c r="O582" s="30" t="s">
        <v>115</v>
      </c>
      <c r="P582" s="30" t="s">
        <v>112</v>
      </c>
      <c r="Q582" s="30" t="s">
        <v>118</v>
      </c>
      <c r="R582" s="30" t="s">
        <v>187</v>
      </c>
      <c r="S582" s="81">
        <f>HLOOKUP(L582,データについて!$J$6:$M$18,13,FALSE)</f>
        <v>1</v>
      </c>
      <c r="T582" s="81">
        <f>HLOOKUP(M582,データについて!$J$7:$M$18,12,FALSE)</f>
        <v>2</v>
      </c>
      <c r="U582" s="81">
        <f>HLOOKUP(N582,データについて!$J$8:$M$18,11,FALSE)</f>
        <v>1</v>
      </c>
      <c r="V582" s="81">
        <f>HLOOKUP(O582,データについて!$J$9:$M$18,10,FALSE)</f>
        <v>1</v>
      </c>
      <c r="W582" s="81">
        <f>HLOOKUP(P582,データについて!$J$10:$M$18,9,FALSE)</f>
        <v>1</v>
      </c>
      <c r="X582" s="81">
        <f>HLOOKUP(Q582,データについて!$J$11:$M$18,8,FALSE)</f>
        <v>2</v>
      </c>
      <c r="Y582" s="81">
        <f>HLOOKUP(R582,データについて!$J$12:$M$18,7,FALSE)</f>
        <v>3</v>
      </c>
      <c r="Z582" s="81">
        <f>HLOOKUP(I582,データについて!$J$3:$M$18,16,FALSE)</f>
        <v>1</v>
      </c>
      <c r="AA582" s="81">
        <f>IFERROR(HLOOKUP(J582,データについて!$J$4:$AH$19,16,FALSE),"")</f>
        <v>12</v>
      </c>
      <c r="AB582" s="81" t="str">
        <f>IFERROR(HLOOKUP(K582,データについて!$J$5:$AH$20,14,FALSE),"")</f>
        <v/>
      </c>
      <c r="AC582" s="81" t="str">
        <f>IF(X582=1,HLOOKUP(R582,データについて!$J$12:$M$18,7,FALSE),"*")</f>
        <v>*</v>
      </c>
      <c r="AD582" s="81">
        <f>IF(X582=2,HLOOKUP(R582,データについて!$J$12:$M$18,7,FALSE),"*")</f>
        <v>3</v>
      </c>
    </row>
    <row r="583" spans="1:30">
      <c r="A583" s="30">
        <v>4609</v>
      </c>
      <c r="B583" s="30" t="s">
        <v>4139</v>
      </c>
      <c r="C583" s="30" t="s">
        <v>4137</v>
      </c>
      <c r="D583" s="30" t="s">
        <v>106</v>
      </c>
      <c r="E583" s="30"/>
      <c r="F583" s="30" t="s">
        <v>107</v>
      </c>
      <c r="G583" s="30" t="s">
        <v>106</v>
      </c>
      <c r="H583" s="30"/>
      <c r="I583" s="30" t="s">
        <v>191</v>
      </c>
      <c r="J583" s="30"/>
      <c r="K583" s="30" t="s">
        <v>126</v>
      </c>
      <c r="L583" s="30" t="s">
        <v>108</v>
      </c>
      <c r="M583" s="30" t="s">
        <v>124</v>
      </c>
      <c r="N583" s="30" t="s">
        <v>110</v>
      </c>
      <c r="O583" s="30" t="s">
        <v>115</v>
      </c>
      <c r="P583" s="30" t="s">
        <v>118</v>
      </c>
      <c r="Q583" s="30" t="s">
        <v>118</v>
      </c>
      <c r="R583" s="30" t="s">
        <v>187</v>
      </c>
      <c r="S583" s="81">
        <f>HLOOKUP(L583,データについて!$J$6:$M$18,13,FALSE)</f>
        <v>1</v>
      </c>
      <c r="T583" s="81">
        <f>HLOOKUP(M583,データについて!$J$7:$M$18,12,FALSE)</f>
        <v>3</v>
      </c>
      <c r="U583" s="81">
        <f>HLOOKUP(N583,データについて!$J$8:$M$18,11,FALSE)</f>
        <v>2</v>
      </c>
      <c r="V583" s="81">
        <f>HLOOKUP(O583,データについて!$J$9:$M$18,10,FALSE)</f>
        <v>1</v>
      </c>
      <c r="W583" s="81">
        <f>HLOOKUP(P583,データについて!$J$10:$M$18,9,FALSE)</f>
        <v>2</v>
      </c>
      <c r="X583" s="81">
        <f>HLOOKUP(Q583,データについて!$J$11:$M$18,8,FALSE)</f>
        <v>2</v>
      </c>
      <c r="Y583" s="81">
        <f>HLOOKUP(R583,データについて!$J$12:$M$18,7,FALSE)</f>
        <v>3</v>
      </c>
      <c r="Z583" s="81">
        <f>HLOOKUP(I583,データについて!$J$3:$M$18,16,FALSE)</f>
        <v>2</v>
      </c>
      <c r="AA583" s="81" t="str">
        <f>IFERROR(HLOOKUP(J583,データについて!$J$4:$AH$19,16,FALSE),"")</f>
        <v/>
      </c>
      <c r="AB583" s="81">
        <f>IFERROR(HLOOKUP(K583,データについて!$J$5:$AH$20,14,FALSE),"")</f>
        <v>0</v>
      </c>
      <c r="AC583" s="81" t="str">
        <f>IF(X583=1,HLOOKUP(R583,データについて!$J$12:$M$18,7,FALSE),"*")</f>
        <v>*</v>
      </c>
      <c r="AD583" s="81">
        <f>IF(X583=2,HLOOKUP(R583,データについて!$J$12:$M$18,7,FALSE),"*")</f>
        <v>3</v>
      </c>
    </row>
    <row r="584" spans="1:30">
      <c r="A584" s="30">
        <v>4608</v>
      </c>
      <c r="B584" s="30" t="s">
        <v>4140</v>
      </c>
      <c r="C584" s="30" t="s">
        <v>4141</v>
      </c>
      <c r="D584" s="30" t="s">
        <v>106</v>
      </c>
      <c r="E584" s="30"/>
      <c r="F584" s="30" t="s">
        <v>107</v>
      </c>
      <c r="G584" s="30" t="s">
        <v>106</v>
      </c>
      <c r="H584" s="30"/>
      <c r="I584" s="30" t="s">
        <v>191</v>
      </c>
      <c r="J584" s="30"/>
      <c r="K584" s="30" t="s">
        <v>126</v>
      </c>
      <c r="L584" s="30" t="s">
        <v>108</v>
      </c>
      <c r="M584" s="30" t="s">
        <v>113</v>
      </c>
      <c r="N584" s="30" t="s">
        <v>114</v>
      </c>
      <c r="O584" s="30" t="s">
        <v>115</v>
      </c>
      <c r="P584" s="30" t="s">
        <v>118</v>
      </c>
      <c r="Q584" s="30" t="s">
        <v>112</v>
      </c>
      <c r="R584" s="30" t="s">
        <v>187</v>
      </c>
      <c r="S584" s="81">
        <f>HLOOKUP(L584,データについて!$J$6:$M$18,13,FALSE)</f>
        <v>1</v>
      </c>
      <c r="T584" s="81">
        <f>HLOOKUP(M584,データについて!$J$7:$M$18,12,FALSE)</f>
        <v>1</v>
      </c>
      <c r="U584" s="81">
        <f>HLOOKUP(N584,データについて!$J$8:$M$18,11,FALSE)</f>
        <v>1</v>
      </c>
      <c r="V584" s="81">
        <f>HLOOKUP(O584,データについて!$J$9:$M$18,10,FALSE)</f>
        <v>1</v>
      </c>
      <c r="W584" s="81">
        <f>HLOOKUP(P584,データについて!$J$10:$M$18,9,FALSE)</f>
        <v>2</v>
      </c>
      <c r="X584" s="81">
        <f>HLOOKUP(Q584,データについて!$J$11:$M$18,8,FALSE)</f>
        <v>1</v>
      </c>
      <c r="Y584" s="81">
        <f>HLOOKUP(R584,データについて!$J$12:$M$18,7,FALSE)</f>
        <v>3</v>
      </c>
      <c r="Z584" s="81">
        <f>HLOOKUP(I584,データについて!$J$3:$M$18,16,FALSE)</f>
        <v>2</v>
      </c>
      <c r="AA584" s="81" t="str">
        <f>IFERROR(HLOOKUP(J584,データについて!$J$4:$AH$19,16,FALSE),"")</f>
        <v/>
      </c>
      <c r="AB584" s="81">
        <f>IFERROR(HLOOKUP(K584,データについて!$J$5:$AH$20,14,FALSE),"")</f>
        <v>0</v>
      </c>
      <c r="AC584" s="81">
        <f>IF(X584=1,HLOOKUP(R584,データについて!$J$12:$M$18,7,FALSE),"*")</f>
        <v>3</v>
      </c>
      <c r="AD584" s="81" t="str">
        <f>IF(X584=2,HLOOKUP(R584,データについて!$J$12:$M$18,7,FALSE),"*")</f>
        <v>*</v>
      </c>
    </row>
    <row r="585" spans="1:30">
      <c r="A585" s="30">
        <v>4607</v>
      </c>
      <c r="B585" s="30" t="s">
        <v>4142</v>
      </c>
      <c r="C585" s="30" t="s">
        <v>4141</v>
      </c>
      <c r="D585" s="30" t="s">
        <v>106</v>
      </c>
      <c r="E585" s="30"/>
      <c r="F585" s="30" t="s">
        <v>107</v>
      </c>
      <c r="G585" s="30" t="s">
        <v>106</v>
      </c>
      <c r="H585" s="30"/>
      <c r="I585" s="30" t="s">
        <v>191</v>
      </c>
      <c r="J585" s="30"/>
      <c r="K585" s="30" t="s">
        <v>126</v>
      </c>
      <c r="L585" s="30" t="s">
        <v>108</v>
      </c>
      <c r="M585" s="30" t="s">
        <v>109</v>
      </c>
      <c r="N585" s="30" t="s">
        <v>110</v>
      </c>
      <c r="O585" s="30" t="s">
        <v>115</v>
      </c>
      <c r="P585" s="30" t="s">
        <v>118</v>
      </c>
      <c r="Q585" s="30" t="s">
        <v>112</v>
      </c>
      <c r="R585" s="30" t="s">
        <v>183</v>
      </c>
      <c r="S585" s="81">
        <f>HLOOKUP(L585,データについて!$J$6:$M$18,13,FALSE)</f>
        <v>1</v>
      </c>
      <c r="T585" s="81">
        <f>HLOOKUP(M585,データについて!$J$7:$M$18,12,FALSE)</f>
        <v>2</v>
      </c>
      <c r="U585" s="81">
        <f>HLOOKUP(N585,データについて!$J$8:$M$18,11,FALSE)</f>
        <v>2</v>
      </c>
      <c r="V585" s="81">
        <f>HLOOKUP(O585,データについて!$J$9:$M$18,10,FALSE)</f>
        <v>1</v>
      </c>
      <c r="W585" s="81">
        <f>HLOOKUP(P585,データについて!$J$10:$M$18,9,FALSE)</f>
        <v>2</v>
      </c>
      <c r="X585" s="81">
        <f>HLOOKUP(Q585,データについて!$J$11:$M$18,8,FALSE)</f>
        <v>1</v>
      </c>
      <c r="Y585" s="81">
        <f>HLOOKUP(R585,データについて!$J$12:$M$18,7,FALSE)</f>
        <v>1</v>
      </c>
      <c r="Z585" s="81">
        <f>HLOOKUP(I585,データについて!$J$3:$M$18,16,FALSE)</f>
        <v>2</v>
      </c>
      <c r="AA585" s="81" t="str">
        <f>IFERROR(HLOOKUP(J585,データについて!$J$4:$AH$19,16,FALSE),"")</f>
        <v/>
      </c>
      <c r="AB585" s="81">
        <f>IFERROR(HLOOKUP(K585,データについて!$J$5:$AH$20,14,FALSE),"")</f>
        <v>0</v>
      </c>
      <c r="AC585" s="81">
        <f>IF(X585=1,HLOOKUP(R585,データについて!$J$12:$M$18,7,FALSE),"*")</f>
        <v>1</v>
      </c>
      <c r="AD585" s="81" t="str">
        <f>IF(X585=2,HLOOKUP(R585,データについて!$J$12:$M$18,7,FALSE),"*")</f>
        <v>*</v>
      </c>
    </row>
    <row r="586" spans="1:30">
      <c r="A586" s="30">
        <v>4606</v>
      </c>
      <c r="B586" s="30" t="s">
        <v>4143</v>
      </c>
      <c r="C586" s="30" t="s">
        <v>4141</v>
      </c>
      <c r="D586" s="30" t="s">
        <v>106</v>
      </c>
      <c r="E586" s="30"/>
      <c r="F586" s="30" t="s">
        <v>107</v>
      </c>
      <c r="G586" s="30" t="s">
        <v>106</v>
      </c>
      <c r="H586" s="30"/>
      <c r="I586" s="30" t="s">
        <v>191</v>
      </c>
      <c r="J586" s="30"/>
      <c r="K586" s="30" t="s">
        <v>126</v>
      </c>
      <c r="L586" s="30" t="s">
        <v>117</v>
      </c>
      <c r="M586" s="30" t="s">
        <v>113</v>
      </c>
      <c r="N586" s="30" t="s">
        <v>110</v>
      </c>
      <c r="O586" s="30" t="s">
        <v>115</v>
      </c>
      <c r="P586" s="30" t="s">
        <v>118</v>
      </c>
      <c r="Q586" s="30" t="s">
        <v>112</v>
      </c>
      <c r="R586" s="30" t="s">
        <v>187</v>
      </c>
      <c r="S586" s="81">
        <f>HLOOKUP(L586,データについて!$J$6:$M$18,13,FALSE)</f>
        <v>2</v>
      </c>
      <c r="T586" s="81">
        <f>HLOOKUP(M586,データについて!$J$7:$M$18,12,FALSE)</f>
        <v>1</v>
      </c>
      <c r="U586" s="81">
        <f>HLOOKUP(N586,データについて!$J$8:$M$18,11,FALSE)</f>
        <v>2</v>
      </c>
      <c r="V586" s="81">
        <f>HLOOKUP(O586,データについて!$J$9:$M$18,10,FALSE)</f>
        <v>1</v>
      </c>
      <c r="W586" s="81">
        <f>HLOOKUP(P586,データについて!$J$10:$M$18,9,FALSE)</f>
        <v>2</v>
      </c>
      <c r="X586" s="81">
        <f>HLOOKUP(Q586,データについて!$J$11:$M$18,8,FALSE)</f>
        <v>1</v>
      </c>
      <c r="Y586" s="81">
        <f>HLOOKUP(R586,データについて!$J$12:$M$18,7,FALSE)</f>
        <v>3</v>
      </c>
      <c r="Z586" s="81">
        <f>HLOOKUP(I586,データについて!$J$3:$M$18,16,FALSE)</f>
        <v>2</v>
      </c>
      <c r="AA586" s="81" t="str">
        <f>IFERROR(HLOOKUP(J586,データについて!$J$4:$AH$19,16,FALSE),"")</f>
        <v/>
      </c>
      <c r="AB586" s="81">
        <f>IFERROR(HLOOKUP(K586,データについて!$J$5:$AH$20,14,FALSE),"")</f>
        <v>0</v>
      </c>
      <c r="AC586" s="81">
        <f>IF(X586=1,HLOOKUP(R586,データについて!$J$12:$M$18,7,FALSE),"*")</f>
        <v>3</v>
      </c>
      <c r="AD586" s="81" t="str">
        <f>IF(X586=2,HLOOKUP(R586,データについて!$J$12:$M$18,7,FALSE),"*")</f>
        <v>*</v>
      </c>
    </row>
    <row r="587" spans="1:30">
      <c r="A587" s="30">
        <v>4605</v>
      </c>
      <c r="B587" s="30" t="s">
        <v>4144</v>
      </c>
      <c r="C587" s="30" t="s">
        <v>4145</v>
      </c>
      <c r="D587" s="30" t="s">
        <v>106</v>
      </c>
      <c r="E587" s="30"/>
      <c r="F587" s="30" t="s">
        <v>107</v>
      </c>
      <c r="G587" s="30" t="s">
        <v>106</v>
      </c>
      <c r="H587" s="30"/>
      <c r="I587" s="30" t="s">
        <v>191</v>
      </c>
      <c r="J587" s="30"/>
      <c r="K587" s="30" t="s">
        <v>126</v>
      </c>
      <c r="L587" s="30" t="s">
        <v>120</v>
      </c>
      <c r="M587" s="30" t="s">
        <v>109</v>
      </c>
      <c r="N587" s="30" t="s">
        <v>114</v>
      </c>
      <c r="O587" s="30" t="s">
        <v>115</v>
      </c>
      <c r="P587" s="30" t="s">
        <v>112</v>
      </c>
      <c r="Q587" s="30" t="s">
        <v>112</v>
      </c>
      <c r="R587" s="30" t="s">
        <v>187</v>
      </c>
      <c r="S587" s="81">
        <f>HLOOKUP(L587,データについて!$J$6:$M$18,13,FALSE)</f>
        <v>3</v>
      </c>
      <c r="T587" s="81">
        <f>HLOOKUP(M587,データについて!$J$7:$M$18,12,FALSE)</f>
        <v>2</v>
      </c>
      <c r="U587" s="81">
        <f>HLOOKUP(N587,データについて!$J$8:$M$18,11,FALSE)</f>
        <v>1</v>
      </c>
      <c r="V587" s="81">
        <f>HLOOKUP(O587,データについて!$J$9:$M$18,10,FALSE)</f>
        <v>1</v>
      </c>
      <c r="W587" s="81">
        <f>HLOOKUP(P587,データについて!$J$10:$M$18,9,FALSE)</f>
        <v>1</v>
      </c>
      <c r="X587" s="81">
        <f>HLOOKUP(Q587,データについて!$J$11:$M$18,8,FALSE)</f>
        <v>1</v>
      </c>
      <c r="Y587" s="81">
        <f>HLOOKUP(R587,データについて!$J$12:$M$18,7,FALSE)</f>
        <v>3</v>
      </c>
      <c r="Z587" s="81">
        <f>HLOOKUP(I587,データについて!$J$3:$M$18,16,FALSE)</f>
        <v>2</v>
      </c>
      <c r="AA587" s="81" t="str">
        <f>IFERROR(HLOOKUP(J587,データについて!$J$4:$AH$19,16,FALSE),"")</f>
        <v/>
      </c>
      <c r="AB587" s="81">
        <f>IFERROR(HLOOKUP(K587,データについて!$J$5:$AH$20,14,FALSE),"")</f>
        <v>0</v>
      </c>
      <c r="AC587" s="81">
        <f>IF(X587=1,HLOOKUP(R587,データについて!$J$12:$M$18,7,FALSE),"*")</f>
        <v>3</v>
      </c>
      <c r="AD587" s="81" t="str">
        <f>IF(X587=2,HLOOKUP(R587,データについて!$J$12:$M$18,7,FALSE),"*")</f>
        <v>*</v>
      </c>
    </row>
    <row r="588" spans="1:30">
      <c r="A588" s="30">
        <v>4604</v>
      </c>
      <c r="B588" s="30" t="s">
        <v>4146</v>
      </c>
      <c r="C588" s="30" t="s">
        <v>4147</v>
      </c>
      <c r="D588" s="30" t="s">
        <v>106</v>
      </c>
      <c r="E588" s="30"/>
      <c r="F588" s="30" t="s">
        <v>107</v>
      </c>
      <c r="G588" s="30" t="s">
        <v>106</v>
      </c>
      <c r="H588" s="30"/>
      <c r="I588" s="30" t="s">
        <v>191</v>
      </c>
      <c r="J588" s="30"/>
      <c r="K588" s="30" t="s">
        <v>126</v>
      </c>
      <c r="L588" s="30" t="s">
        <v>108</v>
      </c>
      <c r="M588" s="30" t="s">
        <v>109</v>
      </c>
      <c r="N588" s="30" t="s">
        <v>110</v>
      </c>
      <c r="O588" s="30" t="s">
        <v>111</v>
      </c>
      <c r="P588" s="30" t="s">
        <v>118</v>
      </c>
      <c r="Q588" s="30" t="s">
        <v>118</v>
      </c>
      <c r="R588" s="30" t="s">
        <v>185</v>
      </c>
      <c r="S588" s="81">
        <f>HLOOKUP(L588,データについて!$J$6:$M$18,13,FALSE)</f>
        <v>1</v>
      </c>
      <c r="T588" s="81">
        <f>HLOOKUP(M588,データについて!$J$7:$M$18,12,FALSE)</f>
        <v>2</v>
      </c>
      <c r="U588" s="81">
        <f>HLOOKUP(N588,データについて!$J$8:$M$18,11,FALSE)</f>
        <v>2</v>
      </c>
      <c r="V588" s="81">
        <f>HLOOKUP(O588,データについて!$J$9:$M$18,10,FALSE)</f>
        <v>3</v>
      </c>
      <c r="W588" s="81">
        <f>HLOOKUP(P588,データについて!$J$10:$M$18,9,FALSE)</f>
        <v>2</v>
      </c>
      <c r="X588" s="81">
        <f>HLOOKUP(Q588,データについて!$J$11:$M$18,8,FALSE)</f>
        <v>2</v>
      </c>
      <c r="Y588" s="81">
        <f>HLOOKUP(R588,データについて!$J$12:$M$18,7,FALSE)</f>
        <v>2</v>
      </c>
      <c r="Z588" s="81">
        <f>HLOOKUP(I588,データについて!$J$3:$M$18,16,FALSE)</f>
        <v>2</v>
      </c>
      <c r="AA588" s="81" t="str">
        <f>IFERROR(HLOOKUP(J588,データについて!$J$4:$AH$19,16,FALSE),"")</f>
        <v/>
      </c>
      <c r="AB588" s="81">
        <f>IFERROR(HLOOKUP(K588,データについて!$J$5:$AH$20,14,FALSE),"")</f>
        <v>0</v>
      </c>
      <c r="AC588" s="81" t="str">
        <f>IF(X588=1,HLOOKUP(R588,データについて!$J$12:$M$18,7,FALSE),"*")</f>
        <v>*</v>
      </c>
      <c r="AD588" s="81">
        <f>IF(X588=2,HLOOKUP(R588,データについて!$J$12:$M$18,7,FALSE),"*")</f>
        <v>2</v>
      </c>
    </row>
    <row r="589" spans="1:30">
      <c r="A589" s="30">
        <v>4603</v>
      </c>
      <c r="B589" s="30" t="s">
        <v>4148</v>
      </c>
      <c r="C589" s="30" t="s">
        <v>4147</v>
      </c>
      <c r="D589" s="30" t="s">
        <v>106</v>
      </c>
      <c r="E589" s="30"/>
      <c r="F589" s="30" t="s">
        <v>107</v>
      </c>
      <c r="G589" s="30" t="s">
        <v>106</v>
      </c>
      <c r="H589" s="30"/>
      <c r="I589" s="30" t="s">
        <v>191</v>
      </c>
      <c r="J589" s="30"/>
      <c r="K589" s="30" t="s">
        <v>126</v>
      </c>
      <c r="L589" s="30" t="s">
        <v>117</v>
      </c>
      <c r="M589" s="30" t="s">
        <v>113</v>
      </c>
      <c r="N589" s="30" t="s">
        <v>110</v>
      </c>
      <c r="O589" s="30" t="s">
        <v>111</v>
      </c>
      <c r="P589" s="30" t="s">
        <v>118</v>
      </c>
      <c r="Q589" s="30" t="s">
        <v>112</v>
      </c>
      <c r="R589" s="30" t="s">
        <v>187</v>
      </c>
      <c r="S589" s="81">
        <f>HLOOKUP(L589,データについて!$J$6:$M$18,13,FALSE)</f>
        <v>2</v>
      </c>
      <c r="T589" s="81">
        <f>HLOOKUP(M589,データについて!$J$7:$M$18,12,FALSE)</f>
        <v>1</v>
      </c>
      <c r="U589" s="81">
        <f>HLOOKUP(N589,データについて!$J$8:$M$18,11,FALSE)</f>
        <v>2</v>
      </c>
      <c r="V589" s="81">
        <f>HLOOKUP(O589,データについて!$J$9:$M$18,10,FALSE)</f>
        <v>3</v>
      </c>
      <c r="W589" s="81">
        <f>HLOOKUP(P589,データについて!$J$10:$M$18,9,FALSE)</f>
        <v>2</v>
      </c>
      <c r="X589" s="81">
        <f>HLOOKUP(Q589,データについて!$J$11:$M$18,8,FALSE)</f>
        <v>1</v>
      </c>
      <c r="Y589" s="81">
        <f>HLOOKUP(R589,データについて!$J$12:$M$18,7,FALSE)</f>
        <v>3</v>
      </c>
      <c r="Z589" s="81">
        <f>HLOOKUP(I589,データについて!$J$3:$M$18,16,FALSE)</f>
        <v>2</v>
      </c>
      <c r="AA589" s="81" t="str">
        <f>IFERROR(HLOOKUP(J589,データについて!$J$4:$AH$19,16,FALSE),"")</f>
        <v/>
      </c>
      <c r="AB589" s="81">
        <f>IFERROR(HLOOKUP(K589,データについて!$J$5:$AH$20,14,FALSE),"")</f>
        <v>0</v>
      </c>
      <c r="AC589" s="81">
        <f>IF(X589=1,HLOOKUP(R589,データについて!$J$12:$M$18,7,FALSE),"*")</f>
        <v>3</v>
      </c>
      <c r="AD589" s="81" t="str">
        <f>IF(X589=2,HLOOKUP(R589,データについて!$J$12:$M$18,7,FALSE),"*")</f>
        <v>*</v>
      </c>
    </row>
    <row r="590" spans="1:30">
      <c r="A590" s="30">
        <v>4602</v>
      </c>
      <c r="B590" s="30" t="s">
        <v>4149</v>
      </c>
      <c r="C590" s="30" t="s">
        <v>4147</v>
      </c>
      <c r="D590" s="30" t="s">
        <v>106</v>
      </c>
      <c r="E590" s="30"/>
      <c r="F590" s="30" t="s">
        <v>107</v>
      </c>
      <c r="G590" s="30" t="s">
        <v>106</v>
      </c>
      <c r="H590" s="30"/>
      <c r="I590" s="30" t="s">
        <v>191</v>
      </c>
      <c r="J590" s="30"/>
      <c r="K590" s="30" t="s">
        <v>126</v>
      </c>
      <c r="L590" s="30" t="s">
        <v>117</v>
      </c>
      <c r="M590" s="30" t="s">
        <v>109</v>
      </c>
      <c r="N590" s="30" t="s">
        <v>122</v>
      </c>
      <c r="O590" s="30" t="s">
        <v>115</v>
      </c>
      <c r="P590" s="30" t="s">
        <v>118</v>
      </c>
      <c r="Q590" s="30" t="s">
        <v>112</v>
      </c>
      <c r="R590" s="30" t="s">
        <v>185</v>
      </c>
      <c r="S590" s="81">
        <f>HLOOKUP(L590,データについて!$J$6:$M$18,13,FALSE)</f>
        <v>2</v>
      </c>
      <c r="T590" s="81">
        <f>HLOOKUP(M590,データについて!$J$7:$M$18,12,FALSE)</f>
        <v>2</v>
      </c>
      <c r="U590" s="81">
        <f>HLOOKUP(N590,データについて!$J$8:$M$18,11,FALSE)</f>
        <v>3</v>
      </c>
      <c r="V590" s="81">
        <f>HLOOKUP(O590,データについて!$J$9:$M$18,10,FALSE)</f>
        <v>1</v>
      </c>
      <c r="W590" s="81">
        <f>HLOOKUP(P590,データについて!$J$10:$M$18,9,FALSE)</f>
        <v>2</v>
      </c>
      <c r="X590" s="81">
        <f>HLOOKUP(Q590,データについて!$J$11:$M$18,8,FALSE)</f>
        <v>1</v>
      </c>
      <c r="Y590" s="81">
        <f>HLOOKUP(R590,データについて!$J$12:$M$18,7,FALSE)</f>
        <v>2</v>
      </c>
      <c r="Z590" s="81">
        <f>HLOOKUP(I590,データについて!$J$3:$M$18,16,FALSE)</f>
        <v>2</v>
      </c>
      <c r="AA590" s="81" t="str">
        <f>IFERROR(HLOOKUP(J590,データについて!$J$4:$AH$19,16,FALSE),"")</f>
        <v/>
      </c>
      <c r="AB590" s="81">
        <f>IFERROR(HLOOKUP(K590,データについて!$J$5:$AH$20,14,FALSE),"")</f>
        <v>0</v>
      </c>
      <c r="AC590" s="81">
        <f>IF(X590=1,HLOOKUP(R590,データについて!$J$12:$M$18,7,FALSE),"*")</f>
        <v>2</v>
      </c>
      <c r="AD590" s="81" t="str">
        <f>IF(X590=2,HLOOKUP(R590,データについて!$J$12:$M$18,7,FALSE),"*")</f>
        <v>*</v>
      </c>
    </row>
    <row r="591" spans="1:30">
      <c r="A591" s="30">
        <v>4601</v>
      </c>
      <c r="B591" s="30" t="s">
        <v>4150</v>
      </c>
      <c r="C591" s="30" t="s">
        <v>4147</v>
      </c>
      <c r="D591" s="30" t="s">
        <v>106</v>
      </c>
      <c r="E591" s="30"/>
      <c r="F591" s="30" t="s">
        <v>107</v>
      </c>
      <c r="G591" s="30" t="s">
        <v>106</v>
      </c>
      <c r="H591" s="30"/>
      <c r="I591" s="30" t="s">
        <v>192</v>
      </c>
      <c r="J591" s="30" t="s">
        <v>3010</v>
      </c>
      <c r="K591" s="30"/>
      <c r="L591" s="30" t="s">
        <v>108</v>
      </c>
      <c r="M591" s="30" t="s">
        <v>113</v>
      </c>
      <c r="N591" s="30" t="s">
        <v>114</v>
      </c>
      <c r="O591" s="30" t="s">
        <v>115</v>
      </c>
      <c r="P591" s="30" t="s">
        <v>112</v>
      </c>
      <c r="Q591" s="30" t="s">
        <v>112</v>
      </c>
      <c r="R591" s="30" t="s">
        <v>183</v>
      </c>
      <c r="S591" s="81">
        <f>HLOOKUP(L591,データについて!$J$6:$M$18,13,FALSE)</f>
        <v>1</v>
      </c>
      <c r="T591" s="81">
        <f>HLOOKUP(M591,データについて!$J$7:$M$18,12,FALSE)</f>
        <v>1</v>
      </c>
      <c r="U591" s="81">
        <f>HLOOKUP(N591,データについて!$J$8:$M$18,11,FALSE)</f>
        <v>1</v>
      </c>
      <c r="V591" s="81">
        <f>HLOOKUP(O591,データについて!$J$9:$M$18,10,FALSE)</f>
        <v>1</v>
      </c>
      <c r="W591" s="81">
        <f>HLOOKUP(P591,データについて!$J$10:$M$18,9,FALSE)</f>
        <v>1</v>
      </c>
      <c r="X591" s="81">
        <f>HLOOKUP(Q591,データについて!$J$11:$M$18,8,FALSE)</f>
        <v>1</v>
      </c>
      <c r="Y591" s="81">
        <f>HLOOKUP(R591,データについて!$J$12:$M$18,7,FALSE)</f>
        <v>1</v>
      </c>
      <c r="Z591" s="81">
        <f>HLOOKUP(I591,データについて!$J$3:$M$18,16,FALSE)</f>
        <v>1</v>
      </c>
      <c r="AA591" s="81">
        <f>IFERROR(HLOOKUP(J591,データについて!$J$4:$AH$19,16,FALSE),"")</f>
        <v>12</v>
      </c>
      <c r="AB591" s="81" t="str">
        <f>IFERROR(HLOOKUP(K591,データについて!$J$5:$AH$20,14,FALSE),"")</f>
        <v/>
      </c>
      <c r="AC591" s="81">
        <f>IF(X591=1,HLOOKUP(R591,データについて!$J$12:$M$18,7,FALSE),"*")</f>
        <v>1</v>
      </c>
      <c r="AD591" s="81" t="str">
        <f>IF(X591=2,HLOOKUP(R591,データについて!$J$12:$M$18,7,FALSE),"*")</f>
        <v>*</v>
      </c>
    </row>
    <row r="592" spans="1:30">
      <c r="A592" s="30">
        <v>4600</v>
      </c>
      <c r="B592" s="30" t="s">
        <v>4151</v>
      </c>
      <c r="C592" s="30" t="s">
        <v>4152</v>
      </c>
      <c r="D592" s="30" t="s">
        <v>106</v>
      </c>
      <c r="E592" s="30"/>
      <c r="F592" s="30" t="s">
        <v>107</v>
      </c>
      <c r="G592" s="30" t="s">
        <v>106</v>
      </c>
      <c r="H592" s="30"/>
      <c r="I592" s="30" t="s">
        <v>191</v>
      </c>
      <c r="J592" s="30"/>
      <c r="K592" s="30" t="s">
        <v>126</v>
      </c>
      <c r="L592" s="30" t="s">
        <v>117</v>
      </c>
      <c r="M592" s="30" t="s">
        <v>124</v>
      </c>
      <c r="N592" s="30" t="s">
        <v>110</v>
      </c>
      <c r="O592" s="30" t="s">
        <v>115</v>
      </c>
      <c r="P592" s="30" t="s">
        <v>118</v>
      </c>
      <c r="Q592" s="30" t="s">
        <v>118</v>
      </c>
      <c r="R592" s="30" t="s">
        <v>189</v>
      </c>
      <c r="S592" s="81">
        <f>HLOOKUP(L592,データについて!$J$6:$M$18,13,FALSE)</f>
        <v>2</v>
      </c>
      <c r="T592" s="81">
        <f>HLOOKUP(M592,データについて!$J$7:$M$18,12,FALSE)</f>
        <v>3</v>
      </c>
      <c r="U592" s="81">
        <f>HLOOKUP(N592,データについて!$J$8:$M$18,11,FALSE)</f>
        <v>2</v>
      </c>
      <c r="V592" s="81">
        <f>HLOOKUP(O592,データについて!$J$9:$M$18,10,FALSE)</f>
        <v>1</v>
      </c>
      <c r="W592" s="81">
        <f>HLOOKUP(P592,データについて!$J$10:$M$18,9,FALSE)</f>
        <v>2</v>
      </c>
      <c r="X592" s="81">
        <f>HLOOKUP(Q592,データについて!$J$11:$M$18,8,FALSE)</f>
        <v>2</v>
      </c>
      <c r="Y592" s="81">
        <f>HLOOKUP(R592,データについて!$J$12:$M$18,7,FALSE)</f>
        <v>4</v>
      </c>
      <c r="Z592" s="81">
        <f>HLOOKUP(I592,データについて!$J$3:$M$18,16,FALSE)</f>
        <v>2</v>
      </c>
      <c r="AA592" s="81" t="str">
        <f>IFERROR(HLOOKUP(J592,データについて!$J$4:$AH$19,16,FALSE),"")</f>
        <v/>
      </c>
      <c r="AB592" s="81">
        <f>IFERROR(HLOOKUP(K592,データについて!$J$5:$AH$20,14,FALSE),"")</f>
        <v>0</v>
      </c>
      <c r="AC592" s="81" t="str">
        <f>IF(X592=1,HLOOKUP(R592,データについて!$J$12:$M$18,7,FALSE),"*")</f>
        <v>*</v>
      </c>
      <c r="AD592" s="81">
        <f>IF(X592=2,HLOOKUP(R592,データについて!$J$12:$M$18,7,FALSE),"*")</f>
        <v>4</v>
      </c>
    </row>
    <row r="593" spans="1:30">
      <c r="A593" s="30">
        <v>4599</v>
      </c>
      <c r="B593" s="30" t="s">
        <v>4153</v>
      </c>
      <c r="C593" s="30" t="s">
        <v>4152</v>
      </c>
      <c r="D593" s="30" t="s">
        <v>106</v>
      </c>
      <c r="E593" s="30"/>
      <c r="F593" s="30" t="s">
        <v>107</v>
      </c>
      <c r="G593" s="30" t="s">
        <v>106</v>
      </c>
      <c r="H593" s="30"/>
      <c r="I593" s="30" t="s">
        <v>191</v>
      </c>
      <c r="J593" s="30"/>
      <c r="K593" s="30" t="s">
        <v>126</v>
      </c>
      <c r="L593" s="30" t="s">
        <v>117</v>
      </c>
      <c r="M593" s="30" t="s">
        <v>113</v>
      </c>
      <c r="N593" s="30" t="s">
        <v>114</v>
      </c>
      <c r="O593" s="30" t="s">
        <v>115</v>
      </c>
      <c r="P593" s="30" t="s">
        <v>112</v>
      </c>
      <c r="Q593" s="30" t="s">
        <v>112</v>
      </c>
      <c r="R593" s="30" t="s">
        <v>183</v>
      </c>
      <c r="S593" s="81">
        <f>HLOOKUP(L593,データについて!$J$6:$M$18,13,FALSE)</f>
        <v>2</v>
      </c>
      <c r="T593" s="81">
        <f>HLOOKUP(M593,データについて!$J$7:$M$18,12,FALSE)</f>
        <v>1</v>
      </c>
      <c r="U593" s="81">
        <f>HLOOKUP(N593,データについて!$J$8:$M$18,11,FALSE)</f>
        <v>1</v>
      </c>
      <c r="V593" s="81">
        <f>HLOOKUP(O593,データについて!$J$9:$M$18,10,FALSE)</f>
        <v>1</v>
      </c>
      <c r="W593" s="81">
        <f>HLOOKUP(P593,データについて!$J$10:$M$18,9,FALSE)</f>
        <v>1</v>
      </c>
      <c r="X593" s="81">
        <f>HLOOKUP(Q593,データについて!$J$11:$M$18,8,FALSE)</f>
        <v>1</v>
      </c>
      <c r="Y593" s="81">
        <f>HLOOKUP(R593,データについて!$J$12:$M$18,7,FALSE)</f>
        <v>1</v>
      </c>
      <c r="Z593" s="81">
        <f>HLOOKUP(I593,データについて!$J$3:$M$18,16,FALSE)</f>
        <v>2</v>
      </c>
      <c r="AA593" s="81" t="str">
        <f>IFERROR(HLOOKUP(J593,データについて!$J$4:$AH$19,16,FALSE),"")</f>
        <v/>
      </c>
      <c r="AB593" s="81">
        <f>IFERROR(HLOOKUP(K593,データについて!$J$5:$AH$20,14,FALSE),"")</f>
        <v>0</v>
      </c>
      <c r="AC593" s="81">
        <f>IF(X593=1,HLOOKUP(R593,データについて!$J$12:$M$18,7,FALSE),"*")</f>
        <v>1</v>
      </c>
      <c r="AD593" s="81" t="str">
        <f>IF(X593=2,HLOOKUP(R593,データについて!$J$12:$M$18,7,FALSE),"*")</f>
        <v>*</v>
      </c>
    </row>
    <row r="594" spans="1:30">
      <c r="A594" s="30">
        <v>4598</v>
      </c>
      <c r="B594" s="30" t="s">
        <v>4154</v>
      </c>
      <c r="C594" s="30" t="s">
        <v>4152</v>
      </c>
      <c r="D594" s="30" t="s">
        <v>106</v>
      </c>
      <c r="E594" s="30"/>
      <c r="F594" s="30" t="s">
        <v>107</v>
      </c>
      <c r="G594" s="30" t="s">
        <v>106</v>
      </c>
      <c r="H594" s="30"/>
      <c r="I594" s="30" t="s">
        <v>191</v>
      </c>
      <c r="J594" s="30"/>
      <c r="K594" s="30" t="s">
        <v>126</v>
      </c>
      <c r="L594" s="30" t="s">
        <v>108</v>
      </c>
      <c r="M594" s="30" t="s">
        <v>113</v>
      </c>
      <c r="N594" s="30" t="s">
        <v>122</v>
      </c>
      <c r="O594" s="30" t="s">
        <v>111</v>
      </c>
      <c r="P594" s="30" t="s">
        <v>112</v>
      </c>
      <c r="Q594" s="30" t="s">
        <v>118</v>
      </c>
      <c r="R594" s="30" t="s">
        <v>187</v>
      </c>
      <c r="S594" s="81">
        <f>HLOOKUP(L594,データについて!$J$6:$M$18,13,FALSE)</f>
        <v>1</v>
      </c>
      <c r="T594" s="81">
        <f>HLOOKUP(M594,データについて!$J$7:$M$18,12,FALSE)</f>
        <v>1</v>
      </c>
      <c r="U594" s="81">
        <f>HLOOKUP(N594,データについて!$J$8:$M$18,11,FALSE)</f>
        <v>3</v>
      </c>
      <c r="V594" s="81">
        <f>HLOOKUP(O594,データについて!$J$9:$M$18,10,FALSE)</f>
        <v>3</v>
      </c>
      <c r="W594" s="81">
        <f>HLOOKUP(P594,データについて!$J$10:$M$18,9,FALSE)</f>
        <v>1</v>
      </c>
      <c r="X594" s="81">
        <f>HLOOKUP(Q594,データについて!$J$11:$M$18,8,FALSE)</f>
        <v>2</v>
      </c>
      <c r="Y594" s="81">
        <f>HLOOKUP(R594,データについて!$J$12:$M$18,7,FALSE)</f>
        <v>3</v>
      </c>
      <c r="Z594" s="81">
        <f>HLOOKUP(I594,データについて!$J$3:$M$18,16,FALSE)</f>
        <v>2</v>
      </c>
      <c r="AA594" s="81" t="str">
        <f>IFERROR(HLOOKUP(J594,データについて!$J$4:$AH$19,16,FALSE),"")</f>
        <v/>
      </c>
      <c r="AB594" s="81">
        <f>IFERROR(HLOOKUP(K594,データについて!$J$5:$AH$20,14,FALSE),"")</f>
        <v>0</v>
      </c>
      <c r="AC594" s="81" t="str">
        <f>IF(X594=1,HLOOKUP(R594,データについて!$J$12:$M$18,7,FALSE),"*")</f>
        <v>*</v>
      </c>
      <c r="AD594" s="81">
        <f>IF(X594=2,HLOOKUP(R594,データについて!$J$12:$M$18,7,FALSE),"*")</f>
        <v>3</v>
      </c>
    </row>
    <row r="595" spans="1:30">
      <c r="A595" s="30">
        <v>4597</v>
      </c>
      <c r="B595" s="30" t="s">
        <v>4155</v>
      </c>
      <c r="C595" s="30" t="s">
        <v>4156</v>
      </c>
      <c r="D595" s="30" t="s">
        <v>106</v>
      </c>
      <c r="E595" s="30"/>
      <c r="F595" s="30" t="s">
        <v>107</v>
      </c>
      <c r="G595" s="30" t="s">
        <v>106</v>
      </c>
      <c r="H595" s="30"/>
      <c r="I595" s="30" t="s">
        <v>191</v>
      </c>
      <c r="J595" s="30"/>
      <c r="K595" s="30" t="s">
        <v>126</v>
      </c>
      <c r="L595" s="30" t="s">
        <v>117</v>
      </c>
      <c r="M595" s="30" t="s">
        <v>113</v>
      </c>
      <c r="N595" s="30" t="s">
        <v>110</v>
      </c>
      <c r="O595" s="30" t="s">
        <v>115</v>
      </c>
      <c r="P595" s="30" t="s">
        <v>112</v>
      </c>
      <c r="Q595" s="30" t="s">
        <v>112</v>
      </c>
      <c r="R595" s="30" t="s">
        <v>185</v>
      </c>
      <c r="S595" s="81">
        <f>HLOOKUP(L595,データについて!$J$6:$M$18,13,FALSE)</f>
        <v>2</v>
      </c>
      <c r="T595" s="81">
        <f>HLOOKUP(M595,データについて!$J$7:$M$18,12,FALSE)</f>
        <v>1</v>
      </c>
      <c r="U595" s="81">
        <f>HLOOKUP(N595,データについて!$J$8:$M$18,11,FALSE)</f>
        <v>2</v>
      </c>
      <c r="V595" s="81">
        <f>HLOOKUP(O595,データについて!$J$9:$M$18,10,FALSE)</f>
        <v>1</v>
      </c>
      <c r="W595" s="81">
        <f>HLOOKUP(P595,データについて!$J$10:$M$18,9,FALSE)</f>
        <v>1</v>
      </c>
      <c r="X595" s="81">
        <f>HLOOKUP(Q595,データについて!$J$11:$M$18,8,FALSE)</f>
        <v>1</v>
      </c>
      <c r="Y595" s="81">
        <f>HLOOKUP(R595,データについて!$J$12:$M$18,7,FALSE)</f>
        <v>2</v>
      </c>
      <c r="Z595" s="81">
        <f>HLOOKUP(I595,データについて!$J$3:$M$18,16,FALSE)</f>
        <v>2</v>
      </c>
      <c r="AA595" s="81" t="str">
        <f>IFERROR(HLOOKUP(J595,データについて!$J$4:$AH$19,16,FALSE),"")</f>
        <v/>
      </c>
      <c r="AB595" s="81">
        <f>IFERROR(HLOOKUP(K595,データについて!$J$5:$AH$20,14,FALSE),"")</f>
        <v>0</v>
      </c>
      <c r="AC595" s="81">
        <f>IF(X595=1,HLOOKUP(R595,データについて!$J$12:$M$18,7,FALSE),"*")</f>
        <v>2</v>
      </c>
      <c r="AD595" s="81" t="str">
        <f>IF(X595=2,HLOOKUP(R595,データについて!$J$12:$M$18,7,FALSE),"*")</f>
        <v>*</v>
      </c>
    </row>
    <row r="596" spans="1:30">
      <c r="A596" s="30">
        <v>4596</v>
      </c>
      <c r="B596" s="30" t="s">
        <v>4157</v>
      </c>
      <c r="C596" s="30" t="s">
        <v>4156</v>
      </c>
      <c r="D596" s="30" t="s">
        <v>106</v>
      </c>
      <c r="E596" s="30"/>
      <c r="F596" s="30" t="s">
        <v>107</v>
      </c>
      <c r="G596" s="30" t="s">
        <v>106</v>
      </c>
      <c r="H596" s="30"/>
      <c r="I596" s="30" t="s">
        <v>191</v>
      </c>
      <c r="J596" s="30"/>
      <c r="K596" s="30" t="s">
        <v>126</v>
      </c>
      <c r="L596" s="30" t="s">
        <v>108</v>
      </c>
      <c r="M596" s="30" t="s">
        <v>113</v>
      </c>
      <c r="N596" s="30" t="s">
        <v>114</v>
      </c>
      <c r="O596" s="30" t="s">
        <v>115</v>
      </c>
      <c r="P596" s="30" t="s">
        <v>118</v>
      </c>
      <c r="Q596" s="30" t="s">
        <v>112</v>
      </c>
      <c r="R596" s="30" t="s">
        <v>185</v>
      </c>
      <c r="S596" s="81">
        <f>HLOOKUP(L596,データについて!$J$6:$M$18,13,FALSE)</f>
        <v>1</v>
      </c>
      <c r="T596" s="81">
        <f>HLOOKUP(M596,データについて!$J$7:$M$18,12,FALSE)</f>
        <v>1</v>
      </c>
      <c r="U596" s="81">
        <f>HLOOKUP(N596,データについて!$J$8:$M$18,11,FALSE)</f>
        <v>1</v>
      </c>
      <c r="V596" s="81">
        <f>HLOOKUP(O596,データについて!$J$9:$M$18,10,FALSE)</f>
        <v>1</v>
      </c>
      <c r="W596" s="81">
        <f>HLOOKUP(P596,データについて!$J$10:$M$18,9,FALSE)</f>
        <v>2</v>
      </c>
      <c r="X596" s="81">
        <f>HLOOKUP(Q596,データについて!$J$11:$M$18,8,FALSE)</f>
        <v>1</v>
      </c>
      <c r="Y596" s="81">
        <f>HLOOKUP(R596,データについて!$J$12:$M$18,7,FALSE)</f>
        <v>2</v>
      </c>
      <c r="Z596" s="81">
        <f>HLOOKUP(I596,データについて!$J$3:$M$18,16,FALSE)</f>
        <v>2</v>
      </c>
      <c r="AA596" s="81" t="str">
        <f>IFERROR(HLOOKUP(J596,データについて!$J$4:$AH$19,16,FALSE),"")</f>
        <v/>
      </c>
      <c r="AB596" s="81">
        <f>IFERROR(HLOOKUP(K596,データについて!$J$5:$AH$20,14,FALSE),"")</f>
        <v>0</v>
      </c>
      <c r="AC596" s="81">
        <f>IF(X596=1,HLOOKUP(R596,データについて!$J$12:$M$18,7,FALSE),"*")</f>
        <v>2</v>
      </c>
      <c r="AD596" s="81" t="str">
        <f>IF(X596=2,HLOOKUP(R596,データについて!$J$12:$M$18,7,FALSE),"*")</f>
        <v>*</v>
      </c>
    </row>
    <row r="597" spans="1:30">
      <c r="A597" s="30">
        <v>4595</v>
      </c>
      <c r="B597" s="30" t="s">
        <v>4158</v>
      </c>
      <c r="C597" s="30" t="s">
        <v>4159</v>
      </c>
      <c r="D597" s="30" t="s">
        <v>106</v>
      </c>
      <c r="E597" s="30"/>
      <c r="F597" s="30" t="s">
        <v>107</v>
      </c>
      <c r="G597" s="30" t="s">
        <v>106</v>
      </c>
      <c r="H597" s="30"/>
      <c r="I597" s="30" t="s">
        <v>191</v>
      </c>
      <c r="J597" s="30"/>
      <c r="K597" s="30" t="s">
        <v>1713</v>
      </c>
      <c r="L597" s="30" t="s">
        <v>117</v>
      </c>
      <c r="M597" s="30" t="s">
        <v>124</v>
      </c>
      <c r="N597" s="30" t="s">
        <v>122</v>
      </c>
      <c r="O597" s="30" t="s">
        <v>115</v>
      </c>
      <c r="P597" s="30" t="s">
        <v>118</v>
      </c>
      <c r="Q597" s="30" t="s">
        <v>118</v>
      </c>
      <c r="R597" s="30" t="s">
        <v>183</v>
      </c>
      <c r="S597" s="81">
        <f>HLOOKUP(L597,データについて!$J$6:$M$18,13,FALSE)</f>
        <v>2</v>
      </c>
      <c r="T597" s="81">
        <f>HLOOKUP(M597,データについて!$J$7:$M$18,12,FALSE)</f>
        <v>3</v>
      </c>
      <c r="U597" s="81">
        <f>HLOOKUP(N597,データについて!$J$8:$M$18,11,FALSE)</f>
        <v>3</v>
      </c>
      <c r="V597" s="81">
        <f>HLOOKUP(O597,データについて!$J$9:$M$18,10,FALSE)</f>
        <v>1</v>
      </c>
      <c r="W597" s="81">
        <f>HLOOKUP(P597,データについて!$J$10:$M$18,9,FALSE)</f>
        <v>2</v>
      </c>
      <c r="X597" s="81">
        <f>HLOOKUP(Q597,データについて!$J$11:$M$18,8,FALSE)</f>
        <v>2</v>
      </c>
      <c r="Y597" s="81">
        <f>HLOOKUP(R597,データについて!$J$12:$M$18,7,FALSE)</f>
        <v>1</v>
      </c>
      <c r="Z597" s="81">
        <f>HLOOKUP(I597,データについて!$J$3:$M$18,16,FALSE)</f>
        <v>2</v>
      </c>
      <c r="AA597" s="81" t="str">
        <f>IFERROR(HLOOKUP(J597,データについて!$J$4:$AH$19,16,FALSE),"")</f>
        <v/>
      </c>
      <c r="AB597" s="81">
        <f>IFERROR(HLOOKUP(K597,データについて!$J$5:$AH$20,14,FALSE),"")</f>
        <v>2</v>
      </c>
      <c r="AC597" s="81" t="str">
        <f>IF(X597=1,HLOOKUP(R597,データについて!$J$12:$M$18,7,FALSE),"*")</f>
        <v>*</v>
      </c>
      <c r="AD597" s="81">
        <f>IF(X597=2,HLOOKUP(R597,データについて!$J$12:$M$18,7,FALSE),"*")</f>
        <v>1</v>
      </c>
    </row>
    <row r="598" spans="1:30">
      <c r="A598" s="30">
        <v>4594</v>
      </c>
      <c r="B598" s="30" t="s">
        <v>4160</v>
      </c>
      <c r="C598" s="30" t="s">
        <v>4161</v>
      </c>
      <c r="D598" s="30" t="s">
        <v>106</v>
      </c>
      <c r="E598" s="30"/>
      <c r="F598" s="30" t="s">
        <v>107</v>
      </c>
      <c r="G598" s="30" t="s">
        <v>106</v>
      </c>
      <c r="H598" s="30"/>
      <c r="I598" s="30" t="s">
        <v>192</v>
      </c>
      <c r="J598" s="30" t="s">
        <v>125</v>
      </c>
      <c r="K598" s="30"/>
      <c r="L598" s="30" t="s">
        <v>108</v>
      </c>
      <c r="M598" s="30" t="s">
        <v>113</v>
      </c>
      <c r="N598" s="30" t="s">
        <v>114</v>
      </c>
      <c r="O598" s="30" t="s">
        <v>115</v>
      </c>
      <c r="P598" s="30" t="s">
        <v>112</v>
      </c>
      <c r="Q598" s="30" t="s">
        <v>112</v>
      </c>
      <c r="R598" s="30" t="s">
        <v>185</v>
      </c>
      <c r="S598" s="81">
        <f>HLOOKUP(L598,データについて!$J$6:$M$18,13,FALSE)</f>
        <v>1</v>
      </c>
      <c r="T598" s="81">
        <f>HLOOKUP(M598,データについて!$J$7:$M$18,12,FALSE)</f>
        <v>1</v>
      </c>
      <c r="U598" s="81">
        <f>HLOOKUP(N598,データについて!$J$8:$M$18,11,FALSE)</f>
        <v>1</v>
      </c>
      <c r="V598" s="81">
        <f>HLOOKUP(O598,データについて!$J$9:$M$18,10,FALSE)</f>
        <v>1</v>
      </c>
      <c r="W598" s="81">
        <f>HLOOKUP(P598,データについて!$J$10:$M$18,9,FALSE)</f>
        <v>1</v>
      </c>
      <c r="X598" s="81">
        <f>HLOOKUP(Q598,データについて!$J$11:$M$18,8,FALSE)</f>
        <v>1</v>
      </c>
      <c r="Y598" s="81">
        <f>HLOOKUP(R598,データについて!$J$12:$M$18,7,FALSE)</f>
        <v>2</v>
      </c>
      <c r="Z598" s="81">
        <f>HLOOKUP(I598,データについて!$J$3:$M$18,16,FALSE)</f>
        <v>1</v>
      </c>
      <c r="AA598" s="81">
        <f>IFERROR(HLOOKUP(J598,データについて!$J$4:$AH$19,16,FALSE),"")</f>
        <v>6</v>
      </c>
      <c r="AB598" s="81" t="str">
        <f>IFERROR(HLOOKUP(K598,データについて!$J$5:$AH$20,14,FALSE),"")</f>
        <v/>
      </c>
      <c r="AC598" s="81">
        <f>IF(X598=1,HLOOKUP(R598,データについて!$J$12:$M$18,7,FALSE),"*")</f>
        <v>2</v>
      </c>
      <c r="AD598" s="81" t="str">
        <f>IF(X598=2,HLOOKUP(R598,データについて!$J$12:$M$18,7,FALSE),"*")</f>
        <v>*</v>
      </c>
    </row>
    <row r="599" spans="1:30">
      <c r="A599" s="30">
        <v>4593</v>
      </c>
      <c r="B599" s="30" t="s">
        <v>4162</v>
      </c>
      <c r="C599" s="30" t="s">
        <v>4161</v>
      </c>
      <c r="D599" s="30" t="s">
        <v>106</v>
      </c>
      <c r="E599" s="30"/>
      <c r="F599" s="30" t="s">
        <v>107</v>
      </c>
      <c r="G599" s="30" t="s">
        <v>106</v>
      </c>
      <c r="H599" s="30"/>
      <c r="I599" s="30" t="s">
        <v>191</v>
      </c>
      <c r="J599" s="30"/>
      <c r="K599" s="30" t="s">
        <v>126</v>
      </c>
      <c r="L599" s="30" t="s">
        <v>108</v>
      </c>
      <c r="M599" s="30" t="s">
        <v>113</v>
      </c>
      <c r="N599" s="30" t="s">
        <v>114</v>
      </c>
      <c r="O599" s="30" t="s">
        <v>115</v>
      </c>
      <c r="P599" s="30" t="s">
        <v>112</v>
      </c>
      <c r="Q599" s="30" t="s">
        <v>112</v>
      </c>
      <c r="R599" s="30" t="s">
        <v>183</v>
      </c>
      <c r="S599" s="81">
        <f>HLOOKUP(L599,データについて!$J$6:$M$18,13,FALSE)</f>
        <v>1</v>
      </c>
      <c r="T599" s="81">
        <f>HLOOKUP(M599,データについて!$J$7:$M$18,12,FALSE)</f>
        <v>1</v>
      </c>
      <c r="U599" s="81">
        <f>HLOOKUP(N599,データについて!$J$8:$M$18,11,FALSE)</f>
        <v>1</v>
      </c>
      <c r="V599" s="81">
        <f>HLOOKUP(O599,データについて!$J$9:$M$18,10,FALSE)</f>
        <v>1</v>
      </c>
      <c r="W599" s="81">
        <f>HLOOKUP(P599,データについて!$J$10:$M$18,9,FALSE)</f>
        <v>1</v>
      </c>
      <c r="X599" s="81">
        <f>HLOOKUP(Q599,データについて!$J$11:$M$18,8,FALSE)</f>
        <v>1</v>
      </c>
      <c r="Y599" s="81">
        <f>HLOOKUP(R599,データについて!$J$12:$M$18,7,FALSE)</f>
        <v>1</v>
      </c>
      <c r="Z599" s="81">
        <f>HLOOKUP(I599,データについて!$J$3:$M$18,16,FALSE)</f>
        <v>2</v>
      </c>
      <c r="AA599" s="81" t="str">
        <f>IFERROR(HLOOKUP(J599,データについて!$J$4:$AH$19,16,FALSE),"")</f>
        <v/>
      </c>
      <c r="AB599" s="81">
        <f>IFERROR(HLOOKUP(K599,データについて!$J$5:$AH$20,14,FALSE),"")</f>
        <v>0</v>
      </c>
      <c r="AC599" s="81">
        <f>IF(X599=1,HLOOKUP(R599,データについて!$J$12:$M$18,7,FALSE),"*")</f>
        <v>1</v>
      </c>
      <c r="AD599" s="81" t="str">
        <f>IF(X599=2,HLOOKUP(R599,データについて!$J$12:$M$18,7,FALSE),"*")</f>
        <v>*</v>
      </c>
    </row>
    <row r="600" spans="1:30">
      <c r="A600" s="30">
        <v>4592</v>
      </c>
      <c r="B600" s="30" t="s">
        <v>4163</v>
      </c>
      <c r="C600" s="30" t="s">
        <v>4161</v>
      </c>
      <c r="D600" s="30" t="s">
        <v>106</v>
      </c>
      <c r="E600" s="30"/>
      <c r="F600" s="30" t="s">
        <v>107</v>
      </c>
      <c r="G600" s="30" t="s">
        <v>106</v>
      </c>
      <c r="H600" s="30"/>
      <c r="I600" s="30" t="s">
        <v>191</v>
      </c>
      <c r="J600" s="30"/>
      <c r="K600" s="30" t="s">
        <v>126</v>
      </c>
      <c r="L600" s="30" t="s">
        <v>108</v>
      </c>
      <c r="M600" s="30" t="s">
        <v>113</v>
      </c>
      <c r="N600" s="30" t="s">
        <v>110</v>
      </c>
      <c r="O600" s="30" t="s">
        <v>115</v>
      </c>
      <c r="P600" s="30" t="s">
        <v>112</v>
      </c>
      <c r="Q600" s="30" t="s">
        <v>112</v>
      </c>
      <c r="R600" s="30" t="s">
        <v>185</v>
      </c>
      <c r="S600" s="81">
        <f>HLOOKUP(L600,データについて!$J$6:$M$18,13,FALSE)</f>
        <v>1</v>
      </c>
      <c r="T600" s="81">
        <f>HLOOKUP(M600,データについて!$J$7:$M$18,12,FALSE)</f>
        <v>1</v>
      </c>
      <c r="U600" s="81">
        <f>HLOOKUP(N600,データについて!$J$8:$M$18,11,FALSE)</f>
        <v>2</v>
      </c>
      <c r="V600" s="81">
        <f>HLOOKUP(O600,データについて!$J$9:$M$18,10,FALSE)</f>
        <v>1</v>
      </c>
      <c r="W600" s="81">
        <f>HLOOKUP(P600,データについて!$J$10:$M$18,9,FALSE)</f>
        <v>1</v>
      </c>
      <c r="X600" s="81">
        <f>HLOOKUP(Q600,データについて!$J$11:$M$18,8,FALSE)</f>
        <v>1</v>
      </c>
      <c r="Y600" s="81">
        <f>HLOOKUP(R600,データについて!$J$12:$M$18,7,FALSE)</f>
        <v>2</v>
      </c>
      <c r="Z600" s="81">
        <f>HLOOKUP(I600,データについて!$J$3:$M$18,16,FALSE)</f>
        <v>2</v>
      </c>
      <c r="AA600" s="81" t="str">
        <f>IFERROR(HLOOKUP(J600,データについて!$J$4:$AH$19,16,FALSE),"")</f>
        <v/>
      </c>
      <c r="AB600" s="81">
        <f>IFERROR(HLOOKUP(K600,データについて!$J$5:$AH$20,14,FALSE),"")</f>
        <v>0</v>
      </c>
      <c r="AC600" s="81">
        <f>IF(X600=1,HLOOKUP(R600,データについて!$J$12:$M$18,7,FALSE),"*")</f>
        <v>2</v>
      </c>
      <c r="AD600" s="81" t="str">
        <f>IF(X600=2,HLOOKUP(R600,データについて!$J$12:$M$18,7,FALSE),"*")</f>
        <v>*</v>
      </c>
    </row>
    <row r="601" spans="1:30">
      <c r="A601" s="30">
        <v>4591</v>
      </c>
      <c r="B601" s="30" t="s">
        <v>4164</v>
      </c>
      <c r="C601" s="30" t="s">
        <v>4165</v>
      </c>
      <c r="D601" s="30" t="s">
        <v>106</v>
      </c>
      <c r="E601" s="30"/>
      <c r="F601" s="30" t="s">
        <v>107</v>
      </c>
      <c r="G601" s="30" t="s">
        <v>106</v>
      </c>
      <c r="H601" s="30"/>
      <c r="I601" s="30" t="s">
        <v>191</v>
      </c>
      <c r="J601" s="30"/>
      <c r="K601" s="30" t="s">
        <v>126</v>
      </c>
      <c r="L601" s="30" t="s">
        <v>117</v>
      </c>
      <c r="M601" s="30" t="s">
        <v>109</v>
      </c>
      <c r="N601" s="30" t="s">
        <v>110</v>
      </c>
      <c r="O601" s="30" t="s">
        <v>115</v>
      </c>
      <c r="P601" s="30" t="s">
        <v>118</v>
      </c>
      <c r="Q601" s="30" t="s">
        <v>118</v>
      </c>
      <c r="R601" s="30" t="s">
        <v>187</v>
      </c>
      <c r="S601" s="81">
        <f>HLOOKUP(L601,データについて!$J$6:$M$18,13,FALSE)</f>
        <v>2</v>
      </c>
      <c r="T601" s="81">
        <f>HLOOKUP(M601,データについて!$J$7:$M$18,12,FALSE)</f>
        <v>2</v>
      </c>
      <c r="U601" s="81">
        <f>HLOOKUP(N601,データについて!$J$8:$M$18,11,FALSE)</f>
        <v>2</v>
      </c>
      <c r="V601" s="81">
        <f>HLOOKUP(O601,データについて!$J$9:$M$18,10,FALSE)</f>
        <v>1</v>
      </c>
      <c r="W601" s="81">
        <f>HLOOKUP(P601,データについて!$J$10:$M$18,9,FALSE)</f>
        <v>2</v>
      </c>
      <c r="X601" s="81">
        <f>HLOOKUP(Q601,データについて!$J$11:$M$18,8,FALSE)</f>
        <v>2</v>
      </c>
      <c r="Y601" s="81">
        <f>HLOOKUP(R601,データについて!$J$12:$M$18,7,FALSE)</f>
        <v>3</v>
      </c>
      <c r="Z601" s="81">
        <f>HLOOKUP(I601,データについて!$J$3:$M$18,16,FALSE)</f>
        <v>2</v>
      </c>
      <c r="AA601" s="81" t="str">
        <f>IFERROR(HLOOKUP(J601,データについて!$J$4:$AH$19,16,FALSE),"")</f>
        <v/>
      </c>
      <c r="AB601" s="81">
        <f>IFERROR(HLOOKUP(K601,データについて!$J$5:$AH$20,14,FALSE),"")</f>
        <v>0</v>
      </c>
      <c r="AC601" s="81" t="str">
        <f>IF(X601=1,HLOOKUP(R601,データについて!$J$12:$M$18,7,FALSE),"*")</f>
        <v>*</v>
      </c>
      <c r="AD601" s="81">
        <f>IF(X601=2,HLOOKUP(R601,データについて!$J$12:$M$18,7,FALSE),"*")</f>
        <v>3</v>
      </c>
    </row>
    <row r="602" spans="1:30">
      <c r="A602" s="30">
        <v>4590</v>
      </c>
      <c r="B602" s="30" t="s">
        <v>4166</v>
      </c>
      <c r="C602" s="30" t="s">
        <v>4167</v>
      </c>
      <c r="D602" s="30" t="s">
        <v>106</v>
      </c>
      <c r="E602" s="30"/>
      <c r="F602" s="30" t="s">
        <v>107</v>
      </c>
      <c r="G602" s="30" t="s">
        <v>106</v>
      </c>
      <c r="H602" s="30"/>
      <c r="I602" s="30" t="s">
        <v>191</v>
      </c>
      <c r="J602" s="30"/>
      <c r="K602" s="30" t="s">
        <v>126</v>
      </c>
      <c r="L602" s="30" t="s">
        <v>108</v>
      </c>
      <c r="M602" s="30" t="s">
        <v>113</v>
      </c>
      <c r="N602" s="30" t="s">
        <v>114</v>
      </c>
      <c r="O602" s="30" t="s">
        <v>115</v>
      </c>
      <c r="P602" s="30" t="s">
        <v>118</v>
      </c>
      <c r="Q602" s="30" t="s">
        <v>112</v>
      </c>
      <c r="R602" s="30" t="s">
        <v>183</v>
      </c>
      <c r="S602" s="81">
        <f>HLOOKUP(L602,データについて!$J$6:$M$18,13,FALSE)</f>
        <v>1</v>
      </c>
      <c r="T602" s="81">
        <f>HLOOKUP(M602,データについて!$J$7:$M$18,12,FALSE)</f>
        <v>1</v>
      </c>
      <c r="U602" s="81">
        <f>HLOOKUP(N602,データについて!$J$8:$M$18,11,FALSE)</f>
        <v>1</v>
      </c>
      <c r="V602" s="81">
        <f>HLOOKUP(O602,データについて!$J$9:$M$18,10,FALSE)</f>
        <v>1</v>
      </c>
      <c r="W602" s="81">
        <f>HLOOKUP(P602,データについて!$J$10:$M$18,9,FALSE)</f>
        <v>2</v>
      </c>
      <c r="X602" s="81">
        <f>HLOOKUP(Q602,データについて!$J$11:$M$18,8,FALSE)</f>
        <v>1</v>
      </c>
      <c r="Y602" s="81">
        <f>HLOOKUP(R602,データについて!$J$12:$M$18,7,FALSE)</f>
        <v>1</v>
      </c>
      <c r="Z602" s="81">
        <f>HLOOKUP(I602,データについて!$J$3:$M$18,16,FALSE)</f>
        <v>2</v>
      </c>
      <c r="AA602" s="81" t="str">
        <f>IFERROR(HLOOKUP(J602,データについて!$J$4:$AH$19,16,FALSE),"")</f>
        <v/>
      </c>
      <c r="AB602" s="81">
        <f>IFERROR(HLOOKUP(K602,データについて!$J$5:$AH$20,14,FALSE),"")</f>
        <v>0</v>
      </c>
      <c r="AC602" s="81">
        <f>IF(X602=1,HLOOKUP(R602,データについて!$J$12:$M$18,7,FALSE),"*")</f>
        <v>1</v>
      </c>
      <c r="AD602" s="81" t="str">
        <f>IF(X602=2,HLOOKUP(R602,データについて!$J$12:$M$18,7,FALSE),"*")</f>
        <v>*</v>
      </c>
    </row>
    <row r="603" spans="1:30">
      <c r="A603" s="30">
        <v>4589</v>
      </c>
      <c r="B603" s="30" t="s">
        <v>4168</v>
      </c>
      <c r="C603" s="30" t="s">
        <v>4169</v>
      </c>
      <c r="D603" s="30" t="s">
        <v>106</v>
      </c>
      <c r="E603" s="30"/>
      <c r="F603" s="30" t="s">
        <v>107</v>
      </c>
      <c r="G603" s="30" t="s">
        <v>106</v>
      </c>
      <c r="H603" s="30"/>
      <c r="I603" s="30" t="s">
        <v>191</v>
      </c>
      <c r="J603" s="30"/>
      <c r="K603" s="30" t="s">
        <v>126</v>
      </c>
      <c r="L603" s="30" t="s">
        <v>108</v>
      </c>
      <c r="M603" s="30" t="s">
        <v>113</v>
      </c>
      <c r="N603" s="30" t="s">
        <v>110</v>
      </c>
      <c r="O603" s="30" t="s">
        <v>115</v>
      </c>
      <c r="P603" s="30" t="s">
        <v>112</v>
      </c>
      <c r="Q603" s="30" t="s">
        <v>112</v>
      </c>
      <c r="R603" s="30" t="s">
        <v>185</v>
      </c>
      <c r="S603" s="81">
        <f>HLOOKUP(L603,データについて!$J$6:$M$18,13,FALSE)</f>
        <v>1</v>
      </c>
      <c r="T603" s="81">
        <f>HLOOKUP(M603,データについて!$J$7:$M$18,12,FALSE)</f>
        <v>1</v>
      </c>
      <c r="U603" s="81">
        <f>HLOOKUP(N603,データについて!$J$8:$M$18,11,FALSE)</f>
        <v>2</v>
      </c>
      <c r="V603" s="81">
        <f>HLOOKUP(O603,データについて!$J$9:$M$18,10,FALSE)</f>
        <v>1</v>
      </c>
      <c r="W603" s="81">
        <f>HLOOKUP(P603,データについて!$J$10:$M$18,9,FALSE)</f>
        <v>1</v>
      </c>
      <c r="X603" s="81">
        <f>HLOOKUP(Q603,データについて!$J$11:$M$18,8,FALSE)</f>
        <v>1</v>
      </c>
      <c r="Y603" s="81">
        <f>HLOOKUP(R603,データについて!$J$12:$M$18,7,FALSE)</f>
        <v>2</v>
      </c>
      <c r="Z603" s="81">
        <f>HLOOKUP(I603,データについて!$J$3:$M$18,16,FALSE)</f>
        <v>2</v>
      </c>
      <c r="AA603" s="81" t="str">
        <f>IFERROR(HLOOKUP(J603,データについて!$J$4:$AH$19,16,FALSE),"")</f>
        <v/>
      </c>
      <c r="AB603" s="81">
        <f>IFERROR(HLOOKUP(K603,データについて!$J$5:$AH$20,14,FALSE),"")</f>
        <v>0</v>
      </c>
      <c r="AC603" s="81">
        <f>IF(X603=1,HLOOKUP(R603,データについて!$J$12:$M$18,7,FALSE),"*")</f>
        <v>2</v>
      </c>
      <c r="AD603" s="81" t="str">
        <f>IF(X603=2,HLOOKUP(R603,データについて!$J$12:$M$18,7,FALSE),"*")</f>
        <v>*</v>
      </c>
    </row>
    <row r="604" spans="1:30">
      <c r="A604" s="30">
        <v>4588</v>
      </c>
      <c r="B604" s="30" t="s">
        <v>4170</v>
      </c>
      <c r="C604" s="30" t="s">
        <v>4169</v>
      </c>
      <c r="D604" s="30" t="s">
        <v>106</v>
      </c>
      <c r="E604" s="30"/>
      <c r="F604" s="30" t="s">
        <v>107</v>
      </c>
      <c r="G604" s="30" t="s">
        <v>106</v>
      </c>
      <c r="H604" s="30"/>
      <c r="I604" s="30" t="s">
        <v>191</v>
      </c>
      <c r="J604" s="30"/>
      <c r="K604" s="30" t="s">
        <v>126</v>
      </c>
      <c r="L604" s="30" t="s">
        <v>117</v>
      </c>
      <c r="M604" s="30" t="s">
        <v>109</v>
      </c>
      <c r="N604" s="30" t="s">
        <v>110</v>
      </c>
      <c r="O604" s="30" t="s">
        <v>115</v>
      </c>
      <c r="P604" s="30" t="s">
        <v>118</v>
      </c>
      <c r="Q604" s="30" t="s">
        <v>112</v>
      </c>
      <c r="R604" s="30" t="s">
        <v>185</v>
      </c>
      <c r="S604" s="81">
        <f>HLOOKUP(L604,データについて!$J$6:$M$18,13,FALSE)</f>
        <v>2</v>
      </c>
      <c r="T604" s="81">
        <f>HLOOKUP(M604,データについて!$J$7:$M$18,12,FALSE)</f>
        <v>2</v>
      </c>
      <c r="U604" s="81">
        <f>HLOOKUP(N604,データについて!$J$8:$M$18,11,FALSE)</f>
        <v>2</v>
      </c>
      <c r="V604" s="81">
        <f>HLOOKUP(O604,データについて!$J$9:$M$18,10,FALSE)</f>
        <v>1</v>
      </c>
      <c r="W604" s="81">
        <f>HLOOKUP(P604,データについて!$J$10:$M$18,9,FALSE)</f>
        <v>2</v>
      </c>
      <c r="X604" s="81">
        <f>HLOOKUP(Q604,データについて!$J$11:$M$18,8,FALSE)</f>
        <v>1</v>
      </c>
      <c r="Y604" s="81">
        <f>HLOOKUP(R604,データについて!$J$12:$M$18,7,FALSE)</f>
        <v>2</v>
      </c>
      <c r="Z604" s="81">
        <f>HLOOKUP(I604,データについて!$J$3:$M$18,16,FALSE)</f>
        <v>2</v>
      </c>
      <c r="AA604" s="81" t="str">
        <f>IFERROR(HLOOKUP(J604,データについて!$J$4:$AH$19,16,FALSE),"")</f>
        <v/>
      </c>
      <c r="AB604" s="81">
        <f>IFERROR(HLOOKUP(K604,データについて!$J$5:$AH$20,14,FALSE),"")</f>
        <v>0</v>
      </c>
      <c r="AC604" s="81">
        <f>IF(X604=1,HLOOKUP(R604,データについて!$J$12:$M$18,7,FALSE),"*")</f>
        <v>2</v>
      </c>
      <c r="AD604" s="81" t="str">
        <f>IF(X604=2,HLOOKUP(R604,データについて!$J$12:$M$18,7,FALSE),"*")</f>
        <v>*</v>
      </c>
    </row>
    <row r="605" spans="1:30">
      <c r="A605" s="30">
        <v>4587</v>
      </c>
      <c r="B605" s="30" t="s">
        <v>4171</v>
      </c>
      <c r="C605" s="30" t="s">
        <v>4172</v>
      </c>
      <c r="D605" s="30" t="s">
        <v>106</v>
      </c>
      <c r="E605" s="30"/>
      <c r="F605" s="30" t="s">
        <v>107</v>
      </c>
      <c r="G605" s="30" t="s">
        <v>106</v>
      </c>
      <c r="H605" s="30"/>
      <c r="I605" s="30" t="s">
        <v>192</v>
      </c>
      <c r="J605" s="30" t="s">
        <v>3010</v>
      </c>
      <c r="K605" s="30"/>
      <c r="L605" s="30" t="s">
        <v>117</v>
      </c>
      <c r="M605" s="30" t="s">
        <v>109</v>
      </c>
      <c r="N605" s="30" t="s">
        <v>110</v>
      </c>
      <c r="O605" s="30" t="s">
        <v>123</v>
      </c>
      <c r="P605" s="30" t="s">
        <v>112</v>
      </c>
      <c r="Q605" s="30" t="s">
        <v>112</v>
      </c>
      <c r="R605" s="30" t="s">
        <v>185</v>
      </c>
      <c r="S605" s="81">
        <f>HLOOKUP(L605,データについて!$J$6:$M$18,13,FALSE)</f>
        <v>2</v>
      </c>
      <c r="T605" s="81">
        <f>HLOOKUP(M605,データについて!$J$7:$M$18,12,FALSE)</f>
        <v>2</v>
      </c>
      <c r="U605" s="81">
        <f>HLOOKUP(N605,データについて!$J$8:$M$18,11,FALSE)</f>
        <v>2</v>
      </c>
      <c r="V605" s="81">
        <f>HLOOKUP(O605,データについて!$J$9:$M$18,10,FALSE)</f>
        <v>4</v>
      </c>
      <c r="W605" s="81">
        <f>HLOOKUP(P605,データについて!$J$10:$M$18,9,FALSE)</f>
        <v>1</v>
      </c>
      <c r="X605" s="81">
        <f>HLOOKUP(Q605,データについて!$J$11:$M$18,8,FALSE)</f>
        <v>1</v>
      </c>
      <c r="Y605" s="81">
        <f>HLOOKUP(R605,データについて!$J$12:$M$18,7,FALSE)</f>
        <v>2</v>
      </c>
      <c r="Z605" s="81">
        <f>HLOOKUP(I605,データについて!$J$3:$M$18,16,FALSE)</f>
        <v>1</v>
      </c>
      <c r="AA605" s="81">
        <f>IFERROR(HLOOKUP(J605,データについて!$J$4:$AH$19,16,FALSE),"")</f>
        <v>12</v>
      </c>
      <c r="AB605" s="81" t="str">
        <f>IFERROR(HLOOKUP(K605,データについて!$J$5:$AH$20,14,FALSE),"")</f>
        <v/>
      </c>
      <c r="AC605" s="81">
        <f>IF(X605=1,HLOOKUP(R605,データについて!$J$12:$M$18,7,FALSE),"*")</f>
        <v>2</v>
      </c>
      <c r="AD605" s="81" t="str">
        <f>IF(X605=2,HLOOKUP(R605,データについて!$J$12:$M$18,7,FALSE),"*")</f>
        <v>*</v>
      </c>
    </row>
    <row r="606" spans="1:30">
      <c r="A606" s="30">
        <v>4586</v>
      </c>
      <c r="B606" s="30" t="s">
        <v>4173</v>
      </c>
      <c r="C606" s="30" t="s">
        <v>4172</v>
      </c>
      <c r="D606" s="30" t="s">
        <v>106</v>
      </c>
      <c r="E606" s="30"/>
      <c r="F606" s="30" t="s">
        <v>107</v>
      </c>
      <c r="G606" s="30" t="s">
        <v>106</v>
      </c>
      <c r="H606" s="30"/>
      <c r="I606" s="30" t="s">
        <v>191</v>
      </c>
      <c r="J606" s="30"/>
      <c r="K606" s="30" t="s">
        <v>126</v>
      </c>
      <c r="L606" s="30" t="s">
        <v>117</v>
      </c>
      <c r="M606" s="30" t="s">
        <v>113</v>
      </c>
      <c r="N606" s="30" t="s">
        <v>114</v>
      </c>
      <c r="O606" s="30" t="s">
        <v>115</v>
      </c>
      <c r="P606" s="30" t="s">
        <v>118</v>
      </c>
      <c r="Q606" s="30" t="s">
        <v>112</v>
      </c>
      <c r="R606" s="30" t="s">
        <v>185</v>
      </c>
      <c r="S606" s="81">
        <f>HLOOKUP(L606,データについて!$J$6:$M$18,13,FALSE)</f>
        <v>2</v>
      </c>
      <c r="T606" s="81">
        <f>HLOOKUP(M606,データについて!$J$7:$M$18,12,FALSE)</f>
        <v>1</v>
      </c>
      <c r="U606" s="81">
        <f>HLOOKUP(N606,データについて!$J$8:$M$18,11,FALSE)</f>
        <v>1</v>
      </c>
      <c r="V606" s="81">
        <f>HLOOKUP(O606,データについて!$J$9:$M$18,10,FALSE)</f>
        <v>1</v>
      </c>
      <c r="W606" s="81">
        <f>HLOOKUP(P606,データについて!$J$10:$M$18,9,FALSE)</f>
        <v>2</v>
      </c>
      <c r="X606" s="81">
        <f>HLOOKUP(Q606,データについて!$J$11:$M$18,8,FALSE)</f>
        <v>1</v>
      </c>
      <c r="Y606" s="81">
        <f>HLOOKUP(R606,データについて!$J$12:$M$18,7,FALSE)</f>
        <v>2</v>
      </c>
      <c r="Z606" s="81">
        <f>HLOOKUP(I606,データについて!$J$3:$M$18,16,FALSE)</f>
        <v>2</v>
      </c>
      <c r="AA606" s="81" t="str">
        <f>IFERROR(HLOOKUP(J606,データについて!$J$4:$AH$19,16,FALSE),"")</f>
        <v/>
      </c>
      <c r="AB606" s="81">
        <f>IFERROR(HLOOKUP(K606,データについて!$J$5:$AH$20,14,FALSE),"")</f>
        <v>0</v>
      </c>
      <c r="AC606" s="81">
        <f>IF(X606=1,HLOOKUP(R606,データについて!$J$12:$M$18,7,FALSE),"*")</f>
        <v>2</v>
      </c>
      <c r="AD606" s="81" t="str">
        <f>IF(X606=2,HLOOKUP(R606,データについて!$J$12:$M$18,7,FALSE),"*")</f>
        <v>*</v>
      </c>
    </row>
    <row r="607" spans="1:30">
      <c r="A607" s="30">
        <v>4585</v>
      </c>
      <c r="B607" s="30" t="s">
        <v>4174</v>
      </c>
      <c r="C607" s="30" t="s">
        <v>4175</v>
      </c>
      <c r="D607" s="30" t="s">
        <v>106</v>
      </c>
      <c r="E607" s="30"/>
      <c r="F607" s="30" t="s">
        <v>107</v>
      </c>
      <c r="G607" s="30" t="s">
        <v>106</v>
      </c>
      <c r="H607" s="30"/>
      <c r="I607" s="30" t="s">
        <v>191</v>
      </c>
      <c r="J607" s="30"/>
      <c r="K607" s="30" t="s">
        <v>126</v>
      </c>
      <c r="L607" s="30" t="s">
        <v>108</v>
      </c>
      <c r="M607" s="30" t="s">
        <v>113</v>
      </c>
      <c r="N607" s="30" t="s">
        <v>114</v>
      </c>
      <c r="O607" s="30" t="s">
        <v>116</v>
      </c>
      <c r="P607" s="30" t="s">
        <v>118</v>
      </c>
      <c r="Q607" s="30" t="s">
        <v>112</v>
      </c>
      <c r="R607" s="30" t="s">
        <v>185</v>
      </c>
      <c r="S607" s="81">
        <f>HLOOKUP(L607,データについて!$J$6:$M$18,13,FALSE)</f>
        <v>1</v>
      </c>
      <c r="T607" s="81">
        <f>HLOOKUP(M607,データについて!$J$7:$M$18,12,FALSE)</f>
        <v>1</v>
      </c>
      <c r="U607" s="81">
        <f>HLOOKUP(N607,データについて!$J$8:$M$18,11,FALSE)</f>
        <v>1</v>
      </c>
      <c r="V607" s="81">
        <f>HLOOKUP(O607,データについて!$J$9:$M$18,10,FALSE)</f>
        <v>2</v>
      </c>
      <c r="W607" s="81">
        <f>HLOOKUP(P607,データについて!$J$10:$M$18,9,FALSE)</f>
        <v>2</v>
      </c>
      <c r="X607" s="81">
        <f>HLOOKUP(Q607,データについて!$J$11:$M$18,8,FALSE)</f>
        <v>1</v>
      </c>
      <c r="Y607" s="81">
        <f>HLOOKUP(R607,データについて!$J$12:$M$18,7,FALSE)</f>
        <v>2</v>
      </c>
      <c r="Z607" s="81">
        <f>HLOOKUP(I607,データについて!$J$3:$M$18,16,FALSE)</f>
        <v>2</v>
      </c>
      <c r="AA607" s="81" t="str">
        <f>IFERROR(HLOOKUP(J607,データについて!$J$4:$AH$19,16,FALSE),"")</f>
        <v/>
      </c>
      <c r="AB607" s="81">
        <f>IFERROR(HLOOKUP(K607,データについて!$J$5:$AH$20,14,FALSE),"")</f>
        <v>0</v>
      </c>
      <c r="AC607" s="81">
        <f>IF(X607=1,HLOOKUP(R607,データについて!$J$12:$M$18,7,FALSE),"*")</f>
        <v>2</v>
      </c>
      <c r="AD607" s="81" t="str">
        <f>IF(X607=2,HLOOKUP(R607,データについて!$J$12:$M$18,7,FALSE),"*")</f>
        <v>*</v>
      </c>
    </row>
    <row r="608" spans="1:30">
      <c r="A608" s="30">
        <v>4584</v>
      </c>
      <c r="B608" s="30" t="s">
        <v>4176</v>
      </c>
      <c r="C608" s="30" t="s">
        <v>4175</v>
      </c>
      <c r="D608" s="30" t="s">
        <v>106</v>
      </c>
      <c r="E608" s="30"/>
      <c r="F608" s="30" t="s">
        <v>107</v>
      </c>
      <c r="G608" s="30" t="s">
        <v>106</v>
      </c>
      <c r="H608" s="30"/>
      <c r="I608" s="30" t="s">
        <v>191</v>
      </c>
      <c r="J608" s="30"/>
      <c r="K608" s="30" t="s">
        <v>126</v>
      </c>
      <c r="L608" s="30" t="s">
        <v>108</v>
      </c>
      <c r="M608" s="30" t="s">
        <v>113</v>
      </c>
      <c r="N608" s="30" t="s">
        <v>114</v>
      </c>
      <c r="O608" s="30" t="s">
        <v>115</v>
      </c>
      <c r="P608" s="30" t="s">
        <v>118</v>
      </c>
      <c r="Q608" s="30" t="s">
        <v>112</v>
      </c>
      <c r="R608" s="30" t="s">
        <v>183</v>
      </c>
      <c r="S608" s="81">
        <f>HLOOKUP(L608,データについて!$J$6:$M$18,13,FALSE)</f>
        <v>1</v>
      </c>
      <c r="T608" s="81">
        <f>HLOOKUP(M608,データについて!$J$7:$M$18,12,FALSE)</f>
        <v>1</v>
      </c>
      <c r="U608" s="81">
        <f>HLOOKUP(N608,データについて!$J$8:$M$18,11,FALSE)</f>
        <v>1</v>
      </c>
      <c r="V608" s="81">
        <f>HLOOKUP(O608,データについて!$J$9:$M$18,10,FALSE)</f>
        <v>1</v>
      </c>
      <c r="W608" s="81">
        <f>HLOOKUP(P608,データについて!$J$10:$M$18,9,FALSE)</f>
        <v>2</v>
      </c>
      <c r="X608" s="81">
        <f>HLOOKUP(Q608,データについて!$J$11:$M$18,8,FALSE)</f>
        <v>1</v>
      </c>
      <c r="Y608" s="81">
        <f>HLOOKUP(R608,データについて!$J$12:$M$18,7,FALSE)</f>
        <v>1</v>
      </c>
      <c r="Z608" s="81">
        <f>HLOOKUP(I608,データについて!$J$3:$M$18,16,FALSE)</f>
        <v>2</v>
      </c>
      <c r="AA608" s="81" t="str">
        <f>IFERROR(HLOOKUP(J608,データについて!$J$4:$AH$19,16,FALSE),"")</f>
        <v/>
      </c>
      <c r="AB608" s="81">
        <f>IFERROR(HLOOKUP(K608,データについて!$J$5:$AH$20,14,FALSE),"")</f>
        <v>0</v>
      </c>
      <c r="AC608" s="81">
        <f>IF(X608=1,HLOOKUP(R608,データについて!$J$12:$M$18,7,FALSE),"*")</f>
        <v>1</v>
      </c>
      <c r="AD608" s="81" t="str">
        <f>IF(X608=2,HLOOKUP(R608,データについて!$J$12:$M$18,7,FALSE),"*")</f>
        <v>*</v>
      </c>
    </row>
    <row r="609" spans="1:30">
      <c r="A609" s="30">
        <v>4583</v>
      </c>
      <c r="B609" s="30" t="s">
        <v>4177</v>
      </c>
      <c r="C609" s="30" t="s">
        <v>4178</v>
      </c>
      <c r="D609" s="30" t="s">
        <v>106</v>
      </c>
      <c r="E609" s="30"/>
      <c r="F609" s="30" t="s">
        <v>107</v>
      </c>
      <c r="G609" s="30" t="s">
        <v>106</v>
      </c>
      <c r="H609" s="30"/>
      <c r="I609" s="30" t="s">
        <v>191</v>
      </c>
      <c r="J609" s="30"/>
      <c r="K609" s="30" t="s">
        <v>126</v>
      </c>
      <c r="L609" s="30" t="s">
        <v>117</v>
      </c>
      <c r="M609" s="30" t="s">
        <v>113</v>
      </c>
      <c r="N609" s="30" t="s">
        <v>110</v>
      </c>
      <c r="O609" s="30" t="s">
        <v>115</v>
      </c>
      <c r="P609" s="30" t="s">
        <v>112</v>
      </c>
      <c r="Q609" s="30" t="s">
        <v>112</v>
      </c>
      <c r="R609" s="30" t="s">
        <v>187</v>
      </c>
      <c r="S609" s="81">
        <f>HLOOKUP(L609,データについて!$J$6:$M$18,13,FALSE)</f>
        <v>2</v>
      </c>
      <c r="T609" s="81">
        <f>HLOOKUP(M609,データについて!$J$7:$M$18,12,FALSE)</f>
        <v>1</v>
      </c>
      <c r="U609" s="81">
        <f>HLOOKUP(N609,データについて!$J$8:$M$18,11,FALSE)</f>
        <v>2</v>
      </c>
      <c r="V609" s="81">
        <f>HLOOKUP(O609,データについて!$J$9:$M$18,10,FALSE)</f>
        <v>1</v>
      </c>
      <c r="W609" s="81">
        <f>HLOOKUP(P609,データについて!$J$10:$M$18,9,FALSE)</f>
        <v>1</v>
      </c>
      <c r="X609" s="81">
        <f>HLOOKUP(Q609,データについて!$J$11:$M$18,8,FALSE)</f>
        <v>1</v>
      </c>
      <c r="Y609" s="81">
        <f>HLOOKUP(R609,データについて!$J$12:$M$18,7,FALSE)</f>
        <v>3</v>
      </c>
      <c r="Z609" s="81">
        <f>HLOOKUP(I609,データについて!$J$3:$M$18,16,FALSE)</f>
        <v>2</v>
      </c>
      <c r="AA609" s="81" t="str">
        <f>IFERROR(HLOOKUP(J609,データについて!$J$4:$AH$19,16,FALSE),"")</f>
        <v/>
      </c>
      <c r="AB609" s="81">
        <f>IFERROR(HLOOKUP(K609,データについて!$J$5:$AH$20,14,FALSE),"")</f>
        <v>0</v>
      </c>
      <c r="AC609" s="81">
        <f>IF(X609=1,HLOOKUP(R609,データについて!$J$12:$M$18,7,FALSE),"*")</f>
        <v>3</v>
      </c>
      <c r="AD609" s="81" t="str">
        <f>IF(X609=2,HLOOKUP(R609,データについて!$J$12:$M$18,7,FALSE),"*")</f>
        <v>*</v>
      </c>
    </row>
    <row r="610" spans="1:30">
      <c r="A610" s="30">
        <v>4582</v>
      </c>
      <c r="B610" s="30" t="s">
        <v>4179</v>
      </c>
      <c r="C610" s="30" t="s">
        <v>4180</v>
      </c>
      <c r="D610" s="30" t="s">
        <v>106</v>
      </c>
      <c r="E610" s="30"/>
      <c r="F610" s="30" t="s">
        <v>107</v>
      </c>
      <c r="G610" s="30" t="s">
        <v>106</v>
      </c>
      <c r="H610" s="30"/>
      <c r="I610" s="30" t="s">
        <v>191</v>
      </c>
      <c r="J610" s="30"/>
      <c r="K610" s="30" t="s">
        <v>126</v>
      </c>
      <c r="L610" s="30" t="s">
        <v>108</v>
      </c>
      <c r="M610" s="30" t="s">
        <v>109</v>
      </c>
      <c r="N610" s="30" t="s">
        <v>110</v>
      </c>
      <c r="O610" s="30" t="s">
        <v>115</v>
      </c>
      <c r="P610" s="30" t="s">
        <v>112</v>
      </c>
      <c r="Q610" s="30" t="s">
        <v>112</v>
      </c>
      <c r="R610" s="30" t="s">
        <v>185</v>
      </c>
      <c r="S610" s="81">
        <f>HLOOKUP(L610,データについて!$J$6:$M$18,13,FALSE)</f>
        <v>1</v>
      </c>
      <c r="T610" s="81">
        <f>HLOOKUP(M610,データについて!$J$7:$M$18,12,FALSE)</f>
        <v>2</v>
      </c>
      <c r="U610" s="81">
        <f>HLOOKUP(N610,データについて!$J$8:$M$18,11,FALSE)</f>
        <v>2</v>
      </c>
      <c r="V610" s="81">
        <f>HLOOKUP(O610,データについて!$J$9:$M$18,10,FALSE)</f>
        <v>1</v>
      </c>
      <c r="W610" s="81">
        <f>HLOOKUP(P610,データについて!$J$10:$M$18,9,FALSE)</f>
        <v>1</v>
      </c>
      <c r="X610" s="81">
        <f>HLOOKUP(Q610,データについて!$J$11:$M$18,8,FALSE)</f>
        <v>1</v>
      </c>
      <c r="Y610" s="81">
        <f>HLOOKUP(R610,データについて!$J$12:$M$18,7,FALSE)</f>
        <v>2</v>
      </c>
      <c r="Z610" s="81">
        <f>HLOOKUP(I610,データについて!$J$3:$M$18,16,FALSE)</f>
        <v>2</v>
      </c>
      <c r="AA610" s="81" t="str">
        <f>IFERROR(HLOOKUP(J610,データについて!$J$4:$AH$19,16,FALSE),"")</f>
        <v/>
      </c>
      <c r="AB610" s="81">
        <f>IFERROR(HLOOKUP(K610,データについて!$J$5:$AH$20,14,FALSE),"")</f>
        <v>0</v>
      </c>
      <c r="AC610" s="81">
        <f>IF(X610=1,HLOOKUP(R610,データについて!$J$12:$M$18,7,FALSE),"*")</f>
        <v>2</v>
      </c>
      <c r="AD610" s="81" t="str">
        <f>IF(X610=2,HLOOKUP(R610,データについて!$J$12:$M$18,7,FALSE),"*")</f>
        <v>*</v>
      </c>
    </row>
    <row r="611" spans="1:30">
      <c r="A611" s="30">
        <v>4581</v>
      </c>
      <c r="B611" s="30" t="s">
        <v>4181</v>
      </c>
      <c r="C611" s="30" t="s">
        <v>4180</v>
      </c>
      <c r="D611" s="30" t="s">
        <v>106</v>
      </c>
      <c r="E611" s="30"/>
      <c r="F611" s="30" t="s">
        <v>107</v>
      </c>
      <c r="G611" s="30" t="s">
        <v>106</v>
      </c>
      <c r="H611" s="30"/>
      <c r="I611" s="30" t="s">
        <v>191</v>
      </c>
      <c r="J611" s="30"/>
      <c r="K611" s="30" t="s">
        <v>126</v>
      </c>
      <c r="L611" s="30" t="s">
        <v>108</v>
      </c>
      <c r="M611" s="30" t="s">
        <v>109</v>
      </c>
      <c r="N611" s="30" t="s">
        <v>110</v>
      </c>
      <c r="O611" s="30" t="s">
        <v>115</v>
      </c>
      <c r="P611" s="30" t="s">
        <v>112</v>
      </c>
      <c r="Q611" s="30" t="s">
        <v>112</v>
      </c>
      <c r="R611" s="30" t="s">
        <v>183</v>
      </c>
      <c r="S611" s="81">
        <f>HLOOKUP(L611,データについて!$J$6:$M$18,13,FALSE)</f>
        <v>1</v>
      </c>
      <c r="T611" s="81">
        <f>HLOOKUP(M611,データについて!$J$7:$M$18,12,FALSE)</f>
        <v>2</v>
      </c>
      <c r="U611" s="81">
        <f>HLOOKUP(N611,データについて!$J$8:$M$18,11,FALSE)</f>
        <v>2</v>
      </c>
      <c r="V611" s="81">
        <f>HLOOKUP(O611,データについて!$J$9:$M$18,10,FALSE)</f>
        <v>1</v>
      </c>
      <c r="W611" s="81">
        <f>HLOOKUP(P611,データについて!$J$10:$M$18,9,FALSE)</f>
        <v>1</v>
      </c>
      <c r="X611" s="81">
        <f>HLOOKUP(Q611,データについて!$J$11:$M$18,8,FALSE)</f>
        <v>1</v>
      </c>
      <c r="Y611" s="81">
        <f>HLOOKUP(R611,データについて!$J$12:$M$18,7,FALSE)</f>
        <v>1</v>
      </c>
      <c r="Z611" s="81">
        <f>HLOOKUP(I611,データについて!$J$3:$M$18,16,FALSE)</f>
        <v>2</v>
      </c>
      <c r="AA611" s="81" t="str">
        <f>IFERROR(HLOOKUP(J611,データについて!$J$4:$AH$19,16,FALSE),"")</f>
        <v/>
      </c>
      <c r="AB611" s="81">
        <f>IFERROR(HLOOKUP(K611,データについて!$J$5:$AH$20,14,FALSE),"")</f>
        <v>0</v>
      </c>
      <c r="AC611" s="81">
        <f>IF(X611=1,HLOOKUP(R611,データについて!$J$12:$M$18,7,FALSE),"*")</f>
        <v>1</v>
      </c>
      <c r="AD611" s="81" t="str">
        <f>IF(X611=2,HLOOKUP(R611,データについて!$J$12:$M$18,7,FALSE),"*")</f>
        <v>*</v>
      </c>
    </row>
    <row r="612" spans="1:30">
      <c r="A612" s="30">
        <v>4580</v>
      </c>
      <c r="B612" s="30" t="s">
        <v>4182</v>
      </c>
      <c r="C612" s="30" t="s">
        <v>4180</v>
      </c>
      <c r="D612" s="30" t="s">
        <v>106</v>
      </c>
      <c r="E612" s="30"/>
      <c r="F612" s="30" t="s">
        <v>107</v>
      </c>
      <c r="G612" s="30" t="s">
        <v>106</v>
      </c>
      <c r="H612" s="30"/>
      <c r="I612" s="30" t="s">
        <v>191</v>
      </c>
      <c r="J612" s="30"/>
      <c r="K612" s="30" t="s">
        <v>126</v>
      </c>
      <c r="L612" s="30" t="s">
        <v>117</v>
      </c>
      <c r="M612" s="30" t="s">
        <v>113</v>
      </c>
      <c r="N612" s="30" t="s">
        <v>110</v>
      </c>
      <c r="O612" s="30" t="s">
        <v>115</v>
      </c>
      <c r="P612" s="30" t="s">
        <v>112</v>
      </c>
      <c r="Q612" s="30" t="s">
        <v>112</v>
      </c>
      <c r="R612" s="30" t="s">
        <v>183</v>
      </c>
      <c r="S612" s="81">
        <f>HLOOKUP(L612,データについて!$J$6:$M$18,13,FALSE)</f>
        <v>2</v>
      </c>
      <c r="T612" s="81">
        <f>HLOOKUP(M612,データについて!$J$7:$M$18,12,FALSE)</f>
        <v>1</v>
      </c>
      <c r="U612" s="81">
        <f>HLOOKUP(N612,データについて!$J$8:$M$18,11,FALSE)</f>
        <v>2</v>
      </c>
      <c r="V612" s="81">
        <f>HLOOKUP(O612,データについて!$J$9:$M$18,10,FALSE)</f>
        <v>1</v>
      </c>
      <c r="W612" s="81">
        <f>HLOOKUP(P612,データについて!$J$10:$M$18,9,FALSE)</f>
        <v>1</v>
      </c>
      <c r="X612" s="81">
        <f>HLOOKUP(Q612,データについて!$J$11:$M$18,8,FALSE)</f>
        <v>1</v>
      </c>
      <c r="Y612" s="81">
        <f>HLOOKUP(R612,データについて!$J$12:$M$18,7,FALSE)</f>
        <v>1</v>
      </c>
      <c r="Z612" s="81">
        <f>HLOOKUP(I612,データについて!$J$3:$M$18,16,FALSE)</f>
        <v>2</v>
      </c>
      <c r="AA612" s="81" t="str">
        <f>IFERROR(HLOOKUP(J612,データについて!$J$4:$AH$19,16,FALSE),"")</f>
        <v/>
      </c>
      <c r="AB612" s="81">
        <f>IFERROR(HLOOKUP(K612,データについて!$J$5:$AH$20,14,FALSE),"")</f>
        <v>0</v>
      </c>
      <c r="AC612" s="81">
        <f>IF(X612=1,HLOOKUP(R612,データについて!$J$12:$M$18,7,FALSE),"*")</f>
        <v>1</v>
      </c>
      <c r="AD612" s="81" t="str">
        <f>IF(X612=2,HLOOKUP(R612,データについて!$J$12:$M$18,7,FALSE),"*")</f>
        <v>*</v>
      </c>
    </row>
    <row r="613" spans="1:30">
      <c r="A613" s="30">
        <v>4579</v>
      </c>
      <c r="B613" s="30" t="s">
        <v>4183</v>
      </c>
      <c r="C613" s="30" t="s">
        <v>4180</v>
      </c>
      <c r="D613" s="30" t="s">
        <v>106</v>
      </c>
      <c r="E613" s="30"/>
      <c r="F613" s="30" t="s">
        <v>107</v>
      </c>
      <c r="G613" s="30" t="s">
        <v>106</v>
      </c>
      <c r="H613" s="30"/>
      <c r="I613" s="30" t="s">
        <v>191</v>
      </c>
      <c r="J613" s="30"/>
      <c r="K613" s="30" t="s">
        <v>129</v>
      </c>
      <c r="L613" s="30" t="s">
        <v>108</v>
      </c>
      <c r="M613" s="30" t="s">
        <v>113</v>
      </c>
      <c r="N613" s="30" t="s">
        <v>114</v>
      </c>
      <c r="O613" s="30" t="s">
        <v>115</v>
      </c>
      <c r="P613" s="30" t="s">
        <v>112</v>
      </c>
      <c r="Q613" s="30" t="s">
        <v>112</v>
      </c>
      <c r="R613" s="30" t="s">
        <v>185</v>
      </c>
      <c r="S613" s="81">
        <f>HLOOKUP(L613,データについて!$J$6:$M$18,13,FALSE)</f>
        <v>1</v>
      </c>
      <c r="T613" s="81">
        <f>HLOOKUP(M613,データについて!$J$7:$M$18,12,FALSE)</f>
        <v>1</v>
      </c>
      <c r="U613" s="81">
        <f>HLOOKUP(N613,データについて!$J$8:$M$18,11,FALSE)</f>
        <v>1</v>
      </c>
      <c r="V613" s="81">
        <f>HLOOKUP(O613,データについて!$J$9:$M$18,10,FALSE)</f>
        <v>1</v>
      </c>
      <c r="W613" s="81">
        <f>HLOOKUP(P613,データについて!$J$10:$M$18,9,FALSE)</f>
        <v>1</v>
      </c>
      <c r="X613" s="81">
        <f>HLOOKUP(Q613,データについて!$J$11:$M$18,8,FALSE)</f>
        <v>1</v>
      </c>
      <c r="Y613" s="81">
        <f>HLOOKUP(R613,データについて!$J$12:$M$18,7,FALSE)</f>
        <v>2</v>
      </c>
      <c r="Z613" s="81">
        <f>HLOOKUP(I613,データについて!$J$3:$M$18,16,FALSE)</f>
        <v>2</v>
      </c>
      <c r="AA613" s="81" t="str">
        <f>IFERROR(HLOOKUP(J613,データについて!$J$4:$AH$19,16,FALSE),"")</f>
        <v/>
      </c>
      <c r="AB613" s="81">
        <f>IFERROR(HLOOKUP(K613,データについて!$J$5:$AH$20,14,FALSE),"")</f>
        <v>0</v>
      </c>
      <c r="AC613" s="81">
        <f>IF(X613=1,HLOOKUP(R613,データについて!$J$12:$M$18,7,FALSE),"*")</f>
        <v>2</v>
      </c>
      <c r="AD613" s="81" t="str">
        <f>IF(X613=2,HLOOKUP(R613,データについて!$J$12:$M$18,7,FALSE),"*")</f>
        <v>*</v>
      </c>
    </row>
    <row r="614" spans="1:30">
      <c r="A614" s="30">
        <v>4578</v>
      </c>
      <c r="B614" s="30" t="s">
        <v>4184</v>
      </c>
      <c r="C614" s="30" t="s">
        <v>4185</v>
      </c>
      <c r="D614" s="30" t="s">
        <v>106</v>
      </c>
      <c r="E614" s="30"/>
      <c r="F614" s="30" t="s">
        <v>107</v>
      </c>
      <c r="G614" s="30" t="s">
        <v>106</v>
      </c>
      <c r="H614" s="30"/>
      <c r="I614" s="30" t="s">
        <v>191</v>
      </c>
      <c r="J614" s="30"/>
      <c r="K614" s="30" t="s">
        <v>126</v>
      </c>
      <c r="L614" s="30" t="s">
        <v>108</v>
      </c>
      <c r="M614" s="30" t="s">
        <v>109</v>
      </c>
      <c r="N614" s="30" t="s">
        <v>110</v>
      </c>
      <c r="O614" s="30" t="s">
        <v>115</v>
      </c>
      <c r="P614" s="30" t="s">
        <v>112</v>
      </c>
      <c r="Q614" s="30" t="s">
        <v>112</v>
      </c>
      <c r="R614" s="30" t="s">
        <v>187</v>
      </c>
      <c r="S614" s="81">
        <f>HLOOKUP(L614,データについて!$J$6:$M$18,13,FALSE)</f>
        <v>1</v>
      </c>
      <c r="T614" s="81">
        <f>HLOOKUP(M614,データについて!$J$7:$M$18,12,FALSE)</f>
        <v>2</v>
      </c>
      <c r="U614" s="81">
        <f>HLOOKUP(N614,データについて!$J$8:$M$18,11,FALSE)</f>
        <v>2</v>
      </c>
      <c r="V614" s="81">
        <f>HLOOKUP(O614,データについて!$J$9:$M$18,10,FALSE)</f>
        <v>1</v>
      </c>
      <c r="W614" s="81">
        <f>HLOOKUP(P614,データについて!$J$10:$M$18,9,FALSE)</f>
        <v>1</v>
      </c>
      <c r="X614" s="81">
        <f>HLOOKUP(Q614,データについて!$J$11:$M$18,8,FALSE)</f>
        <v>1</v>
      </c>
      <c r="Y614" s="81">
        <f>HLOOKUP(R614,データについて!$J$12:$M$18,7,FALSE)</f>
        <v>3</v>
      </c>
      <c r="Z614" s="81">
        <f>HLOOKUP(I614,データについて!$J$3:$M$18,16,FALSE)</f>
        <v>2</v>
      </c>
      <c r="AA614" s="81" t="str">
        <f>IFERROR(HLOOKUP(J614,データについて!$J$4:$AH$19,16,FALSE),"")</f>
        <v/>
      </c>
      <c r="AB614" s="81">
        <f>IFERROR(HLOOKUP(K614,データについて!$J$5:$AH$20,14,FALSE),"")</f>
        <v>0</v>
      </c>
      <c r="AC614" s="81">
        <f>IF(X614=1,HLOOKUP(R614,データについて!$J$12:$M$18,7,FALSE),"*")</f>
        <v>3</v>
      </c>
      <c r="AD614" s="81" t="str">
        <f>IF(X614=2,HLOOKUP(R614,データについて!$J$12:$M$18,7,FALSE),"*")</f>
        <v>*</v>
      </c>
    </row>
    <row r="615" spans="1:30">
      <c r="A615" s="30">
        <v>4577</v>
      </c>
      <c r="B615" s="30" t="s">
        <v>4186</v>
      </c>
      <c r="C615" s="30" t="s">
        <v>4185</v>
      </c>
      <c r="D615" s="30" t="s">
        <v>106</v>
      </c>
      <c r="E615" s="30"/>
      <c r="F615" s="30" t="s">
        <v>107</v>
      </c>
      <c r="G615" s="30" t="s">
        <v>106</v>
      </c>
      <c r="H615" s="30"/>
      <c r="I615" s="30" t="s">
        <v>191</v>
      </c>
      <c r="J615" s="30"/>
      <c r="K615" s="30" t="s">
        <v>126</v>
      </c>
      <c r="L615" s="30" t="s">
        <v>117</v>
      </c>
      <c r="M615" s="30" t="s">
        <v>113</v>
      </c>
      <c r="N615" s="30" t="s">
        <v>114</v>
      </c>
      <c r="O615" s="30" t="s">
        <v>115</v>
      </c>
      <c r="P615" s="30" t="s">
        <v>118</v>
      </c>
      <c r="Q615" s="30" t="s">
        <v>112</v>
      </c>
      <c r="R615" s="30" t="s">
        <v>183</v>
      </c>
      <c r="S615" s="81">
        <f>HLOOKUP(L615,データについて!$J$6:$M$18,13,FALSE)</f>
        <v>2</v>
      </c>
      <c r="T615" s="81">
        <f>HLOOKUP(M615,データについて!$J$7:$M$18,12,FALSE)</f>
        <v>1</v>
      </c>
      <c r="U615" s="81">
        <f>HLOOKUP(N615,データについて!$J$8:$M$18,11,FALSE)</f>
        <v>1</v>
      </c>
      <c r="V615" s="81">
        <f>HLOOKUP(O615,データについて!$J$9:$M$18,10,FALSE)</f>
        <v>1</v>
      </c>
      <c r="W615" s="81">
        <f>HLOOKUP(P615,データについて!$J$10:$M$18,9,FALSE)</f>
        <v>2</v>
      </c>
      <c r="X615" s="81">
        <f>HLOOKUP(Q615,データについて!$J$11:$M$18,8,FALSE)</f>
        <v>1</v>
      </c>
      <c r="Y615" s="81">
        <f>HLOOKUP(R615,データについて!$J$12:$M$18,7,FALSE)</f>
        <v>1</v>
      </c>
      <c r="Z615" s="81">
        <f>HLOOKUP(I615,データについて!$J$3:$M$18,16,FALSE)</f>
        <v>2</v>
      </c>
      <c r="AA615" s="81" t="str">
        <f>IFERROR(HLOOKUP(J615,データについて!$J$4:$AH$19,16,FALSE),"")</f>
        <v/>
      </c>
      <c r="AB615" s="81">
        <f>IFERROR(HLOOKUP(K615,データについて!$J$5:$AH$20,14,FALSE),"")</f>
        <v>0</v>
      </c>
      <c r="AC615" s="81">
        <f>IF(X615=1,HLOOKUP(R615,データについて!$J$12:$M$18,7,FALSE),"*")</f>
        <v>1</v>
      </c>
      <c r="AD615" s="81" t="str">
        <f>IF(X615=2,HLOOKUP(R615,データについて!$J$12:$M$18,7,FALSE),"*")</f>
        <v>*</v>
      </c>
    </row>
    <row r="616" spans="1:30">
      <c r="A616" s="30">
        <v>4576</v>
      </c>
      <c r="B616" s="30" t="s">
        <v>4187</v>
      </c>
      <c r="C616" s="30" t="s">
        <v>4188</v>
      </c>
      <c r="D616" s="30" t="s">
        <v>106</v>
      </c>
      <c r="E616" s="30"/>
      <c r="F616" s="30" t="s">
        <v>107</v>
      </c>
      <c r="G616" s="30" t="s">
        <v>106</v>
      </c>
      <c r="H616" s="30"/>
      <c r="I616" s="30" t="s">
        <v>191</v>
      </c>
      <c r="J616" s="30"/>
      <c r="K616" s="30" t="s">
        <v>126</v>
      </c>
      <c r="L616" s="30" t="s">
        <v>117</v>
      </c>
      <c r="M616" s="30" t="s">
        <v>113</v>
      </c>
      <c r="N616" s="30" t="s">
        <v>110</v>
      </c>
      <c r="O616" s="30" t="s">
        <v>115</v>
      </c>
      <c r="P616" s="30" t="s">
        <v>118</v>
      </c>
      <c r="Q616" s="30" t="s">
        <v>112</v>
      </c>
      <c r="R616" s="30" t="s">
        <v>185</v>
      </c>
      <c r="S616" s="81">
        <f>HLOOKUP(L616,データについて!$J$6:$M$18,13,FALSE)</f>
        <v>2</v>
      </c>
      <c r="T616" s="81">
        <f>HLOOKUP(M616,データについて!$J$7:$M$18,12,FALSE)</f>
        <v>1</v>
      </c>
      <c r="U616" s="81">
        <f>HLOOKUP(N616,データについて!$J$8:$M$18,11,FALSE)</f>
        <v>2</v>
      </c>
      <c r="V616" s="81">
        <f>HLOOKUP(O616,データについて!$J$9:$M$18,10,FALSE)</f>
        <v>1</v>
      </c>
      <c r="W616" s="81">
        <f>HLOOKUP(P616,データについて!$J$10:$M$18,9,FALSE)</f>
        <v>2</v>
      </c>
      <c r="X616" s="81">
        <f>HLOOKUP(Q616,データについて!$J$11:$M$18,8,FALSE)</f>
        <v>1</v>
      </c>
      <c r="Y616" s="81">
        <f>HLOOKUP(R616,データについて!$J$12:$M$18,7,FALSE)</f>
        <v>2</v>
      </c>
      <c r="Z616" s="81">
        <f>HLOOKUP(I616,データについて!$J$3:$M$18,16,FALSE)</f>
        <v>2</v>
      </c>
      <c r="AA616" s="81" t="str">
        <f>IFERROR(HLOOKUP(J616,データについて!$J$4:$AH$19,16,FALSE),"")</f>
        <v/>
      </c>
      <c r="AB616" s="81">
        <f>IFERROR(HLOOKUP(K616,データについて!$J$5:$AH$20,14,FALSE),"")</f>
        <v>0</v>
      </c>
      <c r="AC616" s="81">
        <f>IF(X616=1,HLOOKUP(R616,データについて!$J$12:$M$18,7,FALSE),"*")</f>
        <v>2</v>
      </c>
      <c r="AD616" s="81" t="str">
        <f>IF(X616=2,HLOOKUP(R616,データについて!$J$12:$M$18,7,FALSE),"*")</f>
        <v>*</v>
      </c>
    </row>
    <row r="617" spans="1:30">
      <c r="A617" s="30">
        <v>4575</v>
      </c>
      <c r="B617" s="30" t="s">
        <v>4189</v>
      </c>
      <c r="C617" s="30" t="s">
        <v>4188</v>
      </c>
      <c r="D617" s="30" t="s">
        <v>106</v>
      </c>
      <c r="E617" s="30"/>
      <c r="F617" s="30" t="s">
        <v>107</v>
      </c>
      <c r="G617" s="30" t="s">
        <v>106</v>
      </c>
      <c r="H617" s="30"/>
      <c r="I617" s="30" t="s">
        <v>191</v>
      </c>
      <c r="J617" s="30"/>
      <c r="K617" s="30" t="s">
        <v>126</v>
      </c>
      <c r="L617" s="30" t="s">
        <v>117</v>
      </c>
      <c r="M617" s="30" t="s">
        <v>109</v>
      </c>
      <c r="N617" s="30" t="s">
        <v>114</v>
      </c>
      <c r="O617" s="30" t="s">
        <v>115</v>
      </c>
      <c r="P617" s="30" t="s">
        <v>112</v>
      </c>
      <c r="Q617" s="30" t="s">
        <v>112</v>
      </c>
      <c r="R617" s="30" t="s">
        <v>187</v>
      </c>
      <c r="S617" s="81">
        <f>HLOOKUP(L617,データについて!$J$6:$M$18,13,FALSE)</f>
        <v>2</v>
      </c>
      <c r="T617" s="81">
        <f>HLOOKUP(M617,データについて!$J$7:$M$18,12,FALSE)</f>
        <v>2</v>
      </c>
      <c r="U617" s="81">
        <f>HLOOKUP(N617,データについて!$J$8:$M$18,11,FALSE)</f>
        <v>1</v>
      </c>
      <c r="V617" s="81">
        <f>HLOOKUP(O617,データについて!$J$9:$M$18,10,FALSE)</f>
        <v>1</v>
      </c>
      <c r="W617" s="81">
        <f>HLOOKUP(P617,データについて!$J$10:$M$18,9,FALSE)</f>
        <v>1</v>
      </c>
      <c r="X617" s="81">
        <f>HLOOKUP(Q617,データについて!$J$11:$M$18,8,FALSE)</f>
        <v>1</v>
      </c>
      <c r="Y617" s="81">
        <f>HLOOKUP(R617,データについて!$J$12:$M$18,7,FALSE)</f>
        <v>3</v>
      </c>
      <c r="Z617" s="81">
        <f>HLOOKUP(I617,データについて!$J$3:$M$18,16,FALSE)</f>
        <v>2</v>
      </c>
      <c r="AA617" s="81" t="str">
        <f>IFERROR(HLOOKUP(J617,データについて!$J$4:$AH$19,16,FALSE),"")</f>
        <v/>
      </c>
      <c r="AB617" s="81">
        <f>IFERROR(HLOOKUP(K617,データについて!$J$5:$AH$20,14,FALSE),"")</f>
        <v>0</v>
      </c>
      <c r="AC617" s="81">
        <f>IF(X617=1,HLOOKUP(R617,データについて!$J$12:$M$18,7,FALSE),"*")</f>
        <v>3</v>
      </c>
      <c r="AD617" s="81" t="str">
        <f>IF(X617=2,HLOOKUP(R617,データについて!$J$12:$M$18,7,FALSE),"*")</f>
        <v>*</v>
      </c>
    </row>
    <row r="618" spans="1:30">
      <c r="A618" s="30">
        <v>4574</v>
      </c>
      <c r="B618" s="30" t="s">
        <v>4190</v>
      </c>
      <c r="C618" s="30" t="s">
        <v>4191</v>
      </c>
      <c r="D618" s="30" t="s">
        <v>106</v>
      </c>
      <c r="E618" s="30"/>
      <c r="F618" s="30" t="s">
        <v>107</v>
      </c>
      <c r="G618" s="30" t="s">
        <v>106</v>
      </c>
      <c r="H618" s="30"/>
      <c r="I618" s="30" t="s">
        <v>191</v>
      </c>
      <c r="J618" s="30"/>
      <c r="K618" s="30" t="s">
        <v>126</v>
      </c>
      <c r="L618" s="30" t="s">
        <v>117</v>
      </c>
      <c r="M618" s="30" t="s">
        <v>124</v>
      </c>
      <c r="N618" s="30" t="s">
        <v>119</v>
      </c>
      <c r="O618" s="30" t="s">
        <v>115</v>
      </c>
      <c r="P618" s="30" t="s">
        <v>118</v>
      </c>
      <c r="Q618" s="30" t="s">
        <v>112</v>
      </c>
      <c r="R618" s="30" t="s">
        <v>187</v>
      </c>
      <c r="S618" s="81">
        <f>HLOOKUP(L618,データについて!$J$6:$M$18,13,FALSE)</f>
        <v>2</v>
      </c>
      <c r="T618" s="81">
        <f>HLOOKUP(M618,データについて!$J$7:$M$18,12,FALSE)</f>
        <v>3</v>
      </c>
      <c r="U618" s="81">
        <f>HLOOKUP(N618,データについて!$J$8:$M$18,11,FALSE)</f>
        <v>4</v>
      </c>
      <c r="V618" s="81">
        <f>HLOOKUP(O618,データについて!$J$9:$M$18,10,FALSE)</f>
        <v>1</v>
      </c>
      <c r="W618" s="81">
        <f>HLOOKUP(P618,データについて!$J$10:$M$18,9,FALSE)</f>
        <v>2</v>
      </c>
      <c r="X618" s="81">
        <f>HLOOKUP(Q618,データについて!$J$11:$M$18,8,FALSE)</f>
        <v>1</v>
      </c>
      <c r="Y618" s="81">
        <f>HLOOKUP(R618,データについて!$J$12:$M$18,7,FALSE)</f>
        <v>3</v>
      </c>
      <c r="Z618" s="81">
        <f>HLOOKUP(I618,データについて!$J$3:$M$18,16,FALSE)</f>
        <v>2</v>
      </c>
      <c r="AA618" s="81" t="str">
        <f>IFERROR(HLOOKUP(J618,データについて!$J$4:$AH$19,16,FALSE),"")</f>
        <v/>
      </c>
      <c r="AB618" s="81">
        <f>IFERROR(HLOOKUP(K618,データについて!$J$5:$AH$20,14,FALSE),"")</f>
        <v>0</v>
      </c>
      <c r="AC618" s="81">
        <f>IF(X618=1,HLOOKUP(R618,データについて!$J$12:$M$18,7,FALSE),"*")</f>
        <v>3</v>
      </c>
      <c r="AD618" s="81" t="str">
        <f>IF(X618=2,HLOOKUP(R618,データについて!$J$12:$M$18,7,FALSE),"*")</f>
        <v>*</v>
      </c>
    </row>
    <row r="619" spans="1:30">
      <c r="A619" s="30">
        <v>4573</v>
      </c>
      <c r="B619" s="30" t="s">
        <v>4192</v>
      </c>
      <c r="C619" s="30" t="s">
        <v>4193</v>
      </c>
      <c r="D619" s="30" t="s">
        <v>106</v>
      </c>
      <c r="E619" s="30"/>
      <c r="F619" s="30" t="s">
        <v>107</v>
      </c>
      <c r="G619" s="30" t="s">
        <v>106</v>
      </c>
      <c r="H619" s="30"/>
      <c r="I619" s="30" t="s">
        <v>191</v>
      </c>
      <c r="J619" s="30"/>
      <c r="K619" s="30" t="s">
        <v>126</v>
      </c>
      <c r="L619" s="30" t="s">
        <v>120</v>
      </c>
      <c r="M619" s="30" t="s">
        <v>113</v>
      </c>
      <c r="N619" s="30" t="s">
        <v>114</v>
      </c>
      <c r="O619" s="30" t="s">
        <v>111</v>
      </c>
      <c r="P619" s="30" t="s">
        <v>118</v>
      </c>
      <c r="Q619" s="30" t="s">
        <v>112</v>
      </c>
      <c r="R619" s="30" t="s">
        <v>183</v>
      </c>
      <c r="S619" s="81">
        <f>HLOOKUP(L619,データについて!$J$6:$M$18,13,FALSE)</f>
        <v>3</v>
      </c>
      <c r="T619" s="81">
        <f>HLOOKUP(M619,データについて!$J$7:$M$18,12,FALSE)</f>
        <v>1</v>
      </c>
      <c r="U619" s="81">
        <f>HLOOKUP(N619,データについて!$J$8:$M$18,11,FALSE)</f>
        <v>1</v>
      </c>
      <c r="V619" s="81">
        <f>HLOOKUP(O619,データについて!$J$9:$M$18,10,FALSE)</f>
        <v>3</v>
      </c>
      <c r="W619" s="81">
        <f>HLOOKUP(P619,データについて!$J$10:$M$18,9,FALSE)</f>
        <v>2</v>
      </c>
      <c r="X619" s="81">
        <f>HLOOKUP(Q619,データについて!$J$11:$M$18,8,FALSE)</f>
        <v>1</v>
      </c>
      <c r="Y619" s="81">
        <f>HLOOKUP(R619,データについて!$J$12:$M$18,7,FALSE)</f>
        <v>1</v>
      </c>
      <c r="Z619" s="81">
        <f>HLOOKUP(I619,データについて!$J$3:$M$18,16,FALSE)</f>
        <v>2</v>
      </c>
      <c r="AA619" s="81" t="str">
        <f>IFERROR(HLOOKUP(J619,データについて!$J$4:$AH$19,16,FALSE),"")</f>
        <v/>
      </c>
      <c r="AB619" s="81">
        <f>IFERROR(HLOOKUP(K619,データについて!$J$5:$AH$20,14,FALSE),"")</f>
        <v>0</v>
      </c>
      <c r="AC619" s="81">
        <f>IF(X619=1,HLOOKUP(R619,データについて!$J$12:$M$18,7,FALSE),"*")</f>
        <v>1</v>
      </c>
      <c r="AD619" s="81" t="str">
        <f>IF(X619=2,HLOOKUP(R619,データについて!$J$12:$M$18,7,FALSE),"*")</f>
        <v>*</v>
      </c>
    </row>
    <row r="620" spans="1:30">
      <c r="A620" s="30">
        <v>4572</v>
      </c>
      <c r="B620" s="30" t="s">
        <v>4194</v>
      </c>
      <c r="C620" s="30" t="s">
        <v>4193</v>
      </c>
      <c r="D620" s="30" t="s">
        <v>106</v>
      </c>
      <c r="E620" s="30"/>
      <c r="F620" s="30" t="s">
        <v>107</v>
      </c>
      <c r="G620" s="30" t="s">
        <v>106</v>
      </c>
      <c r="H620" s="30"/>
      <c r="I620" s="30" t="s">
        <v>191</v>
      </c>
      <c r="J620" s="30"/>
      <c r="K620" s="30" t="s">
        <v>126</v>
      </c>
      <c r="L620" s="30" t="s">
        <v>108</v>
      </c>
      <c r="M620" s="30" t="s">
        <v>113</v>
      </c>
      <c r="N620" s="30" t="s">
        <v>119</v>
      </c>
      <c r="O620" s="30" t="s">
        <v>115</v>
      </c>
      <c r="P620" s="30" t="s">
        <v>112</v>
      </c>
      <c r="Q620" s="30" t="s">
        <v>112</v>
      </c>
      <c r="R620" s="30" t="s">
        <v>185</v>
      </c>
      <c r="S620" s="81">
        <f>HLOOKUP(L620,データについて!$J$6:$M$18,13,FALSE)</f>
        <v>1</v>
      </c>
      <c r="T620" s="81">
        <f>HLOOKUP(M620,データについて!$J$7:$M$18,12,FALSE)</f>
        <v>1</v>
      </c>
      <c r="U620" s="81">
        <f>HLOOKUP(N620,データについて!$J$8:$M$18,11,FALSE)</f>
        <v>4</v>
      </c>
      <c r="V620" s="81">
        <f>HLOOKUP(O620,データについて!$J$9:$M$18,10,FALSE)</f>
        <v>1</v>
      </c>
      <c r="W620" s="81">
        <f>HLOOKUP(P620,データについて!$J$10:$M$18,9,FALSE)</f>
        <v>1</v>
      </c>
      <c r="X620" s="81">
        <f>HLOOKUP(Q620,データについて!$J$11:$M$18,8,FALSE)</f>
        <v>1</v>
      </c>
      <c r="Y620" s="81">
        <f>HLOOKUP(R620,データについて!$J$12:$M$18,7,FALSE)</f>
        <v>2</v>
      </c>
      <c r="Z620" s="81">
        <f>HLOOKUP(I620,データについて!$J$3:$M$18,16,FALSE)</f>
        <v>2</v>
      </c>
      <c r="AA620" s="81" t="str">
        <f>IFERROR(HLOOKUP(J620,データについて!$J$4:$AH$19,16,FALSE),"")</f>
        <v/>
      </c>
      <c r="AB620" s="81">
        <f>IFERROR(HLOOKUP(K620,データについて!$J$5:$AH$20,14,FALSE),"")</f>
        <v>0</v>
      </c>
      <c r="AC620" s="81">
        <f>IF(X620=1,HLOOKUP(R620,データについて!$J$12:$M$18,7,FALSE),"*")</f>
        <v>2</v>
      </c>
      <c r="AD620" s="81" t="str">
        <f>IF(X620=2,HLOOKUP(R620,データについて!$J$12:$M$18,7,FALSE),"*")</f>
        <v>*</v>
      </c>
    </row>
    <row r="621" spans="1:30">
      <c r="A621" s="30">
        <v>4571</v>
      </c>
      <c r="B621" s="30" t="s">
        <v>4195</v>
      </c>
      <c r="C621" s="30" t="s">
        <v>4193</v>
      </c>
      <c r="D621" s="30" t="s">
        <v>106</v>
      </c>
      <c r="E621" s="30"/>
      <c r="F621" s="30" t="s">
        <v>107</v>
      </c>
      <c r="G621" s="30" t="s">
        <v>106</v>
      </c>
      <c r="H621" s="30"/>
      <c r="I621" s="30" t="s">
        <v>191</v>
      </c>
      <c r="J621" s="30"/>
      <c r="K621" s="30" t="s">
        <v>126</v>
      </c>
      <c r="L621" s="30" t="s">
        <v>117</v>
      </c>
      <c r="M621" s="30" t="s">
        <v>113</v>
      </c>
      <c r="N621" s="30" t="s">
        <v>110</v>
      </c>
      <c r="O621" s="30" t="s">
        <v>115</v>
      </c>
      <c r="P621" s="30" t="s">
        <v>118</v>
      </c>
      <c r="Q621" s="30" t="s">
        <v>112</v>
      </c>
      <c r="R621" s="30" t="s">
        <v>185</v>
      </c>
      <c r="S621" s="81">
        <f>HLOOKUP(L621,データについて!$J$6:$M$18,13,FALSE)</f>
        <v>2</v>
      </c>
      <c r="T621" s="81">
        <f>HLOOKUP(M621,データについて!$J$7:$M$18,12,FALSE)</f>
        <v>1</v>
      </c>
      <c r="U621" s="81">
        <f>HLOOKUP(N621,データについて!$J$8:$M$18,11,FALSE)</f>
        <v>2</v>
      </c>
      <c r="V621" s="81">
        <f>HLOOKUP(O621,データについて!$J$9:$M$18,10,FALSE)</f>
        <v>1</v>
      </c>
      <c r="W621" s="81">
        <f>HLOOKUP(P621,データについて!$J$10:$M$18,9,FALSE)</f>
        <v>2</v>
      </c>
      <c r="X621" s="81">
        <f>HLOOKUP(Q621,データについて!$J$11:$M$18,8,FALSE)</f>
        <v>1</v>
      </c>
      <c r="Y621" s="81">
        <f>HLOOKUP(R621,データについて!$J$12:$M$18,7,FALSE)</f>
        <v>2</v>
      </c>
      <c r="Z621" s="81">
        <f>HLOOKUP(I621,データについて!$J$3:$M$18,16,FALSE)</f>
        <v>2</v>
      </c>
      <c r="AA621" s="81" t="str">
        <f>IFERROR(HLOOKUP(J621,データについて!$J$4:$AH$19,16,FALSE),"")</f>
        <v/>
      </c>
      <c r="AB621" s="81">
        <f>IFERROR(HLOOKUP(K621,データについて!$J$5:$AH$20,14,FALSE),"")</f>
        <v>0</v>
      </c>
      <c r="AC621" s="81">
        <f>IF(X621=1,HLOOKUP(R621,データについて!$J$12:$M$18,7,FALSE),"*")</f>
        <v>2</v>
      </c>
      <c r="AD621" s="81" t="str">
        <f>IF(X621=2,HLOOKUP(R621,データについて!$J$12:$M$18,7,FALSE),"*")</f>
        <v>*</v>
      </c>
    </row>
    <row r="622" spans="1:30">
      <c r="A622" s="30">
        <v>4570</v>
      </c>
      <c r="B622" s="30" t="s">
        <v>4196</v>
      </c>
      <c r="C622" s="30" t="s">
        <v>4197</v>
      </c>
      <c r="D622" s="30" t="s">
        <v>106</v>
      </c>
      <c r="E622" s="30"/>
      <c r="F622" s="30" t="s">
        <v>107</v>
      </c>
      <c r="G622" s="30" t="s">
        <v>106</v>
      </c>
      <c r="H622" s="30"/>
      <c r="I622" s="30" t="s">
        <v>192</v>
      </c>
      <c r="J622" s="30" t="s">
        <v>3010</v>
      </c>
      <c r="K622" s="30"/>
      <c r="L622" s="30" t="s">
        <v>108</v>
      </c>
      <c r="M622" s="30" t="s">
        <v>113</v>
      </c>
      <c r="N622" s="30" t="s">
        <v>122</v>
      </c>
      <c r="O622" s="30" t="s">
        <v>115</v>
      </c>
      <c r="P622" s="30" t="s">
        <v>112</v>
      </c>
      <c r="Q622" s="30" t="s">
        <v>112</v>
      </c>
      <c r="R622" s="30" t="s">
        <v>183</v>
      </c>
      <c r="S622" s="81">
        <f>HLOOKUP(L622,データについて!$J$6:$M$18,13,FALSE)</f>
        <v>1</v>
      </c>
      <c r="T622" s="81">
        <f>HLOOKUP(M622,データについて!$J$7:$M$18,12,FALSE)</f>
        <v>1</v>
      </c>
      <c r="U622" s="81">
        <f>HLOOKUP(N622,データについて!$J$8:$M$18,11,FALSE)</f>
        <v>3</v>
      </c>
      <c r="V622" s="81">
        <f>HLOOKUP(O622,データについて!$J$9:$M$18,10,FALSE)</f>
        <v>1</v>
      </c>
      <c r="W622" s="81">
        <f>HLOOKUP(P622,データについて!$J$10:$M$18,9,FALSE)</f>
        <v>1</v>
      </c>
      <c r="X622" s="81">
        <f>HLOOKUP(Q622,データについて!$J$11:$M$18,8,FALSE)</f>
        <v>1</v>
      </c>
      <c r="Y622" s="81">
        <f>HLOOKUP(R622,データについて!$J$12:$M$18,7,FALSE)</f>
        <v>1</v>
      </c>
      <c r="Z622" s="81">
        <f>HLOOKUP(I622,データについて!$J$3:$M$18,16,FALSE)</f>
        <v>1</v>
      </c>
      <c r="AA622" s="81">
        <f>IFERROR(HLOOKUP(J622,データについて!$J$4:$AH$19,16,FALSE),"")</f>
        <v>12</v>
      </c>
      <c r="AB622" s="81" t="str">
        <f>IFERROR(HLOOKUP(K622,データについて!$J$5:$AH$20,14,FALSE),"")</f>
        <v/>
      </c>
      <c r="AC622" s="81">
        <f>IF(X622=1,HLOOKUP(R622,データについて!$J$12:$M$18,7,FALSE),"*")</f>
        <v>1</v>
      </c>
      <c r="AD622" s="81" t="str">
        <f>IF(X622=2,HLOOKUP(R622,データについて!$J$12:$M$18,7,FALSE),"*")</f>
        <v>*</v>
      </c>
    </row>
    <row r="623" spans="1:30">
      <c r="A623" s="30">
        <v>4569</v>
      </c>
      <c r="B623" s="30" t="s">
        <v>4198</v>
      </c>
      <c r="C623" s="30" t="s">
        <v>4199</v>
      </c>
      <c r="D623" s="30" t="s">
        <v>106</v>
      </c>
      <c r="E623" s="30"/>
      <c r="F623" s="30" t="s">
        <v>107</v>
      </c>
      <c r="G623" s="30" t="s">
        <v>106</v>
      </c>
      <c r="H623" s="30"/>
      <c r="I623" s="30" t="s">
        <v>191</v>
      </c>
      <c r="J623" s="30"/>
      <c r="K623" s="30" t="s">
        <v>126</v>
      </c>
      <c r="L623" s="30" t="s">
        <v>108</v>
      </c>
      <c r="M623" s="30" t="s">
        <v>109</v>
      </c>
      <c r="N623" s="30" t="s">
        <v>110</v>
      </c>
      <c r="O623" s="30" t="s">
        <v>115</v>
      </c>
      <c r="P623" s="30" t="s">
        <v>118</v>
      </c>
      <c r="Q623" s="30" t="s">
        <v>112</v>
      </c>
      <c r="R623" s="30" t="s">
        <v>185</v>
      </c>
      <c r="S623" s="81">
        <f>HLOOKUP(L623,データについて!$J$6:$M$18,13,FALSE)</f>
        <v>1</v>
      </c>
      <c r="T623" s="81">
        <f>HLOOKUP(M623,データについて!$J$7:$M$18,12,FALSE)</f>
        <v>2</v>
      </c>
      <c r="U623" s="81">
        <f>HLOOKUP(N623,データについて!$J$8:$M$18,11,FALSE)</f>
        <v>2</v>
      </c>
      <c r="V623" s="81">
        <f>HLOOKUP(O623,データについて!$J$9:$M$18,10,FALSE)</f>
        <v>1</v>
      </c>
      <c r="W623" s="81">
        <f>HLOOKUP(P623,データについて!$J$10:$M$18,9,FALSE)</f>
        <v>2</v>
      </c>
      <c r="X623" s="81">
        <f>HLOOKUP(Q623,データについて!$J$11:$M$18,8,FALSE)</f>
        <v>1</v>
      </c>
      <c r="Y623" s="81">
        <f>HLOOKUP(R623,データについて!$J$12:$M$18,7,FALSE)</f>
        <v>2</v>
      </c>
      <c r="Z623" s="81">
        <f>HLOOKUP(I623,データについて!$J$3:$M$18,16,FALSE)</f>
        <v>2</v>
      </c>
      <c r="AA623" s="81" t="str">
        <f>IFERROR(HLOOKUP(J623,データについて!$J$4:$AH$19,16,FALSE),"")</f>
        <v/>
      </c>
      <c r="AB623" s="81">
        <f>IFERROR(HLOOKUP(K623,データについて!$J$5:$AH$20,14,FALSE),"")</f>
        <v>0</v>
      </c>
      <c r="AC623" s="81">
        <f>IF(X623=1,HLOOKUP(R623,データについて!$J$12:$M$18,7,FALSE),"*")</f>
        <v>2</v>
      </c>
      <c r="AD623" s="81" t="str">
        <f>IF(X623=2,HLOOKUP(R623,データについて!$J$12:$M$18,7,FALSE),"*")</f>
        <v>*</v>
      </c>
    </row>
    <row r="624" spans="1:30">
      <c r="A624" s="30">
        <v>4568</v>
      </c>
      <c r="B624" s="30" t="s">
        <v>4200</v>
      </c>
      <c r="C624" s="30" t="s">
        <v>4201</v>
      </c>
      <c r="D624" s="30" t="s">
        <v>106</v>
      </c>
      <c r="E624" s="30"/>
      <c r="F624" s="30" t="s">
        <v>107</v>
      </c>
      <c r="G624" s="30" t="s">
        <v>106</v>
      </c>
      <c r="H624" s="30"/>
      <c r="I624" s="30" t="s">
        <v>191</v>
      </c>
      <c r="J624" s="30"/>
      <c r="K624" s="30" t="s">
        <v>126</v>
      </c>
      <c r="L624" s="30" t="s">
        <v>117</v>
      </c>
      <c r="M624" s="30" t="s">
        <v>113</v>
      </c>
      <c r="N624" s="30" t="s">
        <v>122</v>
      </c>
      <c r="O624" s="30" t="s">
        <v>115</v>
      </c>
      <c r="P624" s="30" t="s">
        <v>112</v>
      </c>
      <c r="Q624" s="30" t="s">
        <v>112</v>
      </c>
      <c r="R624" s="30" t="s">
        <v>185</v>
      </c>
      <c r="S624" s="81">
        <f>HLOOKUP(L624,データについて!$J$6:$M$18,13,FALSE)</f>
        <v>2</v>
      </c>
      <c r="T624" s="81">
        <f>HLOOKUP(M624,データについて!$J$7:$M$18,12,FALSE)</f>
        <v>1</v>
      </c>
      <c r="U624" s="81">
        <f>HLOOKUP(N624,データについて!$J$8:$M$18,11,FALSE)</f>
        <v>3</v>
      </c>
      <c r="V624" s="81">
        <f>HLOOKUP(O624,データについて!$J$9:$M$18,10,FALSE)</f>
        <v>1</v>
      </c>
      <c r="W624" s="81">
        <f>HLOOKUP(P624,データについて!$J$10:$M$18,9,FALSE)</f>
        <v>1</v>
      </c>
      <c r="X624" s="81">
        <f>HLOOKUP(Q624,データについて!$J$11:$M$18,8,FALSE)</f>
        <v>1</v>
      </c>
      <c r="Y624" s="81">
        <f>HLOOKUP(R624,データについて!$J$12:$M$18,7,FALSE)</f>
        <v>2</v>
      </c>
      <c r="Z624" s="81">
        <f>HLOOKUP(I624,データについて!$J$3:$M$18,16,FALSE)</f>
        <v>2</v>
      </c>
      <c r="AA624" s="81" t="str">
        <f>IFERROR(HLOOKUP(J624,データについて!$J$4:$AH$19,16,FALSE),"")</f>
        <v/>
      </c>
      <c r="AB624" s="81">
        <f>IFERROR(HLOOKUP(K624,データについて!$J$5:$AH$20,14,FALSE),"")</f>
        <v>0</v>
      </c>
      <c r="AC624" s="81">
        <f>IF(X624=1,HLOOKUP(R624,データについて!$J$12:$M$18,7,FALSE),"*")</f>
        <v>2</v>
      </c>
      <c r="AD624" s="81" t="str">
        <f>IF(X624=2,HLOOKUP(R624,データについて!$J$12:$M$18,7,FALSE),"*")</f>
        <v>*</v>
      </c>
    </row>
    <row r="625" spans="1:30">
      <c r="A625" s="30">
        <v>4567</v>
      </c>
      <c r="B625" s="30" t="s">
        <v>4202</v>
      </c>
      <c r="C625" s="30" t="s">
        <v>4201</v>
      </c>
      <c r="D625" s="30" t="s">
        <v>106</v>
      </c>
      <c r="E625" s="30"/>
      <c r="F625" s="30" t="s">
        <v>107</v>
      </c>
      <c r="G625" s="30" t="s">
        <v>106</v>
      </c>
      <c r="H625" s="30"/>
      <c r="I625" s="30" t="s">
        <v>192</v>
      </c>
      <c r="J625" s="30" t="s">
        <v>3010</v>
      </c>
      <c r="K625" s="30"/>
      <c r="L625" s="30" t="s">
        <v>117</v>
      </c>
      <c r="M625" s="30" t="s">
        <v>113</v>
      </c>
      <c r="N625" s="30" t="s">
        <v>114</v>
      </c>
      <c r="O625" s="30" t="s">
        <v>115</v>
      </c>
      <c r="P625" s="30" t="s">
        <v>112</v>
      </c>
      <c r="Q625" s="30" t="s">
        <v>112</v>
      </c>
      <c r="R625" s="30" t="s">
        <v>185</v>
      </c>
      <c r="S625" s="81">
        <f>HLOOKUP(L625,データについて!$J$6:$M$18,13,FALSE)</f>
        <v>2</v>
      </c>
      <c r="T625" s="81">
        <f>HLOOKUP(M625,データについて!$J$7:$M$18,12,FALSE)</f>
        <v>1</v>
      </c>
      <c r="U625" s="81">
        <f>HLOOKUP(N625,データについて!$J$8:$M$18,11,FALSE)</f>
        <v>1</v>
      </c>
      <c r="V625" s="81">
        <f>HLOOKUP(O625,データについて!$J$9:$M$18,10,FALSE)</f>
        <v>1</v>
      </c>
      <c r="W625" s="81">
        <f>HLOOKUP(P625,データについて!$J$10:$M$18,9,FALSE)</f>
        <v>1</v>
      </c>
      <c r="X625" s="81">
        <f>HLOOKUP(Q625,データについて!$J$11:$M$18,8,FALSE)</f>
        <v>1</v>
      </c>
      <c r="Y625" s="81">
        <f>HLOOKUP(R625,データについて!$J$12:$M$18,7,FALSE)</f>
        <v>2</v>
      </c>
      <c r="Z625" s="81">
        <f>HLOOKUP(I625,データについて!$J$3:$M$18,16,FALSE)</f>
        <v>1</v>
      </c>
      <c r="AA625" s="81">
        <f>IFERROR(HLOOKUP(J625,データについて!$J$4:$AH$19,16,FALSE),"")</f>
        <v>12</v>
      </c>
      <c r="AB625" s="81" t="str">
        <f>IFERROR(HLOOKUP(K625,データについて!$J$5:$AH$20,14,FALSE),"")</f>
        <v/>
      </c>
      <c r="AC625" s="81">
        <f>IF(X625=1,HLOOKUP(R625,データについて!$J$12:$M$18,7,FALSE),"*")</f>
        <v>2</v>
      </c>
      <c r="AD625" s="81" t="str">
        <f>IF(X625=2,HLOOKUP(R625,データについて!$J$12:$M$18,7,FALSE),"*")</f>
        <v>*</v>
      </c>
    </row>
    <row r="626" spans="1:30">
      <c r="A626" s="30">
        <v>4566</v>
      </c>
      <c r="B626" s="30" t="s">
        <v>4203</v>
      </c>
      <c r="C626" s="30" t="s">
        <v>4201</v>
      </c>
      <c r="D626" s="30" t="s">
        <v>106</v>
      </c>
      <c r="E626" s="30"/>
      <c r="F626" s="30" t="s">
        <v>107</v>
      </c>
      <c r="G626" s="30" t="s">
        <v>106</v>
      </c>
      <c r="H626" s="30"/>
      <c r="I626" s="30" t="s">
        <v>191</v>
      </c>
      <c r="J626" s="30"/>
      <c r="K626" s="30" t="s">
        <v>126</v>
      </c>
      <c r="L626" s="30" t="s">
        <v>117</v>
      </c>
      <c r="M626" s="30" t="s">
        <v>113</v>
      </c>
      <c r="N626" s="30" t="s">
        <v>110</v>
      </c>
      <c r="O626" s="30" t="s">
        <v>115</v>
      </c>
      <c r="P626" s="30" t="s">
        <v>118</v>
      </c>
      <c r="Q626" s="30" t="s">
        <v>112</v>
      </c>
      <c r="R626" s="30" t="s">
        <v>183</v>
      </c>
      <c r="S626" s="81">
        <f>HLOOKUP(L626,データについて!$J$6:$M$18,13,FALSE)</f>
        <v>2</v>
      </c>
      <c r="T626" s="81">
        <f>HLOOKUP(M626,データについて!$J$7:$M$18,12,FALSE)</f>
        <v>1</v>
      </c>
      <c r="U626" s="81">
        <f>HLOOKUP(N626,データについて!$J$8:$M$18,11,FALSE)</f>
        <v>2</v>
      </c>
      <c r="V626" s="81">
        <f>HLOOKUP(O626,データについて!$J$9:$M$18,10,FALSE)</f>
        <v>1</v>
      </c>
      <c r="W626" s="81">
        <f>HLOOKUP(P626,データについて!$J$10:$M$18,9,FALSE)</f>
        <v>2</v>
      </c>
      <c r="X626" s="81">
        <f>HLOOKUP(Q626,データについて!$J$11:$M$18,8,FALSE)</f>
        <v>1</v>
      </c>
      <c r="Y626" s="81">
        <f>HLOOKUP(R626,データについて!$J$12:$M$18,7,FALSE)</f>
        <v>1</v>
      </c>
      <c r="Z626" s="81">
        <f>HLOOKUP(I626,データについて!$J$3:$M$18,16,FALSE)</f>
        <v>2</v>
      </c>
      <c r="AA626" s="81" t="str">
        <f>IFERROR(HLOOKUP(J626,データについて!$J$4:$AH$19,16,FALSE),"")</f>
        <v/>
      </c>
      <c r="AB626" s="81">
        <f>IFERROR(HLOOKUP(K626,データについて!$J$5:$AH$20,14,FALSE),"")</f>
        <v>0</v>
      </c>
      <c r="AC626" s="81">
        <f>IF(X626=1,HLOOKUP(R626,データについて!$J$12:$M$18,7,FALSE),"*")</f>
        <v>1</v>
      </c>
      <c r="AD626" s="81" t="str">
        <f>IF(X626=2,HLOOKUP(R626,データについて!$J$12:$M$18,7,FALSE),"*")</f>
        <v>*</v>
      </c>
    </row>
    <row r="627" spans="1:30">
      <c r="A627" s="30">
        <v>4565</v>
      </c>
      <c r="B627" s="30" t="s">
        <v>4204</v>
      </c>
      <c r="C627" s="30" t="s">
        <v>4205</v>
      </c>
      <c r="D627" s="30" t="s">
        <v>106</v>
      </c>
      <c r="E627" s="30"/>
      <c r="F627" s="30" t="s">
        <v>107</v>
      </c>
      <c r="G627" s="30" t="s">
        <v>106</v>
      </c>
      <c r="H627" s="30"/>
      <c r="I627" s="30" t="s">
        <v>191</v>
      </c>
      <c r="J627" s="30"/>
      <c r="K627" s="30" t="s">
        <v>126</v>
      </c>
      <c r="L627" s="30" t="s">
        <v>108</v>
      </c>
      <c r="M627" s="30" t="s">
        <v>113</v>
      </c>
      <c r="N627" s="30" t="s">
        <v>114</v>
      </c>
      <c r="O627" s="30" t="s">
        <v>115</v>
      </c>
      <c r="P627" s="30" t="s">
        <v>112</v>
      </c>
      <c r="Q627" s="30" t="s">
        <v>118</v>
      </c>
      <c r="R627" s="30" t="s">
        <v>183</v>
      </c>
      <c r="S627" s="81">
        <f>HLOOKUP(L627,データについて!$J$6:$M$18,13,FALSE)</f>
        <v>1</v>
      </c>
      <c r="T627" s="81">
        <f>HLOOKUP(M627,データについて!$J$7:$M$18,12,FALSE)</f>
        <v>1</v>
      </c>
      <c r="U627" s="81">
        <f>HLOOKUP(N627,データについて!$J$8:$M$18,11,FALSE)</f>
        <v>1</v>
      </c>
      <c r="V627" s="81">
        <f>HLOOKUP(O627,データについて!$J$9:$M$18,10,FALSE)</f>
        <v>1</v>
      </c>
      <c r="W627" s="81">
        <f>HLOOKUP(P627,データについて!$J$10:$M$18,9,FALSE)</f>
        <v>1</v>
      </c>
      <c r="X627" s="81">
        <f>HLOOKUP(Q627,データについて!$J$11:$M$18,8,FALSE)</f>
        <v>2</v>
      </c>
      <c r="Y627" s="81">
        <f>HLOOKUP(R627,データについて!$J$12:$M$18,7,FALSE)</f>
        <v>1</v>
      </c>
      <c r="Z627" s="81">
        <f>HLOOKUP(I627,データについて!$J$3:$M$18,16,FALSE)</f>
        <v>2</v>
      </c>
      <c r="AA627" s="81" t="str">
        <f>IFERROR(HLOOKUP(J627,データについて!$J$4:$AH$19,16,FALSE),"")</f>
        <v/>
      </c>
      <c r="AB627" s="81">
        <f>IFERROR(HLOOKUP(K627,データについて!$J$5:$AH$20,14,FALSE),"")</f>
        <v>0</v>
      </c>
      <c r="AC627" s="81" t="str">
        <f>IF(X627=1,HLOOKUP(R627,データについて!$J$12:$M$18,7,FALSE),"*")</f>
        <v>*</v>
      </c>
      <c r="AD627" s="81">
        <f>IF(X627=2,HLOOKUP(R627,データについて!$J$12:$M$18,7,FALSE),"*")</f>
        <v>1</v>
      </c>
    </row>
    <row r="628" spans="1:30">
      <c r="A628" s="30">
        <v>4564</v>
      </c>
      <c r="B628" s="30" t="s">
        <v>4206</v>
      </c>
      <c r="C628" s="30" t="s">
        <v>4205</v>
      </c>
      <c r="D628" s="30" t="s">
        <v>106</v>
      </c>
      <c r="E628" s="30"/>
      <c r="F628" s="30" t="s">
        <v>107</v>
      </c>
      <c r="G628" s="30" t="s">
        <v>106</v>
      </c>
      <c r="H628" s="30"/>
      <c r="I628" s="30" t="s">
        <v>191</v>
      </c>
      <c r="J628" s="30"/>
      <c r="K628" s="30" t="s">
        <v>126</v>
      </c>
      <c r="L628" s="30" t="s">
        <v>108</v>
      </c>
      <c r="M628" s="30" t="s">
        <v>113</v>
      </c>
      <c r="N628" s="30" t="s">
        <v>110</v>
      </c>
      <c r="O628" s="30" t="s">
        <v>115</v>
      </c>
      <c r="P628" s="30" t="s">
        <v>112</v>
      </c>
      <c r="Q628" s="30" t="s">
        <v>112</v>
      </c>
      <c r="R628" s="30" t="s">
        <v>183</v>
      </c>
      <c r="S628" s="81">
        <f>HLOOKUP(L628,データについて!$J$6:$M$18,13,FALSE)</f>
        <v>1</v>
      </c>
      <c r="T628" s="81">
        <f>HLOOKUP(M628,データについて!$J$7:$M$18,12,FALSE)</f>
        <v>1</v>
      </c>
      <c r="U628" s="81">
        <f>HLOOKUP(N628,データについて!$J$8:$M$18,11,FALSE)</f>
        <v>2</v>
      </c>
      <c r="V628" s="81">
        <f>HLOOKUP(O628,データについて!$J$9:$M$18,10,FALSE)</f>
        <v>1</v>
      </c>
      <c r="W628" s="81">
        <f>HLOOKUP(P628,データについて!$J$10:$M$18,9,FALSE)</f>
        <v>1</v>
      </c>
      <c r="X628" s="81">
        <f>HLOOKUP(Q628,データについて!$J$11:$M$18,8,FALSE)</f>
        <v>1</v>
      </c>
      <c r="Y628" s="81">
        <f>HLOOKUP(R628,データについて!$J$12:$M$18,7,FALSE)</f>
        <v>1</v>
      </c>
      <c r="Z628" s="81">
        <f>HLOOKUP(I628,データについて!$J$3:$M$18,16,FALSE)</f>
        <v>2</v>
      </c>
      <c r="AA628" s="81" t="str">
        <f>IFERROR(HLOOKUP(J628,データについて!$J$4:$AH$19,16,FALSE),"")</f>
        <v/>
      </c>
      <c r="AB628" s="81">
        <f>IFERROR(HLOOKUP(K628,データについて!$J$5:$AH$20,14,FALSE),"")</f>
        <v>0</v>
      </c>
      <c r="AC628" s="81">
        <f>IF(X628=1,HLOOKUP(R628,データについて!$J$12:$M$18,7,FALSE),"*")</f>
        <v>1</v>
      </c>
      <c r="AD628" s="81" t="str">
        <f>IF(X628=2,HLOOKUP(R628,データについて!$J$12:$M$18,7,FALSE),"*")</f>
        <v>*</v>
      </c>
    </row>
    <row r="629" spans="1:30">
      <c r="A629" s="30">
        <v>4563</v>
      </c>
      <c r="B629" s="30" t="s">
        <v>4207</v>
      </c>
      <c r="C629" s="30" t="s">
        <v>4208</v>
      </c>
      <c r="D629" s="30" t="s">
        <v>106</v>
      </c>
      <c r="E629" s="30"/>
      <c r="F629" s="30" t="s">
        <v>107</v>
      </c>
      <c r="G629" s="30" t="s">
        <v>106</v>
      </c>
      <c r="H629" s="30"/>
      <c r="I629" s="30" t="s">
        <v>192</v>
      </c>
      <c r="J629" s="30" t="s">
        <v>3010</v>
      </c>
      <c r="K629" s="30"/>
      <c r="L629" s="30" t="s">
        <v>108</v>
      </c>
      <c r="M629" s="30" t="s">
        <v>109</v>
      </c>
      <c r="N629" s="30" t="s">
        <v>110</v>
      </c>
      <c r="O629" s="30" t="s">
        <v>115</v>
      </c>
      <c r="P629" s="30" t="s">
        <v>112</v>
      </c>
      <c r="Q629" s="30" t="s">
        <v>112</v>
      </c>
      <c r="R629" s="30" t="s">
        <v>185</v>
      </c>
      <c r="S629" s="81">
        <f>HLOOKUP(L629,データについて!$J$6:$M$18,13,FALSE)</f>
        <v>1</v>
      </c>
      <c r="T629" s="81">
        <f>HLOOKUP(M629,データについて!$J$7:$M$18,12,FALSE)</f>
        <v>2</v>
      </c>
      <c r="U629" s="81">
        <f>HLOOKUP(N629,データについて!$J$8:$M$18,11,FALSE)</f>
        <v>2</v>
      </c>
      <c r="V629" s="81">
        <f>HLOOKUP(O629,データについて!$J$9:$M$18,10,FALSE)</f>
        <v>1</v>
      </c>
      <c r="W629" s="81">
        <f>HLOOKUP(P629,データについて!$J$10:$M$18,9,FALSE)</f>
        <v>1</v>
      </c>
      <c r="X629" s="81">
        <f>HLOOKUP(Q629,データについて!$J$11:$M$18,8,FALSE)</f>
        <v>1</v>
      </c>
      <c r="Y629" s="81">
        <f>HLOOKUP(R629,データについて!$J$12:$M$18,7,FALSE)</f>
        <v>2</v>
      </c>
      <c r="Z629" s="81">
        <f>HLOOKUP(I629,データについて!$J$3:$M$18,16,FALSE)</f>
        <v>1</v>
      </c>
      <c r="AA629" s="81">
        <f>IFERROR(HLOOKUP(J629,データについて!$J$4:$AH$19,16,FALSE),"")</f>
        <v>12</v>
      </c>
      <c r="AB629" s="81" t="str">
        <f>IFERROR(HLOOKUP(K629,データについて!$J$5:$AH$20,14,FALSE),"")</f>
        <v/>
      </c>
      <c r="AC629" s="81">
        <f>IF(X629=1,HLOOKUP(R629,データについて!$J$12:$M$18,7,FALSE),"*")</f>
        <v>2</v>
      </c>
      <c r="AD629" s="81" t="str">
        <f>IF(X629=2,HLOOKUP(R629,データについて!$J$12:$M$18,7,FALSE),"*")</f>
        <v>*</v>
      </c>
    </row>
    <row r="630" spans="1:30">
      <c r="A630" s="30">
        <v>4562</v>
      </c>
      <c r="B630" s="30" t="s">
        <v>4209</v>
      </c>
      <c r="C630" s="30" t="s">
        <v>4208</v>
      </c>
      <c r="D630" s="30" t="s">
        <v>106</v>
      </c>
      <c r="E630" s="30"/>
      <c r="F630" s="30" t="s">
        <v>107</v>
      </c>
      <c r="G630" s="30" t="s">
        <v>106</v>
      </c>
      <c r="H630" s="30"/>
      <c r="I630" s="30" t="s">
        <v>191</v>
      </c>
      <c r="J630" s="30"/>
      <c r="K630" s="30" t="s">
        <v>126</v>
      </c>
      <c r="L630" s="30" t="s">
        <v>108</v>
      </c>
      <c r="M630" s="30" t="s">
        <v>113</v>
      </c>
      <c r="N630" s="30" t="s">
        <v>114</v>
      </c>
      <c r="O630" s="30" t="s">
        <v>115</v>
      </c>
      <c r="P630" s="30" t="s">
        <v>112</v>
      </c>
      <c r="Q630" s="30" t="s">
        <v>112</v>
      </c>
      <c r="R630" s="30" t="s">
        <v>187</v>
      </c>
      <c r="S630" s="81">
        <f>HLOOKUP(L630,データについて!$J$6:$M$18,13,FALSE)</f>
        <v>1</v>
      </c>
      <c r="T630" s="81">
        <f>HLOOKUP(M630,データについて!$J$7:$M$18,12,FALSE)</f>
        <v>1</v>
      </c>
      <c r="U630" s="81">
        <f>HLOOKUP(N630,データについて!$J$8:$M$18,11,FALSE)</f>
        <v>1</v>
      </c>
      <c r="V630" s="81">
        <f>HLOOKUP(O630,データについて!$J$9:$M$18,10,FALSE)</f>
        <v>1</v>
      </c>
      <c r="W630" s="81">
        <f>HLOOKUP(P630,データについて!$J$10:$M$18,9,FALSE)</f>
        <v>1</v>
      </c>
      <c r="X630" s="81">
        <f>HLOOKUP(Q630,データについて!$J$11:$M$18,8,FALSE)</f>
        <v>1</v>
      </c>
      <c r="Y630" s="81">
        <f>HLOOKUP(R630,データについて!$J$12:$M$18,7,FALSE)</f>
        <v>3</v>
      </c>
      <c r="Z630" s="81">
        <f>HLOOKUP(I630,データについて!$J$3:$M$18,16,FALSE)</f>
        <v>2</v>
      </c>
      <c r="AA630" s="81" t="str">
        <f>IFERROR(HLOOKUP(J630,データについて!$J$4:$AH$19,16,FALSE),"")</f>
        <v/>
      </c>
      <c r="AB630" s="81">
        <f>IFERROR(HLOOKUP(K630,データについて!$J$5:$AH$20,14,FALSE),"")</f>
        <v>0</v>
      </c>
      <c r="AC630" s="81">
        <f>IF(X630=1,HLOOKUP(R630,データについて!$J$12:$M$18,7,FALSE),"*")</f>
        <v>3</v>
      </c>
      <c r="AD630" s="81" t="str">
        <f>IF(X630=2,HLOOKUP(R630,データについて!$J$12:$M$18,7,FALSE),"*")</f>
        <v>*</v>
      </c>
    </row>
    <row r="631" spans="1:30">
      <c r="A631" s="30">
        <v>4561</v>
      </c>
      <c r="B631" s="30" t="s">
        <v>4210</v>
      </c>
      <c r="C631" s="30" t="s">
        <v>4211</v>
      </c>
      <c r="D631" s="30" t="s">
        <v>106</v>
      </c>
      <c r="E631" s="30"/>
      <c r="F631" s="30" t="s">
        <v>107</v>
      </c>
      <c r="G631" s="30" t="s">
        <v>106</v>
      </c>
      <c r="H631" s="30"/>
      <c r="I631" s="30" t="s">
        <v>191</v>
      </c>
      <c r="J631" s="30"/>
      <c r="K631" s="30" t="s">
        <v>126</v>
      </c>
      <c r="L631" s="30" t="s">
        <v>117</v>
      </c>
      <c r="M631" s="30" t="s">
        <v>113</v>
      </c>
      <c r="N631" s="30" t="s">
        <v>110</v>
      </c>
      <c r="O631" s="30" t="s">
        <v>115</v>
      </c>
      <c r="P631" s="30" t="s">
        <v>118</v>
      </c>
      <c r="Q631" s="30" t="s">
        <v>112</v>
      </c>
      <c r="R631" s="30" t="s">
        <v>183</v>
      </c>
      <c r="S631" s="81">
        <f>HLOOKUP(L631,データについて!$J$6:$M$18,13,FALSE)</f>
        <v>2</v>
      </c>
      <c r="T631" s="81">
        <f>HLOOKUP(M631,データについて!$J$7:$M$18,12,FALSE)</f>
        <v>1</v>
      </c>
      <c r="U631" s="81">
        <f>HLOOKUP(N631,データについて!$J$8:$M$18,11,FALSE)</f>
        <v>2</v>
      </c>
      <c r="V631" s="81">
        <f>HLOOKUP(O631,データについて!$J$9:$M$18,10,FALSE)</f>
        <v>1</v>
      </c>
      <c r="W631" s="81">
        <f>HLOOKUP(P631,データについて!$J$10:$M$18,9,FALSE)</f>
        <v>2</v>
      </c>
      <c r="X631" s="81">
        <f>HLOOKUP(Q631,データについて!$J$11:$M$18,8,FALSE)</f>
        <v>1</v>
      </c>
      <c r="Y631" s="81">
        <f>HLOOKUP(R631,データについて!$J$12:$M$18,7,FALSE)</f>
        <v>1</v>
      </c>
      <c r="Z631" s="81">
        <f>HLOOKUP(I631,データについて!$J$3:$M$18,16,FALSE)</f>
        <v>2</v>
      </c>
      <c r="AA631" s="81" t="str">
        <f>IFERROR(HLOOKUP(J631,データについて!$J$4:$AH$19,16,FALSE),"")</f>
        <v/>
      </c>
      <c r="AB631" s="81">
        <f>IFERROR(HLOOKUP(K631,データについて!$J$5:$AH$20,14,FALSE),"")</f>
        <v>0</v>
      </c>
      <c r="AC631" s="81">
        <f>IF(X631=1,HLOOKUP(R631,データについて!$J$12:$M$18,7,FALSE),"*")</f>
        <v>1</v>
      </c>
      <c r="AD631" s="81" t="str">
        <f>IF(X631=2,HLOOKUP(R631,データについて!$J$12:$M$18,7,FALSE),"*")</f>
        <v>*</v>
      </c>
    </row>
    <row r="632" spans="1:30">
      <c r="A632" s="30">
        <v>4560</v>
      </c>
      <c r="B632" s="30" t="s">
        <v>4212</v>
      </c>
      <c r="C632" s="30" t="s">
        <v>4213</v>
      </c>
      <c r="D632" s="30" t="s">
        <v>106</v>
      </c>
      <c r="E632" s="30"/>
      <c r="F632" s="30" t="s">
        <v>107</v>
      </c>
      <c r="G632" s="30" t="s">
        <v>106</v>
      </c>
      <c r="H632" s="30"/>
      <c r="I632" s="30" t="s">
        <v>191</v>
      </c>
      <c r="J632" s="30"/>
      <c r="K632" s="30" t="s">
        <v>126</v>
      </c>
      <c r="L632" s="30" t="s">
        <v>117</v>
      </c>
      <c r="M632" s="30" t="s">
        <v>124</v>
      </c>
      <c r="N632" s="30" t="s">
        <v>122</v>
      </c>
      <c r="O632" s="30" t="s">
        <v>115</v>
      </c>
      <c r="P632" s="30" t="s">
        <v>112</v>
      </c>
      <c r="Q632" s="30" t="s">
        <v>118</v>
      </c>
      <c r="R632" s="30" t="s">
        <v>187</v>
      </c>
      <c r="S632" s="81">
        <f>HLOOKUP(L632,データについて!$J$6:$M$18,13,FALSE)</f>
        <v>2</v>
      </c>
      <c r="T632" s="81">
        <f>HLOOKUP(M632,データについて!$J$7:$M$18,12,FALSE)</f>
        <v>3</v>
      </c>
      <c r="U632" s="81">
        <f>HLOOKUP(N632,データについて!$J$8:$M$18,11,FALSE)</f>
        <v>3</v>
      </c>
      <c r="V632" s="81">
        <f>HLOOKUP(O632,データについて!$J$9:$M$18,10,FALSE)</f>
        <v>1</v>
      </c>
      <c r="W632" s="81">
        <f>HLOOKUP(P632,データについて!$J$10:$M$18,9,FALSE)</f>
        <v>1</v>
      </c>
      <c r="X632" s="81">
        <f>HLOOKUP(Q632,データについて!$J$11:$M$18,8,FALSE)</f>
        <v>2</v>
      </c>
      <c r="Y632" s="81">
        <f>HLOOKUP(R632,データについて!$J$12:$M$18,7,FALSE)</f>
        <v>3</v>
      </c>
      <c r="Z632" s="81">
        <f>HLOOKUP(I632,データについて!$J$3:$M$18,16,FALSE)</f>
        <v>2</v>
      </c>
      <c r="AA632" s="81" t="str">
        <f>IFERROR(HLOOKUP(J632,データについて!$J$4:$AH$19,16,FALSE),"")</f>
        <v/>
      </c>
      <c r="AB632" s="81">
        <f>IFERROR(HLOOKUP(K632,データについて!$J$5:$AH$20,14,FALSE),"")</f>
        <v>0</v>
      </c>
      <c r="AC632" s="81" t="str">
        <f>IF(X632=1,HLOOKUP(R632,データについて!$J$12:$M$18,7,FALSE),"*")</f>
        <v>*</v>
      </c>
      <c r="AD632" s="81">
        <f>IF(X632=2,HLOOKUP(R632,データについて!$J$12:$M$18,7,FALSE),"*")</f>
        <v>3</v>
      </c>
    </row>
    <row r="633" spans="1:30">
      <c r="A633" s="30">
        <v>4559</v>
      </c>
      <c r="B633" s="30" t="s">
        <v>4214</v>
      </c>
      <c r="C633" s="30" t="s">
        <v>4213</v>
      </c>
      <c r="D633" s="30" t="s">
        <v>106</v>
      </c>
      <c r="E633" s="30"/>
      <c r="F633" s="30" t="s">
        <v>107</v>
      </c>
      <c r="G633" s="30" t="s">
        <v>106</v>
      </c>
      <c r="H633" s="30"/>
      <c r="I633" s="30" t="s">
        <v>191</v>
      </c>
      <c r="J633" s="30"/>
      <c r="K633" s="30" t="s">
        <v>126</v>
      </c>
      <c r="L633" s="30" t="s">
        <v>117</v>
      </c>
      <c r="M633" s="30" t="s">
        <v>121</v>
      </c>
      <c r="N633" s="30" t="s">
        <v>122</v>
      </c>
      <c r="O633" s="30" t="s">
        <v>116</v>
      </c>
      <c r="P633" s="30" t="s">
        <v>112</v>
      </c>
      <c r="Q633" s="30" t="s">
        <v>112</v>
      </c>
      <c r="R633" s="30" t="s">
        <v>189</v>
      </c>
      <c r="S633" s="81">
        <f>HLOOKUP(L633,データについて!$J$6:$M$18,13,FALSE)</f>
        <v>2</v>
      </c>
      <c r="T633" s="81">
        <f>HLOOKUP(M633,データについて!$J$7:$M$18,12,FALSE)</f>
        <v>4</v>
      </c>
      <c r="U633" s="81">
        <f>HLOOKUP(N633,データについて!$J$8:$M$18,11,FALSE)</f>
        <v>3</v>
      </c>
      <c r="V633" s="81">
        <f>HLOOKUP(O633,データについて!$J$9:$M$18,10,FALSE)</f>
        <v>2</v>
      </c>
      <c r="W633" s="81">
        <f>HLOOKUP(P633,データについて!$J$10:$M$18,9,FALSE)</f>
        <v>1</v>
      </c>
      <c r="X633" s="81">
        <f>HLOOKUP(Q633,データについて!$J$11:$M$18,8,FALSE)</f>
        <v>1</v>
      </c>
      <c r="Y633" s="81">
        <f>HLOOKUP(R633,データについて!$J$12:$M$18,7,FALSE)</f>
        <v>4</v>
      </c>
      <c r="Z633" s="81">
        <f>HLOOKUP(I633,データについて!$J$3:$M$18,16,FALSE)</f>
        <v>2</v>
      </c>
      <c r="AA633" s="81" t="str">
        <f>IFERROR(HLOOKUP(J633,データについて!$J$4:$AH$19,16,FALSE),"")</f>
        <v/>
      </c>
      <c r="AB633" s="81">
        <f>IFERROR(HLOOKUP(K633,データについて!$J$5:$AH$20,14,FALSE),"")</f>
        <v>0</v>
      </c>
      <c r="AC633" s="81">
        <f>IF(X633=1,HLOOKUP(R633,データについて!$J$12:$M$18,7,FALSE),"*")</f>
        <v>4</v>
      </c>
      <c r="AD633" s="81" t="str">
        <f>IF(X633=2,HLOOKUP(R633,データについて!$J$12:$M$18,7,FALSE),"*")</f>
        <v>*</v>
      </c>
    </row>
    <row r="634" spans="1:30">
      <c r="A634" s="30">
        <v>4558</v>
      </c>
      <c r="B634" s="30" t="s">
        <v>4215</v>
      </c>
      <c r="C634" s="30" t="s">
        <v>4216</v>
      </c>
      <c r="D634" s="30" t="s">
        <v>106</v>
      </c>
      <c r="E634" s="30"/>
      <c r="F634" s="30" t="s">
        <v>107</v>
      </c>
      <c r="G634" s="30" t="s">
        <v>106</v>
      </c>
      <c r="H634" s="30"/>
      <c r="I634" s="30" t="s">
        <v>191</v>
      </c>
      <c r="J634" s="30"/>
      <c r="K634" s="30" t="s">
        <v>126</v>
      </c>
      <c r="L634" s="30" t="s">
        <v>108</v>
      </c>
      <c r="M634" s="30" t="s">
        <v>113</v>
      </c>
      <c r="N634" s="30" t="s">
        <v>110</v>
      </c>
      <c r="O634" s="30" t="s">
        <v>115</v>
      </c>
      <c r="P634" s="30" t="s">
        <v>112</v>
      </c>
      <c r="Q634" s="30" t="s">
        <v>112</v>
      </c>
      <c r="R634" s="30" t="s">
        <v>185</v>
      </c>
      <c r="S634" s="81">
        <f>HLOOKUP(L634,データについて!$J$6:$M$18,13,FALSE)</f>
        <v>1</v>
      </c>
      <c r="T634" s="81">
        <f>HLOOKUP(M634,データについて!$J$7:$M$18,12,FALSE)</f>
        <v>1</v>
      </c>
      <c r="U634" s="81">
        <f>HLOOKUP(N634,データについて!$J$8:$M$18,11,FALSE)</f>
        <v>2</v>
      </c>
      <c r="V634" s="81">
        <f>HLOOKUP(O634,データについて!$J$9:$M$18,10,FALSE)</f>
        <v>1</v>
      </c>
      <c r="W634" s="81">
        <f>HLOOKUP(P634,データについて!$J$10:$M$18,9,FALSE)</f>
        <v>1</v>
      </c>
      <c r="X634" s="81">
        <f>HLOOKUP(Q634,データについて!$J$11:$M$18,8,FALSE)</f>
        <v>1</v>
      </c>
      <c r="Y634" s="81">
        <f>HLOOKUP(R634,データについて!$J$12:$M$18,7,FALSE)</f>
        <v>2</v>
      </c>
      <c r="Z634" s="81">
        <f>HLOOKUP(I634,データについて!$J$3:$M$18,16,FALSE)</f>
        <v>2</v>
      </c>
      <c r="AA634" s="81" t="str">
        <f>IFERROR(HLOOKUP(J634,データについて!$J$4:$AH$19,16,FALSE),"")</f>
        <v/>
      </c>
      <c r="AB634" s="81">
        <f>IFERROR(HLOOKUP(K634,データについて!$J$5:$AH$20,14,FALSE),"")</f>
        <v>0</v>
      </c>
      <c r="AC634" s="81">
        <f>IF(X634=1,HLOOKUP(R634,データについて!$J$12:$M$18,7,FALSE),"*")</f>
        <v>2</v>
      </c>
      <c r="AD634" s="81" t="str">
        <f>IF(X634=2,HLOOKUP(R634,データについて!$J$12:$M$18,7,FALSE),"*")</f>
        <v>*</v>
      </c>
    </row>
    <row r="635" spans="1:30">
      <c r="A635" s="30">
        <v>4557</v>
      </c>
      <c r="B635" s="30" t="s">
        <v>4217</v>
      </c>
      <c r="C635" s="30" t="s">
        <v>4218</v>
      </c>
      <c r="D635" s="30" t="s">
        <v>106</v>
      </c>
      <c r="E635" s="30"/>
      <c r="F635" s="30" t="s">
        <v>107</v>
      </c>
      <c r="G635" s="30" t="s">
        <v>106</v>
      </c>
      <c r="H635" s="30"/>
      <c r="I635" s="30" t="s">
        <v>191</v>
      </c>
      <c r="J635" s="30"/>
      <c r="K635" s="30" t="s">
        <v>126</v>
      </c>
      <c r="L635" s="30" t="s">
        <v>108</v>
      </c>
      <c r="M635" s="30" t="s">
        <v>113</v>
      </c>
      <c r="N635" s="30" t="s">
        <v>114</v>
      </c>
      <c r="O635" s="30" t="s">
        <v>115</v>
      </c>
      <c r="P635" s="30" t="s">
        <v>112</v>
      </c>
      <c r="Q635" s="30" t="s">
        <v>112</v>
      </c>
      <c r="R635" s="30" t="s">
        <v>185</v>
      </c>
      <c r="S635" s="81">
        <f>HLOOKUP(L635,データについて!$J$6:$M$18,13,FALSE)</f>
        <v>1</v>
      </c>
      <c r="T635" s="81">
        <f>HLOOKUP(M635,データについて!$J$7:$M$18,12,FALSE)</f>
        <v>1</v>
      </c>
      <c r="U635" s="81">
        <f>HLOOKUP(N635,データについて!$J$8:$M$18,11,FALSE)</f>
        <v>1</v>
      </c>
      <c r="V635" s="81">
        <f>HLOOKUP(O635,データについて!$J$9:$M$18,10,FALSE)</f>
        <v>1</v>
      </c>
      <c r="W635" s="81">
        <f>HLOOKUP(P635,データについて!$J$10:$M$18,9,FALSE)</f>
        <v>1</v>
      </c>
      <c r="X635" s="81">
        <f>HLOOKUP(Q635,データについて!$J$11:$M$18,8,FALSE)</f>
        <v>1</v>
      </c>
      <c r="Y635" s="81">
        <f>HLOOKUP(R635,データについて!$J$12:$M$18,7,FALSE)</f>
        <v>2</v>
      </c>
      <c r="Z635" s="81">
        <f>HLOOKUP(I635,データについて!$J$3:$M$18,16,FALSE)</f>
        <v>2</v>
      </c>
      <c r="AA635" s="81" t="str">
        <f>IFERROR(HLOOKUP(J635,データについて!$J$4:$AH$19,16,FALSE),"")</f>
        <v/>
      </c>
      <c r="AB635" s="81">
        <f>IFERROR(HLOOKUP(K635,データについて!$J$5:$AH$20,14,FALSE),"")</f>
        <v>0</v>
      </c>
      <c r="AC635" s="81">
        <f>IF(X635=1,HLOOKUP(R635,データについて!$J$12:$M$18,7,FALSE),"*")</f>
        <v>2</v>
      </c>
      <c r="AD635" s="81" t="str">
        <f>IF(X635=2,HLOOKUP(R635,データについて!$J$12:$M$18,7,FALSE),"*")</f>
        <v>*</v>
      </c>
    </row>
    <row r="636" spans="1:30">
      <c r="A636" s="30">
        <v>4556</v>
      </c>
      <c r="B636" s="30" t="s">
        <v>4219</v>
      </c>
      <c r="C636" s="30" t="s">
        <v>4220</v>
      </c>
      <c r="D636" s="30" t="s">
        <v>106</v>
      </c>
      <c r="E636" s="30"/>
      <c r="F636" s="30" t="s">
        <v>107</v>
      </c>
      <c r="G636" s="30" t="s">
        <v>106</v>
      </c>
      <c r="H636" s="30"/>
      <c r="I636" s="30" t="s">
        <v>192</v>
      </c>
      <c r="J636" s="30" t="s">
        <v>3010</v>
      </c>
      <c r="K636" s="30"/>
      <c r="L636" s="30" t="s">
        <v>108</v>
      </c>
      <c r="M636" s="30" t="s">
        <v>109</v>
      </c>
      <c r="N636" s="30" t="s">
        <v>110</v>
      </c>
      <c r="O636" s="30" t="s">
        <v>111</v>
      </c>
      <c r="P636" s="30" t="s">
        <v>118</v>
      </c>
      <c r="Q636" s="30" t="s">
        <v>112</v>
      </c>
      <c r="R636" s="30" t="s">
        <v>185</v>
      </c>
      <c r="S636" s="81">
        <f>HLOOKUP(L636,データについて!$J$6:$M$18,13,FALSE)</f>
        <v>1</v>
      </c>
      <c r="T636" s="81">
        <f>HLOOKUP(M636,データについて!$J$7:$M$18,12,FALSE)</f>
        <v>2</v>
      </c>
      <c r="U636" s="81">
        <f>HLOOKUP(N636,データについて!$J$8:$M$18,11,FALSE)</f>
        <v>2</v>
      </c>
      <c r="V636" s="81">
        <f>HLOOKUP(O636,データについて!$J$9:$M$18,10,FALSE)</f>
        <v>3</v>
      </c>
      <c r="W636" s="81">
        <f>HLOOKUP(P636,データについて!$J$10:$M$18,9,FALSE)</f>
        <v>2</v>
      </c>
      <c r="X636" s="81">
        <f>HLOOKUP(Q636,データについて!$J$11:$M$18,8,FALSE)</f>
        <v>1</v>
      </c>
      <c r="Y636" s="81">
        <f>HLOOKUP(R636,データについて!$J$12:$M$18,7,FALSE)</f>
        <v>2</v>
      </c>
      <c r="Z636" s="81">
        <f>HLOOKUP(I636,データについて!$J$3:$M$18,16,FALSE)</f>
        <v>1</v>
      </c>
      <c r="AA636" s="81">
        <f>IFERROR(HLOOKUP(J636,データについて!$J$4:$AH$19,16,FALSE),"")</f>
        <v>12</v>
      </c>
      <c r="AB636" s="81" t="str">
        <f>IFERROR(HLOOKUP(K636,データについて!$J$5:$AH$20,14,FALSE),"")</f>
        <v/>
      </c>
      <c r="AC636" s="81">
        <f>IF(X636=1,HLOOKUP(R636,データについて!$J$12:$M$18,7,FALSE),"*")</f>
        <v>2</v>
      </c>
      <c r="AD636" s="81" t="str">
        <f>IF(X636=2,HLOOKUP(R636,データについて!$J$12:$M$18,7,FALSE),"*")</f>
        <v>*</v>
      </c>
    </row>
    <row r="637" spans="1:30">
      <c r="A637" s="30">
        <v>4555</v>
      </c>
      <c r="B637" s="30" t="s">
        <v>4221</v>
      </c>
      <c r="C637" s="30" t="s">
        <v>4220</v>
      </c>
      <c r="D637" s="30" t="s">
        <v>106</v>
      </c>
      <c r="E637" s="30"/>
      <c r="F637" s="30" t="s">
        <v>107</v>
      </c>
      <c r="G637" s="30" t="s">
        <v>106</v>
      </c>
      <c r="H637" s="30"/>
      <c r="I637" s="30" t="s">
        <v>192</v>
      </c>
      <c r="J637" s="30" t="s">
        <v>3010</v>
      </c>
      <c r="K637" s="30"/>
      <c r="L637" s="30" t="s">
        <v>117</v>
      </c>
      <c r="M637" s="30" t="s">
        <v>109</v>
      </c>
      <c r="N637" s="30" t="s">
        <v>110</v>
      </c>
      <c r="O637" s="30" t="s">
        <v>115</v>
      </c>
      <c r="P637" s="30" t="s">
        <v>112</v>
      </c>
      <c r="Q637" s="30" t="s">
        <v>112</v>
      </c>
      <c r="R637" s="30" t="s">
        <v>187</v>
      </c>
      <c r="S637" s="81">
        <f>HLOOKUP(L637,データについて!$J$6:$M$18,13,FALSE)</f>
        <v>2</v>
      </c>
      <c r="T637" s="81">
        <f>HLOOKUP(M637,データについて!$J$7:$M$18,12,FALSE)</f>
        <v>2</v>
      </c>
      <c r="U637" s="81">
        <f>HLOOKUP(N637,データについて!$J$8:$M$18,11,FALSE)</f>
        <v>2</v>
      </c>
      <c r="V637" s="81">
        <f>HLOOKUP(O637,データについて!$J$9:$M$18,10,FALSE)</f>
        <v>1</v>
      </c>
      <c r="W637" s="81">
        <f>HLOOKUP(P637,データについて!$J$10:$M$18,9,FALSE)</f>
        <v>1</v>
      </c>
      <c r="X637" s="81">
        <f>HLOOKUP(Q637,データについて!$J$11:$M$18,8,FALSE)</f>
        <v>1</v>
      </c>
      <c r="Y637" s="81">
        <f>HLOOKUP(R637,データについて!$J$12:$M$18,7,FALSE)</f>
        <v>3</v>
      </c>
      <c r="Z637" s="81">
        <f>HLOOKUP(I637,データについて!$J$3:$M$18,16,FALSE)</f>
        <v>1</v>
      </c>
      <c r="AA637" s="81">
        <f>IFERROR(HLOOKUP(J637,データについて!$J$4:$AH$19,16,FALSE),"")</f>
        <v>12</v>
      </c>
      <c r="AB637" s="81" t="str">
        <f>IFERROR(HLOOKUP(K637,データについて!$J$5:$AH$20,14,FALSE),"")</f>
        <v/>
      </c>
      <c r="AC637" s="81">
        <f>IF(X637=1,HLOOKUP(R637,データについて!$J$12:$M$18,7,FALSE),"*")</f>
        <v>3</v>
      </c>
      <c r="AD637" s="81" t="str">
        <f>IF(X637=2,HLOOKUP(R637,データについて!$J$12:$M$18,7,FALSE),"*")</f>
        <v>*</v>
      </c>
    </row>
    <row r="638" spans="1:30">
      <c r="A638" s="30">
        <v>4554</v>
      </c>
      <c r="B638" s="30" t="s">
        <v>4222</v>
      </c>
      <c r="C638" s="30" t="s">
        <v>4223</v>
      </c>
      <c r="D638" s="30" t="s">
        <v>106</v>
      </c>
      <c r="E638" s="30"/>
      <c r="F638" s="30" t="s">
        <v>107</v>
      </c>
      <c r="G638" s="30" t="s">
        <v>106</v>
      </c>
      <c r="H638" s="30"/>
      <c r="I638" s="30" t="s">
        <v>191</v>
      </c>
      <c r="J638" s="30"/>
      <c r="K638" s="30" t="s">
        <v>126</v>
      </c>
      <c r="L638" s="30" t="s">
        <v>117</v>
      </c>
      <c r="M638" s="30" t="s">
        <v>109</v>
      </c>
      <c r="N638" s="30" t="s">
        <v>110</v>
      </c>
      <c r="O638" s="30" t="s">
        <v>115</v>
      </c>
      <c r="P638" s="30" t="s">
        <v>118</v>
      </c>
      <c r="Q638" s="30" t="s">
        <v>118</v>
      </c>
      <c r="R638" s="30" t="s">
        <v>187</v>
      </c>
      <c r="S638" s="81">
        <f>HLOOKUP(L638,データについて!$J$6:$M$18,13,FALSE)</f>
        <v>2</v>
      </c>
      <c r="T638" s="81">
        <f>HLOOKUP(M638,データについて!$J$7:$M$18,12,FALSE)</f>
        <v>2</v>
      </c>
      <c r="U638" s="81">
        <f>HLOOKUP(N638,データについて!$J$8:$M$18,11,FALSE)</f>
        <v>2</v>
      </c>
      <c r="V638" s="81">
        <f>HLOOKUP(O638,データについて!$J$9:$M$18,10,FALSE)</f>
        <v>1</v>
      </c>
      <c r="W638" s="81">
        <f>HLOOKUP(P638,データについて!$J$10:$M$18,9,FALSE)</f>
        <v>2</v>
      </c>
      <c r="X638" s="81">
        <f>HLOOKUP(Q638,データについて!$J$11:$M$18,8,FALSE)</f>
        <v>2</v>
      </c>
      <c r="Y638" s="81">
        <f>HLOOKUP(R638,データについて!$J$12:$M$18,7,FALSE)</f>
        <v>3</v>
      </c>
      <c r="Z638" s="81">
        <f>HLOOKUP(I638,データについて!$J$3:$M$18,16,FALSE)</f>
        <v>2</v>
      </c>
      <c r="AA638" s="81" t="str">
        <f>IFERROR(HLOOKUP(J638,データについて!$J$4:$AH$19,16,FALSE),"")</f>
        <v/>
      </c>
      <c r="AB638" s="81">
        <f>IFERROR(HLOOKUP(K638,データについて!$J$5:$AH$20,14,FALSE),"")</f>
        <v>0</v>
      </c>
      <c r="AC638" s="81" t="str">
        <f>IF(X638=1,HLOOKUP(R638,データについて!$J$12:$M$18,7,FALSE),"*")</f>
        <v>*</v>
      </c>
      <c r="AD638" s="81">
        <f>IF(X638=2,HLOOKUP(R638,データについて!$J$12:$M$18,7,FALSE),"*")</f>
        <v>3</v>
      </c>
    </row>
    <row r="639" spans="1:30">
      <c r="A639" s="30">
        <v>4553</v>
      </c>
      <c r="B639" s="30" t="s">
        <v>4224</v>
      </c>
      <c r="C639" s="30" t="s">
        <v>4225</v>
      </c>
      <c r="D639" s="30" t="s">
        <v>106</v>
      </c>
      <c r="E639" s="30"/>
      <c r="F639" s="30" t="s">
        <v>107</v>
      </c>
      <c r="G639" s="30" t="s">
        <v>106</v>
      </c>
      <c r="H639" s="30"/>
      <c r="I639" s="30" t="s">
        <v>191</v>
      </c>
      <c r="J639" s="30"/>
      <c r="K639" s="30" t="s">
        <v>126</v>
      </c>
      <c r="L639" s="30" t="s">
        <v>117</v>
      </c>
      <c r="M639" s="30" t="s">
        <v>109</v>
      </c>
      <c r="N639" s="30" t="s">
        <v>122</v>
      </c>
      <c r="O639" s="30" t="s">
        <v>115</v>
      </c>
      <c r="P639" s="30" t="s">
        <v>112</v>
      </c>
      <c r="Q639" s="30" t="s">
        <v>112</v>
      </c>
      <c r="R639" s="30" t="s">
        <v>185</v>
      </c>
      <c r="S639" s="81">
        <f>HLOOKUP(L639,データについて!$J$6:$M$18,13,FALSE)</f>
        <v>2</v>
      </c>
      <c r="T639" s="81">
        <f>HLOOKUP(M639,データについて!$J$7:$M$18,12,FALSE)</f>
        <v>2</v>
      </c>
      <c r="U639" s="81">
        <f>HLOOKUP(N639,データについて!$J$8:$M$18,11,FALSE)</f>
        <v>3</v>
      </c>
      <c r="V639" s="81">
        <f>HLOOKUP(O639,データについて!$J$9:$M$18,10,FALSE)</f>
        <v>1</v>
      </c>
      <c r="W639" s="81">
        <f>HLOOKUP(P639,データについて!$J$10:$M$18,9,FALSE)</f>
        <v>1</v>
      </c>
      <c r="X639" s="81">
        <f>HLOOKUP(Q639,データについて!$J$11:$M$18,8,FALSE)</f>
        <v>1</v>
      </c>
      <c r="Y639" s="81">
        <f>HLOOKUP(R639,データについて!$J$12:$M$18,7,FALSE)</f>
        <v>2</v>
      </c>
      <c r="Z639" s="81">
        <f>HLOOKUP(I639,データについて!$J$3:$M$18,16,FALSE)</f>
        <v>2</v>
      </c>
      <c r="AA639" s="81" t="str">
        <f>IFERROR(HLOOKUP(J639,データについて!$J$4:$AH$19,16,FALSE),"")</f>
        <v/>
      </c>
      <c r="AB639" s="81">
        <f>IFERROR(HLOOKUP(K639,データについて!$J$5:$AH$20,14,FALSE),"")</f>
        <v>0</v>
      </c>
      <c r="AC639" s="81">
        <f>IF(X639=1,HLOOKUP(R639,データについて!$J$12:$M$18,7,FALSE),"*")</f>
        <v>2</v>
      </c>
      <c r="AD639" s="81" t="str">
        <f>IF(X639=2,HLOOKUP(R639,データについて!$J$12:$M$18,7,FALSE),"*")</f>
        <v>*</v>
      </c>
    </row>
    <row r="640" spans="1:30">
      <c r="A640" s="30">
        <v>4552</v>
      </c>
      <c r="B640" s="30" t="s">
        <v>4226</v>
      </c>
      <c r="C640" s="30" t="s">
        <v>4225</v>
      </c>
      <c r="D640" s="30" t="s">
        <v>106</v>
      </c>
      <c r="E640" s="30"/>
      <c r="F640" s="30" t="s">
        <v>107</v>
      </c>
      <c r="G640" s="30" t="s">
        <v>106</v>
      </c>
      <c r="H640" s="30"/>
      <c r="I640" s="30" t="s">
        <v>192</v>
      </c>
      <c r="J640" s="30" t="s">
        <v>3010</v>
      </c>
      <c r="K640" s="30"/>
      <c r="L640" s="30" t="s">
        <v>108</v>
      </c>
      <c r="M640" s="30" t="s">
        <v>113</v>
      </c>
      <c r="N640" s="30" t="s">
        <v>114</v>
      </c>
      <c r="O640" s="30" t="s">
        <v>115</v>
      </c>
      <c r="P640" s="30" t="s">
        <v>112</v>
      </c>
      <c r="Q640" s="30" t="s">
        <v>112</v>
      </c>
      <c r="R640" s="30" t="s">
        <v>183</v>
      </c>
      <c r="S640" s="81">
        <f>HLOOKUP(L640,データについて!$J$6:$M$18,13,FALSE)</f>
        <v>1</v>
      </c>
      <c r="T640" s="81">
        <f>HLOOKUP(M640,データについて!$J$7:$M$18,12,FALSE)</f>
        <v>1</v>
      </c>
      <c r="U640" s="81">
        <f>HLOOKUP(N640,データについて!$J$8:$M$18,11,FALSE)</f>
        <v>1</v>
      </c>
      <c r="V640" s="81">
        <f>HLOOKUP(O640,データについて!$J$9:$M$18,10,FALSE)</f>
        <v>1</v>
      </c>
      <c r="W640" s="81">
        <f>HLOOKUP(P640,データについて!$J$10:$M$18,9,FALSE)</f>
        <v>1</v>
      </c>
      <c r="X640" s="81">
        <f>HLOOKUP(Q640,データについて!$J$11:$M$18,8,FALSE)</f>
        <v>1</v>
      </c>
      <c r="Y640" s="81">
        <f>HLOOKUP(R640,データについて!$J$12:$M$18,7,FALSE)</f>
        <v>1</v>
      </c>
      <c r="Z640" s="81">
        <f>HLOOKUP(I640,データについて!$J$3:$M$18,16,FALSE)</f>
        <v>1</v>
      </c>
      <c r="AA640" s="81">
        <f>IFERROR(HLOOKUP(J640,データについて!$J$4:$AH$19,16,FALSE),"")</f>
        <v>12</v>
      </c>
      <c r="AB640" s="81" t="str">
        <f>IFERROR(HLOOKUP(K640,データについて!$J$5:$AH$20,14,FALSE),"")</f>
        <v/>
      </c>
      <c r="AC640" s="81">
        <f>IF(X640=1,HLOOKUP(R640,データについて!$J$12:$M$18,7,FALSE),"*")</f>
        <v>1</v>
      </c>
      <c r="AD640" s="81" t="str">
        <f>IF(X640=2,HLOOKUP(R640,データについて!$J$12:$M$18,7,FALSE),"*")</f>
        <v>*</v>
      </c>
    </row>
    <row r="641" spans="1:30">
      <c r="A641" s="30">
        <v>4551</v>
      </c>
      <c r="B641" s="30" t="s">
        <v>4227</v>
      </c>
      <c r="C641" s="30" t="s">
        <v>4225</v>
      </c>
      <c r="D641" s="30" t="s">
        <v>106</v>
      </c>
      <c r="E641" s="30"/>
      <c r="F641" s="30" t="s">
        <v>107</v>
      </c>
      <c r="G641" s="30" t="s">
        <v>106</v>
      </c>
      <c r="H641" s="30"/>
      <c r="I641" s="30" t="s">
        <v>192</v>
      </c>
      <c r="J641" s="30" t="s">
        <v>3010</v>
      </c>
      <c r="K641" s="30"/>
      <c r="L641" s="30" t="s">
        <v>108</v>
      </c>
      <c r="M641" s="30" t="s">
        <v>121</v>
      </c>
      <c r="N641" s="30" t="s">
        <v>114</v>
      </c>
      <c r="O641" s="30" t="s">
        <v>115</v>
      </c>
      <c r="P641" s="30" t="s">
        <v>118</v>
      </c>
      <c r="Q641" s="30" t="s">
        <v>118</v>
      </c>
      <c r="R641" s="30" t="s">
        <v>189</v>
      </c>
      <c r="S641" s="81">
        <f>HLOOKUP(L641,データについて!$J$6:$M$18,13,FALSE)</f>
        <v>1</v>
      </c>
      <c r="T641" s="81">
        <f>HLOOKUP(M641,データについて!$J$7:$M$18,12,FALSE)</f>
        <v>4</v>
      </c>
      <c r="U641" s="81">
        <f>HLOOKUP(N641,データについて!$J$8:$M$18,11,FALSE)</f>
        <v>1</v>
      </c>
      <c r="V641" s="81">
        <f>HLOOKUP(O641,データについて!$J$9:$M$18,10,FALSE)</f>
        <v>1</v>
      </c>
      <c r="W641" s="81">
        <f>HLOOKUP(P641,データについて!$J$10:$M$18,9,FALSE)</f>
        <v>2</v>
      </c>
      <c r="X641" s="81">
        <f>HLOOKUP(Q641,データについて!$J$11:$M$18,8,FALSE)</f>
        <v>2</v>
      </c>
      <c r="Y641" s="81">
        <f>HLOOKUP(R641,データについて!$J$12:$M$18,7,FALSE)</f>
        <v>4</v>
      </c>
      <c r="Z641" s="81">
        <f>HLOOKUP(I641,データについて!$J$3:$M$18,16,FALSE)</f>
        <v>1</v>
      </c>
      <c r="AA641" s="81">
        <f>IFERROR(HLOOKUP(J641,データについて!$J$4:$AH$19,16,FALSE),"")</f>
        <v>12</v>
      </c>
      <c r="AB641" s="81" t="str">
        <f>IFERROR(HLOOKUP(K641,データについて!$J$5:$AH$20,14,FALSE),"")</f>
        <v/>
      </c>
      <c r="AC641" s="81" t="str">
        <f>IF(X641=1,HLOOKUP(R641,データについて!$J$12:$M$18,7,FALSE),"*")</f>
        <v>*</v>
      </c>
      <c r="AD641" s="81">
        <f>IF(X641=2,HLOOKUP(R641,データについて!$J$12:$M$18,7,FALSE),"*")</f>
        <v>4</v>
      </c>
    </row>
    <row r="642" spans="1:30">
      <c r="A642" s="30">
        <v>4550</v>
      </c>
      <c r="B642" s="30" t="s">
        <v>4228</v>
      </c>
      <c r="C642" s="30" t="s">
        <v>4229</v>
      </c>
      <c r="D642" s="30" t="s">
        <v>106</v>
      </c>
      <c r="E642" s="30"/>
      <c r="F642" s="30" t="s">
        <v>107</v>
      </c>
      <c r="G642" s="30" t="s">
        <v>106</v>
      </c>
      <c r="H642" s="30"/>
      <c r="I642" s="30" t="s">
        <v>191</v>
      </c>
      <c r="J642" s="30"/>
      <c r="K642" s="30" t="s">
        <v>126</v>
      </c>
      <c r="L642" s="30" t="s">
        <v>117</v>
      </c>
      <c r="M642" s="30" t="s">
        <v>113</v>
      </c>
      <c r="N642" s="30" t="s">
        <v>110</v>
      </c>
      <c r="O642" s="30" t="s">
        <v>123</v>
      </c>
      <c r="P642" s="30" t="s">
        <v>118</v>
      </c>
      <c r="Q642" s="30" t="s">
        <v>112</v>
      </c>
      <c r="R642" s="30" t="s">
        <v>189</v>
      </c>
      <c r="S642" s="81">
        <f>HLOOKUP(L642,データについて!$J$6:$M$18,13,FALSE)</f>
        <v>2</v>
      </c>
      <c r="T642" s="81">
        <f>HLOOKUP(M642,データについて!$J$7:$M$18,12,FALSE)</f>
        <v>1</v>
      </c>
      <c r="U642" s="81">
        <f>HLOOKUP(N642,データについて!$J$8:$M$18,11,FALSE)</f>
        <v>2</v>
      </c>
      <c r="V642" s="81">
        <f>HLOOKUP(O642,データについて!$J$9:$M$18,10,FALSE)</f>
        <v>4</v>
      </c>
      <c r="W642" s="81">
        <f>HLOOKUP(P642,データについて!$J$10:$M$18,9,FALSE)</f>
        <v>2</v>
      </c>
      <c r="X642" s="81">
        <f>HLOOKUP(Q642,データについて!$J$11:$M$18,8,FALSE)</f>
        <v>1</v>
      </c>
      <c r="Y642" s="81">
        <f>HLOOKUP(R642,データについて!$J$12:$M$18,7,FALSE)</f>
        <v>4</v>
      </c>
      <c r="Z642" s="81">
        <f>HLOOKUP(I642,データについて!$J$3:$M$18,16,FALSE)</f>
        <v>2</v>
      </c>
      <c r="AA642" s="81" t="str">
        <f>IFERROR(HLOOKUP(J642,データについて!$J$4:$AH$19,16,FALSE),"")</f>
        <v/>
      </c>
      <c r="AB642" s="81">
        <f>IFERROR(HLOOKUP(K642,データについて!$J$5:$AH$20,14,FALSE),"")</f>
        <v>0</v>
      </c>
      <c r="AC642" s="81">
        <f>IF(X642=1,HLOOKUP(R642,データについて!$J$12:$M$18,7,FALSE),"*")</f>
        <v>4</v>
      </c>
      <c r="AD642" s="81" t="str">
        <f>IF(X642=2,HLOOKUP(R642,データについて!$J$12:$M$18,7,FALSE),"*")</f>
        <v>*</v>
      </c>
    </row>
    <row r="643" spans="1:30">
      <c r="A643" s="30">
        <v>4549</v>
      </c>
      <c r="B643" s="30" t="s">
        <v>4230</v>
      </c>
      <c r="C643" s="30" t="s">
        <v>4231</v>
      </c>
      <c r="D643" s="30" t="s">
        <v>106</v>
      </c>
      <c r="E643" s="30"/>
      <c r="F643" s="30" t="s">
        <v>107</v>
      </c>
      <c r="G643" s="30" t="s">
        <v>106</v>
      </c>
      <c r="H643" s="30"/>
      <c r="I643" s="30" t="s">
        <v>191</v>
      </c>
      <c r="J643" s="30"/>
      <c r="K643" s="30" t="s">
        <v>126</v>
      </c>
      <c r="L643" s="30" t="s">
        <v>117</v>
      </c>
      <c r="M643" s="30" t="s">
        <v>113</v>
      </c>
      <c r="N643" s="30" t="s">
        <v>122</v>
      </c>
      <c r="O643" s="30" t="s">
        <v>115</v>
      </c>
      <c r="P643" s="30" t="s">
        <v>118</v>
      </c>
      <c r="Q643" s="30" t="s">
        <v>112</v>
      </c>
      <c r="R643" s="30" t="s">
        <v>185</v>
      </c>
      <c r="S643" s="81">
        <f>HLOOKUP(L643,データについて!$J$6:$M$18,13,FALSE)</f>
        <v>2</v>
      </c>
      <c r="T643" s="81">
        <f>HLOOKUP(M643,データについて!$J$7:$M$18,12,FALSE)</f>
        <v>1</v>
      </c>
      <c r="U643" s="81">
        <f>HLOOKUP(N643,データについて!$J$8:$M$18,11,FALSE)</f>
        <v>3</v>
      </c>
      <c r="V643" s="81">
        <f>HLOOKUP(O643,データについて!$J$9:$M$18,10,FALSE)</f>
        <v>1</v>
      </c>
      <c r="W643" s="81">
        <f>HLOOKUP(P643,データについて!$J$10:$M$18,9,FALSE)</f>
        <v>2</v>
      </c>
      <c r="X643" s="81">
        <f>HLOOKUP(Q643,データについて!$J$11:$M$18,8,FALSE)</f>
        <v>1</v>
      </c>
      <c r="Y643" s="81">
        <f>HLOOKUP(R643,データについて!$J$12:$M$18,7,FALSE)</f>
        <v>2</v>
      </c>
      <c r="Z643" s="81">
        <f>HLOOKUP(I643,データについて!$J$3:$M$18,16,FALSE)</f>
        <v>2</v>
      </c>
      <c r="AA643" s="81" t="str">
        <f>IFERROR(HLOOKUP(J643,データについて!$J$4:$AH$19,16,FALSE),"")</f>
        <v/>
      </c>
      <c r="AB643" s="81">
        <f>IFERROR(HLOOKUP(K643,データについて!$J$5:$AH$20,14,FALSE),"")</f>
        <v>0</v>
      </c>
      <c r="AC643" s="81">
        <f>IF(X643=1,HLOOKUP(R643,データについて!$J$12:$M$18,7,FALSE),"*")</f>
        <v>2</v>
      </c>
      <c r="AD643" s="81" t="str">
        <f>IF(X643=2,HLOOKUP(R643,データについて!$J$12:$M$18,7,FALSE),"*")</f>
        <v>*</v>
      </c>
    </row>
    <row r="644" spans="1:30">
      <c r="A644" s="30">
        <v>4548</v>
      </c>
      <c r="B644" s="30" t="s">
        <v>4232</v>
      </c>
      <c r="C644" s="30" t="s">
        <v>4231</v>
      </c>
      <c r="D644" s="30" t="s">
        <v>106</v>
      </c>
      <c r="E644" s="30"/>
      <c r="F644" s="30" t="s">
        <v>107</v>
      </c>
      <c r="G644" s="30" t="s">
        <v>106</v>
      </c>
      <c r="H644" s="30"/>
      <c r="I644" s="30" t="s">
        <v>191</v>
      </c>
      <c r="J644" s="30"/>
      <c r="K644" s="30" t="s">
        <v>126</v>
      </c>
      <c r="L644" s="30" t="s">
        <v>117</v>
      </c>
      <c r="M644" s="30" t="s">
        <v>109</v>
      </c>
      <c r="N644" s="30" t="s">
        <v>110</v>
      </c>
      <c r="O644" s="30" t="s">
        <v>123</v>
      </c>
      <c r="P644" s="30" t="s">
        <v>118</v>
      </c>
      <c r="Q644" s="30" t="s">
        <v>118</v>
      </c>
      <c r="R644" s="30" t="s">
        <v>189</v>
      </c>
      <c r="S644" s="81">
        <f>HLOOKUP(L644,データについて!$J$6:$M$18,13,FALSE)</f>
        <v>2</v>
      </c>
      <c r="T644" s="81">
        <f>HLOOKUP(M644,データについて!$J$7:$M$18,12,FALSE)</f>
        <v>2</v>
      </c>
      <c r="U644" s="81">
        <f>HLOOKUP(N644,データについて!$J$8:$M$18,11,FALSE)</f>
        <v>2</v>
      </c>
      <c r="V644" s="81">
        <f>HLOOKUP(O644,データについて!$J$9:$M$18,10,FALSE)</f>
        <v>4</v>
      </c>
      <c r="W644" s="81">
        <f>HLOOKUP(P644,データについて!$J$10:$M$18,9,FALSE)</f>
        <v>2</v>
      </c>
      <c r="X644" s="81">
        <f>HLOOKUP(Q644,データについて!$J$11:$M$18,8,FALSE)</f>
        <v>2</v>
      </c>
      <c r="Y644" s="81">
        <f>HLOOKUP(R644,データについて!$J$12:$M$18,7,FALSE)</f>
        <v>4</v>
      </c>
      <c r="Z644" s="81">
        <f>HLOOKUP(I644,データについて!$J$3:$M$18,16,FALSE)</f>
        <v>2</v>
      </c>
      <c r="AA644" s="81" t="str">
        <f>IFERROR(HLOOKUP(J644,データについて!$J$4:$AH$19,16,FALSE),"")</f>
        <v/>
      </c>
      <c r="AB644" s="81">
        <f>IFERROR(HLOOKUP(K644,データについて!$J$5:$AH$20,14,FALSE),"")</f>
        <v>0</v>
      </c>
      <c r="AC644" s="81" t="str">
        <f>IF(X644=1,HLOOKUP(R644,データについて!$J$12:$M$18,7,FALSE),"*")</f>
        <v>*</v>
      </c>
      <c r="AD644" s="81">
        <f>IF(X644=2,HLOOKUP(R644,データについて!$J$12:$M$18,7,FALSE),"*")</f>
        <v>4</v>
      </c>
    </row>
    <row r="645" spans="1:30">
      <c r="A645" s="30">
        <v>4547</v>
      </c>
      <c r="B645" s="30" t="s">
        <v>4233</v>
      </c>
      <c r="C645" s="30" t="s">
        <v>4234</v>
      </c>
      <c r="D645" s="30" t="s">
        <v>106</v>
      </c>
      <c r="E645" s="30"/>
      <c r="F645" s="30" t="s">
        <v>107</v>
      </c>
      <c r="G645" s="30" t="s">
        <v>106</v>
      </c>
      <c r="H645" s="30"/>
      <c r="I645" s="30" t="s">
        <v>192</v>
      </c>
      <c r="J645" s="30" t="s">
        <v>3010</v>
      </c>
      <c r="K645" s="30"/>
      <c r="L645" s="30" t="s">
        <v>117</v>
      </c>
      <c r="M645" s="30" t="s">
        <v>113</v>
      </c>
      <c r="N645" s="30" t="s">
        <v>114</v>
      </c>
      <c r="O645" s="30" t="s">
        <v>115</v>
      </c>
      <c r="P645" s="30" t="s">
        <v>112</v>
      </c>
      <c r="Q645" s="30" t="s">
        <v>112</v>
      </c>
      <c r="R645" s="30" t="s">
        <v>183</v>
      </c>
      <c r="S645" s="81">
        <f>HLOOKUP(L645,データについて!$J$6:$M$18,13,FALSE)</f>
        <v>2</v>
      </c>
      <c r="T645" s="81">
        <f>HLOOKUP(M645,データについて!$J$7:$M$18,12,FALSE)</f>
        <v>1</v>
      </c>
      <c r="U645" s="81">
        <f>HLOOKUP(N645,データについて!$J$8:$M$18,11,FALSE)</f>
        <v>1</v>
      </c>
      <c r="V645" s="81">
        <f>HLOOKUP(O645,データについて!$J$9:$M$18,10,FALSE)</f>
        <v>1</v>
      </c>
      <c r="W645" s="81">
        <f>HLOOKUP(P645,データについて!$J$10:$M$18,9,FALSE)</f>
        <v>1</v>
      </c>
      <c r="X645" s="81">
        <f>HLOOKUP(Q645,データについて!$J$11:$M$18,8,FALSE)</f>
        <v>1</v>
      </c>
      <c r="Y645" s="81">
        <f>HLOOKUP(R645,データについて!$J$12:$M$18,7,FALSE)</f>
        <v>1</v>
      </c>
      <c r="Z645" s="81">
        <f>HLOOKUP(I645,データについて!$J$3:$M$18,16,FALSE)</f>
        <v>1</v>
      </c>
      <c r="AA645" s="81">
        <f>IFERROR(HLOOKUP(J645,データについて!$J$4:$AH$19,16,FALSE),"")</f>
        <v>12</v>
      </c>
      <c r="AB645" s="81" t="str">
        <f>IFERROR(HLOOKUP(K645,データについて!$J$5:$AH$20,14,FALSE),"")</f>
        <v/>
      </c>
      <c r="AC645" s="81">
        <f>IF(X645=1,HLOOKUP(R645,データについて!$J$12:$M$18,7,FALSE),"*")</f>
        <v>1</v>
      </c>
      <c r="AD645" s="81" t="str">
        <f>IF(X645=2,HLOOKUP(R645,データについて!$J$12:$M$18,7,FALSE),"*")</f>
        <v>*</v>
      </c>
    </row>
    <row r="646" spans="1:30">
      <c r="A646" s="30">
        <v>4546</v>
      </c>
      <c r="B646" s="30" t="s">
        <v>4235</v>
      </c>
      <c r="C646" s="30" t="s">
        <v>4236</v>
      </c>
      <c r="D646" s="30" t="s">
        <v>106</v>
      </c>
      <c r="E646" s="30"/>
      <c r="F646" s="30" t="s">
        <v>107</v>
      </c>
      <c r="G646" s="30" t="s">
        <v>106</v>
      </c>
      <c r="H646" s="30"/>
      <c r="I646" s="30" t="s">
        <v>192</v>
      </c>
      <c r="J646" s="30" t="s">
        <v>3010</v>
      </c>
      <c r="K646" s="30"/>
      <c r="L646" s="30" t="s">
        <v>117</v>
      </c>
      <c r="M646" s="30" t="s">
        <v>113</v>
      </c>
      <c r="N646" s="30" t="s">
        <v>110</v>
      </c>
      <c r="O646" s="30" t="s">
        <v>115</v>
      </c>
      <c r="P646" s="30" t="s">
        <v>112</v>
      </c>
      <c r="Q646" s="30" t="s">
        <v>112</v>
      </c>
      <c r="R646" s="30" t="s">
        <v>183</v>
      </c>
      <c r="S646" s="81">
        <f>HLOOKUP(L646,データについて!$J$6:$M$18,13,FALSE)</f>
        <v>2</v>
      </c>
      <c r="T646" s="81">
        <f>HLOOKUP(M646,データについて!$J$7:$M$18,12,FALSE)</f>
        <v>1</v>
      </c>
      <c r="U646" s="81">
        <f>HLOOKUP(N646,データについて!$J$8:$M$18,11,FALSE)</f>
        <v>2</v>
      </c>
      <c r="V646" s="81">
        <f>HLOOKUP(O646,データについて!$J$9:$M$18,10,FALSE)</f>
        <v>1</v>
      </c>
      <c r="W646" s="81">
        <f>HLOOKUP(P646,データについて!$J$10:$M$18,9,FALSE)</f>
        <v>1</v>
      </c>
      <c r="X646" s="81">
        <f>HLOOKUP(Q646,データについて!$J$11:$M$18,8,FALSE)</f>
        <v>1</v>
      </c>
      <c r="Y646" s="81">
        <f>HLOOKUP(R646,データについて!$J$12:$M$18,7,FALSE)</f>
        <v>1</v>
      </c>
      <c r="Z646" s="81">
        <f>HLOOKUP(I646,データについて!$J$3:$M$18,16,FALSE)</f>
        <v>1</v>
      </c>
      <c r="AA646" s="81">
        <f>IFERROR(HLOOKUP(J646,データについて!$J$4:$AH$19,16,FALSE),"")</f>
        <v>12</v>
      </c>
      <c r="AB646" s="81" t="str">
        <f>IFERROR(HLOOKUP(K646,データについて!$J$5:$AH$20,14,FALSE),"")</f>
        <v/>
      </c>
      <c r="AC646" s="81">
        <f>IF(X646=1,HLOOKUP(R646,データについて!$J$12:$M$18,7,FALSE),"*")</f>
        <v>1</v>
      </c>
      <c r="AD646" s="81" t="str">
        <f>IF(X646=2,HLOOKUP(R646,データについて!$J$12:$M$18,7,FALSE),"*")</f>
        <v>*</v>
      </c>
    </row>
    <row r="647" spans="1:30">
      <c r="A647" s="30">
        <v>4545</v>
      </c>
      <c r="B647" s="30" t="s">
        <v>4237</v>
      </c>
      <c r="C647" s="30" t="s">
        <v>4236</v>
      </c>
      <c r="D647" s="30" t="s">
        <v>106</v>
      </c>
      <c r="E647" s="30"/>
      <c r="F647" s="30" t="s">
        <v>107</v>
      </c>
      <c r="G647" s="30" t="s">
        <v>106</v>
      </c>
      <c r="H647" s="30"/>
      <c r="I647" s="30" t="s">
        <v>191</v>
      </c>
      <c r="J647" s="30"/>
      <c r="K647" s="30" t="s">
        <v>126</v>
      </c>
      <c r="L647" s="30" t="s">
        <v>108</v>
      </c>
      <c r="M647" s="30" t="s">
        <v>109</v>
      </c>
      <c r="N647" s="30" t="s">
        <v>122</v>
      </c>
      <c r="O647" s="30" t="s">
        <v>115</v>
      </c>
      <c r="P647" s="30" t="s">
        <v>112</v>
      </c>
      <c r="Q647" s="30" t="s">
        <v>112</v>
      </c>
      <c r="R647" s="30" t="s">
        <v>185</v>
      </c>
      <c r="S647" s="81">
        <f>HLOOKUP(L647,データについて!$J$6:$M$18,13,FALSE)</f>
        <v>1</v>
      </c>
      <c r="T647" s="81">
        <f>HLOOKUP(M647,データについて!$J$7:$M$18,12,FALSE)</f>
        <v>2</v>
      </c>
      <c r="U647" s="81">
        <f>HLOOKUP(N647,データについて!$J$8:$M$18,11,FALSE)</f>
        <v>3</v>
      </c>
      <c r="V647" s="81">
        <f>HLOOKUP(O647,データについて!$J$9:$M$18,10,FALSE)</f>
        <v>1</v>
      </c>
      <c r="W647" s="81">
        <f>HLOOKUP(P647,データについて!$J$10:$M$18,9,FALSE)</f>
        <v>1</v>
      </c>
      <c r="X647" s="81">
        <f>HLOOKUP(Q647,データについて!$J$11:$M$18,8,FALSE)</f>
        <v>1</v>
      </c>
      <c r="Y647" s="81">
        <f>HLOOKUP(R647,データについて!$J$12:$M$18,7,FALSE)</f>
        <v>2</v>
      </c>
      <c r="Z647" s="81">
        <f>HLOOKUP(I647,データについて!$J$3:$M$18,16,FALSE)</f>
        <v>2</v>
      </c>
      <c r="AA647" s="81" t="str">
        <f>IFERROR(HLOOKUP(J647,データについて!$J$4:$AH$19,16,FALSE),"")</f>
        <v/>
      </c>
      <c r="AB647" s="81">
        <f>IFERROR(HLOOKUP(K647,データについて!$J$5:$AH$20,14,FALSE),"")</f>
        <v>0</v>
      </c>
      <c r="AC647" s="81">
        <f>IF(X647=1,HLOOKUP(R647,データについて!$J$12:$M$18,7,FALSE),"*")</f>
        <v>2</v>
      </c>
      <c r="AD647" s="81" t="str">
        <f>IF(X647=2,HLOOKUP(R647,データについて!$J$12:$M$18,7,FALSE),"*")</f>
        <v>*</v>
      </c>
    </row>
    <row r="648" spans="1:30">
      <c r="A648" s="30">
        <v>4544</v>
      </c>
      <c r="B648" s="30" t="s">
        <v>4238</v>
      </c>
      <c r="C648" s="30" t="s">
        <v>4239</v>
      </c>
      <c r="D648" s="30" t="s">
        <v>106</v>
      </c>
      <c r="E648" s="30"/>
      <c r="F648" s="30" t="s">
        <v>107</v>
      </c>
      <c r="G648" s="30" t="s">
        <v>106</v>
      </c>
      <c r="H648" s="30"/>
      <c r="I648" s="30" t="s">
        <v>192</v>
      </c>
      <c r="J648" s="30" t="s">
        <v>3010</v>
      </c>
      <c r="K648" s="30"/>
      <c r="L648" s="30" t="s">
        <v>108</v>
      </c>
      <c r="M648" s="30" t="s">
        <v>109</v>
      </c>
      <c r="N648" s="30" t="s">
        <v>110</v>
      </c>
      <c r="O648" s="30" t="s">
        <v>115</v>
      </c>
      <c r="P648" s="30" t="s">
        <v>112</v>
      </c>
      <c r="Q648" s="30" t="s">
        <v>112</v>
      </c>
      <c r="R648" s="30" t="s">
        <v>183</v>
      </c>
      <c r="S648" s="81">
        <f>HLOOKUP(L648,データについて!$J$6:$M$18,13,FALSE)</f>
        <v>1</v>
      </c>
      <c r="T648" s="81">
        <f>HLOOKUP(M648,データについて!$J$7:$M$18,12,FALSE)</f>
        <v>2</v>
      </c>
      <c r="U648" s="81">
        <f>HLOOKUP(N648,データについて!$J$8:$M$18,11,FALSE)</f>
        <v>2</v>
      </c>
      <c r="V648" s="81">
        <f>HLOOKUP(O648,データについて!$J$9:$M$18,10,FALSE)</f>
        <v>1</v>
      </c>
      <c r="W648" s="81">
        <f>HLOOKUP(P648,データについて!$J$10:$M$18,9,FALSE)</f>
        <v>1</v>
      </c>
      <c r="X648" s="81">
        <f>HLOOKUP(Q648,データについて!$J$11:$M$18,8,FALSE)</f>
        <v>1</v>
      </c>
      <c r="Y648" s="81">
        <f>HLOOKUP(R648,データについて!$J$12:$M$18,7,FALSE)</f>
        <v>1</v>
      </c>
      <c r="Z648" s="81">
        <f>HLOOKUP(I648,データについて!$J$3:$M$18,16,FALSE)</f>
        <v>1</v>
      </c>
      <c r="AA648" s="81">
        <f>IFERROR(HLOOKUP(J648,データについて!$J$4:$AH$19,16,FALSE),"")</f>
        <v>12</v>
      </c>
      <c r="AB648" s="81" t="str">
        <f>IFERROR(HLOOKUP(K648,データについて!$J$5:$AH$20,14,FALSE),"")</f>
        <v/>
      </c>
      <c r="AC648" s="81">
        <f>IF(X648=1,HLOOKUP(R648,データについて!$J$12:$M$18,7,FALSE),"*")</f>
        <v>1</v>
      </c>
      <c r="AD648" s="81" t="str">
        <f>IF(X648=2,HLOOKUP(R648,データについて!$J$12:$M$18,7,FALSE),"*")</f>
        <v>*</v>
      </c>
    </row>
    <row r="649" spans="1:30">
      <c r="A649" s="30">
        <v>4543</v>
      </c>
      <c r="B649" s="30" t="s">
        <v>4240</v>
      </c>
      <c r="C649" s="30" t="s">
        <v>4241</v>
      </c>
      <c r="D649" s="30" t="s">
        <v>106</v>
      </c>
      <c r="E649" s="30"/>
      <c r="F649" s="30" t="s">
        <v>107</v>
      </c>
      <c r="G649" s="30" t="s">
        <v>106</v>
      </c>
      <c r="H649" s="30"/>
      <c r="I649" s="30" t="s">
        <v>192</v>
      </c>
      <c r="J649" s="30" t="s">
        <v>3010</v>
      </c>
      <c r="K649" s="30"/>
      <c r="L649" s="30" t="s">
        <v>108</v>
      </c>
      <c r="M649" s="30" t="s">
        <v>113</v>
      </c>
      <c r="N649" s="30" t="s">
        <v>110</v>
      </c>
      <c r="O649" s="30" t="s">
        <v>115</v>
      </c>
      <c r="P649" s="30" t="s">
        <v>112</v>
      </c>
      <c r="Q649" s="30" t="s">
        <v>118</v>
      </c>
      <c r="R649" s="30" t="s">
        <v>185</v>
      </c>
      <c r="S649" s="81">
        <f>HLOOKUP(L649,データについて!$J$6:$M$18,13,FALSE)</f>
        <v>1</v>
      </c>
      <c r="T649" s="81">
        <f>HLOOKUP(M649,データについて!$J$7:$M$18,12,FALSE)</f>
        <v>1</v>
      </c>
      <c r="U649" s="81">
        <f>HLOOKUP(N649,データについて!$J$8:$M$18,11,FALSE)</f>
        <v>2</v>
      </c>
      <c r="V649" s="81">
        <f>HLOOKUP(O649,データについて!$J$9:$M$18,10,FALSE)</f>
        <v>1</v>
      </c>
      <c r="W649" s="81">
        <f>HLOOKUP(P649,データについて!$J$10:$M$18,9,FALSE)</f>
        <v>1</v>
      </c>
      <c r="X649" s="81">
        <f>HLOOKUP(Q649,データについて!$J$11:$M$18,8,FALSE)</f>
        <v>2</v>
      </c>
      <c r="Y649" s="81">
        <f>HLOOKUP(R649,データについて!$J$12:$M$18,7,FALSE)</f>
        <v>2</v>
      </c>
      <c r="Z649" s="81">
        <f>HLOOKUP(I649,データについて!$J$3:$M$18,16,FALSE)</f>
        <v>1</v>
      </c>
      <c r="AA649" s="81">
        <f>IFERROR(HLOOKUP(J649,データについて!$J$4:$AH$19,16,FALSE),"")</f>
        <v>12</v>
      </c>
      <c r="AB649" s="81" t="str">
        <f>IFERROR(HLOOKUP(K649,データについて!$J$5:$AH$20,14,FALSE),"")</f>
        <v/>
      </c>
      <c r="AC649" s="81" t="str">
        <f>IF(X649=1,HLOOKUP(R649,データについて!$J$12:$M$18,7,FALSE),"*")</f>
        <v>*</v>
      </c>
      <c r="AD649" s="81">
        <f>IF(X649=2,HLOOKUP(R649,データについて!$J$12:$M$18,7,FALSE),"*")</f>
        <v>2</v>
      </c>
    </row>
    <row r="650" spans="1:30">
      <c r="A650" s="30">
        <v>4542</v>
      </c>
      <c r="B650" s="30" t="s">
        <v>4242</v>
      </c>
      <c r="C650" s="30" t="s">
        <v>4241</v>
      </c>
      <c r="D650" s="30" t="s">
        <v>106</v>
      </c>
      <c r="E650" s="30"/>
      <c r="F650" s="30" t="s">
        <v>107</v>
      </c>
      <c r="G650" s="30" t="s">
        <v>106</v>
      </c>
      <c r="H650" s="30"/>
      <c r="I650" s="30" t="s">
        <v>191</v>
      </c>
      <c r="J650" s="30"/>
      <c r="K650" s="30" t="s">
        <v>126</v>
      </c>
      <c r="L650" s="30" t="s">
        <v>108</v>
      </c>
      <c r="M650" s="30" t="s">
        <v>113</v>
      </c>
      <c r="N650" s="30" t="s">
        <v>114</v>
      </c>
      <c r="O650" s="30" t="s">
        <v>115</v>
      </c>
      <c r="P650" s="30" t="s">
        <v>112</v>
      </c>
      <c r="Q650" s="30" t="s">
        <v>118</v>
      </c>
      <c r="R650" s="30" t="s">
        <v>185</v>
      </c>
      <c r="S650" s="81">
        <f>HLOOKUP(L650,データについて!$J$6:$M$18,13,FALSE)</f>
        <v>1</v>
      </c>
      <c r="T650" s="81">
        <f>HLOOKUP(M650,データについて!$J$7:$M$18,12,FALSE)</f>
        <v>1</v>
      </c>
      <c r="U650" s="81">
        <f>HLOOKUP(N650,データについて!$J$8:$M$18,11,FALSE)</f>
        <v>1</v>
      </c>
      <c r="V650" s="81">
        <f>HLOOKUP(O650,データについて!$J$9:$M$18,10,FALSE)</f>
        <v>1</v>
      </c>
      <c r="W650" s="81">
        <f>HLOOKUP(P650,データについて!$J$10:$M$18,9,FALSE)</f>
        <v>1</v>
      </c>
      <c r="X650" s="81">
        <f>HLOOKUP(Q650,データについて!$J$11:$M$18,8,FALSE)</f>
        <v>2</v>
      </c>
      <c r="Y650" s="81">
        <f>HLOOKUP(R650,データについて!$J$12:$M$18,7,FALSE)</f>
        <v>2</v>
      </c>
      <c r="Z650" s="81">
        <f>HLOOKUP(I650,データについて!$J$3:$M$18,16,FALSE)</f>
        <v>2</v>
      </c>
      <c r="AA650" s="81" t="str">
        <f>IFERROR(HLOOKUP(J650,データについて!$J$4:$AH$19,16,FALSE),"")</f>
        <v/>
      </c>
      <c r="AB650" s="81">
        <f>IFERROR(HLOOKUP(K650,データについて!$J$5:$AH$20,14,FALSE),"")</f>
        <v>0</v>
      </c>
      <c r="AC650" s="81" t="str">
        <f>IF(X650=1,HLOOKUP(R650,データについて!$J$12:$M$18,7,FALSE),"*")</f>
        <v>*</v>
      </c>
      <c r="AD650" s="81">
        <f>IF(X650=2,HLOOKUP(R650,データについて!$J$12:$M$18,7,FALSE),"*")</f>
        <v>2</v>
      </c>
    </row>
    <row r="651" spans="1:30">
      <c r="A651" s="30">
        <v>4541</v>
      </c>
      <c r="B651" s="30" t="s">
        <v>4243</v>
      </c>
      <c r="C651" s="30" t="s">
        <v>4244</v>
      </c>
      <c r="D651" s="30" t="s">
        <v>106</v>
      </c>
      <c r="E651" s="30"/>
      <c r="F651" s="30" t="s">
        <v>107</v>
      </c>
      <c r="G651" s="30" t="s">
        <v>106</v>
      </c>
      <c r="H651" s="30"/>
      <c r="I651" s="30" t="s">
        <v>191</v>
      </c>
      <c r="J651" s="30"/>
      <c r="K651" s="30" t="s">
        <v>126</v>
      </c>
      <c r="L651" s="30" t="s">
        <v>108</v>
      </c>
      <c r="M651" s="30" t="s">
        <v>113</v>
      </c>
      <c r="N651" s="30" t="s">
        <v>114</v>
      </c>
      <c r="O651" s="30" t="s">
        <v>115</v>
      </c>
      <c r="P651" s="30" t="s">
        <v>112</v>
      </c>
      <c r="Q651" s="30" t="s">
        <v>112</v>
      </c>
      <c r="R651" s="30" t="s">
        <v>185</v>
      </c>
      <c r="S651" s="81">
        <f>HLOOKUP(L651,データについて!$J$6:$M$18,13,FALSE)</f>
        <v>1</v>
      </c>
      <c r="T651" s="81">
        <f>HLOOKUP(M651,データについて!$J$7:$M$18,12,FALSE)</f>
        <v>1</v>
      </c>
      <c r="U651" s="81">
        <f>HLOOKUP(N651,データについて!$J$8:$M$18,11,FALSE)</f>
        <v>1</v>
      </c>
      <c r="V651" s="81">
        <f>HLOOKUP(O651,データについて!$J$9:$M$18,10,FALSE)</f>
        <v>1</v>
      </c>
      <c r="W651" s="81">
        <f>HLOOKUP(P651,データについて!$J$10:$M$18,9,FALSE)</f>
        <v>1</v>
      </c>
      <c r="X651" s="81">
        <f>HLOOKUP(Q651,データについて!$J$11:$M$18,8,FALSE)</f>
        <v>1</v>
      </c>
      <c r="Y651" s="81">
        <f>HLOOKUP(R651,データについて!$J$12:$M$18,7,FALSE)</f>
        <v>2</v>
      </c>
      <c r="Z651" s="81">
        <f>HLOOKUP(I651,データについて!$J$3:$M$18,16,FALSE)</f>
        <v>2</v>
      </c>
      <c r="AA651" s="81" t="str">
        <f>IFERROR(HLOOKUP(J651,データについて!$J$4:$AH$19,16,FALSE),"")</f>
        <v/>
      </c>
      <c r="AB651" s="81">
        <f>IFERROR(HLOOKUP(K651,データについて!$J$5:$AH$20,14,FALSE),"")</f>
        <v>0</v>
      </c>
      <c r="AC651" s="81">
        <f>IF(X651=1,HLOOKUP(R651,データについて!$J$12:$M$18,7,FALSE),"*")</f>
        <v>2</v>
      </c>
      <c r="AD651" s="81" t="str">
        <f>IF(X651=2,HLOOKUP(R651,データについて!$J$12:$M$18,7,FALSE),"*")</f>
        <v>*</v>
      </c>
    </row>
    <row r="652" spans="1:30">
      <c r="A652" s="30">
        <v>4540</v>
      </c>
      <c r="B652" s="30" t="s">
        <v>4245</v>
      </c>
      <c r="C652" s="30" t="s">
        <v>4244</v>
      </c>
      <c r="D652" s="30" t="s">
        <v>106</v>
      </c>
      <c r="E652" s="30"/>
      <c r="F652" s="30" t="s">
        <v>107</v>
      </c>
      <c r="G652" s="30" t="s">
        <v>106</v>
      </c>
      <c r="H652" s="30"/>
      <c r="I652" s="30" t="s">
        <v>191</v>
      </c>
      <c r="J652" s="30"/>
      <c r="K652" s="30" t="s">
        <v>126</v>
      </c>
      <c r="L652" s="30" t="s">
        <v>117</v>
      </c>
      <c r="M652" s="30" t="s">
        <v>109</v>
      </c>
      <c r="N652" s="30" t="s">
        <v>110</v>
      </c>
      <c r="O652" s="30" t="s">
        <v>115</v>
      </c>
      <c r="P652" s="30" t="s">
        <v>112</v>
      </c>
      <c r="Q652" s="30" t="s">
        <v>112</v>
      </c>
      <c r="R652" s="30" t="s">
        <v>185</v>
      </c>
      <c r="S652" s="81">
        <f>HLOOKUP(L652,データについて!$J$6:$M$18,13,FALSE)</f>
        <v>2</v>
      </c>
      <c r="T652" s="81">
        <f>HLOOKUP(M652,データについて!$J$7:$M$18,12,FALSE)</f>
        <v>2</v>
      </c>
      <c r="U652" s="81">
        <f>HLOOKUP(N652,データについて!$J$8:$M$18,11,FALSE)</f>
        <v>2</v>
      </c>
      <c r="V652" s="81">
        <f>HLOOKUP(O652,データについて!$J$9:$M$18,10,FALSE)</f>
        <v>1</v>
      </c>
      <c r="W652" s="81">
        <f>HLOOKUP(P652,データについて!$J$10:$M$18,9,FALSE)</f>
        <v>1</v>
      </c>
      <c r="X652" s="81">
        <f>HLOOKUP(Q652,データについて!$J$11:$M$18,8,FALSE)</f>
        <v>1</v>
      </c>
      <c r="Y652" s="81">
        <f>HLOOKUP(R652,データについて!$J$12:$M$18,7,FALSE)</f>
        <v>2</v>
      </c>
      <c r="Z652" s="81">
        <f>HLOOKUP(I652,データについて!$J$3:$M$18,16,FALSE)</f>
        <v>2</v>
      </c>
      <c r="AA652" s="81" t="str">
        <f>IFERROR(HLOOKUP(J652,データについて!$J$4:$AH$19,16,FALSE),"")</f>
        <v/>
      </c>
      <c r="AB652" s="81">
        <f>IFERROR(HLOOKUP(K652,データについて!$J$5:$AH$20,14,FALSE),"")</f>
        <v>0</v>
      </c>
      <c r="AC652" s="81">
        <f>IF(X652=1,HLOOKUP(R652,データについて!$J$12:$M$18,7,FALSE),"*")</f>
        <v>2</v>
      </c>
      <c r="AD652" s="81" t="str">
        <f>IF(X652=2,HLOOKUP(R652,データについて!$J$12:$M$18,7,FALSE),"*")</f>
        <v>*</v>
      </c>
    </row>
    <row r="653" spans="1:30">
      <c r="A653" s="30">
        <v>4539</v>
      </c>
      <c r="B653" s="30" t="s">
        <v>4246</v>
      </c>
      <c r="C653" s="30" t="s">
        <v>4247</v>
      </c>
      <c r="D653" s="30" t="s">
        <v>106</v>
      </c>
      <c r="E653" s="30"/>
      <c r="F653" s="30" t="s">
        <v>107</v>
      </c>
      <c r="G653" s="30" t="s">
        <v>106</v>
      </c>
      <c r="H653" s="30"/>
      <c r="I653" s="30" t="s">
        <v>192</v>
      </c>
      <c r="J653" s="30" t="s">
        <v>3010</v>
      </c>
      <c r="K653" s="30"/>
      <c r="L653" s="30" t="s">
        <v>108</v>
      </c>
      <c r="M653" s="30" t="s">
        <v>113</v>
      </c>
      <c r="N653" s="30" t="s">
        <v>114</v>
      </c>
      <c r="O653" s="30" t="s">
        <v>115</v>
      </c>
      <c r="P653" s="30" t="s">
        <v>112</v>
      </c>
      <c r="Q653" s="30" t="s">
        <v>112</v>
      </c>
      <c r="R653" s="30" t="s">
        <v>185</v>
      </c>
      <c r="S653" s="81">
        <f>HLOOKUP(L653,データについて!$J$6:$M$18,13,FALSE)</f>
        <v>1</v>
      </c>
      <c r="T653" s="81">
        <f>HLOOKUP(M653,データについて!$J$7:$M$18,12,FALSE)</f>
        <v>1</v>
      </c>
      <c r="U653" s="81">
        <f>HLOOKUP(N653,データについて!$J$8:$M$18,11,FALSE)</f>
        <v>1</v>
      </c>
      <c r="V653" s="81">
        <f>HLOOKUP(O653,データについて!$J$9:$M$18,10,FALSE)</f>
        <v>1</v>
      </c>
      <c r="W653" s="81">
        <f>HLOOKUP(P653,データについて!$J$10:$M$18,9,FALSE)</f>
        <v>1</v>
      </c>
      <c r="X653" s="81">
        <f>HLOOKUP(Q653,データについて!$J$11:$M$18,8,FALSE)</f>
        <v>1</v>
      </c>
      <c r="Y653" s="81">
        <f>HLOOKUP(R653,データについて!$J$12:$M$18,7,FALSE)</f>
        <v>2</v>
      </c>
      <c r="Z653" s="81">
        <f>HLOOKUP(I653,データについて!$J$3:$M$18,16,FALSE)</f>
        <v>1</v>
      </c>
      <c r="AA653" s="81">
        <f>IFERROR(HLOOKUP(J653,データについて!$J$4:$AH$19,16,FALSE),"")</f>
        <v>12</v>
      </c>
      <c r="AB653" s="81" t="str">
        <f>IFERROR(HLOOKUP(K653,データについて!$J$5:$AH$20,14,FALSE),"")</f>
        <v/>
      </c>
      <c r="AC653" s="81">
        <f>IF(X653=1,HLOOKUP(R653,データについて!$J$12:$M$18,7,FALSE),"*")</f>
        <v>2</v>
      </c>
      <c r="AD653" s="81" t="str">
        <f>IF(X653=2,HLOOKUP(R653,データについて!$J$12:$M$18,7,FALSE),"*")</f>
        <v>*</v>
      </c>
    </row>
    <row r="654" spans="1:30">
      <c r="A654" s="30">
        <v>4538</v>
      </c>
      <c r="B654" s="30" t="s">
        <v>4248</v>
      </c>
      <c r="C654" s="30" t="s">
        <v>4249</v>
      </c>
      <c r="D654" s="30" t="s">
        <v>106</v>
      </c>
      <c r="E654" s="30"/>
      <c r="F654" s="30" t="s">
        <v>107</v>
      </c>
      <c r="G654" s="30" t="s">
        <v>106</v>
      </c>
      <c r="H654" s="30"/>
      <c r="I654" s="30" t="s">
        <v>191</v>
      </c>
      <c r="J654" s="30"/>
      <c r="K654" s="30" t="s">
        <v>126</v>
      </c>
      <c r="L654" s="30" t="s">
        <v>117</v>
      </c>
      <c r="M654" s="30" t="s">
        <v>109</v>
      </c>
      <c r="N654" s="30" t="s">
        <v>114</v>
      </c>
      <c r="O654" s="30" t="s">
        <v>123</v>
      </c>
      <c r="P654" s="30" t="s">
        <v>118</v>
      </c>
      <c r="Q654" s="30" t="s">
        <v>118</v>
      </c>
      <c r="R654" s="30" t="s">
        <v>189</v>
      </c>
      <c r="S654" s="81">
        <f>HLOOKUP(L654,データについて!$J$6:$M$18,13,FALSE)</f>
        <v>2</v>
      </c>
      <c r="T654" s="81">
        <f>HLOOKUP(M654,データについて!$J$7:$M$18,12,FALSE)</f>
        <v>2</v>
      </c>
      <c r="U654" s="81">
        <f>HLOOKUP(N654,データについて!$J$8:$M$18,11,FALSE)</f>
        <v>1</v>
      </c>
      <c r="V654" s="81">
        <f>HLOOKUP(O654,データについて!$J$9:$M$18,10,FALSE)</f>
        <v>4</v>
      </c>
      <c r="W654" s="81">
        <f>HLOOKUP(P654,データについて!$J$10:$M$18,9,FALSE)</f>
        <v>2</v>
      </c>
      <c r="X654" s="81">
        <f>HLOOKUP(Q654,データについて!$J$11:$M$18,8,FALSE)</f>
        <v>2</v>
      </c>
      <c r="Y654" s="81">
        <f>HLOOKUP(R654,データについて!$J$12:$M$18,7,FALSE)</f>
        <v>4</v>
      </c>
      <c r="Z654" s="81">
        <f>HLOOKUP(I654,データについて!$J$3:$M$18,16,FALSE)</f>
        <v>2</v>
      </c>
      <c r="AA654" s="81" t="str">
        <f>IFERROR(HLOOKUP(J654,データについて!$J$4:$AH$19,16,FALSE),"")</f>
        <v/>
      </c>
      <c r="AB654" s="81">
        <f>IFERROR(HLOOKUP(K654,データについて!$J$5:$AH$20,14,FALSE),"")</f>
        <v>0</v>
      </c>
      <c r="AC654" s="81" t="str">
        <f>IF(X654=1,HLOOKUP(R654,データについて!$J$12:$M$18,7,FALSE),"*")</f>
        <v>*</v>
      </c>
      <c r="AD654" s="81">
        <f>IF(X654=2,HLOOKUP(R654,データについて!$J$12:$M$18,7,FALSE),"*")</f>
        <v>4</v>
      </c>
    </row>
    <row r="655" spans="1:30">
      <c r="A655" s="30">
        <v>4537</v>
      </c>
      <c r="B655" s="30" t="s">
        <v>4250</v>
      </c>
      <c r="C655" s="30" t="s">
        <v>4249</v>
      </c>
      <c r="D655" s="30" t="s">
        <v>106</v>
      </c>
      <c r="E655" s="30"/>
      <c r="F655" s="30" t="s">
        <v>107</v>
      </c>
      <c r="G655" s="30" t="s">
        <v>106</v>
      </c>
      <c r="H655" s="30"/>
      <c r="I655" s="30" t="s">
        <v>191</v>
      </c>
      <c r="J655" s="30"/>
      <c r="K655" s="30" t="s">
        <v>126</v>
      </c>
      <c r="L655" s="30" t="s">
        <v>108</v>
      </c>
      <c r="M655" s="30" t="s">
        <v>113</v>
      </c>
      <c r="N655" s="30" t="s">
        <v>114</v>
      </c>
      <c r="O655" s="30" t="s">
        <v>115</v>
      </c>
      <c r="P655" s="30" t="s">
        <v>118</v>
      </c>
      <c r="Q655" s="30" t="s">
        <v>112</v>
      </c>
      <c r="R655" s="30" t="s">
        <v>185</v>
      </c>
      <c r="S655" s="81">
        <f>HLOOKUP(L655,データについて!$J$6:$M$18,13,FALSE)</f>
        <v>1</v>
      </c>
      <c r="T655" s="81">
        <f>HLOOKUP(M655,データについて!$J$7:$M$18,12,FALSE)</f>
        <v>1</v>
      </c>
      <c r="U655" s="81">
        <f>HLOOKUP(N655,データについて!$J$8:$M$18,11,FALSE)</f>
        <v>1</v>
      </c>
      <c r="V655" s="81">
        <f>HLOOKUP(O655,データについて!$J$9:$M$18,10,FALSE)</f>
        <v>1</v>
      </c>
      <c r="W655" s="81">
        <f>HLOOKUP(P655,データについて!$J$10:$M$18,9,FALSE)</f>
        <v>2</v>
      </c>
      <c r="X655" s="81">
        <f>HLOOKUP(Q655,データについて!$J$11:$M$18,8,FALSE)</f>
        <v>1</v>
      </c>
      <c r="Y655" s="81">
        <f>HLOOKUP(R655,データについて!$J$12:$M$18,7,FALSE)</f>
        <v>2</v>
      </c>
      <c r="Z655" s="81">
        <f>HLOOKUP(I655,データについて!$J$3:$M$18,16,FALSE)</f>
        <v>2</v>
      </c>
      <c r="AA655" s="81" t="str">
        <f>IFERROR(HLOOKUP(J655,データについて!$J$4:$AH$19,16,FALSE),"")</f>
        <v/>
      </c>
      <c r="AB655" s="81">
        <f>IFERROR(HLOOKUP(K655,データについて!$J$5:$AH$20,14,FALSE),"")</f>
        <v>0</v>
      </c>
      <c r="AC655" s="81">
        <f>IF(X655=1,HLOOKUP(R655,データについて!$J$12:$M$18,7,FALSE),"*")</f>
        <v>2</v>
      </c>
      <c r="AD655" s="81" t="str">
        <f>IF(X655=2,HLOOKUP(R655,データについて!$J$12:$M$18,7,FALSE),"*")</f>
        <v>*</v>
      </c>
    </row>
    <row r="656" spans="1:30">
      <c r="A656" s="30">
        <v>4536</v>
      </c>
      <c r="B656" s="30" t="s">
        <v>4251</v>
      </c>
      <c r="C656" s="30" t="s">
        <v>4252</v>
      </c>
      <c r="D656" s="30" t="s">
        <v>106</v>
      </c>
      <c r="E656" s="30"/>
      <c r="F656" s="30" t="s">
        <v>107</v>
      </c>
      <c r="G656" s="30" t="s">
        <v>106</v>
      </c>
      <c r="H656" s="30"/>
      <c r="I656" s="30" t="s">
        <v>191</v>
      </c>
      <c r="J656" s="30"/>
      <c r="K656" s="30" t="s">
        <v>126</v>
      </c>
      <c r="L656" s="30" t="s">
        <v>117</v>
      </c>
      <c r="M656" s="30" t="s">
        <v>113</v>
      </c>
      <c r="N656" s="30" t="s">
        <v>114</v>
      </c>
      <c r="O656" s="30" t="s">
        <v>115</v>
      </c>
      <c r="P656" s="30" t="s">
        <v>118</v>
      </c>
      <c r="Q656" s="30" t="s">
        <v>112</v>
      </c>
      <c r="R656" s="30" t="s">
        <v>183</v>
      </c>
      <c r="S656" s="81">
        <f>HLOOKUP(L656,データについて!$J$6:$M$18,13,FALSE)</f>
        <v>2</v>
      </c>
      <c r="T656" s="81">
        <f>HLOOKUP(M656,データについて!$J$7:$M$18,12,FALSE)</f>
        <v>1</v>
      </c>
      <c r="U656" s="81">
        <f>HLOOKUP(N656,データについて!$J$8:$M$18,11,FALSE)</f>
        <v>1</v>
      </c>
      <c r="V656" s="81">
        <f>HLOOKUP(O656,データについて!$J$9:$M$18,10,FALSE)</f>
        <v>1</v>
      </c>
      <c r="W656" s="81">
        <f>HLOOKUP(P656,データについて!$J$10:$M$18,9,FALSE)</f>
        <v>2</v>
      </c>
      <c r="X656" s="81">
        <f>HLOOKUP(Q656,データについて!$J$11:$M$18,8,FALSE)</f>
        <v>1</v>
      </c>
      <c r="Y656" s="81">
        <f>HLOOKUP(R656,データについて!$J$12:$M$18,7,FALSE)</f>
        <v>1</v>
      </c>
      <c r="Z656" s="81">
        <f>HLOOKUP(I656,データについて!$J$3:$M$18,16,FALSE)</f>
        <v>2</v>
      </c>
      <c r="AA656" s="81" t="str">
        <f>IFERROR(HLOOKUP(J656,データについて!$J$4:$AH$19,16,FALSE),"")</f>
        <v/>
      </c>
      <c r="AB656" s="81">
        <f>IFERROR(HLOOKUP(K656,データについて!$J$5:$AH$20,14,FALSE),"")</f>
        <v>0</v>
      </c>
      <c r="AC656" s="81">
        <f>IF(X656=1,HLOOKUP(R656,データについて!$J$12:$M$18,7,FALSE),"*")</f>
        <v>1</v>
      </c>
      <c r="AD656" s="81" t="str">
        <f>IF(X656=2,HLOOKUP(R656,データについて!$J$12:$M$18,7,FALSE),"*")</f>
        <v>*</v>
      </c>
    </row>
    <row r="657" spans="1:30">
      <c r="A657" s="30">
        <v>4535</v>
      </c>
      <c r="B657" s="30" t="s">
        <v>4253</v>
      </c>
      <c r="C657" s="30" t="s">
        <v>4254</v>
      </c>
      <c r="D657" s="30" t="s">
        <v>106</v>
      </c>
      <c r="E657" s="30"/>
      <c r="F657" s="30" t="s">
        <v>107</v>
      </c>
      <c r="G657" s="30" t="s">
        <v>106</v>
      </c>
      <c r="H657" s="30"/>
      <c r="I657" s="30" t="s">
        <v>191</v>
      </c>
      <c r="J657" s="30"/>
      <c r="K657" s="30" t="s">
        <v>126</v>
      </c>
      <c r="L657" s="30" t="s">
        <v>108</v>
      </c>
      <c r="M657" s="30" t="s">
        <v>113</v>
      </c>
      <c r="N657" s="30" t="s">
        <v>114</v>
      </c>
      <c r="O657" s="30" t="s">
        <v>115</v>
      </c>
      <c r="P657" s="30" t="s">
        <v>118</v>
      </c>
      <c r="Q657" s="30" t="s">
        <v>112</v>
      </c>
      <c r="R657" s="30" t="s">
        <v>187</v>
      </c>
      <c r="S657" s="81">
        <f>HLOOKUP(L657,データについて!$J$6:$M$18,13,FALSE)</f>
        <v>1</v>
      </c>
      <c r="T657" s="81">
        <f>HLOOKUP(M657,データについて!$J$7:$M$18,12,FALSE)</f>
        <v>1</v>
      </c>
      <c r="U657" s="81">
        <f>HLOOKUP(N657,データについて!$J$8:$M$18,11,FALSE)</f>
        <v>1</v>
      </c>
      <c r="V657" s="81">
        <f>HLOOKUP(O657,データについて!$J$9:$M$18,10,FALSE)</f>
        <v>1</v>
      </c>
      <c r="W657" s="81">
        <f>HLOOKUP(P657,データについて!$J$10:$M$18,9,FALSE)</f>
        <v>2</v>
      </c>
      <c r="X657" s="81">
        <f>HLOOKUP(Q657,データについて!$J$11:$M$18,8,FALSE)</f>
        <v>1</v>
      </c>
      <c r="Y657" s="81">
        <f>HLOOKUP(R657,データについて!$J$12:$M$18,7,FALSE)</f>
        <v>3</v>
      </c>
      <c r="Z657" s="81">
        <f>HLOOKUP(I657,データについて!$J$3:$M$18,16,FALSE)</f>
        <v>2</v>
      </c>
      <c r="AA657" s="81" t="str">
        <f>IFERROR(HLOOKUP(J657,データについて!$J$4:$AH$19,16,FALSE),"")</f>
        <v/>
      </c>
      <c r="AB657" s="81">
        <f>IFERROR(HLOOKUP(K657,データについて!$J$5:$AH$20,14,FALSE),"")</f>
        <v>0</v>
      </c>
      <c r="AC657" s="81">
        <f>IF(X657=1,HLOOKUP(R657,データについて!$J$12:$M$18,7,FALSE),"*")</f>
        <v>3</v>
      </c>
      <c r="AD657" s="81" t="str">
        <f>IF(X657=2,HLOOKUP(R657,データについて!$J$12:$M$18,7,FALSE),"*")</f>
        <v>*</v>
      </c>
    </row>
    <row r="658" spans="1:30">
      <c r="A658" s="30">
        <v>4534</v>
      </c>
      <c r="B658" s="30" t="s">
        <v>4255</v>
      </c>
      <c r="C658" s="30" t="s">
        <v>4256</v>
      </c>
      <c r="D658" s="30" t="s">
        <v>106</v>
      </c>
      <c r="E658" s="30"/>
      <c r="F658" s="30" t="s">
        <v>107</v>
      </c>
      <c r="G658" s="30" t="s">
        <v>106</v>
      </c>
      <c r="H658" s="30"/>
      <c r="I658" s="30" t="s">
        <v>191</v>
      </c>
      <c r="J658" s="30"/>
      <c r="K658" s="30" t="s">
        <v>126</v>
      </c>
      <c r="L658" s="30" t="s">
        <v>117</v>
      </c>
      <c r="M658" s="30" t="s">
        <v>109</v>
      </c>
      <c r="N658" s="30" t="s">
        <v>119</v>
      </c>
      <c r="O658" s="30" t="s">
        <v>115</v>
      </c>
      <c r="P658" s="30" t="s">
        <v>118</v>
      </c>
      <c r="Q658" s="30" t="s">
        <v>112</v>
      </c>
      <c r="R658" s="30" t="s">
        <v>185</v>
      </c>
      <c r="S658" s="81">
        <f>HLOOKUP(L658,データについて!$J$6:$M$18,13,FALSE)</f>
        <v>2</v>
      </c>
      <c r="T658" s="81">
        <f>HLOOKUP(M658,データについて!$J$7:$M$18,12,FALSE)</f>
        <v>2</v>
      </c>
      <c r="U658" s="81">
        <f>HLOOKUP(N658,データについて!$J$8:$M$18,11,FALSE)</f>
        <v>4</v>
      </c>
      <c r="V658" s="81">
        <f>HLOOKUP(O658,データについて!$J$9:$M$18,10,FALSE)</f>
        <v>1</v>
      </c>
      <c r="W658" s="81">
        <f>HLOOKUP(P658,データについて!$J$10:$M$18,9,FALSE)</f>
        <v>2</v>
      </c>
      <c r="X658" s="81">
        <f>HLOOKUP(Q658,データについて!$J$11:$M$18,8,FALSE)</f>
        <v>1</v>
      </c>
      <c r="Y658" s="81">
        <f>HLOOKUP(R658,データについて!$J$12:$M$18,7,FALSE)</f>
        <v>2</v>
      </c>
      <c r="Z658" s="81">
        <f>HLOOKUP(I658,データについて!$J$3:$M$18,16,FALSE)</f>
        <v>2</v>
      </c>
      <c r="AA658" s="81" t="str">
        <f>IFERROR(HLOOKUP(J658,データについて!$J$4:$AH$19,16,FALSE),"")</f>
        <v/>
      </c>
      <c r="AB658" s="81">
        <f>IFERROR(HLOOKUP(K658,データについて!$J$5:$AH$20,14,FALSE),"")</f>
        <v>0</v>
      </c>
      <c r="AC658" s="81">
        <f>IF(X658=1,HLOOKUP(R658,データについて!$J$12:$M$18,7,FALSE),"*")</f>
        <v>2</v>
      </c>
      <c r="AD658" s="81" t="str">
        <f>IF(X658=2,HLOOKUP(R658,データについて!$J$12:$M$18,7,FALSE),"*")</f>
        <v>*</v>
      </c>
    </row>
    <row r="659" spans="1:30">
      <c r="A659" s="30">
        <v>4533</v>
      </c>
      <c r="B659" s="30" t="s">
        <v>4257</v>
      </c>
      <c r="C659" s="30" t="s">
        <v>4258</v>
      </c>
      <c r="D659" s="30" t="s">
        <v>106</v>
      </c>
      <c r="E659" s="30"/>
      <c r="F659" s="30" t="s">
        <v>107</v>
      </c>
      <c r="G659" s="30" t="s">
        <v>106</v>
      </c>
      <c r="H659" s="30"/>
      <c r="I659" s="30" t="s">
        <v>191</v>
      </c>
      <c r="J659" s="30"/>
      <c r="K659" s="30" t="s">
        <v>126</v>
      </c>
      <c r="L659" s="30" t="s">
        <v>108</v>
      </c>
      <c r="M659" s="30" t="s">
        <v>113</v>
      </c>
      <c r="N659" s="30" t="s">
        <v>114</v>
      </c>
      <c r="O659" s="30" t="s">
        <v>115</v>
      </c>
      <c r="P659" s="30" t="s">
        <v>112</v>
      </c>
      <c r="Q659" s="30" t="s">
        <v>112</v>
      </c>
      <c r="R659" s="30" t="s">
        <v>185</v>
      </c>
      <c r="S659" s="81">
        <f>HLOOKUP(L659,データについて!$J$6:$M$18,13,FALSE)</f>
        <v>1</v>
      </c>
      <c r="T659" s="81">
        <f>HLOOKUP(M659,データについて!$J$7:$M$18,12,FALSE)</f>
        <v>1</v>
      </c>
      <c r="U659" s="81">
        <f>HLOOKUP(N659,データについて!$J$8:$M$18,11,FALSE)</f>
        <v>1</v>
      </c>
      <c r="V659" s="81">
        <f>HLOOKUP(O659,データについて!$J$9:$M$18,10,FALSE)</f>
        <v>1</v>
      </c>
      <c r="W659" s="81">
        <f>HLOOKUP(P659,データについて!$J$10:$M$18,9,FALSE)</f>
        <v>1</v>
      </c>
      <c r="X659" s="81">
        <f>HLOOKUP(Q659,データについて!$J$11:$M$18,8,FALSE)</f>
        <v>1</v>
      </c>
      <c r="Y659" s="81">
        <f>HLOOKUP(R659,データについて!$J$12:$M$18,7,FALSE)</f>
        <v>2</v>
      </c>
      <c r="Z659" s="81">
        <f>HLOOKUP(I659,データについて!$J$3:$M$18,16,FALSE)</f>
        <v>2</v>
      </c>
      <c r="AA659" s="81" t="str">
        <f>IFERROR(HLOOKUP(J659,データについて!$J$4:$AH$19,16,FALSE),"")</f>
        <v/>
      </c>
      <c r="AB659" s="81">
        <f>IFERROR(HLOOKUP(K659,データについて!$J$5:$AH$20,14,FALSE),"")</f>
        <v>0</v>
      </c>
      <c r="AC659" s="81">
        <f>IF(X659=1,HLOOKUP(R659,データについて!$J$12:$M$18,7,FALSE),"*")</f>
        <v>2</v>
      </c>
      <c r="AD659" s="81" t="str">
        <f>IF(X659=2,HLOOKUP(R659,データについて!$J$12:$M$18,7,FALSE),"*")</f>
        <v>*</v>
      </c>
    </row>
    <row r="660" spans="1:30">
      <c r="A660" s="30">
        <v>4532</v>
      </c>
      <c r="B660" s="30" t="s">
        <v>4259</v>
      </c>
      <c r="C660" s="30" t="s">
        <v>4260</v>
      </c>
      <c r="D660" s="30" t="s">
        <v>106</v>
      </c>
      <c r="E660" s="30"/>
      <c r="F660" s="30" t="s">
        <v>107</v>
      </c>
      <c r="G660" s="30" t="s">
        <v>106</v>
      </c>
      <c r="H660" s="30"/>
      <c r="I660" s="30" t="s">
        <v>192</v>
      </c>
      <c r="J660" s="30" t="s">
        <v>3010</v>
      </c>
      <c r="K660" s="30"/>
      <c r="L660" s="30" t="s">
        <v>108</v>
      </c>
      <c r="M660" s="30" t="s">
        <v>113</v>
      </c>
      <c r="N660" s="30" t="s">
        <v>114</v>
      </c>
      <c r="O660" s="30" t="s">
        <v>115</v>
      </c>
      <c r="P660" s="30" t="s">
        <v>112</v>
      </c>
      <c r="Q660" s="30" t="s">
        <v>112</v>
      </c>
      <c r="R660" s="30" t="s">
        <v>185</v>
      </c>
      <c r="S660" s="81">
        <f>HLOOKUP(L660,データについて!$J$6:$M$18,13,FALSE)</f>
        <v>1</v>
      </c>
      <c r="T660" s="81">
        <f>HLOOKUP(M660,データについて!$J$7:$M$18,12,FALSE)</f>
        <v>1</v>
      </c>
      <c r="U660" s="81">
        <f>HLOOKUP(N660,データについて!$J$8:$M$18,11,FALSE)</f>
        <v>1</v>
      </c>
      <c r="V660" s="81">
        <f>HLOOKUP(O660,データについて!$J$9:$M$18,10,FALSE)</f>
        <v>1</v>
      </c>
      <c r="W660" s="81">
        <f>HLOOKUP(P660,データについて!$J$10:$M$18,9,FALSE)</f>
        <v>1</v>
      </c>
      <c r="X660" s="81">
        <f>HLOOKUP(Q660,データについて!$J$11:$M$18,8,FALSE)</f>
        <v>1</v>
      </c>
      <c r="Y660" s="81">
        <f>HLOOKUP(R660,データについて!$J$12:$M$18,7,FALSE)</f>
        <v>2</v>
      </c>
      <c r="Z660" s="81">
        <f>HLOOKUP(I660,データについて!$J$3:$M$18,16,FALSE)</f>
        <v>1</v>
      </c>
      <c r="AA660" s="81">
        <f>IFERROR(HLOOKUP(J660,データについて!$J$4:$AH$19,16,FALSE),"")</f>
        <v>12</v>
      </c>
      <c r="AB660" s="81" t="str">
        <f>IFERROR(HLOOKUP(K660,データについて!$J$5:$AH$20,14,FALSE),"")</f>
        <v/>
      </c>
      <c r="AC660" s="81">
        <f>IF(X660=1,HLOOKUP(R660,データについて!$J$12:$M$18,7,FALSE),"*")</f>
        <v>2</v>
      </c>
      <c r="AD660" s="81" t="str">
        <f>IF(X660=2,HLOOKUP(R660,データについて!$J$12:$M$18,7,FALSE),"*")</f>
        <v>*</v>
      </c>
    </row>
    <row r="661" spans="1:30">
      <c r="A661" s="30">
        <v>4531</v>
      </c>
      <c r="B661" s="30" t="s">
        <v>4261</v>
      </c>
      <c r="C661" s="30" t="s">
        <v>4260</v>
      </c>
      <c r="D661" s="30" t="s">
        <v>106</v>
      </c>
      <c r="E661" s="30"/>
      <c r="F661" s="30" t="s">
        <v>107</v>
      </c>
      <c r="G661" s="30" t="s">
        <v>106</v>
      </c>
      <c r="H661" s="30"/>
      <c r="I661" s="30" t="s">
        <v>191</v>
      </c>
      <c r="J661" s="30"/>
      <c r="K661" s="30" t="s">
        <v>126</v>
      </c>
      <c r="L661" s="30" t="s">
        <v>108</v>
      </c>
      <c r="M661" s="30" t="s">
        <v>124</v>
      </c>
      <c r="N661" s="30" t="s">
        <v>110</v>
      </c>
      <c r="O661" s="30" t="s">
        <v>115</v>
      </c>
      <c r="P661" s="30" t="s">
        <v>118</v>
      </c>
      <c r="Q661" s="30" t="s">
        <v>118</v>
      </c>
      <c r="R661" s="30" t="s">
        <v>189</v>
      </c>
      <c r="S661" s="81">
        <f>HLOOKUP(L661,データについて!$J$6:$M$18,13,FALSE)</f>
        <v>1</v>
      </c>
      <c r="T661" s="81">
        <f>HLOOKUP(M661,データについて!$J$7:$M$18,12,FALSE)</f>
        <v>3</v>
      </c>
      <c r="U661" s="81">
        <f>HLOOKUP(N661,データについて!$J$8:$M$18,11,FALSE)</f>
        <v>2</v>
      </c>
      <c r="V661" s="81">
        <f>HLOOKUP(O661,データについて!$J$9:$M$18,10,FALSE)</f>
        <v>1</v>
      </c>
      <c r="W661" s="81">
        <f>HLOOKUP(P661,データについて!$J$10:$M$18,9,FALSE)</f>
        <v>2</v>
      </c>
      <c r="X661" s="81">
        <f>HLOOKUP(Q661,データについて!$J$11:$M$18,8,FALSE)</f>
        <v>2</v>
      </c>
      <c r="Y661" s="81">
        <f>HLOOKUP(R661,データについて!$J$12:$M$18,7,FALSE)</f>
        <v>4</v>
      </c>
      <c r="Z661" s="81">
        <f>HLOOKUP(I661,データについて!$J$3:$M$18,16,FALSE)</f>
        <v>2</v>
      </c>
      <c r="AA661" s="81" t="str">
        <f>IFERROR(HLOOKUP(J661,データについて!$J$4:$AH$19,16,FALSE),"")</f>
        <v/>
      </c>
      <c r="AB661" s="81">
        <f>IFERROR(HLOOKUP(K661,データについて!$J$5:$AH$20,14,FALSE),"")</f>
        <v>0</v>
      </c>
      <c r="AC661" s="81" t="str">
        <f>IF(X661=1,HLOOKUP(R661,データについて!$J$12:$M$18,7,FALSE),"*")</f>
        <v>*</v>
      </c>
      <c r="AD661" s="81">
        <f>IF(X661=2,HLOOKUP(R661,データについて!$J$12:$M$18,7,FALSE),"*")</f>
        <v>4</v>
      </c>
    </row>
    <row r="662" spans="1:30">
      <c r="A662" s="30">
        <v>4530</v>
      </c>
      <c r="B662" s="30" t="s">
        <v>4262</v>
      </c>
      <c r="C662" s="30" t="s">
        <v>4263</v>
      </c>
      <c r="D662" s="30" t="s">
        <v>106</v>
      </c>
      <c r="E662" s="30"/>
      <c r="F662" s="30" t="s">
        <v>107</v>
      </c>
      <c r="G662" s="30" t="s">
        <v>106</v>
      </c>
      <c r="H662" s="30"/>
      <c r="I662" s="30" t="s">
        <v>191</v>
      </c>
      <c r="J662" s="30"/>
      <c r="K662" s="30" t="s">
        <v>126</v>
      </c>
      <c r="L662" s="30" t="s">
        <v>117</v>
      </c>
      <c r="M662" s="30" t="s">
        <v>113</v>
      </c>
      <c r="N662" s="30" t="s">
        <v>114</v>
      </c>
      <c r="O662" s="30" t="s">
        <v>115</v>
      </c>
      <c r="P662" s="30" t="s">
        <v>118</v>
      </c>
      <c r="Q662" s="30" t="s">
        <v>112</v>
      </c>
      <c r="R662" s="30" t="s">
        <v>183</v>
      </c>
      <c r="S662" s="81">
        <f>HLOOKUP(L662,データについて!$J$6:$M$18,13,FALSE)</f>
        <v>2</v>
      </c>
      <c r="T662" s="81">
        <f>HLOOKUP(M662,データについて!$J$7:$M$18,12,FALSE)</f>
        <v>1</v>
      </c>
      <c r="U662" s="81">
        <f>HLOOKUP(N662,データについて!$J$8:$M$18,11,FALSE)</f>
        <v>1</v>
      </c>
      <c r="V662" s="81">
        <f>HLOOKUP(O662,データについて!$J$9:$M$18,10,FALSE)</f>
        <v>1</v>
      </c>
      <c r="W662" s="81">
        <f>HLOOKUP(P662,データについて!$J$10:$M$18,9,FALSE)</f>
        <v>2</v>
      </c>
      <c r="X662" s="81">
        <f>HLOOKUP(Q662,データについて!$J$11:$M$18,8,FALSE)</f>
        <v>1</v>
      </c>
      <c r="Y662" s="81">
        <f>HLOOKUP(R662,データについて!$J$12:$M$18,7,FALSE)</f>
        <v>1</v>
      </c>
      <c r="Z662" s="81">
        <f>HLOOKUP(I662,データについて!$J$3:$M$18,16,FALSE)</f>
        <v>2</v>
      </c>
      <c r="AA662" s="81" t="str">
        <f>IFERROR(HLOOKUP(J662,データについて!$J$4:$AH$19,16,FALSE),"")</f>
        <v/>
      </c>
      <c r="AB662" s="81">
        <f>IFERROR(HLOOKUP(K662,データについて!$J$5:$AH$20,14,FALSE),"")</f>
        <v>0</v>
      </c>
      <c r="AC662" s="81">
        <f>IF(X662=1,HLOOKUP(R662,データについて!$J$12:$M$18,7,FALSE),"*")</f>
        <v>1</v>
      </c>
      <c r="AD662" s="81" t="str">
        <f>IF(X662=2,HLOOKUP(R662,データについて!$J$12:$M$18,7,FALSE),"*")</f>
        <v>*</v>
      </c>
    </row>
    <row r="663" spans="1:30">
      <c r="A663" s="30">
        <v>4529</v>
      </c>
      <c r="B663" s="30" t="s">
        <v>4264</v>
      </c>
      <c r="C663" s="30" t="s">
        <v>4263</v>
      </c>
      <c r="D663" s="30" t="s">
        <v>106</v>
      </c>
      <c r="E663" s="30"/>
      <c r="F663" s="30" t="s">
        <v>107</v>
      </c>
      <c r="G663" s="30" t="s">
        <v>106</v>
      </c>
      <c r="H663" s="30"/>
      <c r="I663" s="30" t="s">
        <v>192</v>
      </c>
      <c r="J663" s="30" t="s">
        <v>3010</v>
      </c>
      <c r="K663" s="30"/>
      <c r="L663" s="30" t="s">
        <v>108</v>
      </c>
      <c r="M663" s="30" t="s">
        <v>121</v>
      </c>
      <c r="N663" s="30" t="s">
        <v>110</v>
      </c>
      <c r="O663" s="30" t="s">
        <v>115</v>
      </c>
      <c r="P663" s="30" t="s">
        <v>112</v>
      </c>
      <c r="Q663" s="30" t="s">
        <v>118</v>
      </c>
      <c r="R663" s="30" t="s">
        <v>189</v>
      </c>
      <c r="S663" s="81">
        <f>HLOOKUP(L663,データについて!$J$6:$M$18,13,FALSE)</f>
        <v>1</v>
      </c>
      <c r="T663" s="81">
        <f>HLOOKUP(M663,データについて!$J$7:$M$18,12,FALSE)</f>
        <v>4</v>
      </c>
      <c r="U663" s="81">
        <f>HLOOKUP(N663,データについて!$J$8:$M$18,11,FALSE)</f>
        <v>2</v>
      </c>
      <c r="V663" s="81">
        <f>HLOOKUP(O663,データについて!$J$9:$M$18,10,FALSE)</f>
        <v>1</v>
      </c>
      <c r="W663" s="81">
        <f>HLOOKUP(P663,データについて!$J$10:$M$18,9,FALSE)</f>
        <v>1</v>
      </c>
      <c r="X663" s="81">
        <f>HLOOKUP(Q663,データについて!$J$11:$M$18,8,FALSE)</f>
        <v>2</v>
      </c>
      <c r="Y663" s="81">
        <f>HLOOKUP(R663,データについて!$J$12:$M$18,7,FALSE)</f>
        <v>4</v>
      </c>
      <c r="Z663" s="81">
        <f>HLOOKUP(I663,データについて!$J$3:$M$18,16,FALSE)</f>
        <v>1</v>
      </c>
      <c r="AA663" s="81">
        <f>IFERROR(HLOOKUP(J663,データについて!$J$4:$AH$19,16,FALSE),"")</f>
        <v>12</v>
      </c>
      <c r="AB663" s="81" t="str">
        <f>IFERROR(HLOOKUP(K663,データについて!$J$5:$AH$20,14,FALSE),"")</f>
        <v/>
      </c>
      <c r="AC663" s="81" t="str">
        <f>IF(X663=1,HLOOKUP(R663,データについて!$J$12:$M$18,7,FALSE),"*")</f>
        <v>*</v>
      </c>
      <c r="AD663" s="81">
        <f>IF(X663=2,HLOOKUP(R663,データについて!$J$12:$M$18,7,FALSE),"*")</f>
        <v>4</v>
      </c>
    </row>
    <row r="664" spans="1:30">
      <c r="A664" s="30">
        <v>4528</v>
      </c>
      <c r="B664" s="30" t="s">
        <v>4265</v>
      </c>
      <c r="C664" s="30" t="s">
        <v>4266</v>
      </c>
      <c r="D664" s="30" t="s">
        <v>106</v>
      </c>
      <c r="E664" s="30"/>
      <c r="F664" s="30" t="s">
        <v>107</v>
      </c>
      <c r="G664" s="30" t="s">
        <v>106</v>
      </c>
      <c r="H664" s="30"/>
      <c r="I664" s="30" t="s">
        <v>192</v>
      </c>
      <c r="J664" s="30" t="s">
        <v>3010</v>
      </c>
      <c r="K664" s="30"/>
      <c r="L664" s="30" t="s">
        <v>108</v>
      </c>
      <c r="M664" s="30" t="s">
        <v>113</v>
      </c>
      <c r="N664" s="30" t="s">
        <v>114</v>
      </c>
      <c r="O664" s="30" t="s">
        <v>115</v>
      </c>
      <c r="P664" s="30" t="s">
        <v>112</v>
      </c>
      <c r="Q664" s="30" t="s">
        <v>112</v>
      </c>
      <c r="R664" s="30" t="s">
        <v>185</v>
      </c>
      <c r="S664" s="81">
        <f>HLOOKUP(L664,データについて!$J$6:$M$18,13,FALSE)</f>
        <v>1</v>
      </c>
      <c r="T664" s="81">
        <f>HLOOKUP(M664,データについて!$J$7:$M$18,12,FALSE)</f>
        <v>1</v>
      </c>
      <c r="U664" s="81">
        <f>HLOOKUP(N664,データについて!$J$8:$M$18,11,FALSE)</f>
        <v>1</v>
      </c>
      <c r="V664" s="81">
        <f>HLOOKUP(O664,データについて!$J$9:$M$18,10,FALSE)</f>
        <v>1</v>
      </c>
      <c r="W664" s="81">
        <f>HLOOKUP(P664,データについて!$J$10:$M$18,9,FALSE)</f>
        <v>1</v>
      </c>
      <c r="X664" s="81">
        <f>HLOOKUP(Q664,データについて!$J$11:$M$18,8,FALSE)</f>
        <v>1</v>
      </c>
      <c r="Y664" s="81">
        <f>HLOOKUP(R664,データについて!$J$12:$M$18,7,FALSE)</f>
        <v>2</v>
      </c>
      <c r="Z664" s="81">
        <f>HLOOKUP(I664,データについて!$J$3:$M$18,16,FALSE)</f>
        <v>1</v>
      </c>
      <c r="AA664" s="81">
        <f>IFERROR(HLOOKUP(J664,データについて!$J$4:$AH$19,16,FALSE),"")</f>
        <v>12</v>
      </c>
      <c r="AB664" s="81" t="str">
        <f>IFERROR(HLOOKUP(K664,データについて!$J$5:$AH$20,14,FALSE),"")</f>
        <v/>
      </c>
      <c r="AC664" s="81">
        <f>IF(X664=1,HLOOKUP(R664,データについて!$J$12:$M$18,7,FALSE),"*")</f>
        <v>2</v>
      </c>
      <c r="AD664" s="81" t="str">
        <f>IF(X664=2,HLOOKUP(R664,データについて!$J$12:$M$18,7,FALSE),"*")</f>
        <v>*</v>
      </c>
    </row>
    <row r="665" spans="1:30">
      <c r="A665" s="30">
        <v>4527</v>
      </c>
      <c r="B665" s="30" t="s">
        <v>4267</v>
      </c>
      <c r="C665" s="30" t="s">
        <v>4268</v>
      </c>
      <c r="D665" s="30" t="s">
        <v>106</v>
      </c>
      <c r="E665" s="30"/>
      <c r="F665" s="30" t="s">
        <v>107</v>
      </c>
      <c r="G665" s="30" t="s">
        <v>106</v>
      </c>
      <c r="H665" s="30"/>
      <c r="I665" s="30" t="s">
        <v>191</v>
      </c>
      <c r="J665" s="30"/>
      <c r="K665" s="30" t="s">
        <v>126</v>
      </c>
      <c r="L665" s="30" t="s">
        <v>117</v>
      </c>
      <c r="M665" s="30" t="s">
        <v>113</v>
      </c>
      <c r="N665" s="30" t="s">
        <v>110</v>
      </c>
      <c r="O665" s="30" t="s">
        <v>115</v>
      </c>
      <c r="P665" s="30" t="s">
        <v>112</v>
      </c>
      <c r="Q665" s="30" t="s">
        <v>112</v>
      </c>
      <c r="R665" s="30" t="s">
        <v>183</v>
      </c>
      <c r="S665" s="81">
        <f>HLOOKUP(L665,データについて!$J$6:$M$18,13,FALSE)</f>
        <v>2</v>
      </c>
      <c r="T665" s="81">
        <f>HLOOKUP(M665,データについて!$J$7:$M$18,12,FALSE)</f>
        <v>1</v>
      </c>
      <c r="U665" s="81">
        <f>HLOOKUP(N665,データについて!$J$8:$M$18,11,FALSE)</f>
        <v>2</v>
      </c>
      <c r="V665" s="81">
        <f>HLOOKUP(O665,データについて!$J$9:$M$18,10,FALSE)</f>
        <v>1</v>
      </c>
      <c r="W665" s="81">
        <f>HLOOKUP(P665,データについて!$J$10:$M$18,9,FALSE)</f>
        <v>1</v>
      </c>
      <c r="X665" s="81">
        <f>HLOOKUP(Q665,データについて!$J$11:$M$18,8,FALSE)</f>
        <v>1</v>
      </c>
      <c r="Y665" s="81">
        <f>HLOOKUP(R665,データについて!$J$12:$M$18,7,FALSE)</f>
        <v>1</v>
      </c>
      <c r="Z665" s="81">
        <f>HLOOKUP(I665,データについて!$J$3:$M$18,16,FALSE)</f>
        <v>2</v>
      </c>
      <c r="AA665" s="81" t="str">
        <f>IFERROR(HLOOKUP(J665,データについて!$J$4:$AH$19,16,FALSE),"")</f>
        <v/>
      </c>
      <c r="AB665" s="81">
        <f>IFERROR(HLOOKUP(K665,データについて!$J$5:$AH$20,14,FALSE),"")</f>
        <v>0</v>
      </c>
      <c r="AC665" s="81">
        <f>IF(X665=1,HLOOKUP(R665,データについて!$J$12:$M$18,7,FALSE),"*")</f>
        <v>1</v>
      </c>
      <c r="AD665" s="81" t="str">
        <f>IF(X665=2,HLOOKUP(R665,データについて!$J$12:$M$18,7,FALSE),"*")</f>
        <v>*</v>
      </c>
    </row>
    <row r="666" spans="1:30">
      <c r="A666" s="30">
        <v>4526</v>
      </c>
      <c r="B666" s="30" t="s">
        <v>4269</v>
      </c>
      <c r="C666" s="30" t="s">
        <v>4270</v>
      </c>
      <c r="D666" s="30" t="s">
        <v>106</v>
      </c>
      <c r="E666" s="30"/>
      <c r="F666" s="30" t="s">
        <v>107</v>
      </c>
      <c r="G666" s="30" t="s">
        <v>106</v>
      </c>
      <c r="H666" s="30"/>
      <c r="I666" s="30" t="s">
        <v>191</v>
      </c>
      <c r="J666" s="30"/>
      <c r="K666" s="30" t="s">
        <v>126</v>
      </c>
      <c r="L666" s="30" t="s">
        <v>108</v>
      </c>
      <c r="M666" s="30" t="s">
        <v>109</v>
      </c>
      <c r="N666" s="30" t="s">
        <v>122</v>
      </c>
      <c r="O666" s="30" t="s">
        <v>115</v>
      </c>
      <c r="P666" s="30" t="s">
        <v>118</v>
      </c>
      <c r="Q666" s="30" t="s">
        <v>112</v>
      </c>
      <c r="R666" s="30" t="s">
        <v>185</v>
      </c>
      <c r="S666" s="81">
        <f>HLOOKUP(L666,データについて!$J$6:$M$18,13,FALSE)</f>
        <v>1</v>
      </c>
      <c r="T666" s="81">
        <f>HLOOKUP(M666,データについて!$J$7:$M$18,12,FALSE)</f>
        <v>2</v>
      </c>
      <c r="U666" s="81">
        <f>HLOOKUP(N666,データについて!$J$8:$M$18,11,FALSE)</f>
        <v>3</v>
      </c>
      <c r="V666" s="81">
        <f>HLOOKUP(O666,データについて!$J$9:$M$18,10,FALSE)</f>
        <v>1</v>
      </c>
      <c r="W666" s="81">
        <f>HLOOKUP(P666,データについて!$J$10:$M$18,9,FALSE)</f>
        <v>2</v>
      </c>
      <c r="X666" s="81">
        <f>HLOOKUP(Q666,データについて!$J$11:$M$18,8,FALSE)</f>
        <v>1</v>
      </c>
      <c r="Y666" s="81">
        <f>HLOOKUP(R666,データについて!$J$12:$M$18,7,FALSE)</f>
        <v>2</v>
      </c>
      <c r="Z666" s="81">
        <f>HLOOKUP(I666,データについて!$J$3:$M$18,16,FALSE)</f>
        <v>2</v>
      </c>
      <c r="AA666" s="81" t="str">
        <f>IFERROR(HLOOKUP(J666,データについて!$J$4:$AH$19,16,FALSE),"")</f>
        <v/>
      </c>
      <c r="AB666" s="81">
        <f>IFERROR(HLOOKUP(K666,データについて!$J$5:$AH$20,14,FALSE),"")</f>
        <v>0</v>
      </c>
      <c r="AC666" s="81">
        <f>IF(X666=1,HLOOKUP(R666,データについて!$J$12:$M$18,7,FALSE),"*")</f>
        <v>2</v>
      </c>
      <c r="AD666" s="81" t="str">
        <f>IF(X666=2,HLOOKUP(R666,データについて!$J$12:$M$18,7,FALSE),"*")</f>
        <v>*</v>
      </c>
    </row>
    <row r="667" spans="1:30">
      <c r="A667" s="30">
        <v>4525</v>
      </c>
      <c r="B667" s="30" t="s">
        <v>4271</v>
      </c>
      <c r="C667" s="30" t="s">
        <v>4272</v>
      </c>
      <c r="D667" s="30" t="s">
        <v>106</v>
      </c>
      <c r="E667" s="30"/>
      <c r="F667" s="30" t="s">
        <v>107</v>
      </c>
      <c r="G667" s="30" t="s">
        <v>106</v>
      </c>
      <c r="H667" s="30"/>
      <c r="I667" s="30" t="s">
        <v>191</v>
      </c>
      <c r="J667" s="30"/>
      <c r="K667" s="30" t="s">
        <v>126</v>
      </c>
      <c r="L667" s="30" t="s">
        <v>108</v>
      </c>
      <c r="M667" s="30" t="s">
        <v>113</v>
      </c>
      <c r="N667" s="30" t="s">
        <v>114</v>
      </c>
      <c r="O667" s="30" t="s">
        <v>115</v>
      </c>
      <c r="P667" s="30" t="s">
        <v>112</v>
      </c>
      <c r="Q667" s="30" t="s">
        <v>112</v>
      </c>
      <c r="R667" s="30" t="s">
        <v>185</v>
      </c>
      <c r="S667" s="81">
        <f>HLOOKUP(L667,データについて!$J$6:$M$18,13,FALSE)</f>
        <v>1</v>
      </c>
      <c r="T667" s="81">
        <f>HLOOKUP(M667,データについて!$J$7:$M$18,12,FALSE)</f>
        <v>1</v>
      </c>
      <c r="U667" s="81">
        <f>HLOOKUP(N667,データについて!$J$8:$M$18,11,FALSE)</f>
        <v>1</v>
      </c>
      <c r="V667" s="81">
        <f>HLOOKUP(O667,データについて!$J$9:$M$18,10,FALSE)</f>
        <v>1</v>
      </c>
      <c r="W667" s="81">
        <f>HLOOKUP(P667,データについて!$J$10:$M$18,9,FALSE)</f>
        <v>1</v>
      </c>
      <c r="X667" s="81">
        <f>HLOOKUP(Q667,データについて!$J$11:$M$18,8,FALSE)</f>
        <v>1</v>
      </c>
      <c r="Y667" s="81">
        <f>HLOOKUP(R667,データについて!$J$12:$M$18,7,FALSE)</f>
        <v>2</v>
      </c>
      <c r="Z667" s="81">
        <f>HLOOKUP(I667,データについて!$J$3:$M$18,16,FALSE)</f>
        <v>2</v>
      </c>
      <c r="AA667" s="81" t="str">
        <f>IFERROR(HLOOKUP(J667,データについて!$J$4:$AH$19,16,FALSE),"")</f>
        <v/>
      </c>
      <c r="AB667" s="81">
        <f>IFERROR(HLOOKUP(K667,データについて!$J$5:$AH$20,14,FALSE),"")</f>
        <v>0</v>
      </c>
      <c r="AC667" s="81">
        <f>IF(X667=1,HLOOKUP(R667,データについて!$J$12:$M$18,7,FALSE),"*")</f>
        <v>2</v>
      </c>
      <c r="AD667" s="81" t="str">
        <f>IF(X667=2,HLOOKUP(R667,データについて!$J$12:$M$18,7,FALSE),"*")</f>
        <v>*</v>
      </c>
    </row>
    <row r="668" spans="1:30">
      <c r="A668" s="30">
        <v>4524</v>
      </c>
      <c r="B668" s="30" t="s">
        <v>4273</v>
      </c>
      <c r="C668" s="30" t="s">
        <v>4274</v>
      </c>
      <c r="D668" s="30" t="s">
        <v>106</v>
      </c>
      <c r="E668" s="30"/>
      <c r="F668" s="30" t="s">
        <v>107</v>
      </c>
      <c r="G668" s="30" t="s">
        <v>106</v>
      </c>
      <c r="H668" s="30"/>
      <c r="I668" s="30" t="s">
        <v>191</v>
      </c>
      <c r="J668" s="30"/>
      <c r="K668" s="30" t="s">
        <v>126</v>
      </c>
      <c r="L668" s="30" t="s">
        <v>117</v>
      </c>
      <c r="M668" s="30" t="s">
        <v>109</v>
      </c>
      <c r="N668" s="30" t="s">
        <v>114</v>
      </c>
      <c r="O668" s="30" t="s">
        <v>111</v>
      </c>
      <c r="P668" s="30" t="s">
        <v>112</v>
      </c>
      <c r="Q668" s="30" t="s">
        <v>112</v>
      </c>
      <c r="R668" s="30" t="s">
        <v>185</v>
      </c>
      <c r="S668" s="81">
        <f>HLOOKUP(L668,データについて!$J$6:$M$18,13,FALSE)</f>
        <v>2</v>
      </c>
      <c r="T668" s="81">
        <f>HLOOKUP(M668,データについて!$J$7:$M$18,12,FALSE)</f>
        <v>2</v>
      </c>
      <c r="U668" s="81">
        <f>HLOOKUP(N668,データについて!$J$8:$M$18,11,FALSE)</f>
        <v>1</v>
      </c>
      <c r="V668" s="81">
        <f>HLOOKUP(O668,データについて!$J$9:$M$18,10,FALSE)</f>
        <v>3</v>
      </c>
      <c r="W668" s="81">
        <f>HLOOKUP(P668,データについて!$J$10:$M$18,9,FALSE)</f>
        <v>1</v>
      </c>
      <c r="X668" s="81">
        <f>HLOOKUP(Q668,データについて!$J$11:$M$18,8,FALSE)</f>
        <v>1</v>
      </c>
      <c r="Y668" s="81">
        <f>HLOOKUP(R668,データについて!$J$12:$M$18,7,FALSE)</f>
        <v>2</v>
      </c>
      <c r="Z668" s="81">
        <f>HLOOKUP(I668,データについて!$J$3:$M$18,16,FALSE)</f>
        <v>2</v>
      </c>
      <c r="AA668" s="81" t="str">
        <f>IFERROR(HLOOKUP(J668,データについて!$J$4:$AH$19,16,FALSE),"")</f>
        <v/>
      </c>
      <c r="AB668" s="81">
        <f>IFERROR(HLOOKUP(K668,データについて!$J$5:$AH$20,14,FALSE),"")</f>
        <v>0</v>
      </c>
      <c r="AC668" s="81">
        <f>IF(X668=1,HLOOKUP(R668,データについて!$J$12:$M$18,7,FALSE),"*")</f>
        <v>2</v>
      </c>
      <c r="AD668" s="81" t="str">
        <f>IF(X668=2,HLOOKUP(R668,データについて!$J$12:$M$18,7,FALSE),"*")</f>
        <v>*</v>
      </c>
    </row>
    <row r="669" spans="1:30">
      <c r="A669" s="30">
        <v>4523</v>
      </c>
      <c r="B669" s="30" t="s">
        <v>4275</v>
      </c>
      <c r="C669" s="30" t="s">
        <v>4276</v>
      </c>
      <c r="D669" s="30" t="s">
        <v>106</v>
      </c>
      <c r="E669" s="30"/>
      <c r="F669" s="30" t="s">
        <v>107</v>
      </c>
      <c r="G669" s="30" t="s">
        <v>106</v>
      </c>
      <c r="H669" s="30"/>
      <c r="I669" s="30" t="s">
        <v>192</v>
      </c>
      <c r="J669" s="30" t="s">
        <v>3010</v>
      </c>
      <c r="K669" s="30"/>
      <c r="L669" s="30" t="s">
        <v>117</v>
      </c>
      <c r="M669" s="30" t="s">
        <v>109</v>
      </c>
      <c r="N669" s="30" t="s">
        <v>110</v>
      </c>
      <c r="O669" s="30" t="s">
        <v>115</v>
      </c>
      <c r="P669" s="30" t="s">
        <v>112</v>
      </c>
      <c r="Q669" s="30" t="s">
        <v>112</v>
      </c>
      <c r="R669" s="30" t="s">
        <v>187</v>
      </c>
      <c r="S669" s="81">
        <f>HLOOKUP(L669,データについて!$J$6:$M$18,13,FALSE)</f>
        <v>2</v>
      </c>
      <c r="T669" s="81">
        <f>HLOOKUP(M669,データについて!$J$7:$M$18,12,FALSE)</f>
        <v>2</v>
      </c>
      <c r="U669" s="81">
        <f>HLOOKUP(N669,データについて!$J$8:$M$18,11,FALSE)</f>
        <v>2</v>
      </c>
      <c r="V669" s="81">
        <f>HLOOKUP(O669,データについて!$J$9:$M$18,10,FALSE)</f>
        <v>1</v>
      </c>
      <c r="W669" s="81">
        <f>HLOOKUP(P669,データについて!$J$10:$M$18,9,FALSE)</f>
        <v>1</v>
      </c>
      <c r="X669" s="81">
        <f>HLOOKUP(Q669,データについて!$J$11:$M$18,8,FALSE)</f>
        <v>1</v>
      </c>
      <c r="Y669" s="81">
        <f>HLOOKUP(R669,データについて!$J$12:$M$18,7,FALSE)</f>
        <v>3</v>
      </c>
      <c r="Z669" s="81">
        <f>HLOOKUP(I669,データについて!$J$3:$M$18,16,FALSE)</f>
        <v>1</v>
      </c>
      <c r="AA669" s="81">
        <f>IFERROR(HLOOKUP(J669,データについて!$J$4:$AH$19,16,FALSE),"")</f>
        <v>12</v>
      </c>
      <c r="AB669" s="81" t="str">
        <f>IFERROR(HLOOKUP(K669,データについて!$J$5:$AH$20,14,FALSE),"")</f>
        <v/>
      </c>
      <c r="AC669" s="81">
        <f>IF(X669=1,HLOOKUP(R669,データについて!$J$12:$M$18,7,FALSE),"*")</f>
        <v>3</v>
      </c>
      <c r="AD669" s="81" t="str">
        <f>IF(X669=2,HLOOKUP(R669,データについて!$J$12:$M$18,7,FALSE),"*")</f>
        <v>*</v>
      </c>
    </row>
    <row r="670" spans="1:30">
      <c r="A670" s="30">
        <v>4522</v>
      </c>
      <c r="B670" s="30" t="s">
        <v>4277</v>
      </c>
      <c r="C670" s="30" t="s">
        <v>4278</v>
      </c>
      <c r="D670" s="30" t="s">
        <v>106</v>
      </c>
      <c r="E670" s="30"/>
      <c r="F670" s="30" t="s">
        <v>107</v>
      </c>
      <c r="G670" s="30" t="s">
        <v>106</v>
      </c>
      <c r="H670" s="30"/>
      <c r="I670" s="30" t="s">
        <v>191</v>
      </c>
      <c r="J670" s="30"/>
      <c r="K670" s="30" t="s">
        <v>126</v>
      </c>
      <c r="L670" s="30" t="s">
        <v>117</v>
      </c>
      <c r="M670" s="30" t="s">
        <v>124</v>
      </c>
      <c r="N670" s="30" t="s">
        <v>122</v>
      </c>
      <c r="O670" s="30" t="s">
        <v>116</v>
      </c>
      <c r="P670" s="30" t="s">
        <v>118</v>
      </c>
      <c r="Q670" s="30" t="s">
        <v>112</v>
      </c>
      <c r="R670" s="30" t="s">
        <v>187</v>
      </c>
      <c r="S670" s="81">
        <f>HLOOKUP(L670,データについて!$J$6:$M$18,13,FALSE)</f>
        <v>2</v>
      </c>
      <c r="T670" s="81">
        <f>HLOOKUP(M670,データについて!$J$7:$M$18,12,FALSE)</f>
        <v>3</v>
      </c>
      <c r="U670" s="81">
        <f>HLOOKUP(N670,データについて!$J$8:$M$18,11,FALSE)</f>
        <v>3</v>
      </c>
      <c r="V670" s="81">
        <f>HLOOKUP(O670,データについて!$J$9:$M$18,10,FALSE)</f>
        <v>2</v>
      </c>
      <c r="W670" s="81">
        <f>HLOOKUP(P670,データについて!$J$10:$M$18,9,FALSE)</f>
        <v>2</v>
      </c>
      <c r="X670" s="81">
        <f>HLOOKUP(Q670,データについて!$J$11:$M$18,8,FALSE)</f>
        <v>1</v>
      </c>
      <c r="Y670" s="81">
        <f>HLOOKUP(R670,データについて!$J$12:$M$18,7,FALSE)</f>
        <v>3</v>
      </c>
      <c r="Z670" s="81">
        <f>HLOOKUP(I670,データについて!$J$3:$M$18,16,FALSE)</f>
        <v>2</v>
      </c>
      <c r="AA670" s="81" t="str">
        <f>IFERROR(HLOOKUP(J670,データについて!$J$4:$AH$19,16,FALSE),"")</f>
        <v/>
      </c>
      <c r="AB670" s="81">
        <f>IFERROR(HLOOKUP(K670,データについて!$J$5:$AH$20,14,FALSE),"")</f>
        <v>0</v>
      </c>
      <c r="AC670" s="81">
        <f>IF(X670=1,HLOOKUP(R670,データについて!$J$12:$M$18,7,FALSE),"*")</f>
        <v>3</v>
      </c>
      <c r="AD670" s="81" t="str">
        <f>IF(X670=2,HLOOKUP(R670,データについて!$J$12:$M$18,7,FALSE),"*")</f>
        <v>*</v>
      </c>
    </row>
    <row r="671" spans="1:30">
      <c r="A671" s="30">
        <v>4521</v>
      </c>
      <c r="B671" s="30" t="s">
        <v>4279</v>
      </c>
      <c r="C671" s="30" t="s">
        <v>4280</v>
      </c>
      <c r="D671" s="30" t="s">
        <v>106</v>
      </c>
      <c r="E671" s="30"/>
      <c r="F671" s="30" t="s">
        <v>107</v>
      </c>
      <c r="G671" s="30" t="s">
        <v>106</v>
      </c>
      <c r="H671" s="30"/>
      <c r="I671" s="30" t="s">
        <v>191</v>
      </c>
      <c r="J671" s="30"/>
      <c r="K671" s="30" t="s">
        <v>126</v>
      </c>
      <c r="L671" s="30" t="s">
        <v>108</v>
      </c>
      <c r="M671" s="30" t="s">
        <v>124</v>
      </c>
      <c r="N671" s="30" t="s">
        <v>119</v>
      </c>
      <c r="O671" s="30" t="s">
        <v>116</v>
      </c>
      <c r="P671" s="30" t="s">
        <v>112</v>
      </c>
      <c r="Q671" s="30" t="s">
        <v>112</v>
      </c>
      <c r="R671" s="30" t="s">
        <v>185</v>
      </c>
      <c r="S671" s="81">
        <f>HLOOKUP(L671,データについて!$J$6:$M$18,13,FALSE)</f>
        <v>1</v>
      </c>
      <c r="T671" s="81">
        <f>HLOOKUP(M671,データについて!$J$7:$M$18,12,FALSE)</f>
        <v>3</v>
      </c>
      <c r="U671" s="81">
        <f>HLOOKUP(N671,データについて!$J$8:$M$18,11,FALSE)</f>
        <v>4</v>
      </c>
      <c r="V671" s="81">
        <f>HLOOKUP(O671,データについて!$J$9:$M$18,10,FALSE)</f>
        <v>2</v>
      </c>
      <c r="W671" s="81">
        <f>HLOOKUP(P671,データについて!$J$10:$M$18,9,FALSE)</f>
        <v>1</v>
      </c>
      <c r="X671" s="81">
        <f>HLOOKUP(Q671,データについて!$J$11:$M$18,8,FALSE)</f>
        <v>1</v>
      </c>
      <c r="Y671" s="81">
        <f>HLOOKUP(R671,データについて!$J$12:$M$18,7,FALSE)</f>
        <v>2</v>
      </c>
      <c r="Z671" s="81">
        <f>HLOOKUP(I671,データについて!$J$3:$M$18,16,FALSE)</f>
        <v>2</v>
      </c>
      <c r="AA671" s="81" t="str">
        <f>IFERROR(HLOOKUP(J671,データについて!$J$4:$AH$19,16,FALSE),"")</f>
        <v/>
      </c>
      <c r="AB671" s="81">
        <f>IFERROR(HLOOKUP(K671,データについて!$J$5:$AH$20,14,FALSE),"")</f>
        <v>0</v>
      </c>
      <c r="AC671" s="81">
        <f>IF(X671=1,HLOOKUP(R671,データについて!$J$12:$M$18,7,FALSE),"*")</f>
        <v>2</v>
      </c>
      <c r="AD671" s="81" t="str">
        <f>IF(X671=2,HLOOKUP(R671,データについて!$J$12:$M$18,7,FALSE),"*")</f>
        <v>*</v>
      </c>
    </row>
    <row r="672" spans="1:30">
      <c r="A672" s="30">
        <v>4520</v>
      </c>
      <c r="B672" s="30" t="s">
        <v>4281</v>
      </c>
      <c r="C672" s="30" t="s">
        <v>4280</v>
      </c>
      <c r="D672" s="30" t="s">
        <v>106</v>
      </c>
      <c r="E672" s="30"/>
      <c r="F672" s="30" t="s">
        <v>107</v>
      </c>
      <c r="G672" s="30" t="s">
        <v>106</v>
      </c>
      <c r="H672" s="30"/>
      <c r="I672" s="30" t="s">
        <v>191</v>
      </c>
      <c r="J672" s="30"/>
      <c r="K672" s="30" t="s">
        <v>126</v>
      </c>
      <c r="L672" s="30" t="s">
        <v>117</v>
      </c>
      <c r="M672" s="30" t="s">
        <v>113</v>
      </c>
      <c r="N672" s="30" t="s">
        <v>110</v>
      </c>
      <c r="O672" s="30" t="s">
        <v>115</v>
      </c>
      <c r="P672" s="30" t="s">
        <v>112</v>
      </c>
      <c r="Q672" s="30" t="s">
        <v>118</v>
      </c>
      <c r="R672" s="30" t="s">
        <v>187</v>
      </c>
      <c r="S672" s="81">
        <f>HLOOKUP(L672,データについて!$J$6:$M$18,13,FALSE)</f>
        <v>2</v>
      </c>
      <c r="T672" s="81">
        <f>HLOOKUP(M672,データについて!$J$7:$M$18,12,FALSE)</f>
        <v>1</v>
      </c>
      <c r="U672" s="81">
        <f>HLOOKUP(N672,データについて!$J$8:$M$18,11,FALSE)</f>
        <v>2</v>
      </c>
      <c r="V672" s="81">
        <f>HLOOKUP(O672,データについて!$J$9:$M$18,10,FALSE)</f>
        <v>1</v>
      </c>
      <c r="W672" s="81">
        <f>HLOOKUP(P672,データについて!$J$10:$M$18,9,FALSE)</f>
        <v>1</v>
      </c>
      <c r="X672" s="81">
        <f>HLOOKUP(Q672,データについて!$J$11:$M$18,8,FALSE)</f>
        <v>2</v>
      </c>
      <c r="Y672" s="81">
        <f>HLOOKUP(R672,データについて!$J$12:$M$18,7,FALSE)</f>
        <v>3</v>
      </c>
      <c r="Z672" s="81">
        <f>HLOOKUP(I672,データについて!$J$3:$M$18,16,FALSE)</f>
        <v>2</v>
      </c>
      <c r="AA672" s="81" t="str">
        <f>IFERROR(HLOOKUP(J672,データについて!$J$4:$AH$19,16,FALSE),"")</f>
        <v/>
      </c>
      <c r="AB672" s="81">
        <f>IFERROR(HLOOKUP(K672,データについて!$J$5:$AH$20,14,FALSE),"")</f>
        <v>0</v>
      </c>
      <c r="AC672" s="81" t="str">
        <f>IF(X672=1,HLOOKUP(R672,データについて!$J$12:$M$18,7,FALSE),"*")</f>
        <v>*</v>
      </c>
      <c r="AD672" s="81">
        <f>IF(X672=2,HLOOKUP(R672,データについて!$J$12:$M$18,7,FALSE),"*")</f>
        <v>3</v>
      </c>
    </row>
    <row r="673" spans="1:30">
      <c r="A673" s="30">
        <v>4519</v>
      </c>
      <c r="B673" s="30" t="s">
        <v>4282</v>
      </c>
      <c r="C673" s="30" t="s">
        <v>4280</v>
      </c>
      <c r="D673" s="30" t="s">
        <v>106</v>
      </c>
      <c r="E673" s="30"/>
      <c r="F673" s="30" t="s">
        <v>107</v>
      </c>
      <c r="G673" s="30" t="s">
        <v>106</v>
      </c>
      <c r="H673" s="30"/>
      <c r="I673" s="30" t="s">
        <v>192</v>
      </c>
      <c r="J673" s="30" t="s">
        <v>3010</v>
      </c>
      <c r="K673" s="30"/>
      <c r="L673" s="30" t="s">
        <v>108</v>
      </c>
      <c r="M673" s="30" t="s">
        <v>113</v>
      </c>
      <c r="N673" s="30" t="s">
        <v>110</v>
      </c>
      <c r="O673" s="30" t="s">
        <v>116</v>
      </c>
      <c r="P673" s="30" t="s">
        <v>112</v>
      </c>
      <c r="Q673" s="30" t="s">
        <v>112</v>
      </c>
      <c r="R673" s="30" t="s">
        <v>185</v>
      </c>
      <c r="S673" s="81">
        <f>HLOOKUP(L673,データについて!$J$6:$M$18,13,FALSE)</f>
        <v>1</v>
      </c>
      <c r="T673" s="81">
        <f>HLOOKUP(M673,データについて!$J$7:$M$18,12,FALSE)</f>
        <v>1</v>
      </c>
      <c r="U673" s="81">
        <f>HLOOKUP(N673,データについて!$J$8:$M$18,11,FALSE)</f>
        <v>2</v>
      </c>
      <c r="V673" s="81">
        <f>HLOOKUP(O673,データについて!$J$9:$M$18,10,FALSE)</f>
        <v>2</v>
      </c>
      <c r="W673" s="81">
        <f>HLOOKUP(P673,データについて!$J$10:$M$18,9,FALSE)</f>
        <v>1</v>
      </c>
      <c r="X673" s="81">
        <f>HLOOKUP(Q673,データについて!$J$11:$M$18,8,FALSE)</f>
        <v>1</v>
      </c>
      <c r="Y673" s="81">
        <f>HLOOKUP(R673,データについて!$J$12:$M$18,7,FALSE)</f>
        <v>2</v>
      </c>
      <c r="Z673" s="81">
        <f>HLOOKUP(I673,データについて!$J$3:$M$18,16,FALSE)</f>
        <v>1</v>
      </c>
      <c r="AA673" s="81">
        <f>IFERROR(HLOOKUP(J673,データについて!$J$4:$AH$19,16,FALSE),"")</f>
        <v>12</v>
      </c>
      <c r="AB673" s="81" t="str">
        <f>IFERROR(HLOOKUP(K673,データについて!$J$5:$AH$20,14,FALSE),"")</f>
        <v/>
      </c>
      <c r="AC673" s="81">
        <f>IF(X673=1,HLOOKUP(R673,データについて!$J$12:$M$18,7,FALSE),"*")</f>
        <v>2</v>
      </c>
      <c r="AD673" s="81" t="str">
        <f>IF(X673=2,HLOOKUP(R673,データについて!$J$12:$M$18,7,FALSE),"*")</f>
        <v>*</v>
      </c>
    </row>
    <row r="674" spans="1:30">
      <c r="A674" s="30">
        <v>4518</v>
      </c>
      <c r="B674" s="30" t="s">
        <v>4283</v>
      </c>
      <c r="C674" s="30" t="s">
        <v>4284</v>
      </c>
      <c r="D674" s="30" t="s">
        <v>106</v>
      </c>
      <c r="E674" s="30"/>
      <c r="F674" s="30" t="s">
        <v>107</v>
      </c>
      <c r="G674" s="30" t="s">
        <v>106</v>
      </c>
      <c r="H674" s="30"/>
      <c r="I674" s="30" t="s">
        <v>191</v>
      </c>
      <c r="J674" s="30"/>
      <c r="K674" s="30" t="s">
        <v>126</v>
      </c>
      <c r="L674" s="30" t="s">
        <v>108</v>
      </c>
      <c r="M674" s="30" t="s">
        <v>109</v>
      </c>
      <c r="N674" s="30" t="s">
        <v>110</v>
      </c>
      <c r="O674" s="30" t="s">
        <v>115</v>
      </c>
      <c r="P674" s="30" t="s">
        <v>118</v>
      </c>
      <c r="Q674" s="30" t="s">
        <v>112</v>
      </c>
      <c r="R674" s="30" t="s">
        <v>187</v>
      </c>
      <c r="S674" s="81">
        <f>HLOOKUP(L674,データについて!$J$6:$M$18,13,FALSE)</f>
        <v>1</v>
      </c>
      <c r="T674" s="81">
        <f>HLOOKUP(M674,データについて!$J$7:$M$18,12,FALSE)</f>
        <v>2</v>
      </c>
      <c r="U674" s="81">
        <f>HLOOKUP(N674,データについて!$J$8:$M$18,11,FALSE)</f>
        <v>2</v>
      </c>
      <c r="V674" s="81">
        <f>HLOOKUP(O674,データについて!$J$9:$M$18,10,FALSE)</f>
        <v>1</v>
      </c>
      <c r="W674" s="81">
        <f>HLOOKUP(P674,データについて!$J$10:$M$18,9,FALSE)</f>
        <v>2</v>
      </c>
      <c r="X674" s="81">
        <f>HLOOKUP(Q674,データについて!$J$11:$M$18,8,FALSE)</f>
        <v>1</v>
      </c>
      <c r="Y674" s="81">
        <f>HLOOKUP(R674,データについて!$J$12:$M$18,7,FALSE)</f>
        <v>3</v>
      </c>
      <c r="Z674" s="81">
        <f>HLOOKUP(I674,データについて!$J$3:$M$18,16,FALSE)</f>
        <v>2</v>
      </c>
      <c r="AA674" s="81" t="str">
        <f>IFERROR(HLOOKUP(J674,データについて!$J$4:$AH$19,16,FALSE),"")</f>
        <v/>
      </c>
      <c r="AB674" s="81">
        <f>IFERROR(HLOOKUP(K674,データについて!$J$5:$AH$20,14,FALSE),"")</f>
        <v>0</v>
      </c>
      <c r="AC674" s="81">
        <f>IF(X674=1,HLOOKUP(R674,データについて!$J$12:$M$18,7,FALSE),"*")</f>
        <v>3</v>
      </c>
      <c r="AD674" s="81" t="str">
        <f>IF(X674=2,HLOOKUP(R674,データについて!$J$12:$M$18,7,FALSE),"*")</f>
        <v>*</v>
      </c>
    </row>
    <row r="675" spans="1:30">
      <c r="A675" s="30">
        <v>4517</v>
      </c>
      <c r="B675" s="30" t="s">
        <v>4285</v>
      </c>
      <c r="C675" s="30" t="s">
        <v>4284</v>
      </c>
      <c r="D675" s="30" t="s">
        <v>106</v>
      </c>
      <c r="E675" s="30"/>
      <c r="F675" s="30" t="s">
        <v>107</v>
      </c>
      <c r="G675" s="30" t="s">
        <v>106</v>
      </c>
      <c r="H675" s="30"/>
      <c r="I675" s="30" t="s">
        <v>191</v>
      </c>
      <c r="J675" s="30"/>
      <c r="K675" s="30" t="s">
        <v>126</v>
      </c>
      <c r="L675" s="30" t="s">
        <v>117</v>
      </c>
      <c r="M675" s="30" t="s">
        <v>109</v>
      </c>
      <c r="N675" s="30" t="s">
        <v>114</v>
      </c>
      <c r="O675" s="30" t="s">
        <v>115</v>
      </c>
      <c r="P675" s="30" t="s">
        <v>118</v>
      </c>
      <c r="Q675" s="30" t="s">
        <v>112</v>
      </c>
      <c r="R675" s="30" t="s">
        <v>183</v>
      </c>
      <c r="S675" s="81">
        <f>HLOOKUP(L675,データについて!$J$6:$M$18,13,FALSE)</f>
        <v>2</v>
      </c>
      <c r="T675" s="81">
        <f>HLOOKUP(M675,データについて!$J$7:$M$18,12,FALSE)</f>
        <v>2</v>
      </c>
      <c r="U675" s="81">
        <f>HLOOKUP(N675,データについて!$J$8:$M$18,11,FALSE)</f>
        <v>1</v>
      </c>
      <c r="V675" s="81">
        <f>HLOOKUP(O675,データについて!$J$9:$M$18,10,FALSE)</f>
        <v>1</v>
      </c>
      <c r="W675" s="81">
        <f>HLOOKUP(P675,データについて!$J$10:$M$18,9,FALSE)</f>
        <v>2</v>
      </c>
      <c r="X675" s="81">
        <f>HLOOKUP(Q675,データについて!$J$11:$M$18,8,FALSE)</f>
        <v>1</v>
      </c>
      <c r="Y675" s="81">
        <f>HLOOKUP(R675,データについて!$J$12:$M$18,7,FALSE)</f>
        <v>1</v>
      </c>
      <c r="Z675" s="81">
        <f>HLOOKUP(I675,データについて!$J$3:$M$18,16,FALSE)</f>
        <v>2</v>
      </c>
      <c r="AA675" s="81" t="str">
        <f>IFERROR(HLOOKUP(J675,データについて!$J$4:$AH$19,16,FALSE),"")</f>
        <v/>
      </c>
      <c r="AB675" s="81">
        <f>IFERROR(HLOOKUP(K675,データについて!$J$5:$AH$20,14,FALSE),"")</f>
        <v>0</v>
      </c>
      <c r="AC675" s="81">
        <f>IF(X675=1,HLOOKUP(R675,データについて!$J$12:$M$18,7,FALSE),"*")</f>
        <v>1</v>
      </c>
      <c r="AD675" s="81" t="str">
        <f>IF(X675=2,HLOOKUP(R675,データについて!$J$12:$M$18,7,FALSE),"*")</f>
        <v>*</v>
      </c>
    </row>
    <row r="676" spans="1:30">
      <c r="A676" s="30">
        <v>4516</v>
      </c>
      <c r="B676" s="30" t="s">
        <v>4286</v>
      </c>
      <c r="C676" s="30" t="s">
        <v>4284</v>
      </c>
      <c r="D676" s="30" t="s">
        <v>106</v>
      </c>
      <c r="E676" s="30"/>
      <c r="F676" s="30" t="s">
        <v>107</v>
      </c>
      <c r="G676" s="30" t="s">
        <v>106</v>
      </c>
      <c r="H676" s="30"/>
      <c r="I676" s="30" t="s">
        <v>191</v>
      </c>
      <c r="J676" s="30"/>
      <c r="K676" s="30" t="s">
        <v>126</v>
      </c>
      <c r="L676" s="30" t="s">
        <v>108</v>
      </c>
      <c r="M676" s="30" t="s">
        <v>113</v>
      </c>
      <c r="N676" s="30" t="s">
        <v>114</v>
      </c>
      <c r="O676" s="30" t="s">
        <v>115</v>
      </c>
      <c r="P676" s="30" t="s">
        <v>112</v>
      </c>
      <c r="Q676" s="30" t="s">
        <v>112</v>
      </c>
      <c r="R676" s="30" t="s">
        <v>185</v>
      </c>
      <c r="S676" s="81">
        <f>HLOOKUP(L676,データについて!$J$6:$M$18,13,FALSE)</f>
        <v>1</v>
      </c>
      <c r="T676" s="81">
        <f>HLOOKUP(M676,データについて!$J$7:$M$18,12,FALSE)</f>
        <v>1</v>
      </c>
      <c r="U676" s="81">
        <f>HLOOKUP(N676,データについて!$J$8:$M$18,11,FALSE)</f>
        <v>1</v>
      </c>
      <c r="V676" s="81">
        <f>HLOOKUP(O676,データについて!$J$9:$M$18,10,FALSE)</f>
        <v>1</v>
      </c>
      <c r="W676" s="81">
        <f>HLOOKUP(P676,データについて!$J$10:$M$18,9,FALSE)</f>
        <v>1</v>
      </c>
      <c r="X676" s="81">
        <f>HLOOKUP(Q676,データについて!$J$11:$M$18,8,FALSE)</f>
        <v>1</v>
      </c>
      <c r="Y676" s="81">
        <f>HLOOKUP(R676,データについて!$J$12:$M$18,7,FALSE)</f>
        <v>2</v>
      </c>
      <c r="Z676" s="81">
        <f>HLOOKUP(I676,データについて!$J$3:$M$18,16,FALSE)</f>
        <v>2</v>
      </c>
      <c r="AA676" s="81" t="str">
        <f>IFERROR(HLOOKUP(J676,データについて!$J$4:$AH$19,16,FALSE),"")</f>
        <v/>
      </c>
      <c r="AB676" s="81">
        <f>IFERROR(HLOOKUP(K676,データについて!$J$5:$AH$20,14,FALSE),"")</f>
        <v>0</v>
      </c>
      <c r="AC676" s="81">
        <f>IF(X676=1,HLOOKUP(R676,データについて!$J$12:$M$18,7,FALSE),"*")</f>
        <v>2</v>
      </c>
      <c r="AD676" s="81" t="str">
        <f>IF(X676=2,HLOOKUP(R676,データについて!$J$12:$M$18,7,FALSE),"*")</f>
        <v>*</v>
      </c>
    </row>
    <row r="677" spans="1:30">
      <c r="A677" s="30">
        <v>4515</v>
      </c>
      <c r="B677" s="30" t="s">
        <v>4287</v>
      </c>
      <c r="C677" s="30" t="s">
        <v>4288</v>
      </c>
      <c r="D677" s="30" t="s">
        <v>106</v>
      </c>
      <c r="E677" s="30"/>
      <c r="F677" s="30" t="s">
        <v>107</v>
      </c>
      <c r="G677" s="30" t="s">
        <v>106</v>
      </c>
      <c r="H677" s="30"/>
      <c r="I677" s="30" t="s">
        <v>192</v>
      </c>
      <c r="J677" s="30" t="s">
        <v>3010</v>
      </c>
      <c r="K677" s="30"/>
      <c r="L677" s="30" t="s">
        <v>108</v>
      </c>
      <c r="M677" s="30" t="s">
        <v>113</v>
      </c>
      <c r="N677" s="30" t="s">
        <v>114</v>
      </c>
      <c r="O677" s="30" t="s">
        <v>115</v>
      </c>
      <c r="P677" s="30" t="s">
        <v>112</v>
      </c>
      <c r="Q677" s="30" t="s">
        <v>118</v>
      </c>
      <c r="R677" s="30" t="s">
        <v>183</v>
      </c>
      <c r="S677" s="81">
        <f>HLOOKUP(L677,データについて!$J$6:$M$18,13,FALSE)</f>
        <v>1</v>
      </c>
      <c r="T677" s="81">
        <f>HLOOKUP(M677,データについて!$J$7:$M$18,12,FALSE)</f>
        <v>1</v>
      </c>
      <c r="U677" s="81">
        <f>HLOOKUP(N677,データについて!$J$8:$M$18,11,FALSE)</f>
        <v>1</v>
      </c>
      <c r="V677" s="81">
        <f>HLOOKUP(O677,データについて!$J$9:$M$18,10,FALSE)</f>
        <v>1</v>
      </c>
      <c r="W677" s="81">
        <f>HLOOKUP(P677,データについて!$J$10:$M$18,9,FALSE)</f>
        <v>1</v>
      </c>
      <c r="X677" s="81">
        <f>HLOOKUP(Q677,データについて!$J$11:$M$18,8,FALSE)</f>
        <v>2</v>
      </c>
      <c r="Y677" s="81">
        <f>HLOOKUP(R677,データについて!$J$12:$M$18,7,FALSE)</f>
        <v>1</v>
      </c>
      <c r="Z677" s="81">
        <f>HLOOKUP(I677,データについて!$J$3:$M$18,16,FALSE)</f>
        <v>1</v>
      </c>
      <c r="AA677" s="81">
        <f>IFERROR(HLOOKUP(J677,データについて!$J$4:$AH$19,16,FALSE),"")</f>
        <v>12</v>
      </c>
      <c r="AB677" s="81" t="str">
        <f>IFERROR(HLOOKUP(K677,データについて!$J$5:$AH$20,14,FALSE),"")</f>
        <v/>
      </c>
      <c r="AC677" s="81" t="str">
        <f>IF(X677=1,HLOOKUP(R677,データについて!$J$12:$M$18,7,FALSE),"*")</f>
        <v>*</v>
      </c>
      <c r="AD677" s="81">
        <f>IF(X677=2,HLOOKUP(R677,データについて!$J$12:$M$18,7,FALSE),"*")</f>
        <v>1</v>
      </c>
    </row>
    <row r="678" spans="1:30">
      <c r="A678" s="30">
        <v>4514</v>
      </c>
      <c r="B678" s="30" t="s">
        <v>4289</v>
      </c>
      <c r="C678" s="30" t="s">
        <v>4290</v>
      </c>
      <c r="D678" s="30" t="s">
        <v>106</v>
      </c>
      <c r="E678" s="30"/>
      <c r="F678" s="30" t="s">
        <v>107</v>
      </c>
      <c r="G678" s="30" t="s">
        <v>106</v>
      </c>
      <c r="H678" s="30"/>
      <c r="I678" s="30" t="s">
        <v>191</v>
      </c>
      <c r="J678" s="30"/>
      <c r="K678" s="30" t="s">
        <v>126</v>
      </c>
      <c r="L678" s="30" t="s">
        <v>108</v>
      </c>
      <c r="M678" s="30" t="s">
        <v>113</v>
      </c>
      <c r="N678" s="30" t="s">
        <v>122</v>
      </c>
      <c r="O678" s="30" t="s">
        <v>115</v>
      </c>
      <c r="P678" s="30" t="s">
        <v>112</v>
      </c>
      <c r="Q678" s="30" t="s">
        <v>112</v>
      </c>
      <c r="R678" s="30" t="s">
        <v>187</v>
      </c>
      <c r="S678" s="81">
        <f>HLOOKUP(L678,データについて!$J$6:$M$18,13,FALSE)</f>
        <v>1</v>
      </c>
      <c r="T678" s="81">
        <f>HLOOKUP(M678,データについて!$J$7:$M$18,12,FALSE)</f>
        <v>1</v>
      </c>
      <c r="U678" s="81">
        <f>HLOOKUP(N678,データについて!$J$8:$M$18,11,FALSE)</f>
        <v>3</v>
      </c>
      <c r="V678" s="81">
        <f>HLOOKUP(O678,データについて!$J$9:$M$18,10,FALSE)</f>
        <v>1</v>
      </c>
      <c r="W678" s="81">
        <f>HLOOKUP(P678,データについて!$J$10:$M$18,9,FALSE)</f>
        <v>1</v>
      </c>
      <c r="X678" s="81">
        <f>HLOOKUP(Q678,データについて!$J$11:$M$18,8,FALSE)</f>
        <v>1</v>
      </c>
      <c r="Y678" s="81">
        <f>HLOOKUP(R678,データについて!$J$12:$M$18,7,FALSE)</f>
        <v>3</v>
      </c>
      <c r="Z678" s="81">
        <f>HLOOKUP(I678,データについて!$J$3:$M$18,16,FALSE)</f>
        <v>2</v>
      </c>
      <c r="AA678" s="81" t="str">
        <f>IFERROR(HLOOKUP(J678,データについて!$J$4:$AH$19,16,FALSE),"")</f>
        <v/>
      </c>
      <c r="AB678" s="81">
        <f>IFERROR(HLOOKUP(K678,データについて!$J$5:$AH$20,14,FALSE),"")</f>
        <v>0</v>
      </c>
      <c r="AC678" s="81">
        <f>IF(X678=1,HLOOKUP(R678,データについて!$J$12:$M$18,7,FALSE),"*")</f>
        <v>3</v>
      </c>
      <c r="AD678" s="81" t="str">
        <f>IF(X678=2,HLOOKUP(R678,データについて!$J$12:$M$18,7,FALSE),"*")</f>
        <v>*</v>
      </c>
    </row>
    <row r="679" spans="1:30">
      <c r="A679" s="30">
        <v>4513</v>
      </c>
      <c r="B679" s="30" t="s">
        <v>4291</v>
      </c>
      <c r="C679" s="30" t="s">
        <v>4292</v>
      </c>
      <c r="D679" s="30" t="s">
        <v>106</v>
      </c>
      <c r="E679" s="30"/>
      <c r="F679" s="30" t="s">
        <v>107</v>
      </c>
      <c r="G679" s="30" t="s">
        <v>106</v>
      </c>
      <c r="H679" s="30"/>
      <c r="I679" s="30" t="s">
        <v>191</v>
      </c>
      <c r="J679" s="30"/>
      <c r="K679" s="30" t="s">
        <v>126</v>
      </c>
      <c r="L679" s="30" t="s">
        <v>108</v>
      </c>
      <c r="M679" s="30" t="s">
        <v>113</v>
      </c>
      <c r="N679" s="30" t="s">
        <v>114</v>
      </c>
      <c r="O679" s="30" t="s">
        <v>115</v>
      </c>
      <c r="P679" s="30" t="s">
        <v>112</v>
      </c>
      <c r="Q679" s="30" t="s">
        <v>112</v>
      </c>
      <c r="R679" s="30" t="s">
        <v>183</v>
      </c>
      <c r="S679" s="81">
        <f>HLOOKUP(L679,データについて!$J$6:$M$18,13,FALSE)</f>
        <v>1</v>
      </c>
      <c r="T679" s="81">
        <f>HLOOKUP(M679,データについて!$J$7:$M$18,12,FALSE)</f>
        <v>1</v>
      </c>
      <c r="U679" s="81">
        <f>HLOOKUP(N679,データについて!$J$8:$M$18,11,FALSE)</f>
        <v>1</v>
      </c>
      <c r="V679" s="81">
        <f>HLOOKUP(O679,データについて!$J$9:$M$18,10,FALSE)</f>
        <v>1</v>
      </c>
      <c r="W679" s="81">
        <f>HLOOKUP(P679,データについて!$J$10:$M$18,9,FALSE)</f>
        <v>1</v>
      </c>
      <c r="X679" s="81">
        <f>HLOOKUP(Q679,データについて!$J$11:$M$18,8,FALSE)</f>
        <v>1</v>
      </c>
      <c r="Y679" s="81">
        <f>HLOOKUP(R679,データについて!$J$12:$M$18,7,FALSE)</f>
        <v>1</v>
      </c>
      <c r="Z679" s="81">
        <f>HLOOKUP(I679,データについて!$J$3:$M$18,16,FALSE)</f>
        <v>2</v>
      </c>
      <c r="AA679" s="81" t="str">
        <f>IFERROR(HLOOKUP(J679,データについて!$J$4:$AH$19,16,FALSE),"")</f>
        <v/>
      </c>
      <c r="AB679" s="81">
        <f>IFERROR(HLOOKUP(K679,データについて!$J$5:$AH$20,14,FALSE),"")</f>
        <v>0</v>
      </c>
      <c r="AC679" s="81">
        <f>IF(X679=1,HLOOKUP(R679,データについて!$J$12:$M$18,7,FALSE),"*")</f>
        <v>1</v>
      </c>
      <c r="AD679" s="81" t="str">
        <f>IF(X679=2,HLOOKUP(R679,データについて!$J$12:$M$18,7,FALSE),"*")</f>
        <v>*</v>
      </c>
    </row>
    <row r="680" spans="1:30">
      <c r="A680" s="30">
        <v>4512</v>
      </c>
      <c r="B680" s="30" t="s">
        <v>4293</v>
      </c>
      <c r="C680" s="30" t="s">
        <v>4294</v>
      </c>
      <c r="D680" s="30" t="s">
        <v>106</v>
      </c>
      <c r="E680" s="30"/>
      <c r="F680" s="30" t="s">
        <v>107</v>
      </c>
      <c r="G680" s="30" t="s">
        <v>106</v>
      </c>
      <c r="H680" s="30"/>
      <c r="I680" s="30" t="s">
        <v>191</v>
      </c>
      <c r="J680" s="30"/>
      <c r="K680" s="30" t="s">
        <v>126</v>
      </c>
      <c r="L680" s="30" t="s">
        <v>108</v>
      </c>
      <c r="M680" s="30" t="s">
        <v>113</v>
      </c>
      <c r="N680" s="30" t="s">
        <v>114</v>
      </c>
      <c r="O680" s="30" t="s">
        <v>115</v>
      </c>
      <c r="P680" s="30" t="s">
        <v>118</v>
      </c>
      <c r="Q680" s="30" t="s">
        <v>112</v>
      </c>
      <c r="R680" s="30" t="s">
        <v>183</v>
      </c>
      <c r="S680" s="81">
        <f>HLOOKUP(L680,データについて!$J$6:$M$18,13,FALSE)</f>
        <v>1</v>
      </c>
      <c r="T680" s="81">
        <f>HLOOKUP(M680,データについて!$J$7:$M$18,12,FALSE)</f>
        <v>1</v>
      </c>
      <c r="U680" s="81">
        <f>HLOOKUP(N680,データについて!$J$8:$M$18,11,FALSE)</f>
        <v>1</v>
      </c>
      <c r="V680" s="81">
        <f>HLOOKUP(O680,データについて!$J$9:$M$18,10,FALSE)</f>
        <v>1</v>
      </c>
      <c r="W680" s="81">
        <f>HLOOKUP(P680,データについて!$J$10:$M$18,9,FALSE)</f>
        <v>2</v>
      </c>
      <c r="X680" s="81">
        <f>HLOOKUP(Q680,データについて!$J$11:$M$18,8,FALSE)</f>
        <v>1</v>
      </c>
      <c r="Y680" s="81">
        <f>HLOOKUP(R680,データについて!$J$12:$M$18,7,FALSE)</f>
        <v>1</v>
      </c>
      <c r="Z680" s="81">
        <f>HLOOKUP(I680,データについて!$J$3:$M$18,16,FALSE)</f>
        <v>2</v>
      </c>
      <c r="AA680" s="81" t="str">
        <f>IFERROR(HLOOKUP(J680,データについて!$J$4:$AH$19,16,FALSE),"")</f>
        <v/>
      </c>
      <c r="AB680" s="81">
        <f>IFERROR(HLOOKUP(K680,データについて!$J$5:$AH$20,14,FALSE),"")</f>
        <v>0</v>
      </c>
      <c r="AC680" s="81">
        <f>IF(X680=1,HLOOKUP(R680,データについて!$J$12:$M$18,7,FALSE),"*")</f>
        <v>1</v>
      </c>
      <c r="AD680" s="81" t="str">
        <f>IF(X680=2,HLOOKUP(R680,データについて!$J$12:$M$18,7,FALSE),"*")</f>
        <v>*</v>
      </c>
    </row>
    <row r="681" spans="1:30">
      <c r="A681" s="30">
        <v>4511</v>
      </c>
      <c r="B681" s="30" t="s">
        <v>4295</v>
      </c>
      <c r="C681" s="30" t="s">
        <v>4296</v>
      </c>
      <c r="D681" s="30" t="s">
        <v>106</v>
      </c>
      <c r="E681" s="30"/>
      <c r="F681" s="30" t="s">
        <v>107</v>
      </c>
      <c r="G681" s="30" t="s">
        <v>106</v>
      </c>
      <c r="H681" s="30"/>
      <c r="I681" s="30" t="s">
        <v>192</v>
      </c>
      <c r="J681" s="30" t="s">
        <v>3010</v>
      </c>
      <c r="K681" s="30"/>
      <c r="L681" s="30" t="s">
        <v>108</v>
      </c>
      <c r="M681" s="30" t="s">
        <v>121</v>
      </c>
      <c r="N681" s="30" t="s">
        <v>110</v>
      </c>
      <c r="O681" s="30" t="s">
        <v>115</v>
      </c>
      <c r="P681" s="30" t="s">
        <v>112</v>
      </c>
      <c r="Q681" s="30" t="s">
        <v>118</v>
      </c>
      <c r="R681" s="30" t="s">
        <v>189</v>
      </c>
      <c r="S681" s="81">
        <f>HLOOKUP(L681,データについて!$J$6:$M$18,13,FALSE)</f>
        <v>1</v>
      </c>
      <c r="T681" s="81">
        <f>HLOOKUP(M681,データについて!$J$7:$M$18,12,FALSE)</f>
        <v>4</v>
      </c>
      <c r="U681" s="81">
        <f>HLOOKUP(N681,データについて!$J$8:$M$18,11,FALSE)</f>
        <v>2</v>
      </c>
      <c r="V681" s="81">
        <f>HLOOKUP(O681,データについて!$J$9:$M$18,10,FALSE)</f>
        <v>1</v>
      </c>
      <c r="W681" s="81">
        <f>HLOOKUP(P681,データについて!$J$10:$M$18,9,FALSE)</f>
        <v>1</v>
      </c>
      <c r="X681" s="81">
        <f>HLOOKUP(Q681,データについて!$J$11:$M$18,8,FALSE)</f>
        <v>2</v>
      </c>
      <c r="Y681" s="81">
        <f>HLOOKUP(R681,データについて!$J$12:$M$18,7,FALSE)</f>
        <v>4</v>
      </c>
      <c r="Z681" s="81">
        <f>HLOOKUP(I681,データについて!$J$3:$M$18,16,FALSE)</f>
        <v>1</v>
      </c>
      <c r="AA681" s="81">
        <f>IFERROR(HLOOKUP(J681,データについて!$J$4:$AH$19,16,FALSE),"")</f>
        <v>12</v>
      </c>
      <c r="AB681" s="81" t="str">
        <f>IFERROR(HLOOKUP(K681,データについて!$J$5:$AH$20,14,FALSE),"")</f>
        <v/>
      </c>
      <c r="AC681" s="81" t="str">
        <f>IF(X681=1,HLOOKUP(R681,データについて!$J$12:$M$18,7,FALSE),"*")</f>
        <v>*</v>
      </c>
      <c r="AD681" s="81">
        <f>IF(X681=2,HLOOKUP(R681,データについて!$J$12:$M$18,7,FALSE),"*")</f>
        <v>4</v>
      </c>
    </row>
    <row r="682" spans="1:30">
      <c r="A682" s="30">
        <v>4510</v>
      </c>
      <c r="B682" s="30" t="s">
        <v>4297</v>
      </c>
      <c r="C682" s="30" t="s">
        <v>4298</v>
      </c>
      <c r="D682" s="30" t="s">
        <v>106</v>
      </c>
      <c r="E682" s="30"/>
      <c r="F682" s="30" t="s">
        <v>107</v>
      </c>
      <c r="G682" s="30" t="s">
        <v>106</v>
      </c>
      <c r="H682" s="30"/>
      <c r="I682" s="30" t="s">
        <v>192</v>
      </c>
      <c r="J682" s="30" t="s">
        <v>3010</v>
      </c>
      <c r="K682" s="30"/>
      <c r="L682" s="30" t="s">
        <v>117</v>
      </c>
      <c r="M682" s="30" t="s">
        <v>113</v>
      </c>
      <c r="N682" s="30" t="s">
        <v>110</v>
      </c>
      <c r="O682" s="30" t="s">
        <v>115</v>
      </c>
      <c r="P682" s="30" t="s">
        <v>112</v>
      </c>
      <c r="Q682" s="30" t="s">
        <v>112</v>
      </c>
      <c r="R682" s="30" t="s">
        <v>185</v>
      </c>
      <c r="S682" s="81">
        <f>HLOOKUP(L682,データについて!$J$6:$M$18,13,FALSE)</f>
        <v>2</v>
      </c>
      <c r="T682" s="81">
        <f>HLOOKUP(M682,データについて!$J$7:$M$18,12,FALSE)</f>
        <v>1</v>
      </c>
      <c r="U682" s="81">
        <f>HLOOKUP(N682,データについて!$J$8:$M$18,11,FALSE)</f>
        <v>2</v>
      </c>
      <c r="V682" s="81">
        <f>HLOOKUP(O682,データについて!$J$9:$M$18,10,FALSE)</f>
        <v>1</v>
      </c>
      <c r="W682" s="81">
        <f>HLOOKUP(P682,データについて!$J$10:$M$18,9,FALSE)</f>
        <v>1</v>
      </c>
      <c r="X682" s="81">
        <f>HLOOKUP(Q682,データについて!$J$11:$M$18,8,FALSE)</f>
        <v>1</v>
      </c>
      <c r="Y682" s="81">
        <f>HLOOKUP(R682,データについて!$J$12:$M$18,7,FALSE)</f>
        <v>2</v>
      </c>
      <c r="Z682" s="81">
        <f>HLOOKUP(I682,データについて!$J$3:$M$18,16,FALSE)</f>
        <v>1</v>
      </c>
      <c r="AA682" s="81">
        <f>IFERROR(HLOOKUP(J682,データについて!$J$4:$AH$19,16,FALSE),"")</f>
        <v>12</v>
      </c>
      <c r="AB682" s="81" t="str">
        <f>IFERROR(HLOOKUP(K682,データについて!$J$5:$AH$20,14,FALSE),"")</f>
        <v/>
      </c>
      <c r="AC682" s="81">
        <f>IF(X682=1,HLOOKUP(R682,データについて!$J$12:$M$18,7,FALSE),"*")</f>
        <v>2</v>
      </c>
      <c r="AD682" s="81" t="str">
        <f>IF(X682=2,HLOOKUP(R682,データについて!$J$12:$M$18,7,FALSE),"*")</f>
        <v>*</v>
      </c>
    </row>
    <row r="683" spans="1:30">
      <c r="A683" s="30">
        <v>4509</v>
      </c>
      <c r="B683" s="30" t="s">
        <v>4299</v>
      </c>
      <c r="C683" s="30" t="s">
        <v>4300</v>
      </c>
      <c r="D683" s="30" t="s">
        <v>106</v>
      </c>
      <c r="E683" s="30"/>
      <c r="F683" s="30" t="s">
        <v>107</v>
      </c>
      <c r="G683" s="30" t="s">
        <v>106</v>
      </c>
      <c r="H683" s="30"/>
      <c r="I683" s="30" t="s">
        <v>191</v>
      </c>
      <c r="J683" s="30"/>
      <c r="K683" s="30" t="s">
        <v>126</v>
      </c>
      <c r="L683" s="30" t="s">
        <v>117</v>
      </c>
      <c r="M683" s="30" t="s">
        <v>113</v>
      </c>
      <c r="N683" s="30" t="s">
        <v>110</v>
      </c>
      <c r="O683" s="30" t="s">
        <v>115</v>
      </c>
      <c r="P683" s="30" t="s">
        <v>118</v>
      </c>
      <c r="Q683" s="30" t="s">
        <v>112</v>
      </c>
      <c r="R683" s="30" t="s">
        <v>185</v>
      </c>
      <c r="S683" s="81">
        <f>HLOOKUP(L683,データについて!$J$6:$M$18,13,FALSE)</f>
        <v>2</v>
      </c>
      <c r="T683" s="81">
        <f>HLOOKUP(M683,データについて!$J$7:$M$18,12,FALSE)</f>
        <v>1</v>
      </c>
      <c r="U683" s="81">
        <f>HLOOKUP(N683,データについて!$J$8:$M$18,11,FALSE)</f>
        <v>2</v>
      </c>
      <c r="V683" s="81">
        <f>HLOOKUP(O683,データについて!$J$9:$M$18,10,FALSE)</f>
        <v>1</v>
      </c>
      <c r="W683" s="81">
        <f>HLOOKUP(P683,データについて!$J$10:$M$18,9,FALSE)</f>
        <v>2</v>
      </c>
      <c r="X683" s="81">
        <f>HLOOKUP(Q683,データについて!$J$11:$M$18,8,FALSE)</f>
        <v>1</v>
      </c>
      <c r="Y683" s="81">
        <f>HLOOKUP(R683,データについて!$J$12:$M$18,7,FALSE)</f>
        <v>2</v>
      </c>
      <c r="Z683" s="81">
        <f>HLOOKUP(I683,データについて!$J$3:$M$18,16,FALSE)</f>
        <v>2</v>
      </c>
      <c r="AA683" s="81" t="str">
        <f>IFERROR(HLOOKUP(J683,データについて!$J$4:$AH$19,16,FALSE),"")</f>
        <v/>
      </c>
      <c r="AB683" s="81">
        <f>IFERROR(HLOOKUP(K683,データについて!$J$5:$AH$20,14,FALSE),"")</f>
        <v>0</v>
      </c>
      <c r="AC683" s="81">
        <f>IF(X683=1,HLOOKUP(R683,データについて!$J$12:$M$18,7,FALSE),"*")</f>
        <v>2</v>
      </c>
      <c r="AD683" s="81" t="str">
        <f>IF(X683=2,HLOOKUP(R683,データについて!$J$12:$M$18,7,FALSE),"*")</f>
        <v>*</v>
      </c>
    </row>
    <row r="684" spans="1:30">
      <c r="A684" s="30">
        <v>4508</v>
      </c>
      <c r="B684" s="30" t="s">
        <v>4301</v>
      </c>
      <c r="C684" s="30" t="s">
        <v>4302</v>
      </c>
      <c r="D684" s="30" t="s">
        <v>106</v>
      </c>
      <c r="E684" s="30"/>
      <c r="F684" s="30" t="s">
        <v>107</v>
      </c>
      <c r="G684" s="30" t="s">
        <v>106</v>
      </c>
      <c r="H684" s="30"/>
      <c r="I684" s="30" t="s">
        <v>191</v>
      </c>
      <c r="J684" s="30"/>
      <c r="K684" s="30" t="s">
        <v>126</v>
      </c>
      <c r="L684" s="30" t="s">
        <v>108</v>
      </c>
      <c r="M684" s="30" t="s">
        <v>113</v>
      </c>
      <c r="N684" s="30" t="s">
        <v>110</v>
      </c>
      <c r="O684" s="30" t="s">
        <v>116</v>
      </c>
      <c r="P684" s="30" t="s">
        <v>118</v>
      </c>
      <c r="Q684" s="30" t="s">
        <v>112</v>
      </c>
      <c r="R684" s="30" t="s">
        <v>185</v>
      </c>
      <c r="S684" s="81">
        <f>HLOOKUP(L684,データについて!$J$6:$M$18,13,FALSE)</f>
        <v>1</v>
      </c>
      <c r="T684" s="81">
        <f>HLOOKUP(M684,データについて!$J$7:$M$18,12,FALSE)</f>
        <v>1</v>
      </c>
      <c r="U684" s="81">
        <f>HLOOKUP(N684,データについて!$J$8:$M$18,11,FALSE)</f>
        <v>2</v>
      </c>
      <c r="V684" s="81">
        <f>HLOOKUP(O684,データについて!$J$9:$M$18,10,FALSE)</f>
        <v>2</v>
      </c>
      <c r="W684" s="81">
        <f>HLOOKUP(P684,データについて!$J$10:$M$18,9,FALSE)</f>
        <v>2</v>
      </c>
      <c r="X684" s="81">
        <f>HLOOKUP(Q684,データについて!$J$11:$M$18,8,FALSE)</f>
        <v>1</v>
      </c>
      <c r="Y684" s="81">
        <f>HLOOKUP(R684,データについて!$J$12:$M$18,7,FALSE)</f>
        <v>2</v>
      </c>
      <c r="Z684" s="81">
        <f>HLOOKUP(I684,データについて!$J$3:$M$18,16,FALSE)</f>
        <v>2</v>
      </c>
      <c r="AA684" s="81" t="str">
        <f>IFERROR(HLOOKUP(J684,データについて!$J$4:$AH$19,16,FALSE),"")</f>
        <v/>
      </c>
      <c r="AB684" s="81">
        <f>IFERROR(HLOOKUP(K684,データについて!$J$5:$AH$20,14,FALSE),"")</f>
        <v>0</v>
      </c>
      <c r="AC684" s="81">
        <f>IF(X684=1,HLOOKUP(R684,データについて!$J$12:$M$18,7,FALSE),"*")</f>
        <v>2</v>
      </c>
      <c r="AD684" s="81" t="str">
        <f>IF(X684=2,HLOOKUP(R684,データについて!$J$12:$M$18,7,FALSE),"*")</f>
        <v>*</v>
      </c>
    </row>
    <row r="685" spans="1:30">
      <c r="A685" s="30">
        <v>4507</v>
      </c>
      <c r="B685" s="30" t="s">
        <v>4303</v>
      </c>
      <c r="C685" s="30" t="s">
        <v>4304</v>
      </c>
      <c r="D685" s="30" t="s">
        <v>106</v>
      </c>
      <c r="E685" s="30"/>
      <c r="F685" s="30" t="s">
        <v>107</v>
      </c>
      <c r="G685" s="30" t="s">
        <v>106</v>
      </c>
      <c r="H685" s="30"/>
      <c r="I685" s="30" t="s">
        <v>191</v>
      </c>
      <c r="J685" s="30"/>
      <c r="K685" s="30" t="s">
        <v>126</v>
      </c>
      <c r="L685" s="30" t="s">
        <v>117</v>
      </c>
      <c r="M685" s="30" t="s">
        <v>113</v>
      </c>
      <c r="N685" s="30" t="s">
        <v>114</v>
      </c>
      <c r="O685" s="30" t="s">
        <v>115</v>
      </c>
      <c r="P685" s="30" t="s">
        <v>112</v>
      </c>
      <c r="Q685" s="30" t="s">
        <v>112</v>
      </c>
      <c r="R685" s="30" t="s">
        <v>185</v>
      </c>
      <c r="S685" s="81">
        <f>HLOOKUP(L685,データについて!$J$6:$M$18,13,FALSE)</f>
        <v>2</v>
      </c>
      <c r="T685" s="81">
        <f>HLOOKUP(M685,データについて!$J$7:$M$18,12,FALSE)</f>
        <v>1</v>
      </c>
      <c r="U685" s="81">
        <f>HLOOKUP(N685,データについて!$J$8:$M$18,11,FALSE)</f>
        <v>1</v>
      </c>
      <c r="V685" s="81">
        <f>HLOOKUP(O685,データについて!$J$9:$M$18,10,FALSE)</f>
        <v>1</v>
      </c>
      <c r="W685" s="81">
        <f>HLOOKUP(P685,データについて!$J$10:$M$18,9,FALSE)</f>
        <v>1</v>
      </c>
      <c r="X685" s="81">
        <f>HLOOKUP(Q685,データについて!$J$11:$M$18,8,FALSE)</f>
        <v>1</v>
      </c>
      <c r="Y685" s="81">
        <f>HLOOKUP(R685,データについて!$J$12:$M$18,7,FALSE)</f>
        <v>2</v>
      </c>
      <c r="Z685" s="81">
        <f>HLOOKUP(I685,データについて!$J$3:$M$18,16,FALSE)</f>
        <v>2</v>
      </c>
      <c r="AA685" s="81" t="str">
        <f>IFERROR(HLOOKUP(J685,データについて!$J$4:$AH$19,16,FALSE),"")</f>
        <v/>
      </c>
      <c r="AB685" s="81">
        <f>IFERROR(HLOOKUP(K685,データについて!$J$5:$AH$20,14,FALSE),"")</f>
        <v>0</v>
      </c>
      <c r="AC685" s="81">
        <f>IF(X685=1,HLOOKUP(R685,データについて!$J$12:$M$18,7,FALSE),"*")</f>
        <v>2</v>
      </c>
      <c r="AD685" s="81" t="str">
        <f>IF(X685=2,HLOOKUP(R685,データについて!$J$12:$M$18,7,FALSE),"*")</f>
        <v>*</v>
      </c>
    </row>
    <row r="686" spans="1:30">
      <c r="A686" s="30">
        <v>4506</v>
      </c>
      <c r="B686" s="30" t="s">
        <v>4305</v>
      </c>
      <c r="C686" s="30" t="s">
        <v>4304</v>
      </c>
      <c r="D686" s="30" t="s">
        <v>106</v>
      </c>
      <c r="E686" s="30"/>
      <c r="F686" s="30" t="s">
        <v>107</v>
      </c>
      <c r="G686" s="30" t="s">
        <v>106</v>
      </c>
      <c r="H686" s="30"/>
      <c r="I686" s="30" t="s">
        <v>191</v>
      </c>
      <c r="J686" s="30"/>
      <c r="K686" s="30" t="s">
        <v>126</v>
      </c>
      <c r="L686" s="30" t="s">
        <v>108</v>
      </c>
      <c r="M686" s="30" t="s">
        <v>109</v>
      </c>
      <c r="N686" s="30" t="s">
        <v>110</v>
      </c>
      <c r="O686" s="30" t="s">
        <v>115</v>
      </c>
      <c r="P686" s="30" t="s">
        <v>112</v>
      </c>
      <c r="Q686" s="30" t="s">
        <v>112</v>
      </c>
      <c r="R686" s="30" t="s">
        <v>183</v>
      </c>
      <c r="S686" s="81">
        <f>HLOOKUP(L686,データについて!$J$6:$M$18,13,FALSE)</f>
        <v>1</v>
      </c>
      <c r="T686" s="81">
        <f>HLOOKUP(M686,データについて!$J$7:$M$18,12,FALSE)</f>
        <v>2</v>
      </c>
      <c r="U686" s="81">
        <f>HLOOKUP(N686,データについて!$J$8:$M$18,11,FALSE)</f>
        <v>2</v>
      </c>
      <c r="V686" s="81">
        <f>HLOOKUP(O686,データについて!$J$9:$M$18,10,FALSE)</f>
        <v>1</v>
      </c>
      <c r="W686" s="81">
        <f>HLOOKUP(P686,データについて!$J$10:$M$18,9,FALSE)</f>
        <v>1</v>
      </c>
      <c r="X686" s="81">
        <f>HLOOKUP(Q686,データについて!$J$11:$M$18,8,FALSE)</f>
        <v>1</v>
      </c>
      <c r="Y686" s="81">
        <f>HLOOKUP(R686,データについて!$J$12:$M$18,7,FALSE)</f>
        <v>1</v>
      </c>
      <c r="Z686" s="81">
        <f>HLOOKUP(I686,データについて!$J$3:$M$18,16,FALSE)</f>
        <v>2</v>
      </c>
      <c r="AA686" s="81" t="str">
        <f>IFERROR(HLOOKUP(J686,データについて!$J$4:$AH$19,16,FALSE),"")</f>
        <v/>
      </c>
      <c r="AB686" s="81">
        <f>IFERROR(HLOOKUP(K686,データについて!$J$5:$AH$20,14,FALSE),"")</f>
        <v>0</v>
      </c>
      <c r="AC686" s="81">
        <f>IF(X686=1,HLOOKUP(R686,データについて!$J$12:$M$18,7,FALSE),"*")</f>
        <v>1</v>
      </c>
      <c r="AD686" s="81" t="str">
        <f>IF(X686=2,HLOOKUP(R686,データについて!$J$12:$M$18,7,FALSE),"*")</f>
        <v>*</v>
      </c>
    </row>
    <row r="687" spans="1:30">
      <c r="A687" s="30">
        <v>4505</v>
      </c>
      <c r="B687" s="30" t="s">
        <v>4306</v>
      </c>
      <c r="C687" s="30" t="s">
        <v>4307</v>
      </c>
      <c r="D687" s="30" t="s">
        <v>106</v>
      </c>
      <c r="E687" s="30"/>
      <c r="F687" s="30" t="s">
        <v>107</v>
      </c>
      <c r="G687" s="30" t="s">
        <v>106</v>
      </c>
      <c r="H687" s="30"/>
      <c r="I687" s="30" t="s">
        <v>191</v>
      </c>
      <c r="J687" s="30"/>
      <c r="K687" s="30" t="s">
        <v>126</v>
      </c>
      <c r="L687" s="30" t="s">
        <v>117</v>
      </c>
      <c r="M687" s="30" t="s">
        <v>113</v>
      </c>
      <c r="N687" s="30" t="s">
        <v>110</v>
      </c>
      <c r="O687" s="30" t="s">
        <v>115</v>
      </c>
      <c r="P687" s="30" t="s">
        <v>118</v>
      </c>
      <c r="Q687" s="30" t="s">
        <v>112</v>
      </c>
      <c r="R687" s="30" t="s">
        <v>189</v>
      </c>
      <c r="S687" s="81">
        <f>HLOOKUP(L687,データについて!$J$6:$M$18,13,FALSE)</f>
        <v>2</v>
      </c>
      <c r="T687" s="81">
        <f>HLOOKUP(M687,データについて!$J$7:$M$18,12,FALSE)</f>
        <v>1</v>
      </c>
      <c r="U687" s="81">
        <f>HLOOKUP(N687,データについて!$J$8:$M$18,11,FALSE)</f>
        <v>2</v>
      </c>
      <c r="V687" s="81">
        <f>HLOOKUP(O687,データについて!$J$9:$M$18,10,FALSE)</f>
        <v>1</v>
      </c>
      <c r="W687" s="81">
        <f>HLOOKUP(P687,データについて!$J$10:$M$18,9,FALSE)</f>
        <v>2</v>
      </c>
      <c r="X687" s="81">
        <f>HLOOKUP(Q687,データについて!$J$11:$M$18,8,FALSE)</f>
        <v>1</v>
      </c>
      <c r="Y687" s="81">
        <f>HLOOKUP(R687,データについて!$J$12:$M$18,7,FALSE)</f>
        <v>4</v>
      </c>
      <c r="Z687" s="81">
        <f>HLOOKUP(I687,データについて!$J$3:$M$18,16,FALSE)</f>
        <v>2</v>
      </c>
      <c r="AA687" s="81" t="str">
        <f>IFERROR(HLOOKUP(J687,データについて!$J$4:$AH$19,16,FALSE),"")</f>
        <v/>
      </c>
      <c r="AB687" s="81">
        <f>IFERROR(HLOOKUP(K687,データについて!$J$5:$AH$20,14,FALSE),"")</f>
        <v>0</v>
      </c>
      <c r="AC687" s="81">
        <f>IF(X687=1,HLOOKUP(R687,データについて!$J$12:$M$18,7,FALSE),"*")</f>
        <v>4</v>
      </c>
      <c r="AD687" s="81" t="str">
        <f>IF(X687=2,HLOOKUP(R687,データについて!$J$12:$M$18,7,FALSE),"*")</f>
        <v>*</v>
      </c>
    </row>
    <row r="688" spans="1:30">
      <c r="A688" s="30">
        <v>4504</v>
      </c>
      <c r="B688" s="30" t="s">
        <v>4308</v>
      </c>
      <c r="C688" s="30" t="s">
        <v>4309</v>
      </c>
      <c r="D688" s="30" t="s">
        <v>106</v>
      </c>
      <c r="E688" s="30"/>
      <c r="F688" s="30" t="s">
        <v>107</v>
      </c>
      <c r="G688" s="30" t="s">
        <v>106</v>
      </c>
      <c r="H688" s="30"/>
      <c r="I688" s="30" t="s">
        <v>192</v>
      </c>
      <c r="J688" s="30" t="s">
        <v>3010</v>
      </c>
      <c r="K688" s="30"/>
      <c r="L688" s="30" t="s">
        <v>117</v>
      </c>
      <c r="M688" s="30" t="s">
        <v>121</v>
      </c>
      <c r="N688" s="30" t="s">
        <v>122</v>
      </c>
      <c r="O688" s="30" t="s">
        <v>111</v>
      </c>
      <c r="P688" s="30" t="s">
        <v>118</v>
      </c>
      <c r="Q688" s="30" t="s">
        <v>118</v>
      </c>
      <c r="R688" s="30" t="s">
        <v>189</v>
      </c>
      <c r="S688" s="81">
        <f>HLOOKUP(L688,データについて!$J$6:$M$18,13,FALSE)</f>
        <v>2</v>
      </c>
      <c r="T688" s="81">
        <f>HLOOKUP(M688,データについて!$J$7:$M$18,12,FALSE)</f>
        <v>4</v>
      </c>
      <c r="U688" s="81">
        <f>HLOOKUP(N688,データについて!$J$8:$M$18,11,FALSE)</f>
        <v>3</v>
      </c>
      <c r="V688" s="81">
        <f>HLOOKUP(O688,データについて!$J$9:$M$18,10,FALSE)</f>
        <v>3</v>
      </c>
      <c r="W688" s="81">
        <f>HLOOKUP(P688,データについて!$J$10:$M$18,9,FALSE)</f>
        <v>2</v>
      </c>
      <c r="X688" s="81">
        <f>HLOOKUP(Q688,データについて!$J$11:$M$18,8,FALSE)</f>
        <v>2</v>
      </c>
      <c r="Y688" s="81">
        <f>HLOOKUP(R688,データについて!$J$12:$M$18,7,FALSE)</f>
        <v>4</v>
      </c>
      <c r="Z688" s="81">
        <f>HLOOKUP(I688,データについて!$J$3:$M$18,16,FALSE)</f>
        <v>1</v>
      </c>
      <c r="AA688" s="81">
        <f>IFERROR(HLOOKUP(J688,データについて!$J$4:$AH$19,16,FALSE),"")</f>
        <v>12</v>
      </c>
      <c r="AB688" s="81" t="str">
        <f>IFERROR(HLOOKUP(K688,データについて!$J$5:$AH$20,14,FALSE),"")</f>
        <v/>
      </c>
      <c r="AC688" s="81" t="str">
        <f>IF(X688=1,HLOOKUP(R688,データについて!$J$12:$M$18,7,FALSE),"*")</f>
        <v>*</v>
      </c>
      <c r="AD688" s="81">
        <f>IF(X688=2,HLOOKUP(R688,データについて!$J$12:$M$18,7,FALSE),"*")</f>
        <v>4</v>
      </c>
    </row>
    <row r="689" spans="1:30">
      <c r="A689" s="30">
        <v>4503</v>
      </c>
      <c r="B689" s="30" t="s">
        <v>4310</v>
      </c>
      <c r="C689" s="30" t="s">
        <v>4311</v>
      </c>
      <c r="D689" s="30" t="s">
        <v>106</v>
      </c>
      <c r="E689" s="30"/>
      <c r="F689" s="30" t="s">
        <v>107</v>
      </c>
      <c r="G689" s="30" t="s">
        <v>106</v>
      </c>
      <c r="H689" s="30"/>
      <c r="I689" s="30" t="s">
        <v>191</v>
      </c>
      <c r="J689" s="30"/>
      <c r="K689" s="30" t="s">
        <v>126</v>
      </c>
      <c r="L689" s="30" t="s">
        <v>108</v>
      </c>
      <c r="M689" s="30" t="s">
        <v>113</v>
      </c>
      <c r="N689" s="30" t="s">
        <v>122</v>
      </c>
      <c r="O689" s="30" t="s">
        <v>115</v>
      </c>
      <c r="P689" s="30" t="s">
        <v>112</v>
      </c>
      <c r="Q689" s="30" t="s">
        <v>118</v>
      </c>
      <c r="R689" s="30" t="s">
        <v>187</v>
      </c>
      <c r="S689" s="81">
        <f>HLOOKUP(L689,データについて!$J$6:$M$18,13,FALSE)</f>
        <v>1</v>
      </c>
      <c r="T689" s="81">
        <f>HLOOKUP(M689,データについて!$J$7:$M$18,12,FALSE)</f>
        <v>1</v>
      </c>
      <c r="U689" s="81">
        <f>HLOOKUP(N689,データについて!$J$8:$M$18,11,FALSE)</f>
        <v>3</v>
      </c>
      <c r="V689" s="81">
        <f>HLOOKUP(O689,データについて!$J$9:$M$18,10,FALSE)</f>
        <v>1</v>
      </c>
      <c r="W689" s="81">
        <f>HLOOKUP(P689,データについて!$J$10:$M$18,9,FALSE)</f>
        <v>1</v>
      </c>
      <c r="X689" s="81">
        <f>HLOOKUP(Q689,データについて!$J$11:$M$18,8,FALSE)</f>
        <v>2</v>
      </c>
      <c r="Y689" s="81">
        <f>HLOOKUP(R689,データについて!$J$12:$M$18,7,FALSE)</f>
        <v>3</v>
      </c>
      <c r="Z689" s="81">
        <f>HLOOKUP(I689,データについて!$J$3:$M$18,16,FALSE)</f>
        <v>2</v>
      </c>
      <c r="AA689" s="81" t="str">
        <f>IFERROR(HLOOKUP(J689,データについて!$J$4:$AH$19,16,FALSE),"")</f>
        <v/>
      </c>
      <c r="AB689" s="81">
        <f>IFERROR(HLOOKUP(K689,データについて!$J$5:$AH$20,14,FALSE),"")</f>
        <v>0</v>
      </c>
      <c r="AC689" s="81" t="str">
        <f>IF(X689=1,HLOOKUP(R689,データについて!$J$12:$M$18,7,FALSE),"*")</f>
        <v>*</v>
      </c>
      <c r="AD689" s="81">
        <f>IF(X689=2,HLOOKUP(R689,データについて!$J$12:$M$18,7,FALSE),"*")</f>
        <v>3</v>
      </c>
    </row>
    <row r="690" spans="1:30">
      <c r="A690" s="30">
        <v>4502</v>
      </c>
      <c r="B690" s="30" t="s">
        <v>4312</v>
      </c>
      <c r="C690" s="30" t="s">
        <v>4313</v>
      </c>
      <c r="D690" s="30" t="s">
        <v>106</v>
      </c>
      <c r="E690" s="30"/>
      <c r="F690" s="30" t="s">
        <v>107</v>
      </c>
      <c r="G690" s="30" t="s">
        <v>106</v>
      </c>
      <c r="H690" s="30"/>
      <c r="I690" s="30" t="s">
        <v>191</v>
      </c>
      <c r="J690" s="30"/>
      <c r="K690" s="30" t="s">
        <v>126</v>
      </c>
      <c r="L690" s="30" t="s">
        <v>117</v>
      </c>
      <c r="M690" s="30" t="s">
        <v>109</v>
      </c>
      <c r="N690" s="30" t="s">
        <v>110</v>
      </c>
      <c r="O690" s="30" t="s">
        <v>116</v>
      </c>
      <c r="P690" s="30" t="s">
        <v>118</v>
      </c>
      <c r="Q690" s="30" t="s">
        <v>118</v>
      </c>
      <c r="R690" s="30" t="s">
        <v>187</v>
      </c>
      <c r="S690" s="81">
        <f>HLOOKUP(L690,データについて!$J$6:$M$18,13,FALSE)</f>
        <v>2</v>
      </c>
      <c r="T690" s="81">
        <f>HLOOKUP(M690,データについて!$J$7:$M$18,12,FALSE)</f>
        <v>2</v>
      </c>
      <c r="U690" s="81">
        <f>HLOOKUP(N690,データについて!$J$8:$M$18,11,FALSE)</f>
        <v>2</v>
      </c>
      <c r="V690" s="81">
        <f>HLOOKUP(O690,データについて!$J$9:$M$18,10,FALSE)</f>
        <v>2</v>
      </c>
      <c r="W690" s="81">
        <f>HLOOKUP(P690,データについて!$J$10:$M$18,9,FALSE)</f>
        <v>2</v>
      </c>
      <c r="X690" s="81">
        <f>HLOOKUP(Q690,データについて!$J$11:$M$18,8,FALSE)</f>
        <v>2</v>
      </c>
      <c r="Y690" s="81">
        <f>HLOOKUP(R690,データについて!$J$12:$M$18,7,FALSE)</f>
        <v>3</v>
      </c>
      <c r="Z690" s="81">
        <f>HLOOKUP(I690,データについて!$J$3:$M$18,16,FALSE)</f>
        <v>2</v>
      </c>
      <c r="AA690" s="81" t="str">
        <f>IFERROR(HLOOKUP(J690,データについて!$J$4:$AH$19,16,FALSE),"")</f>
        <v/>
      </c>
      <c r="AB690" s="81">
        <f>IFERROR(HLOOKUP(K690,データについて!$J$5:$AH$20,14,FALSE),"")</f>
        <v>0</v>
      </c>
      <c r="AC690" s="81" t="str">
        <f>IF(X690=1,HLOOKUP(R690,データについて!$J$12:$M$18,7,FALSE),"*")</f>
        <v>*</v>
      </c>
      <c r="AD690" s="81">
        <f>IF(X690=2,HLOOKUP(R690,データについて!$J$12:$M$18,7,FALSE),"*")</f>
        <v>3</v>
      </c>
    </row>
    <row r="691" spans="1:30">
      <c r="A691" s="30">
        <v>4501</v>
      </c>
      <c r="B691" s="30" t="s">
        <v>4314</v>
      </c>
      <c r="C691" s="30" t="s">
        <v>4315</v>
      </c>
      <c r="D691" s="30" t="s">
        <v>106</v>
      </c>
      <c r="E691" s="30"/>
      <c r="F691" s="30" t="s">
        <v>107</v>
      </c>
      <c r="G691" s="30" t="s">
        <v>106</v>
      </c>
      <c r="H691" s="30"/>
      <c r="I691" s="30" t="s">
        <v>192</v>
      </c>
      <c r="J691" s="30" t="s">
        <v>3010</v>
      </c>
      <c r="K691" s="30"/>
      <c r="L691" s="30" t="s">
        <v>117</v>
      </c>
      <c r="M691" s="30" t="s">
        <v>124</v>
      </c>
      <c r="N691" s="30" t="s">
        <v>114</v>
      </c>
      <c r="O691" s="30" t="s">
        <v>115</v>
      </c>
      <c r="P691" s="30" t="s">
        <v>112</v>
      </c>
      <c r="Q691" s="30" t="s">
        <v>112</v>
      </c>
      <c r="R691" s="30" t="s">
        <v>189</v>
      </c>
      <c r="S691" s="81">
        <f>HLOOKUP(L691,データについて!$J$6:$M$18,13,FALSE)</f>
        <v>2</v>
      </c>
      <c r="T691" s="81">
        <f>HLOOKUP(M691,データについて!$J$7:$M$18,12,FALSE)</f>
        <v>3</v>
      </c>
      <c r="U691" s="81">
        <f>HLOOKUP(N691,データについて!$J$8:$M$18,11,FALSE)</f>
        <v>1</v>
      </c>
      <c r="V691" s="81">
        <f>HLOOKUP(O691,データについて!$J$9:$M$18,10,FALSE)</f>
        <v>1</v>
      </c>
      <c r="W691" s="81">
        <f>HLOOKUP(P691,データについて!$J$10:$M$18,9,FALSE)</f>
        <v>1</v>
      </c>
      <c r="X691" s="81">
        <f>HLOOKUP(Q691,データについて!$J$11:$M$18,8,FALSE)</f>
        <v>1</v>
      </c>
      <c r="Y691" s="81">
        <f>HLOOKUP(R691,データについて!$J$12:$M$18,7,FALSE)</f>
        <v>4</v>
      </c>
      <c r="Z691" s="81">
        <f>HLOOKUP(I691,データについて!$J$3:$M$18,16,FALSE)</f>
        <v>1</v>
      </c>
      <c r="AA691" s="81">
        <f>IFERROR(HLOOKUP(J691,データについて!$J$4:$AH$19,16,FALSE),"")</f>
        <v>12</v>
      </c>
      <c r="AB691" s="81" t="str">
        <f>IFERROR(HLOOKUP(K691,データについて!$J$5:$AH$20,14,FALSE),"")</f>
        <v/>
      </c>
      <c r="AC691" s="81">
        <f>IF(X691=1,HLOOKUP(R691,データについて!$J$12:$M$18,7,FALSE),"*")</f>
        <v>4</v>
      </c>
      <c r="AD691" s="81" t="str">
        <f>IF(X691=2,HLOOKUP(R691,データについて!$J$12:$M$18,7,FALSE),"*")</f>
        <v>*</v>
      </c>
    </row>
    <row r="692" spans="1:30">
      <c r="A692" s="30">
        <v>4500</v>
      </c>
      <c r="B692" s="30" t="s">
        <v>4316</v>
      </c>
      <c r="C692" s="30" t="s">
        <v>4317</v>
      </c>
      <c r="D692" s="30" t="s">
        <v>106</v>
      </c>
      <c r="E692" s="30"/>
      <c r="F692" s="30" t="s">
        <v>107</v>
      </c>
      <c r="G692" s="30" t="s">
        <v>106</v>
      </c>
      <c r="H692" s="30"/>
      <c r="I692" s="30" t="s">
        <v>191</v>
      </c>
      <c r="J692" s="30"/>
      <c r="K692" s="30" t="s">
        <v>126</v>
      </c>
      <c r="L692" s="30" t="s">
        <v>117</v>
      </c>
      <c r="M692" s="30" t="s">
        <v>113</v>
      </c>
      <c r="N692" s="30" t="s">
        <v>119</v>
      </c>
      <c r="O692" s="30" t="s">
        <v>115</v>
      </c>
      <c r="P692" s="30" t="s">
        <v>112</v>
      </c>
      <c r="Q692" s="30" t="s">
        <v>112</v>
      </c>
      <c r="R692" s="30" t="s">
        <v>183</v>
      </c>
      <c r="S692" s="81">
        <f>HLOOKUP(L692,データについて!$J$6:$M$18,13,FALSE)</f>
        <v>2</v>
      </c>
      <c r="T692" s="81">
        <f>HLOOKUP(M692,データについて!$J$7:$M$18,12,FALSE)</f>
        <v>1</v>
      </c>
      <c r="U692" s="81">
        <f>HLOOKUP(N692,データについて!$J$8:$M$18,11,FALSE)</f>
        <v>4</v>
      </c>
      <c r="V692" s="81">
        <f>HLOOKUP(O692,データについて!$J$9:$M$18,10,FALSE)</f>
        <v>1</v>
      </c>
      <c r="W692" s="81">
        <f>HLOOKUP(P692,データについて!$J$10:$M$18,9,FALSE)</f>
        <v>1</v>
      </c>
      <c r="X692" s="81">
        <f>HLOOKUP(Q692,データについて!$J$11:$M$18,8,FALSE)</f>
        <v>1</v>
      </c>
      <c r="Y692" s="81">
        <f>HLOOKUP(R692,データについて!$J$12:$M$18,7,FALSE)</f>
        <v>1</v>
      </c>
      <c r="Z692" s="81">
        <f>HLOOKUP(I692,データについて!$J$3:$M$18,16,FALSE)</f>
        <v>2</v>
      </c>
      <c r="AA692" s="81" t="str">
        <f>IFERROR(HLOOKUP(J692,データについて!$J$4:$AH$19,16,FALSE),"")</f>
        <v/>
      </c>
      <c r="AB692" s="81">
        <f>IFERROR(HLOOKUP(K692,データについて!$J$5:$AH$20,14,FALSE),"")</f>
        <v>0</v>
      </c>
      <c r="AC692" s="81">
        <f>IF(X692=1,HLOOKUP(R692,データについて!$J$12:$M$18,7,FALSE),"*")</f>
        <v>1</v>
      </c>
      <c r="AD692" s="81" t="str">
        <f>IF(X692=2,HLOOKUP(R692,データについて!$J$12:$M$18,7,FALSE),"*")</f>
        <v>*</v>
      </c>
    </row>
    <row r="693" spans="1:30">
      <c r="A693" s="30">
        <v>4499</v>
      </c>
      <c r="B693" s="30" t="s">
        <v>4318</v>
      </c>
      <c r="C693" s="30" t="s">
        <v>4319</v>
      </c>
      <c r="D693" s="30" t="s">
        <v>106</v>
      </c>
      <c r="E693" s="30"/>
      <c r="F693" s="30" t="s">
        <v>107</v>
      </c>
      <c r="G693" s="30" t="s">
        <v>106</v>
      </c>
      <c r="H693" s="30"/>
      <c r="I693" s="30" t="s">
        <v>191</v>
      </c>
      <c r="J693" s="30"/>
      <c r="K693" s="30" t="s">
        <v>126</v>
      </c>
      <c r="L693" s="30" t="s">
        <v>117</v>
      </c>
      <c r="M693" s="30" t="s">
        <v>109</v>
      </c>
      <c r="N693" s="30" t="s">
        <v>122</v>
      </c>
      <c r="O693" s="30" t="s">
        <v>115</v>
      </c>
      <c r="P693" s="30" t="s">
        <v>112</v>
      </c>
      <c r="Q693" s="30" t="s">
        <v>112</v>
      </c>
      <c r="R693" s="30" t="s">
        <v>187</v>
      </c>
      <c r="S693" s="81">
        <f>HLOOKUP(L693,データについて!$J$6:$M$18,13,FALSE)</f>
        <v>2</v>
      </c>
      <c r="T693" s="81">
        <f>HLOOKUP(M693,データについて!$J$7:$M$18,12,FALSE)</f>
        <v>2</v>
      </c>
      <c r="U693" s="81">
        <f>HLOOKUP(N693,データについて!$J$8:$M$18,11,FALSE)</f>
        <v>3</v>
      </c>
      <c r="V693" s="81">
        <f>HLOOKUP(O693,データについて!$J$9:$M$18,10,FALSE)</f>
        <v>1</v>
      </c>
      <c r="W693" s="81">
        <f>HLOOKUP(P693,データについて!$J$10:$M$18,9,FALSE)</f>
        <v>1</v>
      </c>
      <c r="X693" s="81">
        <f>HLOOKUP(Q693,データについて!$J$11:$M$18,8,FALSE)</f>
        <v>1</v>
      </c>
      <c r="Y693" s="81">
        <f>HLOOKUP(R693,データについて!$J$12:$M$18,7,FALSE)</f>
        <v>3</v>
      </c>
      <c r="Z693" s="81">
        <f>HLOOKUP(I693,データについて!$J$3:$M$18,16,FALSE)</f>
        <v>2</v>
      </c>
      <c r="AA693" s="81" t="str">
        <f>IFERROR(HLOOKUP(J693,データについて!$J$4:$AH$19,16,FALSE),"")</f>
        <v/>
      </c>
      <c r="AB693" s="81">
        <f>IFERROR(HLOOKUP(K693,データについて!$J$5:$AH$20,14,FALSE),"")</f>
        <v>0</v>
      </c>
      <c r="AC693" s="81">
        <f>IF(X693=1,HLOOKUP(R693,データについて!$J$12:$M$18,7,FALSE),"*")</f>
        <v>3</v>
      </c>
      <c r="AD693" s="81" t="str">
        <f>IF(X693=2,HLOOKUP(R693,データについて!$J$12:$M$18,7,FALSE),"*")</f>
        <v>*</v>
      </c>
    </row>
    <row r="694" spans="1:30">
      <c r="A694" s="30">
        <v>4498</v>
      </c>
      <c r="B694" s="30" t="s">
        <v>4320</v>
      </c>
      <c r="C694" s="30" t="s">
        <v>4321</v>
      </c>
      <c r="D694" s="30" t="s">
        <v>106</v>
      </c>
      <c r="E694" s="30"/>
      <c r="F694" s="30" t="s">
        <v>107</v>
      </c>
      <c r="G694" s="30" t="s">
        <v>106</v>
      </c>
      <c r="H694" s="30"/>
      <c r="I694" s="30" t="s">
        <v>191</v>
      </c>
      <c r="J694" s="30"/>
      <c r="K694" s="30" t="s">
        <v>126</v>
      </c>
      <c r="L694" s="30" t="s">
        <v>117</v>
      </c>
      <c r="M694" s="30" t="s">
        <v>109</v>
      </c>
      <c r="N694" s="30" t="s">
        <v>122</v>
      </c>
      <c r="O694" s="30" t="s">
        <v>115</v>
      </c>
      <c r="P694" s="30" t="s">
        <v>112</v>
      </c>
      <c r="Q694" s="30" t="s">
        <v>112</v>
      </c>
      <c r="R694" s="30" t="s">
        <v>185</v>
      </c>
      <c r="S694" s="81">
        <f>HLOOKUP(L694,データについて!$J$6:$M$18,13,FALSE)</f>
        <v>2</v>
      </c>
      <c r="T694" s="81">
        <f>HLOOKUP(M694,データについて!$J$7:$M$18,12,FALSE)</f>
        <v>2</v>
      </c>
      <c r="U694" s="81">
        <f>HLOOKUP(N694,データについて!$J$8:$M$18,11,FALSE)</f>
        <v>3</v>
      </c>
      <c r="V694" s="81">
        <f>HLOOKUP(O694,データについて!$J$9:$M$18,10,FALSE)</f>
        <v>1</v>
      </c>
      <c r="W694" s="81">
        <f>HLOOKUP(P694,データについて!$J$10:$M$18,9,FALSE)</f>
        <v>1</v>
      </c>
      <c r="X694" s="81">
        <f>HLOOKUP(Q694,データについて!$J$11:$M$18,8,FALSE)</f>
        <v>1</v>
      </c>
      <c r="Y694" s="81">
        <f>HLOOKUP(R694,データについて!$J$12:$M$18,7,FALSE)</f>
        <v>2</v>
      </c>
      <c r="Z694" s="81">
        <f>HLOOKUP(I694,データについて!$J$3:$M$18,16,FALSE)</f>
        <v>2</v>
      </c>
      <c r="AA694" s="81" t="str">
        <f>IFERROR(HLOOKUP(J694,データについて!$J$4:$AH$19,16,FALSE),"")</f>
        <v/>
      </c>
      <c r="AB694" s="81">
        <f>IFERROR(HLOOKUP(K694,データについて!$J$5:$AH$20,14,FALSE),"")</f>
        <v>0</v>
      </c>
      <c r="AC694" s="81">
        <f>IF(X694=1,HLOOKUP(R694,データについて!$J$12:$M$18,7,FALSE),"*")</f>
        <v>2</v>
      </c>
      <c r="AD694" s="81" t="str">
        <f>IF(X694=2,HLOOKUP(R694,データについて!$J$12:$M$18,7,FALSE),"*")</f>
        <v>*</v>
      </c>
    </row>
    <row r="695" spans="1:30">
      <c r="A695" s="30">
        <v>4497</v>
      </c>
      <c r="B695" s="30" t="s">
        <v>4322</v>
      </c>
      <c r="C695" s="30" t="s">
        <v>4323</v>
      </c>
      <c r="D695" s="30" t="s">
        <v>106</v>
      </c>
      <c r="E695" s="30"/>
      <c r="F695" s="30" t="s">
        <v>107</v>
      </c>
      <c r="G695" s="30" t="s">
        <v>106</v>
      </c>
      <c r="H695" s="30"/>
      <c r="I695" s="30" t="s">
        <v>191</v>
      </c>
      <c r="J695" s="30"/>
      <c r="K695" s="30" t="s">
        <v>126</v>
      </c>
      <c r="L695" s="30" t="s">
        <v>108</v>
      </c>
      <c r="M695" s="30" t="s">
        <v>113</v>
      </c>
      <c r="N695" s="30" t="s">
        <v>110</v>
      </c>
      <c r="O695" s="30" t="s">
        <v>115</v>
      </c>
      <c r="P695" s="30" t="s">
        <v>112</v>
      </c>
      <c r="Q695" s="30" t="s">
        <v>112</v>
      </c>
      <c r="R695" s="30" t="s">
        <v>187</v>
      </c>
      <c r="S695" s="81">
        <f>HLOOKUP(L695,データについて!$J$6:$M$18,13,FALSE)</f>
        <v>1</v>
      </c>
      <c r="T695" s="81">
        <f>HLOOKUP(M695,データについて!$J$7:$M$18,12,FALSE)</f>
        <v>1</v>
      </c>
      <c r="U695" s="81">
        <f>HLOOKUP(N695,データについて!$J$8:$M$18,11,FALSE)</f>
        <v>2</v>
      </c>
      <c r="V695" s="81">
        <f>HLOOKUP(O695,データについて!$J$9:$M$18,10,FALSE)</f>
        <v>1</v>
      </c>
      <c r="W695" s="81">
        <f>HLOOKUP(P695,データについて!$J$10:$M$18,9,FALSE)</f>
        <v>1</v>
      </c>
      <c r="X695" s="81">
        <f>HLOOKUP(Q695,データについて!$J$11:$M$18,8,FALSE)</f>
        <v>1</v>
      </c>
      <c r="Y695" s="81">
        <f>HLOOKUP(R695,データについて!$J$12:$M$18,7,FALSE)</f>
        <v>3</v>
      </c>
      <c r="Z695" s="81">
        <f>HLOOKUP(I695,データについて!$J$3:$M$18,16,FALSE)</f>
        <v>2</v>
      </c>
      <c r="AA695" s="81" t="str">
        <f>IFERROR(HLOOKUP(J695,データについて!$J$4:$AH$19,16,FALSE),"")</f>
        <v/>
      </c>
      <c r="AB695" s="81">
        <f>IFERROR(HLOOKUP(K695,データについて!$J$5:$AH$20,14,FALSE),"")</f>
        <v>0</v>
      </c>
      <c r="AC695" s="81">
        <f>IF(X695=1,HLOOKUP(R695,データについて!$J$12:$M$18,7,FALSE),"*")</f>
        <v>3</v>
      </c>
      <c r="AD695" s="81" t="str">
        <f>IF(X695=2,HLOOKUP(R695,データについて!$J$12:$M$18,7,FALSE),"*")</f>
        <v>*</v>
      </c>
    </row>
    <row r="696" spans="1:30">
      <c r="A696" s="30">
        <v>4496</v>
      </c>
      <c r="B696" s="30" t="s">
        <v>4324</v>
      </c>
      <c r="C696" s="30" t="s">
        <v>4325</v>
      </c>
      <c r="D696" s="30" t="s">
        <v>106</v>
      </c>
      <c r="E696" s="30"/>
      <c r="F696" s="30" t="s">
        <v>107</v>
      </c>
      <c r="G696" s="30" t="s">
        <v>106</v>
      </c>
      <c r="H696" s="30"/>
      <c r="I696" s="30" t="s">
        <v>191</v>
      </c>
      <c r="J696" s="30"/>
      <c r="K696" s="30" t="s">
        <v>126</v>
      </c>
      <c r="L696" s="30" t="s">
        <v>108</v>
      </c>
      <c r="M696" s="30" t="s">
        <v>113</v>
      </c>
      <c r="N696" s="30" t="s">
        <v>110</v>
      </c>
      <c r="O696" s="30" t="s">
        <v>115</v>
      </c>
      <c r="P696" s="30" t="s">
        <v>118</v>
      </c>
      <c r="Q696" s="30" t="s">
        <v>112</v>
      </c>
      <c r="R696" s="30" t="s">
        <v>185</v>
      </c>
      <c r="S696" s="81">
        <f>HLOOKUP(L696,データについて!$J$6:$M$18,13,FALSE)</f>
        <v>1</v>
      </c>
      <c r="T696" s="81">
        <f>HLOOKUP(M696,データについて!$J$7:$M$18,12,FALSE)</f>
        <v>1</v>
      </c>
      <c r="U696" s="81">
        <f>HLOOKUP(N696,データについて!$J$8:$M$18,11,FALSE)</f>
        <v>2</v>
      </c>
      <c r="V696" s="81">
        <f>HLOOKUP(O696,データについて!$J$9:$M$18,10,FALSE)</f>
        <v>1</v>
      </c>
      <c r="W696" s="81">
        <f>HLOOKUP(P696,データについて!$J$10:$M$18,9,FALSE)</f>
        <v>2</v>
      </c>
      <c r="X696" s="81">
        <f>HLOOKUP(Q696,データについて!$J$11:$M$18,8,FALSE)</f>
        <v>1</v>
      </c>
      <c r="Y696" s="81">
        <f>HLOOKUP(R696,データについて!$J$12:$M$18,7,FALSE)</f>
        <v>2</v>
      </c>
      <c r="Z696" s="81">
        <f>HLOOKUP(I696,データについて!$J$3:$M$18,16,FALSE)</f>
        <v>2</v>
      </c>
      <c r="AA696" s="81" t="str">
        <f>IFERROR(HLOOKUP(J696,データについて!$J$4:$AH$19,16,FALSE),"")</f>
        <v/>
      </c>
      <c r="AB696" s="81">
        <f>IFERROR(HLOOKUP(K696,データについて!$J$5:$AH$20,14,FALSE),"")</f>
        <v>0</v>
      </c>
      <c r="AC696" s="81">
        <f>IF(X696=1,HLOOKUP(R696,データについて!$J$12:$M$18,7,FALSE),"*")</f>
        <v>2</v>
      </c>
      <c r="AD696" s="81" t="str">
        <f>IF(X696=2,HLOOKUP(R696,データについて!$J$12:$M$18,7,FALSE),"*")</f>
        <v>*</v>
      </c>
    </row>
    <row r="697" spans="1:30">
      <c r="A697" s="30">
        <v>4495</v>
      </c>
      <c r="B697" s="30" t="s">
        <v>4326</v>
      </c>
      <c r="C697" s="30" t="s">
        <v>4327</v>
      </c>
      <c r="D697" s="30" t="s">
        <v>106</v>
      </c>
      <c r="E697" s="30"/>
      <c r="F697" s="30" t="s">
        <v>107</v>
      </c>
      <c r="G697" s="30" t="s">
        <v>106</v>
      </c>
      <c r="H697" s="30"/>
      <c r="I697" s="30" t="s">
        <v>191</v>
      </c>
      <c r="J697" s="30"/>
      <c r="K697" s="30" t="s">
        <v>126</v>
      </c>
      <c r="L697" s="30" t="s">
        <v>108</v>
      </c>
      <c r="M697" s="30" t="s">
        <v>113</v>
      </c>
      <c r="N697" s="30" t="s">
        <v>110</v>
      </c>
      <c r="O697" s="30" t="s">
        <v>115</v>
      </c>
      <c r="P697" s="30" t="s">
        <v>112</v>
      </c>
      <c r="Q697" s="30" t="s">
        <v>112</v>
      </c>
      <c r="R697" s="30" t="s">
        <v>185</v>
      </c>
      <c r="S697" s="81">
        <f>HLOOKUP(L697,データについて!$J$6:$M$18,13,FALSE)</f>
        <v>1</v>
      </c>
      <c r="T697" s="81">
        <f>HLOOKUP(M697,データについて!$J$7:$M$18,12,FALSE)</f>
        <v>1</v>
      </c>
      <c r="U697" s="81">
        <f>HLOOKUP(N697,データについて!$J$8:$M$18,11,FALSE)</f>
        <v>2</v>
      </c>
      <c r="V697" s="81">
        <f>HLOOKUP(O697,データについて!$J$9:$M$18,10,FALSE)</f>
        <v>1</v>
      </c>
      <c r="W697" s="81">
        <f>HLOOKUP(P697,データについて!$J$10:$M$18,9,FALSE)</f>
        <v>1</v>
      </c>
      <c r="X697" s="81">
        <f>HLOOKUP(Q697,データについて!$J$11:$M$18,8,FALSE)</f>
        <v>1</v>
      </c>
      <c r="Y697" s="81">
        <f>HLOOKUP(R697,データについて!$J$12:$M$18,7,FALSE)</f>
        <v>2</v>
      </c>
      <c r="Z697" s="81">
        <f>HLOOKUP(I697,データについて!$J$3:$M$18,16,FALSE)</f>
        <v>2</v>
      </c>
      <c r="AA697" s="81" t="str">
        <f>IFERROR(HLOOKUP(J697,データについて!$J$4:$AH$19,16,FALSE),"")</f>
        <v/>
      </c>
      <c r="AB697" s="81">
        <f>IFERROR(HLOOKUP(K697,データについて!$J$5:$AH$20,14,FALSE),"")</f>
        <v>0</v>
      </c>
      <c r="AC697" s="81">
        <f>IF(X697=1,HLOOKUP(R697,データについて!$J$12:$M$18,7,FALSE),"*")</f>
        <v>2</v>
      </c>
      <c r="AD697" s="81" t="str">
        <f>IF(X697=2,HLOOKUP(R697,データについて!$J$12:$M$18,7,FALSE),"*")</f>
        <v>*</v>
      </c>
    </row>
    <row r="698" spans="1:30">
      <c r="A698" s="30">
        <v>4494</v>
      </c>
      <c r="B698" s="30" t="s">
        <v>4328</v>
      </c>
      <c r="C698" s="30" t="s">
        <v>4329</v>
      </c>
      <c r="D698" s="30" t="s">
        <v>106</v>
      </c>
      <c r="E698" s="30"/>
      <c r="F698" s="30" t="s">
        <v>107</v>
      </c>
      <c r="G698" s="30" t="s">
        <v>106</v>
      </c>
      <c r="H698" s="30"/>
      <c r="I698" s="30" t="s">
        <v>191</v>
      </c>
      <c r="J698" s="30"/>
      <c r="K698" s="30" t="s">
        <v>126</v>
      </c>
      <c r="L698" s="30" t="s">
        <v>117</v>
      </c>
      <c r="M698" s="30" t="s">
        <v>109</v>
      </c>
      <c r="N698" s="30" t="s">
        <v>110</v>
      </c>
      <c r="O698" s="30" t="s">
        <v>116</v>
      </c>
      <c r="P698" s="30" t="s">
        <v>112</v>
      </c>
      <c r="Q698" s="30" t="s">
        <v>112</v>
      </c>
      <c r="R698" s="30" t="s">
        <v>187</v>
      </c>
      <c r="S698" s="81">
        <f>HLOOKUP(L698,データについて!$J$6:$M$18,13,FALSE)</f>
        <v>2</v>
      </c>
      <c r="T698" s="81">
        <f>HLOOKUP(M698,データについて!$J$7:$M$18,12,FALSE)</f>
        <v>2</v>
      </c>
      <c r="U698" s="81">
        <f>HLOOKUP(N698,データについて!$J$8:$M$18,11,FALSE)</f>
        <v>2</v>
      </c>
      <c r="V698" s="81">
        <f>HLOOKUP(O698,データについて!$J$9:$M$18,10,FALSE)</f>
        <v>2</v>
      </c>
      <c r="W698" s="81">
        <f>HLOOKUP(P698,データについて!$J$10:$M$18,9,FALSE)</f>
        <v>1</v>
      </c>
      <c r="X698" s="81">
        <f>HLOOKUP(Q698,データについて!$J$11:$M$18,8,FALSE)</f>
        <v>1</v>
      </c>
      <c r="Y698" s="81">
        <f>HLOOKUP(R698,データについて!$J$12:$M$18,7,FALSE)</f>
        <v>3</v>
      </c>
      <c r="Z698" s="81">
        <f>HLOOKUP(I698,データについて!$J$3:$M$18,16,FALSE)</f>
        <v>2</v>
      </c>
      <c r="AA698" s="81" t="str">
        <f>IFERROR(HLOOKUP(J698,データについて!$J$4:$AH$19,16,FALSE),"")</f>
        <v/>
      </c>
      <c r="AB698" s="81">
        <f>IFERROR(HLOOKUP(K698,データについて!$J$5:$AH$20,14,FALSE),"")</f>
        <v>0</v>
      </c>
      <c r="AC698" s="81">
        <f>IF(X698=1,HLOOKUP(R698,データについて!$J$12:$M$18,7,FALSE),"*")</f>
        <v>3</v>
      </c>
      <c r="AD698" s="81" t="str">
        <f>IF(X698=2,HLOOKUP(R698,データについて!$J$12:$M$18,7,FALSE),"*")</f>
        <v>*</v>
      </c>
    </row>
    <row r="699" spans="1:30">
      <c r="A699" s="30">
        <v>4493</v>
      </c>
      <c r="B699" s="30" t="s">
        <v>4330</v>
      </c>
      <c r="C699" s="30" t="s">
        <v>4331</v>
      </c>
      <c r="D699" s="30" t="s">
        <v>106</v>
      </c>
      <c r="E699" s="30"/>
      <c r="F699" s="30" t="s">
        <v>107</v>
      </c>
      <c r="G699" s="30" t="s">
        <v>106</v>
      </c>
      <c r="H699" s="30"/>
      <c r="I699" s="30" t="s">
        <v>191</v>
      </c>
      <c r="J699" s="30"/>
      <c r="K699" s="30" t="s">
        <v>126</v>
      </c>
      <c r="L699" s="30" t="s">
        <v>108</v>
      </c>
      <c r="M699" s="30" t="s">
        <v>113</v>
      </c>
      <c r="N699" s="30" t="s">
        <v>114</v>
      </c>
      <c r="O699" s="30" t="s">
        <v>115</v>
      </c>
      <c r="P699" s="30" t="s">
        <v>118</v>
      </c>
      <c r="Q699" s="30" t="s">
        <v>112</v>
      </c>
      <c r="R699" s="30" t="s">
        <v>185</v>
      </c>
      <c r="S699" s="81">
        <f>HLOOKUP(L699,データについて!$J$6:$M$18,13,FALSE)</f>
        <v>1</v>
      </c>
      <c r="T699" s="81">
        <f>HLOOKUP(M699,データについて!$J$7:$M$18,12,FALSE)</f>
        <v>1</v>
      </c>
      <c r="U699" s="81">
        <f>HLOOKUP(N699,データについて!$J$8:$M$18,11,FALSE)</f>
        <v>1</v>
      </c>
      <c r="V699" s="81">
        <f>HLOOKUP(O699,データについて!$J$9:$M$18,10,FALSE)</f>
        <v>1</v>
      </c>
      <c r="W699" s="81">
        <f>HLOOKUP(P699,データについて!$J$10:$M$18,9,FALSE)</f>
        <v>2</v>
      </c>
      <c r="X699" s="81">
        <f>HLOOKUP(Q699,データについて!$J$11:$M$18,8,FALSE)</f>
        <v>1</v>
      </c>
      <c r="Y699" s="81">
        <f>HLOOKUP(R699,データについて!$J$12:$M$18,7,FALSE)</f>
        <v>2</v>
      </c>
      <c r="Z699" s="81">
        <f>HLOOKUP(I699,データについて!$J$3:$M$18,16,FALSE)</f>
        <v>2</v>
      </c>
      <c r="AA699" s="81" t="str">
        <f>IFERROR(HLOOKUP(J699,データについて!$J$4:$AH$19,16,FALSE),"")</f>
        <v/>
      </c>
      <c r="AB699" s="81">
        <f>IFERROR(HLOOKUP(K699,データについて!$J$5:$AH$20,14,FALSE),"")</f>
        <v>0</v>
      </c>
      <c r="AC699" s="81">
        <f>IF(X699=1,HLOOKUP(R699,データについて!$J$12:$M$18,7,FALSE),"*")</f>
        <v>2</v>
      </c>
      <c r="AD699" s="81" t="str">
        <f>IF(X699=2,HLOOKUP(R699,データについて!$J$12:$M$18,7,FALSE),"*")</f>
        <v>*</v>
      </c>
    </row>
    <row r="700" spans="1:30">
      <c r="A700" s="30">
        <v>4492</v>
      </c>
      <c r="B700" s="30" t="s">
        <v>4332</v>
      </c>
      <c r="C700" s="30" t="s">
        <v>4333</v>
      </c>
      <c r="D700" s="30" t="s">
        <v>106</v>
      </c>
      <c r="E700" s="30"/>
      <c r="F700" s="30" t="s">
        <v>107</v>
      </c>
      <c r="G700" s="30" t="s">
        <v>106</v>
      </c>
      <c r="H700" s="30"/>
      <c r="I700" s="30" t="s">
        <v>191</v>
      </c>
      <c r="J700" s="30"/>
      <c r="K700" s="30" t="s">
        <v>126</v>
      </c>
      <c r="L700" s="30" t="s">
        <v>108</v>
      </c>
      <c r="M700" s="30" t="s">
        <v>113</v>
      </c>
      <c r="N700" s="30" t="s">
        <v>114</v>
      </c>
      <c r="O700" s="30" t="s">
        <v>115</v>
      </c>
      <c r="P700" s="30" t="s">
        <v>112</v>
      </c>
      <c r="Q700" s="30" t="s">
        <v>118</v>
      </c>
      <c r="R700" s="30" t="s">
        <v>185</v>
      </c>
      <c r="S700" s="81">
        <f>HLOOKUP(L700,データについて!$J$6:$M$18,13,FALSE)</f>
        <v>1</v>
      </c>
      <c r="T700" s="81">
        <f>HLOOKUP(M700,データについて!$J$7:$M$18,12,FALSE)</f>
        <v>1</v>
      </c>
      <c r="U700" s="81">
        <f>HLOOKUP(N700,データについて!$J$8:$M$18,11,FALSE)</f>
        <v>1</v>
      </c>
      <c r="V700" s="81">
        <f>HLOOKUP(O700,データについて!$J$9:$M$18,10,FALSE)</f>
        <v>1</v>
      </c>
      <c r="W700" s="81">
        <f>HLOOKUP(P700,データについて!$J$10:$M$18,9,FALSE)</f>
        <v>1</v>
      </c>
      <c r="X700" s="81">
        <f>HLOOKUP(Q700,データについて!$J$11:$M$18,8,FALSE)</f>
        <v>2</v>
      </c>
      <c r="Y700" s="81">
        <f>HLOOKUP(R700,データについて!$J$12:$M$18,7,FALSE)</f>
        <v>2</v>
      </c>
      <c r="Z700" s="81">
        <f>HLOOKUP(I700,データについて!$J$3:$M$18,16,FALSE)</f>
        <v>2</v>
      </c>
      <c r="AA700" s="81" t="str">
        <f>IFERROR(HLOOKUP(J700,データについて!$J$4:$AH$19,16,FALSE),"")</f>
        <v/>
      </c>
      <c r="AB700" s="81">
        <f>IFERROR(HLOOKUP(K700,データについて!$J$5:$AH$20,14,FALSE),"")</f>
        <v>0</v>
      </c>
      <c r="AC700" s="81" t="str">
        <f>IF(X700=1,HLOOKUP(R700,データについて!$J$12:$M$18,7,FALSE),"*")</f>
        <v>*</v>
      </c>
      <c r="AD700" s="81">
        <f>IF(X700=2,HLOOKUP(R700,データについて!$J$12:$M$18,7,FALSE),"*")</f>
        <v>2</v>
      </c>
    </row>
    <row r="701" spans="1:30">
      <c r="A701" s="30">
        <v>4491</v>
      </c>
      <c r="B701" s="30" t="s">
        <v>4334</v>
      </c>
      <c r="C701" s="30" t="s">
        <v>4335</v>
      </c>
      <c r="D701" s="30" t="s">
        <v>106</v>
      </c>
      <c r="E701" s="30"/>
      <c r="F701" s="30" t="s">
        <v>107</v>
      </c>
      <c r="G701" s="30" t="s">
        <v>106</v>
      </c>
      <c r="H701" s="30"/>
      <c r="I701" s="30" t="s">
        <v>191</v>
      </c>
      <c r="J701" s="30"/>
      <c r="K701" s="30" t="s">
        <v>126</v>
      </c>
      <c r="L701" s="30" t="s">
        <v>117</v>
      </c>
      <c r="M701" s="30" t="s">
        <v>113</v>
      </c>
      <c r="N701" s="30" t="s">
        <v>110</v>
      </c>
      <c r="O701" s="30" t="s">
        <v>115</v>
      </c>
      <c r="P701" s="30" t="s">
        <v>112</v>
      </c>
      <c r="Q701" s="30" t="s">
        <v>112</v>
      </c>
      <c r="R701" s="30" t="s">
        <v>185</v>
      </c>
      <c r="S701" s="81">
        <f>HLOOKUP(L701,データについて!$J$6:$M$18,13,FALSE)</f>
        <v>2</v>
      </c>
      <c r="T701" s="81">
        <f>HLOOKUP(M701,データについて!$J$7:$M$18,12,FALSE)</f>
        <v>1</v>
      </c>
      <c r="U701" s="81">
        <f>HLOOKUP(N701,データについて!$J$8:$M$18,11,FALSE)</f>
        <v>2</v>
      </c>
      <c r="V701" s="81">
        <f>HLOOKUP(O701,データについて!$J$9:$M$18,10,FALSE)</f>
        <v>1</v>
      </c>
      <c r="W701" s="81">
        <f>HLOOKUP(P701,データについて!$J$10:$M$18,9,FALSE)</f>
        <v>1</v>
      </c>
      <c r="X701" s="81">
        <f>HLOOKUP(Q701,データについて!$J$11:$M$18,8,FALSE)</f>
        <v>1</v>
      </c>
      <c r="Y701" s="81">
        <f>HLOOKUP(R701,データについて!$J$12:$M$18,7,FALSE)</f>
        <v>2</v>
      </c>
      <c r="Z701" s="81">
        <f>HLOOKUP(I701,データについて!$J$3:$M$18,16,FALSE)</f>
        <v>2</v>
      </c>
      <c r="AA701" s="81" t="str">
        <f>IFERROR(HLOOKUP(J701,データについて!$J$4:$AH$19,16,FALSE),"")</f>
        <v/>
      </c>
      <c r="AB701" s="81">
        <f>IFERROR(HLOOKUP(K701,データについて!$J$5:$AH$20,14,FALSE),"")</f>
        <v>0</v>
      </c>
      <c r="AC701" s="81">
        <f>IF(X701=1,HLOOKUP(R701,データについて!$J$12:$M$18,7,FALSE),"*")</f>
        <v>2</v>
      </c>
      <c r="AD701" s="81" t="str">
        <f>IF(X701=2,HLOOKUP(R701,データについて!$J$12:$M$18,7,FALSE),"*")</f>
        <v>*</v>
      </c>
    </row>
    <row r="702" spans="1:30">
      <c r="A702" s="30">
        <v>4490</v>
      </c>
      <c r="B702" s="30" t="s">
        <v>4336</v>
      </c>
      <c r="C702" s="30" t="s">
        <v>4337</v>
      </c>
      <c r="D702" s="30" t="s">
        <v>106</v>
      </c>
      <c r="E702" s="30"/>
      <c r="F702" s="30" t="s">
        <v>107</v>
      </c>
      <c r="G702" s="30" t="s">
        <v>106</v>
      </c>
      <c r="H702" s="30"/>
      <c r="I702" s="30" t="s">
        <v>191</v>
      </c>
      <c r="J702" s="30"/>
      <c r="K702" s="30" t="s">
        <v>126</v>
      </c>
      <c r="L702" s="30" t="s">
        <v>117</v>
      </c>
      <c r="M702" s="30" t="s">
        <v>109</v>
      </c>
      <c r="N702" s="30" t="s">
        <v>110</v>
      </c>
      <c r="O702" s="30" t="s">
        <v>115</v>
      </c>
      <c r="P702" s="30" t="s">
        <v>118</v>
      </c>
      <c r="Q702" s="30" t="s">
        <v>112</v>
      </c>
      <c r="R702" s="30" t="s">
        <v>187</v>
      </c>
      <c r="S702" s="81">
        <f>HLOOKUP(L702,データについて!$J$6:$M$18,13,FALSE)</f>
        <v>2</v>
      </c>
      <c r="T702" s="81">
        <f>HLOOKUP(M702,データについて!$J$7:$M$18,12,FALSE)</f>
        <v>2</v>
      </c>
      <c r="U702" s="81">
        <f>HLOOKUP(N702,データについて!$J$8:$M$18,11,FALSE)</f>
        <v>2</v>
      </c>
      <c r="V702" s="81">
        <f>HLOOKUP(O702,データについて!$J$9:$M$18,10,FALSE)</f>
        <v>1</v>
      </c>
      <c r="W702" s="81">
        <f>HLOOKUP(P702,データについて!$J$10:$M$18,9,FALSE)</f>
        <v>2</v>
      </c>
      <c r="X702" s="81">
        <f>HLOOKUP(Q702,データについて!$J$11:$M$18,8,FALSE)</f>
        <v>1</v>
      </c>
      <c r="Y702" s="81">
        <f>HLOOKUP(R702,データについて!$J$12:$M$18,7,FALSE)</f>
        <v>3</v>
      </c>
      <c r="Z702" s="81">
        <f>HLOOKUP(I702,データについて!$J$3:$M$18,16,FALSE)</f>
        <v>2</v>
      </c>
      <c r="AA702" s="81" t="str">
        <f>IFERROR(HLOOKUP(J702,データについて!$J$4:$AH$19,16,FALSE),"")</f>
        <v/>
      </c>
      <c r="AB702" s="81">
        <f>IFERROR(HLOOKUP(K702,データについて!$J$5:$AH$20,14,FALSE),"")</f>
        <v>0</v>
      </c>
      <c r="AC702" s="81">
        <f>IF(X702=1,HLOOKUP(R702,データについて!$J$12:$M$18,7,FALSE),"*")</f>
        <v>3</v>
      </c>
      <c r="AD702" s="81" t="str">
        <f>IF(X702=2,HLOOKUP(R702,データについて!$J$12:$M$18,7,FALSE),"*")</f>
        <v>*</v>
      </c>
    </row>
    <row r="703" spans="1:30">
      <c r="A703" s="30">
        <v>4489</v>
      </c>
      <c r="B703" s="30" t="s">
        <v>2932</v>
      </c>
      <c r="C703" s="30" t="s">
        <v>2933</v>
      </c>
      <c r="D703" s="30" t="s">
        <v>106</v>
      </c>
      <c r="E703" s="30"/>
      <c r="F703" s="30" t="s">
        <v>107</v>
      </c>
      <c r="G703" s="30" t="s">
        <v>106</v>
      </c>
      <c r="H703" s="30"/>
      <c r="I703" s="30" t="s">
        <v>192</v>
      </c>
      <c r="J703" s="30" t="s">
        <v>2934</v>
      </c>
      <c r="K703" s="30"/>
      <c r="L703" s="30" t="s">
        <v>108</v>
      </c>
      <c r="M703" s="30" t="s">
        <v>109</v>
      </c>
      <c r="N703" s="30" t="s">
        <v>114</v>
      </c>
      <c r="O703" s="30" t="s">
        <v>123</v>
      </c>
      <c r="P703" s="30" t="s">
        <v>112</v>
      </c>
      <c r="Q703" s="30" t="s">
        <v>112</v>
      </c>
      <c r="R703" s="30" t="s">
        <v>183</v>
      </c>
      <c r="S703" s="81">
        <f>HLOOKUP(L703,データについて!$J$6:$M$18,13,FALSE)</f>
        <v>1</v>
      </c>
      <c r="T703" s="81">
        <f>HLOOKUP(M703,データについて!$J$7:$M$18,12,FALSE)</f>
        <v>2</v>
      </c>
      <c r="U703" s="81">
        <f>HLOOKUP(N703,データについて!$J$8:$M$18,11,FALSE)</f>
        <v>1</v>
      </c>
      <c r="V703" s="81">
        <f>HLOOKUP(O703,データについて!$J$9:$M$18,10,FALSE)</f>
        <v>4</v>
      </c>
      <c r="W703" s="81">
        <f>HLOOKUP(P703,データについて!$J$10:$M$18,9,FALSE)</f>
        <v>1</v>
      </c>
      <c r="X703" s="81">
        <f>HLOOKUP(Q703,データについて!$J$11:$M$18,8,FALSE)</f>
        <v>1</v>
      </c>
      <c r="Y703" s="81">
        <f>HLOOKUP(R703,データについて!$J$12:$M$18,7,FALSE)</f>
        <v>1</v>
      </c>
      <c r="Z703" s="81">
        <f>HLOOKUP(I703,データについて!$J$3:$M$18,16,FALSE)</f>
        <v>1</v>
      </c>
      <c r="AA703" s="81">
        <f>IFERROR(HLOOKUP(J703,データについて!$J$4:$AH$19,16,FALSE),"")</f>
        <v>16</v>
      </c>
      <c r="AB703" s="81" t="str">
        <f>IFERROR(HLOOKUP(K703,データについて!$J$5:$AH$20,14,FALSE),"")</f>
        <v/>
      </c>
      <c r="AC703" s="81">
        <f>IF(X703=1,HLOOKUP(R703,データについて!$J$12:$M$18,7,FALSE),"*")</f>
        <v>1</v>
      </c>
      <c r="AD703" s="81" t="str">
        <f>IF(X703=2,HLOOKUP(R703,データについて!$J$12:$M$18,7,FALSE),"*")</f>
        <v>*</v>
      </c>
    </row>
    <row r="704" spans="1:30">
      <c r="A704" s="30">
        <v>4488</v>
      </c>
      <c r="B704" s="30" t="s">
        <v>2935</v>
      </c>
      <c r="C704" s="30" t="s">
        <v>2936</v>
      </c>
      <c r="D704" s="30" t="s">
        <v>106</v>
      </c>
      <c r="E704" s="30"/>
      <c r="F704" s="30" t="s">
        <v>107</v>
      </c>
      <c r="G704" s="30" t="s">
        <v>106</v>
      </c>
      <c r="H704" s="30"/>
      <c r="I704" s="30" t="s">
        <v>192</v>
      </c>
      <c r="J704" s="30" t="s">
        <v>2934</v>
      </c>
      <c r="K704" s="30"/>
      <c r="L704" s="30" t="s">
        <v>108</v>
      </c>
      <c r="M704" s="30" t="s">
        <v>113</v>
      </c>
      <c r="N704" s="30" t="s">
        <v>114</v>
      </c>
      <c r="O704" s="30" t="s">
        <v>115</v>
      </c>
      <c r="P704" s="30" t="s">
        <v>112</v>
      </c>
      <c r="Q704" s="30" t="s">
        <v>112</v>
      </c>
      <c r="R704" s="30" t="s">
        <v>185</v>
      </c>
      <c r="S704" s="81">
        <f>HLOOKUP(L704,データについて!$J$6:$M$18,13,FALSE)</f>
        <v>1</v>
      </c>
      <c r="T704" s="81">
        <f>HLOOKUP(M704,データについて!$J$7:$M$18,12,FALSE)</f>
        <v>1</v>
      </c>
      <c r="U704" s="81">
        <f>HLOOKUP(N704,データについて!$J$8:$M$18,11,FALSE)</f>
        <v>1</v>
      </c>
      <c r="V704" s="81">
        <f>HLOOKUP(O704,データについて!$J$9:$M$18,10,FALSE)</f>
        <v>1</v>
      </c>
      <c r="W704" s="81">
        <f>HLOOKUP(P704,データについて!$J$10:$M$18,9,FALSE)</f>
        <v>1</v>
      </c>
      <c r="X704" s="81">
        <f>HLOOKUP(Q704,データについて!$J$11:$M$18,8,FALSE)</f>
        <v>1</v>
      </c>
      <c r="Y704" s="81">
        <f>HLOOKUP(R704,データについて!$J$12:$M$18,7,FALSE)</f>
        <v>2</v>
      </c>
      <c r="Z704" s="81">
        <f>HLOOKUP(I704,データについて!$J$3:$M$18,16,FALSE)</f>
        <v>1</v>
      </c>
      <c r="AA704" s="81">
        <f>IFERROR(HLOOKUP(J704,データについて!$J$4:$AH$19,16,FALSE),"")</f>
        <v>16</v>
      </c>
      <c r="AB704" s="81" t="str">
        <f>IFERROR(HLOOKUP(K704,データについて!$J$5:$AH$20,14,FALSE),"")</f>
        <v/>
      </c>
      <c r="AC704" s="81">
        <f>IF(X704=1,HLOOKUP(R704,データについて!$J$12:$M$18,7,FALSE),"*")</f>
        <v>2</v>
      </c>
      <c r="AD704" s="81" t="str">
        <f>IF(X704=2,HLOOKUP(R704,データについて!$J$12:$M$18,7,FALSE),"*")</f>
        <v>*</v>
      </c>
    </row>
    <row r="705" spans="1:30">
      <c r="A705" s="30">
        <v>4487</v>
      </c>
      <c r="B705" s="30" t="s">
        <v>2937</v>
      </c>
      <c r="C705" s="30" t="s">
        <v>2938</v>
      </c>
      <c r="D705" s="30" t="s">
        <v>106</v>
      </c>
      <c r="E705" s="30"/>
      <c r="F705" s="30" t="s">
        <v>107</v>
      </c>
      <c r="G705" s="30" t="s">
        <v>106</v>
      </c>
      <c r="H705" s="30"/>
      <c r="I705" s="30" t="s">
        <v>192</v>
      </c>
      <c r="J705" s="30" t="s">
        <v>2934</v>
      </c>
      <c r="K705" s="30"/>
      <c r="L705" s="30" t="s">
        <v>108</v>
      </c>
      <c r="M705" s="30" t="s">
        <v>113</v>
      </c>
      <c r="N705" s="30" t="s">
        <v>114</v>
      </c>
      <c r="O705" s="30" t="s">
        <v>123</v>
      </c>
      <c r="P705" s="30" t="s">
        <v>112</v>
      </c>
      <c r="Q705" s="30" t="s">
        <v>112</v>
      </c>
      <c r="R705" s="30" t="s">
        <v>183</v>
      </c>
      <c r="S705" s="81">
        <f>HLOOKUP(L705,データについて!$J$6:$M$18,13,FALSE)</f>
        <v>1</v>
      </c>
      <c r="T705" s="81">
        <f>HLOOKUP(M705,データについて!$J$7:$M$18,12,FALSE)</f>
        <v>1</v>
      </c>
      <c r="U705" s="81">
        <f>HLOOKUP(N705,データについて!$J$8:$M$18,11,FALSE)</f>
        <v>1</v>
      </c>
      <c r="V705" s="81">
        <f>HLOOKUP(O705,データについて!$J$9:$M$18,10,FALSE)</f>
        <v>4</v>
      </c>
      <c r="W705" s="81">
        <f>HLOOKUP(P705,データについて!$J$10:$M$18,9,FALSE)</f>
        <v>1</v>
      </c>
      <c r="X705" s="81">
        <f>HLOOKUP(Q705,データについて!$J$11:$M$18,8,FALSE)</f>
        <v>1</v>
      </c>
      <c r="Y705" s="81">
        <f>HLOOKUP(R705,データについて!$J$12:$M$18,7,FALSE)</f>
        <v>1</v>
      </c>
      <c r="Z705" s="81">
        <f>HLOOKUP(I705,データについて!$J$3:$M$18,16,FALSE)</f>
        <v>1</v>
      </c>
      <c r="AA705" s="81">
        <f>IFERROR(HLOOKUP(J705,データについて!$J$4:$AH$19,16,FALSE),"")</f>
        <v>16</v>
      </c>
      <c r="AB705" s="81" t="str">
        <f>IFERROR(HLOOKUP(K705,データについて!$J$5:$AH$20,14,FALSE),"")</f>
        <v/>
      </c>
      <c r="AC705" s="81">
        <f>IF(X705=1,HLOOKUP(R705,データについて!$J$12:$M$18,7,FALSE),"*")</f>
        <v>1</v>
      </c>
      <c r="AD705" s="81" t="str">
        <f>IF(X705=2,HLOOKUP(R705,データについて!$J$12:$M$18,7,FALSE),"*")</f>
        <v>*</v>
      </c>
    </row>
    <row r="706" spans="1:30">
      <c r="A706" s="30">
        <v>4486</v>
      </c>
      <c r="B706" s="30" t="s">
        <v>2939</v>
      </c>
      <c r="C706" s="30" t="s">
        <v>2940</v>
      </c>
      <c r="D706" s="30" t="s">
        <v>106</v>
      </c>
      <c r="E706" s="30"/>
      <c r="F706" s="30" t="s">
        <v>107</v>
      </c>
      <c r="G706" s="30" t="s">
        <v>106</v>
      </c>
      <c r="H706" s="30"/>
      <c r="I706" s="30" t="s">
        <v>192</v>
      </c>
      <c r="J706" s="30" t="s">
        <v>2934</v>
      </c>
      <c r="K706" s="30"/>
      <c r="L706" s="30" t="s">
        <v>117</v>
      </c>
      <c r="M706" s="30" t="s">
        <v>109</v>
      </c>
      <c r="N706" s="30" t="s">
        <v>114</v>
      </c>
      <c r="O706" s="30" t="s">
        <v>123</v>
      </c>
      <c r="P706" s="30" t="s">
        <v>112</v>
      </c>
      <c r="Q706" s="30" t="s">
        <v>112</v>
      </c>
      <c r="R706" s="30" t="s">
        <v>183</v>
      </c>
      <c r="S706" s="81">
        <f>HLOOKUP(L706,データについて!$J$6:$M$18,13,FALSE)</f>
        <v>2</v>
      </c>
      <c r="T706" s="81">
        <f>HLOOKUP(M706,データについて!$J$7:$M$18,12,FALSE)</f>
        <v>2</v>
      </c>
      <c r="U706" s="81">
        <f>HLOOKUP(N706,データについて!$J$8:$M$18,11,FALSE)</f>
        <v>1</v>
      </c>
      <c r="V706" s="81">
        <f>HLOOKUP(O706,データについて!$J$9:$M$18,10,FALSE)</f>
        <v>4</v>
      </c>
      <c r="W706" s="81">
        <f>HLOOKUP(P706,データについて!$J$10:$M$18,9,FALSE)</f>
        <v>1</v>
      </c>
      <c r="X706" s="81">
        <f>HLOOKUP(Q706,データについて!$J$11:$M$18,8,FALSE)</f>
        <v>1</v>
      </c>
      <c r="Y706" s="81">
        <f>HLOOKUP(R706,データについて!$J$12:$M$18,7,FALSE)</f>
        <v>1</v>
      </c>
      <c r="Z706" s="81">
        <f>HLOOKUP(I706,データについて!$J$3:$M$18,16,FALSE)</f>
        <v>1</v>
      </c>
      <c r="AA706" s="81">
        <f>IFERROR(HLOOKUP(J706,データについて!$J$4:$AH$19,16,FALSE),"")</f>
        <v>16</v>
      </c>
      <c r="AB706" s="81" t="str">
        <f>IFERROR(HLOOKUP(K706,データについて!$J$5:$AH$20,14,FALSE),"")</f>
        <v/>
      </c>
      <c r="AC706" s="81">
        <f>IF(X706=1,HLOOKUP(R706,データについて!$J$12:$M$18,7,FALSE),"*")</f>
        <v>1</v>
      </c>
      <c r="AD706" s="81" t="str">
        <f>IF(X706=2,HLOOKUP(R706,データについて!$J$12:$M$18,7,FALSE),"*")</f>
        <v>*</v>
      </c>
    </row>
    <row r="707" spans="1:30">
      <c r="A707" s="30">
        <v>4485</v>
      </c>
      <c r="B707" s="30" t="s">
        <v>2941</v>
      </c>
      <c r="C707" s="30" t="s">
        <v>2942</v>
      </c>
      <c r="D707" s="30" t="s">
        <v>106</v>
      </c>
      <c r="E707" s="30"/>
      <c r="F707" s="30" t="s">
        <v>107</v>
      </c>
      <c r="G707" s="30" t="s">
        <v>106</v>
      </c>
      <c r="H707" s="30"/>
      <c r="I707" s="30" t="s">
        <v>192</v>
      </c>
      <c r="J707" s="30" t="s">
        <v>2934</v>
      </c>
      <c r="K707" s="30"/>
      <c r="L707" s="30" t="s">
        <v>108</v>
      </c>
      <c r="M707" s="30" t="s">
        <v>113</v>
      </c>
      <c r="N707" s="30" t="s">
        <v>114</v>
      </c>
      <c r="O707" s="30" t="s">
        <v>115</v>
      </c>
      <c r="P707" s="30" t="s">
        <v>112</v>
      </c>
      <c r="Q707" s="30" t="s">
        <v>112</v>
      </c>
      <c r="R707" s="30" t="s">
        <v>183</v>
      </c>
      <c r="S707" s="81">
        <f>HLOOKUP(L707,データについて!$J$6:$M$18,13,FALSE)</f>
        <v>1</v>
      </c>
      <c r="T707" s="81">
        <f>HLOOKUP(M707,データについて!$J$7:$M$18,12,FALSE)</f>
        <v>1</v>
      </c>
      <c r="U707" s="81">
        <f>HLOOKUP(N707,データについて!$J$8:$M$18,11,FALSE)</f>
        <v>1</v>
      </c>
      <c r="V707" s="81">
        <f>HLOOKUP(O707,データについて!$J$9:$M$18,10,FALSE)</f>
        <v>1</v>
      </c>
      <c r="W707" s="81">
        <f>HLOOKUP(P707,データについて!$J$10:$M$18,9,FALSE)</f>
        <v>1</v>
      </c>
      <c r="X707" s="81">
        <f>HLOOKUP(Q707,データについて!$J$11:$M$18,8,FALSE)</f>
        <v>1</v>
      </c>
      <c r="Y707" s="81">
        <f>HLOOKUP(R707,データについて!$J$12:$M$18,7,FALSE)</f>
        <v>1</v>
      </c>
      <c r="Z707" s="81">
        <f>HLOOKUP(I707,データについて!$J$3:$M$18,16,FALSE)</f>
        <v>1</v>
      </c>
      <c r="AA707" s="81">
        <f>IFERROR(HLOOKUP(J707,データについて!$J$4:$AH$19,16,FALSE),"")</f>
        <v>16</v>
      </c>
      <c r="AB707" s="81" t="str">
        <f>IFERROR(HLOOKUP(K707,データについて!$J$5:$AH$20,14,FALSE),"")</f>
        <v/>
      </c>
      <c r="AC707" s="81">
        <f>IF(X707=1,HLOOKUP(R707,データについて!$J$12:$M$18,7,FALSE),"*")</f>
        <v>1</v>
      </c>
      <c r="AD707" s="81" t="str">
        <f>IF(X707=2,HLOOKUP(R707,データについて!$J$12:$M$18,7,FALSE),"*")</f>
        <v>*</v>
      </c>
    </row>
    <row r="708" spans="1:30">
      <c r="A708" s="30">
        <v>4484</v>
      </c>
      <c r="B708" s="30" t="s">
        <v>2943</v>
      </c>
      <c r="C708" s="30" t="s">
        <v>2944</v>
      </c>
      <c r="D708" s="30" t="s">
        <v>106</v>
      </c>
      <c r="E708" s="30"/>
      <c r="F708" s="30" t="s">
        <v>107</v>
      </c>
      <c r="G708" s="30" t="s">
        <v>106</v>
      </c>
      <c r="H708" s="30"/>
      <c r="I708" s="30" t="s">
        <v>192</v>
      </c>
      <c r="J708" s="30" t="s">
        <v>2934</v>
      </c>
      <c r="K708" s="30"/>
      <c r="L708" s="30" t="s">
        <v>108</v>
      </c>
      <c r="M708" s="30" t="s">
        <v>113</v>
      </c>
      <c r="N708" s="30" t="s">
        <v>110</v>
      </c>
      <c r="O708" s="30" t="s">
        <v>115</v>
      </c>
      <c r="P708" s="30" t="s">
        <v>112</v>
      </c>
      <c r="Q708" s="30" t="s">
        <v>112</v>
      </c>
      <c r="R708" s="30" t="s">
        <v>185</v>
      </c>
      <c r="S708" s="81">
        <f>HLOOKUP(L708,データについて!$J$6:$M$18,13,FALSE)</f>
        <v>1</v>
      </c>
      <c r="T708" s="81">
        <f>HLOOKUP(M708,データについて!$J$7:$M$18,12,FALSE)</f>
        <v>1</v>
      </c>
      <c r="U708" s="81">
        <f>HLOOKUP(N708,データについて!$J$8:$M$18,11,FALSE)</f>
        <v>2</v>
      </c>
      <c r="V708" s="81">
        <f>HLOOKUP(O708,データについて!$J$9:$M$18,10,FALSE)</f>
        <v>1</v>
      </c>
      <c r="W708" s="81">
        <f>HLOOKUP(P708,データについて!$J$10:$M$18,9,FALSE)</f>
        <v>1</v>
      </c>
      <c r="X708" s="81">
        <f>HLOOKUP(Q708,データについて!$J$11:$M$18,8,FALSE)</f>
        <v>1</v>
      </c>
      <c r="Y708" s="81">
        <f>HLOOKUP(R708,データについて!$J$12:$M$18,7,FALSE)</f>
        <v>2</v>
      </c>
      <c r="Z708" s="81">
        <f>HLOOKUP(I708,データについて!$J$3:$M$18,16,FALSE)</f>
        <v>1</v>
      </c>
      <c r="AA708" s="81">
        <f>IFERROR(HLOOKUP(J708,データについて!$J$4:$AH$19,16,FALSE),"")</f>
        <v>16</v>
      </c>
      <c r="AB708" s="81" t="str">
        <f>IFERROR(HLOOKUP(K708,データについて!$J$5:$AH$20,14,FALSE),"")</f>
        <v/>
      </c>
      <c r="AC708" s="81">
        <f>IF(X708=1,HLOOKUP(R708,データについて!$J$12:$M$18,7,FALSE),"*")</f>
        <v>2</v>
      </c>
      <c r="AD708" s="81" t="str">
        <f>IF(X708=2,HLOOKUP(R708,データについて!$J$12:$M$18,7,FALSE),"*")</f>
        <v>*</v>
      </c>
    </row>
    <row r="709" spans="1:30">
      <c r="A709" s="30">
        <v>4483</v>
      </c>
      <c r="B709" s="30" t="s">
        <v>2945</v>
      </c>
      <c r="C709" s="30" t="s">
        <v>2946</v>
      </c>
      <c r="D709" s="30" t="s">
        <v>106</v>
      </c>
      <c r="E709" s="30"/>
      <c r="F709" s="30" t="s">
        <v>107</v>
      </c>
      <c r="G709" s="30" t="s">
        <v>106</v>
      </c>
      <c r="H709" s="30"/>
      <c r="I709" s="30" t="s">
        <v>192</v>
      </c>
      <c r="J709" s="30" t="s">
        <v>2934</v>
      </c>
      <c r="K709" s="30"/>
      <c r="L709" s="30" t="s">
        <v>108</v>
      </c>
      <c r="M709" s="30" t="s">
        <v>109</v>
      </c>
      <c r="N709" s="30" t="s">
        <v>114</v>
      </c>
      <c r="O709" s="30" t="s">
        <v>116</v>
      </c>
      <c r="P709" s="30" t="s">
        <v>112</v>
      </c>
      <c r="Q709" s="30" t="s">
        <v>112</v>
      </c>
      <c r="R709" s="30" t="s">
        <v>185</v>
      </c>
      <c r="S709" s="81">
        <f>HLOOKUP(L709,データについて!$J$6:$M$18,13,FALSE)</f>
        <v>1</v>
      </c>
      <c r="T709" s="81">
        <f>HLOOKUP(M709,データについて!$J$7:$M$18,12,FALSE)</f>
        <v>2</v>
      </c>
      <c r="U709" s="81">
        <f>HLOOKUP(N709,データについて!$J$8:$M$18,11,FALSE)</f>
        <v>1</v>
      </c>
      <c r="V709" s="81">
        <f>HLOOKUP(O709,データについて!$J$9:$M$18,10,FALSE)</f>
        <v>2</v>
      </c>
      <c r="W709" s="81">
        <f>HLOOKUP(P709,データについて!$J$10:$M$18,9,FALSE)</f>
        <v>1</v>
      </c>
      <c r="X709" s="81">
        <f>HLOOKUP(Q709,データについて!$J$11:$M$18,8,FALSE)</f>
        <v>1</v>
      </c>
      <c r="Y709" s="81">
        <f>HLOOKUP(R709,データについて!$J$12:$M$18,7,FALSE)</f>
        <v>2</v>
      </c>
      <c r="Z709" s="81">
        <f>HLOOKUP(I709,データについて!$J$3:$M$18,16,FALSE)</f>
        <v>1</v>
      </c>
      <c r="AA709" s="81">
        <f>IFERROR(HLOOKUP(J709,データについて!$J$4:$AH$19,16,FALSE),"")</f>
        <v>16</v>
      </c>
      <c r="AB709" s="81" t="str">
        <f>IFERROR(HLOOKUP(K709,データについて!$J$5:$AH$20,14,FALSE),"")</f>
        <v/>
      </c>
      <c r="AC709" s="81">
        <f>IF(X709=1,HLOOKUP(R709,データについて!$J$12:$M$18,7,FALSE),"*")</f>
        <v>2</v>
      </c>
      <c r="AD709" s="81" t="str">
        <f>IF(X709=2,HLOOKUP(R709,データについて!$J$12:$M$18,7,FALSE),"*")</f>
        <v>*</v>
      </c>
    </row>
    <row r="710" spans="1:30">
      <c r="A710" s="30">
        <v>4482</v>
      </c>
      <c r="B710" s="30" t="s">
        <v>2947</v>
      </c>
      <c r="C710" s="30" t="s">
        <v>2948</v>
      </c>
      <c r="D710" s="30" t="s">
        <v>106</v>
      </c>
      <c r="E710" s="30"/>
      <c r="F710" s="30" t="s">
        <v>107</v>
      </c>
      <c r="G710" s="30" t="s">
        <v>106</v>
      </c>
      <c r="H710" s="30"/>
      <c r="I710" s="30" t="s">
        <v>192</v>
      </c>
      <c r="J710" s="30" t="s">
        <v>2934</v>
      </c>
      <c r="K710" s="30"/>
      <c r="L710" s="30" t="s">
        <v>117</v>
      </c>
      <c r="M710" s="30" t="s">
        <v>109</v>
      </c>
      <c r="N710" s="30" t="s">
        <v>114</v>
      </c>
      <c r="O710" s="30" t="s">
        <v>116</v>
      </c>
      <c r="P710" s="30" t="s">
        <v>112</v>
      </c>
      <c r="Q710" s="30" t="s">
        <v>112</v>
      </c>
      <c r="R710" s="30" t="s">
        <v>185</v>
      </c>
      <c r="S710" s="81">
        <f>HLOOKUP(L710,データについて!$J$6:$M$18,13,FALSE)</f>
        <v>2</v>
      </c>
      <c r="T710" s="81">
        <f>HLOOKUP(M710,データについて!$J$7:$M$18,12,FALSE)</f>
        <v>2</v>
      </c>
      <c r="U710" s="81">
        <f>HLOOKUP(N710,データについて!$J$8:$M$18,11,FALSE)</f>
        <v>1</v>
      </c>
      <c r="V710" s="81">
        <f>HLOOKUP(O710,データについて!$J$9:$M$18,10,FALSE)</f>
        <v>2</v>
      </c>
      <c r="W710" s="81">
        <f>HLOOKUP(P710,データについて!$J$10:$M$18,9,FALSE)</f>
        <v>1</v>
      </c>
      <c r="X710" s="81">
        <f>HLOOKUP(Q710,データについて!$J$11:$M$18,8,FALSE)</f>
        <v>1</v>
      </c>
      <c r="Y710" s="81">
        <f>HLOOKUP(R710,データについて!$J$12:$M$18,7,FALSE)</f>
        <v>2</v>
      </c>
      <c r="Z710" s="81">
        <f>HLOOKUP(I710,データについて!$J$3:$M$18,16,FALSE)</f>
        <v>1</v>
      </c>
      <c r="AA710" s="81">
        <f>IFERROR(HLOOKUP(J710,データについて!$J$4:$AH$19,16,FALSE),"")</f>
        <v>16</v>
      </c>
      <c r="AB710" s="81" t="str">
        <f>IFERROR(HLOOKUP(K710,データについて!$J$5:$AH$20,14,FALSE),"")</f>
        <v/>
      </c>
      <c r="AC710" s="81">
        <f>IF(X710=1,HLOOKUP(R710,データについて!$J$12:$M$18,7,FALSE),"*")</f>
        <v>2</v>
      </c>
      <c r="AD710" s="81" t="str">
        <f>IF(X710=2,HLOOKUP(R710,データについて!$J$12:$M$18,7,FALSE),"*")</f>
        <v>*</v>
      </c>
    </row>
    <row r="711" spans="1:30">
      <c r="A711" s="30">
        <v>4481</v>
      </c>
      <c r="B711" s="30" t="s">
        <v>2949</v>
      </c>
      <c r="C711" s="30" t="s">
        <v>2950</v>
      </c>
      <c r="D711" s="30" t="s">
        <v>106</v>
      </c>
      <c r="E711" s="30"/>
      <c r="F711" s="30" t="s">
        <v>107</v>
      </c>
      <c r="G711" s="30" t="s">
        <v>106</v>
      </c>
      <c r="H711" s="30"/>
      <c r="I711" s="30" t="s">
        <v>192</v>
      </c>
      <c r="J711" s="30" t="s">
        <v>2934</v>
      </c>
      <c r="K711" s="30"/>
      <c r="L711" s="30" t="s">
        <v>108</v>
      </c>
      <c r="M711" s="30" t="s">
        <v>113</v>
      </c>
      <c r="N711" s="30" t="s">
        <v>114</v>
      </c>
      <c r="O711" s="30" t="s">
        <v>111</v>
      </c>
      <c r="P711" s="30" t="s">
        <v>112</v>
      </c>
      <c r="Q711" s="30" t="s">
        <v>112</v>
      </c>
      <c r="R711" s="30" t="s">
        <v>183</v>
      </c>
      <c r="S711" s="81">
        <f>HLOOKUP(L711,データについて!$J$6:$M$18,13,FALSE)</f>
        <v>1</v>
      </c>
      <c r="T711" s="81">
        <f>HLOOKUP(M711,データについて!$J$7:$M$18,12,FALSE)</f>
        <v>1</v>
      </c>
      <c r="U711" s="81">
        <f>HLOOKUP(N711,データについて!$J$8:$M$18,11,FALSE)</f>
        <v>1</v>
      </c>
      <c r="V711" s="81">
        <f>HLOOKUP(O711,データについて!$J$9:$M$18,10,FALSE)</f>
        <v>3</v>
      </c>
      <c r="W711" s="81">
        <f>HLOOKUP(P711,データについて!$J$10:$M$18,9,FALSE)</f>
        <v>1</v>
      </c>
      <c r="X711" s="81">
        <f>HLOOKUP(Q711,データについて!$J$11:$M$18,8,FALSE)</f>
        <v>1</v>
      </c>
      <c r="Y711" s="81">
        <f>HLOOKUP(R711,データについて!$J$12:$M$18,7,FALSE)</f>
        <v>1</v>
      </c>
      <c r="Z711" s="81">
        <f>HLOOKUP(I711,データについて!$J$3:$M$18,16,FALSE)</f>
        <v>1</v>
      </c>
      <c r="AA711" s="81">
        <f>IFERROR(HLOOKUP(J711,データについて!$J$4:$AH$19,16,FALSE),"")</f>
        <v>16</v>
      </c>
      <c r="AB711" s="81" t="str">
        <f>IFERROR(HLOOKUP(K711,データについて!$J$5:$AH$20,14,FALSE),"")</f>
        <v/>
      </c>
      <c r="AC711" s="81">
        <f>IF(X711=1,HLOOKUP(R711,データについて!$J$12:$M$18,7,FALSE),"*")</f>
        <v>1</v>
      </c>
      <c r="AD711" s="81" t="str">
        <f>IF(X711=2,HLOOKUP(R711,データについて!$J$12:$M$18,7,FALSE),"*")</f>
        <v>*</v>
      </c>
    </row>
    <row r="712" spans="1:30">
      <c r="A712" s="30">
        <v>4480</v>
      </c>
      <c r="B712" s="30" t="s">
        <v>2951</v>
      </c>
      <c r="C712" s="30" t="s">
        <v>2952</v>
      </c>
      <c r="D712" s="30" t="s">
        <v>106</v>
      </c>
      <c r="E712" s="30"/>
      <c r="F712" s="30" t="s">
        <v>107</v>
      </c>
      <c r="G712" s="30" t="s">
        <v>106</v>
      </c>
      <c r="H712" s="30"/>
      <c r="I712" s="30" t="s">
        <v>192</v>
      </c>
      <c r="J712" s="30" t="s">
        <v>2934</v>
      </c>
      <c r="K712" s="30"/>
      <c r="L712" s="30" t="s">
        <v>117</v>
      </c>
      <c r="M712" s="30" t="s">
        <v>109</v>
      </c>
      <c r="N712" s="30" t="s">
        <v>110</v>
      </c>
      <c r="O712" s="30" t="s">
        <v>116</v>
      </c>
      <c r="P712" s="30" t="s">
        <v>112</v>
      </c>
      <c r="Q712" s="30" t="s">
        <v>112</v>
      </c>
      <c r="R712" s="30" t="s">
        <v>187</v>
      </c>
      <c r="S712" s="81">
        <f>HLOOKUP(L712,データについて!$J$6:$M$18,13,FALSE)</f>
        <v>2</v>
      </c>
      <c r="T712" s="81">
        <f>HLOOKUP(M712,データについて!$J$7:$M$18,12,FALSE)</f>
        <v>2</v>
      </c>
      <c r="U712" s="81">
        <f>HLOOKUP(N712,データについて!$J$8:$M$18,11,FALSE)</f>
        <v>2</v>
      </c>
      <c r="V712" s="81">
        <f>HLOOKUP(O712,データについて!$J$9:$M$18,10,FALSE)</f>
        <v>2</v>
      </c>
      <c r="W712" s="81">
        <f>HLOOKUP(P712,データについて!$J$10:$M$18,9,FALSE)</f>
        <v>1</v>
      </c>
      <c r="X712" s="81">
        <f>HLOOKUP(Q712,データについて!$J$11:$M$18,8,FALSE)</f>
        <v>1</v>
      </c>
      <c r="Y712" s="81">
        <f>HLOOKUP(R712,データについて!$J$12:$M$18,7,FALSE)</f>
        <v>3</v>
      </c>
      <c r="Z712" s="81">
        <f>HLOOKUP(I712,データについて!$J$3:$M$18,16,FALSE)</f>
        <v>1</v>
      </c>
      <c r="AA712" s="81">
        <f>IFERROR(HLOOKUP(J712,データについて!$J$4:$AH$19,16,FALSE),"")</f>
        <v>16</v>
      </c>
      <c r="AB712" s="81" t="str">
        <f>IFERROR(HLOOKUP(K712,データについて!$J$5:$AH$20,14,FALSE),"")</f>
        <v/>
      </c>
      <c r="AC712" s="81">
        <f>IF(X712=1,HLOOKUP(R712,データについて!$J$12:$M$18,7,FALSE),"*")</f>
        <v>3</v>
      </c>
      <c r="AD712" s="81" t="str">
        <f>IF(X712=2,HLOOKUP(R712,データについて!$J$12:$M$18,7,FALSE),"*")</f>
        <v>*</v>
      </c>
    </row>
    <row r="713" spans="1:30">
      <c r="A713" s="30">
        <v>4479</v>
      </c>
      <c r="B713" s="30" t="s">
        <v>2953</v>
      </c>
      <c r="C713" s="30" t="s">
        <v>2954</v>
      </c>
      <c r="D713" s="30" t="s">
        <v>106</v>
      </c>
      <c r="E713" s="30"/>
      <c r="F713" s="30" t="s">
        <v>107</v>
      </c>
      <c r="G713" s="30" t="s">
        <v>106</v>
      </c>
      <c r="H713" s="30"/>
      <c r="I713" s="30" t="s">
        <v>192</v>
      </c>
      <c r="J713" s="30" t="s">
        <v>2934</v>
      </c>
      <c r="K713" s="30"/>
      <c r="L713" s="30" t="s">
        <v>108</v>
      </c>
      <c r="M713" s="30" t="s">
        <v>109</v>
      </c>
      <c r="N713" s="30" t="s">
        <v>114</v>
      </c>
      <c r="O713" s="30" t="s">
        <v>115</v>
      </c>
      <c r="P713" s="30" t="s">
        <v>112</v>
      </c>
      <c r="Q713" s="30" t="s">
        <v>112</v>
      </c>
      <c r="R713" s="30" t="s">
        <v>187</v>
      </c>
      <c r="S713" s="81">
        <f>HLOOKUP(L713,データについて!$J$6:$M$18,13,FALSE)</f>
        <v>1</v>
      </c>
      <c r="T713" s="81">
        <f>HLOOKUP(M713,データについて!$J$7:$M$18,12,FALSE)</f>
        <v>2</v>
      </c>
      <c r="U713" s="81">
        <f>HLOOKUP(N713,データについて!$J$8:$M$18,11,FALSE)</f>
        <v>1</v>
      </c>
      <c r="V713" s="81">
        <f>HLOOKUP(O713,データについて!$J$9:$M$18,10,FALSE)</f>
        <v>1</v>
      </c>
      <c r="W713" s="81">
        <f>HLOOKUP(P713,データについて!$J$10:$M$18,9,FALSE)</f>
        <v>1</v>
      </c>
      <c r="X713" s="81">
        <f>HLOOKUP(Q713,データについて!$J$11:$M$18,8,FALSE)</f>
        <v>1</v>
      </c>
      <c r="Y713" s="81">
        <f>HLOOKUP(R713,データについて!$J$12:$M$18,7,FALSE)</f>
        <v>3</v>
      </c>
      <c r="Z713" s="81">
        <f>HLOOKUP(I713,データについて!$J$3:$M$18,16,FALSE)</f>
        <v>1</v>
      </c>
      <c r="AA713" s="81">
        <f>IFERROR(HLOOKUP(J713,データについて!$J$4:$AH$19,16,FALSE),"")</f>
        <v>16</v>
      </c>
      <c r="AB713" s="81" t="str">
        <f>IFERROR(HLOOKUP(K713,データについて!$J$5:$AH$20,14,FALSE),"")</f>
        <v/>
      </c>
      <c r="AC713" s="81">
        <f>IF(X713=1,HLOOKUP(R713,データについて!$J$12:$M$18,7,FALSE),"*")</f>
        <v>3</v>
      </c>
      <c r="AD713" s="81" t="str">
        <f>IF(X713=2,HLOOKUP(R713,データについて!$J$12:$M$18,7,FALSE),"*")</f>
        <v>*</v>
      </c>
    </row>
    <row r="714" spans="1:30">
      <c r="A714" s="30">
        <v>4478</v>
      </c>
      <c r="B714" s="30" t="s">
        <v>2955</v>
      </c>
      <c r="C714" s="30" t="s">
        <v>2956</v>
      </c>
      <c r="D714" s="30" t="s">
        <v>106</v>
      </c>
      <c r="E714" s="30"/>
      <c r="F714" s="30" t="s">
        <v>107</v>
      </c>
      <c r="G714" s="30" t="s">
        <v>106</v>
      </c>
      <c r="H714" s="30"/>
      <c r="I714" s="30" t="s">
        <v>192</v>
      </c>
      <c r="J714" s="30" t="s">
        <v>2934</v>
      </c>
      <c r="K714" s="30"/>
      <c r="L714" s="30" t="s">
        <v>108</v>
      </c>
      <c r="M714" s="30" t="s">
        <v>113</v>
      </c>
      <c r="N714" s="30" t="s">
        <v>114</v>
      </c>
      <c r="O714" s="30" t="s">
        <v>115</v>
      </c>
      <c r="P714" s="30" t="s">
        <v>112</v>
      </c>
      <c r="Q714" s="30" t="s">
        <v>112</v>
      </c>
      <c r="R714" s="30" t="s">
        <v>183</v>
      </c>
      <c r="S714" s="81">
        <f>HLOOKUP(L714,データについて!$J$6:$M$18,13,FALSE)</f>
        <v>1</v>
      </c>
      <c r="T714" s="81">
        <f>HLOOKUP(M714,データについて!$J$7:$M$18,12,FALSE)</f>
        <v>1</v>
      </c>
      <c r="U714" s="81">
        <f>HLOOKUP(N714,データについて!$J$8:$M$18,11,FALSE)</f>
        <v>1</v>
      </c>
      <c r="V714" s="81">
        <f>HLOOKUP(O714,データについて!$J$9:$M$18,10,FALSE)</f>
        <v>1</v>
      </c>
      <c r="W714" s="81">
        <f>HLOOKUP(P714,データについて!$J$10:$M$18,9,FALSE)</f>
        <v>1</v>
      </c>
      <c r="X714" s="81">
        <f>HLOOKUP(Q714,データについて!$J$11:$M$18,8,FALSE)</f>
        <v>1</v>
      </c>
      <c r="Y714" s="81">
        <f>HLOOKUP(R714,データについて!$J$12:$M$18,7,FALSE)</f>
        <v>1</v>
      </c>
      <c r="Z714" s="81">
        <f>HLOOKUP(I714,データについて!$J$3:$M$18,16,FALSE)</f>
        <v>1</v>
      </c>
      <c r="AA714" s="81">
        <f>IFERROR(HLOOKUP(J714,データについて!$J$4:$AH$19,16,FALSE),"")</f>
        <v>16</v>
      </c>
      <c r="AB714" s="81" t="str">
        <f>IFERROR(HLOOKUP(K714,データについて!$J$5:$AH$20,14,FALSE),"")</f>
        <v/>
      </c>
      <c r="AC714" s="81">
        <f>IF(X714=1,HLOOKUP(R714,データについて!$J$12:$M$18,7,FALSE),"*")</f>
        <v>1</v>
      </c>
      <c r="AD714" s="81" t="str">
        <f>IF(X714=2,HLOOKUP(R714,データについて!$J$12:$M$18,7,FALSE),"*")</f>
        <v>*</v>
      </c>
    </row>
    <row r="715" spans="1:30">
      <c r="A715" s="30">
        <v>4477</v>
      </c>
      <c r="B715" s="30" t="s">
        <v>2957</v>
      </c>
      <c r="C715" s="30" t="s">
        <v>2958</v>
      </c>
      <c r="D715" s="30" t="s">
        <v>106</v>
      </c>
      <c r="E715" s="30"/>
      <c r="F715" s="30" t="s">
        <v>107</v>
      </c>
      <c r="G715" s="30" t="s">
        <v>106</v>
      </c>
      <c r="H715" s="30"/>
      <c r="I715" s="30" t="s">
        <v>192</v>
      </c>
      <c r="J715" s="30" t="s">
        <v>2934</v>
      </c>
      <c r="K715" s="30"/>
      <c r="L715" s="30" t="s">
        <v>108</v>
      </c>
      <c r="M715" s="30" t="s">
        <v>109</v>
      </c>
      <c r="N715" s="30" t="s">
        <v>114</v>
      </c>
      <c r="O715" s="30" t="s">
        <v>116</v>
      </c>
      <c r="P715" s="30" t="s">
        <v>112</v>
      </c>
      <c r="Q715" s="30" t="s">
        <v>112</v>
      </c>
      <c r="R715" s="30" t="s">
        <v>185</v>
      </c>
      <c r="S715" s="81">
        <f>HLOOKUP(L715,データについて!$J$6:$M$18,13,FALSE)</f>
        <v>1</v>
      </c>
      <c r="T715" s="81">
        <f>HLOOKUP(M715,データについて!$J$7:$M$18,12,FALSE)</f>
        <v>2</v>
      </c>
      <c r="U715" s="81">
        <f>HLOOKUP(N715,データについて!$J$8:$M$18,11,FALSE)</f>
        <v>1</v>
      </c>
      <c r="V715" s="81">
        <f>HLOOKUP(O715,データについて!$J$9:$M$18,10,FALSE)</f>
        <v>2</v>
      </c>
      <c r="W715" s="81">
        <f>HLOOKUP(P715,データについて!$J$10:$M$18,9,FALSE)</f>
        <v>1</v>
      </c>
      <c r="X715" s="81">
        <f>HLOOKUP(Q715,データについて!$J$11:$M$18,8,FALSE)</f>
        <v>1</v>
      </c>
      <c r="Y715" s="81">
        <f>HLOOKUP(R715,データについて!$J$12:$M$18,7,FALSE)</f>
        <v>2</v>
      </c>
      <c r="Z715" s="81">
        <f>HLOOKUP(I715,データについて!$J$3:$M$18,16,FALSE)</f>
        <v>1</v>
      </c>
      <c r="AA715" s="81">
        <f>IFERROR(HLOOKUP(J715,データについて!$J$4:$AH$19,16,FALSE),"")</f>
        <v>16</v>
      </c>
      <c r="AB715" s="81" t="str">
        <f>IFERROR(HLOOKUP(K715,データについて!$J$5:$AH$20,14,FALSE),"")</f>
        <v/>
      </c>
      <c r="AC715" s="81">
        <f>IF(X715=1,HLOOKUP(R715,データについて!$J$12:$M$18,7,FALSE),"*")</f>
        <v>2</v>
      </c>
      <c r="AD715" s="81" t="str">
        <f>IF(X715=2,HLOOKUP(R715,データについて!$J$12:$M$18,7,FALSE),"*")</f>
        <v>*</v>
      </c>
    </row>
    <row r="716" spans="1:30">
      <c r="A716" s="30">
        <v>4476</v>
      </c>
      <c r="B716" s="30" t="s">
        <v>2959</v>
      </c>
      <c r="C716" s="30" t="s">
        <v>2960</v>
      </c>
      <c r="D716" s="30" t="s">
        <v>106</v>
      </c>
      <c r="E716" s="30"/>
      <c r="F716" s="30" t="s">
        <v>107</v>
      </c>
      <c r="G716" s="30" t="s">
        <v>106</v>
      </c>
      <c r="H716" s="30"/>
      <c r="I716" s="30" t="s">
        <v>192</v>
      </c>
      <c r="J716" s="30" t="s">
        <v>2934</v>
      </c>
      <c r="K716" s="30"/>
      <c r="L716" s="30" t="s">
        <v>108</v>
      </c>
      <c r="M716" s="30" t="s">
        <v>113</v>
      </c>
      <c r="N716" s="30" t="s">
        <v>114</v>
      </c>
      <c r="O716" s="30" t="s">
        <v>115</v>
      </c>
      <c r="P716" s="30" t="s">
        <v>118</v>
      </c>
      <c r="Q716" s="30" t="s">
        <v>112</v>
      </c>
      <c r="R716" s="30" t="s">
        <v>185</v>
      </c>
      <c r="S716" s="81">
        <f>HLOOKUP(L716,データについて!$J$6:$M$18,13,FALSE)</f>
        <v>1</v>
      </c>
      <c r="T716" s="81">
        <f>HLOOKUP(M716,データについて!$J$7:$M$18,12,FALSE)</f>
        <v>1</v>
      </c>
      <c r="U716" s="81">
        <f>HLOOKUP(N716,データについて!$J$8:$M$18,11,FALSE)</f>
        <v>1</v>
      </c>
      <c r="V716" s="81">
        <f>HLOOKUP(O716,データについて!$J$9:$M$18,10,FALSE)</f>
        <v>1</v>
      </c>
      <c r="W716" s="81">
        <f>HLOOKUP(P716,データについて!$J$10:$M$18,9,FALSE)</f>
        <v>2</v>
      </c>
      <c r="X716" s="81">
        <f>HLOOKUP(Q716,データについて!$J$11:$M$18,8,FALSE)</f>
        <v>1</v>
      </c>
      <c r="Y716" s="81">
        <f>HLOOKUP(R716,データについて!$J$12:$M$18,7,FALSE)</f>
        <v>2</v>
      </c>
      <c r="Z716" s="81">
        <f>HLOOKUP(I716,データについて!$J$3:$M$18,16,FALSE)</f>
        <v>1</v>
      </c>
      <c r="AA716" s="81">
        <f>IFERROR(HLOOKUP(J716,データについて!$J$4:$AH$19,16,FALSE),"")</f>
        <v>16</v>
      </c>
      <c r="AB716" s="81" t="str">
        <f>IFERROR(HLOOKUP(K716,データについて!$J$5:$AH$20,14,FALSE),"")</f>
        <v/>
      </c>
      <c r="AC716" s="81">
        <f>IF(X716=1,HLOOKUP(R716,データについて!$J$12:$M$18,7,FALSE),"*")</f>
        <v>2</v>
      </c>
      <c r="AD716" s="81" t="str">
        <f>IF(X716=2,HLOOKUP(R716,データについて!$J$12:$M$18,7,FALSE),"*")</f>
        <v>*</v>
      </c>
    </row>
    <row r="717" spans="1:30">
      <c r="A717" s="30">
        <v>4475</v>
      </c>
      <c r="B717" s="30" t="s">
        <v>2961</v>
      </c>
      <c r="C717" s="30" t="s">
        <v>2962</v>
      </c>
      <c r="D717" s="30" t="s">
        <v>106</v>
      </c>
      <c r="E717" s="30"/>
      <c r="F717" s="30" t="s">
        <v>107</v>
      </c>
      <c r="G717" s="30" t="s">
        <v>106</v>
      </c>
      <c r="H717" s="30"/>
      <c r="I717" s="30" t="s">
        <v>192</v>
      </c>
      <c r="J717" s="30" t="s">
        <v>2934</v>
      </c>
      <c r="K717" s="30"/>
      <c r="L717" s="30" t="s">
        <v>117</v>
      </c>
      <c r="M717" s="30" t="s">
        <v>109</v>
      </c>
      <c r="N717" s="30" t="s">
        <v>114</v>
      </c>
      <c r="O717" s="30" t="s">
        <v>115</v>
      </c>
      <c r="P717" s="30" t="s">
        <v>118</v>
      </c>
      <c r="Q717" s="30" t="s">
        <v>112</v>
      </c>
      <c r="R717" s="30" t="s">
        <v>189</v>
      </c>
      <c r="S717" s="81">
        <f>HLOOKUP(L717,データについて!$J$6:$M$18,13,FALSE)</f>
        <v>2</v>
      </c>
      <c r="T717" s="81">
        <f>HLOOKUP(M717,データについて!$J$7:$M$18,12,FALSE)</f>
        <v>2</v>
      </c>
      <c r="U717" s="81">
        <f>HLOOKUP(N717,データについて!$J$8:$M$18,11,FALSE)</f>
        <v>1</v>
      </c>
      <c r="V717" s="81">
        <f>HLOOKUP(O717,データについて!$J$9:$M$18,10,FALSE)</f>
        <v>1</v>
      </c>
      <c r="W717" s="81">
        <f>HLOOKUP(P717,データについて!$J$10:$M$18,9,FALSE)</f>
        <v>2</v>
      </c>
      <c r="X717" s="81">
        <f>HLOOKUP(Q717,データについて!$J$11:$M$18,8,FALSE)</f>
        <v>1</v>
      </c>
      <c r="Y717" s="81">
        <f>HLOOKUP(R717,データについて!$J$12:$M$18,7,FALSE)</f>
        <v>4</v>
      </c>
      <c r="Z717" s="81">
        <f>HLOOKUP(I717,データについて!$J$3:$M$18,16,FALSE)</f>
        <v>1</v>
      </c>
      <c r="AA717" s="81">
        <f>IFERROR(HLOOKUP(J717,データについて!$J$4:$AH$19,16,FALSE),"")</f>
        <v>16</v>
      </c>
      <c r="AB717" s="81" t="str">
        <f>IFERROR(HLOOKUP(K717,データについて!$J$5:$AH$20,14,FALSE),"")</f>
        <v/>
      </c>
      <c r="AC717" s="81">
        <f>IF(X717=1,HLOOKUP(R717,データについて!$J$12:$M$18,7,FALSE),"*")</f>
        <v>4</v>
      </c>
      <c r="AD717" s="81" t="str">
        <f>IF(X717=2,HLOOKUP(R717,データについて!$J$12:$M$18,7,FALSE),"*")</f>
        <v>*</v>
      </c>
    </row>
    <row r="718" spans="1:30">
      <c r="A718" s="30">
        <v>4474</v>
      </c>
      <c r="B718" s="30" t="s">
        <v>2963</v>
      </c>
      <c r="C718" s="30" t="s">
        <v>2964</v>
      </c>
      <c r="D718" s="30" t="s">
        <v>106</v>
      </c>
      <c r="E718" s="30"/>
      <c r="F718" s="30" t="s">
        <v>107</v>
      </c>
      <c r="G718" s="30" t="s">
        <v>106</v>
      </c>
      <c r="H718" s="30"/>
      <c r="I718" s="30" t="s">
        <v>192</v>
      </c>
      <c r="J718" s="30" t="s">
        <v>2934</v>
      </c>
      <c r="K718" s="30"/>
      <c r="L718" s="30" t="s">
        <v>117</v>
      </c>
      <c r="M718" s="30" t="s">
        <v>113</v>
      </c>
      <c r="N718" s="30" t="s">
        <v>114</v>
      </c>
      <c r="O718" s="30" t="s">
        <v>115</v>
      </c>
      <c r="P718" s="30" t="s">
        <v>112</v>
      </c>
      <c r="Q718" s="30" t="s">
        <v>112</v>
      </c>
      <c r="R718" s="30" t="s">
        <v>183</v>
      </c>
      <c r="S718" s="81">
        <f>HLOOKUP(L718,データについて!$J$6:$M$18,13,FALSE)</f>
        <v>2</v>
      </c>
      <c r="T718" s="81">
        <f>HLOOKUP(M718,データについて!$J$7:$M$18,12,FALSE)</f>
        <v>1</v>
      </c>
      <c r="U718" s="81">
        <f>HLOOKUP(N718,データについて!$J$8:$M$18,11,FALSE)</f>
        <v>1</v>
      </c>
      <c r="V718" s="81">
        <f>HLOOKUP(O718,データについて!$J$9:$M$18,10,FALSE)</f>
        <v>1</v>
      </c>
      <c r="W718" s="81">
        <f>HLOOKUP(P718,データについて!$J$10:$M$18,9,FALSE)</f>
        <v>1</v>
      </c>
      <c r="X718" s="81">
        <f>HLOOKUP(Q718,データについて!$J$11:$M$18,8,FALSE)</f>
        <v>1</v>
      </c>
      <c r="Y718" s="81">
        <f>HLOOKUP(R718,データについて!$J$12:$M$18,7,FALSE)</f>
        <v>1</v>
      </c>
      <c r="Z718" s="81">
        <f>HLOOKUP(I718,データについて!$J$3:$M$18,16,FALSE)</f>
        <v>1</v>
      </c>
      <c r="AA718" s="81">
        <f>IFERROR(HLOOKUP(J718,データについて!$J$4:$AH$19,16,FALSE),"")</f>
        <v>16</v>
      </c>
      <c r="AB718" s="81" t="str">
        <f>IFERROR(HLOOKUP(K718,データについて!$J$5:$AH$20,14,FALSE),"")</f>
        <v/>
      </c>
      <c r="AC718" s="81">
        <f>IF(X718=1,HLOOKUP(R718,データについて!$J$12:$M$18,7,FALSE),"*")</f>
        <v>1</v>
      </c>
      <c r="AD718" s="81" t="str">
        <f>IF(X718=2,HLOOKUP(R718,データについて!$J$12:$M$18,7,FALSE),"*")</f>
        <v>*</v>
      </c>
    </row>
    <row r="719" spans="1:30">
      <c r="A719" s="30">
        <v>4473</v>
      </c>
      <c r="B719" s="30" t="s">
        <v>2965</v>
      </c>
      <c r="C719" s="30" t="s">
        <v>2966</v>
      </c>
      <c r="D719" s="30" t="s">
        <v>106</v>
      </c>
      <c r="E719" s="30"/>
      <c r="F719" s="30" t="s">
        <v>107</v>
      </c>
      <c r="G719" s="30" t="s">
        <v>106</v>
      </c>
      <c r="H719" s="30"/>
      <c r="I719" s="30" t="s">
        <v>192</v>
      </c>
      <c r="J719" s="30" t="s">
        <v>2934</v>
      </c>
      <c r="K719" s="30"/>
      <c r="L719" s="30" t="s">
        <v>117</v>
      </c>
      <c r="M719" s="30" t="s">
        <v>113</v>
      </c>
      <c r="N719" s="30" t="s">
        <v>114</v>
      </c>
      <c r="O719" s="30" t="s">
        <v>115</v>
      </c>
      <c r="P719" s="30" t="s">
        <v>112</v>
      </c>
      <c r="Q719" s="30" t="s">
        <v>112</v>
      </c>
      <c r="R719" s="30" t="s">
        <v>185</v>
      </c>
      <c r="S719" s="81">
        <f>HLOOKUP(L719,データについて!$J$6:$M$18,13,FALSE)</f>
        <v>2</v>
      </c>
      <c r="T719" s="81">
        <f>HLOOKUP(M719,データについて!$J$7:$M$18,12,FALSE)</f>
        <v>1</v>
      </c>
      <c r="U719" s="81">
        <f>HLOOKUP(N719,データについて!$J$8:$M$18,11,FALSE)</f>
        <v>1</v>
      </c>
      <c r="V719" s="81">
        <f>HLOOKUP(O719,データについて!$J$9:$M$18,10,FALSE)</f>
        <v>1</v>
      </c>
      <c r="W719" s="81">
        <f>HLOOKUP(P719,データについて!$J$10:$M$18,9,FALSE)</f>
        <v>1</v>
      </c>
      <c r="X719" s="81">
        <f>HLOOKUP(Q719,データについて!$J$11:$M$18,8,FALSE)</f>
        <v>1</v>
      </c>
      <c r="Y719" s="81">
        <f>HLOOKUP(R719,データについて!$J$12:$M$18,7,FALSE)</f>
        <v>2</v>
      </c>
      <c r="Z719" s="81">
        <f>HLOOKUP(I719,データについて!$J$3:$M$18,16,FALSE)</f>
        <v>1</v>
      </c>
      <c r="AA719" s="81">
        <f>IFERROR(HLOOKUP(J719,データについて!$J$4:$AH$19,16,FALSE),"")</f>
        <v>16</v>
      </c>
      <c r="AB719" s="81" t="str">
        <f>IFERROR(HLOOKUP(K719,データについて!$J$5:$AH$20,14,FALSE),"")</f>
        <v/>
      </c>
      <c r="AC719" s="81">
        <f>IF(X719=1,HLOOKUP(R719,データについて!$J$12:$M$18,7,FALSE),"*")</f>
        <v>2</v>
      </c>
      <c r="AD719" s="81" t="str">
        <f>IF(X719=2,HLOOKUP(R719,データについて!$J$12:$M$18,7,FALSE),"*")</f>
        <v>*</v>
      </c>
    </row>
    <row r="720" spans="1:30">
      <c r="A720" s="30">
        <v>4472</v>
      </c>
      <c r="B720" s="30" t="s">
        <v>2967</v>
      </c>
      <c r="C720" s="30" t="s">
        <v>2968</v>
      </c>
      <c r="D720" s="30" t="s">
        <v>106</v>
      </c>
      <c r="E720" s="30"/>
      <c r="F720" s="30" t="s">
        <v>107</v>
      </c>
      <c r="G720" s="30" t="s">
        <v>106</v>
      </c>
      <c r="H720" s="30"/>
      <c r="I720" s="30" t="s">
        <v>192</v>
      </c>
      <c r="J720" s="30" t="s">
        <v>2934</v>
      </c>
      <c r="K720" s="30"/>
      <c r="L720" s="30" t="s">
        <v>117</v>
      </c>
      <c r="M720" s="30" t="s">
        <v>109</v>
      </c>
      <c r="N720" s="30" t="s">
        <v>122</v>
      </c>
      <c r="O720" s="30" t="s">
        <v>115</v>
      </c>
      <c r="P720" s="30" t="s">
        <v>112</v>
      </c>
      <c r="Q720" s="30" t="s">
        <v>112</v>
      </c>
      <c r="R720" s="30" t="s">
        <v>183</v>
      </c>
      <c r="S720" s="81">
        <f>HLOOKUP(L720,データについて!$J$6:$M$18,13,FALSE)</f>
        <v>2</v>
      </c>
      <c r="T720" s="81">
        <f>HLOOKUP(M720,データについて!$J$7:$M$18,12,FALSE)</f>
        <v>2</v>
      </c>
      <c r="U720" s="81">
        <f>HLOOKUP(N720,データについて!$J$8:$M$18,11,FALSE)</f>
        <v>3</v>
      </c>
      <c r="V720" s="81">
        <f>HLOOKUP(O720,データについて!$J$9:$M$18,10,FALSE)</f>
        <v>1</v>
      </c>
      <c r="W720" s="81">
        <f>HLOOKUP(P720,データについて!$J$10:$M$18,9,FALSE)</f>
        <v>1</v>
      </c>
      <c r="X720" s="81">
        <f>HLOOKUP(Q720,データについて!$J$11:$M$18,8,FALSE)</f>
        <v>1</v>
      </c>
      <c r="Y720" s="81">
        <f>HLOOKUP(R720,データについて!$J$12:$M$18,7,FALSE)</f>
        <v>1</v>
      </c>
      <c r="Z720" s="81">
        <f>HLOOKUP(I720,データについて!$J$3:$M$18,16,FALSE)</f>
        <v>1</v>
      </c>
      <c r="AA720" s="81">
        <f>IFERROR(HLOOKUP(J720,データについて!$J$4:$AH$19,16,FALSE),"")</f>
        <v>16</v>
      </c>
      <c r="AB720" s="81" t="str">
        <f>IFERROR(HLOOKUP(K720,データについて!$J$5:$AH$20,14,FALSE),"")</f>
        <v/>
      </c>
      <c r="AC720" s="81">
        <f>IF(X720=1,HLOOKUP(R720,データについて!$J$12:$M$18,7,FALSE),"*")</f>
        <v>1</v>
      </c>
      <c r="AD720" s="81" t="str">
        <f>IF(X720=2,HLOOKUP(R720,データについて!$J$12:$M$18,7,FALSE),"*")</f>
        <v>*</v>
      </c>
    </row>
    <row r="721" spans="1:30">
      <c r="A721" s="30">
        <v>4471</v>
      </c>
      <c r="B721" s="30" t="s">
        <v>2969</v>
      </c>
      <c r="C721" s="30" t="s">
        <v>2968</v>
      </c>
      <c r="D721" s="30" t="s">
        <v>106</v>
      </c>
      <c r="E721" s="30"/>
      <c r="F721" s="30" t="s">
        <v>107</v>
      </c>
      <c r="G721" s="30" t="s">
        <v>106</v>
      </c>
      <c r="H721" s="30"/>
      <c r="I721" s="30" t="s">
        <v>192</v>
      </c>
      <c r="J721" s="30" t="s">
        <v>2934</v>
      </c>
      <c r="K721" s="30"/>
      <c r="L721" s="30" t="s">
        <v>108</v>
      </c>
      <c r="M721" s="30" t="s">
        <v>113</v>
      </c>
      <c r="N721" s="30" t="s">
        <v>110</v>
      </c>
      <c r="O721" s="30" t="s">
        <v>115</v>
      </c>
      <c r="P721" s="30" t="s">
        <v>112</v>
      </c>
      <c r="Q721" s="30" t="s">
        <v>112</v>
      </c>
      <c r="R721" s="30" t="s">
        <v>185</v>
      </c>
      <c r="S721" s="81">
        <f>HLOOKUP(L721,データについて!$J$6:$M$18,13,FALSE)</f>
        <v>1</v>
      </c>
      <c r="T721" s="81">
        <f>HLOOKUP(M721,データについて!$J$7:$M$18,12,FALSE)</f>
        <v>1</v>
      </c>
      <c r="U721" s="81">
        <f>HLOOKUP(N721,データについて!$J$8:$M$18,11,FALSE)</f>
        <v>2</v>
      </c>
      <c r="V721" s="81">
        <f>HLOOKUP(O721,データについて!$J$9:$M$18,10,FALSE)</f>
        <v>1</v>
      </c>
      <c r="W721" s="81">
        <f>HLOOKUP(P721,データについて!$J$10:$M$18,9,FALSE)</f>
        <v>1</v>
      </c>
      <c r="X721" s="81">
        <f>HLOOKUP(Q721,データについて!$J$11:$M$18,8,FALSE)</f>
        <v>1</v>
      </c>
      <c r="Y721" s="81">
        <f>HLOOKUP(R721,データについて!$J$12:$M$18,7,FALSE)</f>
        <v>2</v>
      </c>
      <c r="Z721" s="81">
        <f>HLOOKUP(I721,データについて!$J$3:$M$18,16,FALSE)</f>
        <v>1</v>
      </c>
      <c r="AA721" s="81">
        <f>IFERROR(HLOOKUP(J721,データについて!$J$4:$AH$19,16,FALSE),"")</f>
        <v>16</v>
      </c>
      <c r="AB721" s="81" t="str">
        <f>IFERROR(HLOOKUP(K721,データについて!$J$5:$AH$20,14,FALSE),"")</f>
        <v/>
      </c>
      <c r="AC721" s="81">
        <f>IF(X721=1,HLOOKUP(R721,データについて!$J$12:$M$18,7,FALSE),"*")</f>
        <v>2</v>
      </c>
      <c r="AD721" s="81" t="str">
        <f>IF(X721=2,HLOOKUP(R721,データについて!$J$12:$M$18,7,FALSE),"*")</f>
        <v>*</v>
      </c>
    </row>
    <row r="722" spans="1:30">
      <c r="A722" s="30">
        <v>4470</v>
      </c>
      <c r="B722" s="30" t="s">
        <v>2970</v>
      </c>
      <c r="C722" s="30" t="s">
        <v>2971</v>
      </c>
      <c r="D722" s="30" t="s">
        <v>106</v>
      </c>
      <c r="E722" s="30"/>
      <c r="F722" s="30" t="s">
        <v>107</v>
      </c>
      <c r="G722" s="30" t="s">
        <v>106</v>
      </c>
      <c r="H722" s="30"/>
      <c r="I722" s="30" t="s">
        <v>192</v>
      </c>
      <c r="J722" s="30" t="s">
        <v>2934</v>
      </c>
      <c r="K722" s="30"/>
      <c r="L722" s="30" t="s">
        <v>108</v>
      </c>
      <c r="M722" s="30" t="s">
        <v>113</v>
      </c>
      <c r="N722" s="30" t="s">
        <v>114</v>
      </c>
      <c r="O722" s="30" t="s">
        <v>115</v>
      </c>
      <c r="P722" s="30" t="s">
        <v>112</v>
      </c>
      <c r="Q722" s="30" t="s">
        <v>112</v>
      </c>
      <c r="R722" s="30" t="s">
        <v>183</v>
      </c>
      <c r="S722" s="81">
        <f>HLOOKUP(L722,データについて!$J$6:$M$18,13,FALSE)</f>
        <v>1</v>
      </c>
      <c r="T722" s="81">
        <f>HLOOKUP(M722,データについて!$J$7:$M$18,12,FALSE)</f>
        <v>1</v>
      </c>
      <c r="U722" s="81">
        <f>HLOOKUP(N722,データについて!$J$8:$M$18,11,FALSE)</f>
        <v>1</v>
      </c>
      <c r="V722" s="81">
        <f>HLOOKUP(O722,データについて!$J$9:$M$18,10,FALSE)</f>
        <v>1</v>
      </c>
      <c r="W722" s="81">
        <f>HLOOKUP(P722,データについて!$J$10:$M$18,9,FALSE)</f>
        <v>1</v>
      </c>
      <c r="X722" s="81">
        <f>HLOOKUP(Q722,データについて!$J$11:$M$18,8,FALSE)</f>
        <v>1</v>
      </c>
      <c r="Y722" s="81">
        <f>HLOOKUP(R722,データについて!$J$12:$M$18,7,FALSE)</f>
        <v>1</v>
      </c>
      <c r="Z722" s="81">
        <f>HLOOKUP(I722,データについて!$J$3:$M$18,16,FALSE)</f>
        <v>1</v>
      </c>
      <c r="AA722" s="81">
        <f>IFERROR(HLOOKUP(J722,データについて!$J$4:$AH$19,16,FALSE),"")</f>
        <v>16</v>
      </c>
      <c r="AB722" s="81" t="str">
        <f>IFERROR(HLOOKUP(K722,データについて!$J$5:$AH$20,14,FALSE),"")</f>
        <v/>
      </c>
      <c r="AC722" s="81">
        <f>IF(X722=1,HLOOKUP(R722,データについて!$J$12:$M$18,7,FALSE),"*")</f>
        <v>1</v>
      </c>
      <c r="AD722" s="81" t="str">
        <f>IF(X722=2,HLOOKUP(R722,データについて!$J$12:$M$18,7,FALSE),"*")</f>
        <v>*</v>
      </c>
    </row>
    <row r="723" spans="1:30">
      <c r="A723" s="30">
        <v>4469</v>
      </c>
      <c r="B723" s="30" t="s">
        <v>2972</v>
      </c>
      <c r="C723" s="30" t="s">
        <v>2973</v>
      </c>
      <c r="D723" s="30" t="s">
        <v>106</v>
      </c>
      <c r="E723" s="30"/>
      <c r="F723" s="30" t="s">
        <v>107</v>
      </c>
      <c r="G723" s="30" t="s">
        <v>106</v>
      </c>
      <c r="H723" s="30"/>
      <c r="I723" s="30" t="s">
        <v>192</v>
      </c>
      <c r="J723" s="30" t="s">
        <v>2934</v>
      </c>
      <c r="K723" s="30"/>
      <c r="L723" s="30" t="s">
        <v>117</v>
      </c>
      <c r="M723" s="30" t="s">
        <v>109</v>
      </c>
      <c r="N723" s="30" t="s">
        <v>122</v>
      </c>
      <c r="O723" s="30" t="s">
        <v>115</v>
      </c>
      <c r="P723" s="30" t="s">
        <v>112</v>
      </c>
      <c r="Q723" s="30" t="s">
        <v>112</v>
      </c>
      <c r="R723" s="30" t="s">
        <v>185</v>
      </c>
      <c r="S723" s="81">
        <f>HLOOKUP(L723,データについて!$J$6:$M$18,13,FALSE)</f>
        <v>2</v>
      </c>
      <c r="T723" s="81">
        <f>HLOOKUP(M723,データについて!$J$7:$M$18,12,FALSE)</f>
        <v>2</v>
      </c>
      <c r="U723" s="81">
        <f>HLOOKUP(N723,データについて!$J$8:$M$18,11,FALSE)</f>
        <v>3</v>
      </c>
      <c r="V723" s="81">
        <f>HLOOKUP(O723,データについて!$J$9:$M$18,10,FALSE)</f>
        <v>1</v>
      </c>
      <c r="W723" s="81">
        <f>HLOOKUP(P723,データについて!$J$10:$M$18,9,FALSE)</f>
        <v>1</v>
      </c>
      <c r="X723" s="81">
        <f>HLOOKUP(Q723,データについて!$J$11:$M$18,8,FALSE)</f>
        <v>1</v>
      </c>
      <c r="Y723" s="81">
        <f>HLOOKUP(R723,データについて!$J$12:$M$18,7,FALSE)</f>
        <v>2</v>
      </c>
      <c r="Z723" s="81">
        <f>HLOOKUP(I723,データについて!$J$3:$M$18,16,FALSE)</f>
        <v>1</v>
      </c>
      <c r="AA723" s="81">
        <f>IFERROR(HLOOKUP(J723,データについて!$J$4:$AH$19,16,FALSE),"")</f>
        <v>16</v>
      </c>
      <c r="AB723" s="81" t="str">
        <f>IFERROR(HLOOKUP(K723,データについて!$J$5:$AH$20,14,FALSE),"")</f>
        <v/>
      </c>
      <c r="AC723" s="81">
        <f>IF(X723=1,HLOOKUP(R723,データについて!$J$12:$M$18,7,FALSE),"*")</f>
        <v>2</v>
      </c>
      <c r="AD723" s="81" t="str">
        <f>IF(X723=2,HLOOKUP(R723,データについて!$J$12:$M$18,7,FALSE),"*")</f>
        <v>*</v>
      </c>
    </row>
    <row r="724" spans="1:30">
      <c r="A724" s="30">
        <v>4468</v>
      </c>
      <c r="B724" s="30" t="s">
        <v>2974</v>
      </c>
      <c r="C724" s="30" t="s">
        <v>2975</v>
      </c>
      <c r="D724" s="30" t="s">
        <v>106</v>
      </c>
      <c r="E724" s="30"/>
      <c r="F724" s="30" t="s">
        <v>107</v>
      </c>
      <c r="G724" s="30" t="s">
        <v>106</v>
      </c>
      <c r="H724" s="30"/>
      <c r="I724" s="30" t="s">
        <v>192</v>
      </c>
      <c r="J724" s="30" t="s">
        <v>2934</v>
      </c>
      <c r="K724" s="30"/>
      <c r="L724" s="30" t="s">
        <v>108</v>
      </c>
      <c r="M724" s="30" t="s">
        <v>113</v>
      </c>
      <c r="N724" s="30" t="s">
        <v>114</v>
      </c>
      <c r="O724" s="30" t="s">
        <v>115</v>
      </c>
      <c r="P724" s="30" t="s">
        <v>112</v>
      </c>
      <c r="Q724" s="30" t="s">
        <v>112</v>
      </c>
      <c r="R724" s="30" t="s">
        <v>183</v>
      </c>
      <c r="S724" s="81">
        <f>HLOOKUP(L724,データについて!$J$6:$M$18,13,FALSE)</f>
        <v>1</v>
      </c>
      <c r="T724" s="81">
        <f>HLOOKUP(M724,データについて!$J$7:$M$18,12,FALSE)</f>
        <v>1</v>
      </c>
      <c r="U724" s="81">
        <f>HLOOKUP(N724,データについて!$J$8:$M$18,11,FALSE)</f>
        <v>1</v>
      </c>
      <c r="V724" s="81">
        <f>HLOOKUP(O724,データについて!$J$9:$M$18,10,FALSE)</f>
        <v>1</v>
      </c>
      <c r="W724" s="81">
        <f>HLOOKUP(P724,データについて!$J$10:$M$18,9,FALSE)</f>
        <v>1</v>
      </c>
      <c r="X724" s="81">
        <f>HLOOKUP(Q724,データについて!$J$11:$M$18,8,FALSE)</f>
        <v>1</v>
      </c>
      <c r="Y724" s="81">
        <f>HLOOKUP(R724,データについて!$J$12:$M$18,7,FALSE)</f>
        <v>1</v>
      </c>
      <c r="Z724" s="81">
        <f>HLOOKUP(I724,データについて!$J$3:$M$18,16,FALSE)</f>
        <v>1</v>
      </c>
      <c r="AA724" s="81">
        <f>IFERROR(HLOOKUP(J724,データについて!$J$4:$AH$19,16,FALSE),"")</f>
        <v>16</v>
      </c>
      <c r="AB724" s="81" t="str">
        <f>IFERROR(HLOOKUP(K724,データについて!$J$5:$AH$20,14,FALSE),"")</f>
        <v/>
      </c>
      <c r="AC724" s="81">
        <f>IF(X724=1,HLOOKUP(R724,データについて!$J$12:$M$18,7,FALSE),"*")</f>
        <v>1</v>
      </c>
      <c r="AD724" s="81" t="str">
        <f>IF(X724=2,HLOOKUP(R724,データについて!$J$12:$M$18,7,FALSE),"*")</f>
        <v>*</v>
      </c>
    </row>
    <row r="725" spans="1:30">
      <c r="A725" s="30">
        <v>4467</v>
      </c>
      <c r="B725" s="30" t="s">
        <v>2976</v>
      </c>
      <c r="C725" s="30" t="s">
        <v>2975</v>
      </c>
      <c r="D725" s="30" t="s">
        <v>106</v>
      </c>
      <c r="E725" s="30"/>
      <c r="F725" s="30" t="s">
        <v>107</v>
      </c>
      <c r="G725" s="30" t="s">
        <v>106</v>
      </c>
      <c r="H725" s="30"/>
      <c r="I725" s="30" t="s">
        <v>192</v>
      </c>
      <c r="J725" s="30" t="s">
        <v>2934</v>
      </c>
      <c r="K725" s="30"/>
      <c r="L725" s="30" t="s">
        <v>117</v>
      </c>
      <c r="M725" s="30" t="s">
        <v>109</v>
      </c>
      <c r="N725" s="30" t="s">
        <v>114</v>
      </c>
      <c r="O725" s="30" t="s">
        <v>123</v>
      </c>
      <c r="P725" s="30" t="s">
        <v>112</v>
      </c>
      <c r="Q725" s="30" t="s">
        <v>112</v>
      </c>
      <c r="R725" s="30" t="s">
        <v>185</v>
      </c>
      <c r="S725" s="81">
        <f>HLOOKUP(L725,データについて!$J$6:$M$18,13,FALSE)</f>
        <v>2</v>
      </c>
      <c r="T725" s="81">
        <f>HLOOKUP(M725,データについて!$J$7:$M$18,12,FALSE)</f>
        <v>2</v>
      </c>
      <c r="U725" s="81">
        <f>HLOOKUP(N725,データについて!$J$8:$M$18,11,FALSE)</f>
        <v>1</v>
      </c>
      <c r="V725" s="81">
        <f>HLOOKUP(O725,データについて!$J$9:$M$18,10,FALSE)</f>
        <v>4</v>
      </c>
      <c r="W725" s="81">
        <f>HLOOKUP(P725,データについて!$J$10:$M$18,9,FALSE)</f>
        <v>1</v>
      </c>
      <c r="X725" s="81">
        <f>HLOOKUP(Q725,データについて!$J$11:$M$18,8,FALSE)</f>
        <v>1</v>
      </c>
      <c r="Y725" s="81">
        <f>HLOOKUP(R725,データについて!$J$12:$M$18,7,FALSE)</f>
        <v>2</v>
      </c>
      <c r="Z725" s="81">
        <f>HLOOKUP(I725,データについて!$J$3:$M$18,16,FALSE)</f>
        <v>1</v>
      </c>
      <c r="AA725" s="81">
        <f>IFERROR(HLOOKUP(J725,データについて!$J$4:$AH$19,16,FALSE),"")</f>
        <v>16</v>
      </c>
      <c r="AB725" s="81" t="str">
        <f>IFERROR(HLOOKUP(K725,データについて!$J$5:$AH$20,14,FALSE),"")</f>
        <v/>
      </c>
      <c r="AC725" s="81">
        <f>IF(X725=1,HLOOKUP(R725,データについて!$J$12:$M$18,7,FALSE),"*")</f>
        <v>2</v>
      </c>
      <c r="AD725" s="81" t="str">
        <f>IF(X725=2,HLOOKUP(R725,データについて!$J$12:$M$18,7,FALSE),"*")</f>
        <v>*</v>
      </c>
    </row>
    <row r="726" spans="1:30">
      <c r="A726" s="30">
        <v>4466</v>
      </c>
      <c r="B726" s="30" t="s">
        <v>2977</v>
      </c>
      <c r="C726" s="30" t="s">
        <v>2975</v>
      </c>
      <c r="D726" s="30" t="s">
        <v>106</v>
      </c>
      <c r="E726" s="30"/>
      <c r="F726" s="30" t="s">
        <v>107</v>
      </c>
      <c r="G726" s="30" t="s">
        <v>106</v>
      </c>
      <c r="H726" s="30"/>
      <c r="I726" s="30" t="s">
        <v>192</v>
      </c>
      <c r="J726" s="30" t="s">
        <v>2934</v>
      </c>
      <c r="K726" s="30"/>
      <c r="L726" s="30" t="s">
        <v>117</v>
      </c>
      <c r="M726" s="30" t="s">
        <v>113</v>
      </c>
      <c r="N726" s="30" t="s">
        <v>110</v>
      </c>
      <c r="O726" s="30" t="s">
        <v>115</v>
      </c>
      <c r="P726" s="30" t="s">
        <v>112</v>
      </c>
      <c r="Q726" s="30" t="s">
        <v>112</v>
      </c>
      <c r="R726" s="30" t="s">
        <v>183</v>
      </c>
      <c r="S726" s="81">
        <f>HLOOKUP(L726,データについて!$J$6:$M$18,13,FALSE)</f>
        <v>2</v>
      </c>
      <c r="T726" s="81">
        <f>HLOOKUP(M726,データについて!$J$7:$M$18,12,FALSE)</f>
        <v>1</v>
      </c>
      <c r="U726" s="81">
        <f>HLOOKUP(N726,データについて!$J$8:$M$18,11,FALSE)</f>
        <v>2</v>
      </c>
      <c r="V726" s="81">
        <f>HLOOKUP(O726,データについて!$J$9:$M$18,10,FALSE)</f>
        <v>1</v>
      </c>
      <c r="W726" s="81">
        <f>HLOOKUP(P726,データについて!$J$10:$M$18,9,FALSE)</f>
        <v>1</v>
      </c>
      <c r="X726" s="81">
        <f>HLOOKUP(Q726,データについて!$J$11:$M$18,8,FALSE)</f>
        <v>1</v>
      </c>
      <c r="Y726" s="81">
        <f>HLOOKUP(R726,データについて!$J$12:$M$18,7,FALSE)</f>
        <v>1</v>
      </c>
      <c r="Z726" s="81">
        <f>HLOOKUP(I726,データについて!$J$3:$M$18,16,FALSE)</f>
        <v>1</v>
      </c>
      <c r="AA726" s="81">
        <f>IFERROR(HLOOKUP(J726,データについて!$J$4:$AH$19,16,FALSE),"")</f>
        <v>16</v>
      </c>
      <c r="AB726" s="81" t="str">
        <f>IFERROR(HLOOKUP(K726,データについて!$J$5:$AH$20,14,FALSE),"")</f>
        <v/>
      </c>
      <c r="AC726" s="81">
        <f>IF(X726=1,HLOOKUP(R726,データについて!$J$12:$M$18,7,FALSE),"*")</f>
        <v>1</v>
      </c>
      <c r="AD726" s="81" t="str">
        <f>IF(X726=2,HLOOKUP(R726,データについて!$J$12:$M$18,7,FALSE),"*")</f>
        <v>*</v>
      </c>
    </row>
    <row r="727" spans="1:30">
      <c r="A727" s="30">
        <v>4465</v>
      </c>
      <c r="B727" s="30" t="s">
        <v>2978</v>
      </c>
      <c r="C727" s="30" t="s">
        <v>2979</v>
      </c>
      <c r="D727" s="30" t="s">
        <v>106</v>
      </c>
      <c r="E727" s="30"/>
      <c r="F727" s="30" t="s">
        <v>107</v>
      </c>
      <c r="G727" s="30" t="s">
        <v>106</v>
      </c>
      <c r="H727" s="30"/>
      <c r="I727" s="30" t="s">
        <v>192</v>
      </c>
      <c r="J727" s="30" t="s">
        <v>2934</v>
      </c>
      <c r="K727" s="30"/>
      <c r="L727" s="30" t="s">
        <v>117</v>
      </c>
      <c r="M727" s="30" t="s">
        <v>113</v>
      </c>
      <c r="N727" s="30" t="s">
        <v>114</v>
      </c>
      <c r="O727" s="30" t="s">
        <v>115</v>
      </c>
      <c r="P727" s="30" t="s">
        <v>112</v>
      </c>
      <c r="Q727" s="30" t="s">
        <v>112</v>
      </c>
      <c r="R727" s="30" t="s">
        <v>185</v>
      </c>
      <c r="S727" s="81">
        <f>HLOOKUP(L727,データについて!$J$6:$M$18,13,FALSE)</f>
        <v>2</v>
      </c>
      <c r="T727" s="81">
        <f>HLOOKUP(M727,データについて!$J$7:$M$18,12,FALSE)</f>
        <v>1</v>
      </c>
      <c r="U727" s="81">
        <f>HLOOKUP(N727,データについて!$J$8:$M$18,11,FALSE)</f>
        <v>1</v>
      </c>
      <c r="V727" s="81">
        <f>HLOOKUP(O727,データについて!$J$9:$M$18,10,FALSE)</f>
        <v>1</v>
      </c>
      <c r="W727" s="81">
        <f>HLOOKUP(P727,データについて!$J$10:$M$18,9,FALSE)</f>
        <v>1</v>
      </c>
      <c r="X727" s="81">
        <f>HLOOKUP(Q727,データについて!$J$11:$M$18,8,FALSE)</f>
        <v>1</v>
      </c>
      <c r="Y727" s="81">
        <f>HLOOKUP(R727,データについて!$J$12:$M$18,7,FALSE)</f>
        <v>2</v>
      </c>
      <c r="Z727" s="81">
        <f>HLOOKUP(I727,データについて!$J$3:$M$18,16,FALSE)</f>
        <v>1</v>
      </c>
      <c r="AA727" s="81">
        <f>IFERROR(HLOOKUP(J727,データについて!$J$4:$AH$19,16,FALSE),"")</f>
        <v>16</v>
      </c>
      <c r="AB727" s="81" t="str">
        <f>IFERROR(HLOOKUP(K727,データについて!$J$5:$AH$20,14,FALSE),"")</f>
        <v/>
      </c>
      <c r="AC727" s="81">
        <f>IF(X727=1,HLOOKUP(R727,データについて!$J$12:$M$18,7,FALSE),"*")</f>
        <v>2</v>
      </c>
      <c r="AD727" s="81" t="str">
        <f>IF(X727=2,HLOOKUP(R727,データについて!$J$12:$M$18,7,FALSE),"*")</f>
        <v>*</v>
      </c>
    </row>
    <row r="728" spans="1:30">
      <c r="A728" s="30">
        <v>4464</v>
      </c>
      <c r="B728" s="30" t="s">
        <v>2980</v>
      </c>
      <c r="C728" s="30" t="s">
        <v>2981</v>
      </c>
      <c r="D728" s="30" t="s">
        <v>106</v>
      </c>
      <c r="E728" s="30"/>
      <c r="F728" s="30" t="s">
        <v>107</v>
      </c>
      <c r="G728" s="30" t="s">
        <v>106</v>
      </c>
      <c r="H728" s="30"/>
      <c r="I728" s="30" t="s">
        <v>192</v>
      </c>
      <c r="J728" s="30" t="s">
        <v>2934</v>
      </c>
      <c r="K728" s="30"/>
      <c r="L728" s="30" t="s">
        <v>108</v>
      </c>
      <c r="M728" s="30" t="s">
        <v>113</v>
      </c>
      <c r="N728" s="30" t="s">
        <v>114</v>
      </c>
      <c r="O728" s="30" t="s">
        <v>115</v>
      </c>
      <c r="P728" s="30" t="s">
        <v>112</v>
      </c>
      <c r="Q728" s="30" t="s">
        <v>112</v>
      </c>
      <c r="R728" s="30" t="s">
        <v>183</v>
      </c>
      <c r="S728" s="81">
        <f>HLOOKUP(L728,データについて!$J$6:$M$18,13,FALSE)</f>
        <v>1</v>
      </c>
      <c r="T728" s="81">
        <f>HLOOKUP(M728,データについて!$J$7:$M$18,12,FALSE)</f>
        <v>1</v>
      </c>
      <c r="U728" s="81">
        <f>HLOOKUP(N728,データについて!$J$8:$M$18,11,FALSE)</f>
        <v>1</v>
      </c>
      <c r="V728" s="81">
        <f>HLOOKUP(O728,データについて!$J$9:$M$18,10,FALSE)</f>
        <v>1</v>
      </c>
      <c r="W728" s="81">
        <f>HLOOKUP(P728,データについて!$J$10:$M$18,9,FALSE)</f>
        <v>1</v>
      </c>
      <c r="X728" s="81">
        <f>HLOOKUP(Q728,データについて!$J$11:$M$18,8,FALSE)</f>
        <v>1</v>
      </c>
      <c r="Y728" s="81">
        <f>HLOOKUP(R728,データについて!$J$12:$M$18,7,FALSE)</f>
        <v>1</v>
      </c>
      <c r="Z728" s="81">
        <f>HLOOKUP(I728,データについて!$J$3:$M$18,16,FALSE)</f>
        <v>1</v>
      </c>
      <c r="AA728" s="81">
        <f>IFERROR(HLOOKUP(J728,データについて!$J$4:$AH$19,16,FALSE),"")</f>
        <v>16</v>
      </c>
      <c r="AB728" s="81" t="str">
        <f>IFERROR(HLOOKUP(K728,データについて!$J$5:$AH$20,14,FALSE),"")</f>
        <v/>
      </c>
      <c r="AC728" s="81">
        <f>IF(X728=1,HLOOKUP(R728,データについて!$J$12:$M$18,7,FALSE),"*")</f>
        <v>1</v>
      </c>
      <c r="AD728" s="81" t="str">
        <f>IF(X728=2,HLOOKUP(R728,データについて!$J$12:$M$18,7,FALSE),"*")</f>
        <v>*</v>
      </c>
    </row>
    <row r="729" spans="1:30">
      <c r="A729" s="30">
        <v>4463</v>
      </c>
      <c r="B729" s="30" t="s">
        <v>2982</v>
      </c>
      <c r="C729" s="30" t="s">
        <v>2983</v>
      </c>
      <c r="D729" s="30" t="s">
        <v>106</v>
      </c>
      <c r="E729" s="30"/>
      <c r="F729" s="30" t="s">
        <v>107</v>
      </c>
      <c r="G729" s="30" t="s">
        <v>106</v>
      </c>
      <c r="H729" s="30"/>
      <c r="I729" s="30" t="s">
        <v>192</v>
      </c>
      <c r="J729" s="30" t="s">
        <v>2934</v>
      </c>
      <c r="K729" s="30"/>
      <c r="L729" s="30" t="s">
        <v>108</v>
      </c>
      <c r="M729" s="30" t="s">
        <v>109</v>
      </c>
      <c r="N729" s="30" t="s">
        <v>114</v>
      </c>
      <c r="O729" s="30" t="s">
        <v>115</v>
      </c>
      <c r="P729" s="30" t="s">
        <v>112</v>
      </c>
      <c r="Q729" s="30" t="s">
        <v>118</v>
      </c>
      <c r="R729" s="30" t="s">
        <v>187</v>
      </c>
      <c r="S729" s="81">
        <f>HLOOKUP(L729,データについて!$J$6:$M$18,13,FALSE)</f>
        <v>1</v>
      </c>
      <c r="T729" s="81">
        <f>HLOOKUP(M729,データについて!$J$7:$M$18,12,FALSE)</f>
        <v>2</v>
      </c>
      <c r="U729" s="81">
        <f>HLOOKUP(N729,データについて!$J$8:$M$18,11,FALSE)</f>
        <v>1</v>
      </c>
      <c r="V729" s="81">
        <f>HLOOKUP(O729,データについて!$J$9:$M$18,10,FALSE)</f>
        <v>1</v>
      </c>
      <c r="W729" s="81">
        <f>HLOOKUP(P729,データについて!$J$10:$M$18,9,FALSE)</f>
        <v>1</v>
      </c>
      <c r="X729" s="81">
        <f>HLOOKUP(Q729,データについて!$J$11:$M$18,8,FALSE)</f>
        <v>2</v>
      </c>
      <c r="Y729" s="81">
        <f>HLOOKUP(R729,データについて!$J$12:$M$18,7,FALSE)</f>
        <v>3</v>
      </c>
      <c r="Z729" s="81">
        <f>HLOOKUP(I729,データについて!$J$3:$M$18,16,FALSE)</f>
        <v>1</v>
      </c>
      <c r="AA729" s="81">
        <f>IFERROR(HLOOKUP(J729,データについて!$J$4:$AH$19,16,FALSE),"")</f>
        <v>16</v>
      </c>
      <c r="AB729" s="81" t="str">
        <f>IFERROR(HLOOKUP(K729,データについて!$J$5:$AH$20,14,FALSE),"")</f>
        <v/>
      </c>
      <c r="AC729" s="81" t="str">
        <f>IF(X729=1,HLOOKUP(R729,データについて!$J$12:$M$18,7,FALSE),"*")</f>
        <v>*</v>
      </c>
      <c r="AD729" s="81">
        <f>IF(X729=2,HLOOKUP(R729,データについて!$J$12:$M$18,7,FALSE),"*")</f>
        <v>3</v>
      </c>
    </row>
    <row r="730" spans="1:30">
      <c r="A730" s="30">
        <v>4462</v>
      </c>
      <c r="B730" s="30" t="s">
        <v>2984</v>
      </c>
      <c r="C730" s="30" t="s">
        <v>2985</v>
      </c>
      <c r="D730" s="30" t="s">
        <v>106</v>
      </c>
      <c r="E730" s="30"/>
      <c r="F730" s="30" t="s">
        <v>107</v>
      </c>
      <c r="G730" s="30" t="s">
        <v>106</v>
      </c>
      <c r="H730" s="30"/>
      <c r="I730" s="30" t="s">
        <v>192</v>
      </c>
      <c r="J730" s="30" t="s">
        <v>2934</v>
      </c>
      <c r="K730" s="30"/>
      <c r="L730" s="30" t="s">
        <v>108</v>
      </c>
      <c r="M730" s="30" t="s">
        <v>113</v>
      </c>
      <c r="N730" s="30" t="s">
        <v>114</v>
      </c>
      <c r="O730" s="30" t="s">
        <v>115</v>
      </c>
      <c r="P730" s="30" t="s">
        <v>112</v>
      </c>
      <c r="Q730" s="30" t="s">
        <v>112</v>
      </c>
      <c r="R730" s="30" t="s">
        <v>183</v>
      </c>
      <c r="S730" s="81">
        <f>HLOOKUP(L730,データについて!$J$6:$M$18,13,FALSE)</f>
        <v>1</v>
      </c>
      <c r="T730" s="81">
        <f>HLOOKUP(M730,データについて!$J$7:$M$18,12,FALSE)</f>
        <v>1</v>
      </c>
      <c r="U730" s="81">
        <f>HLOOKUP(N730,データについて!$J$8:$M$18,11,FALSE)</f>
        <v>1</v>
      </c>
      <c r="V730" s="81">
        <f>HLOOKUP(O730,データについて!$J$9:$M$18,10,FALSE)</f>
        <v>1</v>
      </c>
      <c r="W730" s="81">
        <f>HLOOKUP(P730,データについて!$J$10:$M$18,9,FALSE)</f>
        <v>1</v>
      </c>
      <c r="X730" s="81">
        <f>HLOOKUP(Q730,データについて!$J$11:$M$18,8,FALSE)</f>
        <v>1</v>
      </c>
      <c r="Y730" s="81">
        <f>HLOOKUP(R730,データについて!$J$12:$M$18,7,FALSE)</f>
        <v>1</v>
      </c>
      <c r="Z730" s="81">
        <f>HLOOKUP(I730,データについて!$J$3:$M$18,16,FALSE)</f>
        <v>1</v>
      </c>
      <c r="AA730" s="81">
        <f>IFERROR(HLOOKUP(J730,データについて!$J$4:$AH$19,16,FALSE),"")</f>
        <v>16</v>
      </c>
      <c r="AB730" s="81" t="str">
        <f>IFERROR(HLOOKUP(K730,データについて!$J$5:$AH$20,14,FALSE),"")</f>
        <v/>
      </c>
      <c r="AC730" s="81">
        <f>IF(X730=1,HLOOKUP(R730,データについて!$J$12:$M$18,7,FALSE),"*")</f>
        <v>1</v>
      </c>
      <c r="AD730" s="81" t="str">
        <f>IF(X730=2,HLOOKUP(R730,データについて!$J$12:$M$18,7,FALSE),"*")</f>
        <v>*</v>
      </c>
    </row>
    <row r="731" spans="1:30">
      <c r="A731" s="30">
        <v>4461</v>
      </c>
      <c r="B731" s="30" t="s">
        <v>2986</v>
      </c>
      <c r="C731" s="30" t="s">
        <v>2987</v>
      </c>
      <c r="D731" s="30" t="s">
        <v>106</v>
      </c>
      <c r="E731" s="30"/>
      <c r="F731" s="30" t="s">
        <v>107</v>
      </c>
      <c r="G731" s="30" t="s">
        <v>106</v>
      </c>
      <c r="H731" s="30"/>
      <c r="I731" s="30" t="s">
        <v>192</v>
      </c>
      <c r="J731" s="30" t="s">
        <v>2934</v>
      </c>
      <c r="K731" s="30"/>
      <c r="L731" s="30" t="s">
        <v>117</v>
      </c>
      <c r="M731" s="30" t="s">
        <v>109</v>
      </c>
      <c r="N731" s="30" t="s">
        <v>114</v>
      </c>
      <c r="O731" s="30" t="s">
        <v>115</v>
      </c>
      <c r="P731" s="30" t="s">
        <v>118</v>
      </c>
      <c r="Q731" s="30" t="s">
        <v>112</v>
      </c>
      <c r="R731" s="30" t="s">
        <v>185</v>
      </c>
      <c r="S731" s="81">
        <f>HLOOKUP(L731,データについて!$J$6:$M$18,13,FALSE)</f>
        <v>2</v>
      </c>
      <c r="T731" s="81">
        <f>HLOOKUP(M731,データについて!$J$7:$M$18,12,FALSE)</f>
        <v>2</v>
      </c>
      <c r="U731" s="81">
        <f>HLOOKUP(N731,データについて!$J$8:$M$18,11,FALSE)</f>
        <v>1</v>
      </c>
      <c r="V731" s="81">
        <f>HLOOKUP(O731,データについて!$J$9:$M$18,10,FALSE)</f>
        <v>1</v>
      </c>
      <c r="W731" s="81">
        <f>HLOOKUP(P731,データについて!$J$10:$M$18,9,FALSE)</f>
        <v>2</v>
      </c>
      <c r="X731" s="81">
        <f>HLOOKUP(Q731,データについて!$J$11:$M$18,8,FALSE)</f>
        <v>1</v>
      </c>
      <c r="Y731" s="81">
        <f>HLOOKUP(R731,データについて!$J$12:$M$18,7,FALSE)</f>
        <v>2</v>
      </c>
      <c r="Z731" s="81">
        <f>HLOOKUP(I731,データについて!$J$3:$M$18,16,FALSE)</f>
        <v>1</v>
      </c>
      <c r="AA731" s="81">
        <f>IFERROR(HLOOKUP(J731,データについて!$J$4:$AH$19,16,FALSE),"")</f>
        <v>16</v>
      </c>
      <c r="AB731" s="81" t="str">
        <f>IFERROR(HLOOKUP(K731,データについて!$J$5:$AH$20,14,FALSE),"")</f>
        <v/>
      </c>
      <c r="AC731" s="81">
        <f>IF(X731=1,HLOOKUP(R731,データについて!$J$12:$M$18,7,FALSE),"*")</f>
        <v>2</v>
      </c>
      <c r="AD731" s="81" t="str">
        <f>IF(X731=2,HLOOKUP(R731,データについて!$J$12:$M$18,7,FALSE),"*")</f>
        <v>*</v>
      </c>
    </row>
    <row r="732" spans="1:30">
      <c r="A732" s="30">
        <v>4460</v>
      </c>
      <c r="B732" s="30" t="s">
        <v>2988</v>
      </c>
      <c r="C732" s="30" t="s">
        <v>2989</v>
      </c>
      <c r="D732" s="30" t="s">
        <v>106</v>
      </c>
      <c r="E732" s="30"/>
      <c r="F732" s="30" t="s">
        <v>107</v>
      </c>
      <c r="G732" s="30" t="s">
        <v>106</v>
      </c>
      <c r="H732" s="30"/>
      <c r="I732" s="30" t="s">
        <v>192</v>
      </c>
      <c r="J732" s="30" t="s">
        <v>2934</v>
      </c>
      <c r="K732" s="30"/>
      <c r="L732" s="30" t="s">
        <v>117</v>
      </c>
      <c r="M732" s="30" t="s">
        <v>113</v>
      </c>
      <c r="N732" s="30" t="s">
        <v>114</v>
      </c>
      <c r="O732" s="30" t="s">
        <v>116</v>
      </c>
      <c r="P732" s="30" t="s">
        <v>112</v>
      </c>
      <c r="Q732" s="30" t="s">
        <v>112</v>
      </c>
      <c r="R732" s="30" t="s">
        <v>183</v>
      </c>
      <c r="S732" s="81">
        <f>HLOOKUP(L732,データについて!$J$6:$M$18,13,FALSE)</f>
        <v>2</v>
      </c>
      <c r="T732" s="81">
        <f>HLOOKUP(M732,データについて!$J$7:$M$18,12,FALSE)</f>
        <v>1</v>
      </c>
      <c r="U732" s="81">
        <f>HLOOKUP(N732,データについて!$J$8:$M$18,11,FALSE)</f>
        <v>1</v>
      </c>
      <c r="V732" s="81">
        <f>HLOOKUP(O732,データについて!$J$9:$M$18,10,FALSE)</f>
        <v>2</v>
      </c>
      <c r="W732" s="81">
        <f>HLOOKUP(P732,データについて!$J$10:$M$18,9,FALSE)</f>
        <v>1</v>
      </c>
      <c r="X732" s="81">
        <f>HLOOKUP(Q732,データについて!$J$11:$M$18,8,FALSE)</f>
        <v>1</v>
      </c>
      <c r="Y732" s="81">
        <f>HLOOKUP(R732,データについて!$J$12:$M$18,7,FALSE)</f>
        <v>1</v>
      </c>
      <c r="Z732" s="81">
        <f>HLOOKUP(I732,データについて!$J$3:$M$18,16,FALSE)</f>
        <v>1</v>
      </c>
      <c r="AA732" s="81">
        <f>IFERROR(HLOOKUP(J732,データについて!$J$4:$AH$19,16,FALSE),"")</f>
        <v>16</v>
      </c>
      <c r="AB732" s="81" t="str">
        <f>IFERROR(HLOOKUP(K732,データについて!$J$5:$AH$20,14,FALSE),"")</f>
        <v/>
      </c>
      <c r="AC732" s="81">
        <f>IF(X732=1,HLOOKUP(R732,データについて!$J$12:$M$18,7,FALSE),"*")</f>
        <v>1</v>
      </c>
      <c r="AD732" s="81" t="str">
        <f>IF(X732=2,HLOOKUP(R732,データについて!$J$12:$M$18,7,FALSE),"*")</f>
        <v>*</v>
      </c>
    </row>
    <row r="733" spans="1:30">
      <c r="A733" s="30">
        <v>4459</v>
      </c>
      <c r="B733" s="30" t="s">
        <v>2990</v>
      </c>
      <c r="C733" s="30" t="s">
        <v>2991</v>
      </c>
      <c r="D733" s="30" t="s">
        <v>106</v>
      </c>
      <c r="E733" s="30"/>
      <c r="F733" s="30" t="s">
        <v>107</v>
      </c>
      <c r="G733" s="30" t="s">
        <v>106</v>
      </c>
      <c r="H733" s="30"/>
      <c r="I733" s="30" t="s">
        <v>192</v>
      </c>
      <c r="J733" s="30" t="s">
        <v>2934</v>
      </c>
      <c r="K733" s="30"/>
      <c r="L733" s="30" t="s">
        <v>108</v>
      </c>
      <c r="M733" s="30" t="s">
        <v>109</v>
      </c>
      <c r="N733" s="30" t="s">
        <v>114</v>
      </c>
      <c r="O733" s="30" t="s">
        <v>115</v>
      </c>
      <c r="P733" s="30" t="s">
        <v>112</v>
      </c>
      <c r="Q733" s="30" t="s">
        <v>112</v>
      </c>
      <c r="R733" s="30" t="s">
        <v>183</v>
      </c>
      <c r="S733" s="81">
        <f>HLOOKUP(L733,データについて!$J$6:$M$18,13,FALSE)</f>
        <v>1</v>
      </c>
      <c r="T733" s="81">
        <f>HLOOKUP(M733,データについて!$J$7:$M$18,12,FALSE)</f>
        <v>2</v>
      </c>
      <c r="U733" s="81">
        <f>HLOOKUP(N733,データについて!$J$8:$M$18,11,FALSE)</f>
        <v>1</v>
      </c>
      <c r="V733" s="81">
        <f>HLOOKUP(O733,データについて!$J$9:$M$18,10,FALSE)</f>
        <v>1</v>
      </c>
      <c r="W733" s="81">
        <f>HLOOKUP(P733,データについて!$J$10:$M$18,9,FALSE)</f>
        <v>1</v>
      </c>
      <c r="X733" s="81">
        <f>HLOOKUP(Q733,データについて!$J$11:$M$18,8,FALSE)</f>
        <v>1</v>
      </c>
      <c r="Y733" s="81">
        <f>HLOOKUP(R733,データについて!$J$12:$M$18,7,FALSE)</f>
        <v>1</v>
      </c>
      <c r="Z733" s="81">
        <f>HLOOKUP(I733,データについて!$J$3:$M$18,16,FALSE)</f>
        <v>1</v>
      </c>
      <c r="AA733" s="81">
        <f>IFERROR(HLOOKUP(J733,データについて!$J$4:$AH$19,16,FALSE),"")</f>
        <v>16</v>
      </c>
      <c r="AB733" s="81" t="str">
        <f>IFERROR(HLOOKUP(K733,データについて!$J$5:$AH$20,14,FALSE),"")</f>
        <v/>
      </c>
      <c r="AC733" s="81">
        <f>IF(X733=1,HLOOKUP(R733,データについて!$J$12:$M$18,7,FALSE),"*")</f>
        <v>1</v>
      </c>
      <c r="AD733" s="81" t="str">
        <f>IF(X733=2,HLOOKUP(R733,データについて!$J$12:$M$18,7,FALSE),"*")</f>
        <v>*</v>
      </c>
    </row>
    <row r="734" spans="1:30">
      <c r="A734" s="30">
        <v>4458</v>
      </c>
      <c r="B734" s="30" t="s">
        <v>2992</v>
      </c>
      <c r="C734" s="30" t="s">
        <v>2991</v>
      </c>
      <c r="D734" s="30" t="s">
        <v>106</v>
      </c>
      <c r="E734" s="30"/>
      <c r="F734" s="30" t="s">
        <v>107</v>
      </c>
      <c r="G734" s="30" t="s">
        <v>106</v>
      </c>
      <c r="H734" s="30"/>
      <c r="I734" s="30" t="s">
        <v>192</v>
      </c>
      <c r="J734" s="30" t="s">
        <v>2934</v>
      </c>
      <c r="K734" s="30"/>
      <c r="L734" s="30" t="s">
        <v>117</v>
      </c>
      <c r="M734" s="30" t="s">
        <v>113</v>
      </c>
      <c r="N734" s="30" t="s">
        <v>110</v>
      </c>
      <c r="O734" s="30" t="s">
        <v>115</v>
      </c>
      <c r="P734" s="30" t="s">
        <v>112</v>
      </c>
      <c r="Q734" s="30" t="s">
        <v>112</v>
      </c>
      <c r="R734" s="30" t="s">
        <v>185</v>
      </c>
      <c r="S734" s="81">
        <f>HLOOKUP(L734,データについて!$J$6:$M$18,13,FALSE)</f>
        <v>2</v>
      </c>
      <c r="T734" s="81">
        <f>HLOOKUP(M734,データについて!$J$7:$M$18,12,FALSE)</f>
        <v>1</v>
      </c>
      <c r="U734" s="81">
        <f>HLOOKUP(N734,データについて!$J$8:$M$18,11,FALSE)</f>
        <v>2</v>
      </c>
      <c r="V734" s="81">
        <f>HLOOKUP(O734,データについて!$J$9:$M$18,10,FALSE)</f>
        <v>1</v>
      </c>
      <c r="W734" s="81">
        <f>HLOOKUP(P734,データについて!$J$10:$M$18,9,FALSE)</f>
        <v>1</v>
      </c>
      <c r="X734" s="81">
        <f>HLOOKUP(Q734,データについて!$J$11:$M$18,8,FALSE)</f>
        <v>1</v>
      </c>
      <c r="Y734" s="81">
        <f>HLOOKUP(R734,データについて!$J$12:$M$18,7,FALSE)</f>
        <v>2</v>
      </c>
      <c r="Z734" s="81">
        <f>HLOOKUP(I734,データについて!$J$3:$M$18,16,FALSE)</f>
        <v>1</v>
      </c>
      <c r="AA734" s="81">
        <f>IFERROR(HLOOKUP(J734,データについて!$J$4:$AH$19,16,FALSE),"")</f>
        <v>16</v>
      </c>
      <c r="AB734" s="81" t="str">
        <f>IFERROR(HLOOKUP(K734,データについて!$J$5:$AH$20,14,FALSE),"")</f>
        <v/>
      </c>
      <c r="AC734" s="81">
        <f>IF(X734=1,HLOOKUP(R734,データについて!$J$12:$M$18,7,FALSE),"*")</f>
        <v>2</v>
      </c>
      <c r="AD734" s="81" t="str">
        <f>IF(X734=2,HLOOKUP(R734,データについて!$J$12:$M$18,7,FALSE),"*")</f>
        <v>*</v>
      </c>
    </row>
    <row r="735" spans="1:30">
      <c r="A735" s="30">
        <v>4457</v>
      </c>
      <c r="B735" s="30" t="s">
        <v>2993</v>
      </c>
      <c r="C735" s="30" t="s">
        <v>2994</v>
      </c>
      <c r="D735" s="30" t="s">
        <v>106</v>
      </c>
      <c r="E735" s="30"/>
      <c r="F735" s="30" t="s">
        <v>107</v>
      </c>
      <c r="G735" s="30" t="s">
        <v>106</v>
      </c>
      <c r="H735" s="30"/>
      <c r="I735" s="30" t="s">
        <v>192</v>
      </c>
      <c r="J735" s="30" t="s">
        <v>2934</v>
      </c>
      <c r="K735" s="30"/>
      <c r="L735" s="30" t="s">
        <v>117</v>
      </c>
      <c r="M735" s="30" t="s">
        <v>113</v>
      </c>
      <c r="N735" s="30" t="s">
        <v>122</v>
      </c>
      <c r="O735" s="30" t="s">
        <v>115</v>
      </c>
      <c r="P735" s="30" t="s">
        <v>112</v>
      </c>
      <c r="Q735" s="30" t="s">
        <v>112</v>
      </c>
      <c r="R735" s="30" t="s">
        <v>187</v>
      </c>
      <c r="S735" s="81">
        <f>HLOOKUP(L735,データについて!$J$6:$M$18,13,FALSE)</f>
        <v>2</v>
      </c>
      <c r="T735" s="81">
        <f>HLOOKUP(M735,データについて!$J$7:$M$18,12,FALSE)</f>
        <v>1</v>
      </c>
      <c r="U735" s="81">
        <f>HLOOKUP(N735,データについて!$J$8:$M$18,11,FALSE)</f>
        <v>3</v>
      </c>
      <c r="V735" s="81">
        <f>HLOOKUP(O735,データについて!$J$9:$M$18,10,FALSE)</f>
        <v>1</v>
      </c>
      <c r="W735" s="81">
        <f>HLOOKUP(P735,データについて!$J$10:$M$18,9,FALSE)</f>
        <v>1</v>
      </c>
      <c r="X735" s="81">
        <f>HLOOKUP(Q735,データについて!$J$11:$M$18,8,FALSE)</f>
        <v>1</v>
      </c>
      <c r="Y735" s="81">
        <f>HLOOKUP(R735,データについて!$J$12:$M$18,7,FALSE)</f>
        <v>3</v>
      </c>
      <c r="Z735" s="81">
        <f>HLOOKUP(I735,データについて!$J$3:$M$18,16,FALSE)</f>
        <v>1</v>
      </c>
      <c r="AA735" s="81">
        <f>IFERROR(HLOOKUP(J735,データについて!$J$4:$AH$19,16,FALSE),"")</f>
        <v>16</v>
      </c>
      <c r="AB735" s="81" t="str">
        <f>IFERROR(HLOOKUP(K735,データについて!$J$5:$AH$20,14,FALSE),"")</f>
        <v/>
      </c>
      <c r="AC735" s="81">
        <f>IF(X735=1,HLOOKUP(R735,データについて!$J$12:$M$18,7,FALSE),"*")</f>
        <v>3</v>
      </c>
      <c r="AD735" s="81" t="str">
        <f>IF(X735=2,HLOOKUP(R735,データについて!$J$12:$M$18,7,FALSE),"*")</f>
        <v>*</v>
      </c>
    </row>
    <row r="736" spans="1:30">
      <c r="A736" s="30">
        <v>4456</v>
      </c>
      <c r="B736" s="30" t="s">
        <v>2995</v>
      </c>
      <c r="C736" s="30" t="s">
        <v>2994</v>
      </c>
      <c r="D736" s="30" t="s">
        <v>106</v>
      </c>
      <c r="E736" s="30"/>
      <c r="F736" s="30" t="s">
        <v>107</v>
      </c>
      <c r="G736" s="30" t="s">
        <v>106</v>
      </c>
      <c r="H736" s="30"/>
      <c r="I736" s="30" t="s">
        <v>192</v>
      </c>
      <c r="J736" s="30" t="s">
        <v>2934</v>
      </c>
      <c r="K736" s="30"/>
      <c r="L736" s="30" t="s">
        <v>117</v>
      </c>
      <c r="M736" s="30" t="s">
        <v>109</v>
      </c>
      <c r="N736" s="30" t="s">
        <v>110</v>
      </c>
      <c r="O736" s="30" t="s">
        <v>115</v>
      </c>
      <c r="P736" s="30" t="s">
        <v>112</v>
      </c>
      <c r="Q736" s="30" t="s">
        <v>112</v>
      </c>
      <c r="R736" s="30" t="s">
        <v>189</v>
      </c>
      <c r="S736" s="81">
        <f>HLOOKUP(L736,データについて!$J$6:$M$18,13,FALSE)</f>
        <v>2</v>
      </c>
      <c r="T736" s="81">
        <f>HLOOKUP(M736,データについて!$J$7:$M$18,12,FALSE)</f>
        <v>2</v>
      </c>
      <c r="U736" s="81">
        <f>HLOOKUP(N736,データについて!$J$8:$M$18,11,FALSE)</f>
        <v>2</v>
      </c>
      <c r="V736" s="81">
        <f>HLOOKUP(O736,データについて!$J$9:$M$18,10,FALSE)</f>
        <v>1</v>
      </c>
      <c r="W736" s="81">
        <f>HLOOKUP(P736,データについて!$J$10:$M$18,9,FALSE)</f>
        <v>1</v>
      </c>
      <c r="X736" s="81">
        <f>HLOOKUP(Q736,データについて!$J$11:$M$18,8,FALSE)</f>
        <v>1</v>
      </c>
      <c r="Y736" s="81">
        <f>HLOOKUP(R736,データについて!$J$12:$M$18,7,FALSE)</f>
        <v>4</v>
      </c>
      <c r="Z736" s="81">
        <f>HLOOKUP(I736,データについて!$J$3:$M$18,16,FALSE)</f>
        <v>1</v>
      </c>
      <c r="AA736" s="81">
        <f>IFERROR(HLOOKUP(J736,データについて!$J$4:$AH$19,16,FALSE),"")</f>
        <v>16</v>
      </c>
      <c r="AB736" s="81" t="str">
        <f>IFERROR(HLOOKUP(K736,データについて!$J$5:$AH$20,14,FALSE),"")</f>
        <v/>
      </c>
      <c r="AC736" s="81">
        <f>IF(X736=1,HLOOKUP(R736,データについて!$J$12:$M$18,7,FALSE),"*")</f>
        <v>4</v>
      </c>
      <c r="AD736" s="81" t="str">
        <f>IF(X736=2,HLOOKUP(R736,データについて!$J$12:$M$18,7,FALSE),"*")</f>
        <v>*</v>
      </c>
    </row>
    <row r="737" spans="1:30">
      <c r="A737" s="30">
        <v>4455</v>
      </c>
      <c r="B737" s="30" t="s">
        <v>2996</v>
      </c>
      <c r="C737" s="30" t="s">
        <v>2997</v>
      </c>
      <c r="D737" s="30" t="s">
        <v>106</v>
      </c>
      <c r="E737" s="30"/>
      <c r="F737" s="30" t="s">
        <v>107</v>
      </c>
      <c r="G737" s="30" t="s">
        <v>106</v>
      </c>
      <c r="H737" s="30"/>
      <c r="I737" s="30" t="s">
        <v>192</v>
      </c>
      <c r="J737" s="30" t="s">
        <v>2934</v>
      </c>
      <c r="K737" s="30"/>
      <c r="L737" s="30" t="s">
        <v>117</v>
      </c>
      <c r="M737" s="30" t="s">
        <v>109</v>
      </c>
      <c r="N737" s="30" t="s">
        <v>114</v>
      </c>
      <c r="O737" s="30" t="s">
        <v>115</v>
      </c>
      <c r="P737" s="30" t="s">
        <v>112</v>
      </c>
      <c r="Q737" s="30" t="s">
        <v>118</v>
      </c>
      <c r="R737" s="30" t="s">
        <v>187</v>
      </c>
      <c r="S737" s="81">
        <f>HLOOKUP(L737,データについて!$J$6:$M$18,13,FALSE)</f>
        <v>2</v>
      </c>
      <c r="T737" s="81">
        <f>HLOOKUP(M737,データについて!$J$7:$M$18,12,FALSE)</f>
        <v>2</v>
      </c>
      <c r="U737" s="81">
        <f>HLOOKUP(N737,データについて!$J$8:$M$18,11,FALSE)</f>
        <v>1</v>
      </c>
      <c r="V737" s="81">
        <f>HLOOKUP(O737,データについて!$J$9:$M$18,10,FALSE)</f>
        <v>1</v>
      </c>
      <c r="W737" s="81">
        <f>HLOOKUP(P737,データについて!$J$10:$M$18,9,FALSE)</f>
        <v>1</v>
      </c>
      <c r="X737" s="81">
        <f>HLOOKUP(Q737,データについて!$J$11:$M$18,8,FALSE)</f>
        <v>2</v>
      </c>
      <c r="Y737" s="81">
        <f>HLOOKUP(R737,データについて!$J$12:$M$18,7,FALSE)</f>
        <v>3</v>
      </c>
      <c r="Z737" s="81">
        <f>HLOOKUP(I737,データについて!$J$3:$M$18,16,FALSE)</f>
        <v>1</v>
      </c>
      <c r="AA737" s="81">
        <f>IFERROR(HLOOKUP(J737,データについて!$J$4:$AH$19,16,FALSE),"")</f>
        <v>16</v>
      </c>
      <c r="AB737" s="81" t="str">
        <f>IFERROR(HLOOKUP(K737,データについて!$J$5:$AH$20,14,FALSE),"")</f>
        <v/>
      </c>
      <c r="AC737" s="81" t="str">
        <f>IF(X737=1,HLOOKUP(R737,データについて!$J$12:$M$18,7,FALSE),"*")</f>
        <v>*</v>
      </c>
      <c r="AD737" s="81">
        <f>IF(X737=2,HLOOKUP(R737,データについて!$J$12:$M$18,7,FALSE),"*")</f>
        <v>3</v>
      </c>
    </row>
    <row r="738" spans="1:30">
      <c r="A738" s="30">
        <v>4454</v>
      </c>
      <c r="B738" s="30" t="s">
        <v>2998</v>
      </c>
      <c r="C738" s="30" t="s">
        <v>2999</v>
      </c>
      <c r="D738" s="30" t="s">
        <v>106</v>
      </c>
      <c r="E738" s="30"/>
      <c r="F738" s="30" t="s">
        <v>107</v>
      </c>
      <c r="G738" s="30" t="s">
        <v>106</v>
      </c>
      <c r="H738" s="30"/>
      <c r="I738" s="30" t="s">
        <v>192</v>
      </c>
      <c r="J738" s="30" t="s">
        <v>2934</v>
      </c>
      <c r="K738" s="30"/>
      <c r="L738" s="30" t="s">
        <v>108</v>
      </c>
      <c r="M738" s="30" t="s">
        <v>113</v>
      </c>
      <c r="N738" s="30" t="s">
        <v>114</v>
      </c>
      <c r="O738" s="30" t="s">
        <v>115</v>
      </c>
      <c r="P738" s="30" t="s">
        <v>112</v>
      </c>
      <c r="Q738" s="30" t="s">
        <v>112</v>
      </c>
      <c r="R738" s="30" t="s">
        <v>183</v>
      </c>
      <c r="S738" s="81">
        <f>HLOOKUP(L738,データについて!$J$6:$M$18,13,FALSE)</f>
        <v>1</v>
      </c>
      <c r="T738" s="81">
        <f>HLOOKUP(M738,データについて!$J$7:$M$18,12,FALSE)</f>
        <v>1</v>
      </c>
      <c r="U738" s="81">
        <f>HLOOKUP(N738,データについて!$J$8:$M$18,11,FALSE)</f>
        <v>1</v>
      </c>
      <c r="V738" s="81">
        <f>HLOOKUP(O738,データについて!$J$9:$M$18,10,FALSE)</f>
        <v>1</v>
      </c>
      <c r="W738" s="81">
        <f>HLOOKUP(P738,データについて!$J$10:$M$18,9,FALSE)</f>
        <v>1</v>
      </c>
      <c r="X738" s="81">
        <f>HLOOKUP(Q738,データについて!$J$11:$M$18,8,FALSE)</f>
        <v>1</v>
      </c>
      <c r="Y738" s="81">
        <f>HLOOKUP(R738,データについて!$J$12:$M$18,7,FALSE)</f>
        <v>1</v>
      </c>
      <c r="Z738" s="81">
        <f>HLOOKUP(I738,データについて!$J$3:$M$18,16,FALSE)</f>
        <v>1</v>
      </c>
      <c r="AA738" s="81">
        <f>IFERROR(HLOOKUP(J738,データについて!$J$4:$AH$19,16,FALSE),"")</f>
        <v>16</v>
      </c>
      <c r="AB738" s="81" t="str">
        <f>IFERROR(HLOOKUP(K738,データについて!$J$5:$AH$20,14,FALSE),"")</f>
        <v/>
      </c>
      <c r="AC738" s="81">
        <f>IF(X738=1,HLOOKUP(R738,データについて!$J$12:$M$18,7,FALSE),"*")</f>
        <v>1</v>
      </c>
      <c r="AD738" s="81" t="str">
        <f>IF(X738=2,HLOOKUP(R738,データについて!$J$12:$M$18,7,FALSE),"*")</f>
        <v>*</v>
      </c>
    </row>
    <row r="739" spans="1:30">
      <c r="A739" s="30">
        <v>4453</v>
      </c>
      <c r="B739" s="30" t="s">
        <v>3000</v>
      </c>
      <c r="C739" s="30" t="s">
        <v>3001</v>
      </c>
      <c r="D739" s="30" t="s">
        <v>106</v>
      </c>
      <c r="E739" s="30"/>
      <c r="F739" s="30" t="s">
        <v>107</v>
      </c>
      <c r="G739" s="30" t="s">
        <v>106</v>
      </c>
      <c r="H739" s="30"/>
      <c r="I739" s="30" t="s">
        <v>192</v>
      </c>
      <c r="J739" s="30" t="s">
        <v>2934</v>
      </c>
      <c r="K739" s="30"/>
      <c r="L739" s="30" t="s">
        <v>117</v>
      </c>
      <c r="M739" s="30" t="s">
        <v>113</v>
      </c>
      <c r="N739" s="30" t="s">
        <v>114</v>
      </c>
      <c r="O739" s="30" t="s">
        <v>115</v>
      </c>
      <c r="P739" s="30" t="s">
        <v>112</v>
      </c>
      <c r="Q739" s="30" t="s">
        <v>112</v>
      </c>
      <c r="R739" s="30" t="s">
        <v>185</v>
      </c>
      <c r="S739" s="81">
        <f>HLOOKUP(L739,データについて!$J$6:$M$18,13,FALSE)</f>
        <v>2</v>
      </c>
      <c r="T739" s="81">
        <f>HLOOKUP(M739,データについて!$J$7:$M$18,12,FALSE)</f>
        <v>1</v>
      </c>
      <c r="U739" s="81">
        <f>HLOOKUP(N739,データについて!$J$8:$M$18,11,FALSE)</f>
        <v>1</v>
      </c>
      <c r="V739" s="81">
        <f>HLOOKUP(O739,データについて!$J$9:$M$18,10,FALSE)</f>
        <v>1</v>
      </c>
      <c r="W739" s="81">
        <f>HLOOKUP(P739,データについて!$J$10:$M$18,9,FALSE)</f>
        <v>1</v>
      </c>
      <c r="X739" s="81">
        <f>HLOOKUP(Q739,データについて!$J$11:$M$18,8,FALSE)</f>
        <v>1</v>
      </c>
      <c r="Y739" s="81">
        <f>HLOOKUP(R739,データについて!$J$12:$M$18,7,FALSE)</f>
        <v>2</v>
      </c>
      <c r="Z739" s="81">
        <f>HLOOKUP(I739,データについて!$J$3:$M$18,16,FALSE)</f>
        <v>1</v>
      </c>
      <c r="AA739" s="81">
        <f>IFERROR(HLOOKUP(J739,データについて!$J$4:$AH$19,16,FALSE),"")</f>
        <v>16</v>
      </c>
      <c r="AB739" s="81" t="str">
        <f>IFERROR(HLOOKUP(K739,データについて!$J$5:$AH$20,14,FALSE),"")</f>
        <v/>
      </c>
      <c r="AC739" s="81">
        <f>IF(X739=1,HLOOKUP(R739,データについて!$J$12:$M$18,7,FALSE),"*")</f>
        <v>2</v>
      </c>
      <c r="AD739" s="81" t="str">
        <f>IF(X739=2,HLOOKUP(R739,データについて!$J$12:$M$18,7,FALSE),"*")</f>
        <v>*</v>
      </c>
    </row>
    <row r="740" spans="1:30">
      <c r="A740" s="30">
        <v>4452</v>
      </c>
      <c r="B740" s="30" t="s">
        <v>3002</v>
      </c>
      <c r="C740" s="30" t="s">
        <v>3001</v>
      </c>
      <c r="D740" s="30" t="s">
        <v>106</v>
      </c>
      <c r="E740" s="30"/>
      <c r="F740" s="30" t="s">
        <v>107</v>
      </c>
      <c r="G740" s="30" t="s">
        <v>106</v>
      </c>
      <c r="H740" s="30"/>
      <c r="I740" s="30" t="s">
        <v>192</v>
      </c>
      <c r="J740" s="30" t="s">
        <v>2934</v>
      </c>
      <c r="K740" s="30"/>
      <c r="L740" s="30" t="s">
        <v>108</v>
      </c>
      <c r="M740" s="30" t="s">
        <v>113</v>
      </c>
      <c r="N740" s="30" t="s">
        <v>114</v>
      </c>
      <c r="O740" s="30" t="s">
        <v>115</v>
      </c>
      <c r="P740" s="30" t="s">
        <v>112</v>
      </c>
      <c r="Q740" s="30" t="s">
        <v>112</v>
      </c>
      <c r="R740" s="30" t="s">
        <v>183</v>
      </c>
      <c r="S740" s="81">
        <f>HLOOKUP(L740,データについて!$J$6:$M$18,13,FALSE)</f>
        <v>1</v>
      </c>
      <c r="T740" s="81">
        <f>HLOOKUP(M740,データについて!$J$7:$M$18,12,FALSE)</f>
        <v>1</v>
      </c>
      <c r="U740" s="81">
        <f>HLOOKUP(N740,データについて!$J$8:$M$18,11,FALSE)</f>
        <v>1</v>
      </c>
      <c r="V740" s="81">
        <f>HLOOKUP(O740,データについて!$J$9:$M$18,10,FALSE)</f>
        <v>1</v>
      </c>
      <c r="W740" s="81">
        <f>HLOOKUP(P740,データについて!$J$10:$M$18,9,FALSE)</f>
        <v>1</v>
      </c>
      <c r="X740" s="81">
        <f>HLOOKUP(Q740,データについて!$J$11:$M$18,8,FALSE)</f>
        <v>1</v>
      </c>
      <c r="Y740" s="81">
        <f>HLOOKUP(R740,データについて!$J$12:$M$18,7,FALSE)</f>
        <v>1</v>
      </c>
      <c r="Z740" s="81">
        <f>HLOOKUP(I740,データについて!$J$3:$M$18,16,FALSE)</f>
        <v>1</v>
      </c>
      <c r="AA740" s="81">
        <f>IFERROR(HLOOKUP(J740,データについて!$J$4:$AH$19,16,FALSE),"")</f>
        <v>16</v>
      </c>
      <c r="AB740" s="81" t="str">
        <f>IFERROR(HLOOKUP(K740,データについて!$J$5:$AH$20,14,FALSE),"")</f>
        <v/>
      </c>
      <c r="AC740" s="81">
        <f>IF(X740=1,HLOOKUP(R740,データについて!$J$12:$M$18,7,FALSE),"*")</f>
        <v>1</v>
      </c>
      <c r="AD740" s="81" t="str">
        <f>IF(X740=2,HLOOKUP(R740,データについて!$J$12:$M$18,7,FALSE),"*")</f>
        <v>*</v>
      </c>
    </row>
    <row r="741" spans="1:30">
      <c r="A741" s="30">
        <v>4451</v>
      </c>
      <c r="B741" s="30" t="s">
        <v>3003</v>
      </c>
      <c r="C741" s="30" t="s">
        <v>3001</v>
      </c>
      <c r="D741" s="30" t="s">
        <v>106</v>
      </c>
      <c r="E741" s="30"/>
      <c r="F741" s="30" t="s">
        <v>107</v>
      </c>
      <c r="G741" s="30" t="s">
        <v>106</v>
      </c>
      <c r="H741" s="30"/>
      <c r="I741" s="30" t="s">
        <v>192</v>
      </c>
      <c r="J741" s="30" t="s">
        <v>2934</v>
      </c>
      <c r="K741" s="30"/>
      <c r="L741" s="30" t="s">
        <v>108</v>
      </c>
      <c r="M741" s="30" t="s">
        <v>113</v>
      </c>
      <c r="N741" s="30" t="s">
        <v>110</v>
      </c>
      <c r="O741" s="30" t="s">
        <v>115</v>
      </c>
      <c r="P741" s="30" t="s">
        <v>112</v>
      </c>
      <c r="Q741" s="30" t="s">
        <v>112</v>
      </c>
      <c r="R741" s="30" t="s">
        <v>183</v>
      </c>
      <c r="S741" s="81">
        <f>HLOOKUP(L741,データについて!$J$6:$M$18,13,FALSE)</f>
        <v>1</v>
      </c>
      <c r="T741" s="81">
        <f>HLOOKUP(M741,データについて!$J$7:$M$18,12,FALSE)</f>
        <v>1</v>
      </c>
      <c r="U741" s="81">
        <f>HLOOKUP(N741,データについて!$J$8:$M$18,11,FALSE)</f>
        <v>2</v>
      </c>
      <c r="V741" s="81">
        <f>HLOOKUP(O741,データについて!$J$9:$M$18,10,FALSE)</f>
        <v>1</v>
      </c>
      <c r="W741" s="81">
        <f>HLOOKUP(P741,データについて!$J$10:$M$18,9,FALSE)</f>
        <v>1</v>
      </c>
      <c r="X741" s="81">
        <f>HLOOKUP(Q741,データについて!$J$11:$M$18,8,FALSE)</f>
        <v>1</v>
      </c>
      <c r="Y741" s="81">
        <f>HLOOKUP(R741,データについて!$J$12:$M$18,7,FALSE)</f>
        <v>1</v>
      </c>
      <c r="Z741" s="81">
        <f>HLOOKUP(I741,データについて!$J$3:$M$18,16,FALSE)</f>
        <v>1</v>
      </c>
      <c r="AA741" s="81">
        <f>IFERROR(HLOOKUP(J741,データについて!$J$4:$AH$19,16,FALSE),"")</f>
        <v>16</v>
      </c>
      <c r="AB741" s="81" t="str">
        <f>IFERROR(HLOOKUP(K741,データについて!$J$5:$AH$20,14,FALSE),"")</f>
        <v/>
      </c>
      <c r="AC741" s="81">
        <f>IF(X741=1,HLOOKUP(R741,データについて!$J$12:$M$18,7,FALSE),"*")</f>
        <v>1</v>
      </c>
      <c r="AD741" s="81" t="str">
        <f>IF(X741=2,HLOOKUP(R741,データについて!$J$12:$M$18,7,FALSE),"*")</f>
        <v>*</v>
      </c>
    </row>
    <row r="742" spans="1:30">
      <c r="A742" s="30">
        <v>4450</v>
      </c>
      <c r="B742" s="30" t="s">
        <v>3004</v>
      </c>
      <c r="C742" s="30" t="s">
        <v>3005</v>
      </c>
      <c r="D742" s="30" t="s">
        <v>106</v>
      </c>
      <c r="E742" s="30"/>
      <c r="F742" s="30" t="s">
        <v>107</v>
      </c>
      <c r="G742" s="30" t="s">
        <v>106</v>
      </c>
      <c r="H742" s="30"/>
      <c r="I742" s="30" t="s">
        <v>192</v>
      </c>
      <c r="J742" s="30" t="s">
        <v>2934</v>
      </c>
      <c r="K742" s="30"/>
      <c r="L742" s="30" t="s">
        <v>117</v>
      </c>
      <c r="M742" s="30" t="s">
        <v>109</v>
      </c>
      <c r="N742" s="30" t="s">
        <v>114</v>
      </c>
      <c r="O742" s="30" t="s">
        <v>115</v>
      </c>
      <c r="P742" s="30" t="s">
        <v>112</v>
      </c>
      <c r="Q742" s="30" t="s">
        <v>118</v>
      </c>
      <c r="R742" s="30" t="s">
        <v>189</v>
      </c>
      <c r="S742" s="81">
        <f>HLOOKUP(L742,データについて!$J$6:$M$18,13,FALSE)</f>
        <v>2</v>
      </c>
      <c r="T742" s="81">
        <f>HLOOKUP(M742,データについて!$J$7:$M$18,12,FALSE)</f>
        <v>2</v>
      </c>
      <c r="U742" s="81">
        <f>HLOOKUP(N742,データについて!$J$8:$M$18,11,FALSE)</f>
        <v>1</v>
      </c>
      <c r="V742" s="81">
        <f>HLOOKUP(O742,データについて!$J$9:$M$18,10,FALSE)</f>
        <v>1</v>
      </c>
      <c r="W742" s="81">
        <f>HLOOKUP(P742,データについて!$J$10:$M$18,9,FALSE)</f>
        <v>1</v>
      </c>
      <c r="X742" s="81">
        <f>HLOOKUP(Q742,データについて!$J$11:$M$18,8,FALSE)</f>
        <v>2</v>
      </c>
      <c r="Y742" s="81">
        <f>HLOOKUP(R742,データについて!$J$12:$M$18,7,FALSE)</f>
        <v>4</v>
      </c>
      <c r="Z742" s="81">
        <f>HLOOKUP(I742,データについて!$J$3:$M$18,16,FALSE)</f>
        <v>1</v>
      </c>
      <c r="AA742" s="81">
        <f>IFERROR(HLOOKUP(J742,データについて!$J$4:$AH$19,16,FALSE),"")</f>
        <v>16</v>
      </c>
      <c r="AB742" s="81" t="str">
        <f>IFERROR(HLOOKUP(K742,データについて!$J$5:$AH$20,14,FALSE),"")</f>
        <v/>
      </c>
      <c r="AC742" s="81" t="str">
        <f>IF(X742=1,HLOOKUP(R742,データについて!$J$12:$M$18,7,FALSE),"*")</f>
        <v>*</v>
      </c>
      <c r="AD742" s="81">
        <f>IF(X742=2,HLOOKUP(R742,データについて!$J$12:$M$18,7,FALSE),"*")</f>
        <v>4</v>
      </c>
    </row>
    <row r="743" spans="1:30">
      <c r="A743" s="30">
        <v>4449</v>
      </c>
      <c r="B743" s="30" t="s">
        <v>3006</v>
      </c>
      <c r="C743" s="30" t="s">
        <v>3007</v>
      </c>
      <c r="D743" s="30" t="s">
        <v>106</v>
      </c>
      <c r="E743" s="30"/>
      <c r="F743" s="30" t="s">
        <v>107</v>
      </c>
      <c r="G743" s="30" t="s">
        <v>106</v>
      </c>
      <c r="H743" s="30"/>
      <c r="I743" s="30" t="s">
        <v>192</v>
      </c>
      <c r="J743" s="30" t="s">
        <v>2934</v>
      </c>
      <c r="K743" s="30"/>
      <c r="L743" s="30" t="s">
        <v>117</v>
      </c>
      <c r="M743" s="30" t="s">
        <v>109</v>
      </c>
      <c r="N743" s="30" t="s">
        <v>110</v>
      </c>
      <c r="O743" s="30" t="s">
        <v>111</v>
      </c>
      <c r="P743" s="30" t="s">
        <v>112</v>
      </c>
      <c r="Q743" s="30" t="s">
        <v>112</v>
      </c>
      <c r="R743" s="30" t="s">
        <v>185</v>
      </c>
      <c r="S743" s="81">
        <f>HLOOKUP(L743,データについて!$J$6:$M$18,13,FALSE)</f>
        <v>2</v>
      </c>
      <c r="T743" s="81">
        <f>HLOOKUP(M743,データについて!$J$7:$M$18,12,FALSE)</f>
        <v>2</v>
      </c>
      <c r="U743" s="81">
        <f>HLOOKUP(N743,データについて!$J$8:$M$18,11,FALSE)</f>
        <v>2</v>
      </c>
      <c r="V743" s="81">
        <f>HLOOKUP(O743,データについて!$J$9:$M$18,10,FALSE)</f>
        <v>3</v>
      </c>
      <c r="W743" s="81">
        <f>HLOOKUP(P743,データについて!$J$10:$M$18,9,FALSE)</f>
        <v>1</v>
      </c>
      <c r="X743" s="81">
        <f>HLOOKUP(Q743,データについて!$J$11:$M$18,8,FALSE)</f>
        <v>1</v>
      </c>
      <c r="Y743" s="81">
        <f>HLOOKUP(R743,データについて!$J$12:$M$18,7,FALSE)</f>
        <v>2</v>
      </c>
      <c r="Z743" s="81">
        <f>HLOOKUP(I743,データについて!$J$3:$M$18,16,FALSE)</f>
        <v>1</v>
      </c>
      <c r="AA743" s="81">
        <f>IFERROR(HLOOKUP(J743,データについて!$J$4:$AH$19,16,FALSE),"")</f>
        <v>16</v>
      </c>
      <c r="AB743" s="81" t="str">
        <f>IFERROR(HLOOKUP(K743,データについて!$J$5:$AH$20,14,FALSE),"")</f>
        <v/>
      </c>
      <c r="AC743" s="81">
        <f>IF(X743=1,HLOOKUP(R743,データについて!$J$12:$M$18,7,FALSE),"*")</f>
        <v>2</v>
      </c>
      <c r="AD743" s="81" t="str">
        <f>IF(X743=2,HLOOKUP(R743,データについて!$J$12:$M$18,7,FALSE),"*")</f>
        <v>*</v>
      </c>
    </row>
    <row r="744" spans="1:30">
      <c r="A744" s="30">
        <v>4448</v>
      </c>
      <c r="B744" s="30" t="s">
        <v>3008</v>
      </c>
      <c r="C744" s="30" t="s">
        <v>3009</v>
      </c>
      <c r="D744" s="30" t="s">
        <v>106</v>
      </c>
      <c r="E744" s="30"/>
      <c r="F744" s="30" t="s">
        <v>107</v>
      </c>
      <c r="G744" s="30" t="s">
        <v>106</v>
      </c>
      <c r="H744" s="30"/>
      <c r="I744" s="30" t="s">
        <v>192</v>
      </c>
      <c r="J744" s="30" t="s">
        <v>3010</v>
      </c>
      <c r="K744" s="30"/>
      <c r="L744" s="30" t="s">
        <v>108</v>
      </c>
      <c r="M744" s="30" t="s">
        <v>113</v>
      </c>
      <c r="N744" s="30" t="s">
        <v>114</v>
      </c>
      <c r="O744" s="30" t="s">
        <v>115</v>
      </c>
      <c r="P744" s="30" t="s">
        <v>112</v>
      </c>
      <c r="Q744" s="30" t="s">
        <v>112</v>
      </c>
      <c r="R744" s="30" t="s">
        <v>183</v>
      </c>
      <c r="S744" s="81">
        <f>HLOOKUP(L744,データについて!$J$6:$M$18,13,FALSE)</f>
        <v>1</v>
      </c>
      <c r="T744" s="81">
        <f>HLOOKUP(M744,データについて!$J$7:$M$18,12,FALSE)</f>
        <v>1</v>
      </c>
      <c r="U744" s="81">
        <f>HLOOKUP(N744,データについて!$J$8:$M$18,11,FALSE)</f>
        <v>1</v>
      </c>
      <c r="V744" s="81">
        <f>HLOOKUP(O744,データについて!$J$9:$M$18,10,FALSE)</f>
        <v>1</v>
      </c>
      <c r="W744" s="81">
        <f>HLOOKUP(P744,データについて!$J$10:$M$18,9,FALSE)</f>
        <v>1</v>
      </c>
      <c r="X744" s="81">
        <f>HLOOKUP(Q744,データについて!$J$11:$M$18,8,FALSE)</f>
        <v>1</v>
      </c>
      <c r="Y744" s="81">
        <f>HLOOKUP(R744,データについて!$J$12:$M$18,7,FALSE)</f>
        <v>1</v>
      </c>
      <c r="Z744" s="81">
        <f>HLOOKUP(I744,データについて!$J$3:$M$18,16,FALSE)</f>
        <v>1</v>
      </c>
      <c r="AA744" s="81">
        <f>IFERROR(HLOOKUP(J744,データについて!$J$4:$AH$19,16,FALSE),"")</f>
        <v>12</v>
      </c>
      <c r="AB744" s="81" t="str">
        <f>IFERROR(HLOOKUP(K744,データについて!$J$5:$AH$20,14,FALSE),"")</f>
        <v/>
      </c>
      <c r="AC744" s="81">
        <f>IF(X744=1,HLOOKUP(R744,データについて!$J$12:$M$18,7,FALSE),"*")</f>
        <v>1</v>
      </c>
      <c r="AD744" s="81" t="str">
        <f>IF(X744=2,HLOOKUP(R744,データについて!$J$12:$M$18,7,FALSE),"*")</f>
        <v>*</v>
      </c>
    </row>
    <row r="745" spans="1:30">
      <c r="A745" s="30">
        <v>4447</v>
      </c>
      <c r="B745" s="30" t="s">
        <v>3011</v>
      </c>
      <c r="C745" s="30" t="s">
        <v>3012</v>
      </c>
      <c r="D745" s="30" t="s">
        <v>106</v>
      </c>
      <c r="E745" s="30"/>
      <c r="F745" s="30" t="s">
        <v>107</v>
      </c>
      <c r="G745" s="30" t="s">
        <v>106</v>
      </c>
      <c r="H745" s="30"/>
      <c r="I745" s="30" t="s">
        <v>192</v>
      </c>
      <c r="J745" s="30" t="s">
        <v>2934</v>
      </c>
      <c r="K745" s="30"/>
      <c r="L745" s="30" t="s">
        <v>117</v>
      </c>
      <c r="M745" s="30" t="s">
        <v>109</v>
      </c>
      <c r="N745" s="30" t="s">
        <v>122</v>
      </c>
      <c r="O745" s="30" t="s">
        <v>115</v>
      </c>
      <c r="P745" s="30" t="s">
        <v>112</v>
      </c>
      <c r="Q745" s="30" t="s">
        <v>112</v>
      </c>
      <c r="R745" s="30" t="s">
        <v>183</v>
      </c>
      <c r="S745" s="81">
        <f>HLOOKUP(L745,データについて!$J$6:$M$18,13,FALSE)</f>
        <v>2</v>
      </c>
      <c r="T745" s="81">
        <f>HLOOKUP(M745,データについて!$J$7:$M$18,12,FALSE)</f>
        <v>2</v>
      </c>
      <c r="U745" s="81">
        <f>HLOOKUP(N745,データについて!$J$8:$M$18,11,FALSE)</f>
        <v>3</v>
      </c>
      <c r="V745" s="81">
        <f>HLOOKUP(O745,データについて!$J$9:$M$18,10,FALSE)</f>
        <v>1</v>
      </c>
      <c r="W745" s="81">
        <f>HLOOKUP(P745,データについて!$J$10:$M$18,9,FALSE)</f>
        <v>1</v>
      </c>
      <c r="X745" s="81">
        <f>HLOOKUP(Q745,データについて!$J$11:$M$18,8,FALSE)</f>
        <v>1</v>
      </c>
      <c r="Y745" s="81">
        <f>HLOOKUP(R745,データについて!$J$12:$M$18,7,FALSE)</f>
        <v>1</v>
      </c>
      <c r="Z745" s="81">
        <f>HLOOKUP(I745,データについて!$J$3:$M$18,16,FALSE)</f>
        <v>1</v>
      </c>
      <c r="AA745" s="81">
        <f>IFERROR(HLOOKUP(J745,データについて!$J$4:$AH$19,16,FALSE),"")</f>
        <v>16</v>
      </c>
      <c r="AB745" s="81" t="str">
        <f>IFERROR(HLOOKUP(K745,データについて!$J$5:$AH$20,14,FALSE),"")</f>
        <v/>
      </c>
      <c r="AC745" s="81">
        <f>IF(X745=1,HLOOKUP(R745,データについて!$J$12:$M$18,7,FALSE),"*")</f>
        <v>1</v>
      </c>
      <c r="AD745" s="81" t="str">
        <f>IF(X745=2,HLOOKUP(R745,データについて!$J$12:$M$18,7,FALSE),"*")</f>
        <v>*</v>
      </c>
    </row>
    <row r="746" spans="1:30">
      <c r="A746" s="30">
        <v>4446</v>
      </c>
      <c r="B746" s="30" t="s">
        <v>3013</v>
      </c>
      <c r="C746" s="30" t="s">
        <v>3012</v>
      </c>
      <c r="D746" s="30" t="s">
        <v>106</v>
      </c>
      <c r="E746" s="30"/>
      <c r="F746" s="30" t="s">
        <v>107</v>
      </c>
      <c r="G746" s="30" t="s">
        <v>106</v>
      </c>
      <c r="H746" s="30"/>
      <c r="I746" s="30" t="s">
        <v>192</v>
      </c>
      <c r="J746" s="30" t="s">
        <v>2934</v>
      </c>
      <c r="K746" s="30"/>
      <c r="L746" s="30" t="s">
        <v>108</v>
      </c>
      <c r="M746" s="30" t="s">
        <v>113</v>
      </c>
      <c r="N746" s="30" t="s">
        <v>114</v>
      </c>
      <c r="O746" s="30" t="s">
        <v>115</v>
      </c>
      <c r="P746" s="30" t="s">
        <v>112</v>
      </c>
      <c r="Q746" s="30" t="s">
        <v>112</v>
      </c>
      <c r="R746" s="30" t="s">
        <v>187</v>
      </c>
      <c r="S746" s="81">
        <f>HLOOKUP(L746,データについて!$J$6:$M$18,13,FALSE)</f>
        <v>1</v>
      </c>
      <c r="T746" s="81">
        <f>HLOOKUP(M746,データについて!$J$7:$M$18,12,FALSE)</f>
        <v>1</v>
      </c>
      <c r="U746" s="81">
        <f>HLOOKUP(N746,データについて!$J$8:$M$18,11,FALSE)</f>
        <v>1</v>
      </c>
      <c r="V746" s="81">
        <f>HLOOKUP(O746,データについて!$J$9:$M$18,10,FALSE)</f>
        <v>1</v>
      </c>
      <c r="W746" s="81">
        <f>HLOOKUP(P746,データについて!$J$10:$M$18,9,FALSE)</f>
        <v>1</v>
      </c>
      <c r="X746" s="81">
        <f>HLOOKUP(Q746,データについて!$J$11:$M$18,8,FALSE)</f>
        <v>1</v>
      </c>
      <c r="Y746" s="81">
        <f>HLOOKUP(R746,データについて!$J$12:$M$18,7,FALSE)</f>
        <v>3</v>
      </c>
      <c r="Z746" s="81">
        <f>HLOOKUP(I746,データについて!$J$3:$M$18,16,FALSE)</f>
        <v>1</v>
      </c>
      <c r="AA746" s="81">
        <f>IFERROR(HLOOKUP(J746,データについて!$J$4:$AH$19,16,FALSE),"")</f>
        <v>16</v>
      </c>
      <c r="AB746" s="81" t="str">
        <f>IFERROR(HLOOKUP(K746,データについて!$J$5:$AH$20,14,FALSE),"")</f>
        <v/>
      </c>
      <c r="AC746" s="81">
        <f>IF(X746=1,HLOOKUP(R746,データについて!$J$12:$M$18,7,FALSE),"*")</f>
        <v>3</v>
      </c>
      <c r="AD746" s="81" t="str">
        <f>IF(X746=2,HLOOKUP(R746,データについて!$J$12:$M$18,7,FALSE),"*")</f>
        <v>*</v>
      </c>
    </row>
    <row r="747" spans="1:30">
      <c r="A747" s="30">
        <v>4445</v>
      </c>
      <c r="B747" s="30" t="s">
        <v>3014</v>
      </c>
      <c r="C747" s="30" t="s">
        <v>3012</v>
      </c>
      <c r="D747" s="30" t="s">
        <v>106</v>
      </c>
      <c r="E747" s="30"/>
      <c r="F747" s="30" t="s">
        <v>107</v>
      </c>
      <c r="G747" s="30" t="s">
        <v>106</v>
      </c>
      <c r="H747" s="30"/>
      <c r="I747" s="30" t="s">
        <v>192</v>
      </c>
      <c r="J747" s="30" t="s">
        <v>2934</v>
      </c>
      <c r="K747" s="30"/>
      <c r="L747" s="30" t="s">
        <v>117</v>
      </c>
      <c r="M747" s="30" t="s">
        <v>109</v>
      </c>
      <c r="N747" s="30" t="s">
        <v>110</v>
      </c>
      <c r="O747" s="30" t="s">
        <v>116</v>
      </c>
      <c r="P747" s="30" t="s">
        <v>112</v>
      </c>
      <c r="Q747" s="30" t="s">
        <v>112</v>
      </c>
      <c r="R747" s="30" t="s">
        <v>185</v>
      </c>
      <c r="S747" s="81">
        <f>HLOOKUP(L747,データについて!$J$6:$M$18,13,FALSE)</f>
        <v>2</v>
      </c>
      <c r="T747" s="81">
        <f>HLOOKUP(M747,データについて!$J$7:$M$18,12,FALSE)</f>
        <v>2</v>
      </c>
      <c r="U747" s="81">
        <f>HLOOKUP(N747,データについて!$J$8:$M$18,11,FALSE)</f>
        <v>2</v>
      </c>
      <c r="V747" s="81">
        <f>HLOOKUP(O747,データについて!$J$9:$M$18,10,FALSE)</f>
        <v>2</v>
      </c>
      <c r="W747" s="81">
        <f>HLOOKUP(P747,データについて!$J$10:$M$18,9,FALSE)</f>
        <v>1</v>
      </c>
      <c r="X747" s="81">
        <f>HLOOKUP(Q747,データについて!$J$11:$M$18,8,FALSE)</f>
        <v>1</v>
      </c>
      <c r="Y747" s="81">
        <f>HLOOKUP(R747,データについて!$J$12:$M$18,7,FALSE)</f>
        <v>2</v>
      </c>
      <c r="Z747" s="81">
        <f>HLOOKUP(I747,データについて!$J$3:$M$18,16,FALSE)</f>
        <v>1</v>
      </c>
      <c r="AA747" s="81">
        <f>IFERROR(HLOOKUP(J747,データについて!$J$4:$AH$19,16,FALSE),"")</f>
        <v>16</v>
      </c>
      <c r="AB747" s="81" t="str">
        <f>IFERROR(HLOOKUP(K747,データについて!$J$5:$AH$20,14,FALSE),"")</f>
        <v/>
      </c>
      <c r="AC747" s="81">
        <f>IF(X747=1,HLOOKUP(R747,データについて!$J$12:$M$18,7,FALSE),"*")</f>
        <v>2</v>
      </c>
      <c r="AD747" s="81" t="str">
        <f>IF(X747=2,HLOOKUP(R747,データについて!$J$12:$M$18,7,FALSE),"*")</f>
        <v>*</v>
      </c>
    </row>
    <row r="748" spans="1:30">
      <c r="A748" s="30">
        <v>4444</v>
      </c>
      <c r="B748" s="30" t="s">
        <v>3015</v>
      </c>
      <c r="C748" s="30" t="s">
        <v>3016</v>
      </c>
      <c r="D748" s="30" t="s">
        <v>106</v>
      </c>
      <c r="E748" s="30"/>
      <c r="F748" s="30" t="s">
        <v>107</v>
      </c>
      <c r="G748" s="30" t="s">
        <v>106</v>
      </c>
      <c r="H748" s="30"/>
      <c r="I748" s="30" t="s">
        <v>192</v>
      </c>
      <c r="J748" s="30" t="s">
        <v>2934</v>
      </c>
      <c r="K748" s="30"/>
      <c r="L748" s="30" t="s">
        <v>117</v>
      </c>
      <c r="M748" s="30" t="s">
        <v>113</v>
      </c>
      <c r="N748" s="30" t="s">
        <v>114</v>
      </c>
      <c r="O748" s="30" t="s">
        <v>115</v>
      </c>
      <c r="P748" s="30" t="s">
        <v>112</v>
      </c>
      <c r="Q748" s="30" t="s">
        <v>112</v>
      </c>
      <c r="R748" s="30" t="s">
        <v>183</v>
      </c>
      <c r="S748" s="81">
        <f>HLOOKUP(L748,データについて!$J$6:$M$18,13,FALSE)</f>
        <v>2</v>
      </c>
      <c r="T748" s="81">
        <f>HLOOKUP(M748,データについて!$J$7:$M$18,12,FALSE)</f>
        <v>1</v>
      </c>
      <c r="U748" s="81">
        <f>HLOOKUP(N748,データについて!$J$8:$M$18,11,FALSE)</f>
        <v>1</v>
      </c>
      <c r="V748" s="81">
        <f>HLOOKUP(O748,データについて!$J$9:$M$18,10,FALSE)</f>
        <v>1</v>
      </c>
      <c r="W748" s="81">
        <f>HLOOKUP(P748,データについて!$J$10:$M$18,9,FALSE)</f>
        <v>1</v>
      </c>
      <c r="X748" s="81">
        <f>HLOOKUP(Q748,データについて!$J$11:$M$18,8,FALSE)</f>
        <v>1</v>
      </c>
      <c r="Y748" s="81">
        <f>HLOOKUP(R748,データについて!$J$12:$M$18,7,FALSE)</f>
        <v>1</v>
      </c>
      <c r="Z748" s="81">
        <f>HLOOKUP(I748,データについて!$J$3:$M$18,16,FALSE)</f>
        <v>1</v>
      </c>
      <c r="AA748" s="81">
        <f>IFERROR(HLOOKUP(J748,データについて!$J$4:$AH$19,16,FALSE),"")</f>
        <v>16</v>
      </c>
      <c r="AB748" s="81" t="str">
        <f>IFERROR(HLOOKUP(K748,データについて!$J$5:$AH$20,14,FALSE),"")</f>
        <v/>
      </c>
      <c r="AC748" s="81">
        <f>IF(X748=1,HLOOKUP(R748,データについて!$J$12:$M$18,7,FALSE),"*")</f>
        <v>1</v>
      </c>
      <c r="AD748" s="81" t="str">
        <f>IF(X748=2,HLOOKUP(R748,データについて!$J$12:$M$18,7,FALSE),"*")</f>
        <v>*</v>
      </c>
    </row>
    <row r="749" spans="1:30">
      <c r="A749" s="30">
        <v>4443</v>
      </c>
      <c r="B749" s="30" t="s">
        <v>3017</v>
      </c>
      <c r="C749" s="30" t="s">
        <v>3016</v>
      </c>
      <c r="D749" s="30" t="s">
        <v>106</v>
      </c>
      <c r="E749" s="30"/>
      <c r="F749" s="30" t="s">
        <v>107</v>
      </c>
      <c r="G749" s="30" t="s">
        <v>106</v>
      </c>
      <c r="H749" s="30"/>
      <c r="I749" s="30" t="s">
        <v>192</v>
      </c>
      <c r="J749" s="30" t="s">
        <v>2934</v>
      </c>
      <c r="K749" s="30"/>
      <c r="L749" s="30" t="s">
        <v>108</v>
      </c>
      <c r="M749" s="30" t="s">
        <v>113</v>
      </c>
      <c r="N749" s="30" t="s">
        <v>110</v>
      </c>
      <c r="O749" s="30" t="s">
        <v>115</v>
      </c>
      <c r="P749" s="30" t="s">
        <v>112</v>
      </c>
      <c r="Q749" s="30" t="s">
        <v>112</v>
      </c>
      <c r="R749" s="30" t="s">
        <v>185</v>
      </c>
      <c r="S749" s="81">
        <f>HLOOKUP(L749,データについて!$J$6:$M$18,13,FALSE)</f>
        <v>1</v>
      </c>
      <c r="T749" s="81">
        <f>HLOOKUP(M749,データについて!$J$7:$M$18,12,FALSE)</f>
        <v>1</v>
      </c>
      <c r="U749" s="81">
        <f>HLOOKUP(N749,データについて!$J$8:$M$18,11,FALSE)</f>
        <v>2</v>
      </c>
      <c r="V749" s="81">
        <f>HLOOKUP(O749,データについて!$J$9:$M$18,10,FALSE)</f>
        <v>1</v>
      </c>
      <c r="W749" s="81">
        <f>HLOOKUP(P749,データについて!$J$10:$M$18,9,FALSE)</f>
        <v>1</v>
      </c>
      <c r="X749" s="81">
        <f>HLOOKUP(Q749,データについて!$J$11:$M$18,8,FALSE)</f>
        <v>1</v>
      </c>
      <c r="Y749" s="81">
        <f>HLOOKUP(R749,データについて!$J$12:$M$18,7,FALSE)</f>
        <v>2</v>
      </c>
      <c r="Z749" s="81">
        <f>HLOOKUP(I749,データについて!$J$3:$M$18,16,FALSE)</f>
        <v>1</v>
      </c>
      <c r="AA749" s="81">
        <f>IFERROR(HLOOKUP(J749,データについて!$J$4:$AH$19,16,FALSE),"")</f>
        <v>16</v>
      </c>
      <c r="AB749" s="81" t="str">
        <f>IFERROR(HLOOKUP(K749,データについて!$J$5:$AH$20,14,FALSE),"")</f>
        <v/>
      </c>
      <c r="AC749" s="81">
        <f>IF(X749=1,HLOOKUP(R749,データについて!$J$12:$M$18,7,FALSE),"*")</f>
        <v>2</v>
      </c>
      <c r="AD749" s="81" t="str">
        <f>IF(X749=2,HLOOKUP(R749,データについて!$J$12:$M$18,7,FALSE),"*")</f>
        <v>*</v>
      </c>
    </row>
    <row r="750" spans="1:30">
      <c r="A750" s="30">
        <v>4442</v>
      </c>
      <c r="B750" s="30" t="s">
        <v>3018</v>
      </c>
      <c r="C750" s="30" t="s">
        <v>3019</v>
      </c>
      <c r="D750" s="30" t="s">
        <v>106</v>
      </c>
      <c r="E750" s="30"/>
      <c r="F750" s="30" t="s">
        <v>107</v>
      </c>
      <c r="G750" s="30" t="s">
        <v>106</v>
      </c>
      <c r="H750" s="30"/>
      <c r="I750" s="30" t="s">
        <v>192</v>
      </c>
      <c r="J750" s="30" t="s">
        <v>2934</v>
      </c>
      <c r="K750" s="30"/>
      <c r="L750" s="30" t="s">
        <v>108</v>
      </c>
      <c r="M750" s="30" t="s">
        <v>109</v>
      </c>
      <c r="N750" s="30" t="s">
        <v>114</v>
      </c>
      <c r="O750" s="30" t="s">
        <v>123</v>
      </c>
      <c r="P750" s="30" t="s">
        <v>112</v>
      </c>
      <c r="Q750" s="30" t="s">
        <v>118</v>
      </c>
      <c r="R750" s="30" t="s">
        <v>187</v>
      </c>
      <c r="S750" s="81">
        <f>HLOOKUP(L750,データについて!$J$6:$M$18,13,FALSE)</f>
        <v>1</v>
      </c>
      <c r="T750" s="81">
        <f>HLOOKUP(M750,データについて!$J$7:$M$18,12,FALSE)</f>
        <v>2</v>
      </c>
      <c r="U750" s="81">
        <f>HLOOKUP(N750,データについて!$J$8:$M$18,11,FALSE)</f>
        <v>1</v>
      </c>
      <c r="V750" s="81">
        <f>HLOOKUP(O750,データについて!$J$9:$M$18,10,FALSE)</f>
        <v>4</v>
      </c>
      <c r="W750" s="81">
        <f>HLOOKUP(P750,データについて!$J$10:$M$18,9,FALSE)</f>
        <v>1</v>
      </c>
      <c r="X750" s="81">
        <f>HLOOKUP(Q750,データについて!$J$11:$M$18,8,FALSE)</f>
        <v>2</v>
      </c>
      <c r="Y750" s="81">
        <f>HLOOKUP(R750,データについて!$J$12:$M$18,7,FALSE)</f>
        <v>3</v>
      </c>
      <c r="Z750" s="81">
        <f>HLOOKUP(I750,データについて!$J$3:$M$18,16,FALSE)</f>
        <v>1</v>
      </c>
      <c r="AA750" s="81">
        <f>IFERROR(HLOOKUP(J750,データについて!$J$4:$AH$19,16,FALSE),"")</f>
        <v>16</v>
      </c>
      <c r="AB750" s="81" t="str">
        <f>IFERROR(HLOOKUP(K750,データについて!$J$5:$AH$20,14,FALSE),"")</f>
        <v/>
      </c>
      <c r="AC750" s="81" t="str">
        <f>IF(X750=1,HLOOKUP(R750,データについて!$J$12:$M$18,7,FALSE),"*")</f>
        <v>*</v>
      </c>
      <c r="AD750" s="81">
        <f>IF(X750=2,HLOOKUP(R750,データについて!$J$12:$M$18,7,FALSE),"*")</f>
        <v>3</v>
      </c>
    </row>
    <row r="751" spans="1:30">
      <c r="A751" s="30">
        <v>4441</v>
      </c>
      <c r="B751" s="30" t="s">
        <v>3020</v>
      </c>
      <c r="C751" s="30" t="s">
        <v>3021</v>
      </c>
      <c r="D751" s="30" t="s">
        <v>106</v>
      </c>
      <c r="E751" s="30"/>
      <c r="F751" s="30" t="s">
        <v>107</v>
      </c>
      <c r="G751" s="30" t="s">
        <v>106</v>
      </c>
      <c r="H751" s="30"/>
      <c r="I751" s="30" t="s">
        <v>192</v>
      </c>
      <c r="J751" s="30" t="s">
        <v>2934</v>
      </c>
      <c r="K751" s="30"/>
      <c r="L751" s="30" t="s">
        <v>117</v>
      </c>
      <c r="M751" s="30" t="s">
        <v>109</v>
      </c>
      <c r="N751" s="30" t="s">
        <v>114</v>
      </c>
      <c r="O751" s="30" t="s">
        <v>115</v>
      </c>
      <c r="P751" s="30" t="s">
        <v>112</v>
      </c>
      <c r="Q751" s="30" t="s">
        <v>118</v>
      </c>
      <c r="R751" s="30" t="s">
        <v>189</v>
      </c>
      <c r="S751" s="81">
        <f>HLOOKUP(L751,データについて!$J$6:$M$18,13,FALSE)</f>
        <v>2</v>
      </c>
      <c r="T751" s="81">
        <f>HLOOKUP(M751,データについて!$J$7:$M$18,12,FALSE)</f>
        <v>2</v>
      </c>
      <c r="U751" s="81">
        <f>HLOOKUP(N751,データについて!$J$8:$M$18,11,FALSE)</f>
        <v>1</v>
      </c>
      <c r="V751" s="81">
        <f>HLOOKUP(O751,データについて!$J$9:$M$18,10,FALSE)</f>
        <v>1</v>
      </c>
      <c r="W751" s="81">
        <f>HLOOKUP(P751,データについて!$J$10:$M$18,9,FALSE)</f>
        <v>1</v>
      </c>
      <c r="X751" s="81">
        <f>HLOOKUP(Q751,データについて!$J$11:$M$18,8,FALSE)</f>
        <v>2</v>
      </c>
      <c r="Y751" s="81">
        <f>HLOOKUP(R751,データについて!$J$12:$M$18,7,FALSE)</f>
        <v>4</v>
      </c>
      <c r="Z751" s="81">
        <f>HLOOKUP(I751,データについて!$J$3:$M$18,16,FALSE)</f>
        <v>1</v>
      </c>
      <c r="AA751" s="81">
        <f>IFERROR(HLOOKUP(J751,データについて!$J$4:$AH$19,16,FALSE),"")</f>
        <v>16</v>
      </c>
      <c r="AB751" s="81" t="str">
        <f>IFERROR(HLOOKUP(K751,データについて!$J$5:$AH$20,14,FALSE),"")</f>
        <v/>
      </c>
      <c r="AC751" s="81" t="str">
        <f>IF(X751=1,HLOOKUP(R751,データについて!$J$12:$M$18,7,FALSE),"*")</f>
        <v>*</v>
      </c>
      <c r="AD751" s="81">
        <f>IF(X751=2,HLOOKUP(R751,データについて!$J$12:$M$18,7,FALSE),"*")</f>
        <v>4</v>
      </c>
    </row>
    <row r="752" spans="1:30">
      <c r="A752" s="30">
        <v>4440</v>
      </c>
      <c r="B752" s="30" t="s">
        <v>3022</v>
      </c>
      <c r="C752" s="30" t="s">
        <v>3023</v>
      </c>
      <c r="D752" s="30" t="s">
        <v>106</v>
      </c>
      <c r="E752" s="30"/>
      <c r="F752" s="30" t="s">
        <v>107</v>
      </c>
      <c r="G752" s="30" t="s">
        <v>106</v>
      </c>
      <c r="H752" s="30"/>
      <c r="I752" s="30" t="s">
        <v>192</v>
      </c>
      <c r="J752" s="30" t="s">
        <v>2934</v>
      </c>
      <c r="K752" s="30"/>
      <c r="L752" s="30" t="s">
        <v>108</v>
      </c>
      <c r="M752" s="30" t="s">
        <v>113</v>
      </c>
      <c r="N752" s="30" t="s">
        <v>114</v>
      </c>
      <c r="O752" s="30" t="s">
        <v>115</v>
      </c>
      <c r="P752" s="30" t="s">
        <v>112</v>
      </c>
      <c r="Q752" s="30" t="s">
        <v>112</v>
      </c>
      <c r="R752" s="30" t="s">
        <v>183</v>
      </c>
      <c r="S752" s="81">
        <f>HLOOKUP(L752,データについて!$J$6:$M$18,13,FALSE)</f>
        <v>1</v>
      </c>
      <c r="T752" s="81">
        <f>HLOOKUP(M752,データについて!$J$7:$M$18,12,FALSE)</f>
        <v>1</v>
      </c>
      <c r="U752" s="81">
        <f>HLOOKUP(N752,データについて!$J$8:$M$18,11,FALSE)</f>
        <v>1</v>
      </c>
      <c r="V752" s="81">
        <f>HLOOKUP(O752,データについて!$J$9:$M$18,10,FALSE)</f>
        <v>1</v>
      </c>
      <c r="W752" s="81">
        <f>HLOOKUP(P752,データについて!$J$10:$M$18,9,FALSE)</f>
        <v>1</v>
      </c>
      <c r="X752" s="81">
        <f>HLOOKUP(Q752,データについて!$J$11:$M$18,8,FALSE)</f>
        <v>1</v>
      </c>
      <c r="Y752" s="81">
        <f>HLOOKUP(R752,データについて!$J$12:$M$18,7,FALSE)</f>
        <v>1</v>
      </c>
      <c r="Z752" s="81">
        <f>HLOOKUP(I752,データについて!$J$3:$M$18,16,FALSE)</f>
        <v>1</v>
      </c>
      <c r="AA752" s="81">
        <f>IFERROR(HLOOKUP(J752,データについて!$J$4:$AH$19,16,FALSE),"")</f>
        <v>16</v>
      </c>
      <c r="AB752" s="81" t="str">
        <f>IFERROR(HLOOKUP(K752,データについて!$J$5:$AH$20,14,FALSE),"")</f>
        <v/>
      </c>
      <c r="AC752" s="81">
        <f>IF(X752=1,HLOOKUP(R752,データについて!$J$12:$M$18,7,FALSE),"*")</f>
        <v>1</v>
      </c>
      <c r="AD752" s="81" t="str">
        <f>IF(X752=2,HLOOKUP(R752,データについて!$J$12:$M$18,7,FALSE),"*")</f>
        <v>*</v>
      </c>
    </row>
    <row r="753" spans="1:30">
      <c r="A753" s="30">
        <v>4439</v>
      </c>
      <c r="B753" s="30" t="s">
        <v>3024</v>
      </c>
      <c r="C753" s="30" t="s">
        <v>3025</v>
      </c>
      <c r="D753" s="30" t="s">
        <v>106</v>
      </c>
      <c r="E753" s="30"/>
      <c r="F753" s="30" t="s">
        <v>107</v>
      </c>
      <c r="G753" s="30" t="s">
        <v>106</v>
      </c>
      <c r="H753" s="30"/>
      <c r="I753" s="30" t="s">
        <v>192</v>
      </c>
      <c r="J753" s="30" t="s">
        <v>2934</v>
      </c>
      <c r="K753" s="30"/>
      <c r="L753" s="30" t="s">
        <v>108</v>
      </c>
      <c r="M753" s="30" t="s">
        <v>109</v>
      </c>
      <c r="N753" s="30" t="s">
        <v>110</v>
      </c>
      <c r="O753" s="30" t="s">
        <v>116</v>
      </c>
      <c r="P753" s="30" t="s">
        <v>112</v>
      </c>
      <c r="Q753" s="30" t="s">
        <v>112</v>
      </c>
      <c r="R753" s="30" t="s">
        <v>185</v>
      </c>
      <c r="S753" s="81">
        <f>HLOOKUP(L753,データについて!$J$6:$M$18,13,FALSE)</f>
        <v>1</v>
      </c>
      <c r="T753" s="81">
        <f>HLOOKUP(M753,データについて!$J$7:$M$18,12,FALSE)</f>
        <v>2</v>
      </c>
      <c r="U753" s="81">
        <f>HLOOKUP(N753,データについて!$J$8:$M$18,11,FALSE)</f>
        <v>2</v>
      </c>
      <c r="V753" s="81">
        <f>HLOOKUP(O753,データについて!$J$9:$M$18,10,FALSE)</f>
        <v>2</v>
      </c>
      <c r="W753" s="81">
        <f>HLOOKUP(P753,データについて!$J$10:$M$18,9,FALSE)</f>
        <v>1</v>
      </c>
      <c r="X753" s="81">
        <f>HLOOKUP(Q753,データについて!$J$11:$M$18,8,FALSE)</f>
        <v>1</v>
      </c>
      <c r="Y753" s="81">
        <f>HLOOKUP(R753,データについて!$J$12:$M$18,7,FALSE)</f>
        <v>2</v>
      </c>
      <c r="Z753" s="81">
        <f>HLOOKUP(I753,データについて!$J$3:$M$18,16,FALSE)</f>
        <v>1</v>
      </c>
      <c r="AA753" s="81">
        <f>IFERROR(HLOOKUP(J753,データについて!$J$4:$AH$19,16,FALSE),"")</f>
        <v>16</v>
      </c>
      <c r="AB753" s="81" t="str">
        <f>IFERROR(HLOOKUP(K753,データについて!$J$5:$AH$20,14,FALSE),"")</f>
        <v/>
      </c>
      <c r="AC753" s="81">
        <f>IF(X753=1,HLOOKUP(R753,データについて!$J$12:$M$18,7,FALSE),"*")</f>
        <v>2</v>
      </c>
      <c r="AD753" s="81" t="str">
        <f>IF(X753=2,HLOOKUP(R753,データについて!$J$12:$M$18,7,FALSE),"*")</f>
        <v>*</v>
      </c>
    </row>
    <row r="754" spans="1:30">
      <c r="A754" s="30">
        <v>4438</v>
      </c>
      <c r="B754" s="30" t="s">
        <v>3026</v>
      </c>
      <c r="C754" s="30" t="s">
        <v>3025</v>
      </c>
      <c r="D754" s="30" t="s">
        <v>106</v>
      </c>
      <c r="E754" s="30"/>
      <c r="F754" s="30" t="s">
        <v>107</v>
      </c>
      <c r="G754" s="30" t="s">
        <v>106</v>
      </c>
      <c r="H754" s="30"/>
      <c r="I754" s="30" t="s">
        <v>192</v>
      </c>
      <c r="J754" s="30" t="s">
        <v>2934</v>
      </c>
      <c r="K754" s="30"/>
      <c r="L754" s="30" t="s">
        <v>117</v>
      </c>
      <c r="M754" s="30" t="s">
        <v>113</v>
      </c>
      <c r="N754" s="30" t="s">
        <v>114</v>
      </c>
      <c r="O754" s="30" t="s">
        <v>115</v>
      </c>
      <c r="P754" s="30" t="s">
        <v>112</v>
      </c>
      <c r="Q754" s="30" t="s">
        <v>112</v>
      </c>
      <c r="R754" s="30" t="s">
        <v>185</v>
      </c>
      <c r="S754" s="81">
        <f>HLOOKUP(L754,データについて!$J$6:$M$18,13,FALSE)</f>
        <v>2</v>
      </c>
      <c r="T754" s="81">
        <f>HLOOKUP(M754,データについて!$J$7:$M$18,12,FALSE)</f>
        <v>1</v>
      </c>
      <c r="U754" s="81">
        <f>HLOOKUP(N754,データについて!$J$8:$M$18,11,FALSE)</f>
        <v>1</v>
      </c>
      <c r="V754" s="81">
        <f>HLOOKUP(O754,データについて!$J$9:$M$18,10,FALSE)</f>
        <v>1</v>
      </c>
      <c r="W754" s="81">
        <f>HLOOKUP(P754,データについて!$J$10:$M$18,9,FALSE)</f>
        <v>1</v>
      </c>
      <c r="X754" s="81">
        <f>HLOOKUP(Q754,データについて!$J$11:$M$18,8,FALSE)</f>
        <v>1</v>
      </c>
      <c r="Y754" s="81">
        <f>HLOOKUP(R754,データについて!$J$12:$M$18,7,FALSE)</f>
        <v>2</v>
      </c>
      <c r="Z754" s="81">
        <f>HLOOKUP(I754,データについて!$J$3:$M$18,16,FALSE)</f>
        <v>1</v>
      </c>
      <c r="AA754" s="81">
        <f>IFERROR(HLOOKUP(J754,データについて!$J$4:$AH$19,16,FALSE),"")</f>
        <v>16</v>
      </c>
      <c r="AB754" s="81" t="str">
        <f>IFERROR(HLOOKUP(K754,データについて!$J$5:$AH$20,14,FALSE),"")</f>
        <v/>
      </c>
      <c r="AC754" s="81">
        <f>IF(X754=1,HLOOKUP(R754,データについて!$J$12:$M$18,7,FALSE),"*")</f>
        <v>2</v>
      </c>
      <c r="AD754" s="81" t="str">
        <f>IF(X754=2,HLOOKUP(R754,データについて!$J$12:$M$18,7,FALSE),"*")</f>
        <v>*</v>
      </c>
    </row>
    <row r="755" spans="1:30">
      <c r="A755" s="30">
        <v>4437</v>
      </c>
      <c r="B755" s="30" t="s">
        <v>3027</v>
      </c>
      <c r="C755" s="30" t="s">
        <v>3028</v>
      </c>
      <c r="D755" s="30" t="s">
        <v>106</v>
      </c>
      <c r="E755" s="30"/>
      <c r="F755" s="30" t="s">
        <v>107</v>
      </c>
      <c r="G755" s="30" t="s">
        <v>106</v>
      </c>
      <c r="H755" s="30"/>
      <c r="I755" s="30" t="s">
        <v>192</v>
      </c>
      <c r="J755" s="30" t="s">
        <v>2934</v>
      </c>
      <c r="K755" s="30"/>
      <c r="L755" s="30" t="s">
        <v>108</v>
      </c>
      <c r="M755" s="30" t="s">
        <v>113</v>
      </c>
      <c r="N755" s="30" t="s">
        <v>114</v>
      </c>
      <c r="O755" s="30" t="s">
        <v>115</v>
      </c>
      <c r="P755" s="30" t="s">
        <v>112</v>
      </c>
      <c r="Q755" s="30" t="s">
        <v>112</v>
      </c>
      <c r="R755" s="30" t="s">
        <v>189</v>
      </c>
      <c r="S755" s="81">
        <f>HLOOKUP(L755,データについて!$J$6:$M$18,13,FALSE)</f>
        <v>1</v>
      </c>
      <c r="T755" s="81">
        <f>HLOOKUP(M755,データについて!$J$7:$M$18,12,FALSE)</f>
        <v>1</v>
      </c>
      <c r="U755" s="81">
        <f>HLOOKUP(N755,データについて!$J$8:$M$18,11,FALSE)</f>
        <v>1</v>
      </c>
      <c r="V755" s="81">
        <f>HLOOKUP(O755,データについて!$J$9:$M$18,10,FALSE)</f>
        <v>1</v>
      </c>
      <c r="W755" s="81">
        <f>HLOOKUP(P755,データについて!$J$10:$M$18,9,FALSE)</f>
        <v>1</v>
      </c>
      <c r="X755" s="81">
        <f>HLOOKUP(Q755,データについて!$J$11:$M$18,8,FALSE)</f>
        <v>1</v>
      </c>
      <c r="Y755" s="81">
        <f>HLOOKUP(R755,データについて!$J$12:$M$18,7,FALSE)</f>
        <v>4</v>
      </c>
      <c r="Z755" s="81">
        <f>HLOOKUP(I755,データについて!$J$3:$M$18,16,FALSE)</f>
        <v>1</v>
      </c>
      <c r="AA755" s="81">
        <f>IFERROR(HLOOKUP(J755,データについて!$J$4:$AH$19,16,FALSE),"")</f>
        <v>16</v>
      </c>
      <c r="AB755" s="81" t="str">
        <f>IFERROR(HLOOKUP(K755,データについて!$J$5:$AH$20,14,FALSE),"")</f>
        <v/>
      </c>
      <c r="AC755" s="81">
        <f>IF(X755=1,HLOOKUP(R755,データについて!$J$12:$M$18,7,FALSE),"*")</f>
        <v>4</v>
      </c>
      <c r="AD755" s="81" t="str">
        <f>IF(X755=2,HLOOKUP(R755,データについて!$J$12:$M$18,7,FALSE),"*")</f>
        <v>*</v>
      </c>
    </row>
    <row r="756" spans="1:30">
      <c r="A756" s="30">
        <v>4436</v>
      </c>
      <c r="B756" s="30" t="s">
        <v>3029</v>
      </c>
      <c r="C756" s="30" t="s">
        <v>3030</v>
      </c>
      <c r="D756" s="30" t="s">
        <v>106</v>
      </c>
      <c r="E756" s="30"/>
      <c r="F756" s="30" t="s">
        <v>107</v>
      </c>
      <c r="G756" s="30" t="s">
        <v>106</v>
      </c>
      <c r="H756" s="30"/>
      <c r="I756" s="30" t="s">
        <v>192</v>
      </c>
      <c r="J756" s="30" t="s">
        <v>2934</v>
      </c>
      <c r="K756" s="30"/>
      <c r="L756" s="30" t="s">
        <v>108</v>
      </c>
      <c r="M756" s="30" t="s">
        <v>113</v>
      </c>
      <c r="N756" s="30" t="s">
        <v>114</v>
      </c>
      <c r="O756" s="30" t="s">
        <v>115</v>
      </c>
      <c r="P756" s="30" t="s">
        <v>112</v>
      </c>
      <c r="Q756" s="30" t="s">
        <v>112</v>
      </c>
      <c r="R756" s="30" t="s">
        <v>183</v>
      </c>
      <c r="S756" s="81">
        <f>HLOOKUP(L756,データについて!$J$6:$M$18,13,FALSE)</f>
        <v>1</v>
      </c>
      <c r="T756" s="81">
        <f>HLOOKUP(M756,データについて!$J$7:$M$18,12,FALSE)</f>
        <v>1</v>
      </c>
      <c r="U756" s="81">
        <f>HLOOKUP(N756,データについて!$J$8:$M$18,11,FALSE)</f>
        <v>1</v>
      </c>
      <c r="V756" s="81">
        <f>HLOOKUP(O756,データについて!$J$9:$M$18,10,FALSE)</f>
        <v>1</v>
      </c>
      <c r="W756" s="81">
        <f>HLOOKUP(P756,データについて!$J$10:$M$18,9,FALSE)</f>
        <v>1</v>
      </c>
      <c r="X756" s="81">
        <f>HLOOKUP(Q756,データについて!$J$11:$M$18,8,FALSE)</f>
        <v>1</v>
      </c>
      <c r="Y756" s="81">
        <f>HLOOKUP(R756,データについて!$J$12:$M$18,7,FALSE)</f>
        <v>1</v>
      </c>
      <c r="Z756" s="81">
        <f>HLOOKUP(I756,データについて!$J$3:$M$18,16,FALSE)</f>
        <v>1</v>
      </c>
      <c r="AA756" s="81">
        <f>IFERROR(HLOOKUP(J756,データについて!$J$4:$AH$19,16,FALSE),"")</f>
        <v>16</v>
      </c>
      <c r="AB756" s="81" t="str">
        <f>IFERROR(HLOOKUP(K756,データについて!$J$5:$AH$20,14,FALSE),"")</f>
        <v/>
      </c>
      <c r="AC756" s="81">
        <f>IF(X756=1,HLOOKUP(R756,データについて!$J$12:$M$18,7,FALSE),"*")</f>
        <v>1</v>
      </c>
      <c r="AD756" s="81" t="str">
        <f>IF(X756=2,HLOOKUP(R756,データについて!$J$12:$M$18,7,FALSE),"*")</f>
        <v>*</v>
      </c>
    </row>
    <row r="757" spans="1:30">
      <c r="A757" s="30">
        <v>4435</v>
      </c>
      <c r="B757" s="30" t="s">
        <v>3031</v>
      </c>
      <c r="C757" s="30" t="s">
        <v>3032</v>
      </c>
      <c r="D757" s="30" t="s">
        <v>106</v>
      </c>
      <c r="E757" s="30"/>
      <c r="F757" s="30" t="s">
        <v>107</v>
      </c>
      <c r="G757" s="30" t="s">
        <v>106</v>
      </c>
      <c r="H757" s="30"/>
      <c r="I757" s="30" t="s">
        <v>192</v>
      </c>
      <c r="J757" s="30" t="s">
        <v>2934</v>
      </c>
      <c r="K757" s="30"/>
      <c r="L757" s="30" t="s">
        <v>117</v>
      </c>
      <c r="M757" s="30" t="s">
        <v>113</v>
      </c>
      <c r="N757" s="30" t="s">
        <v>114</v>
      </c>
      <c r="O757" s="30" t="s">
        <v>115</v>
      </c>
      <c r="P757" s="30" t="s">
        <v>112</v>
      </c>
      <c r="Q757" s="30" t="s">
        <v>112</v>
      </c>
      <c r="R757" s="30" t="s">
        <v>187</v>
      </c>
      <c r="S757" s="81">
        <f>HLOOKUP(L757,データについて!$J$6:$M$18,13,FALSE)</f>
        <v>2</v>
      </c>
      <c r="T757" s="81">
        <f>HLOOKUP(M757,データについて!$J$7:$M$18,12,FALSE)</f>
        <v>1</v>
      </c>
      <c r="U757" s="81">
        <f>HLOOKUP(N757,データについて!$J$8:$M$18,11,FALSE)</f>
        <v>1</v>
      </c>
      <c r="V757" s="81">
        <f>HLOOKUP(O757,データについて!$J$9:$M$18,10,FALSE)</f>
        <v>1</v>
      </c>
      <c r="W757" s="81">
        <f>HLOOKUP(P757,データについて!$J$10:$M$18,9,FALSE)</f>
        <v>1</v>
      </c>
      <c r="X757" s="81">
        <f>HLOOKUP(Q757,データについて!$J$11:$M$18,8,FALSE)</f>
        <v>1</v>
      </c>
      <c r="Y757" s="81">
        <f>HLOOKUP(R757,データについて!$J$12:$M$18,7,FALSE)</f>
        <v>3</v>
      </c>
      <c r="Z757" s="81">
        <f>HLOOKUP(I757,データについて!$J$3:$M$18,16,FALSE)</f>
        <v>1</v>
      </c>
      <c r="AA757" s="81">
        <f>IFERROR(HLOOKUP(J757,データについて!$J$4:$AH$19,16,FALSE),"")</f>
        <v>16</v>
      </c>
      <c r="AB757" s="81" t="str">
        <f>IFERROR(HLOOKUP(K757,データについて!$J$5:$AH$20,14,FALSE),"")</f>
        <v/>
      </c>
      <c r="AC757" s="81">
        <f>IF(X757=1,HLOOKUP(R757,データについて!$J$12:$M$18,7,FALSE),"*")</f>
        <v>3</v>
      </c>
      <c r="AD757" s="81" t="str">
        <f>IF(X757=2,HLOOKUP(R757,データについて!$J$12:$M$18,7,FALSE),"*")</f>
        <v>*</v>
      </c>
    </row>
    <row r="758" spans="1:30">
      <c r="A758" s="30">
        <v>4434</v>
      </c>
      <c r="B758" s="30" t="s">
        <v>3033</v>
      </c>
      <c r="C758" s="30" t="s">
        <v>3032</v>
      </c>
      <c r="D758" s="30" t="s">
        <v>106</v>
      </c>
      <c r="E758" s="30"/>
      <c r="F758" s="30" t="s">
        <v>107</v>
      </c>
      <c r="G758" s="30" t="s">
        <v>106</v>
      </c>
      <c r="H758" s="30"/>
      <c r="I758" s="30" t="s">
        <v>192</v>
      </c>
      <c r="J758" s="30" t="s">
        <v>2934</v>
      </c>
      <c r="K758" s="30"/>
      <c r="L758" s="30" t="s">
        <v>117</v>
      </c>
      <c r="M758" s="30" t="s">
        <v>113</v>
      </c>
      <c r="N758" s="30" t="s">
        <v>114</v>
      </c>
      <c r="O758" s="30" t="s">
        <v>115</v>
      </c>
      <c r="P758" s="30" t="s">
        <v>112</v>
      </c>
      <c r="Q758" s="30" t="s">
        <v>112</v>
      </c>
      <c r="R758" s="30" t="s">
        <v>185</v>
      </c>
      <c r="S758" s="81">
        <f>HLOOKUP(L758,データについて!$J$6:$M$18,13,FALSE)</f>
        <v>2</v>
      </c>
      <c r="T758" s="81">
        <f>HLOOKUP(M758,データについて!$J$7:$M$18,12,FALSE)</f>
        <v>1</v>
      </c>
      <c r="U758" s="81">
        <f>HLOOKUP(N758,データについて!$J$8:$M$18,11,FALSE)</f>
        <v>1</v>
      </c>
      <c r="V758" s="81">
        <f>HLOOKUP(O758,データについて!$J$9:$M$18,10,FALSE)</f>
        <v>1</v>
      </c>
      <c r="W758" s="81">
        <f>HLOOKUP(P758,データについて!$J$10:$M$18,9,FALSE)</f>
        <v>1</v>
      </c>
      <c r="X758" s="81">
        <f>HLOOKUP(Q758,データについて!$J$11:$M$18,8,FALSE)</f>
        <v>1</v>
      </c>
      <c r="Y758" s="81">
        <f>HLOOKUP(R758,データについて!$J$12:$M$18,7,FALSE)</f>
        <v>2</v>
      </c>
      <c r="Z758" s="81">
        <f>HLOOKUP(I758,データについて!$J$3:$M$18,16,FALSE)</f>
        <v>1</v>
      </c>
      <c r="AA758" s="81">
        <f>IFERROR(HLOOKUP(J758,データについて!$J$4:$AH$19,16,FALSE),"")</f>
        <v>16</v>
      </c>
      <c r="AB758" s="81" t="str">
        <f>IFERROR(HLOOKUP(K758,データについて!$J$5:$AH$20,14,FALSE),"")</f>
        <v/>
      </c>
      <c r="AC758" s="81">
        <f>IF(X758=1,HLOOKUP(R758,データについて!$J$12:$M$18,7,FALSE),"*")</f>
        <v>2</v>
      </c>
      <c r="AD758" s="81" t="str">
        <f>IF(X758=2,HLOOKUP(R758,データについて!$J$12:$M$18,7,FALSE),"*")</f>
        <v>*</v>
      </c>
    </row>
    <row r="759" spans="1:30">
      <c r="A759" s="30">
        <v>4433</v>
      </c>
      <c r="B759" s="30" t="s">
        <v>3034</v>
      </c>
      <c r="C759" s="30" t="s">
        <v>3035</v>
      </c>
      <c r="D759" s="30" t="s">
        <v>106</v>
      </c>
      <c r="E759" s="30"/>
      <c r="F759" s="30" t="s">
        <v>107</v>
      </c>
      <c r="G759" s="30" t="s">
        <v>106</v>
      </c>
      <c r="H759" s="30"/>
      <c r="I759" s="30" t="s">
        <v>192</v>
      </c>
      <c r="J759" s="30" t="s">
        <v>2934</v>
      </c>
      <c r="K759" s="30"/>
      <c r="L759" s="30" t="s">
        <v>108</v>
      </c>
      <c r="M759" s="30" t="s">
        <v>113</v>
      </c>
      <c r="N759" s="30" t="s">
        <v>114</v>
      </c>
      <c r="O759" s="30" t="s">
        <v>115</v>
      </c>
      <c r="P759" s="30" t="s">
        <v>112</v>
      </c>
      <c r="Q759" s="30" t="s">
        <v>112</v>
      </c>
      <c r="R759" s="30" t="s">
        <v>183</v>
      </c>
      <c r="S759" s="81">
        <f>HLOOKUP(L759,データについて!$J$6:$M$18,13,FALSE)</f>
        <v>1</v>
      </c>
      <c r="T759" s="81">
        <f>HLOOKUP(M759,データについて!$J$7:$M$18,12,FALSE)</f>
        <v>1</v>
      </c>
      <c r="U759" s="81">
        <f>HLOOKUP(N759,データについて!$J$8:$M$18,11,FALSE)</f>
        <v>1</v>
      </c>
      <c r="V759" s="81">
        <f>HLOOKUP(O759,データについて!$J$9:$M$18,10,FALSE)</f>
        <v>1</v>
      </c>
      <c r="W759" s="81">
        <f>HLOOKUP(P759,データについて!$J$10:$M$18,9,FALSE)</f>
        <v>1</v>
      </c>
      <c r="X759" s="81">
        <f>HLOOKUP(Q759,データについて!$J$11:$M$18,8,FALSE)</f>
        <v>1</v>
      </c>
      <c r="Y759" s="81">
        <f>HLOOKUP(R759,データについて!$J$12:$M$18,7,FALSE)</f>
        <v>1</v>
      </c>
      <c r="Z759" s="81">
        <f>HLOOKUP(I759,データについて!$J$3:$M$18,16,FALSE)</f>
        <v>1</v>
      </c>
      <c r="AA759" s="81">
        <f>IFERROR(HLOOKUP(J759,データについて!$J$4:$AH$19,16,FALSE),"")</f>
        <v>16</v>
      </c>
      <c r="AB759" s="81" t="str">
        <f>IFERROR(HLOOKUP(K759,データについて!$J$5:$AH$20,14,FALSE),"")</f>
        <v/>
      </c>
      <c r="AC759" s="81">
        <f>IF(X759=1,HLOOKUP(R759,データについて!$J$12:$M$18,7,FALSE),"*")</f>
        <v>1</v>
      </c>
      <c r="AD759" s="81" t="str">
        <f>IF(X759=2,HLOOKUP(R759,データについて!$J$12:$M$18,7,FALSE),"*")</f>
        <v>*</v>
      </c>
    </row>
    <row r="760" spans="1:30">
      <c r="A760" s="30">
        <v>4432</v>
      </c>
      <c r="B760" s="30" t="s">
        <v>3036</v>
      </c>
      <c r="C760" s="30" t="s">
        <v>3035</v>
      </c>
      <c r="D760" s="30" t="s">
        <v>106</v>
      </c>
      <c r="E760" s="30"/>
      <c r="F760" s="30" t="s">
        <v>107</v>
      </c>
      <c r="G760" s="30" t="s">
        <v>106</v>
      </c>
      <c r="H760" s="30"/>
      <c r="I760" s="30" t="s">
        <v>192</v>
      </c>
      <c r="J760" s="30" t="s">
        <v>2934</v>
      </c>
      <c r="K760" s="30"/>
      <c r="L760" s="30" t="s">
        <v>108</v>
      </c>
      <c r="M760" s="30" t="s">
        <v>109</v>
      </c>
      <c r="N760" s="30" t="s">
        <v>110</v>
      </c>
      <c r="O760" s="30" t="s">
        <v>115</v>
      </c>
      <c r="P760" s="30" t="s">
        <v>112</v>
      </c>
      <c r="Q760" s="30" t="s">
        <v>118</v>
      </c>
      <c r="R760" s="30" t="s">
        <v>187</v>
      </c>
      <c r="S760" s="81">
        <f>HLOOKUP(L760,データについて!$J$6:$M$18,13,FALSE)</f>
        <v>1</v>
      </c>
      <c r="T760" s="81">
        <f>HLOOKUP(M760,データについて!$J$7:$M$18,12,FALSE)</f>
        <v>2</v>
      </c>
      <c r="U760" s="81">
        <f>HLOOKUP(N760,データについて!$J$8:$M$18,11,FALSE)</f>
        <v>2</v>
      </c>
      <c r="V760" s="81">
        <f>HLOOKUP(O760,データについて!$J$9:$M$18,10,FALSE)</f>
        <v>1</v>
      </c>
      <c r="W760" s="81">
        <f>HLOOKUP(P760,データについて!$J$10:$M$18,9,FALSE)</f>
        <v>1</v>
      </c>
      <c r="X760" s="81">
        <f>HLOOKUP(Q760,データについて!$J$11:$M$18,8,FALSE)</f>
        <v>2</v>
      </c>
      <c r="Y760" s="81">
        <f>HLOOKUP(R760,データについて!$J$12:$M$18,7,FALSE)</f>
        <v>3</v>
      </c>
      <c r="Z760" s="81">
        <f>HLOOKUP(I760,データについて!$J$3:$M$18,16,FALSE)</f>
        <v>1</v>
      </c>
      <c r="AA760" s="81">
        <f>IFERROR(HLOOKUP(J760,データについて!$J$4:$AH$19,16,FALSE),"")</f>
        <v>16</v>
      </c>
      <c r="AB760" s="81" t="str">
        <f>IFERROR(HLOOKUP(K760,データについて!$J$5:$AH$20,14,FALSE),"")</f>
        <v/>
      </c>
      <c r="AC760" s="81" t="str">
        <f>IF(X760=1,HLOOKUP(R760,データについて!$J$12:$M$18,7,FALSE),"*")</f>
        <v>*</v>
      </c>
      <c r="AD760" s="81">
        <f>IF(X760=2,HLOOKUP(R760,データについて!$J$12:$M$18,7,FALSE),"*")</f>
        <v>3</v>
      </c>
    </row>
    <row r="761" spans="1:30">
      <c r="A761" s="30">
        <v>4431</v>
      </c>
      <c r="B761" s="30" t="s">
        <v>3037</v>
      </c>
      <c r="C761" s="30" t="s">
        <v>3038</v>
      </c>
      <c r="D761" s="30" t="s">
        <v>106</v>
      </c>
      <c r="E761" s="30"/>
      <c r="F761" s="30" t="s">
        <v>107</v>
      </c>
      <c r="G761" s="30" t="s">
        <v>106</v>
      </c>
      <c r="H761" s="30"/>
      <c r="I761" s="30" t="s">
        <v>192</v>
      </c>
      <c r="J761" s="30" t="s">
        <v>2934</v>
      </c>
      <c r="K761" s="30"/>
      <c r="L761" s="30" t="s">
        <v>108</v>
      </c>
      <c r="M761" s="30" t="s">
        <v>109</v>
      </c>
      <c r="N761" s="30" t="s">
        <v>114</v>
      </c>
      <c r="O761" s="30" t="s">
        <v>115</v>
      </c>
      <c r="P761" s="30" t="s">
        <v>112</v>
      </c>
      <c r="Q761" s="30" t="s">
        <v>112</v>
      </c>
      <c r="R761" s="30" t="s">
        <v>185</v>
      </c>
      <c r="S761" s="81">
        <f>HLOOKUP(L761,データについて!$J$6:$M$18,13,FALSE)</f>
        <v>1</v>
      </c>
      <c r="T761" s="81">
        <f>HLOOKUP(M761,データについて!$J$7:$M$18,12,FALSE)</f>
        <v>2</v>
      </c>
      <c r="U761" s="81">
        <f>HLOOKUP(N761,データについて!$J$8:$M$18,11,FALSE)</f>
        <v>1</v>
      </c>
      <c r="V761" s="81">
        <f>HLOOKUP(O761,データについて!$J$9:$M$18,10,FALSE)</f>
        <v>1</v>
      </c>
      <c r="W761" s="81">
        <f>HLOOKUP(P761,データについて!$J$10:$M$18,9,FALSE)</f>
        <v>1</v>
      </c>
      <c r="X761" s="81">
        <f>HLOOKUP(Q761,データについて!$J$11:$M$18,8,FALSE)</f>
        <v>1</v>
      </c>
      <c r="Y761" s="81">
        <f>HLOOKUP(R761,データについて!$J$12:$M$18,7,FALSE)</f>
        <v>2</v>
      </c>
      <c r="Z761" s="81">
        <f>HLOOKUP(I761,データについて!$J$3:$M$18,16,FALSE)</f>
        <v>1</v>
      </c>
      <c r="AA761" s="81">
        <f>IFERROR(HLOOKUP(J761,データについて!$J$4:$AH$19,16,FALSE),"")</f>
        <v>16</v>
      </c>
      <c r="AB761" s="81" t="str">
        <f>IFERROR(HLOOKUP(K761,データについて!$J$5:$AH$20,14,FALSE),"")</f>
        <v/>
      </c>
      <c r="AC761" s="81">
        <f>IF(X761=1,HLOOKUP(R761,データについて!$J$12:$M$18,7,FALSE),"*")</f>
        <v>2</v>
      </c>
      <c r="AD761" s="81" t="str">
        <f>IF(X761=2,HLOOKUP(R761,データについて!$J$12:$M$18,7,FALSE),"*")</f>
        <v>*</v>
      </c>
    </row>
    <row r="762" spans="1:30">
      <c r="A762" s="30">
        <v>4430</v>
      </c>
      <c r="B762" s="30" t="s">
        <v>3039</v>
      </c>
      <c r="C762" s="30" t="s">
        <v>3040</v>
      </c>
      <c r="D762" s="30" t="s">
        <v>106</v>
      </c>
      <c r="E762" s="30"/>
      <c r="F762" s="30" t="s">
        <v>107</v>
      </c>
      <c r="G762" s="30" t="s">
        <v>106</v>
      </c>
      <c r="H762" s="30"/>
      <c r="I762" s="30" t="s">
        <v>192</v>
      </c>
      <c r="J762" s="30" t="s">
        <v>2934</v>
      </c>
      <c r="K762" s="30"/>
      <c r="L762" s="30" t="s">
        <v>108</v>
      </c>
      <c r="M762" s="30" t="s">
        <v>121</v>
      </c>
      <c r="N762" s="30" t="s">
        <v>119</v>
      </c>
      <c r="O762" s="30" t="s">
        <v>115</v>
      </c>
      <c r="P762" s="30" t="s">
        <v>112</v>
      </c>
      <c r="Q762" s="30" t="s">
        <v>118</v>
      </c>
      <c r="R762" s="30" t="s">
        <v>189</v>
      </c>
      <c r="S762" s="81">
        <f>HLOOKUP(L762,データについて!$J$6:$M$18,13,FALSE)</f>
        <v>1</v>
      </c>
      <c r="T762" s="81">
        <f>HLOOKUP(M762,データについて!$J$7:$M$18,12,FALSE)</f>
        <v>4</v>
      </c>
      <c r="U762" s="81">
        <f>HLOOKUP(N762,データについて!$J$8:$M$18,11,FALSE)</f>
        <v>4</v>
      </c>
      <c r="V762" s="81">
        <f>HLOOKUP(O762,データについて!$J$9:$M$18,10,FALSE)</f>
        <v>1</v>
      </c>
      <c r="W762" s="81">
        <f>HLOOKUP(P762,データについて!$J$10:$M$18,9,FALSE)</f>
        <v>1</v>
      </c>
      <c r="X762" s="81">
        <f>HLOOKUP(Q762,データについて!$J$11:$M$18,8,FALSE)</f>
        <v>2</v>
      </c>
      <c r="Y762" s="81">
        <f>HLOOKUP(R762,データについて!$J$12:$M$18,7,FALSE)</f>
        <v>4</v>
      </c>
      <c r="Z762" s="81">
        <f>HLOOKUP(I762,データについて!$J$3:$M$18,16,FALSE)</f>
        <v>1</v>
      </c>
      <c r="AA762" s="81">
        <f>IFERROR(HLOOKUP(J762,データについて!$J$4:$AH$19,16,FALSE),"")</f>
        <v>16</v>
      </c>
      <c r="AB762" s="81" t="str">
        <f>IFERROR(HLOOKUP(K762,データについて!$J$5:$AH$20,14,FALSE),"")</f>
        <v/>
      </c>
      <c r="AC762" s="81" t="str">
        <f>IF(X762=1,HLOOKUP(R762,データについて!$J$12:$M$18,7,FALSE),"*")</f>
        <v>*</v>
      </c>
      <c r="AD762" s="81">
        <f>IF(X762=2,HLOOKUP(R762,データについて!$J$12:$M$18,7,FALSE),"*")</f>
        <v>4</v>
      </c>
    </row>
    <row r="763" spans="1:30">
      <c r="A763" s="30">
        <v>4429</v>
      </c>
      <c r="B763" s="30" t="s">
        <v>3041</v>
      </c>
      <c r="C763" s="30" t="s">
        <v>3042</v>
      </c>
      <c r="D763" s="30" t="s">
        <v>106</v>
      </c>
      <c r="E763" s="30"/>
      <c r="F763" s="30" t="s">
        <v>107</v>
      </c>
      <c r="G763" s="30" t="s">
        <v>106</v>
      </c>
      <c r="H763" s="30"/>
      <c r="I763" s="30" t="s">
        <v>192</v>
      </c>
      <c r="J763" s="30" t="s">
        <v>2934</v>
      </c>
      <c r="K763" s="30"/>
      <c r="L763" s="30" t="s">
        <v>117</v>
      </c>
      <c r="M763" s="30" t="s">
        <v>113</v>
      </c>
      <c r="N763" s="30" t="s">
        <v>114</v>
      </c>
      <c r="O763" s="30" t="s">
        <v>115</v>
      </c>
      <c r="P763" s="30" t="s">
        <v>112</v>
      </c>
      <c r="Q763" s="30" t="s">
        <v>112</v>
      </c>
      <c r="R763" s="30" t="s">
        <v>183</v>
      </c>
      <c r="S763" s="81">
        <f>HLOOKUP(L763,データについて!$J$6:$M$18,13,FALSE)</f>
        <v>2</v>
      </c>
      <c r="T763" s="81">
        <f>HLOOKUP(M763,データについて!$J$7:$M$18,12,FALSE)</f>
        <v>1</v>
      </c>
      <c r="U763" s="81">
        <f>HLOOKUP(N763,データについて!$J$8:$M$18,11,FALSE)</f>
        <v>1</v>
      </c>
      <c r="V763" s="81">
        <f>HLOOKUP(O763,データについて!$J$9:$M$18,10,FALSE)</f>
        <v>1</v>
      </c>
      <c r="W763" s="81">
        <f>HLOOKUP(P763,データについて!$J$10:$M$18,9,FALSE)</f>
        <v>1</v>
      </c>
      <c r="X763" s="81">
        <f>HLOOKUP(Q763,データについて!$J$11:$M$18,8,FALSE)</f>
        <v>1</v>
      </c>
      <c r="Y763" s="81">
        <f>HLOOKUP(R763,データについて!$J$12:$M$18,7,FALSE)</f>
        <v>1</v>
      </c>
      <c r="Z763" s="81">
        <f>HLOOKUP(I763,データについて!$J$3:$M$18,16,FALSE)</f>
        <v>1</v>
      </c>
      <c r="AA763" s="81">
        <f>IFERROR(HLOOKUP(J763,データについて!$J$4:$AH$19,16,FALSE),"")</f>
        <v>16</v>
      </c>
      <c r="AB763" s="81" t="str">
        <f>IFERROR(HLOOKUP(K763,データについて!$J$5:$AH$20,14,FALSE),"")</f>
        <v/>
      </c>
      <c r="AC763" s="81">
        <f>IF(X763=1,HLOOKUP(R763,データについて!$J$12:$M$18,7,FALSE),"*")</f>
        <v>1</v>
      </c>
      <c r="AD763" s="81" t="str">
        <f>IF(X763=2,HLOOKUP(R763,データについて!$J$12:$M$18,7,FALSE),"*")</f>
        <v>*</v>
      </c>
    </row>
    <row r="764" spans="1:30">
      <c r="A764" s="30">
        <v>4428</v>
      </c>
      <c r="B764" s="30" t="s">
        <v>3043</v>
      </c>
      <c r="C764" s="30" t="s">
        <v>3042</v>
      </c>
      <c r="D764" s="30" t="s">
        <v>106</v>
      </c>
      <c r="E764" s="30"/>
      <c r="F764" s="30" t="s">
        <v>107</v>
      </c>
      <c r="G764" s="30" t="s">
        <v>106</v>
      </c>
      <c r="H764" s="30"/>
      <c r="I764" s="30" t="s">
        <v>192</v>
      </c>
      <c r="J764" s="30" t="s">
        <v>2934</v>
      </c>
      <c r="K764" s="30"/>
      <c r="L764" s="30" t="s">
        <v>108</v>
      </c>
      <c r="M764" s="30" t="s">
        <v>109</v>
      </c>
      <c r="N764" s="30" t="s">
        <v>114</v>
      </c>
      <c r="O764" s="30" t="s">
        <v>115</v>
      </c>
      <c r="P764" s="30" t="s">
        <v>112</v>
      </c>
      <c r="Q764" s="30" t="s">
        <v>112</v>
      </c>
      <c r="R764" s="30" t="s">
        <v>183</v>
      </c>
      <c r="S764" s="81">
        <f>HLOOKUP(L764,データについて!$J$6:$M$18,13,FALSE)</f>
        <v>1</v>
      </c>
      <c r="T764" s="81">
        <f>HLOOKUP(M764,データについて!$J$7:$M$18,12,FALSE)</f>
        <v>2</v>
      </c>
      <c r="U764" s="81">
        <f>HLOOKUP(N764,データについて!$J$8:$M$18,11,FALSE)</f>
        <v>1</v>
      </c>
      <c r="V764" s="81">
        <f>HLOOKUP(O764,データについて!$J$9:$M$18,10,FALSE)</f>
        <v>1</v>
      </c>
      <c r="W764" s="81">
        <f>HLOOKUP(P764,データについて!$J$10:$M$18,9,FALSE)</f>
        <v>1</v>
      </c>
      <c r="X764" s="81">
        <f>HLOOKUP(Q764,データについて!$J$11:$M$18,8,FALSE)</f>
        <v>1</v>
      </c>
      <c r="Y764" s="81">
        <f>HLOOKUP(R764,データについて!$J$12:$M$18,7,FALSE)</f>
        <v>1</v>
      </c>
      <c r="Z764" s="81">
        <f>HLOOKUP(I764,データについて!$J$3:$M$18,16,FALSE)</f>
        <v>1</v>
      </c>
      <c r="AA764" s="81">
        <f>IFERROR(HLOOKUP(J764,データについて!$J$4:$AH$19,16,FALSE),"")</f>
        <v>16</v>
      </c>
      <c r="AB764" s="81" t="str">
        <f>IFERROR(HLOOKUP(K764,データについて!$J$5:$AH$20,14,FALSE),"")</f>
        <v/>
      </c>
      <c r="AC764" s="81">
        <f>IF(X764=1,HLOOKUP(R764,データについて!$J$12:$M$18,7,FALSE),"*")</f>
        <v>1</v>
      </c>
      <c r="AD764" s="81" t="str">
        <f>IF(X764=2,HLOOKUP(R764,データについて!$J$12:$M$18,7,FALSE),"*")</f>
        <v>*</v>
      </c>
    </row>
    <row r="765" spans="1:30">
      <c r="A765" s="30">
        <v>4427</v>
      </c>
      <c r="B765" s="30" t="s">
        <v>3044</v>
      </c>
      <c r="C765" s="30" t="s">
        <v>3045</v>
      </c>
      <c r="D765" s="30" t="s">
        <v>106</v>
      </c>
      <c r="E765" s="30"/>
      <c r="F765" s="30" t="s">
        <v>107</v>
      </c>
      <c r="G765" s="30" t="s">
        <v>106</v>
      </c>
      <c r="H765" s="30"/>
      <c r="I765" s="30" t="s">
        <v>192</v>
      </c>
      <c r="J765" s="30" t="s">
        <v>2934</v>
      </c>
      <c r="K765" s="30"/>
      <c r="L765" s="30" t="s">
        <v>108</v>
      </c>
      <c r="M765" s="30" t="s">
        <v>113</v>
      </c>
      <c r="N765" s="30" t="s">
        <v>114</v>
      </c>
      <c r="O765" s="30" t="s">
        <v>115</v>
      </c>
      <c r="P765" s="30" t="s">
        <v>112</v>
      </c>
      <c r="Q765" s="30" t="s">
        <v>112</v>
      </c>
      <c r="R765" s="30" t="s">
        <v>185</v>
      </c>
      <c r="S765" s="81">
        <f>HLOOKUP(L765,データについて!$J$6:$M$18,13,FALSE)</f>
        <v>1</v>
      </c>
      <c r="T765" s="81">
        <f>HLOOKUP(M765,データについて!$J$7:$M$18,12,FALSE)</f>
        <v>1</v>
      </c>
      <c r="U765" s="81">
        <f>HLOOKUP(N765,データについて!$J$8:$M$18,11,FALSE)</f>
        <v>1</v>
      </c>
      <c r="V765" s="81">
        <f>HLOOKUP(O765,データについて!$J$9:$M$18,10,FALSE)</f>
        <v>1</v>
      </c>
      <c r="W765" s="81">
        <f>HLOOKUP(P765,データについて!$J$10:$M$18,9,FALSE)</f>
        <v>1</v>
      </c>
      <c r="X765" s="81">
        <f>HLOOKUP(Q765,データについて!$J$11:$M$18,8,FALSE)</f>
        <v>1</v>
      </c>
      <c r="Y765" s="81">
        <f>HLOOKUP(R765,データについて!$J$12:$M$18,7,FALSE)</f>
        <v>2</v>
      </c>
      <c r="Z765" s="81">
        <f>HLOOKUP(I765,データについて!$J$3:$M$18,16,FALSE)</f>
        <v>1</v>
      </c>
      <c r="AA765" s="81">
        <f>IFERROR(HLOOKUP(J765,データについて!$J$4:$AH$19,16,FALSE),"")</f>
        <v>16</v>
      </c>
      <c r="AB765" s="81" t="str">
        <f>IFERROR(HLOOKUP(K765,データについて!$J$5:$AH$20,14,FALSE),"")</f>
        <v/>
      </c>
      <c r="AC765" s="81">
        <f>IF(X765=1,HLOOKUP(R765,データについて!$J$12:$M$18,7,FALSE),"*")</f>
        <v>2</v>
      </c>
      <c r="AD765" s="81" t="str">
        <f>IF(X765=2,HLOOKUP(R765,データについて!$J$12:$M$18,7,FALSE),"*")</f>
        <v>*</v>
      </c>
    </row>
    <row r="766" spans="1:30">
      <c r="A766" s="30">
        <v>4426</v>
      </c>
      <c r="B766" s="30" t="s">
        <v>3046</v>
      </c>
      <c r="C766" s="30" t="s">
        <v>3047</v>
      </c>
      <c r="D766" s="30" t="s">
        <v>106</v>
      </c>
      <c r="E766" s="30"/>
      <c r="F766" s="30" t="s">
        <v>107</v>
      </c>
      <c r="G766" s="30" t="s">
        <v>106</v>
      </c>
      <c r="H766" s="30"/>
      <c r="I766" s="30" t="s">
        <v>192</v>
      </c>
      <c r="J766" s="30" t="s">
        <v>2934</v>
      </c>
      <c r="K766" s="30"/>
      <c r="L766" s="30" t="s">
        <v>108</v>
      </c>
      <c r="M766" s="30" t="s">
        <v>113</v>
      </c>
      <c r="N766" s="30" t="s">
        <v>114</v>
      </c>
      <c r="O766" s="30" t="s">
        <v>115</v>
      </c>
      <c r="P766" s="30" t="s">
        <v>118</v>
      </c>
      <c r="Q766" s="30" t="s">
        <v>118</v>
      </c>
      <c r="R766" s="30" t="s">
        <v>185</v>
      </c>
      <c r="S766" s="81">
        <f>HLOOKUP(L766,データについて!$J$6:$M$18,13,FALSE)</f>
        <v>1</v>
      </c>
      <c r="T766" s="81">
        <f>HLOOKUP(M766,データについて!$J$7:$M$18,12,FALSE)</f>
        <v>1</v>
      </c>
      <c r="U766" s="81">
        <f>HLOOKUP(N766,データについて!$J$8:$M$18,11,FALSE)</f>
        <v>1</v>
      </c>
      <c r="V766" s="81">
        <f>HLOOKUP(O766,データについて!$J$9:$M$18,10,FALSE)</f>
        <v>1</v>
      </c>
      <c r="W766" s="81">
        <f>HLOOKUP(P766,データについて!$J$10:$M$18,9,FALSE)</f>
        <v>2</v>
      </c>
      <c r="X766" s="81">
        <f>HLOOKUP(Q766,データについて!$J$11:$M$18,8,FALSE)</f>
        <v>2</v>
      </c>
      <c r="Y766" s="81">
        <f>HLOOKUP(R766,データについて!$J$12:$M$18,7,FALSE)</f>
        <v>2</v>
      </c>
      <c r="Z766" s="81">
        <f>HLOOKUP(I766,データについて!$J$3:$M$18,16,FALSE)</f>
        <v>1</v>
      </c>
      <c r="AA766" s="81">
        <f>IFERROR(HLOOKUP(J766,データについて!$J$4:$AH$19,16,FALSE),"")</f>
        <v>16</v>
      </c>
      <c r="AB766" s="81" t="str">
        <f>IFERROR(HLOOKUP(K766,データについて!$J$5:$AH$20,14,FALSE),"")</f>
        <v/>
      </c>
      <c r="AC766" s="81" t="str">
        <f>IF(X766=1,HLOOKUP(R766,データについて!$J$12:$M$18,7,FALSE),"*")</f>
        <v>*</v>
      </c>
      <c r="AD766" s="81">
        <f>IF(X766=2,HLOOKUP(R766,データについて!$J$12:$M$18,7,FALSE),"*")</f>
        <v>2</v>
      </c>
    </row>
    <row r="767" spans="1:30">
      <c r="A767" s="30">
        <v>4425</v>
      </c>
      <c r="B767" s="30" t="s">
        <v>3048</v>
      </c>
      <c r="C767" s="30" t="s">
        <v>3049</v>
      </c>
      <c r="D767" s="30" t="s">
        <v>106</v>
      </c>
      <c r="E767" s="30"/>
      <c r="F767" s="30" t="s">
        <v>107</v>
      </c>
      <c r="G767" s="30" t="s">
        <v>106</v>
      </c>
      <c r="H767" s="30"/>
      <c r="I767" s="30" t="s">
        <v>192</v>
      </c>
      <c r="J767" s="30" t="s">
        <v>2934</v>
      </c>
      <c r="K767" s="30"/>
      <c r="L767" s="30" t="s">
        <v>117</v>
      </c>
      <c r="M767" s="30" t="s">
        <v>109</v>
      </c>
      <c r="N767" s="30" t="s">
        <v>114</v>
      </c>
      <c r="O767" s="30" t="s">
        <v>115</v>
      </c>
      <c r="P767" s="30" t="s">
        <v>112</v>
      </c>
      <c r="Q767" s="30" t="s">
        <v>118</v>
      </c>
      <c r="R767" s="30" t="s">
        <v>189</v>
      </c>
      <c r="S767" s="81">
        <f>HLOOKUP(L767,データについて!$J$6:$M$18,13,FALSE)</f>
        <v>2</v>
      </c>
      <c r="T767" s="81">
        <f>HLOOKUP(M767,データについて!$J$7:$M$18,12,FALSE)</f>
        <v>2</v>
      </c>
      <c r="U767" s="81">
        <f>HLOOKUP(N767,データについて!$J$8:$M$18,11,FALSE)</f>
        <v>1</v>
      </c>
      <c r="V767" s="81">
        <f>HLOOKUP(O767,データについて!$J$9:$M$18,10,FALSE)</f>
        <v>1</v>
      </c>
      <c r="W767" s="81">
        <f>HLOOKUP(P767,データについて!$J$10:$M$18,9,FALSE)</f>
        <v>1</v>
      </c>
      <c r="X767" s="81">
        <f>HLOOKUP(Q767,データについて!$J$11:$M$18,8,FALSE)</f>
        <v>2</v>
      </c>
      <c r="Y767" s="81">
        <f>HLOOKUP(R767,データについて!$J$12:$M$18,7,FALSE)</f>
        <v>4</v>
      </c>
      <c r="Z767" s="81">
        <f>HLOOKUP(I767,データについて!$J$3:$M$18,16,FALSE)</f>
        <v>1</v>
      </c>
      <c r="AA767" s="81">
        <f>IFERROR(HLOOKUP(J767,データについて!$J$4:$AH$19,16,FALSE),"")</f>
        <v>16</v>
      </c>
      <c r="AB767" s="81" t="str">
        <f>IFERROR(HLOOKUP(K767,データについて!$J$5:$AH$20,14,FALSE),"")</f>
        <v/>
      </c>
      <c r="AC767" s="81" t="str">
        <f>IF(X767=1,HLOOKUP(R767,データについて!$J$12:$M$18,7,FALSE),"*")</f>
        <v>*</v>
      </c>
      <c r="AD767" s="81">
        <f>IF(X767=2,HLOOKUP(R767,データについて!$J$12:$M$18,7,FALSE),"*")</f>
        <v>4</v>
      </c>
    </row>
    <row r="768" spans="1:30">
      <c r="A768" s="30">
        <v>4424</v>
      </c>
      <c r="B768" s="30" t="s">
        <v>3050</v>
      </c>
      <c r="C768" s="30" t="s">
        <v>3051</v>
      </c>
      <c r="D768" s="30" t="s">
        <v>106</v>
      </c>
      <c r="E768" s="30"/>
      <c r="F768" s="30" t="s">
        <v>107</v>
      </c>
      <c r="G768" s="30" t="s">
        <v>106</v>
      </c>
      <c r="H768" s="30"/>
      <c r="I768" s="30" t="s">
        <v>192</v>
      </c>
      <c r="J768" s="30" t="s">
        <v>2934</v>
      </c>
      <c r="K768" s="30"/>
      <c r="L768" s="30" t="s">
        <v>117</v>
      </c>
      <c r="M768" s="30" t="s">
        <v>113</v>
      </c>
      <c r="N768" s="30" t="s">
        <v>114</v>
      </c>
      <c r="O768" s="30" t="s">
        <v>115</v>
      </c>
      <c r="P768" s="30" t="s">
        <v>112</v>
      </c>
      <c r="Q768" s="30" t="s">
        <v>112</v>
      </c>
      <c r="R768" s="30" t="s">
        <v>185</v>
      </c>
      <c r="S768" s="81">
        <f>HLOOKUP(L768,データについて!$J$6:$M$18,13,FALSE)</f>
        <v>2</v>
      </c>
      <c r="T768" s="81">
        <f>HLOOKUP(M768,データについて!$J$7:$M$18,12,FALSE)</f>
        <v>1</v>
      </c>
      <c r="U768" s="81">
        <f>HLOOKUP(N768,データについて!$J$8:$M$18,11,FALSE)</f>
        <v>1</v>
      </c>
      <c r="V768" s="81">
        <f>HLOOKUP(O768,データについて!$J$9:$M$18,10,FALSE)</f>
        <v>1</v>
      </c>
      <c r="W768" s="81">
        <f>HLOOKUP(P768,データについて!$J$10:$M$18,9,FALSE)</f>
        <v>1</v>
      </c>
      <c r="X768" s="81">
        <f>HLOOKUP(Q768,データについて!$J$11:$M$18,8,FALSE)</f>
        <v>1</v>
      </c>
      <c r="Y768" s="81">
        <f>HLOOKUP(R768,データについて!$J$12:$M$18,7,FALSE)</f>
        <v>2</v>
      </c>
      <c r="Z768" s="81">
        <f>HLOOKUP(I768,データについて!$J$3:$M$18,16,FALSE)</f>
        <v>1</v>
      </c>
      <c r="AA768" s="81">
        <f>IFERROR(HLOOKUP(J768,データについて!$J$4:$AH$19,16,FALSE),"")</f>
        <v>16</v>
      </c>
      <c r="AB768" s="81" t="str">
        <f>IFERROR(HLOOKUP(K768,データについて!$J$5:$AH$20,14,FALSE),"")</f>
        <v/>
      </c>
      <c r="AC768" s="81">
        <f>IF(X768=1,HLOOKUP(R768,データについて!$J$12:$M$18,7,FALSE),"*")</f>
        <v>2</v>
      </c>
      <c r="AD768" s="81" t="str">
        <f>IF(X768=2,HLOOKUP(R768,データについて!$J$12:$M$18,7,FALSE),"*")</f>
        <v>*</v>
      </c>
    </row>
    <row r="769" spans="1:30">
      <c r="A769" s="30">
        <v>4423</v>
      </c>
      <c r="B769" s="30" t="s">
        <v>3052</v>
      </c>
      <c r="C769" s="30" t="s">
        <v>3053</v>
      </c>
      <c r="D769" s="30" t="s">
        <v>106</v>
      </c>
      <c r="E769" s="30"/>
      <c r="F769" s="30" t="s">
        <v>107</v>
      </c>
      <c r="G769" s="30" t="s">
        <v>106</v>
      </c>
      <c r="H769" s="30"/>
      <c r="I769" s="30" t="s">
        <v>192</v>
      </c>
      <c r="J769" s="30" t="s">
        <v>2934</v>
      </c>
      <c r="K769" s="30"/>
      <c r="L769" s="30" t="s">
        <v>117</v>
      </c>
      <c r="M769" s="30" t="s">
        <v>113</v>
      </c>
      <c r="N769" s="30" t="s">
        <v>114</v>
      </c>
      <c r="O769" s="30" t="s">
        <v>115</v>
      </c>
      <c r="P769" s="30" t="s">
        <v>112</v>
      </c>
      <c r="Q769" s="30" t="s">
        <v>112</v>
      </c>
      <c r="R769" s="30" t="s">
        <v>183</v>
      </c>
      <c r="S769" s="81">
        <f>HLOOKUP(L769,データについて!$J$6:$M$18,13,FALSE)</f>
        <v>2</v>
      </c>
      <c r="T769" s="81">
        <f>HLOOKUP(M769,データについて!$J$7:$M$18,12,FALSE)</f>
        <v>1</v>
      </c>
      <c r="U769" s="81">
        <f>HLOOKUP(N769,データについて!$J$8:$M$18,11,FALSE)</f>
        <v>1</v>
      </c>
      <c r="V769" s="81">
        <f>HLOOKUP(O769,データについて!$J$9:$M$18,10,FALSE)</f>
        <v>1</v>
      </c>
      <c r="W769" s="81">
        <f>HLOOKUP(P769,データについて!$J$10:$M$18,9,FALSE)</f>
        <v>1</v>
      </c>
      <c r="X769" s="81">
        <f>HLOOKUP(Q769,データについて!$J$11:$M$18,8,FALSE)</f>
        <v>1</v>
      </c>
      <c r="Y769" s="81">
        <f>HLOOKUP(R769,データについて!$J$12:$M$18,7,FALSE)</f>
        <v>1</v>
      </c>
      <c r="Z769" s="81">
        <f>HLOOKUP(I769,データについて!$J$3:$M$18,16,FALSE)</f>
        <v>1</v>
      </c>
      <c r="AA769" s="81">
        <f>IFERROR(HLOOKUP(J769,データについて!$J$4:$AH$19,16,FALSE),"")</f>
        <v>16</v>
      </c>
      <c r="AB769" s="81" t="str">
        <f>IFERROR(HLOOKUP(K769,データについて!$J$5:$AH$20,14,FALSE),"")</f>
        <v/>
      </c>
      <c r="AC769" s="81">
        <f>IF(X769=1,HLOOKUP(R769,データについて!$J$12:$M$18,7,FALSE),"*")</f>
        <v>1</v>
      </c>
      <c r="AD769" s="81" t="str">
        <f>IF(X769=2,HLOOKUP(R769,データについて!$J$12:$M$18,7,FALSE),"*")</f>
        <v>*</v>
      </c>
    </row>
    <row r="770" spans="1:30">
      <c r="A770" s="30">
        <v>4422</v>
      </c>
      <c r="B770" s="30" t="s">
        <v>3054</v>
      </c>
      <c r="C770" s="30" t="s">
        <v>3055</v>
      </c>
      <c r="D770" s="30" t="s">
        <v>106</v>
      </c>
      <c r="E770" s="30"/>
      <c r="F770" s="30" t="s">
        <v>107</v>
      </c>
      <c r="G770" s="30" t="s">
        <v>106</v>
      </c>
      <c r="H770" s="30"/>
      <c r="I770" s="30" t="s">
        <v>192</v>
      </c>
      <c r="J770" s="30" t="s">
        <v>2934</v>
      </c>
      <c r="K770" s="30"/>
      <c r="L770" s="30" t="s">
        <v>117</v>
      </c>
      <c r="M770" s="30" t="s">
        <v>113</v>
      </c>
      <c r="N770" s="30" t="s">
        <v>114</v>
      </c>
      <c r="O770" s="30" t="s">
        <v>115</v>
      </c>
      <c r="P770" s="30" t="s">
        <v>112</v>
      </c>
      <c r="Q770" s="30" t="s">
        <v>112</v>
      </c>
      <c r="R770" s="30" t="s">
        <v>183</v>
      </c>
      <c r="S770" s="81">
        <f>HLOOKUP(L770,データについて!$J$6:$M$18,13,FALSE)</f>
        <v>2</v>
      </c>
      <c r="T770" s="81">
        <f>HLOOKUP(M770,データについて!$J$7:$M$18,12,FALSE)</f>
        <v>1</v>
      </c>
      <c r="U770" s="81">
        <f>HLOOKUP(N770,データについて!$J$8:$M$18,11,FALSE)</f>
        <v>1</v>
      </c>
      <c r="V770" s="81">
        <f>HLOOKUP(O770,データについて!$J$9:$M$18,10,FALSE)</f>
        <v>1</v>
      </c>
      <c r="W770" s="81">
        <f>HLOOKUP(P770,データについて!$J$10:$M$18,9,FALSE)</f>
        <v>1</v>
      </c>
      <c r="X770" s="81">
        <f>HLOOKUP(Q770,データについて!$J$11:$M$18,8,FALSE)</f>
        <v>1</v>
      </c>
      <c r="Y770" s="81">
        <f>HLOOKUP(R770,データについて!$J$12:$M$18,7,FALSE)</f>
        <v>1</v>
      </c>
      <c r="Z770" s="81">
        <f>HLOOKUP(I770,データについて!$J$3:$M$18,16,FALSE)</f>
        <v>1</v>
      </c>
      <c r="AA770" s="81">
        <f>IFERROR(HLOOKUP(J770,データについて!$J$4:$AH$19,16,FALSE),"")</f>
        <v>16</v>
      </c>
      <c r="AB770" s="81" t="str">
        <f>IFERROR(HLOOKUP(K770,データについて!$J$5:$AH$20,14,FALSE),"")</f>
        <v/>
      </c>
      <c r="AC770" s="81">
        <f>IF(X770=1,HLOOKUP(R770,データについて!$J$12:$M$18,7,FALSE),"*")</f>
        <v>1</v>
      </c>
      <c r="AD770" s="81" t="str">
        <f>IF(X770=2,HLOOKUP(R770,データについて!$J$12:$M$18,7,FALSE),"*")</f>
        <v>*</v>
      </c>
    </row>
    <row r="771" spans="1:30">
      <c r="A771" s="30">
        <v>4421</v>
      </c>
      <c r="B771" s="30" t="s">
        <v>3056</v>
      </c>
      <c r="C771" s="30" t="s">
        <v>3057</v>
      </c>
      <c r="D771" s="30" t="s">
        <v>106</v>
      </c>
      <c r="E771" s="30"/>
      <c r="F771" s="30" t="s">
        <v>107</v>
      </c>
      <c r="G771" s="30" t="s">
        <v>106</v>
      </c>
      <c r="H771" s="30"/>
      <c r="I771" s="30" t="s">
        <v>192</v>
      </c>
      <c r="J771" s="30" t="s">
        <v>2934</v>
      </c>
      <c r="K771" s="30"/>
      <c r="L771" s="30" t="s">
        <v>108</v>
      </c>
      <c r="M771" s="30" t="s">
        <v>113</v>
      </c>
      <c r="N771" s="30" t="s">
        <v>114</v>
      </c>
      <c r="O771" s="30" t="s">
        <v>115</v>
      </c>
      <c r="P771" s="30" t="s">
        <v>112</v>
      </c>
      <c r="Q771" s="30" t="s">
        <v>112</v>
      </c>
      <c r="R771" s="30" t="s">
        <v>183</v>
      </c>
      <c r="S771" s="81">
        <f>HLOOKUP(L771,データについて!$J$6:$M$18,13,FALSE)</f>
        <v>1</v>
      </c>
      <c r="T771" s="81">
        <f>HLOOKUP(M771,データについて!$J$7:$M$18,12,FALSE)</f>
        <v>1</v>
      </c>
      <c r="U771" s="81">
        <f>HLOOKUP(N771,データについて!$J$8:$M$18,11,FALSE)</f>
        <v>1</v>
      </c>
      <c r="V771" s="81">
        <f>HLOOKUP(O771,データについて!$J$9:$M$18,10,FALSE)</f>
        <v>1</v>
      </c>
      <c r="W771" s="81">
        <f>HLOOKUP(P771,データについて!$J$10:$M$18,9,FALSE)</f>
        <v>1</v>
      </c>
      <c r="X771" s="81">
        <f>HLOOKUP(Q771,データについて!$J$11:$M$18,8,FALSE)</f>
        <v>1</v>
      </c>
      <c r="Y771" s="81">
        <f>HLOOKUP(R771,データについて!$J$12:$M$18,7,FALSE)</f>
        <v>1</v>
      </c>
      <c r="Z771" s="81">
        <f>HLOOKUP(I771,データについて!$J$3:$M$18,16,FALSE)</f>
        <v>1</v>
      </c>
      <c r="AA771" s="81">
        <f>IFERROR(HLOOKUP(J771,データについて!$J$4:$AH$19,16,FALSE),"")</f>
        <v>16</v>
      </c>
      <c r="AB771" s="81" t="str">
        <f>IFERROR(HLOOKUP(K771,データについて!$J$5:$AH$20,14,FALSE),"")</f>
        <v/>
      </c>
      <c r="AC771" s="81">
        <f>IF(X771=1,HLOOKUP(R771,データについて!$J$12:$M$18,7,FALSE),"*")</f>
        <v>1</v>
      </c>
      <c r="AD771" s="81" t="str">
        <f>IF(X771=2,HLOOKUP(R771,データについて!$J$12:$M$18,7,FALSE),"*")</f>
        <v>*</v>
      </c>
    </row>
    <row r="772" spans="1:30">
      <c r="A772" s="30">
        <v>4420</v>
      </c>
      <c r="B772" s="30" t="s">
        <v>3058</v>
      </c>
      <c r="C772" s="30" t="s">
        <v>3059</v>
      </c>
      <c r="D772" s="30" t="s">
        <v>106</v>
      </c>
      <c r="E772" s="30"/>
      <c r="F772" s="30" t="s">
        <v>107</v>
      </c>
      <c r="G772" s="30" t="s">
        <v>106</v>
      </c>
      <c r="H772" s="30"/>
      <c r="I772" s="30" t="s">
        <v>192</v>
      </c>
      <c r="J772" s="30" t="s">
        <v>2934</v>
      </c>
      <c r="K772" s="30"/>
      <c r="L772" s="30" t="s">
        <v>108</v>
      </c>
      <c r="M772" s="30" t="s">
        <v>113</v>
      </c>
      <c r="N772" s="30" t="s">
        <v>114</v>
      </c>
      <c r="O772" s="30" t="s">
        <v>115</v>
      </c>
      <c r="P772" s="30" t="s">
        <v>112</v>
      </c>
      <c r="Q772" s="30" t="s">
        <v>112</v>
      </c>
      <c r="R772" s="30" t="s">
        <v>183</v>
      </c>
      <c r="S772" s="81">
        <f>HLOOKUP(L772,データについて!$J$6:$M$18,13,FALSE)</f>
        <v>1</v>
      </c>
      <c r="T772" s="81">
        <f>HLOOKUP(M772,データについて!$J$7:$M$18,12,FALSE)</f>
        <v>1</v>
      </c>
      <c r="U772" s="81">
        <f>HLOOKUP(N772,データについて!$J$8:$M$18,11,FALSE)</f>
        <v>1</v>
      </c>
      <c r="V772" s="81">
        <f>HLOOKUP(O772,データについて!$J$9:$M$18,10,FALSE)</f>
        <v>1</v>
      </c>
      <c r="W772" s="81">
        <f>HLOOKUP(P772,データについて!$J$10:$M$18,9,FALSE)</f>
        <v>1</v>
      </c>
      <c r="X772" s="81">
        <f>HLOOKUP(Q772,データについて!$J$11:$M$18,8,FALSE)</f>
        <v>1</v>
      </c>
      <c r="Y772" s="81">
        <f>HLOOKUP(R772,データについて!$J$12:$M$18,7,FALSE)</f>
        <v>1</v>
      </c>
      <c r="Z772" s="81">
        <f>HLOOKUP(I772,データについて!$J$3:$M$18,16,FALSE)</f>
        <v>1</v>
      </c>
      <c r="AA772" s="81">
        <f>IFERROR(HLOOKUP(J772,データについて!$J$4:$AH$19,16,FALSE),"")</f>
        <v>16</v>
      </c>
      <c r="AB772" s="81" t="str">
        <f>IFERROR(HLOOKUP(K772,データについて!$J$5:$AH$20,14,FALSE),"")</f>
        <v/>
      </c>
      <c r="AC772" s="81">
        <f>IF(X772=1,HLOOKUP(R772,データについて!$J$12:$M$18,7,FALSE),"*")</f>
        <v>1</v>
      </c>
      <c r="AD772" s="81" t="str">
        <f>IF(X772=2,HLOOKUP(R772,データについて!$J$12:$M$18,7,FALSE),"*")</f>
        <v>*</v>
      </c>
    </row>
    <row r="773" spans="1:30">
      <c r="A773" s="30">
        <v>4419</v>
      </c>
      <c r="B773" s="30" t="s">
        <v>3060</v>
      </c>
      <c r="C773" s="30" t="s">
        <v>3059</v>
      </c>
      <c r="D773" s="30" t="s">
        <v>106</v>
      </c>
      <c r="E773" s="30"/>
      <c r="F773" s="30" t="s">
        <v>107</v>
      </c>
      <c r="G773" s="30" t="s">
        <v>106</v>
      </c>
      <c r="H773" s="30"/>
      <c r="I773" s="30" t="s">
        <v>192</v>
      </c>
      <c r="J773" s="30" t="s">
        <v>2934</v>
      </c>
      <c r="K773" s="30"/>
      <c r="L773" s="30" t="s">
        <v>108</v>
      </c>
      <c r="M773" s="30" t="s">
        <v>113</v>
      </c>
      <c r="N773" s="30" t="s">
        <v>114</v>
      </c>
      <c r="O773" s="30" t="s">
        <v>115</v>
      </c>
      <c r="P773" s="30" t="s">
        <v>112</v>
      </c>
      <c r="Q773" s="30" t="s">
        <v>112</v>
      </c>
      <c r="R773" s="30" t="s">
        <v>183</v>
      </c>
      <c r="S773" s="81">
        <f>HLOOKUP(L773,データについて!$J$6:$M$18,13,FALSE)</f>
        <v>1</v>
      </c>
      <c r="T773" s="81">
        <f>HLOOKUP(M773,データについて!$J$7:$M$18,12,FALSE)</f>
        <v>1</v>
      </c>
      <c r="U773" s="81">
        <f>HLOOKUP(N773,データについて!$J$8:$M$18,11,FALSE)</f>
        <v>1</v>
      </c>
      <c r="V773" s="81">
        <f>HLOOKUP(O773,データについて!$J$9:$M$18,10,FALSE)</f>
        <v>1</v>
      </c>
      <c r="W773" s="81">
        <f>HLOOKUP(P773,データについて!$J$10:$M$18,9,FALSE)</f>
        <v>1</v>
      </c>
      <c r="X773" s="81">
        <f>HLOOKUP(Q773,データについて!$J$11:$M$18,8,FALSE)</f>
        <v>1</v>
      </c>
      <c r="Y773" s="81">
        <f>HLOOKUP(R773,データについて!$J$12:$M$18,7,FALSE)</f>
        <v>1</v>
      </c>
      <c r="Z773" s="81">
        <f>HLOOKUP(I773,データについて!$J$3:$M$18,16,FALSE)</f>
        <v>1</v>
      </c>
      <c r="AA773" s="81">
        <f>IFERROR(HLOOKUP(J773,データについて!$J$4:$AH$19,16,FALSE),"")</f>
        <v>16</v>
      </c>
      <c r="AB773" s="81" t="str">
        <f>IFERROR(HLOOKUP(K773,データについて!$J$5:$AH$20,14,FALSE),"")</f>
        <v/>
      </c>
      <c r="AC773" s="81">
        <f>IF(X773=1,HLOOKUP(R773,データについて!$J$12:$M$18,7,FALSE),"*")</f>
        <v>1</v>
      </c>
      <c r="AD773" s="81" t="str">
        <f>IF(X773=2,HLOOKUP(R773,データについて!$J$12:$M$18,7,FALSE),"*")</f>
        <v>*</v>
      </c>
    </row>
    <row r="774" spans="1:30">
      <c r="A774" s="30">
        <v>4418</v>
      </c>
      <c r="B774" s="30" t="s">
        <v>3061</v>
      </c>
      <c r="C774" s="30" t="s">
        <v>3062</v>
      </c>
      <c r="D774" s="30" t="s">
        <v>106</v>
      </c>
      <c r="E774" s="30"/>
      <c r="F774" s="30" t="s">
        <v>107</v>
      </c>
      <c r="G774" s="30" t="s">
        <v>106</v>
      </c>
      <c r="H774" s="30"/>
      <c r="I774" s="30" t="s">
        <v>192</v>
      </c>
      <c r="J774" s="30" t="s">
        <v>2934</v>
      </c>
      <c r="K774" s="30"/>
      <c r="L774" s="30" t="s">
        <v>108</v>
      </c>
      <c r="M774" s="30" t="s">
        <v>109</v>
      </c>
      <c r="N774" s="30" t="s">
        <v>110</v>
      </c>
      <c r="O774" s="30" t="s">
        <v>115</v>
      </c>
      <c r="P774" s="30" t="s">
        <v>112</v>
      </c>
      <c r="Q774" s="30" t="s">
        <v>118</v>
      </c>
      <c r="R774" s="30" t="s">
        <v>187</v>
      </c>
      <c r="S774" s="81">
        <f>HLOOKUP(L774,データについて!$J$6:$M$18,13,FALSE)</f>
        <v>1</v>
      </c>
      <c r="T774" s="81">
        <f>HLOOKUP(M774,データについて!$J$7:$M$18,12,FALSE)</f>
        <v>2</v>
      </c>
      <c r="U774" s="81">
        <f>HLOOKUP(N774,データについて!$J$8:$M$18,11,FALSE)</f>
        <v>2</v>
      </c>
      <c r="V774" s="81">
        <f>HLOOKUP(O774,データについて!$J$9:$M$18,10,FALSE)</f>
        <v>1</v>
      </c>
      <c r="W774" s="81">
        <f>HLOOKUP(P774,データについて!$J$10:$M$18,9,FALSE)</f>
        <v>1</v>
      </c>
      <c r="X774" s="81">
        <f>HLOOKUP(Q774,データについて!$J$11:$M$18,8,FALSE)</f>
        <v>2</v>
      </c>
      <c r="Y774" s="81">
        <f>HLOOKUP(R774,データについて!$J$12:$M$18,7,FALSE)</f>
        <v>3</v>
      </c>
      <c r="Z774" s="81">
        <f>HLOOKUP(I774,データについて!$J$3:$M$18,16,FALSE)</f>
        <v>1</v>
      </c>
      <c r="AA774" s="81">
        <f>IFERROR(HLOOKUP(J774,データについて!$J$4:$AH$19,16,FALSE),"")</f>
        <v>16</v>
      </c>
      <c r="AB774" s="81" t="str">
        <f>IFERROR(HLOOKUP(K774,データについて!$J$5:$AH$20,14,FALSE),"")</f>
        <v/>
      </c>
      <c r="AC774" s="81" t="str">
        <f>IF(X774=1,HLOOKUP(R774,データについて!$J$12:$M$18,7,FALSE),"*")</f>
        <v>*</v>
      </c>
      <c r="AD774" s="81">
        <f>IF(X774=2,HLOOKUP(R774,データについて!$J$12:$M$18,7,FALSE),"*")</f>
        <v>3</v>
      </c>
    </row>
    <row r="775" spans="1:30">
      <c r="A775" s="30">
        <v>4417</v>
      </c>
      <c r="B775" s="30" t="s">
        <v>3063</v>
      </c>
      <c r="C775" s="30" t="s">
        <v>3064</v>
      </c>
      <c r="D775" s="30" t="s">
        <v>106</v>
      </c>
      <c r="E775" s="30"/>
      <c r="F775" s="30" t="s">
        <v>107</v>
      </c>
      <c r="G775" s="30" t="s">
        <v>106</v>
      </c>
      <c r="H775" s="30"/>
      <c r="I775" s="30" t="s">
        <v>192</v>
      </c>
      <c r="J775" s="30" t="s">
        <v>2934</v>
      </c>
      <c r="K775" s="30"/>
      <c r="L775" s="30" t="s">
        <v>108</v>
      </c>
      <c r="M775" s="30" t="s">
        <v>113</v>
      </c>
      <c r="N775" s="30" t="s">
        <v>114</v>
      </c>
      <c r="O775" s="30" t="s">
        <v>115</v>
      </c>
      <c r="P775" s="30" t="s">
        <v>112</v>
      </c>
      <c r="Q775" s="30" t="s">
        <v>112</v>
      </c>
      <c r="R775" s="30" t="s">
        <v>185</v>
      </c>
      <c r="S775" s="81">
        <f>HLOOKUP(L775,データについて!$J$6:$M$18,13,FALSE)</f>
        <v>1</v>
      </c>
      <c r="T775" s="81">
        <f>HLOOKUP(M775,データについて!$J$7:$M$18,12,FALSE)</f>
        <v>1</v>
      </c>
      <c r="U775" s="81">
        <f>HLOOKUP(N775,データについて!$J$8:$M$18,11,FALSE)</f>
        <v>1</v>
      </c>
      <c r="V775" s="81">
        <f>HLOOKUP(O775,データについて!$J$9:$M$18,10,FALSE)</f>
        <v>1</v>
      </c>
      <c r="W775" s="81">
        <f>HLOOKUP(P775,データについて!$J$10:$M$18,9,FALSE)</f>
        <v>1</v>
      </c>
      <c r="X775" s="81">
        <f>HLOOKUP(Q775,データについて!$J$11:$M$18,8,FALSE)</f>
        <v>1</v>
      </c>
      <c r="Y775" s="81">
        <f>HLOOKUP(R775,データについて!$J$12:$M$18,7,FALSE)</f>
        <v>2</v>
      </c>
      <c r="Z775" s="81">
        <f>HLOOKUP(I775,データについて!$J$3:$M$18,16,FALSE)</f>
        <v>1</v>
      </c>
      <c r="AA775" s="81">
        <f>IFERROR(HLOOKUP(J775,データについて!$J$4:$AH$19,16,FALSE),"")</f>
        <v>16</v>
      </c>
      <c r="AB775" s="81" t="str">
        <f>IFERROR(HLOOKUP(K775,データについて!$J$5:$AH$20,14,FALSE),"")</f>
        <v/>
      </c>
      <c r="AC775" s="81">
        <f>IF(X775=1,HLOOKUP(R775,データについて!$J$12:$M$18,7,FALSE),"*")</f>
        <v>2</v>
      </c>
      <c r="AD775" s="81" t="str">
        <f>IF(X775=2,HLOOKUP(R775,データについて!$J$12:$M$18,7,FALSE),"*")</f>
        <v>*</v>
      </c>
    </row>
    <row r="776" spans="1:30">
      <c r="A776" s="30">
        <v>4416</v>
      </c>
      <c r="B776" s="30" t="s">
        <v>3065</v>
      </c>
      <c r="C776" s="30" t="s">
        <v>3066</v>
      </c>
      <c r="D776" s="30" t="s">
        <v>106</v>
      </c>
      <c r="E776" s="30"/>
      <c r="F776" s="30" t="s">
        <v>107</v>
      </c>
      <c r="G776" s="30" t="s">
        <v>106</v>
      </c>
      <c r="H776" s="30"/>
      <c r="I776" s="30" t="s">
        <v>192</v>
      </c>
      <c r="J776" s="30" t="s">
        <v>2934</v>
      </c>
      <c r="K776" s="30"/>
      <c r="L776" s="30" t="s">
        <v>108</v>
      </c>
      <c r="M776" s="30" t="s">
        <v>109</v>
      </c>
      <c r="N776" s="30" t="s">
        <v>110</v>
      </c>
      <c r="O776" s="30" t="s">
        <v>115</v>
      </c>
      <c r="P776" s="30" t="s">
        <v>112</v>
      </c>
      <c r="Q776" s="30" t="s">
        <v>118</v>
      </c>
      <c r="R776" s="30" t="s">
        <v>187</v>
      </c>
      <c r="S776" s="81">
        <f>HLOOKUP(L776,データについて!$J$6:$M$18,13,FALSE)</f>
        <v>1</v>
      </c>
      <c r="T776" s="81">
        <f>HLOOKUP(M776,データについて!$J$7:$M$18,12,FALSE)</f>
        <v>2</v>
      </c>
      <c r="U776" s="81">
        <f>HLOOKUP(N776,データについて!$J$8:$M$18,11,FALSE)</f>
        <v>2</v>
      </c>
      <c r="V776" s="81">
        <f>HLOOKUP(O776,データについて!$J$9:$M$18,10,FALSE)</f>
        <v>1</v>
      </c>
      <c r="W776" s="81">
        <f>HLOOKUP(P776,データについて!$J$10:$M$18,9,FALSE)</f>
        <v>1</v>
      </c>
      <c r="X776" s="81">
        <f>HLOOKUP(Q776,データについて!$J$11:$M$18,8,FALSE)</f>
        <v>2</v>
      </c>
      <c r="Y776" s="81">
        <f>HLOOKUP(R776,データについて!$J$12:$M$18,7,FALSE)</f>
        <v>3</v>
      </c>
      <c r="Z776" s="81">
        <f>HLOOKUP(I776,データについて!$J$3:$M$18,16,FALSE)</f>
        <v>1</v>
      </c>
      <c r="AA776" s="81">
        <f>IFERROR(HLOOKUP(J776,データについて!$J$4:$AH$19,16,FALSE),"")</f>
        <v>16</v>
      </c>
      <c r="AB776" s="81" t="str">
        <f>IFERROR(HLOOKUP(K776,データについて!$J$5:$AH$20,14,FALSE),"")</f>
        <v/>
      </c>
      <c r="AC776" s="81" t="str">
        <f>IF(X776=1,HLOOKUP(R776,データについて!$J$12:$M$18,7,FALSE),"*")</f>
        <v>*</v>
      </c>
      <c r="AD776" s="81">
        <f>IF(X776=2,HLOOKUP(R776,データについて!$J$12:$M$18,7,FALSE),"*")</f>
        <v>3</v>
      </c>
    </row>
    <row r="777" spans="1:30">
      <c r="A777" s="30">
        <v>4415</v>
      </c>
      <c r="B777" s="30" t="s">
        <v>3067</v>
      </c>
      <c r="C777" s="30" t="s">
        <v>3068</v>
      </c>
      <c r="D777" s="30" t="s">
        <v>106</v>
      </c>
      <c r="E777" s="30"/>
      <c r="F777" s="30" t="s">
        <v>107</v>
      </c>
      <c r="G777" s="30" t="s">
        <v>106</v>
      </c>
      <c r="H777" s="30"/>
      <c r="I777" s="30" t="s">
        <v>192</v>
      </c>
      <c r="J777" s="30" t="s">
        <v>2934</v>
      </c>
      <c r="K777" s="30"/>
      <c r="L777" s="30" t="s">
        <v>108</v>
      </c>
      <c r="M777" s="30" t="s">
        <v>113</v>
      </c>
      <c r="N777" s="30" t="s">
        <v>114</v>
      </c>
      <c r="O777" s="30" t="s">
        <v>115</v>
      </c>
      <c r="P777" s="30" t="s">
        <v>112</v>
      </c>
      <c r="Q777" s="30" t="s">
        <v>112</v>
      </c>
      <c r="R777" s="30" t="s">
        <v>187</v>
      </c>
      <c r="S777" s="81">
        <f>HLOOKUP(L777,データについて!$J$6:$M$18,13,FALSE)</f>
        <v>1</v>
      </c>
      <c r="T777" s="81">
        <f>HLOOKUP(M777,データについて!$J$7:$M$18,12,FALSE)</f>
        <v>1</v>
      </c>
      <c r="U777" s="81">
        <f>HLOOKUP(N777,データについて!$J$8:$M$18,11,FALSE)</f>
        <v>1</v>
      </c>
      <c r="V777" s="81">
        <f>HLOOKUP(O777,データについて!$J$9:$M$18,10,FALSE)</f>
        <v>1</v>
      </c>
      <c r="W777" s="81">
        <f>HLOOKUP(P777,データについて!$J$10:$M$18,9,FALSE)</f>
        <v>1</v>
      </c>
      <c r="X777" s="81">
        <f>HLOOKUP(Q777,データについて!$J$11:$M$18,8,FALSE)</f>
        <v>1</v>
      </c>
      <c r="Y777" s="81">
        <f>HLOOKUP(R777,データについて!$J$12:$M$18,7,FALSE)</f>
        <v>3</v>
      </c>
      <c r="Z777" s="81">
        <f>HLOOKUP(I777,データについて!$J$3:$M$18,16,FALSE)</f>
        <v>1</v>
      </c>
      <c r="AA777" s="81">
        <f>IFERROR(HLOOKUP(J777,データについて!$J$4:$AH$19,16,FALSE),"")</f>
        <v>16</v>
      </c>
      <c r="AB777" s="81" t="str">
        <f>IFERROR(HLOOKUP(K777,データについて!$J$5:$AH$20,14,FALSE),"")</f>
        <v/>
      </c>
      <c r="AC777" s="81">
        <f>IF(X777=1,HLOOKUP(R777,データについて!$J$12:$M$18,7,FALSE),"*")</f>
        <v>3</v>
      </c>
      <c r="AD777" s="81" t="str">
        <f>IF(X777=2,HLOOKUP(R777,データについて!$J$12:$M$18,7,FALSE),"*")</f>
        <v>*</v>
      </c>
    </row>
    <row r="778" spans="1:30">
      <c r="A778" s="30">
        <v>4414</v>
      </c>
      <c r="B778" s="30" t="s">
        <v>3069</v>
      </c>
      <c r="C778" s="30" t="s">
        <v>3070</v>
      </c>
      <c r="D778" s="30" t="s">
        <v>106</v>
      </c>
      <c r="E778" s="30"/>
      <c r="F778" s="30" t="s">
        <v>107</v>
      </c>
      <c r="G778" s="30" t="s">
        <v>106</v>
      </c>
      <c r="H778" s="30"/>
      <c r="I778" s="30" t="s">
        <v>192</v>
      </c>
      <c r="J778" s="30" t="s">
        <v>2934</v>
      </c>
      <c r="K778" s="30"/>
      <c r="L778" s="30" t="s">
        <v>117</v>
      </c>
      <c r="M778" s="30" t="s">
        <v>113</v>
      </c>
      <c r="N778" s="30" t="s">
        <v>114</v>
      </c>
      <c r="O778" s="30" t="s">
        <v>115</v>
      </c>
      <c r="P778" s="30" t="s">
        <v>112</v>
      </c>
      <c r="Q778" s="30" t="s">
        <v>112</v>
      </c>
      <c r="R778" s="30" t="s">
        <v>185</v>
      </c>
      <c r="S778" s="81">
        <f>HLOOKUP(L778,データについて!$J$6:$M$18,13,FALSE)</f>
        <v>2</v>
      </c>
      <c r="T778" s="81">
        <f>HLOOKUP(M778,データについて!$J$7:$M$18,12,FALSE)</f>
        <v>1</v>
      </c>
      <c r="U778" s="81">
        <f>HLOOKUP(N778,データについて!$J$8:$M$18,11,FALSE)</f>
        <v>1</v>
      </c>
      <c r="V778" s="81">
        <f>HLOOKUP(O778,データについて!$J$9:$M$18,10,FALSE)</f>
        <v>1</v>
      </c>
      <c r="W778" s="81">
        <f>HLOOKUP(P778,データについて!$J$10:$M$18,9,FALSE)</f>
        <v>1</v>
      </c>
      <c r="X778" s="81">
        <f>HLOOKUP(Q778,データについて!$J$11:$M$18,8,FALSE)</f>
        <v>1</v>
      </c>
      <c r="Y778" s="81">
        <f>HLOOKUP(R778,データについて!$J$12:$M$18,7,FALSE)</f>
        <v>2</v>
      </c>
      <c r="Z778" s="81">
        <f>HLOOKUP(I778,データについて!$J$3:$M$18,16,FALSE)</f>
        <v>1</v>
      </c>
      <c r="AA778" s="81">
        <f>IFERROR(HLOOKUP(J778,データについて!$J$4:$AH$19,16,FALSE),"")</f>
        <v>16</v>
      </c>
      <c r="AB778" s="81" t="str">
        <f>IFERROR(HLOOKUP(K778,データについて!$J$5:$AH$20,14,FALSE),"")</f>
        <v/>
      </c>
      <c r="AC778" s="81">
        <f>IF(X778=1,HLOOKUP(R778,データについて!$J$12:$M$18,7,FALSE),"*")</f>
        <v>2</v>
      </c>
      <c r="AD778" s="81" t="str">
        <f>IF(X778=2,HLOOKUP(R778,データについて!$J$12:$M$18,7,FALSE),"*")</f>
        <v>*</v>
      </c>
    </row>
    <row r="779" spans="1:30">
      <c r="A779" s="30">
        <v>4413</v>
      </c>
      <c r="B779" s="30" t="s">
        <v>3071</v>
      </c>
      <c r="C779" s="30" t="s">
        <v>3072</v>
      </c>
      <c r="D779" s="30" t="s">
        <v>106</v>
      </c>
      <c r="E779" s="30"/>
      <c r="F779" s="30" t="s">
        <v>107</v>
      </c>
      <c r="G779" s="30" t="s">
        <v>106</v>
      </c>
      <c r="H779" s="30"/>
      <c r="I779" s="30" t="s">
        <v>192</v>
      </c>
      <c r="J779" s="30" t="s">
        <v>2934</v>
      </c>
      <c r="K779" s="30"/>
      <c r="L779" s="30" t="s">
        <v>117</v>
      </c>
      <c r="M779" s="30" t="s">
        <v>113</v>
      </c>
      <c r="N779" s="30" t="s">
        <v>114</v>
      </c>
      <c r="O779" s="30" t="s">
        <v>115</v>
      </c>
      <c r="P779" s="30" t="s">
        <v>112</v>
      </c>
      <c r="Q779" s="30" t="s">
        <v>112</v>
      </c>
      <c r="R779" s="30" t="s">
        <v>185</v>
      </c>
      <c r="S779" s="81">
        <f>HLOOKUP(L779,データについて!$J$6:$M$18,13,FALSE)</f>
        <v>2</v>
      </c>
      <c r="T779" s="81">
        <f>HLOOKUP(M779,データについて!$J$7:$M$18,12,FALSE)</f>
        <v>1</v>
      </c>
      <c r="U779" s="81">
        <f>HLOOKUP(N779,データについて!$J$8:$M$18,11,FALSE)</f>
        <v>1</v>
      </c>
      <c r="V779" s="81">
        <f>HLOOKUP(O779,データについて!$J$9:$M$18,10,FALSE)</f>
        <v>1</v>
      </c>
      <c r="W779" s="81">
        <f>HLOOKUP(P779,データについて!$J$10:$M$18,9,FALSE)</f>
        <v>1</v>
      </c>
      <c r="X779" s="81">
        <f>HLOOKUP(Q779,データについて!$J$11:$M$18,8,FALSE)</f>
        <v>1</v>
      </c>
      <c r="Y779" s="81">
        <f>HLOOKUP(R779,データについて!$J$12:$M$18,7,FALSE)</f>
        <v>2</v>
      </c>
      <c r="Z779" s="81">
        <f>HLOOKUP(I779,データについて!$J$3:$M$18,16,FALSE)</f>
        <v>1</v>
      </c>
      <c r="AA779" s="81">
        <f>IFERROR(HLOOKUP(J779,データについて!$J$4:$AH$19,16,FALSE),"")</f>
        <v>16</v>
      </c>
      <c r="AB779" s="81" t="str">
        <f>IFERROR(HLOOKUP(K779,データについて!$J$5:$AH$20,14,FALSE),"")</f>
        <v/>
      </c>
      <c r="AC779" s="81">
        <f>IF(X779=1,HLOOKUP(R779,データについて!$J$12:$M$18,7,FALSE),"*")</f>
        <v>2</v>
      </c>
      <c r="AD779" s="81" t="str">
        <f>IF(X779=2,HLOOKUP(R779,データについて!$J$12:$M$18,7,FALSE),"*")</f>
        <v>*</v>
      </c>
    </row>
    <row r="780" spans="1:30">
      <c r="A780" s="30">
        <v>4412</v>
      </c>
      <c r="B780" s="30" t="s">
        <v>3073</v>
      </c>
      <c r="C780" s="30" t="s">
        <v>3072</v>
      </c>
      <c r="D780" s="30" t="s">
        <v>106</v>
      </c>
      <c r="E780" s="30"/>
      <c r="F780" s="30" t="s">
        <v>107</v>
      </c>
      <c r="G780" s="30" t="s">
        <v>106</v>
      </c>
      <c r="H780" s="30"/>
      <c r="I780" s="30" t="s">
        <v>192</v>
      </c>
      <c r="J780" s="30" t="s">
        <v>2934</v>
      </c>
      <c r="K780" s="30"/>
      <c r="L780" s="30" t="s">
        <v>108</v>
      </c>
      <c r="M780" s="30" t="s">
        <v>113</v>
      </c>
      <c r="N780" s="30" t="s">
        <v>114</v>
      </c>
      <c r="O780" s="30" t="s">
        <v>115</v>
      </c>
      <c r="P780" s="30" t="s">
        <v>112</v>
      </c>
      <c r="Q780" s="30" t="s">
        <v>112</v>
      </c>
      <c r="R780" s="30" t="s">
        <v>185</v>
      </c>
      <c r="S780" s="81">
        <f>HLOOKUP(L780,データについて!$J$6:$M$18,13,FALSE)</f>
        <v>1</v>
      </c>
      <c r="T780" s="81">
        <f>HLOOKUP(M780,データについて!$J$7:$M$18,12,FALSE)</f>
        <v>1</v>
      </c>
      <c r="U780" s="81">
        <f>HLOOKUP(N780,データについて!$J$8:$M$18,11,FALSE)</f>
        <v>1</v>
      </c>
      <c r="V780" s="81">
        <f>HLOOKUP(O780,データについて!$J$9:$M$18,10,FALSE)</f>
        <v>1</v>
      </c>
      <c r="W780" s="81">
        <f>HLOOKUP(P780,データについて!$J$10:$M$18,9,FALSE)</f>
        <v>1</v>
      </c>
      <c r="X780" s="81">
        <f>HLOOKUP(Q780,データについて!$J$11:$M$18,8,FALSE)</f>
        <v>1</v>
      </c>
      <c r="Y780" s="81">
        <f>HLOOKUP(R780,データについて!$J$12:$M$18,7,FALSE)</f>
        <v>2</v>
      </c>
      <c r="Z780" s="81">
        <f>HLOOKUP(I780,データについて!$J$3:$M$18,16,FALSE)</f>
        <v>1</v>
      </c>
      <c r="AA780" s="81">
        <f>IFERROR(HLOOKUP(J780,データについて!$J$4:$AH$19,16,FALSE),"")</f>
        <v>16</v>
      </c>
      <c r="AB780" s="81" t="str">
        <f>IFERROR(HLOOKUP(K780,データについて!$J$5:$AH$20,14,FALSE),"")</f>
        <v/>
      </c>
      <c r="AC780" s="81">
        <f>IF(X780=1,HLOOKUP(R780,データについて!$J$12:$M$18,7,FALSE),"*")</f>
        <v>2</v>
      </c>
      <c r="AD780" s="81" t="str">
        <f>IF(X780=2,HLOOKUP(R780,データについて!$J$12:$M$18,7,FALSE),"*")</f>
        <v>*</v>
      </c>
    </row>
    <row r="781" spans="1:30">
      <c r="A781" s="30">
        <v>4411</v>
      </c>
      <c r="B781" s="30" t="s">
        <v>3074</v>
      </c>
      <c r="C781" s="30" t="s">
        <v>3075</v>
      </c>
      <c r="D781" s="30" t="s">
        <v>106</v>
      </c>
      <c r="E781" s="30"/>
      <c r="F781" s="30" t="s">
        <v>107</v>
      </c>
      <c r="G781" s="30" t="s">
        <v>106</v>
      </c>
      <c r="H781" s="30"/>
      <c r="I781" s="30" t="s">
        <v>192</v>
      </c>
      <c r="J781" s="30" t="s">
        <v>2934</v>
      </c>
      <c r="K781" s="30"/>
      <c r="L781" s="30" t="s">
        <v>108</v>
      </c>
      <c r="M781" s="30" t="s">
        <v>109</v>
      </c>
      <c r="N781" s="30" t="s">
        <v>114</v>
      </c>
      <c r="O781" s="30" t="s">
        <v>115</v>
      </c>
      <c r="P781" s="30" t="s">
        <v>118</v>
      </c>
      <c r="Q781" s="30" t="s">
        <v>112</v>
      </c>
      <c r="R781" s="30" t="s">
        <v>185</v>
      </c>
      <c r="S781" s="81">
        <f>HLOOKUP(L781,データについて!$J$6:$M$18,13,FALSE)</f>
        <v>1</v>
      </c>
      <c r="T781" s="81">
        <f>HLOOKUP(M781,データについて!$J$7:$M$18,12,FALSE)</f>
        <v>2</v>
      </c>
      <c r="U781" s="81">
        <f>HLOOKUP(N781,データについて!$J$8:$M$18,11,FALSE)</f>
        <v>1</v>
      </c>
      <c r="V781" s="81">
        <f>HLOOKUP(O781,データについて!$J$9:$M$18,10,FALSE)</f>
        <v>1</v>
      </c>
      <c r="W781" s="81">
        <f>HLOOKUP(P781,データについて!$J$10:$M$18,9,FALSE)</f>
        <v>2</v>
      </c>
      <c r="X781" s="81">
        <f>HLOOKUP(Q781,データについて!$J$11:$M$18,8,FALSE)</f>
        <v>1</v>
      </c>
      <c r="Y781" s="81">
        <f>HLOOKUP(R781,データについて!$J$12:$M$18,7,FALSE)</f>
        <v>2</v>
      </c>
      <c r="Z781" s="81">
        <f>HLOOKUP(I781,データについて!$J$3:$M$18,16,FALSE)</f>
        <v>1</v>
      </c>
      <c r="AA781" s="81">
        <f>IFERROR(HLOOKUP(J781,データについて!$J$4:$AH$19,16,FALSE),"")</f>
        <v>16</v>
      </c>
      <c r="AB781" s="81" t="str">
        <f>IFERROR(HLOOKUP(K781,データについて!$J$5:$AH$20,14,FALSE),"")</f>
        <v/>
      </c>
      <c r="AC781" s="81">
        <f>IF(X781=1,HLOOKUP(R781,データについて!$J$12:$M$18,7,FALSE),"*")</f>
        <v>2</v>
      </c>
      <c r="AD781" s="81" t="str">
        <f>IF(X781=2,HLOOKUP(R781,データについて!$J$12:$M$18,7,FALSE),"*")</f>
        <v>*</v>
      </c>
    </row>
    <row r="782" spans="1:30">
      <c r="A782" s="30">
        <v>4410</v>
      </c>
      <c r="B782" s="30" t="s">
        <v>3076</v>
      </c>
      <c r="C782" s="30" t="s">
        <v>3077</v>
      </c>
      <c r="D782" s="30" t="s">
        <v>106</v>
      </c>
      <c r="E782" s="30"/>
      <c r="F782" s="30" t="s">
        <v>107</v>
      </c>
      <c r="G782" s="30" t="s">
        <v>106</v>
      </c>
      <c r="H782" s="30"/>
      <c r="I782" s="30" t="s">
        <v>192</v>
      </c>
      <c r="J782" s="30" t="s">
        <v>2934</v>
      </c>
      <c r="K782" s="30"/>
      <c r="L782" s="30" t="s">
        <v>108</v>
      </c>
      <c r="M782" s="30" t="s">
        <v>113</v>
      </c>
      <c r="N782" s="30" t="s">
        <v>110</v>
      </c>
      <c r="O782" s="30" t="s">
        <v>115</v>
      </c>
      <c r="P782" s="30" t="s">
        <v>112</v>
      </c>
      <c r="Q782" s="30" t="s">
        <v>112</v>
      </c>
      <c r="R782" s="30" t="s">
        <v>183</v>
      </c>
      <c r="S782" s="81">
        <f>HLOOKUP(L782,データについて!$J$6:$M$18,13,FALSE)</f>
        <v>1</v>
      </c>
      <c r="T782" s="81">
        <f>HLOOKUP(M782,データについて!$J$7:$M$18,12,FALSE)</f>
        <v>1</v>
      </c>
      <c r="U782" s="81">
        <f>HLOOKUP(N782,データについて!$J$8:$M$18,11,FALSE)</f>
        <v>2</v>
      </c>
      <c r="V782" s="81">
        <f>HLOOKUP(O782,データについて!$J$9:$M$18,10,FALSE)</f>
        <v>1</v>
      </c>
      <c r="W782" s="81">
        <f>HLOOKUP(P782,データについて!$J$10:$M$18,9,FALSE)</f>
        <v>1</v>
      </c>
      <c r="X782" s="81">
        <f>HLOOKUP(Q782,データについて!$J$11:$M$18,8,FALSE)</f>
        <v>1</v>
      </c>
      <c r="Y782" s="81">
        <f>HLOOKUP(R782,データについて!$J$12:$M$18,7,FALSE)</f>
        <v>1</v>
      </c>
      <c r="Z782" s="81">
        <f>HLOOKUP(I782,データについて!$J$3:$M$18,16,FALSE)</f>
        <v>1</v>
      </c>
      <c r="AA782" s="81">
        <f>IFERROR(HLOOKUP(J782,データについて!$J$4:$AH$19,16,FALSE),"")</f>
        <v>16</v>
      </c>
      <c r="AB782" s="81" t="str">
        <f>IFERROR(HLOOKUP(K782,データについて!$J$5:$AH$20,14,FALSE),"")</f>
        <v/>
      </c>
      <c r="AC782" s="81">
        <f>IF(X782=1,HLOOKUP(R782,データについて!$J$12:$M$18,7,FALSE),"*")</f>
        <v>1</v>
      </c>
      <c r="AD782" s="81" t="str">
        <f>IF(X782=2,HLOOKUP(R782,データについて!$J$12:$M$18,7,FALSE),"*")</f>
        <v>*</v>
      </c>
    </row>
    <row r="783" spans="1:30">
      <c r="A783" s="30">
        <v>4409</v>
      </c>
      <c r="B783" s="30" t="s">
        <v>3078</v>
      </c>
      <c r="C783" s="30" t="s">
        <v>3077</v>
      </c>
      <c r="D783" s="30" t="s">
        <v>106</v>
      </c>
      <c r="E783" s="30"/>
      <c r="F783" s="30" t="s">
        <v>107</v>
      </c>
      <c r="G783" s="30" t="s">
        <v>106</v>
      </c>
      <c r="H783" s="30"/>
      <c r="I783" s="30" t="s">
        <v>192</v>
      </c>
      <c r="J783" s="30" t="s">
        <v>2934</v>
      </c>
      <c r="K783" s="30"/>
      <c r="L783" s="30" t="s">
        <v>108</v>
      </c>
      <c r="M783" s="30" t="s">
        <v>113</v>
      </c>
      <c r="N783" s="30" t="s">
        <v>114</v>
      </c>
      <c r="O783" s="30" t="s">
        <v>115</v>
      </c>
      <c r="P783" s="30" t="s">
        <v>112</v>
      </c>
      <c r="Q783" s="30" t="s">
        <v>118</v>
      </c>
      <c r="R783" s="30" t="s">
        <v>187</v>
      </c>
      <c r="S783" s="81">
        <f>HLOOKUP(L783,データについて!$J$6:$M$18,13,FALSE)</f>
        <v>1</v>
      </c>
      <c r="T783" s="81">
        <f>HLOOKUP(M783,データについて!$J$7:$M$18,12,FALSE)</f>
        <v>1</v>
      </c>
      <c r="U783" s="81">
        <f>HLOOKUP(N783,データについて!$J$8:$M$18,11,FALSE)</f>
        <v>1</v>
      </c>
      <c r="V783" s="81">
        <f>HLOOKUP(O783,データについて!$J$9:$M$18,10,FALSE)</f>
        <v>1</v>
      </c>
      <c r="W783" s="81">
        <f>HLOOKUP(P783,データについて!$J$10:$M$18,9,FALSE)</f>
        <v>1</v>
      </c>
      <c r="X783" s="81">
        <f>HLOOKUP(Q783,データについて!$J$11:$M$18,8,FALSE)</f>
        <v>2</v>
      </c>
      <c r="Y783" s="81">
        <f>HLOOKUP(R783,データについて!$J$12:$M$18,7,FALSE)</f>
        <v>3</v>
      </c>
      <c r="Z783" s="81">
        <f>HLOOKUP(I783,データについて!$J$3:$M$18,16,FALSE)</f>
        <v>1</v>
      </c>
      <c r="AA783" s="81">
        <f>IFERROR(HLOOKUP(J783,データについて!$J$4:$AH$19,16,FALSE),"")</f>
        <v>16</v>
      </c>
      <c r="AB783" s="81" t="str">
        <f>IFERROR(HLOOKUP(K783,データについて!$J$5:$AH$20,14,FALSE),"")</f>
        <v/>
      </c>
      <c r="AC783" s="81" t="str">
        <f>IF(X783=1,HLOOKUP(R783,データについて!$J$12:$M$18,7,FALSE),"*")</f>
        <v>*</v>
      </c>
      <c r="AD783" s="81">
        <f>IF(X783=2,HLOOKUP(R783,データについて!$J$12:$M$18,7,FALSE),"*")</f>
        <v>3</v>
      </c>
    </row>
    <row r="784" spans="1:30">
      <c r="A784" s="30">
        <v>4408</v>
      </c>
      <c r="B784" s="30" t="s">
        <v>3079</v>
      </c>
      <c r="C784" s="30" t="s">
        <v>3077</v>
      </c>
      <c r="D784" s="30" t="s">
        <v>106</v>
      </c>
      <c r="E784" s="30"/>
      <c r="F784" s="30" t="s">
        <v>107</v>
      </c>
      <c r="G784" s="30" t="s">
        <v>106</v>
      </c>
      <c r="H784" s="30"/>
      <c r="I784" s="30" t="s">
        <v>192</v>
      </c>
      <c r="J784" s="30" t="s">
        <v>2934</v>
      </c>
      <c r="K784" s="30"/>
      <c r="L784" s="30" t="s">
        <v>108</v>
      </c>
      <c r="M784" s="30" t="s">
        <v>109</v>
      </c>
      <c r="N784" s="30" t="s">
        <v>114</v>
      </c>
      <c r="O784" s="30" t="s">
        <v>115</v>
      </c>
      <c r="P784" s="30" t="s">
        <v>112</v>
      </c>
      <c r="Q784" s="30" t="s">
        <v>112</v>
      </c>
      <c r="R784" s="30" t="s">
        <v>185</v>
      </c>
      <c r="S784" s="81">
        <f>HLOOKUP(L784,データについて!$J$6:$M$18,13,FALSE)</f>
        <v>1</v>
      </c>
      <c r="T784" s="81">
        <f>HLOOKUP(M784,データについて!$J$7:$M$18,12,FALSE)</f>
        <v>2</v>
      </c>
      <c r="U784" s="81">
        <f>HLOOKUP(N784,データについて!$J$8:$M$18,11,FALSE)</f>
        <v>1</v>
      </c>
      <c r="V784" s="81">
        <f>HLOOKUP(O784,データについて!$J$9:$M$18,10,FALSE)</f>
        <v>1</v>
      </c>
      <c r="W784" s="81">
        <f>HLOOKUP(P784,データについて!$J$10:$M$18,9,FALSE)</f>
        <v>1</v>
      </c>
      <c r="X784" s="81">
        <f>HLOOKUP(Q784,データについて!$J$11:$M$18,8,FALSE)</f>
        <v>1</v>
      </c>
      <c r="Y784" s="81">
        <f>HLOOKUP(R784,データについて!$J$12:$M$18,7,FALSE)</f>
        <v>2</v>
      </c>
      <c r="Z784" s="81">
        <f>HLOOKUP(I784,データについて!$J$3:$M$18,16,FALSE)</f>
        <v>1</v>
      </c>
      <c r="AA784" s="81">
        <f>IFERROR(HLOOKUP(J784,データについて!$J$4:$AH$19,16,FALSE),"")</f>
        <v>16</v>
      </c>
      <c r="AB784" s="81" t="str">
        <f>IFERROR(HLOOKUP(K784,データについて!$J$5:$AH$20,14,FALSE),"")</f>
        <v/>
      </c>
      <c r="AC784" s="81">
        <f>IF(X784=1,HLOOKUP(R784,データについて!$J$12:$M$18,7,FALSE),"*")</f>
        <v>2</v>
      </c>
      <c r="AD784" s="81" t="str">
        <f>IF(X784=2,HLOOKUP(R784,データについて!$J$12:$M$18,7,FALSE),"*")</f>
        <v>*</v>
      </c>
    </row>
    <row r="785" spans="1:30">
      <c r="A785" s="30">
        <v>4407</v>
      </c>
      <c r="B785" s="30" t="s">
        <v>3080</v>
      </c>
      <c r="C785" s="30" t="s">
        <v>3081</v>
      </c>
      <c r="D785" s="30" t="s">
        <v>106</v>
      </c>
      <c r="E785" s="30"/>
      <c r="F785" s="30" t="s">
        <v>107</v>
      </c>
      <c r="G785" s="30" t="s">
        <v>106</v>
      </c>
      <c r="H785" s="30"/>
      <c r="I785" s="30" t="s">
        <v>192</v>
      </c>
      <c r="J785" s="30" t="s">
        <v>2934</v>
      </c>
      <c r="K785" s="30"/>
      <c r="L785" s="30" t="s">
        <v>117</v>
      </c>
      <c r="M785" s="30" t="s">
        <v>113</v>
      </c>
      <c r="N785" s="30" t="s">
        <v>114</v>
      </c>
      <c r="O785" s="30" t="s">
        <v>115</v>
      </c>
      <c r="P785" s="30" t="s">
        <v>112</v>
      </c>
      <c r="Q785" s="30" t="s">
        <v>112</v>
      </c>
      <c r="R785" s="30" t="s">
        <v>183</v>
      </c>
      <c r="S785" s="81">
        <f>HLOOKUP(L785,データについて!$J$6:$M$18,13,FALSE)</f>
        <v>2</v>
      </c>
      <c r="T785" s="81">
        <f>HLOOKUP(M785,データについて!$J$7:$M$18,12,FALSE)</f>
        <v>1</v>
      </c>
      <c r="U785" s="81">
        <f>HLOOKUP(N785,データについて!$J$8:$M$18,11,FALSE)</f>
        <v>1</v>
      </c>
      <c r="V785" s="81">
        <f>HLOOKUP(O785,データについて!$J$9:$M$18,10,FALSE)</f>
        <v>1</v>
      </c>
      <c r="W785" s="81">
        <f>HLOOKUP(P785,データについて!$J$10:$M$18,9,FALSE)</f>
        <v>1</v>
      </c>
      <c r="X785" s="81">
        <f>HLOOKUP(Q785,データについて!$J$11:$M$18,8,FALSE)</f>
        <v>1</v>
      </c>
      <c r="Y785" s="81">
        <f>HLOOKUP(R785,データについて!$J$12:$M$18,7,FALSE)</f>
        <v>1</v>
      </c>
      <c r="Z785" s="81">
        <f>HLOOKUP(I785,データについて!$J$3:$M$18,16,FALSE)</f>
        <v>1</v>
      </c>
      <c r="AA785" s="81">
        <f>IFERROR(HLOOKUP(J785,データについて!$J$4:$AH$19,16,FALSE),"")</f>
        <v>16</v>
      </c>
      <c r="AB785" s="81" t="str">
        <f>IFERROR(HLOOKUP(K785,データについて!$J$5:$AH$20,14,FALSE),"")</f>
        <v/>
      </c>
      <c r="AC785" s="81">
        <f>IF(X785=1,HLOOKUP(R785,データについて!$J$12:$M$18,7,FALSE),"*")</f>
        <v>1</v>
      </c>
      <c r="AD785" s="81" t="str">
        <f>IF(X785=2,HLOOKUP(R785,データについて!$J$12:$M$18,7,FALSE),"*")</f>
        <v>*</v>
      </c>
    </row>
    <row r="786" spans="1:30">
      <c r="A786" s="30">
        <v>4406</v>
      </c>
      <c r="B786" s="30" t="s">
        <v>3082</v>
      </c>
      <c r="C786" s="30" t="s">
        <v>3083</v>
      </c>
      <c r="D786" s="30" t="s">
        <v>106</v>
      </c>
      <c r="E786" s="30"/>
      <c r="F786" s="30" t="s">
        <v>107</v>
      </c>
      <c r="G786" s="30" t="s">
        <v>106</v>
      </c>
      <c r="H786" s="30"/>
      <c r="I786" s="30" t="s">
        <v>192</v>
      </c>
      <c r="J786" s="30" t="s">
        <v>2934</v>
      </c>
      <c r="K786" s="30"/>
      <c r="L786" s="30" t="s">
        <v>108</v>
      </c>
      <c r="M786" s="30" t="s">
        <v>113</v>
      </c>
      <c r="N786" s="30" t="s">
        <v>110</v>
      </c>
      <c r="O786" s="30" t="s">
        <v>115</v>
      </c>
      <c r="P786" s="30" t="s">
        <v>112</v>
      </c>
      <c r="Q786" s="30" t="s">
        <v>112</v>
      </c>
      <c r="R786" s="30" t="s">
        <v>185</v>
      </c>
      <c r="S786" s="81">
        <f>HLOOKUP(L786,データについて!$J$6:$M$18,13,FALSE)</f>
        <v>1</v>
      </c>
      <c r="T786" s="81">
        <f>HLOOKUP(M786,データについて!$J$7:$M$18,12,FALSE)</f>
        <v>1</v>
      </c>
      <c r="U786" s="81">
        <f>HLOOKUP(N786,データについて!$J$8:$M$18,11,FALSE)</f>
        <v>2</v>
      </c>
      <c r="V786" s="81">
        <f>HLOOKUP(O786,データについて!$J$9:$M$18,10,FALSE)</f>
        <v>1</v>
      </c>
      <c r="W786" s="81">
        <f>HLOOKUP(P786,データについて!$J$10:$M$18,9,FALSE)</f>
        <v>1</v>
      </c>
      <c r="X786" s="81">
        <f>HLOOKUP(Q786,データについて!$J$11:$M$18,8,FALSE)</f>
        <v>1</v>
      </c>
      <c r="Y786" s="81">
        <f>HLOOKUP(R786,データについて!$J$12:$M$18,7,FALSE)</f>
        <v>2</v>
      </c>
      <c r="Z786" s="81">
        <f>HLOOKUP(I786,データについて!$J$3:$M$18,16,FALSE)</f>
        <v>1</v>
      </c>
      <c r="AA786" s="81">
        <f>IFERROR(HLOOKUP(J786,データについて!$J$4:$AH$19,16,FALSE),"")</f>
        <v>16</v>
      </c>
      <c r="AB786" s="81" t="str">
        <f>IFERROR(HLOOKUP(K786,データについて!$J$5:$AH$20,14,FALSE),"")</f>
        <v/>
      </c>
      <c r="AC786" s="81">
        <f>IF(X786=1,HLOOKUP(R786,データについて!$J$12:$M$18,7,FALSE),"*")</f>
        <v>2</v>
      </c>
      <c r="AD786" s="81" t="str">
        <f>IF(X786=2,HLOOKUP(R786,データについて!$J$12:$M$18,7,FALSE),"*")</f>
        <v>*</v>
      </c>
    </row>
    <row r="787" spans="1:30">
      <c r="A787" s="30">
        <v>4405</v>
      </c>
      <c r="B787" s="30" t="s">
        <v>3084</v>
      </c>
      <c r="C787" s="30" t="s">
        <v>3085</v>
      </c>
      <c r="D787" s="30" t="s">
        <v>106</v>
      </c>
      <c r="E787" s="30"/>
      <c r="F787" s="30" t="s">
        <v>107</v>
      </c>
      <c r="G787" s="30" t="s">
        <v>106</v>
      </c>
      <c r="H787" s="30"/>
      <c r="I787" s="30" t="s">
        <v>192</v>
      </c>
      <c r="J787" s="30" t="s">
        <v>2934</v>
      </c>
      <c r="K787" s="30"/>
      <c r="L787" s="30" t="s">
        <v>108</v>
      </c>
      <c r="M787" s="30" t="s">
        <v>109</v>
      </c>
      <c r="N787" s="30" t="s">
        <v>114</v>
      </c>
      <c r="O787" s="30" t="s">
        <v>116</v>
      </c>
      <c r="P787" s="30" t="s">
        <v>112</v>
      </c>
      <c r="Q787" s="30" t="s">
        <v>112</v>
      </c>
      <c r="R787" s="30" t="s">
        <v>189</v>
      </c>
      <c r="S787" s="81">
        <f>HLOOKUP(L787,データについて!$J$6:$M$18,13,FALSE)</f>
        <v>1</v>
      </c>
      <c r="T787" s="81">
        <f>HLOOKUP(M787,データについて!$J$7:$M$18,12,FALSE)</f>
        <v>2</v>
      </c>
      <c r="U787" s="81">
        <f>HLOOKUP(N787,データについて!$J$8:$M$18,11,FALSE)</f>
        <v>1</v>
      </c>
      <c r="V787" s="81">
        <f>HLOOKUP(O787,データについて!$J$9:$M$18,10,FALSE)</f>
        <v>2</v>
      </c>
      <c r="W787" s="81">
        <f>HLOOKUP(P787,データについて!$J$10:$M$18,9,FALSE)</f>
        <v>1</v>
      </c>
      <c r="X787" s="81">
        <f>HLOOKUP(Q787,データについて!$J$11:$M$18,8,FALSE)</f>
        <v>1</v>
      </c>
      <c r="Y787" s="81">
        <f>HLOOKUP(R787,データについて!$J$12:$M$18,7,FALSE)</f>
        <v>4</v>
      </c>
      <c r="Z787" s="81">
        <f>HLOOKUP(I787,データについて!$J$3:$M$18,16,FALSE)</f>
        <v>1</v>
      </c>
      <c r="AA787" s="81">
        <f>IFERROR(HLOOKUP(J787,データについて!$J$4:$AH$19,16,FALSE),"")</f>
        <v>16</v>
      </c>
      <c r="AB787" s="81" t="str">
        <f>IFERROR(HLOOKUP(K787,データについて!$J$5:$AH$20,14,FALSE),"")</f>
        <v/>
      </c>
      <c r="AC787" s="81">
        <f>IF(X787=1,HLOOKUP(R787,データについて!$J$12:$M$18,7,FALSE),"*")</f>
        <v>4</v>
      </c>
      <c r="AD787" s="81" t="str">
        <f>IF(X787=2,HLOOKUP(R787,データについて!$J$12:$M$18,7,FALSE),"*")</f>
        <v>*</v>
      </c>
    </row>
    <row r="788" spans="1:30">
      <c r="A788" s="30">
        <v>4404</v>
      </c>
      <c r="B788" s="30" t="s">
        <v>3086</v>
      </c>
      <c r="C788" s="30" t="s">
        <v>3087</v>
      </c>
      <c r="D788" s="30" t="s">
        <v>106</v>
      </c>
      <c r="E788" s="30"/>
      <c r="F788" s="30" t="s">
        <v>107</v>
      </c>
      <c r="G788" s="30" t="s">
        <v>106</v>
      </c>
      <c r="H788" s="30"/>
      <c r="I788" s="30" t="s">
        <v>192</v>
      </c>
      <c r="J788" s="30" t="s">
        <v>2934</v>
      </c>
      <c r="K788" s="30"/>
      <c r="L788" s="30" t="s">
        <v>108</v>
      </c>
      <c r="M788" s="30" t="s">
        <v>109</v>
      </c>
      <c r="N788" s="30" t="s">
        <v>110</v>
      </c>
      <c r="O788" s="30" t="s">
        <v>115</v>
      </c>
      <c r="P788" s="30" t="s">
        <v>112</v>
      </c>
      <c r="Q788" s="30" t="s">
        <v>112</v>
      </c>
      <c r="R788" s="30" t="s">
        <v>189</v>
      </c>
      <c r="S788" s="81">
        <f>HLOOKUP(L788,データについて!$J$6:$M$18,13,FALSE)</f>
        <v>1</v>
      </c>
      <c r="T788" s="81">
        <f>HLOOKUP(M788,データについて!$J$7:$M$18,12,FALSE)</f>
        <v>2</v>
      </c>
      <c r="U788" s="81">
        <f>HLOOKUP(N788,データについて!$J$8:$M$18,11,FALSE)</f>
        <v>2</v>
      </c>
      <c r="V788" s="81">
        <f>HLOOKUP(O788,データについて!$J$9:$M$18,10,FALSE)</f>
        <v>1</v>
      </c>
      <c r="W788" s="81">
        <f>HLOOKUP(P788,データについて!$J$10:$M$18,9,FALSE)</f>
        <v>1</v>
      </c>
      <c r="X788" s="81">
        <f>HLOOKUP(Q788,データについて!$J$11:$M$18,8,FALSE)</f>
        <v>1</v>
      </c>
      <c r="Y788" s="81">
        <f>HLOOKUP(R788,データについて!$J$12:$M$18,7,FALSE)</f>
        <v>4</v>
      </c>
      <c r="Z788" s="81">
        <f>HLOOKUP(I788,データについて!$J$3:$M$18,16,FALSE)</f>
        <v>1</v>
      </c>
      <c r="AA788" s="81">
        <f>IFERROR(HLOOKUP(J788,データについて!$J$4:$AH$19,16,FALSE),"")</f>
        <v>16</v>
      </c>
      <c r="AB788" s="81" t="str">
        <f>IFERROR(HLOOKUP(K788,データについて!$J$5:$AH$20,14,FALSE),"")</f>
        <v/>
      </c>
      <c r="AC788" s="81">
        <f>IF(X788=1,HLOOKUP(R788,データについて!$J$12:$M$18,7,FALSE),"*")</f>
        <v>4</v>
      </c>
      <c r="AD788" s="81" t="str">
        <f>IF(X788=2,HLOOKUP(R788,データについて!$J$12:$M$18,7,FALSE),"*")</f>
        <v>*</v>
      </c>
    </row>
    <row r="789" spans="1:30">
      <c r="A789" s="30">
        <v>4403</v>
      </c>
      <c r="B789" s="30" t="s">
        <v>3088</v>
      </c>
      <c r="C789" s="30" t="s">
        <v>3089</v>
      </c>
      <c r="D789" s="30" t="s">
        <v>106</v>
      </c>
      <c r="E789" s="30"/>
      <c r="F789" s="30" t="s">
        <v>107</v>
      </c>
      <c r="G789" s="30" t="s">
        <v>106</v>
      </c>
      <c r="H789" s="30"/>
      <c r="I789" s="30" t="s">
        <v>192</v>
      </c>
      <c r="J789" s="30" t="s">
        <v>2934</v>
      </c>
      <c r="K789" s="30"/>
      <c r="L789" s="30" t="s">
        <v>108</v>
      </c>
      <c r="M789" s="30" t="s">
        <v>113</v>
      </c>
      <c r="N789" s="30" t="s">
        <v>114</v>
      </c>
      <c r="O789" s="30" t="s">
        <v>115</v>
      </c>
      <c r="P789" s="30" t="s">
        <v>112</v>
      </c>
      <c r="Q789" s="30" t="s">
        <v>112</v>
      </c>
      <c r="R789" s="30" t="s">
        <v>183</v>
      </c>
      <c r="S789" s="81">
        <f>HLOOKUP(L789,データについて!$J$6:$M$18,13,FALSE)</f>
        <v>1</v>
      </c>
      <c r="T789" s="81">
        <f>HLOOKUP(M789,データについて!$J$7:$M$18,12,FALSE)</f>
        <v>1</v>
      </c>
      <c r="U789" s="81">
        <f>HLOOKUP(N789,データについて!$J$8:$M$18,11,FALSE)</f>
        <v>1</v>
      </c>
      <c r="V789" s="81">
        <f>HLOOKUP(O789,データについて!$J$9:$M$18,10,FALSE)</f>
        <v>1</v>
      </c>
      <c r="W789" s="81">
        <f>HLOOKUP(P789,データについて!$J$10:$M$18,9,FALSE)</f>
        <v>1</v>
      </c>
      <c r="X789" s="81">
        <f>HLOOKUP(Q789,データについて!$J$11:$M$18,8,FALSE)</f>
        <v>1</v>
      </c>
      <c r="Y789" s="81">
        <f>HLOOKUP(R789,データについて!$J$12:$M$18,7,FALSE)</f>
        <v>1</v>
      </c>
      <c r="Z789" s="81">
        <f>HLOOKUP(I789,データについて!$J$3:$M$18,16,FALSE)</f>
        <v>1</v>
      </c>
      <c r="AA789" s="81">
        <f>IFERROR(HLOOKUP(J789,データについて!$J$4:$AH$19,16,FALSE),"")</f>
        <v>16</v>
      </c>
      <c r="AB789" s="81" t="str">
        <f>IFERROR(HLOOKUP(K789,データについて!$J$5:$AH$20,14,FALSE),"")</f>
        <v/>
      </c>
      <c r="AC789" s="81">
        <f>IF(X789=1,HLOOKUP(R789,データについて!$J$12:$M$18,7,FALSE),"*")</f>
        <v>1</v>
      </c>
      <c r="AD789" s="81" t="str">
        <f>IF(X789=2,HLOOKUP(R789,データについて!$J$12:$M$18,7,FALSE),"*")</f>
        <v>*</v>
      </c>
    </row>
    <row r="790" spans="1:30">
      <c r="A790" s="30">
        <v>4402</v>
      </c>
      <c r="B790" s="30" t="s">
        <v>3090</v>
      </c>
      <c r="C790" s="30" t="s">
        <v>3091</v>
      </c>
      <c r="D790" s="30" t="s">
        <v>106</v>
      </c>
      <c r="E790" s="30"/>
      <c r="F790" s="30" t="s">
        <v>107</v>
      </c>
      <c r="G790" s="30" t="s">
        <v>106</v>
      </c>
      <c r="H790" s="30"/>
      <c r="I790" s="30" t="s">
        <v>192</v>
      </c>
      <c r="J790" s="30" t="s">
        <v>2934</v>
      </c>
      <c r="K790" s="30"/>
      <c r="L790" s="30" t="s">
        <v>108</v>
      </c>
      <c r="M790" s="30" t="s">
        <v>124</v>
      </c>
      <c r="N790" s="30" t="s">
        <v>114</v>
      </c>
      <c r="O790" s="30" t="s">
        <v>115</v>
      </c>
      <c r="P790" s="30" t="s">
        <v>112</v>
      </c>
      <c r="Q790" s="30" t="s">
        <v>112</v>
      </c>
      <c r="R790" s="30" t="s">
        <v>187</v>
      </c>
      <c r="S790" s="81">
        <f>HLOOKUP(L790,データについて!$J$6:$M$18,13,FALSE)</f>
        <v>1</v>
      </c>
      <c r="T790" s="81">
        <f>HLOOKUP(M790,データについて!$J$7:$M$18,12,FALSE)</f>
        <v>3</v>
      </c>
      <c r="U790" s="81">
        <f>HLOOKUP(N790,データについて!$J$8:$M$18,11,FALSE)</f>
        <v>1</v>
      </c>
      <c r="V790" s="81">
        <f>HLOOKUP(O790,データについて!$J$9:$M$18,10,FALSE)</f>
        <v>1</v>
      </c>
      <c r="W790" s="81">
        <f>HLOOKUP(P790,データについて!$J$10:$M$18,9,FALSE)</f>
        <v>1</v>
      </c>
      <c r="X790" s="81">
        <f>HLOOKUP(Q790,データについて!$J$11:$M$18,8,FALSE)</f>
        <v>1</v>
      </c>
      <c r="Y790" s="81">
        <f>HLOOKUP(R790,データについて!$J$12:$M$18,7,FALSE)</f>
        <v>3</v>
      </c>
      <c r="Z790" s="81">
        <f>HLOOKUP(I790,データについて!$J$3:$M$18,16,FALSE)</f>
        <v>1</v>
      </c>
      <c r="AA790" s="81">
        <f>IFERROR(HLOOKUP(J790,データについて!$J$4:$AH$19,16,FALSE),"")</f>
        <v>16</v>
      </c>
      <c r="AB790" s="81" t="str">
        <f>IFERROR(HLOOKUP(K790,データについて!$J$5:$AH$20,14,FALSE),"")</f>
        <v/>
      </c>
      <c r="AC790" s="81">
        <f>IF(X790=1,HLOOKUP(R790,データについて!$J$12:$M$18,7,FALSE),"*")</f>
        <v>3</v>
      </c>
      <c r="AD790" s="81" t="str">
        <f>IF(X790=2,HLOOKUP(R790,データについて!$J$12:$M$18,7,FALSE),"*")</f>
        <v>*</v>
      </c>
    </row>
    <row r="791" spans="1:30">
      <c r="A791" s="30">
        <v>4401</v>
      </c>
      <c r="B791" s="30" t="s">
        <v>3092</v>
      </c>
      <c r="C791" s="30" t="s">
        <v>3093</v>
      </c>
      <c r="D791" s="30" t="s">
        <v>106</v>
      </c>
      <c r="E791" s="30"/>
      <c r="F791" s="30" t="s">
        <v>107</v>
      </c>
      <c r="G791" s="30" t="s">
        <v>106</v>
      </c>
      <c r="H791" s="30"/>
      <c r="I791" s="30" t="s">
        <v>192</v>
      </c>
      <c r="J791" s="30" t="s">
        <v>635</v>
      </c>
      <c r="K791" s="30"/>
      <c r="L791" s="30" t="s">
        <v>108</v>
      </c>
      <c r="M791" s="30" t="s">
        <v>113</v>
      </c>
      <c r="N791" s="30" t="s">
        <v>114</v>
      </c>
      <c r="O791" s="30" t="s">
        <v>115</v>
      </c>
      <c r="P791" s="30" t="s">
        <v>112</v>
      </c>
      <c r="Q791" s="30" t="s">
        <v>118</v>
      </c>
      <c r="R791" s="30" t="s">
        <v>189</v>
      </c>
      <c r="S791" s="81">
        <f>HLOOKUP(L791,データについて!$J$6:$M$18,13,FALSE)</f>
        <v>1</v>
      </c>
      <c r="T791" s="81">
        <f>HLOOKUP(M791,データについて!$J$7:$M$18,12,FALSE)</f>
        <v>1</v>
      </c>
      <c r="U791" s="81">
        <f>HLOOKUP(N791,データについて!$J$8:$M$18,11,FALSE)</f>
        <v>1</v>
      </c>
      <c r="V791" s="81">
        <f>HLOOKUP(O791,データについて!$J$9:$M$18,10,FALSE)</f>
        <v>1</v>
      </c>
      <c r="W791" s="81">
        <f>HLOOKUP(P791,データについて!$J$10:$M$18,9,FALSE)</f>
        <v>1</v>
      </c>
      <c r="X791" s="81">
        <f>HLOOKUP(Q791,データについて!$J$11:$M$18,8,FALSE)</f>
        <v>2</v>
      </c>
      <c r="Y791" s="81">
        <f>HLOOKUP(R791,データについて!$J$12:$M$18,7,FALSE)</f>
        <v>4</v>
      </c>
      <c r="Z791" s="81">
        <f>HLOOKUP(I791,データについて!$J$3:$M$18,16,FALSE)</f>
        <v>1</v>
      </c>
      <c r="AA791" s="81">
        <f>IFERROR(HLOOKUP(J791,データについて!$J$4:$AH$19,16,FALSE),"")</f>
        <v>9</v>
      </c>
      <c r="AB791" s="81" t="str">
        <f>IFERROR(HLOOKUP(K791,データについて!$J$5:$AH$20,14,FALSE),"")</f>
        <v/>
      </c>
      <c r="AC791" s="81" t="str">
        <f>IF(X791=1,HLOOKUP(R791,データについて!$J$12:$M$18,7,FALSE),"*")</f>
        <v>*</v>
      </c>
      <c r="AD791" s="81">
        <f>IF(X791=2,HLOOKUP(R791,データについて!$J$12:$M$18,7,FALSE),"*")</f>
        <v>4</v>
      </c>
    </row>
    <row r="792" spans="1:30">
      <c r="A792" s="30">
        <v>4400</v>
      </c>
      <c r="B792" s="30" t="s">
        <v>3094</v>
      </c>
      <c r="C792" s="30" t="s">
        <v>3095</v>
      </c>
      <c r="D792" s="30" t="s">
        <v>106</v>
      </c>
      <c r="E792" s="30"/>
      <c r="F792" s="30" t="s">
        <v>107</v>
      </c>
      <c r="G792" s="30" t="s">
        <v>106</v>
      </c>
      <c r="H792" s="30"/>
      <c r="I792" s="30" t="s">
        <v>192</v>
      </c>
      <c r="J792" s="30" t="s">
        <v>635</v>
      </c>
      <c r="K792" s="30"/>
      <c r="L792" s="30" t="s">
        <v>108</v>
      </c>
      <c r="M792" s="30" t="s">
        <v>113</v>
      </c>
      <c r="N792" s="30" t="s">
        <v>114</v>
      </c>
      <c r="O792" s="30" t="s">
        <v>115</v>
      </c>
      <c r="P792" s="30" t="s">
        <v>112</v>
      </c>
      <c r="Q792" s="30" t="s">
        <v>112</v>
      </c>
      <c r="R792" s="30" t="s">
        <v>185</v>
      </c>
      <c r="S792" s="81">
        <f>HLOOKUP(L792,データについて!$J$6:$M$18,13,FALSE)</f>
        <v>1</v>
      </c>
      <c r="T792" s="81">
        <f>HLOOKUP(M792,データについて!$J$7:$M$18,12,FALSE)</f>
        <v>1</v>
      </c>
      <c r="U792" s="81">
        <f>HLOOKUP(N792,データについて!$J$8:$M$18,11,FALSE)</f>
        <v>1</v>
      </c>
      <c r="V792" s="81">
        <f>HLOOKUP(O792,データについて!$J$9:$M$18,10,FALSE)</f>
        <v>1</v>
      </c>
      <c r="W792" s="81">
        <f>HLOOKUP(P792,データについて!$J$10:$M$18,9,FALSE)</f>
        <v>1</v>
      </c>
      <c r="X792" s="81">
        <f>HLOOKUP(Q792,データについて!$J$11:$M$18,8,FALSE)</f>
        <v>1</v>
      </c>
      <c r="Y792" s="81">
        <f>HLOOKUP(R792,データについて!$J$12:$M$18,7,FALSE)</f>
        <v>2</v>
      </c>
      <c r="Z792" s="81">
        <f>HLOOKUP(I792,データについて!$J$3:$M$18,16,FALSE)</f>
        <v>1</v>
      </c>
      <c r="AA792" s="81">
        <f>IFERROR(HLOOKUP(J792,データについて!$J$4:$AH$19,16,FALSE),"")</f>
        <v>9</v>
      </c>
      <c r="AB792" s="81" t="str">
        <f>IFERROR(HLOOKUP(K792,データについて!$J$5:$AH$20,14,FALSE),"")</f>
        <v/>
      </c>
      <c r="AC792" s="81">
        <f>IF(X792=1,HLOOKUP(R792,データについて!$J$12:$M$18,7,FALSE),"*")</f>
        <v>2</v>
      </c>
      <c r="AD792" s="81" t="str">
        <f>IF(X792=2,HLOOKUP(R792,データについて!$J$12:$M$18,7,FALSE),"*")</f>
        <v>*</v>
      </c>
    </row>
    <row r="793" spans="1:30">
      <c r="A793" s="30">
        <v>4399</v>
      </c>
      <c r="B793" s="30" t="s">
        <v>3096</v>
      </c>
      <c r="C793" s="30" t="s">
        <v>3097</v>
      </c>
      <c r="D793" s="30" t="s">
        <v>106</v>
      </c>
      <c r="E793" s="30"/>
      <c r="F793" s="30" t="s">
        <v>107</v>
      </c>
      <c r="G793" s="30" t="s">
        <v>106</v>
      </c>
      <c r="H793" s="30"/>
      <c r="I793" s="30" t="s">
        <v>191</v>
      </c>
      <c r="J793" s="30"/>
      <c r="K793" s="30" t="s">
        <v>3098</v>
      </c>
      <c r="L793" s="30" t="s">
        <v>117</v>
      </c>
      <c r="M793" s="30" t="s">
        <v>113</v>
      </c>
      <c r="N793" s="30" t="s">
        <v>110</v>
      </c>
      <c r="O793" s="30" t="s">
        <v>123</v>
      </c>
      <c r="P793" s="30" t="s">
        <v>112</v>
      </c>
      <c r="Q793" s="30" t="s">
        <v>112</v>
      </c>
      <c r="R793" s="30" t="s">
        <v>185</v>
      </c>
      <c r="S793" s="81">
        <f>HLOOKUP(L793,データについて!$J$6:$M$18,13,FALSE)</f>
        <v>2</v>
      </c>
      <c r="T793" s="81">
        <f>HLOOKUP(M793,データについて!$J$7:$M$18,12,FALSE)</f>
        <v>1</v>
      </c>
      <c r="U793" s="81">
        <f>HLOOKUP(N793,データについて!$J$8:$M$18,11,FALSE)</f>
        <v>2</v>
      </c>
      <c r="V793" s="81">
        <f>HLOOKUP(O793,データについて!$J$9:$M$18,10,FALSE)</f>
        <v>4</v>
      </c>
      <c r="W793" s="81">
        <f>HLOOKUP(P793,データについて!$J$10:$M$18,9,FALSE)</f>
        <v>1</v>
      </c>
      <c r="X793" s="81">
        <f>HLOOKUP(Q793,データについて!$J$11:$M$18,8,FALSE)</f>
        <v>1</v>
      </c>
      <c r="Y793" s="81">
        <f>HLOOKUP(R793,データについて!$J$12:$M$18,7,FALSE)</f>
        <v>2</v>
      </c>
      <c r="Z793" s="81">
        <f>HLOOKUP(I793,データについて!$J$3:$M$18,16,FALSE)</f>
        <v>2</v>
      </c>
      <c r="AA793" s="81" t="str">
        <f>IFERROR(HLOOKUP(J793,データについて!$J$4:$AH$19,16,FALSE),"")</f>
        <v/>
      </c>
      <c r="AB793" s="81">
        <f>IFERROR(HLOOKUP(K793,データについて!$J$5:$AH$20,14,FALSE),"")</f>
        <v>3</v>
      </c>
      <c r="AC793" s="81">
        <f>IF(X793=1,HLOOKUP(R793,データについて!$J$12:$M$18,7,FALSE),"*")</f>
        <v>2</v>
      </c>
      <c r="AD793" s="81" t="str">
        <f>IF(X793=2,HLOOKUP(R793,データについて!$J$12:$M$18,7,FALSE),"*")</f>
        <v>*</v>
      </c>
    </row>
    <row r="794" spans="1:30">
      <c r="A794" s="30">
        <v>4398</v>
      </c>
      <c r="B794" s="30" t="s">
        <v>3099</v>
      </c>
      <c r="C794" s="30" t="s">
        <v>3100</v>
      </c>
      <c r="D794" s="30" t="s">
        <v>106</v>
      </c>
      <c r="E794" s="30"/>
      <c r="F794" s="30" t="s">
        <v>107</v>
      </c>
      <c r="G794" s="30" t="s">
        <v>106</v>
      </c>
      <c r="H794" s="30"/>
      <c r="I794" s="30" t="s">
        <v>191</v>
      </c>
      <c r="J794" s="30"/>
      <c r="K794" s="30" t="s">
        <v>3098</v>
      </c>
      <c r="L794" s="30" t="s">
        <v>120</v>
      </c>
      <c r="M794" s="30" t="s">
        <v>124</v>
      </c>
      <c r="N794" s="30" t="s">
        <v>110</v>
      </c>
      <c r="O794" s="30" t="s">
        <v>115</v>
      </c>
      <c r="P794" s="30" t="s">
        <v>112</v>
      </c>
      <c r="Q794" s="30" t="s">
        <v>112</v>
      </c>
      <c r="R794" s="30" t="s">
        <v>189</v>
      </c>
      <c r="S794" s="81">
        <f>HLOOKUP(L794,データについて!$J$6:$M$18,13,FALSE)</f>
        <v>3</v>
      </c>
      <c r="T794" s="81">
        <f>HLOOKUP(M794,データについて!$J$7:$M$18,12,FALSE)</f>
        <v>3</v>
      </c>
      <c r="U794" s="81">
        <f>HLOOKUP(N794,データについて!$J$8:$M$18,11,FALSE)</f>
        <v>2</v>
      </c>
      <c r="V794" s="81">
        <f>HLOOKUP(O794,データについて!$J$9:$M$18,10,FALSE)</f>
        <v>1</v>
      </c>
      <c r="W794" s="81">
        <f>HLOOKUP(P794,データについて!$J$10:$M$18,9,FALSE)</f>
        <v>1</v>
      </c>
      <c r="X794" s="81">
        <f>HLOOKUP(Q794,データについて!$J$11:$M$18,8,FALSE)</f>
        <v>1</v>
      </c>
      <c r="Y794" s="81">
        <f>HLOOKUP(R794,データについて!$J$12:$M$18,7,FALSE)</f>
        <v>4</v>
      </c>
      <c r="Z794" s="81">
        <f>HLOOKUP(I794,データについて!$J$3:$M$18,16,FALSE)</f>
        <v>2</v>
      </c>
      <c r="AA794" s="81" t="str">
        <f>IFERROR(HLOOKUP(J794,データについて!$J$4:$AH$19,16,FALSE),"")</f>
        <v/>
      </c>
      <c r="AB794" s="81">
        <f>IFERROR(HLOOKUP(K794,データについて!$J$5:$AH$20,14,FALSE),"")</f>
        <v>3</v>
      </c>
      <c r="AC794" s="81">
        <f>IF(X794=1,HLOOKUP(R794,データについて!$J$12:$M$18,7,FALSE),"*")</f>
        <v>4</v>
      </c>
      <c r="AD794" s="81" t="str">
        <f>IF(X794=2,HLOOKUP(R794,データについて!$J$12:$M$18,7,FALSE),"*")</f>
        <v>*</v>
      </c>
    </row>
    <row r="795" spans="1:30">
      <c r="A795" s="30">
        <v>4397</v>
      </c>
      <c r="B795" s="30" t="s">
        <v>3101</v>
      </c>
      <c r="C795" s="30" t="s">
        <v>3102</v>
      </c>
      <c r="D795" s="30" t="s">
        <v>106</v>
      </c>
      <c r="E795" s="30"/>
      <c r="F795" s="30" t="s">
        <v>107</v>
      </c>
      <c r="G795" s="30" t="s">
        <v>106</v>
      </c>
      <c r="H795" s="30"/>
      <c r="I795" s="30" t="s">
        <v>191</v>
      </c>
      <c r="J795" s="30"/>
      <c r="K795" s="30" t="s">
        <v>3098</v>
      </c>
      <c r="L795" s="30" t="s">
        <v>108</v>
      </c>
      <c r="M795" s="30" t="s">
        <v>109</v>
      </c>
      <c r="N795" s="30" t="s">
        <v>114</v>
      </c>
      <c r="O795" s="30" t="s">
        <v>115</v>
      </c>
      <c r="P795" s="30" t="s">
        <v>118</v>
      </c>
      <c r="Q795" s="30" t="s">
        <v>118</v>
      </c>
      <c r="R795" s="30" t="s">
        <v>183</v>
      </c>
      <c r="S795" s="81">
        <f>HLOOKUP(L795,データについて!$J$6:$M$18,13,FALSE)</f>
        <v>1</v>
      </c>
      <c r="T795" s="81">
        <f>HLOOKUP(M795,データについて!$J$7:$M$18,12,FALSE)</f>
        <v>2</v>
      </c>
      <c r="U795" s="81">
        <f>HLOOKUP(N795,データについて!$J$8:$M$18,11,FALSE)</f>
        <v>1</v>
      </c>
      <c r="V795" s="81">
        <f>HLOOKUP(O795,データについて!$J$9:$M$18,10,FALSE)</f>
        <v>1</v>
      </c>
      <c r="W795" s="81">
        <f>HLOOKUP(P795,データについて!$J$10:$M$18,9,FALSE)</f>
        <v>2</v>
      </c>
      <c r="X795" s="81">
        <f>HLOOKUP(Q795,データについて!$J$11:$M$18,8,FALSE)</f>
        <v>2</v>
      </c>
      <c r="Y795" s="81">
        <f>HLOOKUP(R795,データについて!$J$12:$M$18,7,FALSE)</f>
        <v>1</v>
      </c>
      <c r="Z795" s="81">
        <f>HLOOKUP(I795,データについて!$J$3:$M$18,16,FALSE)</f>
        <v>2</v>
      </c>
      <c r="AA795" s="81" t="str">
        <f>IFERROR(HLOOKUP(J795,データについて!$J$4:$AH$19,16,FALSE),"")</f>
        <v/>
      </c>
      <c r="AB795" s="81">
        <f>IFERROR(HLOOKUP(K795,データについて!$J$5:$AH$20,14,FALSE),"")</f>
        <v>3</v>
      </c>
      <c r="AC795" s="81" t="str">
        <f>IF(X795=1,HLOOKUP(R795,データについて!$J$12:$M$18,7,FALSE),"*")</f>
        <v>*</v>
      </c>
      <c r="AD795" s="81">
        <f>IF(X795=2,HLOOKUP(R795,データについて!$J$12:$M$18,7,FALSE),"*")</f>
        <v>1</v>
      </c>
    </row>
    <row r="796" spans="1:30">
      <c r="A796" s="30">
        <v>4396</v>
      </c>
      <c r="B796" s="30" t="s">
        <v>3103</v>
      </c>
      <c r="C796" s="30" t="s">
        <v>3104</v>
      </c>
      <c r="D796" s="30" t="s">
        <v>106</v>
      </c>
      <c r="E796" s="30"/>
      <c r="F796" s="30" t="s">
        <v>107</v>
      </c>
      <c r="G796" s="30" t="s">
        <v>106</v>
      </c>
      <c r="H796" s="30"/>
      <c r="I796" s="30" t="s">
        <v>191</v>
      </c>
      <c r="J796" s="30"/>
      <c r="K796" s="30" t="s">
        <v>3098</v>
      </c>
      <c r="L796" s="30" t="s">
        <v>117</v>
      </c>
      <c r="M796" s="30" t="s">
        <v>109</v>
      </c>
      <c r="N796" s="30" t="s">
        <v>110</v>
      </c>
      <c r="O796" s="30" t="s">
        <v>115</v>
      </c>
      <c r="P796" s="30" t="s">
        <v>112</v>
      </c>
      <c r="Q796" s="30" t="s">
        <v>112</v>
      </c>
      <c r="R796" s="30" t="s">
        <v>189</v>
      </c>
      <c r="S796" s="81">
        <f>HLOOKUP(L796,データについて!$J$6:$M$18,13,FALSE)</f>
        <v>2</v>
      </c>
      <c r="T796" s="81">
        <f>HLOOKUP(M796,データについて!$J$7:$M$18,12,FALSE)</f>
        <v>2</v>
      </c>
      <c r="U796" s="81">
        <f>HLOOKUP(N796,データについて!$J$8:$M$18,11,FALSE)</f>
        <v>2</v>
      </c>
      <c r="V796" s="81">
        <f>HLOOKUP(O796,データについて!$J$9:$M$18,10,FALSE)</f>
        <v>1</v>
      </c>
      <c r="W796" s="81">
        <f>HLOOKUP(P796,データについて!$J$10:$M$18,9,FALSE)</f>
        <v>1</v>
      </c>
      <c r="X796" s="81">
        <f>HLOOKUP(Q796,データについて!$J$11:$M$18,8,FALSE)</f>
        <v>1</v>
      </c>
      <c r="Y796" s="81">
        <f>HLOOKUP(R796,データについて!$J$12:$M$18,7,FALSE)</f>
        <v>4</v>
      </c>
      <c r="Z796" s="81">
        <f>HLOOKUP(I796,データについて!$J$3:$M$18,16,FALSE)</f>
        <v>2</v>
      </c>
      <c r="AA796" s="81" t="str">
        <f>IFERROR(HLOOKUP(J796,データについて!$J$4:$AH$19,16,FALSE),"")</f>
        <v/>
      </c>
      <c r="AB796" s="81">
        <f>IFERROR(HLOOKUP(K796,データについて!$J$5:$AH$20,14,FALSE),"")</f>
        <v>3</v>
      </c>
      <c r="AC796" s="81">
        <f>IF(X796=1,HLOOKUP(R796,データについて!$J$12:$M$18,7,FALSE),"*")</f>
        <v>4</v>
      </c>
      <c r="AD796" s="81" t="str">
        <f>IF(X796=2,HLOOKUP(R796,データについて!$J$12:$M$18,7,FALSE),"*")</f>
        <v>*</v>
      </c>
    </row>
    <row r="797" spans="1:30">
      <c r="A797" s="30">
        <v>4395</v>
      </c>
      <c r="B797" s="30" t="s">
        <v>3105</v>
      </c>
      <c r="C797" s="30" t="s">
        <v>3104</v>
      </c>
      <c r="D797" s="30" t="s">
        <v>106</v>
      </c>
      <c r="E797" s="30"/>
      <c r="F797" s="30" t="s">
        <v>107</v>
      </c>
      <c r="G797" s="30" t="s">
        <v>106</v>
      </c>
      <c r="H797" s="30"/>
      <c r="I797" s="30" t="s">
        <v>191</v>
      </c>
      <c r="J797" s="30"/>
      <c r="K797" s="30" t="s">
        <v>3098</v>
      </c>
      <c r="L797" s="30" t="s">
        <v>108</v>
      </c>
      <c r="M797" s="30" t="s">
        <v>113</v>
      </c>
      <c r="N797" s="30" t="s">
        <v>114</v>
      </c>
      <c r="O797" s="30" t="s">
        <v>115</v>
      </c>
      <c r="P797" s="30" t="s">
        <v>112</v>
      </c>
      <c r="Q797" s="30" t="s">
        <v>112</v>
      </c>
      <c r="R797" s="30" t="s">
        <v>183</v>
      </c>
      <c r="S797" s="81">
        <f>HLOOKUP(L797,データについて!$J$6:$M$18,13,FALSE)</f>
        <v>1</v>
      </c>
      <c r="T797" s="81">
        <f>HLOOKUP(M797,データについて!$J$7:$M$18,12,FALSE)</f>
        <v>1</v>
      </c>
      <c r="U797" s="81">
        <f>HLOOKUP(N797,データについて!$J$8:$M$18,11,FALSE)</f>
        <v>1</v>
      </c>
      <c r="V797" s="81">
        <f>HLOOKUP(O797,データについて!$J$9:$M$18,10,FALSE)</f>
        <v>1</v>
      </c>
      <c r="W797" s="81">
        <f>HLOOKUP(P797,データについて!$J$10:$M$18,9,FALSE)</f>
        <v>1</v>
      </c>
      <c r="X797" s="81">
        <f>HLOOKUP(Q797,データについて!$J$11:$M$18,8,FALSE)</f>
        <v>1</v>
      </c>
      <c r="Y797" s="81">
        <f>HLOOKUP(R797,データについて!$J$12:$M$18,7,FALSE)</f>
        <v>1</v>
      </c>
      <c r="Z797" s="81">
        <f>HLOOKUP(I797,データについて!$J$3:$M$18,16,FALSE)</f>
        <v>2</v>
      </c>
      <c r="AA797" s="81" t="str">
        <f>IFERROR(HLOOKUP(J797,データについて!$J$4:$AH$19,16,FALSE),"")</f>
        <v/>
      </c>
      <c r="AB797" s="81">
        <f>IFERROR(HLOOKUP(K797,データについて!$J$5:$AH$20,14,FALSE),"")</f>
        <v>3</v>
      </c>
      <c r="AC797" s="81">
        <f>IF(X797=1,HLOOKUP(R797,データについて!$J$12:$M$18,7,FALSE),"*")</f>
        <v>1</v>
      </c>
      <c r="AD797" s="81" t="str">
        <f>IF(X797=2,HLOOKUP(R797,データについて!$J$12:$M$18,7,FALSE),"*")</f>
        <v>*</v>
      </c>
    </row>
    <row r="798" spans="1:30">
      <c r="A798" s="30">
        <v>4394</v>
      </c>
      <c r="B798" s="30" t="s">
        <v>3106</v>
      </c>
      <c r="C798" s="30" t="s">
        <v>3107</v>
      </c>
      <c r="D798" s="30" t="s">
        <v>106</v>
      </c>
      <c r="E798" s="30"/>
      <c r="F798" s="30" t="s">
        <v>107</v>
      </c>
      <c r="G798" s="30" t="s">
        <v>106</v>
      </c>
      <c r="H798" s="30"/>
      <c r="I798" s="30" t="s">
        <v>191</v>
      </c>
      <c r="J798" s="30"/>
      <c r="K798" s="30" t="s">
        <v>3098</v>
      </c>
      <c r="L798" s="30" t="s">
        <v>117</v>
      </c>
      <c r="M798" s="30" t="s">
        <v>113</v>
      </c>
      <c r="N798" s="30" t="s">
        <v>110</v>
      </c>
      <c r="O798" s="30" t="s">
        <v>115</v>
      </c>
      <c r="P798" s="30" t="s">
        <v>112</v>
      </c>
      <c r="Q798" s="30" t="s">
        <v>112</v>
      </c>
      <c r="R798" s="30" t="s">
        <v>185</v>
      </c>
      <c r="S798" s="81">
        <f>HLOOKUP(L798,データについて!$J$6:$M$18,13,FALSE)</f>
        <v>2</v>
      </c>
      <c r="T798" s="81">
        <f>HLOOKUP(M798,データについて!$J$7:$M$18,12,FALSE)</f>
        <v>1</v>
      </c>
      <c r="U798" s="81">
        <f>HLOOKUP(N798,データについて!$J$8:$M$18,11,FALSE)</f>
        <v>2</v>
      </c>
      <c r="V798" s="81">
        <f>HLOOKUP(O798,データについて!$J$9:$M$18,10,FALSE)</f>
        <v>1</v>
      </c>
      <c r="W798" s="81">
        <f>HLOOKUP(P798,データについて!$J$10:$M$18,9,FALSE)</f>
        <v>1</v>
      </c>
      <c r="X798" s="81">
        <f>HLOOKUP(Q798,データについて!$J$11:$M$18,8,FALSE)</f>
        <v>1</v>
      </c>
      <c r="Y798" s="81">
        <f>HLOOKUP(R798,データについて!$J$12:$M$18,7,FALSE)</f>
        <v>2</v>
      </c>
      <c r="Z798" s="81">
        <f>HLOOKUP(I798,データについて!$J$3:$M$18,16,FALSE)</f>
        <v>2</v>
      </c>
      <c r="AA798" s="81" t="str">
        <f>IFERROR(HLOOKUP(J798,データについて!$J$4:$AH$19,16,FALSE),"")</f>
        <v/>
      </c>
      <c r="AB798" s="81">
        <f>IFERROR(HLOOKUP(K798,データについて!$J$5:$AH$20,14,FALSE),"")</f>
        <v>3</v>
      </c>
      <c r="AC798" s="81">
        <f>IF(X798=1,HLOOKUP(R798,データについて!$J$12:$M$18,7,FALSE),"*")</f>
        <v>2</v>
      </c>
      <c r="AD798" s="81" t="str">
        <f>IF(X798=2,HLOOKUP(R798,データについて!$J$12:$M$18,7,FALSE),"*")</f>
        <v>*</v>
      </c>
    </row>
    <row r="799" spans="1:30">
      <c r="A799" s="30">
        <v>4393</v>
      </c>
      <c r="B799" s="30" t="s">
        <v>3108</v>
      </c>
      <c r="C799" s="30" t="s">
        <v>3109</v>
      </c>
      <c r="D799" s="30" t="s">
        <v>106</v>
      </c>
      <c r="E799" s="30"/>
      <c r="F799" s="30" t="s">
        <v>107</v>
      </c>
      <c r="G799" s="30" t="s">
        <v>106</v>
      </c>
      <c r="H799" s="30"/>
      <c r="I799" s="30" t="s">
        <v>191</v>
      </c>
      <c r="J799" s="30"/>
      <c r="K799" s="30" t="s">
        <v>3098</v>
      </c>
      <c r="L799" s="30" t="s">
        <v>108</v>
      </c>
      <c r="M799" s="30" t="s">
        <v>109</v>
      </c>
      <c r="N799" s="30" t="s">
        <v>110</v>
      </c>
      <c r="O799" s="30" t="s">
        <v>115</v>
      </c>
      <c r="P799" s="30" t="s">
        <v>112</v>
      </c>
      <c r="Q799" s="30" t="s">
        <v>118</v>
      </c>
      <c r="R799" s="30" t="s">
        <v>187</v>
      </c>
      <c r="S799" s="81">
        <f>HLOOKUP(L799,データについて!$J$6:$M$18,13,FALSE)</f>
        <v>1</v>
      </c>
      <c r="T799" s="81">
        <f>HLOOKUP(M799,データについて!$J$7:$M$18,12,FALSE)</f>
        <v>2</v>
      </c>
      <c r="U799" s="81">
        <f>HLOOKUP(N799,データについて!$J$8:$M$18,11,FALSE)</f>
        <v>2</v>
      </c>
      <c r="V799" s="81">
        <f>HLOOKUP(O799,データについて!$J$9:$M$18,10,FALSE)</f>
        <v>1</v>
      </c>
      <c r="W799" s="81">
        <f>HLOOKUP(P799,データについて!$J$10:$M$18,9,FALSE)</f>
        <v>1</v>
      </c>
      <c r="X799" s="81">
        <f>HLOOKUP(Q799,データについて!$J$11:$M$18,8,FALSE)</f>
        <v>2</v>
      </c>
      <c r="Y799" s="81">
        <f>HLOOKUP(R799,データについて!$J$12:$M$18,7,FALSE)</f>
        <v>3</v>
      </c>
      <c r="Z799" s="81">
        <f>HLOOKUP(I799,データについて!$J$3:$M$18,16,FALSE)</f>
        <v>2</v>
      </c>
      <c r="AA799" s="81" t="str">
        <f>IFERROR(HLOOKUP(J799,データについて!$J$4:$AH$19,16,FALSE),"")</f>
        <v/>
      </c>
      <c r="AB799" s="81">
        <f>IFERROR(HLOOKUP(K799,データについて!$J$5:$AH$20,14,FALSE),"")</f>
        <v>3</v>
      </c>
      <c r="AC799" s="81" t="str">
        <f>IF(X799=1,HLOOKUP(R799,データについて!$J$12:$M$18,7,FALSE),"*")</f>
        <v>*</v>
      </c>
      <c r="AD799" s="81">
        <f>IF(X799=2,HLOOKUP(R799,データについて!$J$12:$M$18,7,FALSE),"*")</f>
        <v>3</v>
      </c>
    </row>
    <row r="800" spans="1:30">
      <c r="A800" s="30">
        <v>4392</v>
      </c>
      <c r="B800" s="30" t="s">
        <v>3110</v>
      </c>
      <c r="C800" s="30" t="s">
        <v>3111</v>
      </c>
      <c r="D800" s="30" t="s">
        <v>106</v>
      </c>
      <c r="E800" s="30"/>
      <c r="F800" s="30" t="s">
        <v>107</v>
      </c>
      <c r="G800" s="30" t="s">
        <v>106</v>
      </c>
      <c r="H800" s="30"/>
      <c r="I800" s="30" t="s">
        <v>191</v>
      </c>
      <c r="J800" s="30"/>
      <c r="K800" s="30" t="s">
        <v>3098</v>
      </c>
      <c r="L800" s="30" t="s">
        <v>117</v>
      </c>
      <c r="M800" s="30" t="s">
        <v>109</v>
      </c>
      <c r="N800" s="30" t="s">
        <v>114</v>
      </c>
      <c r="O800" s="30" t="s">
        <v>123</v>
      </c>
      <c r="P800" s="30" t="s">
        <v>112</v>
      </c>
      <c r="Q800" s="30" t="s">
        <v>112</v>
      </c>
      <c r="R800" s="30" t="s">
        <v>187</v>
      </c>
      <c r="S800" s="81">
        <f>HLOOKUP(L800,データについて!$J$6:$M$18,13,FALSE)</f>
        <v>2</v>
      </c>
      <c r="T800" s="81">
        <f>HLOOKUP(M800,データについて!$J$7:$M$18,12,FALSE)</f>
        <v>2</v>
      </c>
      <c r="U800" s="81">
        <f>HLOOKUP(N800,データについて!$J$8:$M$18,11,FALSE)</f>
        <v>1</v>
      </c>
      <c r="V800" s="81">
        <f>HLOOKUP(O800,データについて!$J$9:$M$18,10,FALSE)</f>
        <v>4</v>
      </c>
      <c r="W800" s="81">
        <f>HLOOKUP(P800,データについて!$J$10:$M$18,9,FALSE)</f>
        <v>1</v>
      </c>
      <c r="X800" s="81">
        <f>HLOOKUP(Q800,データについて!$J$11:$M$18,8,FALSE)</f>
        <v>1</v>
      </c>
      <c r="Y800" s="81">
        <f>HLOOKUP(R800,データについて!$J$12:$M$18,7,FALSE)</f>
        <v>3</v>
      </c>
      <c r="Z800" s="81">
        <f>HLOOKUP(I800,データについて!$J$3:$M$18,16,FALSE)</f>
        <v>2</v>
      </c>
      <c r="AA800" s="81" t="str">
        <f>IFERROR(HLOOKUP(J800,データについて!$J$4:$AH$19,16,FALSE),"")</f>
        <v/>
      </c>
      <c r="AB800" s="81">
        <f>IFERROR(HLOOKUP(K800,データについて!$J$5:$AH$20,14,FALSE),"")</f>
        <v>3</v>
      </c>
      <c r="AC800" s="81">
        <f>IF(X800=1,HLOOKUP(R800,データについて!$J$12:$M$18,7,FALSE),"*")</f>
        <v>3</v>
      </c>
      <c r="AD800" s="81" t="str">
        <f>IF(X800=2,HLOOKUP(R800,データについて!$J$12:$M$18,7,FALSE),"*")</f>
        <v>*</v>
      </c>
    </row>
    <row r="801" spans="1:30">
      <c r="A801" s="30">
        <v>4391</v>
      </c>
      <c r="B801" s="30" t="s">
        <v>3112</v>
      </c>
      <c r="C801" s="30" t="s">
        <v>3111</v>
      </c>
      <c r="D801" s="30" t="s">
        <v>106</v>
      </c>
      <c r="E801" s="30"/>
      <c r="F801" s="30" t="s">
        <v>107</v>
      </c>
      <c r="G801" s="30" t="s">
        <v>106</v>
      </c>
      <c r="H801" s="30"/>
      <c r="I801" s="30" t="s">
        <v>191</v>
      </c>
      <c r="J801" s="30"/>
      <c r="K801" s="30" t="s">
        <v>3098</v>
      </c>
      <c r="L801" s="30" t="s">
        <v>108</v>
      </c>
      <c r="M801" s="30" t="s">
        <v>109</v>
      </c>
      <c r="N801" s="30" t="s">
        <v>110</v>
      </c>
      <c r="O801" s="30" t="s">
        <v>115</v>
      </c>
      <c r="P801" s="30" t="s">
        <v>112</v>
      </c>
      <c r="Q801" s="30" t="s">
        <v>112</v>
      </c>
      <c r="R801" s="30" t="s">
        <v>185</v>
      </c>
      <c r="S801" s="81">
        <f>HLOOKUP(L801,データについて!$J$6:$M$18,13,FALSE)</f>
        <v>1</v>
      </c>
      <c r="T801" s="81">
        <f>HLOOKUP(M801,データについて!$J$7:$M$18,12,FALSE)</f>
        <v>2</v>
      </c>
      <c r="U801" s="81">
        <f>HLOOKUP(N801,データについて!$J$8:$M$18,11,FALSE)</f>
        <v>2</v>
      </c>
      <c r="V801" s="81">
        <f>HLOOKUP(O801,データについて!$J$9:$M$18,10,FALSE)</f>
        <v>1</v>
      </c>
      <c r="W801" s="81">
        <f>HLOOKUP(P801,データについて!$J$10:$M$18,9,FALSE)</f>
        <v>1</v>
      </c>
      <c r="X801" s="81">
        <f>HLOOKUP(Q801,データについて!$J$11:$M$18,8,FALSE)</f>
        <v>1</v>
      </c>
      <c r="Y801" s="81">
        <f>HLOOKUP(R801,データについて!$J$12:$M$18,7,FALSE)</f>
        <v>2</v>
      </c>
      <c r="Z801" s="81">
        <f>HLOOKUP(I801,データについて!$J$3:$M$18,16,FALSE)</f>
        <v>2</v>
      </c>
      <c r="AA801" s="81" t="str">
        <f>IFERROR(HLOOKUP(J801,データについて!$J$4:$AH$19,16,FALSE),"")</f>
        <v/>
      </c>
      <c r="AB801" s="81">
        <f>IFERROR(HLOOKUP(K801,データについて!$J$5:$AH$20,14,FALSE),"")</f>
        <v>3</v>
      </c>
      <c r="AC801" s="81">
        <f>IF(X801=1,HLOOKUP(R801,データについて!$J$12:$M$18,7,FALSE),"*")</f>
        <v>2</v>
      </c>
      <c r="AD801" s="81" t="str">
        <f>IF(X801=2,HLOOKUP(R801,データについて!$J$12:$M$18,7,FALSE),"*")</f>
        <v>*</v>
      </c>
    </row>
    <row r="802" spans="1:30">
      <c r="A802" s="30">
        <v>4390</v>
      </c>
      <c r="B802" s="30" t="s">
        <v>3113</v>
      </c>
      <c r="C802" s="30" t="s">
        <v>3114</v>
      </c>
      <c r="D802" s="30" t="s">
        <v>106</v>
      </c>
      <c r="E802" s="30"/>
      <c r="F802" s="30" t="s">
        <v>107</v>
      </c>
      <c r="G802" s="30" t="s">
        <v>106</v>
      </c>
      <c r="H802" s="30"/>
      <c r="I802" s="30" t="s">
        <v>191</v>
      </c>
      <c r="J802" s="30"/>
      <c r="K802" s="30" t="s">
        <v>3098</v>
      </c>
      <c r="L802" s="30" t="s">
        <v>117</v>
      </c>
      <c r="M802" s="30" t="s">
        <v>113</v>
      </c>
      <c r="N802" s="30" t="s">
        <v>110</v>
      </c>
      <c r="O802" s="30" t="s">
        <v>115</v>
      </c>
      <c r="P802" s="30" t="s">
        <v>112</v>
      </c>
      <c r="Q802" s="30" t="s">
        <v>112</v>
      </c>
      <c r="R802" s="30" t="s">
        <v>183</v>
      </c>
      <c r="S802" s="81">
        <f>HLOOKUP(L802,データについて!$J$6:$M$18,13,FALSE)</f>
        <v>2</v>
      </c>
      <c r="T802" s="81">
        <f>HLOOKUP(M802,データについて!$J$7:$M$18,12,FALSE)</f>
        <v>1</v>
      </c>
      <c r="U802" s="81">
        <f>HLOOKUP(N802,データについて!$J$8:$M$18,11,FALSE)</f>
        <v>2</v>
      </c>
      <c r="V802" s="81">
        <f>HLOOKUP(O802,データについて!$J$9:$M$18,10,FALSE)</f>
        <v>1</v>
      </c>
      <c r="W802" s="81">
        <f>HLOOKUP(P802,データについて!$J$10:$M$18,9,FALSE)</f>
        <v>1</v>
      </c>
      <c r="X802" s="81">
        <f>HLOOKUP(Q802,データについて!$J$11:$M$18,8,FALSE)</f>
        <v>1</v>
      </c>
      <c r="Y802" s="81">
        <f>HLOOKUP(R802,データについて!$J$12:$M$18,7,FALSE)</f>
        <v>1</v>
      </c>
      <c r="Z802" s="81">
        <f>HLOOKUP(I802,データについて!$J$3:$M$18,16,FALSE)</f>
        <v>2</v>
      </c>
      <c r="AA802" s="81" t="str">
        <f>IFERROR(HLOOKUP(J802,データについて!$J$4:$AH$19,16,FALSE),"")</f>
        <v/>
      </c>
      <c r="AB802" s="81">
        <f>IFERROR(HLOOKUP(K802,データについて!$J$5:$AH$20,14,FALSE),"")</f>
        <v>3</v>
      </c>
      <c r="AC802" s="81">
        <f>IF(X802=1,HLOOKUP(R802,データについて!$J$12:$M$18,7,FALSE),"*")</f>
        <v>1</v>
      </c>
      <c r="AD802" s="81" t="str">
        <f>IF(X802=2,HLOOKUP(R802,データについて!$J$12:$M$18,7,FALSE),"*")</f>
        <v>*</v>
      </c>
    </row>
    <row r="803" spans="1:30">
      <c r="A803" s="30">
        <v>4389</v>
      </c>
      <c r="B803" s="30" t="s">
        <v>3115</v>
      </c>
      <c r="C803" s="30" t="s">
        <v>3114</v>
      </c>
      <c r="D803" s="30" t="s">
        <v>106</v>
      </c>
      <c r="E803" s="30"/>
      <c r="F803" s="30" t="s">
        <v>107</v>
      </c>
      <c r="G803" s="30" t="s">
        <v>106</v>
      </c>
      <c r="H803" s="30"/>
      <c r="I803" s="30" t="s">
        <v>191</v>
      </c>
      <c r="J803" s="30"/>
      <c r="K803" s="30" t="s">
        <v>3098</v>
      </c>
      <c r="L803" s="30" t="s">
        <v>117</v>
      </c>
      <c r="M803" s="30" t="s">
        <v>113</v>
      </c>
      <c r="N803" s="30" t="s">
        <v>114</v>
      </c>
      <c r="O803" s="30" t="s">
        <v>115</v>
      </c>
      <c r="P803" s="30" t="s">
        <v>112</v>
      </c>
      <c r="Q803" s="30" t="s">
        <v>112</v>
      </c>
      <c r="R803" s="30" t="s">
        <v>187</v>
      </c>
      <c r="S803" s="81">
        <f>HLOOKUP(L803,データについて!$J$6:$M$18,13,FALSE)</f>
        <v>2</v>
      </c>
      <c r="T803" s="81">
        <f>HLOOKUP(M803,データについて!$J$7:$M$18,12,FALSE)</f>
        <v>1</v>
      </c>
      <c r="U803" s="81">
        <f>HLOOKUP(N803,データについて!$J$8:$M$18,11,FALSE)</f>
        <v>1</v>
      </c>
      <c r="V803" s="81">
        <f>HLOOKUP(O803,データについて!$J$9:$M$18,10,FALSE)</f>
        <v>1</v>
      </c>
      <c r="W803" s="81">
        <f>HLOOKUP(P803,データについて!$J$10:$M$18,9,FALSE)</f>
        <v>1</v>
      </c>
      <c r="X803" s="81">
        <f>HLOOKUP(Q803,データについて!$J$11:$M$18,8,FALSE)</f>
        <v>1</v>
      </c>
      <c r="Y803" s="81">
        <f>HLOOKUP(R803,データについて!$J$12:$M$18,7,FALSE)</f>
        <v>3</v>
      </c>
      <c r="Z803" s="81">
        <f>HLOOKUP(I803,データについて!$J$3:$M$18,16,FALSE)</f>
        <v>2</v>
      </c>
      <c r="AA803" s="81" t="str">
        <f>IFERROR(HLOOKUP(J803,データについて!$J$4:$AH$19,16,FALSE),"")</f>
        <v/>
      </c>
      <c r="AB803" s="81">
        <f>IFERROR(HLOOKUP(K803,データについて!$J$5:$AH$20,14,FALSE),"")</f>
        <v>3</v>
      </c>
      <c r="AC803" s="81">
        <f>IF(X803=1,HLOOKUP(R803,データについて!$J$12:$M$18,7,FALSE),"*")</f>
        <v>3</v>
      </c>
      <c r="AD803" s="81" t="str">
        <f>IF(X803=2,HLOOKUP(R803,データについて!$J$12:$M$18,7,FALSE),"*")</f>
        <v>*</v>
      </c>
    </row>
    <row r="804" spans="1:30">
      <c r="A804" s="30">
        <v>4388</v>
      </c>
      <c r="B804" s="30" t="s">
        <v>3116</v>
      </c>
      <c r="C804" s="30" t="s">
        <v>3117</v>
      </c>
      <c r="D804" s="30" t="s">
        <v>106</v>
      </c>
      <c r="E804" s="30"/>
      <c r="F804" s="30" t="s">
        <v>107</v>
      </c>
      <c r="G804" s="30" t="s">
        <v>106</v>
      </c>
      <c r="H804" s="30"/>
      <c r="I804" s="30" t="s">
        <v>191</v>
      </c>
      <c r="J804" s="30"/>
      <c r="K804" s="30" t="s">
        <v>3098</v>
      </c>
      <c r="L804" s="30" t="s">
        <v>117</v>
      </c>
      <c r="M804" s="30" t="s">
        <v>113</v>
      </c>
      <c r="N804" s="30" t="s">
        <v>119</v>
      </c>
      <c r="O804" s="30" t="s">
        <v>115</v>
      </c>
      <c r="P804" s="30" t="s">
        <v>118</v>
      </c>
      <c r="Q804" s="30" t="s">
        <v>112</v>
      </c>
      <c r="R804" s="30" t="s">
        <v>183</v>
      </c>
      <c r="S804" s="81">
        <f>HLOOKUP(L804,データについて!$J$6:$M$18,13,FALSE)</f>
        <v>2</v>
      </c>
      <c r="T804" s="81">
        <f>HLOOKUP(M804,データについて!$J$7:$M$18,12,FALSE)</f>
        <v>1</v>
      </c>
      <c r="U804" s="81">
        <f>HLOOKUP(N804,データについて!$J$8:$M$18,11,FALSE)</f>
        <v>4</v>
      </c>
      <c r="V804" s="81">
        <f>HLOOKUP(O804,データについて!$J$9:$M$18,10,FALSE)</f>
        <v>1</v>
      </c>
      <c r="W804" s="81">
        <f>HLOOKUP(P804,データについて!$J$10:$M$18,9,FALSE)</f>
        <v>2</v>
      </c>
      <c r="X804" s="81">
        <f>HLOOKUP(Q804,データについて!$J$11:$M$18,8,FALSE)</f>
        <v>1</v>
      </c>
      <c r="Y804" s="81">
        <f>HLOOKUP(R804,データについて!$J$12:$M$18,7,FALSE)</f>
        <v>1</v>
      </c>
      <c r="Z804" s="81">
        <f>HLOOKUP(I804,データについて!$J$3:$M$18,16,FALSE)</f>
        <v>2</v>
      </c>
      <c r="AA804" s="81" t="str">
        <f>IFERROR(HLOOKUP(J804,データについて!$J$4:$AH$19,16,FALSE),"")</f>
        <v/>
      </c>
      <c r="AB804" s="81">
        <f>IFERROR(HLOOKUP(K804,データについて!$J$5:$AH$20,14,FALSE),"")</f>
        <v>3</v>
      </c>
      <c r="AC804" s="81">
        <f>IF(X804=1,HLOOKUP(R804,データについて!$J$12:$M$18,7,FALSE),"*")</f>
        <v>1</v>
      </c>
      <c r="AD804" s="81" t="str">
        <f>IF(X804=2,HLOOKUP(R804,データについて!$J$12:$M$18,7,FALSE),"*")</f>
        <v>*</v>
      </c>
    </row>
    <row r="805" spans="1:30">
      <c r="A805" s="30">
        <v>4387</v>
      </c>
      <c r="B805" s="30" t="s">
        <v>3118</v>
      </c>
      <c r="C805" s="30" t="s">
        <v>3117</v>
      </c>
      <c r="D805" s="30" t="s">
        <v>106</v>
      </c>
      <c r="E805" s="30"/>
      <c r="F805" s="30" t="s">
        <v>107</v>
      </c>
      <c r="G805" s="30" t="s">
        <v>106</v>
      </c>
      <c r="H805" s="30"/>
      <c r="I805" s="30" t="s">
        <v>191</v>
      </c>
      <c r="J805" s="30"/>
      <c r="K805" s="30" t="s">
        <v>3098</v>
      </c>
      <c r="L805" s="30" t="s">
        <v>117</v>
      </c>
      <c r="M805" s="30" t="s">
        <v>113</v>
      </c>
      <c r="N805" s="30" t="s">
        <v>110</v>
      </c>
      <c r="O805" s="30" t="s">
        <v>115</v>
      </c>
      <c r="P805" s="30" t="s">
        <v>112</v>
      </c>
      <c r="Q805" s="30" t="s">
        <v>118</v>
      </c>
      <c r="R805" s="30" t="s">
        <v>183</v>
      </c>
      <c r="S805" s="81">
        <f>HLOOKUP(L805,データについて!$J$6:$M$18,13,FALSE)</f>
        <v>2</v>
      </c>
      <c r="T805" s="81">
        <f>HLOOKUP(M805,データについて!$J$7:$M$18,12,FALSE)</f>
        <v>1</v>
      </c>
      <c r="U805" s="81">
        <f>HLOOKUP(N805,データについて!$J$8:$M$18,11,FALSE)</f>
        <v>2</v>
      </c>
      <c r="V805" s="81">
        <f>HLOOKUP(O805,データについて!$J$9:$M$18,10,FALSE)</f>
        <v>1</v>
      </c>
      <c r="W805" s="81">
        <f>HLOOKUP(P805,データについて!$J$10:$M$18,9,FALSE)</f>
        <v>1</v>
      </c>
      <c r="X805" s="81">
        <f>HLOOKUP(Q805,データについて!$J$11:$M$18,8,FALSE)</f>
        <v>2</v>
      </c>
      <c r="Y805" s="81">
        <f>HLOOKUP(R805,データについて!$J$12:$M$18,7,FALSE)</f>
        <v>1</v>
      </c>
      <c r="Z805" s="81">
        <f>HLOOKUP(I805,データについて!$J$3:$M$18,16,FALSE)</f>
        <v>2</v>
      </c>
      <c r="AA805" s="81" t="str">
        <f>IFERROR(HLOOKUP(J805,データについて!$J$4:$AH$19,16,FALSE),"")</f>
        <v/>
      </c>
      <c r="AB805" s="81">
        <f>IFERROR(HLOOKUP(K805,データについて!$J$5:$AH$20,14,FALSE),"")</f>
        <v>3</v>
      </c>
      <c r="AC805" s="81" t="str">
        <f>IF(X805=1,HLOOKUP(R805,データについて!$J$12:$M$18,7,FALSE),"*")</f>
        <v>*</v>
      </c>
      <c r="AD805" s="81">
        <f>IF(X805=2,HLOOKUP(R805,データについて!$J$12:$M$18,7,FALSE),"*")</f>
        <v>1</v>
      </c>
    </row>
    <row r="806" spans="1:30">
      <c r="A806" s="30">
        <v>4386</v>
      </c>
      <c r="B806" s="30" t="s">
        <v>3119</v>
      </c>
      <c r="C806" s="30" t="s">
        <v>3120</v>
      </c>
      <c r="D806" s="30" t="s">
        <v>106</v>
      </c>
      <c r="E806" s="30"/>
      <c r="F806" s="30" t="s">
        <v>107</v>
      </c>
      <c r="G806" s="30" t="s">
        <v>106</v>
      </c>
      <c r="H806" s="30"/>
      <c r="I806" s="30" t="s">
        <v>191</v>
      </c>
      <c r="J806" s="30"/>
      <c r="K806" s="30" t="s">
        <v>3098</v>
      </c>
      <c r="L806" s="30" t="s">
        <v>117</v>
      </c>
      <c r="M806" s="30" t="s">
        <v>109</v>
      </c>
      <c r="N806" s="30" t="s">
        <v>110</v>
      </c>
      <c r="O806" s="30" t="s">
        <v>115</v>
      </c>
      <c r="P806" s="30" t="s">
        <v>118</v>
      </c>
      <c r="Q806" s="30" t="s">
        <v>112</v>
      </c>
      <c r="R806" s="30" t="s">
        <v>183</v>
      </c>
      <c r="S806" s="81">
        <f>HLOOKUP(L806,データについて!$J$6:$M$18,13,FALSE)</f>
        <v>2</v>
      </c>
      <c r="T806" s="81">
        <f>HLOOKUP(M806,データについて!$J$7:$M$18,12,FALSE)</f>
        <v>2</v>
      </c>
      <c r="U806" s="81">
        <f>HLOOKUP(N806,データについて!$J$8:$M$18,11,FALSE)</f>
        <v>2</v>
      </c>
      <c r="V806" s="81">
        <f>HLOOKUP(O806,データについて!$J$9:$M$18,10,FALSE)</f>
        <v>1</v>
      </c>
      <c r="W806" s="81">
        <f>HLOOKUP(P806,データについて!$J$10:$M$18,9,FALSE)</f>
        <v>2</v>
      </c>
      <c r="X806" s="81">
        <f>HLOOKUP(Q806,データについて!$J$11:$M$18,8,FALSE)</f>
        <v>1</v>
      </c>
      <c r="Y806" s="81">
        <f>HLOOKUP(R806,データについて!$J$12:$M$18,7,FALSE)</f>
        <v>1</v>
      </c>
      <c r="Z806" s="81">
        <f>HLOOKUP(I806,データについて!$J$3:$M$18,16,FALSE)</f>
        <v>2</v>
      </c>
      <c r="AA806" s="81" t="str">
        <f>IFERROR(HLOOKUP(J806,データについて!$J$4:$AH$19,16,FALSE),"")</f>
        <v/>
      </c>
      <c r="AB806" s="81">
        <f>IFERROR(HLOOKUP(K806,データについて!$J$5:$AH$20,14,FALSE),"")</f>
        <v>3</v>
      </c>
      <c r="AC806" s="81">
        <f>IF(X806=1,HLOOKUP(R806,データについて!$J$12:$M$18,7,FALSE),"*")</f>
        <v>1</v>
      </c>
      <c r="AD806" s="81" t="str">
        <f>IF(X806=2,HLOOKUP(R806,データについて!$J$12:$M$18,7,FALSE),"*")</f>
        <v>*</v>
      </c>
    </row>
    <row r="807" spans="1:30">
      <c r="A807" s="30">
        <v>4385</v>
      </c>
      <c r="B807" s="30" t="s">
        <v>3121</v>
      </c>
      <c r="C807" s="30" t="s">
        <v>3120</v>
      </c>
      <c r="D807" s="30" t="s">
        <v>106</v>
      </c>
      <c r="E807" s="30"/>
      <c r="F807" s="30" t="s">
        <v>107</v>
      </c>
      <c r="G807" s="30" t="s">
        <v>106</v>
      </c>
      <c r="H807" s="30"/>
      <c r="I807" s="30" t="s">
        <v>191</v>
      </c>
      <c r="J807" s="30"/>
      <c r="K807" s="30" t="s">
        <v>3098</v>
      </c>
      <c r="L807" s="30" t="s">
        <v>108</v>
      </c>
      <c r="M807" s="30" t="s">
        <v>109</v>
      </c>
      <c r="N807" s="30" t="s">
        <v>110</v>
      </c>
      <c r="O807" s="30" t="s">
        <v>115</v>
      </c>
      <c r="P807" s="30" t="s">
        <v>112</v>
      </c>
      <c r="Q807" s="30" t="s">
        <v>118</v>
      </c>
      <c r="R807" s="30" t="s">
        <v>187</v>
      </c>
      <c r="S807" s="81">
        <f>HLOOKUP(L807,データについて!$J$6:$M$18,13,FALSE)</f>
        <v>1</v>
      </c>
      <c r="T807" s="81">
        <f>HLOOKUP(M807,データについて!$J$7:$M$18,12,FALSE)</f>
        <v>2</v>
      </c>
      <c r="U807" s="81">
        <f>HLOOKUP(N807,データについて!$J$8:$M$18,11,FALSE)</f>
        <v>2</v>
      </c>
      <c r="V807" s="81">
        <f>HLOOKUP(O807,データについて!$J$9:$M$18,10,FALSE)</f>
        <v>1</v>
      </c>
      <c r="W807" s="81">
        <f>HLOOKUP(P807,データについて!$J$10:$M$18,9,FALSE)</f>
        <v>1</v>
      </c>
      <c r="X807" s="81">
        <f>HLOOKUP(Q807,データについて!$J$11:$M$18,8,FALSE)</f>
        <v>2</v>
      </c>
      <c r="Y807" s="81">
        <f>HLOOKUP(R807,データについて!$J$12:$M$18,7,FALSE)</f>
        <v>3</v>
      </c>
      <c r="Z807" s="81">
        <f>HLOOKUP(I807,データについて!$J$3:$M$18,16,FALSE)</f>
        <v>2</v>
      </c>
      <c r="AA807" s="81" t="str">
        <f>IFERROR(HLOOKUP(J807,データについて!$J$4:$AH$19,16,FALSE),"")</f>
        <v/>
      </c>
      <c r="AB807" s="81">
        <f>IFERROR(HLOOKUP(K807,データについて!$J$5:$AH$20,14,FALSE),"")</f>
        <v>3</v>
      </c>
      <c r="AC807" s="81" t="str">
        <f>IF(X807=1,HLOOKUP(R807,データについて!$J$12:$M$18,7,FALSE),"*")</f>
        <v>*</v>
      </c>
      <c r="AD807" s="81">
        <f>IF(X807=2,HLOOKUP(R807,データについて!$J$12:$M$18,7,FALSE),"*")</f>
        <v>3</v>
      </c>
    </row>
    <row r="808" spans="1:30">
      <c r="A808" s="30">
        <v>4384</v>
      </c>
      <c r="B808" s="30" t="s">
        <v>3122</v>
      </c>
      <c r="C808" s="30" t="s">
        <v>3123</v>
      </c>
      <c r="D808" s="30" t="s">
        <v>106</v>
      </c>
      <c r="E808" s="30"/>
      <c r="F808" s="30" t="s">
        <v>107</v>
      </c>
      <c r="G808" s="30" t="s">
        <v>106</v>
      </c>
      <c r="H808" s="30"/>
      <c r="I808" s="30" t="s">
        <v>191</v>
      </c>
      <c r="J808" s="30"/>
      <c r="K808" s="30" t="s">
        <v>3098</v>
      </c>
      <c r="L808" s="30" t="s">
        <v>108</v>
      </c>
      <c r="M808" s="30" t="s">
        <v>113</v>
      </c>
      <c r="N808" s="30" t="s">
        <v>114</v>
      </c>
      <c r="O808" s="30" t="s">
        <v>115</v>
      </c>
      <c r="P808" s="30" t="s">
        <v>112</v>
      </c>
      <c r="Q808" s="30" t="s">
        <v>112</v>
      </c>
      <c r="R808" s="30" t="s">
        <v>187</v>
      </c>
      <c r="S808" s="81">
        <f>HLOOKUP(L808,データについて!$J$6:$M$18,13,FALSE)</f>
        <v>1</v>
      </c>
      <c r="T808" s="81">
        <f>HLOOKUP(M808,データについて!$J$7:$M$18,12,FALSE)</f>
        <v>1</v>
      </c>
      <c r="U808" s="81">
        <f>HLOOKUP(N808,データについて!$J$8:$M$18,11,FALSE)</f>
        <v>1</v>
      </c>
      <c r="V808" s="81">
        <f>HLOOKUP(O808,データについて!$J$9:$M$18,10,FALSE)</f>
        <v>1</v>
      </c>
      <c r="W808" s="81">
        <f>HLOOKUP(P808,データについて!$J$10:$M$18,9,FALSE)</f>
        <v>1</v>
      </c>
      <c r="X808" s="81">
        <f>HLOOKUP(Q808,データについて!$J$11:$M$18,8,FALSE)</f>
        <v>1</v>
      </c>
      <c r="Y808" s="81">
        <f>HLOOKUP(R808,データについて!$J$12:$M$18,7,FALSE)</f>
        <v>3</v>
      </c>
      <c r="Z808" s="81">
        <f>HLOOKUP(I808,データについて!$J$3:$M$18,16,FALSE)</f>
        <v>2</v>
      </c>
      <c r="AA808" s="81" t="str">
        <f>IFERROR(HLOOKUP(J808,データについて!$J$4:$AH$19,16,FALSE),"")</f>
        <v/>
      </c>
      <c r="AB808" s="81">
        <f>IFERROR(HLOOKUP(K808,データについて!$J$5:$AH$20,14,FALSE),"")</f>
        <v>3</v>
      </c>
      <c r="AC808" s="81">
        <f>IF(X808=1,HLOOKUP(R808,データについて!$J$12:$M$18,7,FALSE),"*")</f>
        <v>3</v>
      </c>
      <c r="AD808" s="81" t="str">
        <f>IF(X808=2,HLOOKUP(R808,データについて!$J$12:$M$18,7,FALSE),"*")</f>
        <v>*</v>
      </c>
    </row>
    <row r="809" spans="1:30">
      <c r="A809" s="30">
        <v>4383</v>
      </c>
      <c r="B809" s="30" t="s">
        <v>3124</v>
      </c>
      <c r="C809" s="30" t="s">
        <v>3125</v>
      </c>
      <c r="D809" s="30" t="s">
        <v>106</v>
      </c>
      <c r="E809" s="30"/>
      <c r="F809" s="30" t="s">
        <v>107</v>
      </c>
      <c r="G809" s="30" t="s">
        <v>106</v>
      </c>
      <c r="H809" s="30"/>
      <c r="I809" s="30" t="s">
        <v>191</v>
      </c>
      <c r="J809" s="30"/>
      <c r="K809" s="30" t="s">
        <v>3098</v>
      </c>
      <c r="L809" s="30" t="s">
        <v>108</v>
      </c>
      <c r="M809" s="30" t="s">
        <v>113</v>
      </c>
      <c r="N809" s="30" t="s">
        <v>114</v>
      </c>
      <c r="O809" s="30" t="s">
        <v>115</v>
      </c>
      <c r="P809" s="30" t="s">
        <v>112</v>
      </c>
      <c r="Q809" s="30" t="s">
        <v>112</v>
      </c>
      <c r="R809" s="30" t="s">
        <v>183</v>
      </c>
      <c r="S809" s="81">
        <f>HLOOKUP(L809,データについて!$J$6:$M$18,13,FALSE)</f>
        <v>1</v>
      </c>
      <c r="T809" s="81">
        <f>HLOOKUP(M809,データについて!$J$7:$M$18,12,FALSE)</f>
        <v>1</v>
      </c>
      <c r="U809" s="81">
        <f>HLOOKUP(N809,データについて!$J$8:$M$18,11,FALSE)</f>
        <v>1</v>
      </c>
      <c r="V809" s="81">
        <f>HLOOKUP(O809,データについて!$J$9:$M$18,10,FALSE)</f>
        <v>1</v>
      </c>
      <c r="W809" s="81">
        <f>HLOOKUP(P809,データについて!$J$10:$M$18,9,FALSE)</f>
        <v>1</v>
      </c>
      <c r="X809" s="81">
        <f>HLOOKUP(Q809,データについて!$J$11:$M$18,8,FALSE)</f>
        <v>1</v>
      </c>
      <c r="Y809" s="81">
        <f>HLOOKUP(R809,データについて!$J$12:$M$18,7,FALSE)</f>
        <v>1</v>
      </c>
      <c r="Z809" s="81">
        <f>HLOOKUP(I809,データについて!$J$3:$M$18,16,FALSE)</f>
        <v>2</v>
      </c>
      <c r="AA809" s="81" t="str">
        <f>IFERROR(HLOOKUP(J809,データについて!$J$4:$AH$19,16,FALSE),"")</f>
        <v/>
      </c>
      <c r="AB809" s="81">
        <f>IFERROR(HLOOKUP(K809,データについて!$J$5:$AH$20,14,FALSE),"")</f>
        <v>3</v>
      </c>
      <c r="AC809" s="81">
        <f>IF(X809=1,HLOOKUP(R809,データについて!$J$12:$M$18,7,FALSE),"*")</f>
        <v>1</v>
      </c>
      <c r="AD809" s="81" t="str">
        <f>IF(X809=2,HLOOKUP(R809,データについて!$J$12:$M$18,7,FALSE),"*")</f>
        <v>*</v>
      </c>
    </row>
    <row r="810" spans="1:30">
      <c r="A810" s="30">
        <v>4382</v>
      </c>
      <c r="B810" s="30" t="s">
        <v>3126</v>
      </c>
      <c r="C810" s="30" t="s">
        <v>3127</v>
      </c>
      <c r="D810" s="30" t="s">
        <v>106</v>
      </c>
      <c r="E810" s="30"/>
      <c r="F810" s="30" t="s">
        <v>107</v>
      </c>
      <c r="G810" s="30" t="s">
        <v>106</v>
      </c>
      <c r="H810" s="30"/>
      <c r="I810" s="30" t="s">
        <v>191</v>
      </c>
      <c r="J810" s="30"/>
      <c r="K810" s="30" t="s">
        <v>3098</v>
      </c>
      <c r="L810" s="30" t="s">
        <v>108</v>
      </c>
      <c r="M810" s="30" t="s">
        <v>113</v>
      </c>
      <c r="N810" s="30" t="s">
        <v>114</v>
      </c>
      <c r="O810" s="30" t="s">
        <v>115</v>
      </c>
      <c r="P810" s="30" t="s">
        <v>112</v>
      </c>
      <c r="Q810" s="30" t="s">
        <v>118</v>
      </c>
      <c r="R810" s="30" t="s">
        <v>187</v>
      </c>
      <c r="S810" s="81">
        <f>HLOOKUP(L810,データについて!$J$6:$M$18,13,FALSE)</f>
        <v>1</v>
      </c>
      <c r="T810" s="81">
        <f>HLOOKUP(M810,データについて!$J$7:$M$18,12,FALSE)</f>
        <v>1</v>
      </c>
      <c r="U810" s="81">
        <f>HLOOKUP(N810,データについて!$J$8:$M$18,11,FALSE)</f>
        <v>1</v>
      </c>
      <c r="V810" s="81">
        <f>HLOOKUP(O810,データについて!$J$9:$M$18,10,FALSE)</f>
        <v>1</v>
      </c>
      <c r="W810" s="81">
        <f>HLOOKUP(P810,データについて!$J$10:$M$18,9,FALSE)</f>
        <v>1</v>
      </c>
      <c r="X810" s="81">
        <f>HLOOKUP(Q810,データについて!$J$11:$M$18,8,FALSE)</f>
        <v>2</v>
      </c>
      <c r="Y810" s="81">
        <f>HLOOKUP(R810,データについて!$J$12:$M$18,7,FALSE)</f>
        <v>3</v>
      </c>
      <c r="Z810" s="81">
        <f>HLOOKUP(I810,データについて!$J$3:$M$18,16,FALSE)</f>
        <v>2</v>
      </c>
      <c r="AA810" s="81" t="str">
        <f>IFERROR(HLOOKUP(J810,データについて!$J$4:$AH$19,16,FALSE),"")</f>
        <v/>
      </c>
      <c r="AB810" s="81">
        <f>IFERROR(HLOOKUP(K810,データについて!$J$5:$AH$20,14,FALSE),"")</f>
        <v>3</v>
      </c>
      <c r="AC810" s="81" t="str">
        <f>IF(X810=1,HLOOKUP(R810,データについて!$J$12:$M$18,7,FALSE),"*")</f>
        <v>*</v>
      </c>
      <c r="AD810" s="81">
        <f>IF(X810=2,HLOOKUP(R810,データについて!$J$12:$M$18,7,FALSE),"*")</f>
        <v>3</v>
      </c>
    </row>
    <row r="811" spans="1:30">
      <c r="A811" s="30">
        <v>4381</v>
      </c>
      <c r="B811" s="30" t="s">
        <v>3128</v>
      </c>
      <c r="C811" s="30" t="s">
        <v>3129</v>
      </c>
      <c r="D811" s="30" t="s">
        <v>106</v>
      </c>
      <c r="E811" s="30"/>
      <c r="F811" s="30" t="s">
        <v>107</v>
      </c>
      <c r="G811" s="30" t="s">
        <v>106</v>
      </c>
      <c r="H811" s="30"/>
      <c r="I811" s="30" t="s">
        <v>191</v>
      </c>
      <c r="J811" s="30"/>
      <c r="K811" s="30" t="s">
        <v>3098</v>
      </c>
      <c r="L811" s="30" t="s">
        <v>108</v>
      </c>
      <c r="M811" s="30" t="s">
        <v>113</v>
      </c>
      <c r="N811" s="30" t="s">
        <v>114</v>
      </c>
      <c r="O811" s="30" t="s">
        <v>115</v>
      </c>
      <c r="P811" s="30" t="s">
        <v>112</v>
      </c>
      <c r="Q811" s="30" t="s">
        <v>112</v>
      </c>
      <c r="R811" s="30" t="s">
        <v>183</v>
      </c>
      <c r="S811" s="81">
        <f>HLOOKUP(L811,データについて!$J$6:$M$18,13,FALSE)</f>
        <v>1</v>
      </c>
      <c r="T811" s="81">
        <f>HLOOKUP(M811,データについて!$J$7:$M$18,12,FALSE)</f>
        <v>1</v>
      </c>
      <c r="U811" s="81">
        <f>HLOOKUP(N811,データについて!$J$8:$M$18,11,FALSE)</f>
        <v>1</v>
      </c>
      <c r="V811" s="81">
        <f>HLOOKUP(O811,データについて!$J$9:$M$18,10,FALSE)</f>
        <v>1</v>
      </c>
      <c r="W811" s="81">
        <f>HLOOKUP(P811,データについて!$J$10:$M$18,9,FALSE)</f>
        <v>1</v>
      </c>
      <c r="X811" s="81">
        <f>HLOOKUP(Q811,データについて!$J$11:$M$18,8,FALSE)</f>
        <v>1</v>
      </c>
      <c r="Y811" s="81">
        <f>HLOOKUP(R811,データについて!$J$12:$M$18,7,FALSE)</f>
        <v>1</v>
      </c>
      <c r="Z811" s="81">
        <f>HLOOKUP(I811,データについて!$J$3:$M$18,16,FALSE)</f>
        <v>2</v>
      </c>
      <c r="AA811" s="81" t="str">
        <f>IFERROR(HLOOKUP(J811,データについて!$J$4:$AH$19,16,FALSE),"")</f>
        <v/>
      </c>
      <c r="AB811" s="81">
        <f>IFERROR(HLOOKUP(K811,データについて!$J$5:$AH$20,14,FALSE),"")</f>
        <v>3</v>
      </c>
      <c r="AC811" s="81">
        <f>IF(X811=1,HLOOKUP(R811,データについて!$J$12:$M$18,7,FALSE),"*")</f>
        <v>1</v>
      </c>
      <c r="AD811" s="81" t="str">
        <f>IF(X811=2,HLOOKUP(R811,データについて!$J$12:$M$18,7,FALSE),"*")</f>
        <v>*</v>
      </c>
    </row>
    <row r="812" spans="1:30">
      <c r="A812" s="30">
        <v>4380</v>
      </c>
      <c r="B812" s="30" t="s">
        <v>3130</v>
      </c>
      <c r="C812" s="30" t="s">
        <v>3129</v>
      </c>
      <c r="D812" s="30" t="s">
        <v>106</v>
      </c>
      <c r="E812" s="30"/>
      <c r="F812" s="30" t="s">
        <v>107</v>
      </c>
      <c r="G812" s="30" t="s">
        <v>106</v>
      </c>
      <c r="H812" s="30"/>
      <c r="I812" s="30" t="s">
        <v>191</v>
      </c>
      <c r="J812" s="30"/>
      <c r="K812" s="30" t="s">
        <v>3098</v>
      </c>
      <c r="L812" s="30" t="s">
        <v>117</v>
      </c>
      <c r="M812" s="30" t="s">
        <v>113</v>
      </c>
      <c r="N812" s="30" t="s">
        <v>110</v>
      </c>
      <c r="O812" s="30" t="s">
        <v>115</v>
      </c>
      <c r="P812" s="30" t="s">
        <v>112</v>
      </c>
      <c r="Q812" s="30" t="s">
        <v>112</v>
      </c>
      <c r="R812" s="30" t="s">
        <v>185</v>
      </c>
      <c r="S812" s="81">
        <f>HLOOKUP(L812,データについて!$J$6:$M$18,13,FALSE)</f>
        <v>2</v>
      </c>
      <c r="T812" s="81">
        <f>HLOOKUP(M812,データについて!$J$7:$M$18,12,FALSE)</f>
        <v>1</v>
      </c>
      <c r="U812" s="81">
        <f>HLOOKUP(N812,データについて!$J$8:$M$18,11,FALSE)</f>
        <v>2</v>
      </c>
      <c r="V812" s="81">
        <f>HLOOKUP(O812,データについて!$J$9:$M$18,10,FALSE)</f>
        <v>1</v>
      </c>
      <c r="W812" s="81">
        <f>HLOOKUP(P812,データについて!$J$10:$M$18,9,FALSE)</f>
        <v>1</v>
      </c>
      <c r="X812" s="81">
        <f>HLOOKUP(Q812,データについて!$J$11:$M$18,8,FALSE)</f>
        <v>1</v>
      </c>
      <c r="Y812" s="81">
        <f>HLOOKUP(R812,データについて!$J$12:$M$18,7,FALSE)</f>
        <v>2</v>
      </c>
      <c r="Z812" s="81">
        <f>HLOOKUP(I812,データについて!$J$3:$M$18,16,FALSE)</f>
        <v>2</v>
      </c>
      <c r="AA812" s="81" t="str">
        <f>IFERROR(HLOOKUP(J812,データについて!$J$4:$AH$19,16,FALSE),"")</f>
        <v/>
      </c>
      <c r="AB812" s="81">
        <f>IFERROR(HLOOKUP(K812,データについて!$J$5:$AH$20,14,FALSE),"")</f>
        <v>3</v>
      </c>
      <c r="AC812" s="81">
        <f>IF(X812=1,HLOOKUP(R812,データについて!$J$12:$M$18,7,FALSE),"*")</f>
        <v>2</v>
      </c>
      <c r="AD812" s="81" t="str">
        <f>IF(X812=2,HLOOKUP(R812,データについて!$J$12:$M$18,7,FALSE),"*")</f>
        <v>*</v>
      </c>
    </row>
    <row r="813" spans="1:30">
      <c r="A813" s="30">
        <v>4379</v>
      </c>
      <c r="B813" s="30" t="s">
        <v>3131</v>
      </c>
      <c r="C813" s="30" t="s">
        <v>3132</v>
      </c>
      <c r="D813" s="30" t="s">
        <v>106</v>
      </c>
      <c r="E813" s="30"/>
      <c r="F813" s="30" t="s">
        <v>107</v>
      </c>
      <c r="G813" s="30" t="s">
        <v>106</v>
      </c>
      <c r="H813" s="30"/>
      <c r="I813" s="30" t="s">
        <v>191</v>
      </c>
      <c r="J813" s="30"/>
      <c r="K813" s="30" t="s">
        <v>3098</v>
      </c>
      <c r="L813" s="30" t="s">
        <v>117</v>
      </c>
      <c r="M813" s="30" t="s">
        <v>113</v>
      </c>
      <c r="N813" s="30" t="s">
        <v>122</v>
      </c>
      <c r="O813" s="30" t="s">
        <v>115</v>
      </c>
      <c r="P813" s="30" t="s">
        <v>112</v>
      </c>
      <c r="Q813" s="30" t="s">
        <v>112</v>
      </c>
      <c r="R813" s="30" t="s">
        <v>185</v>
      </c>
      <c r="S813" s="81">
        <f>HLOOKUP(L813,データについて!$J$6:$M$18,13,FALSE)</f>
        <v>2</v>
      </c>
      <c r="T813" s="81">
        <f>HLOOKUP(M813,データについて!$J$7:$M$18,12,FALSE)</f>
        <v>1</v>
      </c>
      <c r="U813" s="81">
        <f>HLOOKUP(N813,データについて!$J$8:$M$18,11,FALSE)</f>
        <v>3</v>
      </c>
      <c r="V813" s="81">
        <f>HLOOKUP(O813,データについて!$J$9:$M$18,10,FALSE)</f>
        <v>1</v>
      </c>
      <c r="W813" s="81">
        <f>HLOOKUP(P813,データについて!$J$10:$M$18,9,FALSE)</f>
        <v>1</v>
      </c>
      <c r="X813" s="81">
        <f>HLOOKUP(Q813,データについて!$J$11:$M$18,8,FALSE)</f>
        <v>1</v>
      </c>
      <c r="Y813" s="81">
        <f>HLOOKUP(R813,データについて!$J$12:$M$18,7,FALSE)</f>
        <v>2</v>
      </c>
      <c r="Z813" s="81">
        <f>HLOOKUP(I813,データについて!$J$3:$M$18,16,FALSE)</f>
        <v>2</v>
      </c>
      <c r="AA813" s="81" t="str">
        <f>IFERROR(HLOOKUP(J813,データについて!$J$4:$AH$19,16,FALSE),"")</f>
        <v/>
      </c>
      <c r="AB813" s="81">
        <f>IFERROR(HLOOKUP(K813,データについて!$J$5:$AH$20,14,FALSE),"")</f>
        <v>3</v>
      </c>
      <c r="AC813" s="81">
        <f>IF(X813=1,HLOOKUP(R813,データについて!$J$12:$M$18,7,FALSE),"*")</f>
        <v>2</v>
      </c>
      <c r="AD813" s="81" t="str">
        <f>IF(X813=2,HLOOKUP(R813,データについて!$J$12:$M$18,7,FALSE),"*")</f>
        <v>*</v>
      </c>
    </row>
    <row r="814" spans="1:30">
      <c r="A814" s="30">
        <v>4378</v>
      </c>
      <c r="B814" s="30" t="s">
        <v>3133</v>
      </c>
      <c r="C814" s="30" t="s">
        <v>3132</v>
      </c>
      <c r="D814" s="30" t="s">
        <v>106</v>
      </c>
      <c r="E814" s="30"/>
      <c r="F814" s="30" t="s">
        <v>107</v>
      </c>
      <c r="G814" s="30" t="s">
        <v>106</v>
      </c>
      <c r="H814" s="30"/>
      <c r="I814" s="30" t="s">
        <v>191</v>
      </c>
      <c r="J814" s="30"/>
      <c r="K814" s="30" t="s">
        <v>3098</v>
      </c>
      <c r="L814" s="30" t="s">
        <v>117</v>
      </c>
      <c r="M814" s="30" t="s">
        <v>109</v>
      </c>
      <c r="N814" s="30" t="s">
        <v>110</v>
      </c>
      <c r="O814" s="30" t="s">
        <v>111</v>
      </c>
      <c r="P814" s="30" t="s">
        <v>112</v>
      </c>
      <c r="Q814" s="30" t="s">
        <v>112</v>
      </c>
      <c r="R814" s="30" t="s">
        <v>185</v>
      </c>
      <c r="S814" s="81">
        <f>HLOOKUP(L814,データについて!$J$6:$M$18,13,FALSE)</f>
        <v>2</v>
      </c>
      <c r="T814" s="81">
        <f>HLOOKUP(M814,データについて!$J$7:$M$18,12,FALSE)</f>
        <v>2</v>
      </c>
      <c r="U814" s="81">
        <f>HLOOKUP(N814,データについて!$J$8:$M$18,11,FALSE)</f>
        <v>2</v>
      </c>
      <c r="V814" s="81">
        <f>HLOOKUP(O814,データについて!$J$9:$M$18,10,FALSE)</f>
        <v>3</v>
      </c>
      <c r="W814" s="81">
        <f>HLOOKUP(P814,データについて!$J$10:$M$18,9,FALSE)</f>
        <v>1</v>
      </c>
      <c r="X814" s="81">
        <f>HLOOKUP(Q814,データについて!$J$11:$M$18,8,FALSE)</f>
        <v>1</v>
      </c>
      <c r="Y814" s="81">
        <f>HLOOKUP(R814,データについて!$J$12:$M$18,7,FALSE)</f>
        <v>2</v>
      </c>
      <c r="Z814" s="81">
        <f>HLOOKUP(I814,データについて!$J$3:$M$18,16,FALSE)</f>
        <v>2</v>
      </c>
      <c r="AA814" s="81" t="str">
        <f>IFERROR(HLOOKUP(J814,データについて!$J$4:$AH$19,16,FALSE),"")</f>
        <v/>
      </c>
      <c r="AB814" s="81">
        <f>IFERROR(HLOOKUP(K814,データについて!$J$5:$AH$20,14,FALSE),"")</f>
        <v>3</v>
      </c>
      <c r="AC814" s="81">
        <f>IF(X814=1,HLOOKUP(R814,データについて!$J$12:$M$18,7,FALSE),"*")</f>
        <v>2</v>
      </c>
      <c r="AD814" s="81" t="str">
        <f>IF(X814=2,HLOOKUP(R814,データについて!$J$12:$M$18,7,FALSE),"*")</f>
        <v>*</v>
      </c>
    </row>
    <row r="815" spans="1:30">
      <c r="A815" s="30">
        <v>4377</v>
      </c>
      <c r="B815" s="30" t="s">
        <v>3134</v>
      </c>
      <c r="C815" s="30" t="s">
        <v>3135</v>
      </c>
      <c r="D815" s="30" t="s">
        <v>106</v>
      </c>
      <c r="E815" s="30"/>
      <c r="F815" s="30" t="s">
        <v>107</v>
      </c>
      <c r="G815" s="30" t="s">
        <v>106</v>
      </c>
      <c r="H815" s="30"/>
      <c r="I815" s="30" t="s">
        <v>191</v>
      </c>
      <c r="J815" s="30"/>
      <c r="K815" s="30" t="s">
        <v>3098</v>
      </c>
      <c r="L815" s="30" t="s">
        <v>108</v>
      </c>
      <c r="M815" s="30" t="s">
        <v>113</v>
      </c>
      <c r="N815" s="30" t="s">
        <v>110</v>
      </c>
      <c r="O815" s="30" t="s">
        <v>115</v>
      </c>
      <c r="P815" s="30" t="s">
        <v>112</v>
      </c>
      <c r="Q815" s="30" t="s">
        <v>112</v>
      </c>
      <c r="R815" s="30" t="s">
        <v>183</v>
      </c>
      <c r="S815" s="81">
        <f>HLOOKUP(L815,データについて!$J$6:$M$18,13,FALSE)</f>
        <v>1</v>
      </c>
      <c r="T815" s="81">
        <f>HLOOKUP(M815,データについて!$J$7:$M$18,12,FALSE)</f>
        <v>1</v>
      </c>
      <c r="U815" s="81">
        <f>HLOOKUP(N815,データについて!$J$8:$M$18,11,FALSE)</f>
        <v>2</v>
      </c>
      <c r="V815" s="81">
        <f>HLOOKUP(O815,データについて!$J$9:$M$18,10,FALSE)</f>
        <v>1</v>
      </c>
      <c r="W815" s="81">
        <f>HLOOKUP(P815,データについて!$J$10:$M$18,9,FALSE)</f>
        <v>1</v>
      </c>
      <c r="X815" s="81">
        <f>HLOOKUP(Q815,データについて!$J$11:$M$18,8,FALSE)</f>
        <v>1</v>
      </c>
      <c r="Y815" s="81">
        <f>HLOOKUP(R815,データについて!$J$12:$M$18,7,FALSE)</f>
        <v>1</v>
      </c>
      <c r="Z815" s="81">
        <f>HLOOKUP(I815,データについて!$J$3:$M$18,16,FALSE)</f>
        <v>2</v>
      </c>
      <c r="AA815" s="81" t="str">
        <f>IFERROR(HLOOKUP(J815,データについて!$J$4:$AH$19,16,FALSE),"")</f>
        <v/>
      </c>
      <c r="AB815" s="81">
        <f>IFERROR(HLOOKUP(K815,データについて!$J$5:$AH$20,14,FALSE),"")</f>
        <v>3</v>
      </c>
      <c r="AC815" s="81">
        <f>IF(X815=1,HLOOKUP(R815,データについて!$J$12:$M$18,7,FALSE),"*")</f>
        <v>1</v>
      </c>
      <c r="AD815" s="81" t="str">
        <f>IF(X815=2,HLOOKUP(R815,データについて!$J$12:$M$18,7,FALSE),"*")</f>
        <v>*</v>
      </c>
    </row>
    <row r="816" spans="1:30">
      <c r="A816" s="30">
        <v>4376</v>
      </c>
      <c r="B816" s="30" t="s">
        <v>3136</v>
      </c>
      <c r="C816" s="30" t="s">
        <v>3137</v>
      </c>
      <c r="D816" s="30" t="s">
        <v>106</v>
      </c>
      <c r="E816" s="30"/>
      <c r="F816" s="30" t="s">
        <v>107</v>
      </c>
      <c r="G816" s="30" t="s">
        <v>106</v>
      </c>
      <c r="H816" s="30"/>
      <c r="I816" s="30" t="s">
        <v>191</v>
      </c>
      <c r="J816" s="30"/>
      <c r="K816" s="30" t="s">
        <v>3098</v>
      </c>
      <c r="L816" s="30" t="s">
        <v>117</v>
      </c>
      <c r="M816" s="30" t="s">
        <v>109</v>
      </c>
      <c r="N816" s="30" t="s">
        <v>119</v>
      </c>
      <c r="O816" s="30" t="s">
        <v>115</v>
      </c>
      <c r="P816" s="30" t="s">
        <v>118</v>
      </c>
      <c r="Q816" s="30" t="s">
        <v>118</v>
      </c>
      <c r="R816" s="30" t="s">
        <v>187</v>
      </c>
      <c r="S816" s="81">
        <f>HLOOKUP(L816,データについて!$J$6:$M$18,13,FALSE)</f>
        <v>2</v>
      </c>
      <c r="T816" s="81">
        <f>HLOOKUP(M816,データについて!$J$7:$M$18,12,FALSE)</f>
        <v>2</v>
      </c>
      <c r="U816" s="81">
        <f>HLOOKUP(N816,データについて!$J$8:$M$18,11,FALSE)</f>
        <v>4</v>
      </c>
      <c r="V816" s="81">
        <f>HLOOKUP(O816,データについて!$J$9:$M$18,10,FALSE)</f>
        <v>1</v>
      </c>
      <c r="W816" s="81">
        <f>HLOOKUP(P816,データについて!$J$10:$M$18,9,FALSE)</f>
        <v>2</v>
      </c>
      <c r="X816" s="81">
        <f>HLOOKUP(Q816,データについて!$J$11:$M$18,8,FALSE)</f>
        <v>2</v>
      </c>
      <c r="Y816" s="81">
        <f>HLOOKUP(R816,データについて!$J$12:$M$18,7,FALSE)</f>
        <v>3</v>
      </c>
      <c r="Z816" s="81">
        <f>HLOOKUP(I816,データについて!$J$3:$M$18,16,FALSE)</f>
        <v>2</v>
      </c>
      <c r="AA816" s="81" t="str">
        <f>IFERROR(HLOOKUP(J816,データについて!$J$4:$AH$19,16,FALSE),"")</f>
        <v/>
      </c>
      <c r="AB816" s="81">
        <f>IFERROR(HLOOKUP(K816,データについて!$J$5:$AH$20,14,FALSE),"")</f>
        <v>3</v>
      </c>
      <c r="AC816" s="81" t="str">
        <f>IF(X816=1,HLOOKUP(R816,データについて!$J$12:$M$18,7,FALSE),"*")</f>
        <v>*</v>
      </c>
      <c r="AD816" s="81">
        <f>IF(X816=2,HLOOKUP(R816,データについて!$J$12:$M$18,7,FALSE),"*")</f>
        <v>3</v>
      </c>
    </row>
    <row r="817" spans="1:30">
      <c r="A817" s="30">
        <v>4375</v>
      </c>
      <c r="B817" s="30" t="s">
        <v>3138</v>
      </c>
      <c r="C817" s="30" t="s">
        <v>3139</v>
      </c>
      <c r="D817" s="30" t="s">
        <v>106</v>
      </c>
      <c r="E817" s="30"/>
      <c r="F817" s="30" t="s">
        <v>107</v>
      </c>
      <c r="G817" s="30" t="s">
        <v>106</v>
      </c>
      <c r="H817" s="30"/>
      <c r="I817" s="30" t="s">
        <v>191</v>
      </c>
      <c r="J817" s="30"/>
      <c r="K817" s="30" t="s">
        <v>3098</v>
      </c>
      <c r="L817" s="30" t="s">
        <v>108</v>
      </c>
      <c r="M817" s="30" t="s">
        <v>109</v>
      </c>
      <c r="N817" s="30" t="s">
        <v>110</v>
      </c>
      <c r="O817" s="30" t="s">
        <v>115</v>
      </c>
      <c r="P817" s="30" t="s">
        <v>112</v>
      </c>
      <c r="Q817" s="30" t="s">
        <v>118</v>
      </c>
      <c r="R817" s="30" t="s">
        <v>183</v>
      </c>
      <c r="S817" s="81">
        <f>HLOOKUP(L817,データについて!$J$6:$M$18,13,FALSE)</f>
        <v>1</v>
      </c>
      <c r="T817" s="81">
        <f>HLOOKUP(M817,データについて!$J$7:$M$18,12,FALSE)</f>
        <v>2</v>
      </c>
      <c r="U817" s="81">
        <f>HLOOKUP(N817,データについて!$J$8:$M$18,11,FALSE)</f>
        <v>2</v>
      </c>
      <c r="V817" s="81">
        <f>HLOOKUP(O817,データについて!$J$9:$M$18,10,FALSE)</f>
        <v>1</v>
      </c>
      <c r="W817" s="81">
        <f>HLOOKUP(P817,データについて!$J$10:$M$18,9,FALSE)</f>
        <v>1</v>
      </c>
      <c r="X817" s="81">
        <f>HLOOKUP(Q817,データについて!$J$11:$M$18,8,FALSE)</f>
        <v>2</v>
      </c>
      <c r="Y817" s="81">
        <f>HLOOKUP(R817,データについて!$J$12:$M$18,7,FALSE)</f>
        <v>1</v>
      </c>
      <c r="Z817" s="81">
        <f>HLOOKUP(I817,データについて!$J$3:$M$18,16,FALSE)</f>
        <v>2</v>
      </c>
      <c r="AA817" s="81" t="str">
        <f>IFERROR(HLOOKUP(J817,データについて!$J$4:$AH$19,16,FALSE),"")</f>
        <v/>
      </c>
      <c r="AB817" s="81">
        <f>IFERROR(HLOOKUP(K817,データについて!$J$5:$AH$20,14,FALSE),"")</f>
        <v>3</v>
      </c>
      <c r="AC817" s="81" t="str">
        <f>IF(X817=1,HLOOKUP(R817,データについて!$J$12:$M$18,7,FALSE),"*")</f>
        <v>*</v>
      </c>
      <c r="AD817" s="81">
        <f>IF(X817=2,HLOOKUP(R817,データについて!$J$12:$M$18,7,FALSE),"*")</f>
        <v>1</v>
      </c>
    </row>
    <row r="818" spans="1:30">
      <c r="A818" s="30">
        <v>4374</v>
      </c>
      <c r="B818" s="30" t="s">
        <v>3140</v>
      </c>
      <c r="C818" s="30" t="s">
        <v>3139</v>
      </c>
      <c r="D818" s="30" t="s">
        <v>106</v>
      </c>
      <c r="E818" s="30"/>
      <c r="F818" s="30" t="s">
        <v>107</v>
      </c>
      <c r="G818" s="30" t="s">
        <v>106</v>
      </c>
      <c r="H818" s="30"/>
      <c r="I818" s="30" t="s">
        <v>191</v>
      </c>
      <c r="J818" s="30"/>
      <c r="K818" s="30" t="s">
        <v>3098</v>
      </c>
      <c r="L818" s="30" t="s">
        <v>117</v>
      </c>
      <c r="M818" s="30" t="s">
        <v>113</v>
      </c>
      <c r="N818" s="30" t="s">
        <v>110</v>
      </c>
      <c r="O818" s="30" t="s">
        <v>115</v>
      </c>
      <c r="P818" s="30" t="s">
        <v>112</v>
      </c>
      <c r="Q818" s="30" t="s">
        <v>112</v>
      </c>
      <c r="R818" s="30" t="s">
        <v>185</v>
      </c>
      <c r="S818" s="81">
        <f>HLOOKUP(L818,データについて!$J$6:$M$18,13,FALSE)</f>
        <v>2</v>
      </c>
      <c r="T818" s="81">
        <f>HLOOKUP(M818,データについて!$J$7:$M$18,12,FALSE)</f>
        <v>1</v>
      </c>
      <c r="U818" s="81">
        <f>HLOOKUP(N818,データについて!$J$8:$M$18,11,FALSE)</f>
        <v>2</v>
      </c>
      <c r="V818" s="81">
        <f>HLOOKUP(O818,データについて!$J$9:$M$18,10,FALSE)</f>
        <v>1</v>
      </c>
      <c r="W818" s="81">
        <f>HLOOKUP(P818,データについて!$J$10:$M$18,9,FALSE)</f>
        <v>1</v>
      </c>
      <c r="X818" s="81">
        <f>HLOOKUP(Q818,データについて!$J$11:$M$18,8,FALSE)</f>
        <v>1</v>
      </c>
      <c r="Y818" s="81">
        <f>HLOOKUP(R818,データについて!$J$12:$M$18,7,FALSE)</f>
        <v>2</v>
      </c>
      <c r="Z818" s="81">
        <f>HLOOKUP(I818,データについて!$J$3:$M$18,16,FALSE)</f>
        <v>2</v>
      </c>
      <c r="AA818" s="81" t="str">
        <f>IFERROR(HLOOKUP(J818,データについて!$J$4:$AH$19,16,FALSE),"")</f>
        <v/>
      </c>
      <c r="AB818" s="81">
        <f>IFERROR(HLOOKUP(K818,データについて!$J$5:$AH$20,14,FALSE),"")</f>
        <v>3</v>
      </c>
      <c r="AC818" s="81">
        <f>IF(X818=1,HLOOKUP(R818,データについて!$J$12:$M$18,7,FALSE),"*")</f>
        <v>2</v>
      </c>
      <c r="AD818" s="81" t="str">
        <f>IF(X818=2,HLOOKUP(R818,データについて!$J$12:$M$18,7,FALSE),"*")</f>
        <v>*</v>
      </c>
    </row>
    <row r="819" spans="1:30">
      <c r="A819" s="30">
        <v>4373</v>
      </c>
      <c r="B819" s="30" t="s">
        <v>3141</v>
      </c>
      <c r="C819" s="30" t="s">
        <v>3142</v>
      </c>
      <c r="D819" s="30" t="s">
        <v>106</v>
      </c>
      <c r="E819" s="30"/>
      <c r="F819" s="30" t="s">
        <v>107</v>
      </c>
      <c r="G819" s="30" t="s">
        <v>106</v>
      </c>
      <c r="H819" s="30"/>
      <c r="I819" s="30" t="s">
        <v>191</v>
      </c>
      <c r="J819" s="30"/>
      <c r="K819" s="30" t="s">
        <v>3098</v>
      </c>
      <c r="L819" s="30" t="s">
        <v>108</v>
      </c>
      <c r="M819" s="30" t="s">
        <v>109</v>
      </c>
      <c r="N819" s="30" t="s">
        <v>110</v>
      </c>
      <c r="O819" s="30" t="s">
        <v>115</v>
      </c>
      <c r="P819" s="30" t="s">
        <v>112</v>
      </c>
      <c r="Q819" s="30" t="s">
        <v>112</v>
      </c>
      <c r="R819" s="30" t="s">
        <v>187</v>
      </c>
      <c r="S819" s="81">
        <f>HLOOKUP(L819,データについて!$J$6:$M$18,13,FALSE)</f>
        <v>1</v>
      </c>
      <c r="T819" s="81">
        <f>HLOOKUP(M819,データについて!$J$7:$M$18,12,FALSE)</f>
        <v>2</v>
      </c>
      <c r="U819" s="81">
        <f>HLOOKUP(N819,データについて!$J$8:$M$18,11,FALSE)</f>
        <v>2</v>
      </c>
      <c r="V819" s="81">
        <f>HLOOKUP(O819,データについて!$J$9:$M$18,10,FALSE)</f>
        <v>1</v>
      </c>
      <c r="W819" s="81">
        <f>HLOOKUP(P819,データについて!$J$10:$M$18,9,FALSE)</f>
        <v>1</v>
      </c>
      <c r="X819" s="81">
        <f>HLOOKUP(Q819,データについて!$J$11:$M$18,8,FALSE)</f>
        <v>1</v>
      </c>
      <c r="Y819" s="81">
        <f>HLOOKUP(R819,データについて!$J$12:$M$18,7,FALSE)</f>
        <v>3</v>
      </c>
      <c r="Z819" s="81">
        <f>HLOOKUP(I819,データについて!$J$3:$M$18,16,FALSE)</f>
        <v>2</v>
      </c>
      <c r="AA819" s="81" t="str">
        <f>IFERROR(HLOOKUP(J819,データについて!$J$4:$AH$19,16,FALSE),"")</f>
        <v/>
      </c>
      <c r="AB819" s="81">
        <f>IFERROR(HLOOKUP(K819,データについて!$J$5:$AH$20,14,FALSE),"")</f>
        <v>3</v>
      </c>
      <c r="AC819" s="81">
        <f>IF(X819=1,HLOOKUP(R819,データについて!$J$12:$M$18,7,FALSE),"*")</f>
        <v>3</v>
      </c>
      <c r="AD819" s="81" t="str">
        <f>IF(X819=2,HLOOKUP(R819,データについて!$J$12:$M$18,7,FALSE),"*")</f>
        <v>*</v>
      </c>
    </row>
    <row r="820" spans="1:30">
      <c r="A820" s="30">
        <v>4372</v>
      </c>
      <c r="B820" s="30" t="s">
        <v>3143</v>
      </c>
      <c r="C820" s="30" t="s">
        <v>3144</v>
      </c>
      <c r="D820" s="30" t="s">
        <v>106</v>
      </c>
      <c r="E820" s="30"/>
      <c r="F820" s="30" t="s">
        <v>107</v>
      </c>
      <c r="G820" s="30" t="s">
        <v>106</v>
      </c>
      <c r="H820" s="30"/>
      <c r="I820" s="30" t="s">
        <v>191</v>
      </c>
      <c r="J820" s="30"/>
      <c r="K820" s="30" t="s">
        <v>3098</v>
      </c>
      <c r="L820" s="30" t="s">
        <v>108</v>
      </c>
      <c r="M820" s="30" t="s">
        <v>113</v>
      </c>
      <c r="N820" s="30" t="s">
        <v>110</v>
      </c>
      <c r="O820" s="30" t="s">
        <v>115</v>
      </c>
      <c r="P820" s="30" t="s">
        <v>118</v>
      </c>
      <c r="Q820" s="30" t="s">
        <v>112</v>
      </c>
      <c r="R820" s="30" t="s">
        <v>183</v>
      </c>
      <c r="S820" s="81">
        <f>HLOOKUP(L820,データについて!$J$6:$M$18,13,FALSE)</f>
        <v>1</v>
      </c>
      <c r="T820" s="81">
        <f>HLOOKUP(M820,データについて!$J$7:$M$18,12,FALSE)</f>
        <v>1</v>
      </c>
      <c r="U820" s="81">
        <f>HLOOKUP(N820,データについて!$J$8:$M$18,11,FALSE)</f>
        <v>2</v>
      </c>
      <c r="V820" s="81">
        <f>HLOOKUP(O820,データについて!$J$9:$M$18,10,FALSE)</f>
        <v>1</v>
      </c>
      <c r="W820" s="81">
        <f>HLOOKUP(P820,データについて!$J$10:$M$18,9,FALSE)</f>
        <v>2</v>
      </c>
      <c r="X820" s="81">
        <f>HLOOKUP(Q820,データについて!$J$11:$M$18,8,FALSE)</f>
        <v>1</v>
      </c>
      <c r="Y820" s="81">
        <f>HLOOKUP(R820,データについて!$J$12:$M$18,7,FALSE)</f>
        <v>1</v>
      </c>
      <c r="Z820" s="81">
        <f>HLOOKUP(I820,データについて!$J$3:$M$18,16,FALSE)</f>
        <v>2</v>
      </c>
      <c r="AA820" s="81" t="str">
        <f>IFERROR(HLOOKUP(J820,データについて!$J$4:$AH$19,16,FALSE),"")</f>
        <v/>
      </c>
      <c r="AB820" s="81">
        <f>IFERROR(HLOOKUP(K820,データについて!$J$5:$AH$20,14,FALSE),"")</f>
        <v>3</v>
      </c>
      <c r="AC820" s="81">
        <f>IF(X820=1,HLOOKUP(R820,データについて!$J$12:$M$18,7,FALSE),"*")</f>
        <v>1</v>
      </c>
      <c r="AD820" s="81" t="str">
        <f>IF(X820=2,HLOOKUP(R820,データについて!$J$12:$M$18,7,FALSE),"*")</f>
        <v>*</v>
      </c>
    </row>
    <row r="821" spans="1:30">
      <c r="A821" s="30">
        <v>4371</v>
      </c>
      <c r="B821" s="30" t="s">
        <v>3145</v>
      </c>
      <c r="C821" s="30" t="s">
        <v>3146</v>
      </c>
      <c r="D821" s="30" t="s">
        <v>106</v>
      </c>
      <c r="E821" s="30"/>
      <c r="F821" s="30" t="s">
        <v>107</v>
      </c>
      <c r="G821" s="30" t="s">
        <v>106</v>
      </c>
      <c r="H821" s="30"/>
      <c r="I821" s="30" t="s">
        <v>191</v>
      </c>
      <c r="J821" s="30"/>
      <c r="K821" s="30" t="s">
        <v>3098</v>
      </c>
      <c r="L821" s="30" t="s">
        <v>108</v>
      </c>
      <c r="M821" s="30" t="s">
        <v>113</v>
      </c>
      <c r="N821" s="30" t="s">
        <v>114</v>
      </c>
      <c r="O821" s="30" t="s">
        <v>115</v>
      </c>
      <c r="P821" s="30" t="s">
        <v>112</v>
      </c>
      <c r="Q821" s="30" t="s">
        <v>112</v>
      </c>
      <c r="R821" s="30" t="s">
        <v>185</v>
      </c>
      <c r="S821" s="81">
        <f>HLOOKUP(L821,データについて!$J$6:$M$18,13,FALSE)</f>
        <v>1</v>
      </c>
      <c r="T821" s="81">
        <f>HLOOKUP(M821,データについて!$J$7:$M$18,12,FALSE)</f>
        <v>1</v>
      </c>
      <c r="U821" s="81">
        <f>HLOOKUP(N821,データについて!$J$8:$M$18,11,FALSE)</f>
        <v>1</v>
      </c>
      <c r="V821" s="81">
        <f>HLOOKUP(O821,データについて!$J$9:$M$18,10,FALSE)</f>
        <v>1</v>
      </c>
      <c r="W821" s="81">
        <f>HLOOKUP(P821,データについて!$J$10:$M$18,9,FALSE)</f>
        <v>1</v>
      </c>
      <c r="X821" s="81">
        <f>HLOOKUP(Q821,データについて!$J$11:$M$18,8,FALSE)</f>
        <v>1</v>
      </c>
      <c r="Y821" s="81">
        <f>HLOOKUP(R821,データについて!$J$12:$M$18,7,FALSE)</f>
        <v>2</v>
      </c>
      <c r="Z821" s="81">
        <f>HLOOKUP(I821,データについて!$J$3:$M$18,16,FALSE)</f>
        <v>2</v>
      </c>
      <c r="AA821" s="81" t="str">
        <f>IFERROR(HLOOKUP(J821,データについて!$J$4:$AH$19,16,FALSE),"")</f>
        <v/>
      </c>
      <c r="AB821" s="81">
        <f>IFERROR(HLOOKUP(K821,データについて!$J$5:$AH$20,14,FALSE),"")</f>
        <v>3</v>
      </c>
      <c r="AC821" s="81">
        <f>IF(X821=1,HLOOKUP(R821,データについて!$J$12:$M$18,7,FALSE),"*")</f>
        <v>2</v>
      </c>
      <c r="AD821" s="81" t="str">
        <f>IF(X821=2,HLOOKUP(R821,データについて!$J$12:$M$18,7,FALSE),"*")</f>
        <v>*</v>
      </c>
    </row>
    <row r="822" spans="1:30">
      <c r="A822" s="30">
        <v>4370</v>
      </c>
      <c r="B822" s="30" t="s">
        <v>3147</v>
      </c>
      <c r="C822" s="30" t="s">
        <v>3148</v>
      </c>
      <c r="D822" s="30" t="s">
        <v>106</v>
      </c>
      <c r="E822" s="30"/>
      <c r="F822" s="30" t="s">
        <v>107</v>
      </c>
      <c r="G822" s="30" t="s">
        <v>106</v>
      </c>
      <c r="H822" s="30"/>
      <c r="I822" s="30" t="s">
        <v>191</v>
      </c>
      <c r="J822" s="30"/>
      <c r="K822" s="30" t="s">
        <v>3098</v>
      </c>
      <c r="L822" s="30" t="s">
        <v>117</v>
      </c>
      <c r="M822" s="30" t="s">
        <v>113</v>
      </c>
      <c r="N822" s="30" t="s">
        <v>122</v>
      </c>
      <c r="O822" s="30" t="s">
        <v>115</v>
      </c>
      <c r="P822" s="30" t="s">
        <v>112</v>
      </c>
      <c r="Q822" s="30" t="s">
        <v>112</v>
      </c>
      <c r="R822" s="30" t="s">
        <v>185</v>
      </c>
      <c r="S822" s="81">
        <f>HLOOKUP(L822,データについて!$J$6:$M$18,13,FALSE)</f>
        <v>2</v>
      </c>
      <c r="T822" s="81">
        <f>HLOOKUP(M822,データについて!$J$7:$M$18,12,FALSE)</f>
        <v>1</v>
      </c>
      <c r="U822" s="81">
        <f>HLOOKUP(N822,データについて!$J$8:$M$18,11,FALSE)</f>
        <v>3</v>
      </c>
      <c r="V822" s="81">
        <f>HLOOKUP(O822,データについて!$J$9:$M$18,10,FALSE)</f>
        <v>1</v>
      </c>
      <c r="W822" s="81">
        <f>HLOOKUP(P822,データについて!$J$10:$M$18,9,FALSE)</f>
        <v>1</v>
      </c>
      <c r="X822" s="81">
        <f>HLOOKUP(Q822,データについて!$J$11:$M$18,8,FALSE)</f>
        <v>1</v>
      </c>
      <c r="Y822" s="81">
        <f>HLOOKUP(R822,データについて!$J$12:$M$18,7,FALSE)</f>
        <v>2</v>
      </c>
      <c r="Z822" s="81">
        <f>HLOOKUP(I822,データについて!$J$3:$M$18,16,FALSE)</f>
        <v>2</v>
      </c>
      <c r="AA822" s="81" t="str">
        <f>IFERROR(HLOOKUP(J822,データについて!$J$4:$AH$19,16,FALSE),"")</f>
        <v/>
      </c>
      <c r="AB822" s="81">
        <f>IFERROR(HLOOKUP(K822,データについて!$J$5:$AH$20,14,FALSE),"")</f>
        <v>3</v>
      </c>
      <c r="AC822" s="81">
        <f>IF(X822=1,HLOOKUP(R822,データについて!$J$12:$M$18,7,FALSE),"*")</f>
        <v>2</v>
      </c>
      <c r="AD822" s="81" t="str">
        <f>IF(X822=2,HLOOKUP(R822,データについて!$J$12:$M$18,7,FALSE),"*")</f>
        <v>*</v>
      </c>
    </row>
    <row r="823" spans="1:30">
      <c r="A823" s="30">
        <v>4369</v>
      </c>
      <c r="B823" s="30" t="s">
        <v>3149</v>
      </c>
      <c r="C823" s="30" t="s">
        <v>3150</v>
      </c>
      <c r="D823" s="30" t="s">
        <v>106</v>
      </c>
      <c r="E823" s="30"/>
      <c r="F823" s="30" t="s">
        <v>107</v>
      </c>
      <c r="G823" s="30" t="s">
        <v>106</v>
      </c>
      <c r="H823" s="30"/>
      <c r="I823" s="30" t="s">
        <v>191</v>
      </c>
      <c r="J823" s="30"/>
      <c r="K823" s="30" t="s">
        <v>3098</v>
      </c>
      <c r="L823" s="30" t="s">
        <v>117</v>
      </c>
      <c r="M823" s="30" t="s">
        <v>121</v>
      </c>
      <c r="N823" s="30" t="s">
        <v>119</v>
      </c>
      <c r="O823" s="30" t="s">
        <v>115</v>
      </c>
      <c r="P823" s="30" t="s">
        <v>118</v>
      </c>
      <c r="Q823" s="30" t="s">
        <v>112</v>
      </c>
      <c r="R823" s="30" t="s">
        <v>189</v>
      </c>
      <c r="S823" s="81">
        <f>HLOOKUP(L823,データについて!$J$6:$M$18,13,FALSE)</f>
        <v>2</v>
      </c>
      <c r="T823" s="81">
        <f>HLOOKUP(M823,データについて!$J$7:$M$18,12,FALSE)</f>
        <v>4</v>
      </c>
      <c r="U823" s="81">
        <f>HLOOKUP(N823,データについて!$J$8:$M$18,11,FALSE)</f>
        <v>4</v>
      </c>
      <c r="V823" s="81">
        <f>HLOOKUP(O823,データについて!$J$9:$M$18,10,FALSE)</f>
        <v>1</v>
      </c>
      <c r="W823" s="81">
        <f>HLOOKUP(P823,データについて!$J$10:$M$18,9,FALSE)</f>
        <v>2</v>
      </c>
      <c r="X823" s="81">
        <f>HLOOKUP(Q823,データについて!$J$11:$M$18,8,FALSE)</f>
        <v>1</v>
      </c>
      <c r="Y823" s="81">
        <f>HLOOKUP(R823,データについて!$J$12:$M$18,7,FALSE)</f>
        <v>4</v>
      </c>
      <c r="Z823" s="81">
        <f>HLOOKUP(I823,データについて!$J$3:$M$18,16,FALSE)</f>
        <v>2</v>
      </c>
      <c r="AA823" s="81" t="str">
        <f>IFERROR(HLOOKUP(J823,データについて!$J$4:$AH$19,16,FALSE),"")</f>
        <v/>
      </c>
      <c r="AB823" s="81">
        <f>IFERROR(HLOOKUP(K823,データについて!$J$5:$AH$20,14,FALSE),"")</f>
        <v>3</v>
      </c>
      <c r="AC823" s="81">
        <f>IF(X823=1,HLOOKUP(R823,データについて!$J$12:$M$18,7,FALSE),"*")</f>
        <v>4</v>
      </c>
      <c r="AD823" s="81" t="str">
        <f>IF(X823=2,HLOOKUP(R823,データについて!$J$12:$M$18,7,FALSE),"*")</f>
        <v>*</v>
      </c>
    </row>
    <row r="824" spans="1:30">
      <c r="A824" s="30">
        <v>4368</v>
      </c>
      <c r="B824" s="30" t="s">
        <v>3151</v>
      </c>
      <c r="C824" s="30" t="s">
        <v>3152</v>
      </c>
      <c r="D824" s="30" t="s">
        <v>106</v>
      </c>
      <c r="E824" s="30"/>
      <c r="F824" s="30" t="s">
        <v>107</v>
      </c>
      <c r="G824" s="30" t="s">
        <v>106</v>
      </c>
      <c r="H824" s="30"/>
      <c r="I824" s="30" t="s">
        <v>191</v>
      </c>
      <c r="J824" s="30"/>
      <c r="K824" s="30" t="s">
        <v>3098</v>
      </c>
      <c r="L824" s="30" t="s">
        <v>117</v>
      </c>
      <c r="M824" s="30" t="s">
        <v>113</v>
      </c>
      <c r="N824" s="30" t="s">
        <v>114</v>
      </c>
      <c r="O824" s="30" t="s">
        <v>115</v>
      </c>
      <c r="P824" s="30" t="s">
        <v>112</v>
      </c>
      <c r="Q824" s="30" t="s">
        <v>112</v>
      </c>
      <c r="R824" s="30" t="s">
        <v>185</v>
      </c>
      <c r="S824" s="81">
        <f>HLOOKUP(L824,データについて!$J$6:$M$18,13,FALSE)</f>
        <v>2</v>
      </c>
      <c r="T824" s="81">
        <f>HLOOKUP(M824,データについて!$J$7:$M$18,12,FALSE)</f>
        <v>1</v>
      </c>
      <c r="U824" s="81">
        <f>HLOOKUP(N824,データについて!$J$8:$M$18,11,FALSE)</f>
        <v>1</v>
      </c>
      <c r="V824" s="81">
        <f>HLOOKUP(O824,データについて!$J$9:$M$18,10,FALSE)</f>
        <v>1</v>
      </c>
      <c r="W824" s="81">
        <f>HLOOKUP(P824,データについて!$J$10:$M$18,9,FALSE)</f>
        <v>1</v>
      </c>
      <c r="X824" s="81">
        <f>HLOOKUP(Q824,データについて!$J$11:$M$18,8,FALSE)</f>
        <v>1</v>
      </c>
      <c r="Y824" s="81">
        <f>HLOOKUP(R824,データについて!$J$12:$M$18,7,FALSE)</f>
        <v>2</v>
      </c>
      <c r="Z824" s="81">
        <f>HLOOKUP(I824,データについて!$J$3:$M$18,16,FALSE)</f>
        <v>2</v>
      </c>
      <c r="AA824" s="81" t="str">
        <f>IFERROR(HLOOKUP(J824,データについて!$J$4:$AH$19,16,FALSE),"")</f>
        <v/>
      </c>
      <c r="AB824" s="81">
        <f>IFERROR(HLOOKUP(K824,データについて!$J$5:$AH$20,14,FALSE),"")</f>
        <v>3</v>
      </c>
      <c r="AC824" s="81">
        <f>IF(X824=1,HLOOKUP(R824,データについて!$J$12:$M$18,7,FALSE),"*")</f>
        <v>2</v>
      </c>
      <c r="AD824" s="81" t="str">
        <f>IF(X824=2,HLOOKUP(R824,データについて!$J$12:$M$18,7,FALSE),"*")</f>
        <v>*</v>
      </c>
    </row>
    <row r="825" spans="1:30">
      <c r="A825" s="30">
        <v>4367</v>
      </c>
      <c r="B825" s="30" t="s">
        <v>3153</v>
      </c>
      <c r="C825" s="30" t="s">
        <v>3154</v>
      </c>
      <c r="D825" s="30" t="s">
        <v>106</v>
      </c>
      <c r="E825" s="30"/>
      <c r="F825" s="30" t="s">
        <v>107</v>
      </c>
      <c r="G825" s="30" t="s">
        <v>106</v>
      </c>
      <c r="H825" s="30"/>
      <c r="I825" s="30" t="s">
        <v>191</v>
      </c>
      <c r="J825" s="30"/>
      <c r="K825" s="30" t="s">
        <v>3098</v>
      </c>
      <c r="L825" s="30" t="s">
        <v>108</v>
      </c>
      <c r="M825" s="30" t="s">
        <v>113</v>
      </c>
      <c r="N825" s="30" t="s">
        <v>110</v>
      </c>
      <c r="O825" s="30" t="s">
        <v>115</v>
      </c>
      <c r="P825" s="30" t="s">
        <v>112</v>
      </c>
      <c r="Q825" s="30" t="s">
        <v>112</v>
      </c>
      <c r="R825" s="30" t="s">
        <v>183</v>
      </c>
      <c r="S825" s="81">
        <f>HLOOKUP(L825,データについて!$J$6:$M$18,13,FALSE)</f>
        <v>1</v>
      </c>
      <c r="T825" s="81">
        <f>HLOOKUP(M825,データについて!$J$7:$M$18,12,FALSE)</f>
        <v>1</v>
      </c>
      <c r="U825" s="81">
        <f>HLOOKUP(N825,データについて!$J$8:$M$18,11,FALSE)</f>
        <v>2</v>
      </c>
      <c r="V825" s="81">
        <f>HLOOKUP(O825,データについて!$J$9:$M$18,10,FALSE)</f>
        <v>1</v>
      </c>
      <c r="W825" s="81">
        <f>HLOOKUP(P825,データについて!$J$10:$M$18,9,FALSE)</f>
        <v>1</v>
      </c>
      <c r="X825" s="81">
        <f>HLOOKUP(Q825,データについて!$J$11:$M$18,8,FALSE)</f>
        <v>1</v>
      </c>
      <c r="Y825" s="81">
        <f>HLOOKUP(R825,データについて!$J$12:$M$18,7,FALSE)</f>
        <v>1</v>
      </c>
      <c r="Z825" s="81">
        <f>HLOOKUP(I825,データについて!$J$3:$M$18,16,FALSE)</f>
        <v>2</v>
      </c>
      <c r="AA825" s="81" t="str">
        <f>IFERROR(HLOOKUP(J825,データについて!$J$4:$AH$19,16,FALSE),"")</f>
        <v/>
      </c>
      <c r="AB825" s="81">
        <f>IFERROR(HLOOKUP(K825,データについて!$J$5:$AH$20,14,FALSE),"")</f>
        <v>3</v>
      </c>
      <c r="AC825" s="81">
        <f>IF(X825=1,HLOOKUP(R825,データについて!$J$12:$M$18,7,FALSE),"*")</f>
        <v>1</v>
      </c>
      <c r="AD825" s="81" t="str">
        <f>IF(X825=2,HLOOKUP(R825,データについて!$J$12:$M$18,7,FALSE),"*")</f>
        <v>*</v>
      </c>
    </row>
    <row r="826" spans="1:30">
      <c r="A826" s="30">
        <v>4366</v>
      </c>
      <c r="B826" s="30" t="s">
        <v>3155</v>
      </c>
      <c r="C826" s="30" t="s">
        <v>3154</v>
      </c>
      <c r="D826" s="30" t="s">
        <v>106</v>
      </c>
      <c r="E826" s="30"/>
      <c r="F826" s="30" t="s">
        <v>107</v>
      </c>
      <c r="G826" s="30" t="s">
        <v>106</v>
      </c>
      <c r="H826" s="30"/>
      <c r="I826" s="30" t="s">
        <v>191</v>
      </c>
      <c r="J826" s="30"/>
      <c r="K826" s="30" t="s">
        <v>3098</v>
      </c>
      <c r="L826" s="30" t="s">
        <v>117</v>
      </c>
      <c r="M826" s="30" t="s">
        <v>109</v>
      </c>
      <c r="N826" s="30" t="s">
        <v>114</v>
      </c>
      <c r="O826" s="30" t="s">
        <v>115</v>
      </c>
      <c r="P826" s="30" t="s">
        <v>112</v>
      </c>
      <c r="Q826" s="30" t="s">
        <v>112</v>
      </c>
      <c r="R826" s="30" t="s">
        <v>187</v>
      </c>
      <c r="S826" s="81">
        <f>HLOOKUP(L826,データについて!$J$6:$M$18,13,FALSE)</f>
        <v>2</v>
      </c>
      <c r="T826" s="81">
        <f>HLOOKUP(M826,データについて!$J$7:$M$18,12,FALSE)</f>
        <v>2</v>
      </c>
      <c r="U826" s="81">
        <f>HLOOKUP(N826,データについて!$J$8:$M$18,11,FALSE)</f>
        <v>1</v>
      </c>
      <c r="V826" s="81">
        <f>HLOOKUP(O826,データについて!$J$9:$M$18,10,FALSE)</f>
        <v>1</v>
      </c>
      <c r="W826" s="81">
        <f>HLOOKUP(P826,データについて!$J$10:$M$18,9,FALSE)</f>
        <v>1</v>
      </c>
      <c r="X826" s="81">
        <f>HLOOKUP(Q826,データについて!$J$11:$M$18,8,FALSE)</f>
        <v>1</v>
      </c>
      <c r="Y826" s="81">
        <f>HLOOKUP(R826,データについて!$J$12:$M$18,7,FALSE)</f>
        <v>3</v>
      </c>
      <c r="Z826" s="81">
        <f>HLOOKUP(I826,データについて!$J$3:$M$18,16,FALSE)</f>
        <v>2</v>
      </c>
      <c r="AA826" s="81" t="str">
        <f>IFERROR(HLOOKUP(J826,データについて!$J$4:$AH$19,16,FALSE),"")</f>
        <v/>
      </c>
      <c r="AB826" s="81">
        <f>IFERROR(HLOOKUP(K826,データについて!$J$5:$AH$20,14,FALSE),"")</f>
        <v>3</v>
      </c>
      <c r="AC826" s="81">
        <f>IF(X826=1,HLOOKUP(R826,データについて!$J$12:$M$18,7,FALSE),"*")</f>
        <v>3</v>
      </c>
      <c r="AD826" s="81" t="str">
        <f>IF(X826=2,HLOOKUP(R826,データについて!$J$12:$M$18,7,FALSE),"*")</f>
        <v>*</v>
      </c>
    </row>
    <row r="827" spans="1:30">
      <c r="A827" s="30">
        <v>4365</v>
      </c>
      <c r="B827" s="30" t="s">
        <v>3156</v>
      </c>
      <c r="C827" s="30" t="s">
        <v>3157</v>
      </c>
      <c r="D827" s="30" t="s">
        <v>106</v>
      </c>
      <c r="E827" s="30"/>
      <c r="F827" s="30" t="s">
        <v>107</v>
      </c>
      <c r="G827" s="30" t="s">
        <v>106</v>
      </c>
      <c r="H827" s="30"/>
      <c r="I827" s="30" t="s">
        <v>191</v>
      </c>
      <c r="J827" s="30"/>
      <c r="K827" s="30" t="s">
        <v>3098</v>
      </c>
      <c r="L827" s="30" t="s">
        <v>108</v>
      </c>
      <c r="M827" s="30" t="s">
        <v>113</v>
      </c>
      <c r="N827" s="30" t="s">
        <v>114</v>
      </c>
      <c r="O827" s="30" t="s">
        <v>115</v>
      </c>
      <c r="P827" s="30" t="s">
        <v>112</v>
      </c>
      <c r="Q827" s="30" t="s">
        <v>112</v>
      </c>
      <c r="R827" s="30" t="s">
        <v>183</v>
      </c>
      <c r="S827" s="81">
        <f>HLOOKUP(L827,データについて!$J$6:$M$18,13,FALSE)</f>
        <v>1</v>
      </c>
      <c r="T827" s="81">
        <f>HLOOKUP(M827,データについて!$J$7:$M$18,12,FALSE)</f>
        <v>1</v>
      </c>
      <c r="U827" s="81">
        <f>HLOOKUP(N827,データについて!$J$8:$M$18,11,FALSE)</f>
        <v>1</v>
      </c>
      <c r="V827" s="81">
        <f>HLOOKUP(O827,データについて!$J$9:$M$18,10,FALSE)</f>
        <v>1</v>
      </c>
      <c r="W827" s="81">
        <f>HLOOKUP(P827,データについて!$J$10:$M$18,9,FALSE)</f>
        <v>1</v>
      </c>
      <c r="X827" s="81">
        <f>HLOOKUP(Q827,データについて!$J$11:$M$18,8,FALSE)</f>
        <v>1</v>
      </c>
      <c r="Y827" s="81">
        <f>HLOOKUP(R827,データについて!$J$12:$M$18,7,FALSE)</f>
        <v>1</v>
      </c>
      <c r="Z827" s="81">
        <f>HLOOKUP(I827,データについて!$J$3:$M$18,16,FALSE)</f>
        <v>2</v>
      </c>
      <c r="AA827" s="81" t="str">
        <f>IFERROR(HLOOKUP(J827,データについて!$J$4:$AH$19,16,FALSE),"")</f>
        <v/>
      </c>
      <c r="AB827" s="81">
        <f>IFERROR(HLOOKUP(K827,データについて!$J$5:$AH$20,14,FALSE),"")</f>
        <v>3</v>
      </c>
      <c r="AC827" s="81">
        <f>IF(X827=1,HLOOKUP(R827,データについて!$J$12:$M$18,7,FALSE),"*")</f>
        <v>1</v>
      </c>
      <c r="AD827" s="81" t="str">
        <f>IF(X827=2,HLOOKUP(R827,データについて!$J$12:$M$18,7,FALSE),"*")</f>
        <v>*</v>
      </c>
    </row>
    <row r="828" spans="1:30">
      <c r="A828" s="30">
        <v>4364</v>
      </c>
      <c r="B828" s="30" t="s">
        <v>3158</v>
      </c>
      <c r="C828" s="30" t="s">
        <v>3159</v>
      </c>
      <c r="D828" s="30" t="s">
        <v>106</v>
      </c>
      <c r="E828" s="30"/>
      <c r="F828" s="30" t="s">
        <v>107</v>
      </c>
      <c r="G828" s="30" t="s">
        <v>106</v>
      </c>
      <c r="H828" s="30"/>
      <c r="I828" s="30" t="s">
        <v>191</v>
      </c>
      <c r="J828" s="30"/>
      <c r="K828" s="30" t="s">
        <v>3098</v>
      </c>
      <c r="L828" s="30" t="s">
        <v>117</v>
      </c>
      <c r="M828" s="30" t="s">
        <v>109</v>
      </c>
      <c r="N828" s="30" t="s">
        <v>110</v>
      </c>
      <c r="O828" s="30" t="s">
        <v>115</v>
      </c>
      <c r="P828" s="30" t="s">
        <v>112</v>
      </c>
      <c r="Q828" s="30" t="s">
        <v>112</v>
      </c>
      <c r="R828" s="30" t="s">
        <v>183</v>
      </c>
      <c r="S828" s="81">
        <f>HLOOKUP(L828,データについて!$J$6:$M$18,13,FALSE)</f>
        <v>2</v>
      </c>
      <c r="T828" s="81">
        <f>HLOOKUP(M828,データについて!$J$7:$M$18,12,FALSE)</f>
        <v>2</v>
      </c>
      <c r="U828" s="81">
        <f>HLOOKUP(N828,データについて!$J$8:$M$18,11,FALSE)</f>
        <v>2</v>
      </c>
      <c r="V828" s="81">
        <f>HLOOKUP(O828,データについて!$J$9:$M$18,10,FALSE)</f>
        <v>1</v>
      </c>
      <c r="W828" s="81">
        <f>HLOOKUP(P828,データについて!$J$10:$M$18,9,FALSE)</f>
        <v>1</v>
      </c>
      <c r="X828" s="81">
        <f>HLOOKUP(Q828,データについて!$J$11:$M$18,8,FALSE)</f>
        <v>1</v>
      </c>
      <c r="Y828" s="81">
        <f>HLOOKUP(R828,データについて!$J$12:$M$18,7,FALSE)</f>
        <v>1</v>
      </c>
      <c r="Z828" s="81">
        <f>HLOOKUP(I828,データについて!$J$3:$M$18,16,FALSE)</f>
        <v>2</v>
      </c>
      <c r="AA828" s="81" t="str">
        <f>IFERROR(HLOOKUP(J828,データについて!$J$4:$AH$19,16,FALSE),"")</f>
        <v/>
      </c>
      <c r="AB828" s="81">
        <f>IFERROR(HLOOKUP(K828,データについて!$J$5:$AH$20,14,FALSE),"")</f>
        <v>3</v>
      </c>
      <c r="AC828" s="81">
        <f>IF(X828=1,HLOOKUP(R828,データについて!$J$12:$M$18,7,FALSE),"*")</f>
        <v>1</v>
      </c>
      <c r="AD828" s="81" t="str">
        <f>IF(X828=2,HLOOKUP(R828,データについて!$J$12:$M$18,7,FALSE),"*")</f>
        <v>*</v>
      </c>
    </row>
    <row r="829" spans="1:30">
      <c r="A829" s="30">
        <v>4363</v>
      </c>
      <c r="B829" s="30" t="s">
        <v>3160</v>
      </c>
      <c r="C829" s="30" t="s">
        <v>3161</v>
      </c>
      <c r="D829" s="30" t="s">
        <v>106</v>
      </c>
      <c r="E829" s="30"/>
      <c r="F829" s="30" t="s">
        <v>107</v>
      </c>
      <c r="G829" s="30" t="s">
        <v>106</v>
      </c>
      <c r="H829" s="30"/>
      <c r="I829" s="30" t="s">
        <v>191</v>
      </c>
      <c r="J829" s="30"/>
      <c r="K829" s="30" t="s">
        <v>3098</v>
      </c>
      <c r="L829" s="30" t="s">
        <v>108</v>
      </c>
      <c r="M829" s="30" t="s">
        <v>109</v>
      </c>
      <c r="N829" s="30" t="s">
        <v>110</v>
      </c>
      <c r="O829" s="30" t="s">
        <v>115</v>
      </c>
      <c r="P829" s="30" t="s">
        <v>112</v>
      </c>
      <c r="Q829" s="30" t="s">
        <v>112</v>
      </c>
      <c r="R829" s="30" t="s">
        <v>185</v>
      </c>
      <c r="S829" s="81">
        <f>HLOOKUP(L829,データについて!$J$6:$M$18,13,FALSE)</f>
        <v>1</v>
      </c>
      <c r="T829" s="81">
        <f>HLOOKUP(M829,データについて!$J$7:$M$18,12,FALSE)</f>
        <v>2</v>
      </c>
      <c r="U829" s="81">
        <f>HLOOKUP(N829,データについて!$J$8:$M$18,11,FALSE)</f>
        <v>2</v>
      </c>
      <c r="V829" s="81">
        <f>HLOOKUP(O829,データについて!$J$9:$M$18,10,FALSE)</f>
        <v>1</v>
      </c>
      <c r="W829" s="81">
        <f>HLOOKUP(P829,データについて!$J$10:$M$18,9,FALSE)</f>
        <v>1</v>
      </c>
      <c r="X829" s="81">
        <f>HLOOKUP(Q829,データについて!$J$11:$M$18,8,FALSE)</f>
        <v>1</v>
      </c>
      <c r="Y829" s="81">
        <f>HLOOKUP(R829,データについて!$J$12:$M$18,7,FALSE)</f>
        <v>2</v>
      </c>
      <c r="Z829" s="81">
        <f>HLOOKUP(I829,データについて!$J$3:$M$18,16,FALSE)</f>
        <v>2</v>
      </c>
      <c r="AA829" s="81" t="str">
        <f>IFERROR(HLOOKUP(J829,データについて!$J$4:$AH$19,16,FALSE),"")</f>
        <v/>
      </c>
      <c r="AB829" s="81">
        <f>IFERROR(HLOOKUP(K829,データについて!$J$5:$AH$20,14,FALSE),"")</f>
        <v>3</v>
      </c>
      <c r="AC829" s="81">
        <f>IF(X829=1,HLOOKUP(R829,データについて!$J$12:$M$18,7,FALSE),"*")</f>
        <v>2</v>
      </c>
      <c r="AD829" s="81" t="str">
        <f>IF(X829=2,HLOOKUP(R829,データについて!$J$12:$M$18,7,FALSE),"*")</f>
        <v>*</v>
      </c>
    </row>
    <row r="830" spans="1:30">
      <c r="A830" s="30">
        <v>4362</v>
      </c>
      <c r="B830" s="30" t="s">
        <v>3162</v>
      </c>
      <c r="C830" s="30" t="s">
        <v>3163</v>
      </c>
      <c r="D830" s="30" t="s">
        <v>106</v>
      </c>
      <c r="E830" s="30"/>
      <c r="F830" s="30" t="s">
        <v>107</v>
      </c>
      <c r="G830" s="30" t="s">
        <v>106</v>
      </c>
      <c r="H830" s="30"/>
      <c r="I830" s="30" t="s">
        <v>191</v>
      </c>
      <c r="J830" s="30"/>
      <c r="K830" s="30" t="s">
        <v>3098</v>
      </c>
      <c r="L830" s="30" t="s">
        <v>117</v>
      </c>
      <c r="M830" s="30" t="s">
        <v>109</v>
      </c>
      <c r="N830" s="30" t="s">
        <v>110</v>
      </c>
      <c r="O830" s="30" t="s">
        <v>115</v>
      </c>
      <c r="P830" s="30" t="s">
        <v>112</v>
      </c>
      <c r="Q830" s="30" t="s">
        <v>118</v>
      </c>
      <c r="R830" s="30" t="s">
        <v>189</v>
      </c>
      <c r="S830" s="81">
        <f>HLOOKUP(L830,データについて!$J$6:$M$18,13,FALSE)</f>
        <v>2</v>
      </c>
      <c r="T830" s="81">
        <f>HLOOKUP(M830,データについて!$J$7:$M$18,12,FALSE)</f>
        <v>2</v>
      </c>
      <c r="U830" s="81">
        <f>HLOOKUP(N830,データについて!$J$8:$M$18,11,FALSE)</f>
        <v>2</v>
      </c>
      <c r="V830" s="81">
        <f>HLOOKUP(O830,データについて!$J$9:$M$18,10,FALSE)</f>
        <v>1</v>
      </c>
      <c r="W830" s="81">
        <f>HLOOKUP(P830,データについて!$J$10:$M$18,9,FALSE)</f>
        <v>1</v>
      </c>
      <c r="X830" s="81">
        <f>HLOOKUP(Q830,データについて!$J$11:$M$18,8,FALSE)</f>
        <v>2</v>
      </c>
      <c r="Y830" s="81">
        <f>HLOOKUP(R830,データについて!$J$12:$M$18,7,FALSE)</f>
        <v>4</v>
      </c>
      <c r="Z830" s="81">
        <f>HLOOKUP(I830,データについて!$J$3:$M$18,16,FALSE)</f>
        <v>2</v>
      </c>
      <c r="AA830" s="81" t="str">
        <f>IFERROR(HLOOKUP(J830,データについて!$J$4:$AH$19,16,FALSE),"")</f>
        <v/>
      </c>
      <c r="AB830" s="81">
        <f>IFERROR(HLOOKUP(K830,データについて!$J$5:$AH$20,14,FALSE),"")</f>
        <v>3</v>
      </c>
      <c r="AC830" s="81" t="str">
        <f>IF(X830=1,HLOOKUP(R830,データについて!$J$12:$M$18,7,FALSE),"*")</f>
        <v>*</v>
      </c>
      <c r="AD830" s="81">
        <f>IF(X830=2,HLOOKUP(R830,データについて!$J$12:$M$18,7,FALSE),"*")</f>
        <v>4</v>
      </c>
    </row>
    <row r="831" spans="1:30">
      <c r="A831" s="30">
        <v>4361</v>
      </c>
      <c r="B831" s="30" t="s">
        <v>3164</v>
      </c>
      <c r="C831" s="30" t="s">
        <v>3165</v>
      </c>
      <c r="D831" s="30" t="s">
        <v>106</v>
      </c>
      <c r="E831" s="30"/>
      <c r="F831" s="30" t="s">
        <v>107</v>
      </c>
      <c r="G831" s="30" t="s">
        <v>106</v>
      </c>
      <c r="H831" s="30"/>
      <c r="I831" s="30" t="s">
        <v>191</v>
      </c>
      <c r="J831" s="30"/>
      <c r="K831" s="30" t="s">
        <v>3098</v>
      </c>
      <c r="L831" s="30" t="s">
        <v>108</v>
      </c>
      <c r="M831" s="30" t="s">
        <v>124</v>
      </c>
      <c r="N831" s="30" t="s">
        <v>110</v>
      </c>
      <c r="O831" s="30" t="s">
        <v>115</v>
      </c>
      <c r="P831" s="30" t="s">
        <v>112</v>
      </c>
      <c r="Q831" s="30" t="s">
        <v>112</v>
      </c>
      <c r="R831" s="30" t="s">
        <v>185</v>
      </c>
      <c r="S831" s="81">
        <f>HLOOKUP(L831,データについて!$J$6:$M$18,13,FALSE)</f>
        <v>1</v>
      </c>
      <c r="T831" s="81">
        <f>HLOOKUP(M831,データについて!$J$7:$M$18,12,FALSE)</f>
        <v>3</v>
      </c>
      <c r="U831" s="81">
        <f>HLOOKUP(N831,データについて!$J$8:$M$18,11,FALSE)</f>
        <v>2</v>
      </c>
      <c r="V831" s="81">
        <f>HLOOKUP(O831,データについて!$J$9:$M$18,10,FALSE)</f>
        <v>1</v>
      </c>
      <c r="W831" s="81">
        <f>HLOOKUP(P831,データについて!$J$10:$M$18,9,FALSE)</f>
        <v>1</v>
      </c>
      <c r="X831" s="81">
        <f>HLOOKUP(Q831,データについて!$J$11:$M$18,8,FALSE)</f>
        <v>1</v>
      </c>
      <c r="Y831" s="81">
        <f>HLOOKUP(R831,データについて!$J$12:$M$18,7,FALSE)</f>
        <v>2</v>
      </c>
      <c r="Z831" s="81">
        <f>HLOOKUP(I831,データについて!$J$3:$M$18,16,FALSE)</f>
        <v>2</v>
      </c>
      <c r="AA831" s="81" t="str">
        <f>IFERROR(HLOOKUP(J831,データについて!$J$4:$AH$19,16,FALSE),"")</f>
        <v/>
      </c>
      <c r="AB831" s="81">
        <f>IFERROR(HLOOKUP(K831,データについて!$J$5:$AH$20,14,FALSE),"")</f>
        <v>3</v>
      </c>
      <c r="AC831" s="81">
        <f>IF(X831=1,HLOOKUP(R831,データについて!$J$12:$M$18,7,FALSE),"*")</f>
        <v>2</v>
      </c>
      <c r="AD831" s="81" t="str">
        <f>IF(X831=2,HLOOKUP(R831,データについて!$J$12:$M$18,7,FALSE),"*")</f>
        <v>*</v>
      </c>
    </row>
    <row r="832" spans="1:30">
      <c r="A832" s="30">
        <v>4360</v>
      </c>
      <c r="B832" s="30" t="s">
        <v>3166</v>
      </c>
      <c r="C832" s="30" t="s">
        <v>3167</v>
      </c>
      <c r="D832" s="30" t="s">
        <v>106</v>
      </c>
      <c r="E832" s="30"/>
      <c r="F832" s="30" t="s">
        <v>107</v>
      </c>
      <c r="G832" s="30" t="s">
        <v>106</v>
      </c>
      <c r="H832" s="30"/>
      <c r="I832" s="30" t="s">
        <v>191</v>
      </c>
      <c r="J832" s="30"/>
      <c r="K832" s="30" t="s">
        <v>3098</v>
      </c>
      <c r="L832" s="30" t="s">
        <v>108</v>
      </c>
      <c r="M832" s="30" t="s">
        <v>113</v>
      </c>
      <c r="N832" s="30" t="s">
        <v>114</v>
      </c>
      <c r="O832" s="30" t="s">
        <v>111</v>
      </c>
      <c r="P832" s="30" t="s">
        <v>112</v>
      </c>
      <c r="Q832" s="30" t="s">
        <v>112</v>
      </c>
      <c r="R832" s="30" t="s">
        <v>185</v>
      </c>
      <c r="S832" s="81">
        <f>HLOOKUP(L832,データについて!$J$6:$M$18,13,FALSE)</f>
        <v>1</v>
      </c>
      <c r="T832" s="81">
        <f>HLOOKUP(M832,データについて!$J$7:$M$18,12,FALSE)</f>
        <v>1</v>
      </c>
      <c r="U832" s="81">
        <f>HLOOKUP(N832,データについて!$J$8:$M$18,11,FALSE)</f>
        <v>1</v>
      </c>
      <c r="V832" s="81">
        <f>HLOOKUP(O832,データについて!$J$9:$M$18,10,FALSE)</f>
        <v>3</v>
      </c>
      <c r="W832" s="81">
        <f>HLOOKUP(P832,データについて!$J$10:$M$18,9,FALSE)</f>
        <v>1</v>
      </c>
      <c r="X832" s="81">
        <f>HLOOKUP(Q832,データについて!$J$11:$M$18,8,FALSE)</f>
        <v>1</v>
      </c>
      <c r="Y832" s="81">
        <f>HLOOKUP(R832,データについて!$J$12:$M$18,7,FALSE)</f>
        <v>2</v>
      </c>
      <c r="Z832" s="81">
        <f>HLOOKUP(I832,データについて!$J$3:$M$18,16,FALSE)</f>
        <v>2</v>
      </c>
      <c r="AA832" s="81" t="str">
        <f>IFERROR(HLOOKUP(J832,データについて!$J$4:$AH$19,16,FALSE),"")</f>
        <v/>
      </c>
      <c r="AB832" s="81">
        <f>IFERROR(HLOOKUP(K832,データについて!$J$5:$AH$20,14,FALSE),"")</f>
        <v>3</v>
      </c>
      <c r="AC832" s="81">
        <f>IF(X832=1,HLOOKUP(R832,データについて!$J$12:$M$18,7,FALSE),"*")</f>
        <v>2</v>
      </c>
      <c r="AD832" s="81" t="str">
        <f>IF(X832=2,HLOOKUP(R832,データについて!$J$12:$M$18,7,FALSE),"*")</f>
        <v>*</v>
      </c>
    </row>
    <row r="833" spans="1:30">
      <c r="A833" s="30">
        <v>4359</v>
      </c>
      <c r="B833" s="30" t="s">
        <v>3168</v>
      </c>
      <c r="C833" s="30" t="s">
        <v>3169</v>
      </c>
      <c r="D833" s="30" t="s">
        <v>106</v>
      </c>
      <c r="E833" s="30"/>
      <c r="F833" s="30" t="s">
        <v>107</v>
      </c>
      <c r="G833" s="30" t="s">
        <v>106</v>
      </c>
      <c r="H833" s="30"/>
      <c r="I833" s="30" t="s">
        <v>191</v>
      </c>
      <c r="J833" s="30"/>
      <c r="K833" s="30" t="s">
        <v>3098</v>
      </c>
      <c r="L833" s="30" t="s">
        <v>117</v>
      </c>
      <c r="M833" s="30" t="s">
        <v>113</v>
      </c>
      <c r="N833" s="30" t="s">
        <v>114</v>
      </c>
      <c r="O833" s="30" t="s">
        <v>115</v>
      </c>
      <c r="P833" s="30" t="s">
        <v>112</v>
      </c>
      <c r="Q833" s="30" t="s">
        <v>112</v>
      </c>
      <c r="R833" s="30" t="s">
        <v>185</v>
      </c>
      <c r="S833" s="81">
        <f>HLOOKUP(L833,データについて!$J$6:$M$18,13,FALSE)</f>
        <v>2</v>
      </c>
      <c r="T833" s="81">
        <f>HLOOKUP(M833,データについて!$J$7:$M$18,12,FALSE)</f>
        <v>1</v>
      </c>
      <c r="U833" s="81">
        <f>HLOOKUP(N833,データについて!$J$8:$M$18,11,FALSE)</f>
        <v>1</v>
      </c>
      <c r="V833" s="81">
        <f>HLOOKUP(O833,データについて!$J$9:$M$18,10,FALSE)</f>
        <v>1</v>
      </c>
      <c r="W833" s="81">
        <f>HLOOKUP(P833,データについて!$J$10:$M$18,9,FALSE)</f>
        <v>1</v>
      </c>
      <c r="X833" s="81">
        <f>HLOOKUP(Q833,データについて!$J$11:$M$18,8,FALSE)</f>
        <v>1</v>
      </c>
      <c r="Y833" s="81">
        <f>HLOOKUP(R833,データについて!$J$12:$M$18,7,FALSE)</f>
        <v>2</v>
      </c>
      <c r="Z833" s="81">
        <f>HLOOKUP(I833,データについて!$J$3:$M$18,16,FALSE)</f>
        <v>2</v>
      </c>
      <c r="AA833" s="81" t="str">
        <f>IFERROR(HLOOKUP(J833,データについて!$J$4:$AH$19,16,FALSE),"")</f>
        <v/>
      </c>
      <c r="AB833" s="81">
        <f>IFERROR(HLOOKUP(K833,データについて!$J$5:$AH$20,14,FALSE),"")</f>
        <v>3</v>
      </c>
      <c r="AC833" s="81">
        <f>IF(X833=1,HLOOKUP(R833,データについて!$J$12:$M$18,7,FALSE),"*")</f>
        <v>2</v>
      </c>
      <c r="AD833" s="81" t="str">
        <f>IF(X833=2,HLOOKUP(R833,データについて!$J$12:$M$18,7,FALSE),"*")</f>
        <v>*</v>
      </c>
    </row>
    <row r="834" spans="1:30">
      <c r="A834" s="30">
        <v>4358</v>
      </c>
      <c r="B834" s="30" t="s">
        <v>3170</v>
      </c>
      <c r="C834" s="30" t="s">
        <v>3169</v>
      </c>
      <c r="D834" s="30" t="s">
        <v>106</v>
      </c>
      <c r="E834" s="30"/>
      <c r="F834" s="30" t="s">
        <v>107</v>
      </c>
      <c r="G834" s="30" t="s">
        <v>106</v>
      </c>
      <c r="H834" s="30"/>
      <c r="I834" s="30" t="s">
        <v>191</v>
      </c>
      <c r="J834" s="30"/>
      <c r="K834" s="30" t="s">
        <v>3098</v>
      </c>
      <c r="L834" s="30" t="s">
        <v>117</v>
      </c>
      <c r="M834" s="30" t="s">
        <v>113</v>
      </c>
      <c r="N834" s="30" t="s">
        <v>110</v>
      </c>
      <c r="O834" s="30" t="s">
        <v>115</v>
      </c>
      <c r="P834" s="30" t="s">
        <v>112</v>
      </c>
      <c r="Q834" s="30" t="s">
        <v>112</v>
      </c>
      <c r="R834" s="30" t="s">
        <v>185</v>
      </c>
      <c r="S834" s="81">
        <f>HLOOKUP(L834,データについて!$J$6:$M$18,13,FALSE)</f>
        <v>2</v>
      </c>
      <c r="T834" s="81">
        <f>HLOOKUP(M834,データについて!$J$7:$M$18,12,FALSE)</f>
        <v>1</v>
      </c>
      <c r="U834" s="81">
        <f>HLOOKUP(N834,データについて!$J$8:$M$18,11,FALSE)</f>
        <v>2</v>
      </c>
      <c r="V834" s="81">
        <f>HLOOKUP(O834,データについて!$J$9:$M$18,10,FALSE)</f>
        <v>1</v>
      </c>
      <c r="W834" s="81">
        <f>HLOOKUP(P834,データについて!$J$10:$M$18,9,FALSE)</f>
        <v>1</v>
      </c>
      <c r="X834" s="81">
        <f>HLOOKUP(Q834,データについて!$J$11:$M$18,8,FALSE)</f>
        <v>1</v>
      </c>
      <c r="Y834" s="81">
        <f>HLOOKUP(R834,データについて!$J$12:$M$18,7,FALSE)</f>
        <v>2</v>
      </c>
      <c r="Z834" s="81">
        <f>HLOOKUP(I834,データについて!$J$3:$M$18,16,FALSE)</f>
        <v>2</v>
      </c>
      <c r="AA834" s="81" t="str">
        <f>IFERROR(HLOOKUP(J834,データについて!$J$4:$AH$19,16,FALSE),"")</f>
        <v/>
      </c>
      <c r="AB834" s="81">
        <f>IFERROR(HLOOKUP(K834,データについて!$J$5:$AH$20,14,FALSE),"")</f>
        <v>3</v>
      </c>
      <c r="AC834" s="81">
        <f>IF(X834=1,HLOOKUP(R834,データについて!$J$12:$M$18,7,FALSE),"*")</f>
        <v>2</v>
      </c>
      <c r="AD834" s="81" t="str">
        <f>IF(X834=2,HLOOKUP(R834,データについて!$J$12:$M$18,7,FALSE),"*")</f>
        <v>*</v>
      </c>
    </row>
    <row r="835" spans="1:30">
      <c r="A835" s="30">
        <v>4357</v>
      </c>
      <c r="B835" s="30" t="s">
        <v>3171</v>
      </c>
      <c r="C835" s="30" t="s">
        <v>3172</v>
      </c>
      <c r="D835" s="30" t="s">
        <v>106</v>
      </c>
      <c r="E835" s="30"/>
      <c r="F835" s="30" t="s">
        <v>107</v>
      </c>
      <c r="G835" s="30" t="s">
        <v>106</v>
      </c>
      <c r="H835" s="30"/>
      <c r="I835" s="30" t="s">
        <v>191</v>
      </c>
      <c r="J835" s="30"/>
      <c r="K835" s="30" t="s">
        <v>3098</v>
      </c>
      <c r="L835" s="30" t="s">
        <v>117</v>
      </c>
      <c r="M835" s="30" t="s">
        <v>109</v>
      </c>
      <c r="N835" s="30" t="s">
        <v>110</v>
      </c>
      <c r="O835" s="30" t="s">
        <v>115</v>
      </c>
      <c r="P835" s="30" t="s">
        <v>112</v>
      </c>
      <c r="Q835" s="30" t="s">
        <v>112</v>
      </c>
      <c r="R835" s="30" t="s">
        <v>189</v>
      </c>
      <c r="S835" s="81">
        <f>HLOOKUP(L835,データについて!$J$6:$M$18,13,FALSE)</f>
        <v>2</v>
      </c>
      <c r="T835" s="81">
        <f>HLOOKUP(M835,データについて!$J$7:$M$18,12,FALSE)</f>
        <v>2</v>
      </c>
      <c r="U835" s="81">
        <f>HLOOKUP(N835,データについて!$J$8:$M$18,11,FALSE)</f>
        <v>2</v>
      </c>
      <c r="V835" s="81">
        <f>HLOOKUP(O835,データについて!$J$9:$M$18,10,FALSE)</f>
        <v>1</v>
      </c>
      <c r="W835" s="81">
        <f>HLOOKUP(P835,データについて!$J$10:$M$18,9,FALSE)</f>
        <v>1</v>
      </c>
      <c r="X835" s="81">
        <f>HLOOKUP(Q835,データについて!$J$11:$M$18,8,FALSE)</f>
        <v>1</v>
      </c>
      <c r="Y835" s="81">
        <f>HLOOKUP(R835,データについて!$J$12:$M$18,7,FALSE)</f>
        <v>4</v>
      </c>
      <c r="Z835" s="81">
        <f>HLOOKUP(I835,データについて!$J$3:$M$18,16,FALSE)</f>
        <v>2</v>
      </c>
      <c r="AA835" s="81" t="str">
        <f>IFERROR(HLOOKUP(J835,データについて!$J$4:$AH$19,16,FALSE),"")</f>
        <v/>
      </c>
      <c r="AB835" s="81">
        <f>IFERROR(HLOOKUP(K835,データについて!$J$5:$AH$20,14,FALSE),"")</f>
        <v>3</v>
      </c>
      <c r="AC835" s="81">
        <f>IF(X835=1,HLOOKUP(R835,データについて!$J$12:$M$18,7,FALSE),"*")</f>
        <v>4</v>
      </c>
      <c r="AD835" s="81" t="str">
        <f>IF(X835=2,HLOOKUP(R835,データについて!$J$12:$M$18,7,FALSE),"*")</f>
        <v>*</v>
      </c>
    </row>
    <row r="836" spans="1:30">
      <c r="A836" s="30">
        <v>4356</v>
      </c>
      <c r="B836" s="30" t="s">
        <v>3173</v>
      </c>
      <c r="C836" s="30" t="s">
        <v>3174</v>
      </c>
      <c r="D836" s="30" t="s">
        <v>106</v>
      </c>
      <c r="E836" s="30"/>
      <c r="F836" s="30" t="s">
        <v>107</v>
      </c>
      <c r="G836" s="30" t="s">
        <v>106</v>
      </c>
      <c r="H836" s="30"/>
      <c r="I836" s="30" t="s">
        <v>191</v>
      </c>
      <c r="J836" s="30"/>
      <c r="K836" s="30" t="s">
        <v>3098</v>
      </c>
      <c r="L836" s="30" t="s">
        <v>117</v>
      </c>
      <c r="M836" s="30" t="s">
        <v>109</v>
      </c>
      <c r="N836" s="30" t="s">
        <v>122</v>
      </c>
      <c r="O836" s="30" t="s">
        <v>115</v>
      </c>
      <c r="P836" s="30" t="s">
        <v>112</v>
      </c>
      <c r="Q836" s="30" t="s">
        <v>112</v>
      </c>
      <c r="R836" s="30" t="s">
        <v>185</v>
      </c>
      <c r="S836" s="81">
        <f>HLOOKUP(L836,データについて!$J$6:$M$18,13,FALSE)</f>
        <v>2</v>
      </c>
      <c r="T836" s="81">
        <f>HLOOKUP(M836,データについて!$J$7:$M$18,12,FALSE)</f>
        <v>2</v>
      </c>
      <c r="U836" s="81">
        <f>HLOOKUP(N836,データについて!$J$8:$M$18,11,FALSE)</f>
        <v>3</v>
      </c>
      <c r="V836" s="81">
        <f>HLOOKUP(O836,データについて!$J$9:$M$18,10,FALSE)</f>
        <v>1</v>
      </c>
      <c r="W836" s="81">
        <f>HLOOKUP(P836,データについて!$J$10:$M$18,9,FALSE)</f>
        <v>1</v>
      </c>
      <c r="X836" s="81">
        <f>HLOOKUP(Q836,データについて!$J$11:$M$18,8,FALSE)</f>
        <v>1</v>
      </c>
      <c r="Y836" s="81">
        <f>HLOOKUP(R836,データについて!$J$12:$M$18,7,FALSE)</f>
        <v>2</v>
      </c>
      <c r="Z836" s="81">
        <f>HLOOKUP(I836,データについて!$J$3:$M$18,16,FALSE)</f>
        <v>2</v>
      </c>
      <c r="AA836" s="81" t="str">
        <f>IFERROR(HLOOKUP(J836,データについて!$J$4:$AH$19,16,FALSE),"")</f>
        <v/>
      </c>
      <c r="AB836" s="81">
        <f>IFERROR(HLOOKUP(K836,データについて!$J$5:$AH$20,14,FALSE),"")</f>
        <v>3</v>
      </c>
      <c r="AC836" s="81">
        <f>IF(X836=1,HLOOKUP(R836,データについて!$J$12:$M$18,7,FALSE),"*")</f>
        <v>2</v>
      </c>
      <c r="AD836" s="81" t="str">
        <f>IF(X836=2,HLOOKUP(R836,データについて!$J$12:$M$18,7,FALSE),"*")</f>
        <v>*</v>
      </c>
    </row>
    <row r="837" spans="1:30">
      <c r="A837" s="30">
        <v>4355</v>
      </c>
      <c r="B837" s="30" t="s">
        <v>3175</v>
      </c>
      <c r="C837" s="30" t="s">
        <v>3176</v>
      </c>
      <c r="D837" s="30" t="s">
        <v>106</v>
      </c>
      <c r="E837" s="30"/>
      <c r="F837" s="30" t="s">
        <v>107</v>
      </c>
      <c r="G837" s="30" t="s">
        <v>106</v>
      </c>
      <c r="H837" s="30"/>
      <c r="I837" s="30" t="s">
        <v>191</v>
      </c>
      <c r="J837" s="30"/>
      <c r="K837" s="30" t="s">
        <v>3098</v>
      </c>
      <c r="L837" s="30" t="s">
        <v>117</v>
      </c>
      <c r="M837" s="30" t="s">
        <v>113</v>
      </c>
      <c r="N837" s="30" t="s">
        <v>110</v>
      </c>
      <c r="O837" s="30" t="s">
        <v>115</v>
      </c>
      <c r="P837" s="30" t="s">
        <v>112</v>
      </c>
      <c r="Q837" s="30" t="s">
        <v>112</v>
      </c>
      <c r="R837" s="30" t="s">
        <v>185</v>
      </c>
      <c r="S837" s="81">
        <f>HLOOKUP(L837,データについて!$J$6:$M$18,13,FALSE)</f>
        <v>2</v>
      </c>
      <c r="T837" s="81">
        <f>HLOOKUP(M837,データについて!$J$7:$M$18,12,FALSE)</f>
        <v>1</v>
      </c>
      <c r="U837" s="81">
        <f>HLOOKUP(N837,データについて!$J$8:$M$18,11,FALSE)</f>
        <v>2</v>
      </c>
      <c r="V837" s="81">
        <f>HLOOKUP(O837,データについて!$J$9:$M$18,10,FALSE)</f>
        <v>1</v>
      </c>
      <c r="W837" s="81">
        <f>HLOOKUP(P837,データについて!$J$10:$M$18,9,FALSE)</f>
        <v>1</v>
      </c>
      <c r="X837" s="81">
        <f>HLOOKUP(Q837,データについて!$J$11:$M$18,8,FALSE)</f>
        <v>1</v>
      </c>
      <c r="Y837" s="81">
        <f>HLOOKUP(R837,データについて!$J$12:$M$18,7,FALSE)</f>
        <v>2</v>
      </c>
      <c r="Z837" s="81">
        <f>HLOOKUP(I837,データについて!$J$3:$M$18,16,FALSE)</f>
        <v>2</v>
      </c>
      <c r="AA837" s="81" t="str">
        <f>IFERROR(HLOOKUP(J837,データについて!$J$4:$AH$19,16,FALSE),"")</f>
        <v/>
      </c>
      <c r="AB837" s="81">
        <f>IFERROR(HLOOKUP(K837,データについて!$J$5:$AH$20,14,FALSE),"")</f>
        <v>3</v>
      </c>
      <c r="AC837" s="81">
        <f>IF(X837=1,HLOOKUP(R837,データについて!$J$12:$M$18,7,FALSE),"*")</f>
        <v>2</v>
      </c>
      <c r="AD837" s="81" t="str">
        <f>IF(X837=2,HLOOKUP(R837,データについて!$J$12:$M$18,7,FALSE),"*")</f>
        <v>*</v>
      </c>
    </row>
    <row r="838" spans="1:30">
      <c r="A838" s="30">
        <v>4354</v>
      </c>
      <c r="B838" s="30" t="s">
        <v>3177</v>
      </c>
      <c r="C838" s="30" t="s">
        <v>3178</v>
      </c>
      <c r="D838" s="30" t="s">
        <v>106</v>
      </c>
      <c r="E838" s="30"/>
      <c r="F838" s="30" t="s">
        <v>107</v>
      </c>
      <c r="G838" s="30" t="s">
        <v>106</v>
      </c>
      <c r="H838" s="30"/>
      <c r="I838" s="30" t="s">
        <v>191</v>
      </c>
      <c r="J838" s="30"/>
      <c r="K838" s="30" t="s">
        <v>3098</v>
      </c>
      <c r="L838" s="30" t="s">
        <v>117</v>
      </c>
      <c r="M838" s="30" t="s">
        <v>109</v>
      </c>
      <c r="N838" s="30" t="s">
        <v>110</v>
      </c>
      <c r="O838" s="30" t="s">
        <v>123</v>
      </c>
      <c r="P838" s="30" t="s">
        <v>112</v>
      </c>
      <c r="Q838" s="30" t="s">
        <v>112</v>
      </c>
      <c r="R838" s="30" t="s">
        <v>187</v>
      </c>
      <c r="S838" s="81">
        <f>HLOOKUP(L838,データについて!$J$6:$M$18,13,FALSE)</f>
        <v>2</v>
      </c>
      <c r="T838" s="81">
        <f>HLOOKUP(M838,データについて!$J$7:$M$18,12,FALSE)</f>
        <v>2</v>
      </c>
      <c r="U838" s="81">
        <f>HLOOKUP(N838,データについて!$J$8:$M$18,11,FALSE)</f>
        <v>2</v>
      </c>
      <c r="V838" s="81">
        <f>HLOOKUP(O838,データについて!$J$9:$M$18,10,FALSE)</f>
        <v>4</v>
      </c>
      <c r="W838" s="81">
        <f>HLOOKUP(P838,データについて!$J$10:$M$18,9,FALSE)</f>
        <v>1</v>
      </c>
      <c r="X838" s="81">
        <f>HLOOKUP(Q838,データについて!$J$11:$M$18,8,FALSE)</f>
        <v>1</v>
      </c>
      <c r="Y838" s="81">
        <f>HLOOKUP(R838,データについて!$J$12:$M$18,7,FALSE)</f>
        <v>3</v>
      </c>
      <c r="Z838" s="81">
        <f>HLOOKUP(I838,データについて!$J$3:$M$18,16,FALSE)</f>
        <v>2</v>
      </c>
      <c r="AA838" s="81" t="str">
        <f>IFERROR(HLOOKUP(J838,データについて!$J$4:$AH$19,16,FALSE),"")</f>
        <v/>
      </c>
      <c r="AB838" s="81">
        <f>IFERROR(HLOOKUP(K838,データについて!$J$5:$AH$20,14,FALSE),"")</f>
        <v>3</v>
      </c>
      <c r="AC838" s="81">
        <f>IF(X838=1,HLOOKUP(R838,データについて!$J$12:$M$18,7,FALSE),"*")</f>
        <v>3</v>
      </c>
      <c r="AD838" s="81" t="str">
        <f>IF(X838=2,HLOOKUP(R838,データについて!$J$12:$M$18,7,FALSE),"*")</f>
        <v>*</v>
      </c>
    </row>
    <row r="839" spans="1:30">
      <c r="A839" s="30">
        <v>4353</v>
      </c>
      <c r="B839" s="30" t="s">
        <v>3179</v>
      </c>
      <c r="C839" s="30" t="s">
        <v>3180</v>
      </c>
      <c r="D839" s="30" t="s">
        <v>106</v>
      </c>
      <c r="E839" s="30"/>
      <c r="F839" s="30" t="s">
        <v>107</v>
      </c>
      <c r="G839" s="30" t="s">
        <v>106</v>
      </c>
      <c r="H839" s="30"/>
      <c r="I839" s="30" t="s">
        <v>191</v>
      </c>
      <c r="J839" s="30"/>
      <c r="K839" s="30" t="s">
        <v>3098</v>
      </c>
      <c r="L839" s="30" t="s">
        <v>117</v>
      </c>
      <c r="M839" s="30" t="s">
        <v>113</v>
      </c>
      <c r="N839" s="30" t="s">
        <v>122</v>
      </c>
      <c r="O839" s="30" t="s">
        <v>115</v>
      </c>
      <c r="P839" s="30" t="s">
        <v>118</v>
      </c>
      <c r="Q839" s="30" t="s">
        <v>112</v>
      </c>
      <c r="R839" s="30" t="s">
        <v>187</v>
      </c>
      <c r="S839" s="81">
        <f>HLOOKUP(L839,データについて!$J$6:$M$18,13,FALSE)</f>
        <v>2</v>
      </c>
      <c r="T839" s="81">
        <f>HLOOKUP(M839,データについて!$J$7:$M$18,12,FALSE)</f>
        <v>1</v>
      </c>
      <c r="U839" s="81">
        <f>HLOOKUP(N839,データについて!$J$8:$M$18,11,FALSE)</f>
        <v>3</v>
      </c>
      <c r="V839" s="81">
        <f>HLOOKUP(O839,データについて!$J$9:$M$18,10,FALSE)</f>
        <v>1</v>
      </c>
      <c r="W839" s="81">
        <f>HLOOKUP(P839,データについて!$J$10:$M$18,9,FALSE)</f>
        <v>2</v>
      </c>
      <c r="X839" s="81">
        <f>HLOOKUP(Q839,データについて!$J$11:$M$18,8,FALSE)</f>
        <v>1</v>
      </c>
      <c r="Y839" s="81">
        <f>HLOOKUP(R839,データについて!$J$12:$M$18,7,FALSE)</f>
        <v>3</v>
      </c>
      <c r="Z839" s="81">
        <f>HLOOKUP(I839,データについて!$J$3:$M$18,16,FALSE)</f>
        <v>2</v>
      </c>
      <c r="AA839" s="81" t="str">
        <f>IFERROR(HLOOKUP(J839,データについて!$J$4:$AH$19,16,FALSE),"")</f>
        <v/>
      </c>
      <c r="AB839" s="81">
        <f>IFERROR(HLOOKUP(K839,データについて!$J$5:$AH$20,14,FALSE),"")</f>
        <v>3</v>
      </c>
      <c r="AC839" s="81">
        <f>IF(X839=1,HLOOKUP(R839,データについて!$J$12:$M$18,7,FALSE),"*")</f>
        <v>3</v>
      </c>
      <c r="AD839" s="81" t="str">
        <f>IF(X839=2,HLOOKUP(R839,データについて!$J$12:$M$18,7,FALSE),"*")</f>
        <v>*</v>
      </c>
    </row>
    <row r="840" spans="1:30">
      <c r="A840" s="30">
        <v>4352</v>
      </c>
      <c r="B840" s="30" t="s">
        <v>3181</v>
      </c>
      <c r="C840" s="30" t="s">
        <v>3180</v>
      </c>
      <c r="D840" s="30" t="s">
        <v>106</v>
      </c>
      <c r="E840" s="30"/>
      <c r="F840" s="30" t="s">
        <v>107</v>
      </c>
      <c r="G840" s="30" t="s">
        <v>106</v>
      </c>
      <c r="H840" s="30"/>
      <c r="I840" s="30" t="s">
        <v>191</v>
      </c>
      <c r="J840" s="30"/>
      <c r="K840" s="30" t="s">
        <v>3098</v>
      </c>
      <c r="L840" s="30" t="s">
        <v>117</v>
      </c>
      <c r="M840" s="30" t="s">
        <v>109</v>
      </c>
      <c r="N840" s="30" t="s">
        <v>114</v>
      </c>
      <c r="O840" s="30" t="s">
        <v>116</v>
      </c>
      <c r="P840" s="30" t="s">
        <v>118</v>
      </c>
      <c r="Q840" s="30" t="s">
        <v>118</v>
      </c>
      <c r="R840" s="30" t="s">
        <v>189</v>
      </c>
      <c r="S840" s="81">
        <f>HLOOKUP(L840,データについて!$J$6:$M$18,13,FALSE)</f>
        <v>2</v>
      </c>
      <c r="T840" s="81">
        <f>HLOOKUP(M840,データについて!$J$7:$M$18,12,FALSE)</f>
        <v>2</v>
      </c>
      <c r="U840" s="81">
        <f>HLOOKUP(N840,データについて!$J$8:$M$18,11,FALSE)</f>
        <v>1</v>
      </c>
      <c r="V840" s="81">
        <f>HLOOKUP(O840,データについて!$J$9:$M$18,10,FALSE)</f>
        <v>2</v>
      </c>
      <c r="W840" s="81">
        <f>HLOOKUP(P840,データについて!$J$10:$M$18,9,FALSE)</f>
        <v>2</v>
      </c>
      <c r="X840" s="81">
        <f>HLOOKUP(Q840,データについて!$J$11:$M$18,8,FALSE)</f>
        <v>2</v>
      </c>
      <c r="Y840" s="81">
        <f>HLOOKUP(R840,データについて!$J$12:$M$18,7,FALSE)</f>
        <v>4</v>
      </c>
      <c r="Z840" s="81">
        <f>HLOOKUP(I840,データについて!$J$3:$M$18,16,FALSE)</f>
        <v>2</v>
      </c>
      <c r="AA840" s="81" t="str">
        <f>IFERROR(HLOOKUP(J840,データについて!$J$4:$AH$19,16,FALSE),"")</f>
        <v/>
      </c>
      <c r="AB840" s="81">
        <f>IFERROR(HLOOKUP(K840,データについて!$J$5:$AH$20,14,FALSE),"")</f>
        <v>3</v>
      </c>
      <c r="AC840" s="81" t="str">
        <f>IF(X840=1,HLOOKUP(R840,データについて!$J$12:$M$18,7,FALSE),"*")</f>
        <v>*</v>
      </c>
      <c r="AD840" s="81">
        <f>IF(X840=2,HLOOKUP(R840,データについて!$J$12:$M$18,7,FALSE),"*")</f>
        <v>4</v>
      </c>
    </row>
    <row r="841" spans="1:30">
      <c r="A841" s="30">
        <v>4351</v>
      </c>
      <c r="B841" s="30" t="s">
        <v>3182</v>
      </c>
      <c r="C841" s="30" t="s">
        <v>3180</v>
      </c>
      <c r="D841" s="30" t="s">
        <v>106</v>
      </c>
      <c r="E841" s="30"/>
      <c r="F841" s="30" t="s">
        <v>107</v>
      </c>
      <c r="G841" s="30" t="s">
        <v>106</v>
      </c>
      <c r="H841" s="30"/>
      <c r="I841" s="30" t="s">
        <v>191</v>
      </c>
      <c r="J841" s="30"/>
      <c r="K841" s="30" t="s">
        <v>3098</v>
      </c>
      <c r="L841" s="30" t="s">
        <v>108</v>
      </c>
      <c r="M841" s="30" t="s">
        <v>109</v>
      </c>
      <c r="N841" s="30" t="s">
        <v>110</v>
      </c>
      <c r="O841" s="30" t="s">
        <v>116</v>
      </c>
      <c r="P841" s="30" t="s">
        <v>112</v>
      </c>
      <c r="Q841" s="30" t="s">
        <v>112</v>
      </c>
      <c r="R841" s="30" t="s">
        <v>185</v>
      </c>
      <c r="S841" s="81">
        <f>HLOOKUP(L841,データについて!$J$6:$M$18,13,FALSE)</f>
        <v>1</v>
      </c>
      <c r="T841" s="81">
        <f>HLOOKUP(M841,データについて!$J$7:$M$18,12,FALSE)</f>
        <v>2</v>
      </c>
      <c r="U841" s="81">
        <f>HLOOKUP(N841,データについて!$J$8:$M$18,11,FALSE)</f>
        <v>2</v>
      </c>
      <c r="V841" s="81">
        <f>HLOOKUP(O841,データについて!$J$9:$M$18,10,FALSE)</f>
        <v>2</v>
      </c>
      <c r="W841" s="81">
        <f>HLOOKUP(P841,データについて!$J$10:$M$18,9,FALSE)</f>
        <v>1</v>
      </c>
      <c r="X841" s="81">
        <f>HLOOKUP(Q841,データについて!$J$11:$M$18,8,FALSE)</f>
        <v>1</v>
      </c>
      <c r="Y841" s="81">
        <f>HLOOKUP(R841,データについて!$J$12:$M$18,7,FALSE)</f>
        <v>2</v>
      </c>
      <c r="Z841" s="81">
        <f>HLOOKUP(I841,データについて!$J$3:$M$18,16,FALSE)</f>
        <v>2</v>
      </c>
      <c r="AA841" s="81" t="str">
        <f>IFERROR(HLOOKUP(J841,データについて!$J$4:$AH$19,16,FALSE),"")</f>
        <v/>
      </c>
      <c r="AB841" s="81">
        <f>IFERROR(HLOOKUP(K841,データについて!$J$5:$AH$20,14,FALSE),"")</f>
        <v>3</v>
      </c>
      <c r="AC841" s="81">
        <f>IF(X841=1,HLOOKUP(R841,データについて!$J$12:$M$18,7,FALSE),"*")</f>
        <v>2</v>
      </c>
      <c r="AD841" s="81" t="str">
        <f>IF(X841=2,HLOOKUP(R841,データについて!$J$12:$M$18,7,FALSE),"*")</f>
        <v>*</v>
      </c>
    </row>
    <row r="842" spans="1:30">
      <c r="A842" s="30">
        <v>4350</v>
      </c>
      <c r="B842" s="30" t="s">
        <v>3183</v>
      </c>
      <c r="C842" s="30" t="s">
        <v>3180</v>
      </c>
      <c r="D842" s="30" t="s">
        <v>106</v>
      </c>
      <c r="E842" s="30"/>
      <c r="F842" s="30" t="s">
        <v>107</v>
      </c>
      <c r="G842" s="30" t="s">
        <v>106</v>
      </c>
      <c r="H842" s="30"/>
      <c r="I842" s="30" t="s">
        <v>191</v>
      </c>
      <c r="J842" s="30"/>
      <c r="K842" s="30" t="s">
        <v>3098</v>
      </c>
      <c r="L842" s="30" t="s">
        <v>108</v>
      </c>
      <c r="M842" s="30" t="s">
        <v>113</v>
      </c>
      <c r="N842" s="30" t="s">
        <v>114</v>
      </c>
      <c r="O842" s="30" t="s">
        <v>115</v>
      </c>
      <c r="P842" s="30" t="s">
        <v>118</v>
      </c>
      <c r="Q842" s="30" t="s">
        <v>112</v>
      </c>
      <c r="R842" s="30" t="s">
        <v>185</v>
      </c>
      <c r="S842" s="81">
        <f>HLOOKUP(L842,データについて!$J$6:$M$18,13,FALSE)</f>
        <v>1</v>
      </c>
      <c r="T842" s="81">
        <f>HLOOKUP(M842,データについて!$J$7:$M$18,12,FALSE)</f>
        <v>1</v>
      </c>
      <c r="U842" s="81">
        <f>HLOOKUP(N842,データについて!$J$8:$M$18,11,FALSE)</f>
        <v>1</v>
      </c>
      <c r="V842" s="81">
        <f>HLOOKUP(O842,データについて!$J$9:$M$18,10,FALSE)</f>
        <v>1</v>
      </c>
      <c r="W842" s="81">
        <f>HLOOKUP(P842,データについて!$J$10:$M$18,9,FALSE)</f>
        <v>2</v>
      </c>
      <c r="X842" s="81">
        <f>HLOOKUP(Q842,データについて!$J$11:$M$18,8,FALSE)</f>
        <v>1</v>
      </c>
      <c r="Y842" s="81">
        <f>HLOOKUP(R842,データについて!$J$12:$M$18,7,FALSE)</f>
        <v>2</v>
      </c>
      <c r="Z842" s="81">
        <f>HLOOKUP(I842,データについて!$J$3:$M$18,16,FALSE)</f>
        <v>2</v>
      </c>
      <c r="AA842" s="81" t="str">
        <f>IFERROR(HLOOKUP(J842,データについて!$J$4:$AH$19,16,FALSE),"")</f>
        <v/>
      </c>
      <c r="AB842" s="81">
        <f>IFERROR(HLOOKUP(K842,データについて!$J$5:$AH$20,14,FALSE),"")</f>
        <v>3</v>
      </c>
      <c r="AC842" s="81">
        <f>IF(X842=1,HLOOKUP(R842,データについて!$J$12:$M$18,7,FALSE),"*")</f>
        <v>2</v>
      </c>
      <c r="AD842" s="81" t="str">
        <f>IF(X842=2,HLOOKUP(R842,データについて!$J$12:$M$18,7,FALSE),"*")</f>
        <v>*</v>
      </c>
    </row>
    <row r="843" spans="1:30">
      <c r="A843" s="30">
        <v>4349</v>
      </c>
      <c r="B843" s="30" t="s">
        <v>3184</v>
      </c>
      <c r="C843" s="30" t="s">
        <v>3185</v>
      </c>
      <c r="D843" s="30" t="s">
        <v>106</v>
      </c>
      <c r="E843" s="30"/>
      <c r="F843" s="30" t="s">
        <v>107</v>
      </c>
      <c r="G843" s="30" t="s">
        <v>106</v>
      </c>
      <c r="H843" s="30"/>
      <c r="I843" s="30" t="s">
        <v>191</v>
      </c>
      <c r="J843" s="30"/>
      <c r="K843" s="30" t="s">
        <v>3098</v>
      </c>
      <c r="L843" s="30" t="s">
        <v>108</v>
      </c>
      <c r="M843" s="30" t="s">
        <v>121</v>
      </c>
      <c r="N843" s="30" t="s">
        <v>119</v>
      </c>
      <c r="O843" s="30" t="s">
        <v>115</v>
      </c>
      <c r="P843" s="30" t="s">
        <v>112</v>
      </c>
      <c r="Q843" s="30" t="s">
        <v>118</v>
      </c>
      <c r="R843" s="30" t="s">
        <v>189</v>
      </c>
      <c r="S843" s="81">
        <f>HLOOKUP(L843,データについて!$J$6:$M$18,13,FALSE)</f>
        <v>1</v>
      </c>
      <c r="T843" s="81">
        <f>HLOOKUP(M843,データについて!$J$7:$M$18,12,FALSE)</f>
        <v>4</v>
      </c>
      <c r="U843" s="81">
        <f>HLOOKUP(N843,データについて!$J$8:$M$18,11,FALSE)</f>
        <v>4</v>
      </c>
      <c r="V843" s="81">
        <f>HLOOKUP(O843,データについて!$J$9:$M$18,10,FALSE)</f>
        <v>1</v>
      </c>
      <c r="W843" s="81">
        <f>HLOOKUP(P843,データについて!$J$10:$M$18,9,FALSE)</f>
        <v>1</v>
      </c>
      <c r="X843" s="81">
        <f>HLOOKUP(Q843,データについて!$J$11:$M$18,8,FALSE)</f>
        <v>2</v>
      </c>
      <c r="Y843" s="81">
        <f>HLOOKUP(R843,データについて!$J$12:$M$18,7,FALSE)</f>
        <v>4</v>
      </c>
      <c r="Z843" s="81">
        <f>HLOOKUP(I843,データについて!$J$3:$M$18,16,FALSE)</f>
        <v>2</v>
      </c>
      <c r="AA843" s="81" t="str">
        <f>IFERROR(HLOOKUP(J843,データについて!$J$4:$AH$19,16,FALSE),"")</f>
        <v/>
      </c>
      <c r="AB843" s="81">
        <f>IFERROR(HLOOKUP(K843,データについて!$J$5:$AH$20,14,FALSE),"")</f>
        <v>3</v>
      </c>
      <c r="AC843" s="81" t="str">
        <f>IF(X843=1,HLOOKUP(R843,データについて!$J$12:$M$18,7,FALSE),"*")</f>
        <v>*</v>
      </c>
      <c r="AD843" s="81">
        <f>IF(X843=2,HLOOKUP(R843,データについて!$J$12:$M$18,7,FALSE),"*")</f>
        <v>4</v>
      </c>
    </row>
    <row r="844" spans="1:30">
      <c r="A844" s="30">
        <v>4348</v>
      </c>
      <c r="B844" s="30" t="s">
        <v>3186</v>
      </c>
      <c r="C844" s="30" t="s">
        <v>3187</v>
      </c>
      <c r="D844" s="30" t="s">
        <v>106</v>
      </c>
      <c r="E844" s="30"/>
      <c r="F844" s="30" t="s">
        <v>107</v>
      </c>
      <c r="G844" s="30" t="s">
        <v>106</v>
      </c>
      <c r="H844" s="30"/>
      <c r="I844" s="30" t="s">
        <v>191</v>
      </c>
      <c r="J844" s="30"/>
      <c r="K844" s="30" t="s">
        <v>3098</v>
      </c>
      <c r="L844" s="30" t="s">
        <v>108</v>
      </c>
      <c r="M844" s="30" t="s">
        <v>109</v>
      </c>
      <c r="N844" s="30" t="s">
        <v>122</v>
      </c>
      <c r="O844" s="30" t="s">
        <v>115</v>
      </c>
      <c r="P844" s="30" t="s">
        <v>112</v>
      </c>
      <c r="Q844" s="30" t="s">
        <v>112</v>
      </c>
      <c r="R844" s="30" t="s">
        <v>183</v>
      </c>
      <c r="S844" s="81">
        <f>HLOOKUP(L844,データについて!$J$6:$M$18,13,FALSE)</f>
        <v>1</v>
      </c>
      <c r="T844" s="81">
        <f>HLOOKUP(M844,データについて!$J$7:$M$18,12,FALSE)</f>
        <v>2</v>
      </c>
      <c r="U844" s="81">
        <f>HLOOKUP(N844,データについて!$J$8:$M$18,11,FALSE)</f>
        <v>3</v>
      </c>
      <c r="V844" s="81">
        <f>HLOOKUP(O844,データについて!$J$9:$M$18,10,FALSE)</f>
        <v>1</v>
      </c>
      <c r="W844" s="81">
        <f>HLOOKUP(P844,データについて!$J$10:$M$18,9,FALSE)</f>
        <v>1</v>
      </c>
      <c r="X844" s="81">
        <f>HLOOKUP(Q844,データについて!$J$11:$M$18,8,FALSE)</f>
        <v>1</v>
      </c>
      <c r="Y844" s="81">
        <f>HLOOKUP(R844,データについて!$J$12:$M$18,7,FALSE)</f>
        <v>1</v>
      </c>
      <c r="Z844" s="81">
        <f>HLOOKUP(I844,データについて!$J$3:$M$18,16,FALSE)</f>
        <v>2</v>
      </c>
      <c r="AA844" s="81" t="str">
        <f>IFERROR(HLOOKUP(J844,データについて!$J$4:$AH$19,16,FALSE),"")</f>
        <v/>
      </c>
      <c r="AB844" s="81">
        <f>IFERROR(HLOOKUP(K844,データについて!$J$5:$AH$20,14,FALSE),"")</f>
        <v>3</v>
      </c>
      <c r="AC844" s="81">
        <f>IF(X844=1,HLOOKUP(R844,データについて!$J$12:$M$18,7,FALSE),"*")</f>
        <v>1</v>
      </c>
      <c r="AD844" s="81" t="str">
        <f>IF(X844=2,HLOOKUP(R844,データについて!$J$12:$M$18,7,FALSE),"*")</f>
        <v>*</v>
      </c>
    </row>
    <row r="845" spans="1:30">
      <c r="A845" s="30">
        <v>4347</v>
      </c>
      <c r="B845" s="30" t="s">
        <v>3188</v>
      </c>
      <c r="C845" s="30" t="s">
        <v>3187</v>
      </c>
      <c r="D845" s="30" t="s">
        <v>106</v>
      </c>
      <c r="E845" s="30"/>
      <c r="F845" s="30" t="s">
        <v>107</v>
      </c>
      <c r="G845" s="30" t="s">
        <v>106</v>
      </c>
      <c r="H845" s="30"/>
      <c r="I845" s="30" t="s">
        <v>191</v>
      </c>
      <c r="J845" s="30"/>
      <c r="K845" s="30" t="s">
        <v>3098</v>
      </c>
      <c r="L845" s="30" t="s">
        <v>117</v>
      </c>
      <c r="M845" s="30" t="s">
        <v>113</v>
      </c>
      <c r="N845" s="30" t="s">
        <v>122</v>
      </c>
      <c r="O845" s="30" t="s">
        <v>115</v>
      </c>
      <c r="P845" s="30" t="s">
        <v>112</v>
      </c>
      <c r="Q845" s="30" t="s">
        <v>118</v>
      </c>
      <c r="R845" s="30" t="s">
        <v>187</v>
      </c>
      <c r="S845" s="81">
        <f>HLOOKUP(L845,データについて!$J$6:$M$18,13,FALSE)</f>
        <v>2</v>
      </c>
      <c r="T845" s="81">
        <f>HLOOKUP(M845,データについて!$J$7:$M$18,12,FALSE)</f>
        <v>1</v>
      </c>
      <c r="U845" s="81">
        <f>HLOOKUP(N845,データについて!$J$8:$M$18,11,FALSE)</f>
        <v>3</v>
      </c>
      <c r="V845" s="81">
        <f>HLOOKUP(O845,データについて!$J$9:$M$18,10,FALSE)</f>
        <v>1</v>
      </c>
      <c r="W845" s="81">
        <f>HLOOKUP(P845,データについて!$J$10:$M$18,9,FALSE)</f>
        <v>1</v>
      </c>
      <c r="X845" s="81">
        <f>HLOOKUP(Q845,データについて!$J$11:$M$18,8,FALSE)</f>
        <v>2</v>
      </c>
      <c r="Y845" s="81">
        <f>HLOOKUP(R845,データについて!$J$12:$M$18,7,FALSE)</f>
        <v>3</v>
      </c>
      <c r="Z845" s="81">
        <f>HLOOKUP(I845,データについて!$J$3:$M$18,16,FALSE)</f>
        <v>2</v>
      </c>
      <c r="AA845" s="81" t="str">
        <f>IFERROR(HLOOKUP(J845,データについて!$J$4:$AH$19,16,FALSE),"")</f>
        <v/>
      </c>
      <c r="AB845" s="81">
        <f>IFERROR(HLOOKUP(K845,データについて!$J$5:$AH$20,14,FALSE),"")</f>
        <v>3</v>
      </c>
      <c r="AC845" s="81" t="str">
        <f>IF(X845=1,HLOOKUP(R845,データについて!$J$12:$M$18,7,FALSE),"*")</f>
        <v>*</v>
      </c>
      <c r="AD845" s="81">
        <f>IF(X845=2,HLOOKUP(R845,データについて!$J$12:$M$18,7,FALSE),"*")</f>
        <v>3</v>
      </c>
    </row>
    <row r="846" spans="1:30">
      <c r="A846" s="30">
        <v>4346</v>
      </c>
      <c r="B846" s="30" t="s">
        <v>3189</v>
      </c>
      <c r="C846" s="30" t="s">
        <v>3190</v>
      </c>
      <c r="D846" s="30" t="s">
        <v>106</v>
      </c>
      <c r="E846" s="30"/>
      <c r="F846" s="30" t="s">
        <v>107</v>
      </c>
      <c r="G846" s="30" t="s">
        <v>106</v>
      </c>
      <c r="H846" s="30"/>
      <c r="I846" s="30" t="s">
        <v>191</v>
      </c>
      <c r="J846" s="30"/>
      <c r="K846" s="30" t="s">
        <v>3098</v>
      </c>
      <c r="L846" s="30" t="s">
        <v>108</v>
      </c>
      <c r="M846" s="30" t="s">
        <v>109</v>
      </c>
      <c r="N846" s="30" t="s">
        <v>114</v>
      </c>
      <c r="O846" s="30" t="s">
        <v>115</v>
      </c>
      <c r="P846" s="30" t="s">
        <v>112</v>
      </c>
      <c r="Q846" s="30" t="s">
        <v>112</v>
      </c>
      <c r="R846" s="30" t="s">
        <v>185</v>
      </c>
      <c r="S846" s="81">
        <f>HLOOKUP(L846,データについて!$J$6:$M$18,13,FALSE)</f>
        <v>1</v>
      </c>
      <c r="T846" s="81">
        <f>HLOOKUP(M846,データについて!$J$7:$M$18,12,FALSE)</f>
        <v>2</v>
      </c>
      <c r="U846" s="81">
        <f>HLOOKUP(N846,データについて!$J$8:$M$18,11,FALSE)</f>
        <v>1</v>
      </c>
      <c r="V846" s="81">
        <f>HLOOKUP(O846,データについて!$J$9:$M$18,10,FALSE)</f>
        <v>1</v>
      </c>
      <c r="W846" s="81">
        <f>HLOOKUP(P846,データについて!$J$10:$M$18,9,FALSE)</f>
        <v>1</v>
      </c>
      <c r="X846" s="81">
        <f>HLOOKUP(Q846,データについて!$J$11:$M$18,8,FALSE)</f>
        <v>1</v>
      </c>
      <c r="Y846" s="81">
        <f>HLOOKUP(R846,データについて!$J$12:$M$18,7,FALSE)</f>
        <v>2</v>
      </c>
      <c r="Z846" s="81">
        <f>HLOOKUP(I846,データについて!$J$3:$M$18,16,FALSE)</f>
        <v>2</v>
      </c>
      <c r="AA846" s="81" t="str">
        <f>IFERROR(HLOOKUP(J846,データについて!$J$4:$AH$19,16,FALSE),"")</f>
        <v/>
      </c>
      <c r="AB846" s="81">
        <f>IFERROR(HLOOKUP(K846,データについて!$J$5:$AH$20,14,FALSE),"")</f>
        <v>3</v>
      </c>
      <c r="AC846" s="81">
        <f>IF(X846=1,HLOOKUP(R846,データについて!$J$12:$M$18,7,FALSE),"*")</f>
        <v>2</v>
      </c>
      <c r="AD846" s="81" t="str">
        <f>IF(X846=2,HLOOKUP(R846,データについて!$J$12:$M$18,7,FALSE),"*")</f>
        <v>*</v>
      </c>
    </row>
    <row r="847" spans="1:30">
      <c r="A847" s="30">
        <v>4345</v>
      </c>
      <c r="B847" s="30" t="s">
        <v>3191</v>
      </c>
      <c r="C847" s="30" t="s">
        <v>3192</v>
      </c>
      <c r="D847" s="30" t="s">
        <v>106</v>
      </c>
      <c r="E847" s="30"/>
      <c r="F847" s="30" t="s">
        <v>107</v>
      </c>
      <c r="G847" s="30" t="s">
        <v>106</v>
      </c>
      <c r="H847" s="30"/>
      <c r="I847" s="30" t="s">
        <v>191</v>
      </c>
      <c r="J847" s="30"/>
      <c r="K847" s="30" t="s">
        <v>3098</v>
      </c>
      <c r="L847" s="30" t="s">
        <v>117</v>
      </c>
      <c r="M847" s="30" t="s">
        <v>109</v>
      </c>
      <c r="N847" s="30" t="s">
        <v>110</v>
      </c>
      <c r="O847" s="30" t="s">
        <v>116</v>
      </c>
      <c r="P847" s="30" t="s">
        <v>112</v>
      </c>
      <c r="Q847" s="30" t="s">
        <v>118</v>
      </c>
      <c r="R847" s="30" t="s">
        <v>187</v>
      </c>
      <c r="S847" s="81">
        <f>HLOOKUP(L847,データについて!$J$6:$M$18,13,FALSE)</f>
        <v>2</v>
      </c>
      <c r="T847" s="81">
        <f>HLOOKUP(M847,データについて!$J$7:$M$18,12,FALSE)</f>
        <v>2</v>
      </c>
      <c r="U847" s="81">
        <f>HLOOKUP(N847,データについて!$J$8:$M$18,11,FALSE)</f>
        <v>2</v>
      </c>
      <c r="V847" s="81">
        <f>HLOOKUP(O847,データについて!$J$9:$M$18,10,FALSE)</f>
        <v>2</v>
      </c>
      <c r="W847" s="81">
        <f>HLOOKUP(P847,データについて!$J$10:$M$18,9,FALSE)</f>
        <v>1</v>
      </c>
      <c r="X847" s="81">
        <f>HLOOKUP(Q847,データについて!$J$11:$M$18,8,FALSE)</f>
        <v>2</v>
      </c>
      <c r="Y847" s="81">
        <f>HLOOKUP(R847,データについて!$J$12:$M$18,7,FALSE)</f>
        <v>3</v>
      </c>
      <c r="Z847" s="81">
        <f>HLOOKUP(I847,データについて!$J$3:$M$18,16,FALSE)</f>
        <v>2</v>
      </c>
      <c r="AA847" s="81" t="str">
        <f>IFERROR(HLOOKUP(J847,データについて!$J$4:$AH$19,16,FALSE),"")</f>
        <v/>
      </c>
      <c r="AB847" s="81">
        <f>IFERROR(HLOOKUP(K847,データについて!$J$5:$AH$20,14,FALSE),"")</f>
        <v>3</v>
      </c>
      <c r="AC847" s="81" t="str">
        <f>IF(X847=1,HLOOKUP(R847,データについて!$J$12:$M$18,7,FALSE),"*")</f>
        <v>*</v>
      </c>
      <c r="AD847" s="81">
        <f>IF(X847=2,HLOOKUP(R847,データについて!$J$12:$M$18,7,FALSE),"*")</f>
        <v>3</v>
      </c>
    </row>
    <row r="848" spans="1:30">
      <c r="A848" s="30">
        <v>4344</v>
      </c>
      <c r="B848" s="30" t="s">
        <v>3193</v>
      </c>
      <c r="C848" s="30" t="s">
        <v>3192</v>
      </c>
      <c r="D848" s="30" t="s">
        <v>106</v>
      </c>
      <c r="E848" s="30"/>
      <c r="F848" s="30" t="s">
        <v>107</v>
      </c>
      <c r="G848" s="30" t="s">
        <v>106</v>
      </c>
      <c r="H848" s="30"/>
      <c r="I848" s="30" t="s">
        <v>191</v>
      </c>
      <c r="J848" s="30"/>
      <c r="K848" s="30" t="s">
        <v>3098</v>
      </c>
      <c r="L848" s="30" t="s">
        <v>117</v>
      </c>
      <c r="M848" s="30" t="s">
        <v>109</v>
      </c>
      <c r="N848" s="30" t="s">
        <v>110</v>
      </c>
      <c r="O848" s="30" t="s">
        <v>115</v>
      </c>
      <c r="P848" s="30" t="s">
        <v>118</v>
      </c>
      <c r="Q848" s="30" t="s">
        <v>118</v>
      </c>
      <c r="R848" s="30" t="s">
        <v>187</v>
      </c>
      <c r="S848" s="81">
        <f>HLOOKUP(L848,データについて!$J$6:$M$18,13,FALSE)</f>
        <v>2</v>
      </c>
      <c r="T848" s="81">
        <f>HLOOKUP(M848,データについて!$J$7:$M$18,12,FALSE)</f>
        <v>2</v>
      </c>
      <c r="U848" s="81">
        <f>HLOOKUP(N848,データについて!$J$8:$M$18,11,FALSE)</f>
        <v>2</v>
      </c>
      <c r="V848" s="81">
        <f>HLOOKUP(O848,データについて!$J$9:$M$18,10,FALSE)</f>
        <v>1</v>
      </c>
      <c r="W848" s="81">
        <f>HLOOKUP(P848,データについて!$J$10:$M$18,9,FALSE)</f>
        <v>2</v>
      </c>
      <c r="X848" s="81">
        <f>HLOOKUP(Q848,データについて!$J$11:$M$18,8,FALSE)</f>
        <v>2</v>
      </c>
      <c r="Y848" s="81">
        <f>HLOOKUP(R848,データについて!$J$12:$M$18,7,FALSE)</f>
        <v>3</v>
      </c>
      <c r="Z848" s="81">
        <f>HLOOKUP(I848,データについて!$J$3:$M$18,16,FALSE)</f>
        <v>2</v>
      </c>
      <c r="AA848" s="81" t="str">
        <f>IFERROR(HLOOKUP(J848,データについて!$J$4:$AH$19,16,FALSE),"")</f>
        <v/>
      </c>
      <c r="AB848" s="81">
        <f>IFERROR(HLOOKUP(K848,データについて!$J$5:$AH$20,14,FALSE),"")</f>
        <v>3</v>
      </c>
      <c r="AC848" s="81" t="str">
        <f>IF(X848=1,HLOOKUP(R848,データについて!$J$12:$M$18,7,FALSE),"*")</f>
        <v>*</v>
      </c>
      <c r="AD848" s="81">
        <f>IF(X848=2,HLOOKUP(R848,データについて!$J$12:$M$18,7,FALSE),"*")</f>
        <v>3</v>
      </c>
    </row>
    <row r="849" spans="1:30">
      <c r="A849" s="30">
        <v>4343</v>
      </c>
      <c r="B849" s="30" t="s">
        <v>3194</v>
      </c>
      <c r="C849" s="30" t="s">
        <v>3195</v>
      </c>
      <c r="D849" s="30" t="s">
        <v>106</v>
      </c>
      <c r="E849" s="30"/>
      <c r="F849" s="30" t="s">
        <v>107</v>
      </c>
      <c r="G849" s="30" t="s">
        <v>106</v>
      </c>
      <c r="H849" s="30"/>
      <c r="I849" s="30" t="s">
        <v>191</v>
      </c>
      <c r="J849" s="30"/>
      <c r="K849" s="30" t="s">
        <v>3098</v>
      </c>
      <c r="L849" s="30" t="s">
        <v>117</v>
      </c>
      <c r="M849" s="30" t="s">
        <v>113</v>
      </c>
      <c r="N849" s="30" t="s">
        <v>114</v>
      </c>
      <c r="O849" s="30" t="s">
        <v>115</v>
      </c>
      <c r="P849" s="30" t="s">
        <v>112</v>
      </c>
      <c r="Q849" s="30" t="s">
        <v>112</v>
      </c>
      <c r="R849" s="30" t="s">
        <v>183</v>
      </c>
      <c r="S849" s="81">
        <f>HLOOKUP(L849,データについて!$J$6:$M$18,13,FALSE)</f>
        <v>2</v>
      </c>
      <c r="T849" s="81">
        <f>HLOOKUP(M849,データについて!$J$7:$M$18,12,FALSE)</f>
        <v>1</v>
      </c>
      <c r="U849" s="81">
        <f>HLOOKUP(N849,データについて!$J$8:$M$18,11,FALSE)</f>
        <v>1</v>
      </c>
      <c r="V849" s="81">
        <f>HLOOKUP(O849,データについて!$J$9:$M$18,10,FALSE)</f>
        <v>1</v>
      </c>
      <c r="W849" s="81">
        <f>HLOOKUP(P849,データについて!$J$10:$M$18,9,FALSE)</f>
        <v>1</v>
      </c>
      <c r="X849" s="81">
        <f>HLOOKUP(Q849,データについて!$J$11:$M$18,8,FALSE)</f>
        <v>1</v>
      </c>
      <c r="Y849" s="81">
        <f>HLOOKUP(R849,データについて!$J$12:$M$18,7,FALSE)</f>
        <v>1</v>
      </c>
      <c r="Z849" s="81">
        <f>HLOOKUP(I849,データについて!$J$3:$M$18,16,FALSE)</f>
        <v>2</v>
      </c>
      <c r="AA849" s="81" t="str">
        <f>IFERROR(HLOOKUP(J849,データについて!$J$4:$AH$19,16,FALSE),"")</f>
        <v/>
      </c>
      <c r="AB849" s="81">
        <f>IFERROR(HLOOKUP(K849,データについて!$J$5:$AH$20,14,FALSE),"")</f>
        <v>3</v>
      </c>
      <c r="AC849" s="81">
        <f>IF(X849=1,HLOOKUP(R849,データについて!$J$12:$M$18,7,FALSE),"*")</f>
        <v>1</v>
      </c>
      <c r="AD849" s="81" t="str">
        <f>IF(X849=2,HLOOKUP(R849,データについて!$J$12:$M$18,7,FALSE),"*")</f>
        <v>*</v>
      </c>
    </row>
    <row r="850" spans="1:30">
      <c r="A850" s="30">
        <v>4342</v>
      </c>
      <c r="B850" s="30" t="s">
        <v>3196</v>
      </c>
      <c r="C850" s="30" t="s">
        <v>3195</v>
      </c>
      <c r="D850" s="30" t="s">
        <v>106</v>
      </c>
      <c r="E850" s="30"/>
      <c r="F850" s="30" t="s">
        <v>107</v>
      </c>
      <c r="G850" s="30" t="s">
        <v>106</v>
      </c>
      <c r="H850" s="30"/>
      <c r="I850" s="30" t="s">
        <v>191</v>
      </c>
      <c r="J850" s="30"/>
      <c r="K850" s="30" t="s">
        <v>3098</v>
      </c>
      <c r="L850" s="30" t="s">
        <v>117</v>
      </c>
      <c r="M850" s="30" t="s">
        <v>109</v>
      </c>
      <c r="N850" s="30" t="s">
        <v>110</v>
      </c>
      <c r="O850" s="30" t="s">
        <v>115</v>
      </c>
      <c r="P850" s="30" t="s">
        <v>118</v>
      </c>
      <c r="Q850" s="30" t="s">
        <v>112</v>
      </c>
      <c r="R850" s="30" t="s">
        <v>183</v>
      </c>
      <c r="S850" s="81">
        <f>HLOOKUP(L850,データについて!$J$6:$M$18,13,FALSE)</f>
        <v>2</v>
      </c>
      <c r="T850" s="81">
        <f>HLOOKUP(M850,データについて!$J$7:$M$18,12,FALSE)</f>
        <v>2</v>
      </c>
      <c r="U850" s="81">
        <f>HLOOKUP(N850,データについて!$J$8:$M$18,11,FALSE)</f>
        <v>2</v>
      </c>
      <c r="V850" s="81">
        <f>HLOOKUP(O850,データについて!$J$9:$M$18,10,FALSE)</f>
        <v>1</v>
      </c>
      <c r="W850" s="81">
        <f>HLOOKUP(P850,データについて!$J$10:$M$18,9,FALSE)</f>
        <v>2</v>
      </c>
      <c r="X850" s="81">
        <f>HLOOKUP(Q850,データについて!$J$11:$M$18,8,FALSE)</f>
        <v>1</v>
      </c>
      <c r="Y850" s="81">
        <f>HLOOKUP(R850,データについて!$J$12:$M$18,7,FALSE)</f>
        <v>1</v>
      </c>
      <c r="Z850" s="81">
        <f>HLOOKUP(I850,データについて!$J$3:$M$18,16,FALSE)</f>
        <v>2</v>
      </c>
      <c r="AA850" s="81" t="str">
        <f>IFERROR(HLOOKUP(J850,データについて!$J$4:$AH$19,16,FALSE),"")</f>
        <v/>
      </c>
      <c r="AB850" s="81">
        <f>IFERROR(HLOOKUP(K850,データについて!$J$5:$AH$20,14,FALSE),"")</f>
        <v>3</v>
      </c>
      <c r="AC850" s="81">
        <f>IF(X850=1,HLOOKUP(R850,データについて!$J$12:$M$18,7,FALSE),"*")</f>
        <v>1</v>
      </c>
      <c r="AD850" s="81" t="str">
        <f>IF(X850=2,HLOOKUP(R850,データについて!$J$12:$M$18,7,FALSE),"*")</f>
        <v>*</v>
      </c>
    </row>
    <row r="851" spans="1:30">
      <c r="A851" s="30">
        <v>4341</v>
      </c>
      <c r="B851" s="30" t="s">
        <v>3197</v>
      </c>
      <c r="C851" s="30" t="s">
        <v>3198</v>
      </c>
      <c r="D851" s="30" t="s">
        <v>106</v>
      </c>
      <c r="E851" s="30"/>
      <c r="F851" s="30" t="s">
        <v>107</v>
      </c>
      <c r="G851" s="30" t="s">
        <v>106</v>
      </c>
      <c r="H851" s="30"/>
      <c r="I851" s="30" t="s">
        <v>191</v>
      </c>
      <c r="J851" s="30"/>
      <c r="K851" s="30" t="s">
        <v>3098</v>
      </c>
      <c r="L851" s="30" t="s">
        <v>108</v>
      </c>
      <c r="M851" s="30" t="s">
        <v>109</v>
      </c>
      <c r="N851" s="30" t="s">
        <v>114</v>
      </c>
      <c r="O851" s="30" t="s">
        <v>115</v>
      </c>
      <c r="P851" s="30" t="s">
        <v>112</v>
      </c>
      <c r="Q851" s="30" t="s">
        <v>112</v>
      </c>
      <c r="R851" s="30" t="s">
        <v>185</v>
      </c>
      <c r="S851" s="81">
        <f>HLOOKUP(L851,データについて!$J$6:$M$18,13,FALSE)</f>
        <v>1</v>
      </c>
      <c r="T851" s="81">
        <f>HLOOKUP(M851,データについて!$J$7:$M$18,12,FALSE)</f>
        <v>2</v>
      </c>
      <c r="U851" s="81">
        <f>HLOOKUP(N851,データについて!$J$8:$M$18,11,FALSE)</f>
        <v>1</v>
      </c>
      <c r="V851" s="81">
        <f>HLOOKUP(O851,データについて!$J$9:$M$18,10,FALSE)</f>
        <v>1</v>
      </c>
      <c r="W851" s="81">
        <f>HLOOKUP(P851,データについて!$J$10:$M$18,9,FALSE)</f>
        <v>1</v>
      </c>
      <c r="X851" s="81">
        <f>HLOOKUP(Q851,データについて!$J$11:$M$18,8,FALSE)</f>
        <v>1</v>
      </c>
      <c r="Y851" s="81">
        <f>HLOOKUP(R851,データについて!$J$12:$M$18,7,FALSE)</f>
        <v>2</v>
      </c>
      <c r="Z851" s="81">
        <f>HLOOKUP(I851,データについて!$J$3:$M$18,16,FALSE)</f>
        <v>2</v>
      </c>
      <c r="AA851" s="81" t="str">
        <f>IFERROR(HLOOKUP(J851,データについて!$J$4:$AH$19,16,FALSE),"")</f>
        <v/>
      </c>
      <c r="AB851" s="81">
        <f>IFERROR(HLOOKUP(K851,データについて!$J$5:$AH$20,14,FALSE),"")</f>
        <v>3</v>
      </c>
      <c r="AC851" s="81">
        <f>IF(X851=1,HLOOKUP(R851,データについて!$J$12:$M$18,7,FALSE),"*")</f>
        <v>2</v>
      </c>
      <c r="AD851" s="81" t="str">
        <f>IF(X851=2,HLOOKUP(R851,データについて!$J$12:$M$18,7,FALSE),"*")</f>
        <v>*</v>
      </c>
    </row>
    <row r="852" spans="1:30">
      <c r="A852" s="30">
        <v>4340</v>
      </c>
      <c r="B852" s="30" t="s">
        <v>3199</v>
      </c>
      <c r="C852" s="30" t="s">
        <v>3198</v>
      </c>
      <c r="D852" s="30" t="s">
        <v>106</v>
      </c>
      <c r="E852" s="30"/>
      <c r="F852" s="30" t="s">
        <v>107</v>
      </c>
      <c r="G852" s="30" t="s">
        <v>106</v>
      </c>
      <c r="H852" s="30"/>
      <c r="I852" s="30" t="s">
        <v>191</v>
      </c>
      <c r="J852" s="30"/>
      <c r="K852" s="30" t="s">
        <v>3098</v>
      </c>
      <c r="L852" s="30" t="s">
        <v>108</v>
      </c>
      <c r="M852" s="30" t="s">
        <v>121</v>
      </c>
      <c r="N852" s="30" t="s">
        <v>114</v>
      </c>
      <c r="O852" s="30" t="s">
        <v>115</v>
      </c>
      <c r="P852" s="30" t="s">
        <v>112</v>
      </c>
      <c r="Q852" s="30" t="s">
        <v>118</v>
      </c>
      <c r="R852" s="30" t="s">
        <v>189</v>
      </c>
      <c r="S852" s="81">
        <f>HLOOKUP(L852,データについて!$J$6:$M$18,13,FALSE)</f>
        <v>1</v>
      </c>
      <c r="T852" s="81">
        <f>HLOOKUP(M852,データについて!$J$7:$M$18,12,FALSE)</f>
        <v>4</v>
      </c>
      <c r="U852" s="81">
        <f>HLOOKUP(N852,データについて!$J$8:$M$18,11,FALSE)</f>
        <v>1</v>
      </c>
      <c r="V852" s="81">
        <f>HLOOKUP(O852,データについて!$J$9:$M$18,10,FALSE)</f>
        <v>1</v>
      </c>
      <c r="W852" s="81">
        <f>HLOOKUP(P852,データについて!$J$10:$M$18,9,FALSE)</f>
        <v>1</v>
      </c>
      <c r="X852" s="81">
        <f>HLOOKUP(Q852,データについて!$J$11:$M$18,8,FALSE)</f>
        <v>2</v>
      </c>
      <c r="Y852" s="81">
        <f>HLOOKUP(R852,データについて!$J$12:$M$18,7,FALSE)</f>
        <v>4</v>
      </c>
      <c r="Z852" s="81">
        <f>HLOOKUP(I852,データについて!$J$3:$M$18,16,FALSE)</f>
        <v>2</v>
      </c>
      <c r="AA852" s="81" t="str">
        <f>IFERROR(HLOOKUP(J852,データについて!$J$4:$AH$19,16,FALSE),"")</f>
        <v/>
      </c>
      <c r="AB852" s="81">
        <f>IFERROR(HLOOKUP(K852,データについて!$J$5:$AH$20,14,FALSE),"")</f>
        <v>3</v>
      </c>
      <c r="AC852" s="81" t="str">
        <f>IF(X852=1,HLOOKUP(R852,データについて!$J$12:$M$18,7,FALSE),"*")</f>
        <v>*</v>
      </c>
      <c r="AD852" s="81">
        <f>IF(X852=2,HLOOKUP(R852,データについて!$J$12:$M$18,7,FALSE),"*")</f>
        <v>4</v>
      </c>
    </row>
    <row r="853" spans="1:30">
      <c r="A853" s="30">
        <v>4339</v>
      </c>
      <c r="B853" s="30" t="s">
        <v>3200</v>
      </c>
      <c r="C853" s="30" t="s">
        <v>3198</v>
      </c>
      <c r="D853" s="30" t="s">
        <v>106</v>
      </c>
      <c r="E853" s="30"/>
      <c r="F853" s="30" t="s">
        <v>107</v>
      </c>
      <c r="G853" s="30" t="s">
        <v>106</v>
      </c>
      <c r="H853" s="30"/>
      <c r="I853" s="30" t="s">
        <v>191</v>
      </c>
      <c r="J853" s="30"/>
      <c r="K853" s="30" t="s">
        <v>3098</v>
      </c>
      <c r="L853" s="30" t="s">
        <v>117</v>
      </c>
      <c r="M853" s="30" t="s">
        <v>113</v>
      </c>
      <c r="N853" s="30" t="s">
        <v>110</v>
      </c>
      <c r="O853" s="30" t="s">
        <v>115</v>
      </c>
      <c r="P853" s="30" t="s">
        <v>112</v>
      </c>
      <c r="Q853" s="30" t="s">
        <v>112</v>
      </c>
      <c r="R853" s="30" t="s">
        <v>183</v>
      </c>
      <c r="S853" s="81">
        <f>HLOOKUP(L853,データについて!$J$6:$M$18,13,FALSE)</f>
        <v>2</v>
      </c>
      <c r="T853" s="81">
        <f>HLOOKUP(M853,データについて!$J$7:$M$18,12,FALSE)</f>
        <v>1</v>
      </c>
      <c r="U853" s="81">
        <f>HLOOKUP(N853,データについて!$J$8:$M$18,11,FALSE)</f>
        <v>2</v>
      </c>
      <c r="V853" s="81">
        <f>HLOOKUP(O853,データについて!$J$9:$M$18,10,FALSE)</f>
        <v>1</v>
      </c>
      <c r="W853" s="81">
        <f>HLOOKUP(P853,データについて!$J$10:$M$18,9,FALSE)</f>
        <v>1</v>
      </c>
      <c r="X853" s="81">
        <f>HLOOKUP(Q853,データについて!$J$11:$M$18,8,FALSE)</f>
        <v>1</v>
      </c>
      <c r="Y853" s="81">
        <f>HLOOKUP(R853,データについて!$J$12:$M$18,7,FALSE)</f>
        <v>1</v>
      </c>
      <c r="Z853" s="81">
        <f>HLOOKUP(I853,データについて!$J$3:$M$18,16,FALSE)</f>
        <v>2</v>
      </c>
      <c r="AA853" s="81" t="str">
        <f>IFERROR(HLOOKUP(J853,データについて!$J$4:$AH$19,16,FALSE),"")</f>
        <v/>
      </c>
      <c r="AB853" s="81">
        <f>IFERROR(HLOOKUP(K853,データについて!$J$5:$AH$20,14,FALSE),"")</f>
        <v>3</v>
      </c>
      <c r="AC853" s="81">
        <f>IF(X853=1,HLOOKUP(R853,データについて!$J$12:$M$18,7,FALSE),"*")</f>
        <v>1</v>
      </c>
      <c r="AD853" s="81" t="str">
        <f>IF(X853=2,HLOOKUP(R853,データについて!$J$12:$M$18,7,FALSE),"*")</f>
        <v>*</v>
      </c>
    </row>
    <row r="854" spans="1:30">
      <c r="A854" s="30">
        <v>4338</v>
      </c>
      <c r="B854" s="30" t="s">
        <v>3201</v>
      </c>
      <c r="C854" s="30" t="s">
        <v>3198</v>
      </c>
      <c r="D854" s="30" t="s">
        <v>106</v>
      </c>
      <c r="E854" s="30"/>
      <c r="F854" s="30" t="s">
        <v>107</v>
      </c>
      <c r="G854" s="30" t="s">
        <v>106</v>
      </c>
      <c r="H854" s="30"/>
      <c r="I854" s="30" t="s">
        <v>191</v>
      </c>
      <c r="J854" s="30"/>
      <c r="K854" s="30" t="s">
        <v>3098</v>
      </c>
      <c r="L854" s="30" t="s">
        <v>108</v>
      </c>
      <c r="M854" s="30" t="s">
        <v>113</v>
      </c>
      <c r="N854" s="30" t="s">
        <v>110</v>
      </c>
      <c r="O854" s="30" t="s">
        <v>115</v>
      </c>
      <c r="P854" s="30" t="s">
        <v>112</v>
      </c>
      <c r="Q854" s="30" t="s">
        <v>112</v>
      </c>
      <c r="R854" s="30" t="s">
        <v>185</v>
      </c>
      <c r="S854" s="81">
        <f>HLOOKUP(L854,データについて!$J$6:$M$18,13,FALSE)</f>
        <v>1</v>
      </c>
      <c r="T854" s="81">
        <f>HLOOKUP(M854,データについて!$J$7:$M$18,12,FALSE)</f>
        <v>1</v>
      </c>
      <c r="U854" s="81">
        <f>HLOOKUP(N854,データについて!$J$8:$M$18,11,FALSE)</f>
        <v>2</v>
      </c>
      <c r="V854" s="81">
        <f>HLOOKUP(O854,データについて!$J$9:$M$18,10,FALSE)</f>
        <v>1</v>
      </c>
      <c r="W854" s="81">
        <f>HLOOKUP(P854,データについて!$J$10:$M$18,9,FALSE)</f>
        <v>1</v>
      </c>
      <c r="X854" s="81">
        <f>HLOOKUP(Q854,データについて!$J$11:$M$18,8,FALSE)</f>
        <v>1</v>
      </c>
      <c r="Y854" s="81">
        <f>HLOOKUP(R854,データについて!$J$12:$M$18,7,FALSE)</f>
        <v>2</v>
      </c>
      <c r="Z854" s="81">
        <f>HLOOKUP(I854,データについて!$J$3:$M$18,16,FALSE)</f>
        <v>2</v>
      </c>
      <c r="AA854" s="81" t="str">
        <f>IFERROR(HLOOKUP(J854,データについて!$J$4:$AH$19,16,FALSE),"")</f>
        <v/>
      </c>
      <c r="AB854" s="81">
        <f>IFERROR(HLOOKUP(K854,データについて!$J$5:$AH$20,14,FALSE),"")</f>
        <v>3</v>
      </c>
      <c r="AC854" s="81">
        <f>IF(X854=1,HLOOKUP(R854,データについて!$J$12:$M$18,7,FALSE),"*")</f>
        <v>2</v>
      </c>
      <c r="AD854" s="81" t="str">
        <f>IF(X854=2,HLOOKUP(R854,データについて!$J$12:$M$18,7,FALSE),"*")</f>
        <v>*</v>
      </c>
    </row>
    <row r="855" spans="1:30">
      <c r="A855" s="30">
        <v>4337</v>
      </c>
      <c r="B855" s="30" t="s">
        <v>3202</v>
      </c>
      <c r="C855" s="30" t="s">
        <v>3203</v>
      </c>
      <c r="D855" s="30" t="s">
        <v>106</v>
      </c>
      <c r="E855" s="30"/>
      <c r="F855" s="30" t="s">
        <v>107</v>
      </c>
      <c r="G855" s="30" t="s">
        <v>106</v>
      </c>
      <c r="H855" s="30"/>
      <c r="I855" s="30" t="s">
        <v>191</v>
      </c>
      <c r="J855" s="30"/>
      <c r="K855" s="30" t="s">
        <v>3098</v>
      </c>
      <c r="L855" s="30" t="s">
        <v>117</v>
      </c>
      <c r="M855" s="30" t="s">
        <v>109</v>
      </c>
      <c r="N855" s="30" t="s">
        <v>110</v>
      </c>
      <c r="O855" s="30" t="s">
        <v>116</v>
      </c>
      <c r="P855" s="30" t="s">
        <v>112</v>
      </c>
      <c r="Q855" s="30" t="s">
        <v>112</v>
      </c>
      <c r="R855" s="30" t="s">
        <v>185</v>
      </c>
      <c r="S855" s="81">
        <f>HLOOKUP(L855,データについて!$J$6:$M$18,13,FALSE)</f>
        <v>2</v>
      </c>
      <c r="T855" s="81">
        <f>HLOOKUP(M855,データについて!$J$7:$M$18,12,FALSE)</f>
        <v>2</v>
      </c>
      <c r="U855" s="81">
        <f>HLOOKUP(N855,データについて!$J$8:$M$18,11,FALSE)</f>
        <v>2</v>
      </c>
      <c r="V855" s="81">
        <f>HLOOKUP(O855,データについて!$J$9:$M$18,10,FALSE)</f>
        <v>2</v>
      </c>
      <c r="W855" s="81">
        <f>HLOOKUP(P855,データについて!$J$10:$M$18,9,FALSE)</f>
        <v>1</v>
      </c>
      <c r="X855" s="81">
        <f>HLOOKUP(Q855,データについて!$J$11:$M$18,8,FALSE)</f>
        <v>1</v>
      </c>
      <c r="Y855" s="81">
        <f>HLOOKUP(R855,データについて!$J$12:$M$18,7,FALSE)</f>
        <v>2</v>
      </c>
      <c r="Z855" s="81">
        <f>HLOOKUP(I855,データについて!$J$3:$M$18,16,FALSE)</f>
        <v>2</v>
      </c>
      <c r="AA855" s="81" t="str">
        <f>IFERROR(HLOOKUP(J855,データについて!$J$4:$AH$19,16,FALSE),"")</f>
        <v/>
      </c>
      <c r="AB855" s="81">
        <f>IFERROR(HLOOKUP(K855,データについて!$J$5:$AH$20,14,FALSE),"")</f>
        <v>3</v>
      </c>
      <c r="AC855" s="81">
        <f>IF(X855=1,HLOOKUP(R855,データについて!$J$12:$M$18,7,FALSE),"*")</f>
        <v>2</v>
      </c>
      <c r="AD855" s="81" t="str">
        <f>IF(X855=2,HLOOKUP(R855,データについて!$J$12:$M$18,7,FALSE),"*")</f>
        <v>*</v>
      </c>
    </row>
    <row r="856" spans="1:30">
      <c r="A856" s="30">
        <v>4336</v>
      </c>
      <c r="B856" s="30" t="s">
        <v>3204</v>
      </c>
      <c r="C856" s="30" t="s">
        <v>3203</v>
      </c>
      <c r="D856" s="30" t="s">
        <v>106</v>
      </c>
      <c r="E856" s="30"/>
      <c r="F856" s="30" t="s">
        <v>107</v>
      </c>
      <c r="G856" s="30" t="s">
        <v>106</v>
      </c>
      <c r="H856" s="30"/>
      <c r="I856" s="30" t="s">
        <v>191</v>
      </c>
      <c r="J856" s="30"/>
      <c r="K856" s="30" t="s">
        <v>3098</v>
      </c>
      <c r="L856" s="30" t="s">
        <v>108</v>
      </c>
      <c r="M856" s="30" t="s">
        <v>109</v>
      </c>
      <c r="N856" s="30" t="s">
        <v>114</v>
      </c>
      <c r="O856" s="30" t="s">
        <v>115</v>
      </c>
      <c r="P856" s="30" t="s">
        <v>112</v>
      </c>
      <c r="Q856" s="30" t="s">
        <v>112</v>
      </c>
      <c r="R856" s="30" t="s">
        <v>183</v>
      </c>
      <c r="S856" s="81">
        <f>HLOOKUP(L856,データについて!$J$6:$M$18,13,FALSE)</f>
        <v>1</v>
      </c>
      <c r="T856" s="81">
        <f>HLOOKUP(M856,データについて!$J$7:$M$18,12,FALSE)</f>
        <v>2</v>
      </c>
      <c r="U856" s="81">
        <f>HLOOKUP(N856,データについて!$J$8:$M$18,11,FALSE)</f>
        <v>1</v>
      </c>
      <c r="V856" s="81">
        <f>HLOOKUP(O856,データについて!$J$9:$M$18,10,FALSE)</f>
        <v>1</v>
      </c>
      <c r="W856" s="81">
        <f>HLOOKUP(P856,データについて!$J$10:$M$18,9,FALSE)</f>
        <v>1</v>
      </c>
      <c r="X856" s="81">
        <f>HLOOKUP(Q856,データについて!$J$11:$M$18,8,FALSE)</f>
        <v>1</v>
      </c>
      <c r="Y856" s="81">
        <f>HLOOKUP(R856,データについて!$J$12:$M$18,7,FALSE)</f>
        <v>1</v>
      </c>
      <c r="Z856" s="81">
        <f>HLOOKUP(I856,データについて!$J$3:$M$18,16,FALSE)</f>
        <v>2</v>
      </c>
      <c r="AA856" s="81" t="str">
        <f>IFERROR(HLOOKUP(J856,データについて!$J$4:$AH$19,16,FALSE),"")</f>
        <v/>
      </c>
      <c r="AB856" s="81">
        <f>IFERROR(HLOOKUP(K856,データについて!$J$5:$AH$20,14,FALSE),"")</f>
        <v>3</v>
      </c>
      <c r="AC856" s="81">
        <f>IF(X856=1,HLOOKUP(R856,データについて!$J$12:$M$18,7,FALSE),"*")</f>
        <v>1</v>
      </c>
      <c r="AD856" s="81" t="str">
        <f>IF(X856=2,HLOOKUP(R856,データについて!$J$12:$M$18,7,FALSE),"*")</f>
        <v>*</v>
      </c>
    </row>
    <row r="857" spans="1:30">
      <c r="A857" s="30">
        <v>4335</v>
      </c>
      <c r="B857" s="30" t="s">
        <v>3205</v>
      </c>
      <c r="C857" s="30" t="s">
        <v>3206</v>
      </c>
      <c r="D857" s="30" t="s">
        <v>106</v>
      </c>
      <c r="E857" s="30"/>
      <c r="F857" s="30" t="s">
        <v>107</v>
      </c>
      <c r="G857" s="30" t="s">
        <v>106</v>
      </c>
      <c r="H857" s="30"/>
      <c r="I857" s="30" t="s">
        <v>191</v>
      </c>
      <c r="J857" s="30"/>
      <c r="K857" s="30" t="s">
        <v>3098</v>
      </c>
      <c r="L857" s="30" t="s">
        <v>108</v>
      </c>
      <c r="M857" s="30" t="s">
        <v>121</v>
      </c>
      <c r="N857" s="30" t="s">
        <v>110</v>
      </c>
      <c r="O857" s="30" t="s">
        <v>115</v>
      </c>
      <c r="P857" s="30" t="s">
        <v>112</v>
      </c>
      <c r="Q857" s="30" t="s">
        <v>118</v>
      </c>
      <c r="R857" s="30" t="s">
        <v>189</v>
      </c>
      <c r="S857" s="81">
        <f>HLOOKUP(L857,データについて!$J$6:$M$18,13,FALSE)</f>
        <v>1</v>
      </c>
      <c r="T857" s="81">
        <f>HLOOKUP(M857,データについて!$J$7:$M$18,12,FALSE)</f>
        <v>4</v>
      </c>
      <c r="U857" s="81">
        <f>HLOOKUP(N857,データについて!$J$8:$M$18,11,FALSE)</f>
        <v>2</v>
      </c>
      <c r="V857" s="81">
        <f>HLOOKUP(O857,データについて!$J$9:$M$18,10,FALSE)</f>
        <v>1</v>
      </c>
      <c r="W857" s="81">
        <f>HLOOKUP(P857,データについて!$J$10:$M$18,9,FALSE)</f>
        <v>1</v>
      </c>
      <c r="X857" s="81">
        <f>HLOOKUP(Q857,データについて!$J$11:$M$18,8,FALSE)</f>
        <v>2</v>
      </c>
      <c r="Y857" s="81">
        <f>HLOOKUP(R857,データについて!$J$12:$M$18,7,FALSE)</f>
        <v>4</v>
      </c>
      <c r="Z857" s="81">
        <f>HLOOKUP(I857,データについて!$J$3:$M$18,16,FALSE)</f>
        <v>2</v>
      </c>
      <c r="AA857" s="81" t="str">
        <f>IFERROR(HLOOKUP(J857,データについて!$J$4:$AH$19,16,FALSE),"")</f>
        <v/>
      </c>
      <c r="AB857" s="81">
        <f>IFERROR(HLOOKUP(K857,データについて!$J$5:$AH$20,14,FALSE),"")</f>
        <v>3</v>
      </c>
      <c r="AC857" s="81" t="str">
        <f>IF(X857=1,HLOOKUP(R857,データについて!$J$12:$M$18,7,FALSE),"*")</f>
        <v>*</v>
      </c>
      <c r="AD857" s="81">
        <f>IF(X857=2,HLOOKUP(R857,データについて!$J$12:$M$18,7,FALSE),"*")</f>
        <v>4</v>
      </c>
    </row>
    <row r="858" spans="1:30">
      <c r="A858" s="30">
        <v>4334</v>
      </c>
      <c r="B858" s="30" t="s">
        <v>3207</v>
      </c>
      <c r="C858" s="30" t="s">
        <v>3208</v>
      </c>
      <c r="D858" s="30" t="s">
        <v>106</v>
      </c>
      <c r="E858" s="30"/>
      <c r="F858" s="30" t="s">
        <v>107</v>
      </c>
      <c r="G858" s="30" t="s">
        <v>106</v>
      </c>
      <c r="H858" s="30"/>
      <c r="I858" s="30" t="s">
        <v>191</v>
      </c>
      <c r="J858" s="30"/>
      <c r="K858" s="30" t="s">
        <v>3098</v>
      </c>
      <c r="L858" s="30" t="s">
        <v>108</v>
      </c>
      <c r="M858" s="30" t="s">
        <v>113</v>
      </c>
      <c r="N858" s="30" t="s">
        <v>114</v>
      </c>
      <c r="O858" s="30" t="s">
        <v>123</v>
      </c>
      <c r="P858" s="30" t="s">
        <v>112</v>
      </c>
      <c r="Q858" s="30" t="s">
        <v>112</v>
      </c>
      <c r="R858" s="30" t="s">
        <v>185</v>
      </c>
      <c r="S858" s="81">
        <f>HLOOKUP(L858,データについて!$J$6:$M$18,13,FALSE)</f>
        <v>1</v>
      </c>
      <c r="T858" s="81">
        <f>HLOOKUP(M858,データについて!$J$7:$M$18,12,FALSE)</f>
        <v>1</v>
      </c>
      <c r="U858" s="81">
        <f>HLOOKUP(N858,データについて!$J$8:$M$18,11,FALSE)</f>
        <v>1</v>
      </c>
      <c r="V858" s="81">
        <f>HLOOKUP(O858,データについて!$J$9:$M$18,10,FALSE)</f>
        <v>4</v>
      </c>
      <c r="W858" s="81">
        <f>HLOOKUP(P858,データについて!$J$10:$M$18,9,FALSE)</f>
        <v>1</v>
      </c>
      <c r="X858" s="81">
        <f>HLOOKUP(Q858,データについて!$J$11:$M$18,8,FALSE)</f>
        <v>1</v>
      </c>
      <c r="Y858" s="81">
        <f>HLOOKUP(R858,データについて!$J$12:$M$18,7,FALSE)</f>
        <v>2</v>
      </c>
      <c r="Z858" s="81">
        <f>HLOOKUP(I858,データについて!$J$3:$M$18,16,FALSE)</f>
        <v>2</v>
      </c>
      <c r="AA858" s="81" t="str">
        <f>IFERROR(HLOOKUP(J858,データについて!$J$4:$AH$19,16,FALSE),"")</f>
        <v/>
      </c>
      <c r="AB858" s="81">
        <f>IFERROR(HLOOKUP(K858,データについて!$J$5:$AH$20,14,FALSE),"")</f>
        <v>3</v>
      </c>
      <c r="AC858" s="81">
        <f>IF(X858=1,HLOOKUP(R858,データについて!$J$12:$M$18,7,FALSE),"*")</f>
        <v>2</v>
      </c>
      <c r="AD858" s="81" t="str">
        <f>IF(X858=2,HLOOKUP(R858,データについて!$J$12:$M$18,7,FALSE),"*")</f>
        <v>*</v>
      </c>
    </row>
    <row r="859" spans="1:30">
      <c r="A859" s="30">
        <v>4333</v>
      </c>
      <c r="B859" s="30" t="s">
        <v>3209</v>
      </c>
      <c r="C859" s="30" t="s">
        <v>3210</v>
      </c>
      <c r="D859" s="30" t="s">
        <v>106</v>
      </c>
      <c r="E859" s="30"/>
      <c r="F859" s="30" t="s">
        <v>107</v>
      </c>
      <c r="G859" s="30" t="s">
        <v>106</v>
      </c>
      <c r="H859" s="30"/>
      <c r="I859" s="30" t="s">
        <v>191</v>
      </c>
      <c r="J859" s="30"/>
      <c r="K859" s="30" t="s">
        <v>3098</v>
      </c>
      <c r="L859" s="30" t="s">
        <v>108</v>
      </c>
      <c r="M859" s="30" t="s">
        <v>113</v>
      </c>
      <c r="N859" s="30" t="s">
        <v>114</v>
      </c>
      <c r="O859" s="30" t="s">
        <v>115</v>
      </c>
      <c r="P859" s="30" t="s">
        <v>112</v>
      </c>
      <c r="Q859" s="30" t="s">
        <v>112</v>
      </c>
      <c r="R859" s="30" t="s">
        <v>183</v>
      </c>
      <c r="S859" s="81">
        <f>HLOOKUP(L859,データについて!$J$6:$M$18,13,FALSE)</f>
        <v>1</v>
      </c>
      <c r="T859" s="81">
        <f>HLOOKUP(M859,データについて!$J$7:$M$18,12,FALSE)</f>
        <v>1</v>
      </c>
      <c r="U859" s="81">
        <f>HLOOKUP(N859,データについて!$J$8:$M$18,11,FALSE)</f>
        <v>1</v>
      </c>
      <c r="V859" s="81">
        <f>HLOOKUP(O859,データについて!$J$9:$M$18,10,FALSE)</f>
        <v>1</v>
      </c>
      <c r="W859" s="81">
        <f>HLOOKUP(P859,データについて!$J$10:$M$18,9,FALSE)</f>
        <v>1</v>
      </c>
      <c r="X859" s="81">
        <f>HLOOKUP(Q859,データについて!$J$11:$M$18,8,FALSE)</f>
        <v>1</v>
      </c>
      <c r="Y859" s="81">
        <f>HLOOKUP(R859,データについて!$J$12:$M$18,7,FALSE)</f>
        <v>1</v>
      </c>
      <c r="Z859" s="81">
        <f>HLOOKUP(I859,データについて!$J$3:$M$18,16,FALSE)</f>
        <v>2</v>
      </c>
      <c r="AA859" s="81" t="str">
        <f>IFERROR(HLOOKUP(J859,データについて!$J$4:$AH$19,16,FALSE),"")</f>
        <v/>
      </c>
      <c r="AB859" s="81">
        <f>IFERROR(HLOOKUP(K859,データについて!$J$5:$AH$20,14,FALSE),"")</f>
        <v>3</v>
      </c>
      <c r="AC859" s="81">
        <f>IF(X859=1,HLOOKUP(R859,データについて!$J$12:$M$18,7,FALSE),"*")</f>
        <v>1</v>
      </c>
      <c r="AD859" s="81" t="str">
        <f>IF(X859=2,HLOOKUP(R859,データについて!$J$12:$M$18,7,FALSE),"*")</f>
        <v>*</v>
      </c>
    </row>
    <row r="860" spans="1:30">
      <c r="A860" s="30">
        <v>4332</v>
      </c>
      <c r="B860" s="30" t="s">
        <v>3211</v>
      </c>
      <c r="C860" s="30" t="s">
        <v>3212</v>
      </c>
      <c r="D860" s="30" t="s">
        <v>106</v>
      </c>
      <c r="E860" s="30"/>
      <c r="F860" s="30" t="s">
        <v>107</v>
      </c>
      <c r="G860" s="30" t="s">
        <v>106</v>
      </c>
      <c r="H860" s="30"/>
      <c r="I860" s="30" t="s">
        <v>191</v>
      </c>
      <c r="J860" s="30"/>
      <c r="K860" s="30" t="s">
        <v>3098</v>
      </c>
      <c r="L860" s="30" t="s">
        <v>108</v>
      </c>
      <c r="M860" s="30" t="s">
        <v>109</v>
      </c>
      <c r="N860" s="30" t="s">
        <v>114</v>
      </c>
      <c r="O860" s="30" t="s">
        <v>115</v>
      </c>
      <c r="P860" s="30" t="s">
        <v>112</v>
      </c>
      <c r="Q860" s="30" t="s">
        <v>112</v>
      </c>
      <c r="R860" s="30" t="s">
        <v>183</v>
      </c>
      <c r="S860" s="81">
        <f>HLOOKUP(L860,データについて!$J$6:$M$18,13,FALSE)</f>
        <v>1</v>
      </c>
      <c r="T860" s="81">
        <f>HLOOKUP(M860,データについて!$J$7:$M$18,12,FALSE)</f>
        <v>2</v>
      </c>
      <c r="U860" s="81">
        <f>HLOOKUP(N860,データについて!$J$8:$M$18,11,FALSE)</f>
        <v>1</v>
      </c>
      <c r="V860" s="81">
        <f>HLOOKUP(O860,データについて!$J$9:$M$18,10,FALSE)</f>
        <v>1</v>
      </c>
      <c r="W860" s="81">
        <f>HLOOKUP(P860,データについて!$J$10:$M$18,9,FALSE)</f>
        <v>1</v>
      </c>
      <c r="X860" s="81">
        <f>HLOOKUP(Q860,データについて!$J$11:$M$18,8,FALSE)</f>
        <v>1</v>
      </c>
      <c r="Y860" s="81">
        <f>HLOOKUP(R860,データについて!$J$12:$M$18,7,FALSE)</f>
        <v>1</v>
      </c>
      <c r="Z860" s="81">
        <f>HLOOKUP(I860,データについて!$J$3:$M$18,16,FALSE)</f>
        <v>2</v>
      </c>
      <c r="AA860" s="81" t="str">
        <f>IFERROR(HLOOKUP(J860,データについて!$J$4:$AH$19,16,FALSE),"")</f>
        <v/>
      </c>
      <c r="AB860" s="81">
        <f>IFERROR(HLOOKUP(K860,データについて!$J$5:$AH$20,14,FALSE),"")</f>
        <v>3</v>
      </c>
      <c r="AC860" s="81">
        <f>IF(X860=1,HLOOKUP(R860,データについて!$J$12:$M$18,7,FALSE),"*")</f>
        <v>1</v>
      </c>
      <c r="AD860" s="81" t="str">
        <f>IF(X860=2,HLOOKUP(R860,データについて!$J$12:$M$18,7,FALSE),"*")</f>
        <v>*</v>
      </c>
    </row>
    <row r="861" spans="1:30">
      <c r="A861" s="30">
        <v>4331</v>
      </c>
      <c r="B861" s="30" t="s">
        <v>3213</v>
      </c>
      <c r="C861" s="30" t="s">
        <v>3214</v>
      </c>
      <c r="D861" s="30" t="s">
        <v>106</v>
      </c>
      <c r="E861" s="30"/>
      <c r="F861" s="30" t="s">
        <v>107</v>
      </c>
      <c r="G861" s="30" t="s">
        <v>106</v>
      </c>
      <c r="H861" s="30"/>
      <c r="I861" s="30" t="s">
        <v>191</v>
      </c>
      <c r="J861" s="30"/>
      <c r="K861" s="30" t="s">
        <v>3098</v>
      </c>
      <c r="L861" s="30" t="s">
        <v>117</v>
      </c>
      <c r="M861" s="30" t="s">
        <v>113</v>
      </c>
      <c r="N861" s="30" t="s">
        <v>114</v>
      </c>
      <c r="O861" s="30" t="s">
        <v>115</v>
      </c>
      <c r="P861" s="30" t="s">
        <v>112</v>
      </c>
      <c r="Q861" s="30" t="s">
        <v>112</v>
      </c>
      <c r="R861" s="30" t="s">
        <v>183</v>
      </c>
      <c r="S861" s="81">
        <f>HLOOKUP(L861,データについて!$J$6:$M$18,13,FALSE)</f>
        <v>2</v>
      </c>
      <c r="T861" s="81">
        <f>HLOOKUP(M861,データについて!$J$7:$M$18,12,FALSE)</f>
        <v>1</v>
      </c>
      <c r="U861" s="81">
        <f>HLOOKUP(N861,データについて!$J$8:$M$18,11,FALSE)</f>
        <v>1</v>
      </c>
      <c r="V861" s="81">
        <f>HLOOKUP(O861,データについて!$J$9:$M$18,10,FALSE)</f>
        <v>1</v>
      </c>
      <c r="W861" s="81">
        <f>HLOOKUP(P861,データについて!$J$10:$M$18,9,FALSE)</f>
        <v>1</v>
      </c>
      <c r="X861" s="81">
        <f>HLOOKUP(Q861,データについて!$J$11:$M$18,8,FALSE)</f>
        <v>1</v>
      </c>
      <c r="Y861" s="81">
        <f>HLOOKUP(R861,データについて!$J$12:$M$18,7,FALSE)</f>
        <v>1</v>
      </c>
      <c r="Z861" s="81">
        <f>HLOOKUP(I861,データについて!$J$3:$M$18,16,FALSE)</f>
        <v>2</v>
      </c>
      <c r="AA861" s="81" t="str">
        <f>IFERROR(HLOOKUP(J861,データについて!$J$4:$AH$19,16,FALSE),"")</f>
        <v/>
      </c>
      <c r="AB861" s="81">
        <f>IFERROR(HLOOKUP(K861,データについて!$J$5:$AH$20,14,FALSE),"")</f>
        <v>3</v>
      </c>
      <c r="AC861" s="81">
        <f>IF(X861=1,HLOOKUP(R861,データについて!$J$12:$M$18,7,FALSE),"*")</f>
        <v>1</v>
      </c>
      <c r="AD861" s="81" t="str">
        <f>IF(X861=2,HLOOKUP(R861,データについて!$J$12:$M$18,7,FALSE),"*")</f>
        <v>*</v>
      </c>
    </row>
    <row r="862" spans="1:30">
      <c r="A862" s="30">
        <v>4330</v>
      </c>
      <c r="B862" s="30" t="s">
        <v>3215</v>
      </c>
      <c r="C862" s="30" t="s">
        <v>3216</v>
      </c>
      <c r="D862" s="30" t="s">
        <v>106</v>
      </c>
      <c r="E862" s="30"/>
      <c r="F862" s="30" t="s">
        <v>107</v>
      </c>
      <c r="G862" s="30" t="s">
        <v>106</v>
      </c>
      <c r="H862" s="30"/>
      <c r="I862" s="30" t="s">
        <v>191</v>
      </c>
      <c r="J862" s="30"/>
      <c r="K862" s="30" t="s">
        <v>3098</v>
      </c>
      <c r="L862" s="30" t="s">
        <v>108</v>
      </c>
      <c r="M862" s="30" t="s">
        <v>113</v>
      </c>
      <c r="N862" s="30" t="s">
        <v>114</v>
      </c>
      <c r="O862" s="30" t="s">
        <v>115</v>
      </c>
      <c r="P862" s="30" t="s">
        <v>118</v>
      </c>
      <c r="Q862" s="30" t="s">
        <v>112</v>
      </c>
      <c r="R862" s="30" t="s">
        <v>185</v>
      </c>
      <c r="S862" s="81">
        <f>HLOOKUP(L862,データについて!$J$6:$M$18,13,FALSE)</f>
        <v>1</v>
      </c>
      <c r="T862" s="81">
        <f>HLOOKUP(M862,データについて!$J$7:$M$18,12,FALSE)</f>
        <v>1</v>
      </c>
      <c r="U862" s="81">
        <f>HLOOKUP(N862,データについて!$J$8:$M$18,11,FALSE)</f>
        <v>1</v>
      </c>
      <c r="V862" s="81">
        <f>HLOOKUP(O862,データについて!$J$9:$M$18,10,FALSE)</f>
        <v>1</v>
      </c>
      <c r="W862" s="81">
        <f>HLOOKUP(P862,データについて!$J$10:$M$18,9,FALSE)</f>
        <v>2</v>
      </c>
      <c r="X862" s="81">
        <f>HLOOKUP(Q862,データについて!$J$11:$M$18,8,FALSE)</f>
        <v>1</v>
      </c>
      <c r="Y862" s="81">
        <f>HLOOKUP(R862,データについて!$J$12:$M$18,7,FALSE)</f>
        <v>2</v>
      </c>
      <c r="Z862" s="81">
        <f>HLOOKUP(I862,データについて!$J$3:$M$18,16,FALSE)</f>
        <v>2</v>
      </c>
      <c r="AA862" s="81" t="str">
        <f>IFERROR(HLOOKUP(J862,データについて!$J$4:$AH$19,16,FALSE),"")</f>
        <v/>
      </c>
      <c r="AB862" s="81">
        <f>IFERROR(HLOOKUP(K862,データについて!$J$5:$AH$20,14,FALSE),"")</f>
        <v>3</v>
      </c>
      <c r="AC862" s="81">
        <f>IF(X862=1,HLOOKUP(R862,データについて!$J$12:$M$18,7,FALSE),"*")</f>
        <v>2</v>
      </c>
      <c r="AD862" s="81" t="str">
        <f>IF(X862=2,HLOOKUP(R862,データについて!$J$12:$M$18,7,FALSE),"*")</f>
        <v>*</v>
      </c>
    </row>
    <row r="863" spans="1:30">
      <c r="A863" s="30">
        <v>4329</v>
      </c>
      <c r="B863" s="30" t="s">
        <v>3217</v>
      </c>
      <c r="C863" s="30" t="s">
        <v>3218</v>
      </c>
      <c r="D863" s="30" t="s">
        <v>106</v>
      </c>
      <c r="E863" s="30"/>
      <c r="F863" s="30" t="s">
        <v>107</v>
      </c>
      <c r="G863" s="30" t="s">
        <v>106</v>
      </c>
      <c r="H863" s="30"/>
      <c r="I863" s="30" t="s">
        <v>191</v>
      </c>
      <c r="J863" s="30"/>
      <c r="K863" s="30" t="s">
        <v>3098</v>
      </c>
      <c r="L863" s="30" t="s">
        <v>108</v>
      </c>
      <c r="M863" s="30" t="s">
        <v>113</v>
      </c>
      <c r="N863" s="30" t="s">
        <v>110</v>
      </c>
      <c r="O863" s="30" t="s">
        <v>116</v>
      </c>
      <c r="P863" s="30" t="s">
        <v>112</v>
      </c>
      <c r="Q863" s="30" t="s">
        <v>118</v>
      </c>
      <c r="R863" s="30" t="s">
        <v>189</v>
      </c>
      <c r="S863" s="81">
        <f>HLOOKUP(L863,データについて!$J$6:$M$18,13,FALSE)</f>
        <v>1</v>
      </c>
      <c r="T863" s="81">
        <f>HLOOKUP(M863,データについて!$J$7:$M$18,12,FALSE)</f>
        <v>1</v>
      </c>
      <c r="U863" s="81">
        <f>HLOOKUP(N863,データについて!$J$8:$M$18,11,FALSE)</f>
        <v>2</v>
      </c>
      <c r="V863" s="81">
        <f>HLOOKUP(O863,データについて!$J$9:$M$18,10,FALSE)</f>
        <v>2</v>
      </c>
      <c r="W863" s="81">
        <f>HLOOKUP(P863,データについて!$J$10:$M$18,9,FALSE)</f>
        <v>1</v>
      </c>
      <c r="X863" s="81">
        <f>HLOOKUP(Q863,データについて!$J$11:$M$18,8,FALSE)</f>
        <v>2</v>
      </c>
      <c r="Y863" s="81">
        <f>HLOOKUP(R863,データについて!$J$12:$M$18,7,FALSE)</f>
        <v>4</v>
      </c>
      <c r="Z863" s="81">
        <f>HLOOKUP(I863,データについて!$J$3:$M$18,16,FALSE)</f>
        <v>2</v>
      </c>
      <c r="AA863" s="81" t="str">
        <f>IFERROR(HLOOKUP(J863,データについて!$J$4:$AH$19,16,FALSE),"")</f>
        <v/>
      </c>
      <c r="AB863" s="81">
        <f>IFERROR(HLOOKUP(K863,データについて!$J$5:$AH$20,14,FALSE),"")</f>
        <v>3</v>
      </c>
      <c r="AC863" s="81" t="str">
        <f>IF(X863=1,HLOOKUP(R863,データについて!$J$12:$M$18,7,FALSE),"*")</f>
        <v>*</v>
      </c>
      <c r="AD863" s="81">
        <f>IF(X863=2,HLOOKUP(R863,データについて!$J$12:$M$18,7,FALSE),"*")</f>
        <v>4</v>
      </c>
    </row>
    <row r="864" spans="1:30">
      <c r="A864" s="30">
        <v>4328</v>
      </c>
      <c r="B864" s="30" t="s">
        <v>3219</v>
      </c>
      <c r="C864" s="30" t="s">
        <v>3220</v>
      </c>
      <c r="D864" s="30" t="s">
        <v>106</v>
      </c>
      <c r="E864" s="30"/>
      <c r="F864" s="30" t="s">
        <v>107</v>
      </c>
      <c r="G864" s="30" t="s">
        <v>106</v>
      </c>
      <c r="H864" s="30"/>
      <c r="I864" s="30" t="s">
        <v>191</v>
      </c>
      <c r="J864" s="30"/>
      <c r="K864" s="30" t="s">
        <v>3098</v>
      </c>
      <c r="L864" s="30" t="s">
        <v>108</v>
      </c>
      <c r="M864" s="30" t="s">
        <v>113</v>
      </c>
      <c r="N864" s="30" t="s">
        <v>110</v>
      </c>
      <c r="O864" s="30" t="s">
        <v>115</v>
      </c>
      <c r="P864" s="30" t="s">
        <v>112</v>
      </c>
      <c r="Q864" s="30" t="s">
        <v>112</v>
      </c>
      <c r="R864" s="30" t="s">
        <v>185</v>
      </c>
      <c r="S864" s="81">
        <f>HLOOKUP(L864,データについて!$J$6:$M$18,13,FALSE)</f>
        <v>1</v>
      </c>
      <c r="T864" s="81">
        <f>HLOOKUP(M864,データについて!$J$7:$M$18,12,FALSE)</f>
        <v>1</v>
      </c>
      <c r="U864" s="81">
        <f>HLOOKUP(N864,データについて!$J$8:$M$18,11,FALSE)</f>
        <v>2</v>
      </c>
      <c r="V864" s="81">
        <f>HLOOKUP(O864,データについて!$J$9:$M$18,10,FALSE)</f>
        <v>1</v>
      </c>
      <c r="W864" s="81">
        <f>HLOOKUP(P864,データについて!$J$10:$M$18,9,FALSE)</f>
        <v>1</v>
      </c>
      <c r="X864" s="81">
        <f>HLOOKUP(Q864,データについて!$J$11:$M$18,8,FALSE)</f>
        <v>1</v>
      </c>
      <c r="Y864" s="81">
        <f>HLOOKUP(R864,データについて!$J$12:$M$18,7,FALSE)</f>
        <v>2</v>
      </c>
      <c r="Z864" s="81">
        <f>HLOOKUP(I864,データについて!$J$3:$M$18,16,FALSE)</f>
        <v>2</v>
      </c>
      <c r="AA864" s="81" t="str">
        <f>IFERROR(HLOOKUP(J864,データについて!$J$4:$AH$19,16,FALSE),"")</f>
        <v/>
      </c>
      <c r="AB864" s="81">
        <f>IFERROR(HLOOKUP(K864,データについて!$J$5:$AH$20,14,FALSE),"")</f>
        <v>3</v>
      </c>
      <c r="AC864" s="81">
        <f>IF(X864=1,HLOOKUP(R864,データについて!$J$12:$M$18,7,FALSE),"*")</f>
        <v>2</v>
      </c>
      <c r="AD864" s="81" t="str">
        <f>IF(X864=2,HLOOKUP(R864,データについて!$J$12:$M$18,7,FALSE),"*")</f>
        <v>*</v>
      </c>
    </row>
    <row r="865" spans="1:30">
      <c r="A865" s="30">
        <v>4327</v>
      </c>
      <c r="B865" s="30" t="s">
        <v>3221</v>
      </c>
      <c r="C865" s="30" t="s">
        <v>3222</v>
      </c>
      <c r="D865" s="30" t="s">
        <v>106</v>
      </c>
      <c r="E865" s="30"/>
      <c r="F865" s="30" t="s">
        <v>107</v>
      </c>
      <c r="G865" s="30" t="s">
        <v>106</v>
      </c>
      <c r="H865" s="30"/>
      <c r="I865" s="30" t="s">
        <v>191</v>
      </c>
      <c r="J865" s="30"/>
      <c r="K865" s="30" t="s">
        <v>3098</v>
      </c>
      <c r="L865" s="30" t="s">
        <v>108</v>
      </c>
      <c r="M865" s="30" t="s">
        <v>113</v>
      </c>
      <c r="N865" s="30" t="s">
        <v>114</v>
      </c>
      <c r="O865" s="30" t="s">
        <v>115</v>
      </c>
      <c r="P865" s="30" t="s">
        <v>112</v>
      </c>
      <c r="Q865" s="30" t="s">
        <v>112</v>
      </c>
      <c r="R865" s="30" t="s">
        <v>185</v>
      </c>
      <c r="S865" s="81">
        <f>HLOOKUP(L865,データについて!$J$6:$M$18,13,FALSE)</f>
        <v>1</v>
      </c>
      <c r="T865" s="81">
        <f>HLOOKUP(M865,データについて!$J$7:$M$18,12,FALSE)</f>
        <v>1</v>
      </c>
      <c r="U865" s="81">
        <f>HLOOKUP(N865,データについて!$J$8:$M$18,11,FALSE)</f>
        <v>1</v>
      </c>
      <c r="V865" s="81">
        <f>HLOOKUP(O865,データについて!$J$9:$M$18,10,FALSE)</f>
        <v>1</v>
      </c>
      <c r="W865" s="81">
        <f>HLOOKUP(P865,データについて!$J$10:$M$18,9,FALSE)</f>
        <v>1</v>
      </c>
      <c r="X865" s="81">
        <f>HLOOKUP(Q865,データについて!$J$11:$M$18,8,FALSE)</f>
        <v>1</v>
      </c>
      <c r="Y865" s="81">
        <f>HLOOKUP(R865,データについて!$J$12:$M$18,7,FALSE)</f>
        <v>2</v>
      </c>
      <c r="Z865" s="81">
        <f>HLOOKUP(I865,データについて!$J$3:$M$18,16,FALSE)</f>
        <v>2</v>
      </c>
      <c r="AA865" s="81" t="str">
        <f>IFERROR(HLOOKUP(J865,データについて!$J$4:$AH$19,16,FALSE),"")</f>
        <v/>
      </c>
      <c r="AB865" s="81">
        <f>IFERROR(HLOOKUP(K865,データについて!$J$5:$AH$20,14,FALSE),"")</f>
        <v>3</v>
      </c>
      <c r="AC865" s="81">
        <f>IF(X865=1,HLOOKUP(R865,データについて!$J$12:$M$18,7,FALSE),"*")</f>
        <v>2</v>
      </c>
      <c r="AD865" s="81" t="str">
        <f>IF(X865=2,HLOOKUP(R865,データについて!$J$12:$M$18,7,FALSE),"*")</f>
        <v>*</v>
      </c>
    </row>
    <row r="866" spans="1:30">
      <c r="A866" s="30">
        <v>4326</v>
      </c>
      <c r="B866" s="30" t="s">
        <v>3223</v>
      </c>
      <c r="C866" s="30" t="s">
        <v>3224</v>
      </c>
      <c r="D866" s="30" t="s">
        <v>106</v>
      </c>
      <c r="E866" s="30"/>
      <c r="F866" s="30" t="s">
        <v>107</v>
      </c>
      <c r="G866" s="30" t="s">
        <v>106</v>
      </c>
      <c r="H866" s="30"/>
      <c r="I866" s="30" t="s">
        <v>191</v>
      </c>
      <c r="J866" s="30"/>
      <c r="K866" s="30" t="s">
        <v>3098</v>
      </c>
      <c r="L866" s="30" t="s">
        <v>117</v>
      </c>
      <c r="M866" s="30" t="s">
        <v>113</v>
      </c>
      <c r="N866" s="30" t="s">
        <v>114</v>
      </c>
      <c r="O866" s="30" t="s">
        <v>115</v>
      </c>
      <c r="P866" s="30" t="s">
        <v>112</v>
      </c>
      <c r="Q866" s="30" t="s">
        <v>112</v>
      </c>
      <c r="R866" s="30" t="s">
        <v>185</v>
      </c>
      <c r="S866" s="81">
        <f>HLOOKUP(L866,データについて!$J$6:$M$18,13,FALSE)</f>
        <v>2</v>
      </c>
      <c r="T866" s="81">
        <f>HLOOKUP(M866,データについて!$J$7:$M$18,12,FALSE)</f>
        <v>1</v>
      </c>
      <c r="U866" s="81">
        <f>HLOOKUP(N866,データについて!$J$8:$M$18,11,FALSE)</f>
        <v>1</v>
      </c>
      <c r="V866" s="81">
        <f>HLOOKUP(O866,データについて!$J$9:$M$18,10,FALSE)</f>
        <v>1</v>
      </c>
      <c r="W866" s="81">
        <f>HLOOKUP(P866,データについて!$J$10:$M$18,9,FALSE)</f>
        <v>1</v>
      </c>
      <c r="X866" s="81">
        <f>HLOOKUP(Q866,データについて!$J$11:$M$18,8,FALSE)</f>
        <v>1</v>
      </c>
      <c r="Y866" s="81">
        <f>HLOOKUP(R866,データについて!$J$12:$M$18,7,FALSE)</f>
        <v>2</v>
      </c>
      <c r="Z866" s="81">
        <f>HLOOKUP(I866,データについて!$J$3:$M$18,16,FALSE)</f>
        <v>2</v>
      </c>
      <c r="AA866" s="81" t="str">
        <f>IFERROR(HLOOKUP(J866,データについて!$J$4:$AH$19,16,FALSE),"")</f>
        <v/>
      </c>
      <c r="AB866" s="81">
        <f>IFERROR(HLOOKUP(K866,データについて!$J$5:$AH$20,14,FALSE),"")</f>
        <v>3</v>
      </c>
      <c r="AC866" s="81">
        <f>IF(X866=1,HLOOKUP(R866,データについて!$J$12:$M$18,7,FALSE),"*")</f>
        <v>2</v>
      </c>
      <c r="AD866" s="81" t="str">
        <f>IF(X866=2,HLOOKUP(R866,データについて!$J$12:$M$18,7,FALSE),"*")</f>
        <v>*</v>
      </c>
    </row>
    <row r="867" spans="1:30">
      <c r="A867" s="30">
        <v>4325</v>
      </c>
      <c r="B867" s="30" t="s">
        <v>3225</v>
      </c>
      <c r="C867" s="30" t="s">
        <v>3226</v>
      </c>
      <c r="D867" s="30" t="s">
        <v>106</v>
      </c>
      <c r="E867" s="30"/>
      <c r="F867" s="30" t="s">
        <v>107</v>
      </c>
      <c r="G867" s="30" t="s">
        <v>106</v>
      </c>
      <c r="H867" s="30"/>
      <c r="I867" s="30" t="s">
        <v>191</v>
      </c>
      <c r="J867" s="30"/>
      <c r="K867" s="30" t="s">
        <v>3098</v>
      </c>
      <c r="L867" s="30" t="s">
        <v>108</v>
      </c>
      <c r="M867" s="30" t="s">
        <v>109</v>
      </c>
      <c r="N867" s="30" t="s">
        <v>122</v>
      </c>
      <c r="O867" s="30" t="s">
        <v>115</v>
      </c>
      <c r="P867" s="30" t="s">
        <v>112</v>
      </c>
      <c r="Q867" s="30" t="s">
        <v>112</v>
      </c>
      <c r="R867" s="30" t="s">
        <v>183</v>
      </c>
      <c r="S867" s="81">
        <f>HLOOKUP(L867,データについて!$J$6:$M$18,13,FALSE)</f>
        <v>1</v>
      </c>
      <c r="T867" s="81">
        <f>HLOOKUP(M867,データについて!$J$7:$M$18,12,FALSE)</f>
        <v>2</v>
      </c>
      <c r="U867" s="81">
        <f>HLOOKUP(N867,データについて!$J$8:$M$18,11,FALSE)</f>
        <v>3</v>
      </c>
      <c r="V867" s="81">
        <f>HLOOKUP(O867,データについて!$J$9:$M$18,10,FALSE)</f>
        <v>1</v>
      </c>
      <c r="W867" s="81">
        <f>HLOOKUP(P867,データについて!$J$10:$M$18,9,FALSE)</f>
        <v>1</v>
      </c>
      <c r="X867" s="81">
        <f>HLOOKUP(Q867,データについて!$J$11:$M$18,8,FALSE)</f>
        <v>1</v>
      </c>
      <c r="Y867" s="81">
        <f>HLOOKUP(R867,データについて!$J$12:$M$18,7,FALSE)</f>
        <v>1</v>
      </c>
      <c r="Z867" s="81">
        <f>HLOOKUP(I867,データについて!$J$3:$M$18,16,FALSE)</f>
        <v>2</v>
      </c>
      <c r="AA867" s="81" t="str">
        <f>IFERROR(HLOOKUP(J867,データについて!$J$4:$AH$19,16,FALSE),"")</f>
        <v/>
      </c>
      <c r="AB867" s="81">
        <f>IFERROR(HLOOKUP(K867,データについて!$J$5:$AH$20,14,FALSE),"")</f>
        <v>3</v>
      </c>
      <c r="AC867" s="81">
        <f>IF(X867=1,HLOOKUP(R867,データについて!$J$12:$M$18,7,FALSE),"*")</f>
        <v>1</v>
      </c>
      <c r="AD867" s="81" t="str">
        <f>IF(X867=2,HLOOKUP(R867,データについて!$J$12:$M$18,7,FALSE),"*")</f>
        <v>*</v>
      </c>
    </row>
    <row r="868" spans="1:30">
      <c r="A868" s="30">
        <v>4324</v>
      </c>
      <c r="B868" s="30" t="s">
        <v>3227</v>
      </c>
      <c r="C868" s="30" t="s">
        <v>3226</v>
      </c>
      <c r="D868" s="30" t="s">
        <v>106</v>
      </c>
      <c r="E868" s="30"/>
      <c r="F868" s="30" t="s">
        <v>107</v>
      </c>
      <c r="G868" s="30" t="s">
        <v>106</v>
      </c>
      <c r="H868" s="30"/>
      <c r="I868" s="30" t="s">
        <v>191</v>
      </c>
      <c r="J868" s="30"/>
      <c r="K868" s="30" t="s">
        <v>3098</v>
      </c>
      <c r="L868" s="30" t="s">
        <v>108</v>
      </c>
      <c r="M868" s="30" t="s">
        <v>113</v>
      </c>
      <c r="N868" s="30" t="s">
        <v>110</v>
      </c>
      <c r="O868" s="30" t="s">
        <v>115</v>
      </c>
      <c r="P868" s="30" t="s">
        <v>112</v>
      </c>
      <c r="Q868" s="30" t="s">
        <v>112</v>
      </c>
      <c r="R868" s="30" t="s">
        <v>185</v>
      </c>
      <c r="S868" s="81">
        <f>HLOOKUP(L868,データについて!$J$6:$M$18,13,FALSE)</f>
        <v>1</v>
      </c>
      <c r="T868" s="81">
        <f>HLOOKUP(M868,データについて!$J$7:$M$18,12,FALSE)</f>
        <v>1</v>
      </c>
      <c r="U868" s="81">
        <f>HLOOKUP(N868,データについて!$J$8:$M$18,11,FALSE)</f>
        <v>2</v>
      </c>
      <c r="V868" s="81">
        <f>HLOOKUP(O868,データについて!$J$9:$M$18,10,FALSE)</f>
        <v>1</v>
      </c>
      <c r="W868" s="81">
        <f>HLOOKUP(P868,データについて!$J$10:$M$18,9,FALSE)</f>
        <v>1</v>
      </c>
      <c r="X868" s="81">
        <f>HLOOKUP(Q868,データについて!$J$11:$M$18,8,FALSE)</f>
        <v>1</v>
      </c>
      <c r="Y868" s="81">
        <f>HLOOKUP(R868,データについて!$J$12:$M$18,7,FALSE)</f>
        <v>2</v>
      </c>
      <c r="Z868" s="81">
        <f>HLOOKUP(I868,データについて!$J$3:$M$18,16,FALSE)</f>
        <v>2</v>
      </c>
      <c r="AA868" s="81" t="str">
        <f>IFERROR(HLOOKUP(J868,データについて!$J$4:$AH$19,16,FALSE),"")</f>
        <v/>
      </c>
      <c r="AB868" s="81">
        <f>IFERROR(HLOOKUP(K868,データについて!$J$5:$AH$20,14,FALSE),"")</f>
        <v>3</v>
      </c>
      <c r="AC868" s="81">
        <f>IF(X868=1,HLOOKUP(R868,データについて!$J$12:$M$18,7,FALSE),"*")</f>
        <v>2</v>
      </c>
      <c r="AD868" s="81" t="str">
        <f>IF(X868=2,HLOOKUP(R868,データについて!$J$12:$M$18,7,FALSE),"*")</f>
        <v>*</v>
      </c>
    </row>
    <row r="869" spans="1:30">
      <c r="A869" s="30">
        <v>4323</v>
      </c>
      <c r="B869" s="30" t="s">
        <v>3228</v>
      </c>
      <c r="C869" s="30" t="s">
        <v>3229</v>
      </c>
      <c r="D869" s="30" t="s">
        <v>106</v>
      </c>
      <c r="E869" s="30"/>
      <c r="F869" s="30" t="s">
        <v>107</v>
      </c>
      <c r="G869" s="30" t="s">
        <v>106</v>
      </c>
      <c r="H869" s="30"/>
      <c r="I869" s="30" t="s">
        <v>191</v>
      </c>
      <c r="J869" s="30"/>
      <c r="K869" s="30" t="s">
        <v>3098</v>
      </c>
      <c r="L869" s="30" t="s">
        <v>108</v>
      </c>
      <c r="M869" s="30" t="s">
        <v>109</v>
      </c>
      <c r="N869" s="30" t="s">
        <v>110</v>
      </c>
      <c r="O869" s="30" t="s">
        <v>115</v>
      </c>
      <c r="P869" s="30" t="s">
        <v>112</v>
      </c>
      <c r="Q869" s="30" t="s">
        <v>112</v>
      </c>
      <c r="R869" s="30" t="s">
        <v>187</v>
      </c>
      <c r="S869" s="81">
        <f>HLOOKUP(L869,データについて!$J$6:$M$18,13,FALSE)</f>
        <v>1</v>
      </c>
      <c r="T869" s="81">
        <f>HLOOKUP(M869,データについて!$J$7:$M$18,12,FALSE)</f>
        <v>2</v>
      </c>
      <c r="U869" s="81">
        <f>HLOOKUP(N869,データについて!$J$8:$M$18,11,FALSE)</f>
        <v>2</v>
      </c>
      <c r="V869" s="81">
        <f>HLOOKUP(O869,データについて!$J$9:$M$18,10,FALSE)</f>
        <v>1</v>
      </c>
      <c r="W869" s="81">
        <f>HLOOKUP(P869,データについて!$J$10:$M$18,9,FALSE)</f>
        <v>1</v>
      </c>
      <c r="X869" s="81">
        <f>HLOOKUP(Q869,データについて!$J$11:$M$18,8,FALSE)</f>
        <v>1</v>
      </c>
      <c r="Y869" s="81">
        <f>HLOOKUP(R869,データについて!$J$12:$M$18,7,FALSE)</f>
        <v>3</v>
      </c>
      <c r="Z869" s="81">
        <f>HLOOKUP(I869,データについて!$J$3:$M$18,16,FALSE)</f>
        <v>2</v>
      </c>
      <c r="AA869" s="81" t="str">
        <f>IFERROR(HLOOKUP(J869,データについて!$J$4:$AH$19,16,FALSE),"")</f>
        <v/>
      </c>
      <c r="AB869" s="81">
        <f>IFERROR(HLOOKUP(K869,データについて!$J$5:$AH$20,14,FALSE),"")</f>
        <v>3</v>
      </c>
      <c r="AC869" s="81">
        <f>IF(X869=1,HLOOKUP(R869,データについて!$J$12:$M$18,7,FALSE),"*")</f>
        <v>3</v>
      </c>
      <c r="AD869" s="81" t="str">
        <f>IF(X869=2,HLOOKUP(R869,データについて!$J$12:$M$18,7,FALSE),"*")</f>
        <v>*</v>
      </c>
    </row>
    <row r="870" spans="1:30">
      <c r="A870" s="30">
        <v>4322</v>
      </c>
      <c r="B870" s="30" t="s">
        <v>3230</v>
      </c>
      <c r="C870" s="30" t="s">
        <v>3231</v>
      </c>
      <c r="D870" s="30" t="s">
        <v>106</v>
      </c>
      <c r="E870" s="30"/>
      <c r="F870" s="30" t="s">
        <v>107</v>
      </c>
      <c r="G870" s="30" t="s">
        <v>106</v>
      </c>
      <c r="H870" s="30"/>
      <c r="I870" s="30" t="s">
        <v>191</v>
      </c>
      <c r="J870" s="30"/>
      <c r="K870" s="30" t="s">
        <v>3098</v>
      </c>
      <c r="L870" s="30" t="s">
        <v>117</v>
      </c>
      <c r="M870" s="30" t="s">
        <v>124</v>
      </c>
      <c r="N870" s="30" t="s">
        <v>122</v>
      </c>
      <c r="O870" s="30" t="s">
        <v>116</v>
      </c>
      <c r="P870" s="30" t="s">
        <v>112</v>
      </c>
      <c r="Q870" s="30" t="s">
        <v>112</v>
      </c>
      <c r="R870" s="30" t="s">
        <v>187</v>
      </c>
      <c r="S870" s="81">
        <f>HLOOKUP(L870,データについて!$J$6:$M$18,13,FALSE)</f>
        <v>2</v>
      </c>
      <c r="T870" s="81">
        <f>HLOOKUP(M870,データについて!$J$7:$M$18,12,FALSE)</f>
        <v>3</v>
      </c>
      <c r="U870" s="81">
        <f>HLOOKUP(N870,データについて!$J$8:$M$18,11,FALSE)</f>
        <v>3</v>
      </c>
      <c r="V870" s="81">
        <f>HLOOKUP(O870,データについて!$J$9:$M$18,10,FALSE)</f>
        <v>2</v>
      </c>
      <c r="W870" s="81">
        <f>HLOOKUP(P870,データについて!$J$10:$M$18,9,FALSE)</f>
        <v>1</v>
      </c>
      <c r="X870" s="81">
        <f>HLOOKUP(Q870,データについて!$J$11:$M$18,8,FALSE)</f>
        <v>1</v>
      </c>
      <c r="Y870" s="81">
        <f>HLOOKUP(R870,データについて!$J$12:$M$18,7,FALSE)</f>
        <v>3</v>
      </c>
      <c r="Z870" s="81">
        <f>HLOOKUP(I870,データについて!$J$3:$M$18,16,FALSE)</f>
        <v>2</v>
      </c>
      <c r="AA870" s="81" t="str">
        <f>IFERROR(HLOOKUP(J870,データについて!$J$4:$AH$19,16,FALSE),"")</f>
        <v/>
      </c>
      <c r="AB870" s="81">
        <f>IFERROR(HLOOKUP(K870,データについて!$J$5:$AH$20,14,FALSE),"")</f>
        <v>3</v>
      </c>
      <c r="AC870" s="81">
        <f>IF(X870=1,HLOOKUP(R870,データについて!$J$12:$M$18,7,FALSE),"*")</f>
        <v>3</v>
      </c>
      <c r="AD870" s="81" t="str">
        <f>IF(X870=2,HLOOKUP(R870,データについて!$J$12:$M$18,7,FALSE),"*")</f>
        <v>*</v>
      </c>
    </row>
    <row r="871" spans="1:30">
      <c r="A871" s="30">
        <v>4321</v>
      </c>
      <c r="B871" s="30" t="s">
        <v>3232</v>
      </c>
      <c r="C871" s="30" t="s">
        <v>3233</v>
      </c>
      <c r="D871" s="30" t="s">
        <v>106</v>
      </c>
      <c r="E871" s="30"/>
      <c r="F871" s="30" t="s">
        <v>107</v>
      </c>
      <c r="G871" s="30" t="s">
        <v>106</v>
      </c>
      <c r="H871" s="30"/>
      <c r="I871" s="30" t="s">
        <v>191</v>
      </c>
      <c r="J871" s="30"/>
      <c r="K871" s="30" t="s">
        <v>3098</v>
      </c>
      <c r="L871" s="30" t="s">
        <v>117</v>
      </c>
      <c r="M871" s="30" t="s">
        <v>109</v>
      </c>
      <c r="N871" s="30" t="s">
        <v>122</v>
      </c>
      <c r="O871" s="30" t="s">
        <v>115</v>
      </c>
      <c r="P871" s="30" t="s">
        <v>112</v>
      </c>
      <c r="Q871" s="30" t="s">
        <v>118</v>
      </c>
      <c r="R871" s="30" t="s">
        <v>187</v>
      </c>
      <c r="S871" s="81">
        <f>HLOOKUP(L871,データについて!$J$6:$M$18,13,FALSE)</f>
        <v>2</v>
      </c>
      <c r="T871" s="81">
        <f>HLOOKUP(M871,データについて!$J$7:$M$18,12,FALSE)</f>
        <v>2</v>
      </c>
      <c r="U871" s="81">
        <f>HLOOKUP(N871,データについて!$J$8:$M$18,11,FALSE)</f>
        <v>3</v>
      </c>
      <c r="V871" s="81">
        <f>HLOOKUP(O871,データについて!$J$9:$M$18,10,FALSE)</f>
        <v>1</v>
      </c>
      <c r="W871" s="81">
        <f>HLOOKUP(P871,データについて!$J$10:$M$18,9,FALSE)</f>
        <v>1</v>
      </c>
      <c r="X871" s="81">
        <f>HLOOKUP(Q871,データについて!$J$11:$M$18,8,FALSE)</f>
        <v>2</v>
      </c>
      <c r="Y871" s="81">
        <f>HLOOKUP(R871,データについて!$J$12:$M$18,7,FALSE)</f>
        <v>3</v>
      </c>
      <c r="Z871" s="81">
        <f>HLOOKUP(I871,データについて!$J$3:$M$18,16,FALSE)</f>
        <v>2</v>
      </c>
      <c r="AA871" s="81" t="str">
        <f>IFERROR(HLOOKUP(J871,データについて!$J$4:$AH$19,16,FALSE),"")</f>
        <v/>
      </c>
      <c r="AB871" s="81">
        <f>IFERROR(HLOOKUP(K871,データについて!$J$5:$AH$20,14,FALSE),"")</f>
        <v>3</v>
      </c>
      <c r="AC871" s="81" t="str">
        <f>IF(X871=1,HLOOKUP(R871,データについて!$J$12:$M$18,7,FALSE),"*")</f>
        <v>*</v>
      </c>
      <c r="AD871" s="81">
        <f>IF(X871=2,HLOOKUP(R871,データについて!$J$12:$M$18,7,FALSE),"*")</f>
        <v>3</v>
      </c>
    </row>
    <row r="872" spans="1:30">
      <c r="A872" s="30">
        <v>4320</v>
      </c>
      <c r="B872" s="30" t="s">
        <v>3234</v>
      </c>
      <c r="C872" s="30" t="s">
        <v>3235</v>
      </c>
      <c r="D872" s="30" t="s">
        <v>106</v>
      </c>
      <c r="E872" s="30"/>
      <c r="F872" s="30" t="s">
        <v>107</v>
      </c>
      <c r="G872" s="30" t="s">
        <v>106</v>
      </c>
      <c r="H872" s="30"/>
      <c r="I872" s="30" t="s">
        <v>191</v>
      </c>
      <c r="J872" s="30"/>
      <c r="K872" s="30" t="s">
        <v>3098</v>
      </c>
      <c r="L872" s="30" t="s">
        <v>117</v>
      </c>
      <c r="M872" s="30" t="s">
        <v>109</v>
      </c>
      <c r="N872" s="30" t="s">
        <v>122</v>
      </c>
      <c r="O872" s="30" t="s">
        <v>116</v>
      </c>
      <c r="P872" s="30" t="s">
        <v>112</v>
      </c>
      <c r="Q872" s="30" t="s">
        <v>112</v>
      </c>
      <c r="R872" s="30" t="s">
        <v>185</v>
      </c>
      <c r="S872" s="81">
        <f>HLOOKUP(L872,データについて!$J$6:$M$18,13,FALSE)</f>
        <v>2</v>
      </c>
      <c r="T872" s="81">
        <f>HLOOKUP(M872,データについて!$J$7:$M$18,12,FALSE)</f>
        <v>2</v>
      </c>
      <c r="U872" s="81">
        <f>HLOOKUP(N872,データについて!$J$8:$M$18,11,FALSE)</f>
        <v>3</v>
      </c>
      <c r="V872" s="81">
        <f>HLOOKUP(O872,データについて!$J$9:$M$18,10,FALSE)</f>
        <v>2</v>
      </c>
      <c r="W872" s="81">
        <f>HLOOKUP(P872,データについて!$J$10:$M$18,9,FALSE)</f>
        <v>1</v>
      </c>
      <c r="X872" s="81">
        <f>HLOOKUP(Q872,データについて!$J$11:$M$18,8,FALSE)</f>
        <v>1</v>
      </c>
      <c r="Y872" s="81">
        <f>HLOOKUP(R872,データについて!$J$12:$M$18,7,FALSE)</f>
        <v>2</v>
      </c>
      <c r="Z872" s="81">
        <f>HLOOKUP(I872,データについて!$J$3:$M$18,16,FALSE)</f>
        <v>2</v>
      </c>
      <c r="AA872" s="81" t="str">
        <f>IFERROR(HLOOKUP(J872,データについて!$J$4:$AH$19,16,FALSE),"")</f>
        <v/>
      </c>
      <c r="AB872" s="81">
        <f>IFERROR(HLOOKUP(K872,データについて!$J$5:$AH$20,14,FALSE),"")</f>
        <v>3</v>
      </c>
      <c r="AC872" s="81">
        <f>IF(X872=1,HLOOKUP(R872,データについて!$J$12:$M$18,7,FALSE),"*")</f>
        <v>2</v>
      </c>
      <c r="AD872" s="81" t="str">
        <f>IF(X872=2,HLOOKUP(R872,データについて!$J$12:$M$18,7,FALSE),"*")</f>
        <v>*</v>
      </c>
    </row>
    <row r="873" spans="1:30">
      <c r="A873" s="30">
        <v>4319</v>
      </c>
      <c r="B873" s="30" t="s">
        <v>3236</v>
      </c>
      <c r="C873" s="30" t="s">
        <v>3237</v>
      </c>
      <c r="D873" s="30" t="s">
        <v>106</v>
      </c>
      <c r="E873" s="30"/>
      <c r="F873" s="30" t="s">
        <v>107</v>
      </c>
      <c r="G873" s="30" t="s">
        <v>106</v>
      </c>
      <c r="H873" s="30"/>
      <c r="I873" s="30" t="s">
        <v>191</v>
      </c>
      <c r="J873" s="30"/>
      <c r="K873" s="30" t="s">
        <v>3098</v>
      </c>
      <c r="L873" s="30" t="s">
        <v>108</v>
      </c>
      <c r="M873" s="30" t="s">
        <v>109</v>
      </c>
      <c r="N873" s="30" t="s">
        <v>110</v>
      </c>
      <c r="O873" s="30" t="s">
        <v>115</v>
      </c>
      <c r="P873" s="30" t="s">
        <v>112</v>
      </c>
      <c r="Q873" s="30" t="s">
        <v>112</v>
      </c>
      <c r="R873" s="30" t="s">
        <v>185</v>
      </c>
      <c r="S873" s="81">
        <f>HLOOKUP(L873,データについて!$J$6:$M$18,13,FALSE)</f>
        <v>1</v>
      </c>
      <c r="T873" s="81">
        <f>HLOOKUP(M873,データについて!$J$7:$M$18,12,FALSE)</f>
        <v>2</v>
      </c>
      <c r="U873" s="81">
        <f>HLOOKUP(N873,データについて!$J$8:$M$18,11,FALSE)</f>
        <v>2</v>
      </c>
      <c r="V873" s="81">
        <f>HLOOKUP(O873,データについて!$J$9:$M$18,10,FALSE)</f>
        <v>1</v>
      </c>
      <c r="W873" s="81">
        <f>HLOOKUP(P873,データについて!$J$10:$M$18,9,FALSE)</f>
        <v>1</v>
      </c>
      <c r="X873" s="81">
        <f>HLOOKUP(Q873,データについて!$J$11:$M$18,8,FALSE)</f>
        <v>1</v>
      </c>
      <c r="Y873" s="81">
        <f>HLOOKUP(R873,データについて!$J$12:$M$18,7,FALSE)</f>
        <v>2</v>
      </c>
      <c r="Z873" s="81">
        <f>HLOOKUP(I873,データについて!$J$3:$M$18,16,FALSE)</f>
        <v>2</v>
      </c>
      <c r="AA873" s="81" t="str">
        <f>IFERROR(HLOOKUP(J873,データについて!$J$4:$AH$19,16,FALSE),"")</f>
        <v/>
      </c>
      <c r="AB873" s="81">
        <f>IFERROR(HLOOKUP(K873,データについて!$J$5:$AH$20,14,FALSE),"")</f>
        <v>3</v>
      </c>
      <c r="AC873" s="81">
        <f>IF(X873=1,HLOOKUP(R873,データについて!$J$12:$M$18,7,FALSE),"*")</f>
        <v>2</v>
      </c>
      <c r="AD873" s="81" t="str">
        <f>IF(X873=2,HLOOKUP(R873,データについて!$J$12:$M$18,7,FALSE),"*")</f>
        <v>*</v>
      </c>
    </row>
    <row r="874" spans="1:30">
      <c r="A874" s="30">
        <v>4318</v>
      </c>
      <c r="B874" s="30" t="s">
        <v>3238</v>
      </c>
      <c r="C874" s="30" t="s">
        <v>3237</v>
      </c>
      <c r="D874" s="30" t="s">
        <v>106</v>
      </c>
      <c r="E874" s="30"/>
      <c r="F874" s="30" t="s">
        <v>107</v>
      </c>
      <c r="G874" s="30" t="s">
        <v>106</v>
      </c>
      <c r="H874" s="30"/>
      <c r="I874" s="30" t="s">
        <v>191</v>
      </c>
      <c r="J874" s="30"/>
      <c r="K874" s="30" t="s">
        <v>3098</v>
      </c>
      <c r="L874" s="30" t="s">
        <v>108</v>
      </c>
      <c r="M874" s="30" t="s">
        <v>109</v>
      </c>
      <c r="N874" s="30" t="s">
        <v>110</v>
      </c>
      <c r="O874" s="30" t="s">
        <v>115</v>
      </c>
      <c r="P874" s="30" t="s">
        <v>112</v>
      </c>
      <c r="Q874" s="30" t="s">
        <v>112</v>
      </c>
      <c r="R874" s="30" t="s">
        <v>187</v>
      </c>
      <c r="S874" s="81">
        <f>HLOOKUP(L874,データについて!$J$6:$M$18,13,FALSE)</f>
        <v>1</v>
      </c>
      <c r="T874" s="81">
        <f>HLOOKUP(M874,データについて!$J$7:$M$18,12,FALSE)</f>
        <v>2</v>
      </c>
      <c r="U874" s="81">
        <f>HLOOKUP(N874,データについて!$J$8:$M$18,11,FALSE)</f>
        <v>2</v>
      </c>
      <c r="V874" s="81">
        <f>HLOOKUP(O874,データについて!$J$9:$M$18,10,FALSE)</f>
        <v>1</v>
      </c>
      <c r="W874" s="81">
        <f>HLOOKUP(P874,データについて!$J$10:$M$18,9,FALSE)</f>
        <v>1</v>
      </c>
      <c r="X874" s="81">
        <f>HLOOKUP(Q874,データについて!$J$11:$M$18,8,FALSE)</f>
        <v>1</v>
      </c>
      <c r="Y874" s="81">
        <f>HLOOKUP(R874,データについて!$J$12:$M$18,7,FALSE)</f>
        <v>3</v>
      </c>
      <c r="Z874" s="81">
        <f>HLOOKUP(I874,データについて!$J$3:$M$18,16,FALSE)</f>
        <v>2</v>
      </c>
      <c r="AA874" s="81" t="str">
        <f>IFERROR(HLOOKUP(J874,データについて!$J$4:$AH$19,16,FALSE),"")</f>
        <v/>
      </c>
      <c r="AB874" s="81">
        <f>IFERROR(HLOOKUP(K874,データについて!$J$5:$AH$20,14,FALSE),"")</f>
        <v>3</v>
      </c>
      <c r="AC874" s="81">
        <f>IF(X874=1,HLOOKUP(R874,データについて!$J$12:$M$18,7,FALSE),"*")</f>
        <v>3</v>
      </c>
      <c r="AD874" s="81" t="str">
        <f>IF(X874=2,HLOOKUP(R874,データについて!$J$12:$M$18,7,FALSE),"*")</f>
        <v>*</v>
      </c>
    </row>
    <row r="875" spans="1:30">
      <c r="A875" s="30">
        <v>4317</v>
      </c>
      <c r="B875" s="30" t="s">
        <v>3239</v>
      </c>
      <c r="C875" s="30" t="s">
        <v>3240</v>
      </c>
      <c r="D875" s="30" t="s">
        <v>106</v>
      </c>
      <c r="E875" s="30"/>
      <c r="F875" s="30" t="s">
        <v>107</v>
      </c>
      <c r="G875" s="30" t="s">
        <v>106</v>
      </c>
      <c r="H875" s="30"/>
      <c r="I875" s="30" t="s">
        <v>191</v>
      </c>
      <c r="J875" s="30"/>
      <c r="K875" s="30" t="s">
        <v>3098</v>
      </c>
      <c r="L875" s="30" t="s">
        <v>108</v>
      </c>
      <c r="M875" s="30" t="s">
        <v>109</v>
      </c>
      <c r="N875" s="30" t="s">
        <v>114</v>
      </c>
      <c r="O875" s="30" t="s">
        <v>115</v>
      </c>
      <c r="P875" s="30" t="s">
        <v>118</v>
      </c>
      <c r="Q875" s="30" t="s">
        <v>112</v>
      </c>
      <c r="R875" s="30" t="s">
        <v>183</v>
      </c>
      <c r="S875" s="81">
        <f>HLOOKUP(L875,データについて!$J$6:$M$18,13,FALSE)</f>
        <v>1</v>
      </c>
      <c r="T875" s="81">
        <f>HLOOKUP(M875,データについて!$J$7:$M$18,12,FALSE)</f>
        <v>2</v>
      </c>
      <c r="U875" s="81">
        <f>HLOOKUP(N875,データについて!$J$8:$M$18,11,FALSE)</f>
        <v>1</v>
      </c>
      <c r="V875" s="81">
        <f>HLOOKUP(O875,データについて!$J$9:$M$18,10,FALSE)</f>
        <v>1</v>
      </c>
      <c r="W875" s="81">
        <f>HLOOKUP(P875,データについて!$J$10:$M$18,9,FALSE)</f>
        <v>2</v>
      </c>
      <c r="X875" s="81">
        <f>HLOOKUP(Q875,データについて!$J$11:$M$18,8,FALSE)</f>
        <v>1</v>
      </c>
      <c r="Y875" s="81">
        <f>HLOOKUP(R875,データについて!$J$12:$M$18,7,FALSE)</f>
        <v>1</v>
      </c>
      <c r="Z875" s="81">
        <f>HLOOKUP(I875,データについて!$J$3:$M$18,16,FALSE)</f>
        <v>2</v>
      </c>
      <c r="AA875" s="81" t="str">
        <f>IFERROR(HLOOKUP(J875,データについて!$J$4:$AH$19,16,FALSE),"")</f>
        <v/>
      </c>
      <c r="AB875" s="81">
        <f>IFERROR(HLOOKUP(K875,データについて!$J$5:$AH$20,14,FALSE),"")</f>
        <v>3</v>
      </c>
      <c r="AC875" s="81">
        <f>IF(X875=1,HLOOKUP(R875,データについて!$J$12:$M$18,7,FALSE),"*")</f>
        <v>1</v>
      </c>
      <c r="AD875" s="81" t="str">
        <f>IF(X875=2,HLOOKUP(R875,データについて!$J$12:$M$18,7,FALSE),"*")</f>
        <v>*</v>
      </c>
    </row>
    <row r="876" spans="1:30">
      <c r="A876" s="30">
        <v>4316</v>
      </c>
      <c r="B876" s="30" t="s">
        <v>3241</v>
      </c>
      <c r="C876" s="30" t="s">
        <v>3242</v>
      </c>
      <c r="D876" s="30" t="s">
        <v>106</v>
      </c>
      <c r="E876" s="30"/>
      <c r="F876" s="30" t="s">
        <v>107</v>
      </c>
      <c r="G876" s="30" t="s">
        <v>106</v>
      </c>
      <c r="H876" s="30"/>
      <c r="I876" s="30" t="s">
        <v>191</v>
      </c>
      <c r="J876" s="30"/>
      <c r="K876" s="30" t="s">
        <v>3098</v>
      </c>
      <c r="L876" s="30" t="s">
        <v>117</v>
      </c>
      <c r="M876" s="30" t="s">
        <v>113</v>
      </c>
      <c r="N876" s="30" t="s">
        <v>114</v>
      </c>
      <c r="O876" s="30" t="s">
        <v>115</v>
      </c>
      <c r="P876" s="30" t="s">
        <v>112</v>
      </c>
      <c r="Q876" s="30" t="s">
        <v>112</v>
      </c>
      <c r="R876" s="30" t="s">
        <v>185</v>
      </c>
      <c r="S876" s="81">
        <f>HLOOKUP(L876,データについて!$J$6:$M$18,13,FALSE)</f>
        <v>2</v>
      </c>
      <c r="T876" s="81">
        <f>HLOOKUP(M876,データについて!$J$7:$M$18,12,FALSE)</f>
        <v>1</v>
      </c>
      <c r="U876" s="81">
        <f>HLOOKUP(N876,データについて!$J$8:$M$18,11,FALSE)</f>
        <v>1</v>
      </c>
      <c r="V876" s="81">
        <f>HLOOKUP(O876,データについて!$J$9:$M$18,10,FALSE)</f>
        <v>1</v>
      </c>
      <c r="W876" s="81">
        <f>HLOOKUP(P876,データについて!$J$10:$M$18,9,FALSE)</f>
        <v>1</v>
      </c>
      <c r="X876" s="81">
        <f>HLOOKUP(Q876,データについて!$J$11:$M$18,8,FALSE)</f>
        <v>1</v>
      </c>
      <c r="Y876" s="81">
        <f>HLOOKUP(R876,データについて!$J$12:$M$18,7,FALSE)</f>
        <v>2</v>
      </c>
      <c r="Z876" s="81">
        <f>HLOOKUP(I876,データについて!$J$3:$M$18,16,FALSE)</f>
        <v>2</v>
      </c>
      <c r="AA876" s="81" t="str">
        <f>IFERROR(HLOOKUP(J876,データについて!$J$4:$AH$19,16,FALSE),"")</f>
        <v/>
      </c>
      <c r="AB876" s="81">
        <f>IFERROR(HLOOKUP(K876,データについて!$J$5:$AH$20,14,FALSE),"")</f>
        <v>3</v>
      </c>
      <c r="AC876" s="81">
        <f>IF(X876=1,HLOOKUP(R876,データについて!$J$12:$M$18,7,FALSE),"*")</f>
        <v>2</v>
      </c>
      <c r="AD876" s="81" t="str">
        <f>IF(X876=2,HLOOKUP(R876,データについて!$J$12:$M$18,7,FALSE),"*")</f>
        <v>*</v>
      </c>
    </row>
    <row r="877" spans="1:30">
      <c r="A877" s="30">
        <v>4315</v>
      </c>
      <c r="B877" s="30" t="s">
        <v>3243</v>
      </c>
      <c r="C877" s="30" t="s">
        <v>3244</v>
      </c>
      <c r="D877" s="30" t="s">
        <v>106</v>
      </c>
      <c r="E877" s="30"/>
      <c r="F877" s="30" t="s">
        <v>107</v>
      </c>
      <c r="G877" s="30" t="s">
        <v>106</v>
      </c>
      <c r="H877" s="30"/>
      <c r="I877" s="30" t="s">
        <v>191</v>
      </c>
      <c r="J877" s="30"/>
      <c r="K877" s="30" t="s">
        <v>3098</v>
      </c>
      <c r="L877" s="30" t="s">
        <v>108</v>
      </c>
      <c r="M877" s="30" t="s">
        <v>109</v>
      </c>
      <c r="N877" s="30" t="s">
        <v>110</v>
      </c>
      <c r="O877" s="30" t="s">
        <v>115</v>
      </c>
      <c r="P877" s="30" t="s">
        <v>112</v>
      </c>
      <c r="Q877" s="30" t="s">
        <v>112</v>
      </c>
      <c r="R877" s="30" t="s">
        <v>185</v>
      </c>
      <c r="S877" s="81">
        <f>HLOOKUP(L877,データについて!$J$6:$M$18,13,FALSE)</f>
        <v>1</v>
      </c>
      <c r="T877" s="81">
        <f>HLOOKUP(M877,データについて!$J$7:$M$18,12,FALSE)</f>
        <v>2</v>
      </c>
      <c r="U877" s="81">
        <f>HLOOKUP(N877,データについて!$J$8:$M$18,11,FALSE)</f>
        <v>2</v>
      </c>
      <c r="V877" s="81">
        <f>HLOOKUP(O877,データについて!$J$9:$M$18,10,FALSE)</f>
        <v>1</v>
      </c>
      <c r="W877" s="81">
        <f>HLOOKUP(P877,データについて!$J$10:$M$18,9,FALSE)</f>
        <v>1</v>
      </c>
      <c r="X877" s="81">
        <f>HLOOKUP(Q877,データについて!$J$11:$M$18,8,FALSE)</f>
        <v>1</v>
      </c>
      <c r="Y877" s="81">
        <f>HLOOKUP(R877,データについて!$J$12:$M$18,7,FALSE)</f>
        <v>2</v>
      </c>
      <c r="Z877" s="81">
        <f>HLOOKUP(I877,データについて!$J$3:$M$18,16,FALSE)</f>
        <v>2</v>
      </c>
      <c r="AA877" s="81" t="str">
        <f>IFERROR(HLOOKUP(J877,データについて!$J$4:$AH$19,16,FALSE),"")</f>
        <v/>
      </c>
      <c r="AB877" s="81">
        <f>IFERROR(HLOOKUP(K877,データについて!$J$5:$AH$20,14,FALSE),"")</f>
        <v>3</v>
      </c>
      <c r="AC877" s="81">
        <f>IF(X877=1,HLOOKUP(R877,データについて!$J$12:$M$18,7,FALSE),"*")</f>
        <v>2</v>
      </c>
      <c r="AD877" s="81" t="str">
        <f>IF(X877=2,HLOOKUP(R877,データについて!$J$12:$M$18,7,FALSE),"*")</f>
        <v>*</v>
      </c>
    </row>
    <row r="878" spans="1:30">
      <c r="A878" s="30">
        <v>4314</v>
      </c>
      <c r="B878" s="30" t="s">
        <v>3245</v>
      </c>
      <c r="C878" s="30" t="s">
        <v>3246</v>
      </c>
      <c r="D878" s="30" t="s">
        <v>106</v>
      </c>
      <c r="E878" s="30"/>
      <c r="F878" s="30" t="s">
        <v>107</v>
      </c>
      <c r="G878" s="30" t="s">
        <v>106</v>
      </c>
      <c r="H878" s="30"/>
      <c r="I878" s="30" t="s">
        <v>191</v>
      </c>
      <c r="J878" s="30"/>
      <c r="K878" s="30" t="s">
        <v>3098</v>
      </c>
      <c r="L878" s="30" t="s">
        <v>108</v>
      </c>
      <c r="M878" s="30" t="s">
        <v>113</v>
      </c>
      <c r="N878" s="30" t="s">
        <v>114</v>
      </c>
      <c r="O878" s="30" t="s">
        <v>115</v>
      </c>
      <c r="P878" s="30" t="s">
        <v>112</v>
      </c>
      <c r="Q878" s="30" t="s">
        <v>112</v>
      </c>
      <c r="R878" s="30" t="s">
        <v>185</v>
      </c>
      <c r="S878" s="81">
        <f>HLOOKUP(L878,データについて!$J$6:$M$18,13,FALSE)</f>
        <v>1</v>
      </c>
      <c r="T878" s="81">
        <f>HLOOKUP(M878,データについて!$J$7:$M$18,12,FALSE)</f>
        <v>1</v>
      </c>
      <c r="U878" s="81">
        <f>HLOOKUP(N878,データについて!$J$8:$M$18,11,FALSE)</f>
        <v>1</v>
      </c>
      <c r="V878" s="81">
        <f>HLOOKUP(O878,データについて!$J$9:$M$18,10,FALSE)</f>
        <v>1</v>
      </c>
      <c r="W878" s="81">
        <f>HLOOKUP(P878,データについて!$J$10:$M$18,9,FALSE)</f>
        <v>1</v>
      </c>
      <c r="X878" s="81">
        <f>HLOOKUP(Q878,データについて!$J$11:$M$18,8,FALSE)</f>
        <v>1</v>
      </c>
      <c r="Y878" s="81">
        <f>HLOOKUP(R878,データについて!$J$12:$M$18,7,FALSE)</f>
        <v>2</v>
      </c>
      <c r="Z878" s="81">
        <f>HLOOKUP(I878,データについて!$J$3:$M$18,16,FALSE)</f>
        <v>2</v>
      </c>
      <c r="AA878" s="81" t="str">
        <f>IFERROR(HLOOKUP(J878,データについて!$J$4:$AH$19,16,FALSE),"")</f>
        <v/>
      </c>
      <c r="AB878" s="81">
        <f>IFERROR(HLOOKUP(K878,データについて!$J$5:$AH$20,14,FALSE),"")</f>
        <v>3</v>
      </c>
      <c r="AC878" s="81">
        <f>IF(X878=1,HLOOKUP(R878,データについて!$J$12:$M$18,7,FALSE),"*")</f>
        <v>2</v>
      </c>
      <c r="AD878" s="81" t="str">
        <f>IF(X878=2,HLOOKUP(R878,データについて!$J$12:$M$18,7,FALSE),"*")</f>
        <v>*</v>
      </c>
    </row>
    <row r="879" spans="1:30">
      <c r="A879" s="30">
        <v>4313</v>
      </c>
      <c r="B879" s="30" t="s">
        <v>3247</v>
      </c>
      <c r="C879" s="30" t="s">
        <v>3246</v>
      </c>
      <c r="D879" s="30" t="s">
        <v>106</v>
      </c>
      <c r="E879" s="30"/>
      <c r="F879" s="30" t="s">
        <v>107</v>
      </c>
      <c r="G879" s="30" t="s">
        <v>106</v>
      </c>
      <c r="H879" s="30"/>
      <c r="I879" s="30" t="s">
        <v>191</v>
      </c>
      <c r="J879" s="30"/>
      <c r="K879" s="30" t="s">
        <v>3098</v>
      </c>
      <c r="L879" s="30" t="s">
        <v>117</v>
      </c>
      <c r="M879" s="30" t="s">
        <v>113</v>
      </c>
      <c r="N879" s="30" t="s">
        <v>110</v>
      </c>
      <c r="O879" s="30" t="s">
        <v>115</v>
      </c>
      <c r="P879" s="30" t="s">
        <v>112</v>
      </c>
      <c r="Q879" s="30" t="s">
        <v>112</v>
      </c>
      <c r="R879" s="30" t="s">
        <v>185</v>
      </c>
      <c r="S879" s="81">
        <f>HLOOKUP(L879,データについて!$J$6:$M$18,13,FALSE)</f>
        <v>2</v>
      </c>
      <c r="T879" s="81">
        <f>HLOOKUP(M879,データについて!$J$7:$M$18,12,FALSE)</f>
        <v>1</v>
      </c>
      <c r="U879" s="81">
        <f>HLOOKUP(N879,データについて!$J$8:$M$18,11,FALSE)</f>
        <v>2</v>
      </c>
      <c r="V879" s="81">
        <f>HLOOKUP(O879,データについて!$J$9:$M$18,10,FALSE)</f>
        <v>1</v>
      </c>
      <c r="W879" s="81">
        <f>HLOOKUP(P879,データについて!$J$10:$M$18,9,FALSE)</f>
        <v>1</v>
      </c>
      <c r="X879" s="81">
        <f>HLOOKUP(Q879,データについて!$J$11:$M$18,8,FALSE)</f>
        <v>1</v>
      </c>
      <c r="Y879" s="81">
        <f>HLOOKUP(R879,データについて!$J$12:$M$18,7,FALSE)</f>
        <v>2</v>
      </c>
      <c r="Z879" s="81">
        <f>HLOOKUP(I879,データについて!$J$3:$M$18,16,FALSE)</f>
        <v>2</v>
      </c>
      <c r="AA879" s="81" t="str">
        <f>IFERROR(HLOOKUP(J879,データについて!$J$4:$AH$19,16,FALSE),"")</f>
        <v/>
      </c>
      <c r="AB879" s="81">
        <f>IFERROR(HLOOKUP(K879,データについて!$J$5:$AH$20,14,FALSE),"")</f>
        <v>3</v>
      </c>
      <c r="AC879" s="81">
        <f>IF(X879=1,HLOOKUP(R879,データについて!$J$12:$M$18,7,FALSE),"*")</f>
        <v>2</v>
      </c>
      <c r="AD879" s="81" t="str">
        <f>IF(X879=2,HLOOKUP(R879,データについて!$J$12:$M$18,7,FALSE),"*")</f>
        <v>*</v>
      </c>
    </row>
    <row r="880" spans="1:30">
      <c r="A880" s="30">
        <v>4312</v>
      </c>
      <c r="B880" s="30" t="s">
        <v>3248</v>
      </c>
      <c r="C880" s="30" t="s">
        <v>3249</v>
      </c>
      <c r="D880" s="30" t="s">
        <v>106</v>
      </c>
      <c r="E880" s="30"/>
      <c r="F880" s="30" t="s">
        <v>107</v>
      </c>
      <c r="G880" s="30" t="s">
        <v>106</v>
      </c>
      <c r="H880" s="30"/>
      <c r="I880" s="30" t="s">
        <v>191</v>
      </c>
      <c r="J880" s="30"/>
      <c r="K880" s="30" t="s">
        <v>3098</v>
      </c>
      <c r="L880" s="30" t="s">
        <v>108</v>
      </c>
      <c r="M880" s="30" t="s">
        <v>109</v>
      </c>
      <c r="N880" s="30" t="s">
        <v>114</v>
      </c>
      <c r="O880" s="30" t="s">
        <v>115</v>
      </c>
      <c r="P880" s="30" t="s">
        <v>112</v>
      </c>
      <c r="Q880" s="30" t="s">
        <v>112</v>
      </c>
      <c r="R880" s="30" t="s">
        <v>185</v>
      </c>
      <c r="S880" s="81">
        <f>HLOOKUP(L880,データについて!$J$6:$M$18,13,FALSE)</f>
        <v>1</v>
      </c>
      <c r="T880" s="81">
        <f>HLOOKUP(M880,データについて!$J$7:$M$18,12,FALSE)</f>
        <v>2</v>
      </c>
      <c r="U880" s="81">
        <f>HLOOKUP(N880,データについて!$J$8:$M$18,11,FALSE)</f>
        <v>1</v>
      </c>
      <c r="V880" s="81">
        <f>HLOOKUP(O880,データについて!$J$9:$M$18,10,FALSE)</f>
        <v>1</v>
      </c>
      <c r="W880" s="81">
        <f>HLOOKUP(P880,データについて!$J$10:$M$18,9,FALSE)</f>
        <v>1</v>
      </c>
      <c r="X880" s="81">
        <f>HLOOKUP(Q880,データについて!$J$11:$M$18,8,FALSE)</f>
        <v>1</v>
      </c>
      <c r="Y880" s="81">
        <f>HLOOKUP(R880,データについて!$J$12:$M$18,7,FALSE)</f>
        <v>2</v>
      </c>
      <c r="Z880" s="81">
        <f>HLOOKUP(I880,データについて!$J$3:$M$18,16,FALSE)</f>
        <v>2</v>
      </c>
      <c r="AA880" s="81" t="str">
        <f>IFERROR(HLOOKUP(J880,データについて!$J$4:$AH$19,16,FALSE),"")</f>
        <v/>
      </c>
      <c r="AB880" s="81">
        <f>IFERROR(HLOOKUP(K880,データについて!$J$5:$AH$20,14,FALSE),"")</f>
        <v>3</v>
      </c>
      <c r="AC880" s="81">
        <f>IF(X880=1,HLOOKUP(R880,データについて!$J$12:$M$18,7,FALSE),"*")</f>
        <v>2</v>
      </c>
      <c r="AD880" s="81" t="str">
        <f>IF(X880=2,HLOOKUP(R880,データについて!$J$12:$M$18,7,FALSE),"*")</f>
        <v>*</v>
      </c>
    </row>
    <row r="881" spans="1:30">
      <c r="A881" s="30">
        <v>4311</v>
      </c>
      <c r="B881" s="30" t="s">
        <v>3250</v>
      </c>
      <c r="C881" s="30" t="s">
        <v>3251</v>
      </c>
      <c r="D881" s="30" t="s">
        <v>106</v>
      </c>
      <c r="E881" s="30"/>
      <c r="F881" s="30" t="s">
        <v>107</v>
      </c>
      <c r="G881" s="30" t="s">
        <v>106</v>
      </c>
      <c r="H881" s="30"/>
      <c r="I881" s="30" t="s">
        <v>191</v>
      </c>
      <c r="J881" s="30"/>
      <c r="K881" s="30" t="s">
        <v>3098</v>
      </c>
      <c r="L881" s="30" t="s">
        <v>117</v>
      </c>
      <c r="M881" s="30" t="s">
        <v>109</v>
      </c>
      <c r="N881" s="30" t="s">
        <v>110</v>
      </c>
      <c r="O881" s="30" t="s">
        <v>115</v>
      </c>
      <c r="P881" s="30" t="s">
        <v>112</v>
      </c>
      <c r="Q881" s="30" t="s">
        <v>112</v>
      </c>
      <c r="R881" s="30" t="s">
        <v>187</v>
      </c>
      <c r="S881" s="81">
        <f>HLOOKUP(L881,データについて!$J$6:$M$18,13,FALSE)</f>
        <v>2</v>
      </c>
      <c r="T881" s="81">
        <f>HLOOKUP(M881,データについて!$J$7:$M$18,12,FALSE)</f>
        <v>2</v>
      </c>
      <c r="U881" s="81">
        <f>HLOOKUP(N881,データについて!$J$8:$M$18,11,FALSE)</f>
        <v>2</v>
      </c>
      <c r="V881" s="81">
        <f>HLOOKUP(O881,データについて!$J$9:$M$18,10,FALSE)</f>
        <v>1</v>
      </c>
      <c r="W881" s="81">
        <f>HLOOKUP(P881,データについて!$J$10:$M$18,9,FALSE)</f>
        <v>1</v>
      </c>
      <c r="X881" s="81">
        <f>HLOOKUP(Q881,データについて!$J$11:$M$18,8,FALSE)</f>
        <v>1</v>
      </c>
      <c r="Y881" s="81">
        <f>HLOOKUP(R881,データについて!$J$12:$M$18,7,FALSE)</f>
        <v>3</v>
      </c>
      <c r="Z881" s="81">
        <f>HLOOKUP(I881,データについて!$J$3:$M$18,16,FALSE)</f>
        <v>2</v>
      </c>
      <c r="AA881" s="81" t="str">
        <f>IFERROR(HLOOKUP(J881,データについて!$J$4:$AH$19,16,FALSE),"")</f>
        <v/>
      </c>
      <c r="AB881" s="81">
        <f>IFERROR(HLOOKUP(K881,データについて!$J$5:$AH$20,14,FALSE),"")</f>
        <v>3</v>
      </c>
      <c r="AC881" s="81">
        <f>IF(X881=1,HLOOKUP(R881,データについて!$J$12:$M$18,7,FALSE),"*")</f>
        <v>3</v>
      </c>
      <c r="AD881" s="81" t="str">
        <f>IF(X881=2,HLOOKUP(R881,データについて!$J$12:$M$18,7,FALSE),"*")</f>
        <v>*</v>
      </c>
    </row>
    <row r="882" spans="1:30">
      <c r="A882" s="30">
        <v>4310</v>
      </c>
      <c r="B882" s="30" t="s">
        <v>3252</v>
      </c>
      <c r="C882" s="30" t="s">
        <v>3253</v>
      </c>
      <c r="D882" s="30" t="s">
        <v>106</v>
      </c>
      <c r="E882" s="30"/>
      <c r="F882" s="30" t="s">
        <v>107</v>
      </c>
      <c r="G882" s="30" t="s">
        <v>106</v>
      </c>
      <c r="H882" s="30"/>
      <c r="I882" s="30" t="s">
        <v>191</v>
      </c>
      <c r="J882" s="30"/>
      <c r="K882" s="30" t="s">
        <v>3098</v>
      </c>
      <c r="L882" s="30" t="s">
        <v>108</v>
      </c>
      <c r="M882" s="30" t="s">
        <v>113</v>
      </c>
      <c r="N882" s="30" t="s">
        <v>114</v>
      </c>
      <c r="O882" s="30" t="s">
        <v>115</v>
      </c>
      <c r="P882" s="30" t="s">
        <v>112</v>
      </c>
      <c r="Q882" s="30" t="s">
        <v>112</v>
      </c>
      <c r="R882" s="30" t="s">
        <v>187</v>
      </c>
      <c r="S882" s="81">
        <f>HLOOKUP(L882,データについて!$J$6:$M$18,13,FALSE)</f>
        <v>1</v>
      </c>
      <c r="T882" s="81">
        <f>HLOOKUP(M882,データについて!$J$7:$M$18,12,FALSE)</f>
        <v>1</v>
      </c>
      <c r="U882" s="81">
        <f>HLOOKUP(N882,データについて!$J$8:$M$18,11,FALSE)</f>
        <v>1</v>
      </c>
      <c r="V882" s="81">
        <f>HLOOKUP(O882,データについて!$J$9:$M$18,10,FALSE)</f>
        <v>1</v>
      </c>
      <c r="W882" s="81">
        <f>HLOOKUP(P882,データについて!$J$10:$M$18,9,FALSE)</f>
        <v>1</v>
      </c>
      <c r="X882" s="81">
        <f>HLOOKUP(Q882,データについて!$J$11:$M$18,8,FALSE)</f>
        <v>1</v>
      </c>
      <c r="Y882" s="81">
        <f>HLOOKUP(R882,データについて!$J$12:$M$18,7,FALSE)</f>
        <v>3</v>
      </c>
      <c r="Z882" s="81">
        <f>HLOOKUP(I882,データについて!$J$3:$M$18,16,FALSE)</f>
        <v>2</v>
      </c>
      <c r="AA882" s="81" t="str">
        <f>IFERROR(HLOOKUP(J882,データについて!$J$4:$AH$19,16,FALSE),"")</f>
        <v/>
      </c>
      <c r="AB882" s="81">
        <f>IFERROR(HLOOKUP(K882,データについて!$J$5:$AH$20,14,FALSE),"")</f>
        <v>3</v>
      </c>
      <c r="AC882" s="81">
        <f>IF(X882=1,HLOOKUP(R882,データについて!$J$12:$M$18,7,FALSE),"*")</f>
        <v>3</v>
      </c>
      <c r="AD882" s="81" t="str">
        <f>IF(X882=2,HLOOKUP(R882,データについて!$J$12:$M$18,7,FALSE),"*")</f>
        <v>*</v>
      </c>
    </row>
    <row r="883" spans="1:30">
      <c r="A883" s="30">
        <v>4309</v>
      </c>
      <c r="B883" s="30" t="s">
        <v>3254</v>
      </c>
      <c r="C883" s="30" t="s">
        <v>3255</v>
      </c>
      <c r="D883" s="30" t="s">
        <v>106</v>
      </c>
      <c r="E883" s="30"/>
      <c r="F883" s="30" t="s">
        <v>107</v>
      </c>
      <c r="G883" s="30" t="s">
        <v>106</v>
      </c>
      <c r="H883" s="30"/>
      <c r="I883" s="30" t="s">
        <v>191</v>
      </c>
      <c r="J883" s="30"/>
      <c r="K883" s="30" t="s">
        <v>3098</v>
      </c>
      <c r="L883" s="30" t="s">
        <v>108</v>
      </c>
      <c r="M883" s="30" t="s">
        <v>113</v>
      </c>
      <c r="N883" s="30" t="s">
        <v>110</v>
      </c>
      <c r="O883" s="30" t="s">
        <v>115</v>
      </c>
      <c r="P883" s="30" t="s">
        <v>118</v>
      </c>
      <c r="Q883" s="30" t="s">
        <v>112</v>
      </c>
      <c r="R883" s="30" t="s">
        <v>185</v>
      </c>
      <c r="S883" s="81">
        <f>HLOOKUP(L883,データについて!$J$6:$M$18,13,FALSE)</f>
        <v>1</v>
      </c>
      <c r="T883" s="81">
        <f>HLOOKUP(M883,データについて!$J$7:$M$18,12,FALSE)</f>
        <v>1</v>
      </c>
      <c r="U883" s="81">
        <f>HLOOKUP(N883,データについて!$J$8:$M$18,11,FALSE)</f>
        <v>2</v>
      </c>
      <c r="V883" s="81">
        <f>HLOOKUP(O883,データについて!$J$9:$M$18,10,FALSE)</f>
        <v>1</v>
      </c>
      <c r="W883" s="81">
        <f>HLOOKUP(P883,データについて!$J$10:$M$18,9,FALSE)</f>
        <v>2</v>
      </c>
      <c r="X883" s="81">
        <f>HLOOKUP(Q883,データについて!$J$11:$M$18,8,FALSE)</f>
        <v>1</v>
      </c>
      <c r="Y883" s="81">
        <f>HLOOKUP(R883,データについて!$J$12:$M$18,7,FALSE)</f>
        <v>2</v>
      </c>
      <c r="Z883" s="81">
        <f>HLOOKUP(I883,データについて!$J$3:$M$18,16,FALSE)</f>
        <v>2</v>
      </c>
      <c r="AA883" s="81" t="str">
        <f>IFERROR(HLOOKUP(J883,データについて!$J$4:$AH$19,16,FALSE),"")</f>
        <v/>
      </c>
      <c r="AB883" s="81">
        <f>IFERROR(HLOOKUP(K883,データについて!$J$5:$AH$20,14,FALSE),"")</f>
        <v>3</v>
      </c>
      <c r="AC883" s="81">
        <f>IF(X883=1,HLOOKUP(R883,データについて!$J$12:$M$18,7,FALSE),"*")</f>
        <v>2</v>
      </c>
      <c r="AD883" s="81" t="str">
        <f>IF(X883=2,HLOOKUP(R883,データについて!$J$12:$M$18,7,FALSE),"*")</f>
        <v>*</v>
      </c>
    </row>
    <row r="884" spans="1:30">
      <c r="A884" s="30">
        <v>4308</v>
      </c>
      <c r="B884" s="30" t="s">
        <v>3256</v>
      </c>
      <c r="C884" s="30" t="s">
        <v>3257</v>
      </c>
      <c r="D884" s="30" t="s">
        <v>106</v>
      </c>
      <c r="E884" s="30"/>
      <c r="F884" s="30" t="s">
        <v>107</v>
      </c>
      <c r="G884" s="30" t="s">
        <v>106</v>
      </c>
      <c r="H884" s="30"/>
      <c r="I884" s="30" t="s">
        <v>191</v>
      </c>
      <c r="J884" s="30"/>
      <c r="K884" s="30" t="s">
        <v>3098</v>
      </c>
      <c r="L884" s="30" t="s">
        <v>108</v>
      </c>
      <c r="M884" s="30" t="s">
        <v>109</v>
      </c>
      <c r="N884" s="30" t="s">
        <v>110</v>
      </c>
      <c r="O884" s="30" t="s">
        <v>115</v>
      </c>
      <c r="P884" s="30" t="s">
        <v>112</v>
      </c>
      <c r="Q884" s="30" t="s">
        <v>112</v>
      </c>
      <c r="R884" s="30" t="s">
        <v>187</v>
      </c>
      <c r="S884" s="81">
        <f>HLOOKUP(L884,データについて!$J$6:$M$18,13,FALSE)</f>
        <v>1</v>
      </c>
      <c r="T884" s="81">
        <f>HLOOKUP(M884,データについて!$J$7:$M$18,12,FALSE)</f>
        <v>2</v>
      </c>
      <c r="U884" s="81">
        <f>HLOOKUP(N884,データについて!$J$8:$M$18,11,FALSE)</f>
        <v>2</v>
      </c>
      <c r="V884" s="81">
        <f>HLOOKUP(O884,データについて!$J$9:$M$18,10,FALSE)</f>
        <v>1</v>
      </c>
      <c r="W884" s="81">
        <f>HLOOKUP(P884,データについて!$J$10:$M$18,9,FALSE)</f>
        <v>1</v>
      </c>
      <c r="X884" s="81">
        <f>HLOOKUP(Q884,データについて!$J$11:$M$18,8,FALSE)</f>
        <v>1</v>
      </c>
      <c r="Y884" s="81">
        <f>HLOOKUP(R884,データについて!$J$12:$M$18,7,FALSE)</f>
        <v>3</v>
      </c>
      <c r="Z884" s="81">
        <f>HLOOKUP(I884,データについて!$J$3:$M$18,16,FALSE)</f>
        <v>2</v>
      </c>
      <c r="AA884" s="81" t="str">
        <f>IFERROR(HLOOKUP(J884,データについて!$J$4:$AH$19,16,FALSE),"")</f>
        <v/>
      </c>
      <c r="AB884" s="81">
        <f>IFERROR(HLOOKUP(K884,データについて!$J$5:$AH$20,14,FALSE),"")</f>
        <v>3</v>
      </c>
      <c r="AC884" s="81">
        <f>IF(X884=1,HLOOKUP(R884,データについて!$J$12:$M$18,7,FALSE),"*")</f>
        <v>3</v>
      </c>
      <c r="AD884" s="81" t="str">
        <f>IF(X884=2,HLOOKUP(R884,データについて!$J$12:$M$18,7,FALSE),"*")</f>
        <v>*</v>
      </c>
    </row>
    <row r="885" spans="1:30">
      <c r="A885" s="30">
        <v>4307</v>
      </c>
      <c r="B885" s="30" t="s">
        <v>3258</v>
      </c>
      <c r="C885" s="30" t="s">
        <v>3259</v>
      </c>
      <c r="D885" s="30" t="s">
        <v>106</v>
      </c>
      <c r="E885" s="30"/>
      <c r="F885" s="30" t="s">
        <v>107</v>
      </c>
      <c r="G885" s="30" t="s">
        <v>106</v>
      </c>
      <c r="H885" s="30"/>
      <c r="I885" s="30" t="s">
        <v>191</v>
      </c>
      <c r="J885" s="30"/>
      <c r="K885" s="30" t="s">
        <v>126</v>
      </c>
      <c r="L885" s="30" t="s">
        <v>117</v>
      </c>
      <c r="M885" s="30" t="s">
        <v>124</v>
      </c>
      <c r="N885" s="30" t="s">
        <v>110</v>
      </c>
      <c r="O885" s="30" t="s">
        <v>115</v>
      </c>
      <c r="P885" s="30" t="s">
        <v>112</v>
      </c>
      <c r="Q885" s="30" t="s">
        <v>112</v>
      </c>
      <c r="R885" s="30" t="s">
        <v>183</v>
      </c>
      <c r="S885" s="81">
        <f>HLOOKUP(L885,データについて!$J$6:$M$18,13,FALSE)</f>
        <v>2</v>
      </c>
      <c r="T885" s="81">
        <f>HLOOKUP(M885,データについて!$J$7:$M$18,12,FALSE)</f>
        <v>3</v>
      </c>
      <c r="U885" s="81">
        <f>HLOOKUP(N885,データについて!$J$8:$M$18,11,FALSE)</f>
        <v>2</v>
      </c>
      <c r="V885" s="81">
        <f>HLOOKUP(O885,データについて!$J$9:$M$18,10,FALSE)</f>
        <v>1</v>
      </c>
      <c r="W885" s="81">
        <f>HLOOKUP(P885,データについて!$J$10:$M$18,9,FALSE)</f>
        <v>1</v>
      </c>
      <c r="X885" s="81">
        <f>HLOOKUP(Q885,データについて!$J$11:$M$18,8,FALSE)</f>
        <v>1</v>
      </c>
      <c r="Y885" s="81">
        <f>HLOOKUP(R885,データについて!$J$12:$M$18,7,FALSE)</f>
        <v>1</v>
      </c>
      <c r="Z885" s="81">
        <f>HLOOKUP(I885,データについて!$J$3:$M$18,16,FALSE)</f>
        <v>2</v>
      </c>
      <c r="AA885" s="81" t="str">
        <f>IFERROR(HLOOKUP(J885,データについて!$J$4:$AH$19,16,FALSE),"")</f>
        <v/>
      </c>
      <c r="AB885" s="81">
        <f>IFERROR(HLOOKUP(K885,データについて!$J$5:$AH$20,14,FALSE),"")</f>
        <v>0</v>
      </c>
      <c r="AC885" s="81">
        <f>IF(X885=1,HLOOKUP(R885,データについて!$J$12:$M$18,7,FALSE),"*")</f>
        <v>1</v>
      </c>
      <c r="AD885" s="81" t="str">
        <f>IF(X885=2,HLOOKUP(R885,データについて!$J$12:$M$18,7,FALSE),"*")</f>
        <v>*</v>
      </c>
    </row>
    <row r="886" spans="1:30">
      <c r="A886" s="30">
        <v>4306</v>
      </c>
      <c r="B886" s="30" t="s">
        <v>3260</v>
      </c>
      <c r="C886" s="30" t="s">
        <v>3261</v>
      </c>
      <c r="D886" s="30" t="s">
        <v>106</v>
      </c>
      <c r="E886" s="30"/>
      <c r="F886" s="30" t="s">
        <v>107</v>
      </c>
      <c r="G886" s="30" t="s">
        <v>106</v>
      </c>
      <c r="H886" s="30"/>
      <c r="I886" s="30" t="s">
        <v>191</v>
      </c>
      <c r="J886" s="30"/>
      <c r="K886" s="30" t="s">
        <v>3098</v>
      </c>
      <c r="L886" s="30" t="s">
        <v>117</v>
      </c>
      <c r="M886" s="30" t="s">
        <v>109</v>
      </c>
      <c r="N886" s="30" t="s">
        <v>122</v>
      </c>
      <c r="O886" s="30" t="s">
        <v>115</v>
      </c>
      <c r="P886" s="30" t="s">
        <v>112</v>
      </c>
      <c r="Q886" s="30" t="s">
        <v>112</v>
      </c>
      <c r="R886" s="30" t="s">
        <v>185</v>
      </c>
      <c r="S886" s="81">
        <f>HLOOKUP(L886,データについて!$J$6:$M$18,13,FALSE)</f>
        <v>2</v>
      </c>
      <c r="T886" s="81">
        <f>HLOOKUP(M886,データについて!$J$7:$M$18,12,FALSE)</f>
        <v>2</v>
      </c>
      <c r="U886" s="81">
        <f>HLOOKUP(N886,データについて!$J$8:$M$18,11,FALSE)</f>
        <v>3</v>
      </c>
      <c r="V886" s="81">
        <f>HLOOKUP(O886,データについて!$J$9:$M$18,10,FALSE)</f>
        <v>1</v>
      </c>
      <c r="W886" s="81">
        <f>HLOOKUP(P886,データについて!$J$10:$M$18,9,FALSE)</f>
        <v>1</v>
      </c>
      <c r="X886" s="81">
        <f>HLOOKUP(Q886,データについて!$J$11:$M$18,8,FALSE)</f>
        <v>1</v>
      </c>
      <c r="Y886" s="81">
        <f>HLOOKUP(R886,データについて!$J$12:$M$18,7,FALSE)</f>
        <v>2</v>
      </c>
      <c r="Z886" s="81">
        <f>HLOOKUP(I886,データについて!$J$3:$M$18,16,FALSE)</f>
        <v>2</v>
      </c>
      <c r="AA886" s="81" t="str">
        <f>IFERROR(HLOOKUP(J886,データについて!$J$4:$AH$19,16,FALSE),"")</f>
        <v/>
      </c>
      <c r="AB886" s="81">
        <f>IFERROR(HLOOKUP(K886,データについて!$J$5:$AH$20,14,FALSE),"")</f>
        <v>3</v>
      </c>
      <c r="AC886" s="81">
        <f>IF(X886=1,HLOOKUP(R886,データについて!$J$12:$M$18,7,FALSE),"*")</f>
        <v>2</v>
      </c>
      <c r="AD886" s="81" t="str">
        <f>IF(X886=2,HLOOKUP(R886,データについて!$J$12:$M$18,7,FALSE),"*")</f>
        <v>*</v>
      </c>
    </row>
    <row r="887" spans="1:30">
      <c r="A887" s="30">
        <v>4305</v>
      </c>
      <c r="B887" s="30" t="s">
        <v>3262</v>
      </c>
      <c r="C887" s="30" t="s">
        <v>3263</v>
      </c>
      <c r="D887" s="30" t="s">
        <v>106</v>
      </c>
      <c r="E887" s="30"/>
      <c r="F887" s="30" t="s">
        <v>107</v>
      </c>
      <c r="G887" s="30" t="s">
        <v>106</v>
      </c>
      <c r="H887" s="30"/>
      <c r="I887" s="30" t="s">
        <v>191</v>
      </c>
      <c r="J887" s="30"/>
      <c r="K887" s="30" t="s">
        <v>3098</v>
      </c>
      <c r="L887" s="30" t="s">
        <v>108</v>
      </c>
      <c r="M887" s="30" t="s">
        <v>109</v>
      </c>
      <c r="N887" s="30" t="s">
        <v>114</v>
      </c>
      <c r="O887" s="30" t="s">
        <v>115</v>
      </c>
      <c r="P887" s="30" t="s">
        <v>118</v>
      </c>
      <c r="Q887" s="30" t="s">
        <v>112</v>
      </c>
      <c r="R887" s="30" t="s">
        <v>183</v>
      </c>
      <c r="S887" s="81">
        <f>HLOOKUP(L887,データについて!$J$6:$M$18,13,FALSE)</f>
        <v>1</v>
      </c>
      <c r="T887" s="81">
        <f>HLOOKUP(M887,データについて!$J$7:$M$18,12,FALSE)</f>
        <v>2</v>
      </c>
      <c r="U887" s="81">
        <f>HLOOKUP(N887,データについて!$J$8:$M$18,11,FALSE)</f>
        <v>1</v>
      </c>
      <c r="V887" s="81">
        <f>HLOOKUP(O887,データについて!$J$9:$M$18,10,FALSE)</f>
        <v>1</v>
      </c>
      <c r="W887" s="81">
        <f>HLOOKUP(P887,データについて!$J$10:$M$18,9,FALSE)</f>
        <v>2</v>
      </c>
      <c r="X887" s="81">
        <f>HLOOKUP(Q887,データについて!$J$11:$M$18,8,FALSE)</f>
        <v>1</v>
      </c>
      <c r="Y887" s="81">
        <f>HLOOKUP(R887,データについて!$J$12:$M$18,7,FALSE)</f>
        <v>1</v>
      </c>
      <c r="Z887" s="81">
        <f>HLOOKUP(I887,データについて!$J$3:$M$18,16,FALSE)</f>
        <v>2</v>
      </c>
      <c r="AA887" s="81" t="str">
        <f>IFERROR(HLOOKUP(J887,データについて!$J$4:$AH$19,16,FALSE),"")</f>
        <v/>
      </c>
      <c r="AB887" s="81">
        <f>IFERROR(HLOOKUP(K887,データについて!$J$5:$AH$20,14,FALSE),"")</f>
        <v>3</v>
      </c>
      <c r="AC887" s="81">
        <f>IF(X887=1,HLOOKUP(R887,データについて!$J$12:$M$18,7,FALSE),"*")</f>
        <v>1</v>
      </c>
      <c r="AD887" s="81" t="str">
        <f>IF(X887=2,HLOOKUP(R887,データについて!$J$12:$M$18,7,FALSE),"*")</f>
        <v>*</v>
      </c>
    </row>
    <row r="888" spans="1:30">
      <c r="A888" s="30">
        <v>4304</v>
      </c>
      <c r="B888" s="30" t="s">
        <v>3264</v>
      </c>
      <c r="C888" s="30" t="s">
        <v>3265</v>
      </c>
      <c r="D888" s="30" t="s">
        <v>106</v>
      </c>
      <c r="E888" s="30"/>
      <c r="F888" s="30" t="s">
        <v>107</v>
      </c>
      <c r="G888" s="30" t="s">
        <v>106</v>
      </c>
      <c r="H888" s="30"/>
      <c r="I888" s="30" t="s">
        <v>191</v>
      </c>
      <c r="J888" s="30"/>
      <c r="K888" s="30" t="s">
        <v>3098</v>
      </c>
      <c r="L888" s="30" t="s">
        <v>108</v>
      </c>
      <c r="M888" s="30" t="s">
        <v>113</v>
      </c>
      <c r="N888" s="30" t="s">
        <v>110</v>
      </c>
      <c r="O888" s="30" t="s">
        <v>115</v>
      </c>
      <c r="P888" s="30" t="s">
        <v>112</v>
      </c>
      <c r="Q888" s="30" t="s">
        <v>118</v>
      </c>
      <c r="R888" s="30" t="s">
        <v>187</v>
      </c>
      <c r="S888" s="81">
        <f>HLOOKUP(L888,データについて!$J$6:$M$18,13,FALSE)</f>
        <v>1</v>
      </c>
      <c r="T888" s="81">
        <f>HLOOKUP(M888,データについて!$J$7:$M$18,12,FALSE)</f>
        <v>1</v>
      </c>
      <c r="U888" s="81">
        <f>HLOOKUP(N888,データについて!$J$8:$M$18,11,FALSE)</f>
        <v>2</v>
      </c>
      <c r="V888" s="81">
        <f>HLOOKUP(O888,データについて!$J$9:$M$18,10,FALSE)</f>
        <v>1</v>
      </c>
      <c r="W888" s="81">
        <f>HLOOKUP(P888,データについて!$J$10:$M$18,9,FALSE)</f>
        <v>1</v>
      </c>
      <c r="X888" s="81">
        <f>HLOOKUP(Q888,データについて!$J$11:$M$18,8,FALSE)</f>
        <v>2</v>
      </c>
      <c r="Y888" s="81">
        <f>HLOOKUP(R888,データについて!$J$12:$M$18,7,FALSE)</f>
        <v>3</v>
      </c>
      <c r="Z888" s="81">
        <f>HLOOKUP(I888,データについて!$J$3:$M$18,16,FALSE)</f>
        <v>2</v>
      </c>
      <c r="AA888" s="81" t="str">
        <f>IFERROR(HLOOKUP(J888,データについて!$J$4:$AH$19,16,FALSE),"")</f>
        <v/>
      </c>
      <c r="AB888" s="81">
        <f>IFERROR(HLOOKUP(K888,データについて!$J$5:$AH$20,14,FALSE),"")</f>
        <v>3</v>
      </c>
      <c r="AC888" s="81" t="str">
        <f>IF(X888=1,HLOOKUP(R888,データについて!$J$12:$M$18,7,FALSE),"*")</f>
        <v>*</v>
      </c>
      <c r="AD888" s="81">
        <f>IF(X888=2,HLOOKUP(R888,データについて!$J$12:$M$18,7,FALSE),"*")</f>
        <v>3</v>
      </c>
    </row>
    <row r="889" spans="1:30">
      <c r="A889" s="30">
        <v>4303</v>
      </c>
      <c r="B889" s="30" t="s">
        <v>3266</v>
      </c>
      <c r="C889" s="30" t="s">
        <v>3267</v>
      </c>
      <c r="D889" s="30" t="s">
        <v>106</v>
      </c>
      <c r="E889" s="30"/>
      <c r="F889" s="30" t="s">
        <v>107</v>
      </c>
      <c r="G889" s="30" t="s">
        <v>106</v>
      </c>
      <c r="H889" s="30"/>
      <c r="I889" s="30" t="s">
        <v>191</v>
      </c>
      <c r="J889" s="30"/>
      <c r="K889" s="30" t="s">
        <v>3098</v>
      </c>
      <c r="L889" s="30" t="s">
        <v>117</v>
      </c>
      <c r="M889" s="30" t="s">
        <v>124</v>
      </c>
      <c r="N889" s="30" t="s">
        <v>110</v>
      </c>
      <c r="O889" s="30" t="s">
        <v>115</v>
      </c>
      <c r="P889" s="30" t="s">
        <v>118</v>
      </c>
      <c r="Q889" s="30" t="s">
        <v>112</v>
      </c>
      <c r="R889" s="30" t="s">
        <v>189</v>
      </c>
      <c r="S889" s="81">
        <f>HLOOKUP(L889,データについて!$J$6:$M$18,13,FALSE)</f>
        <v>2</v>
      </c>
      <c r="T889" s="81">
        <f>HLOOKUP(M889,データについて!$J$7:$M$18,12,FALSE)</f>
        <v>3</v>
      </c>
      <c r="U889" s="81">
        <f>HLOOKUP(N889,データについて!$J$8:$M$18,11,FALSE)</f>
        <v>2</v>
      </c>
      <c r="V889" s="81">
        <f>HLOOKUP(O889,データについて!$J$9:$M$18,10,FALSE)</f>
        <v>1</v>
      </c>
      <c r="W889" s="81">
        <f>HLOOKUP(P889,データについて!$J$10:$M$18,9,FALSE)</f>
        <v>2</v>
      </c>
      <c r="X889" s="81">
        <f>HLOOKUP(Q889,データについて!$J$11:$M$18,8,FALSE)</f>
        <v>1</v>
      </c>
      <c r="Y889" s="81">
        <f>HLOOKUP(R889,データについて!$J$12:$M$18,7,FALSE)</f>
        <v>4</v>
      </c>
      <c r="Z889" s="81">
        <f>HLOOKUP(I889,データについて!$J$3:$M$18,16,FALSE)</f>
        <v>2</v>
      </c>
      <c r="AA889" s="81" t="str">
        <f>IFERROR(HLOOKUP(J889,データについて!$J$4:$AH$19,16,FALSE),"")</f>
        <v/>
      </c>
      <c r="AB889" s="81">
        <f>IFERROR(HLOOKUP(K889,データについて!$J$5:$AH$20,14,FALSE),"")</f>
        <v>3</v>
      </c>
      <c r="AC889" s="81">
        <f>IF(X889=1,HLOOKUP(R889,データについて!$J$12:$M$18,7,FALSE),"*")</f>
        <v>4</v>
      </c>
      <c r="AD889" s="81" t="str">
        <f>IF(X889=2,HLOOKUP(R889,データについて!$J$12:$M$18,7,FALSE),"*")</f>
        <v>*</v>
      </c>
    </row>
    <row r="890" spans="1:30">
      <c r="A890" s="30">
        <v>4302</v>
      </c>
      <c r="B890" s="30" t="s">
        <v>3268</v>
      </c>
      <c r="C890" s="30" t="s">
        <v>3269</v>
      </c>
      <c r="D890" s="30" t="s">
        <v>106</v>
      </c>
      <c r="E890" s="30"/>
      <c r="F890" s="30" t="s">
        <v>107</v>
      </c>
      <c r="G890" s="30" t="s">
        <v>106</v>
      </c>
      <c r="H890" s="30"/>
      <c r="I890" s="30" t="s">
        <v>191</v>
      </c>
      <c r="J890" s="30"/>
      <c r="K890" s="30" t="s">
        <v>3098</v>
      </c>
      <c r="L890" s="30" t="s">
        <v>117</v>
      </c>
      <c r="M890" s="30" t="s">
        <v>113</v>
      </c>
      <c r="N890" s="30" t="s">
        <v>110</v>
      </c>
      <c r="O890" s="30" t="s">
        <v>115</v>
      </c>
      <c r="P890" s="30" t="s">
        <v>112</v>
      </c>
      <c r="Q890" s="30" t="s">
        <v>112</v>
      </c>
      <c r="R890" s="30" t="s">
        <v>187</v>
      </c>
      <c r="S890" s="81">
        <f>HLOOKUP(L890,データについて!$J$6:$M$18,13,FALSE)</f>
        <v>2</v>
      </c>
      <c r="T890" s="81">
        <f>HLOOKUP(M890,データについて!$J$7:$M$18,12,FALSE)</f>
        <v>1</v>
      </c>
      <c r="U890" s="81">
        <f>HLOOKUP(N890,データについて!$J$8:$M$18,11,FALSE)</f>
        <v>2</v>
      </c>
      <c r="V890" s="81">
        <f>HLOOKUP(O890,データについて!$J$9:$M$18,10,FALSE)</f>
        <v>1</v>
      </c>
      <c r="W890" s="81">
        <f>HLOOKUP(P890,データについて!$J$10:$M$18,9,FALSE)</f>
        <v>1</v>
      </c>
      <c r="X890" s="81">
        <f>HLOOKUP(Q890,データについて!$J$11:$M$18,8,FALSE)</f>
        <v>1</v>
      </c>
      <c r="Y890" s="81">
        <f>HLOOKUP(R890,データについて!$J$12:$M$18,7,FALSE)</f>
        <v>3</v>
      </c>
      <c r="Z890" s="81">
        <f>HLOOKUP(I890,データについて!$J$3:$M$18,16,FALSE)</f>
        <v>2</v>
      </c>
      <c r="AA890" s="81" t="str">
        <f>IFERROR(HLOOKUP(J890,データについて!$J$4:$AH$19,16,FALSE),"")</f>
        <v/>
      </c>
      <c r="AB890" s="81">
        <f>IFERROR(HLOOKUP(K890,データについて!$J$5:$AH$20,14,FALSE),"")</f>
        <v>3</v>
      </c>
      <c r="AC890" s="81">
        <f>IF(X890=1,HLOOKUP(R890,データについて!$J$12:$M$18,7,FALSE),"*")</f>
        <v>3</v>
      </c>
      <c r="AD890" s="81" t="str">
        <f>IF(X890=2,HLOOKUP(R890,データについて!$J$12:$M$18,7,FALSE),"*")</f>
        <v>*</v>
      </c>
    </row>
    <row r="891" spans="1:30">
      <c r="A891" s="30">
        <v>4301</v>
      </c>
      <c r="B891" s="30" t="s">
        <v>3270</v>
      </c>
      <c r="C891" s="30" t="s">
        <v>3271</v>
      </c>
      <c r="D891" s="30" t="s">
        <v>106</v>
      </c>
      <c r="E891" s="30"/>
      <c r="F891" s="30" t="s">
        <v>107</v>
      </c>
      <c r="G891" s="30" t="s">
        <v>106</v>
      </c>
      <c r="H891" s="30"/>
      <c r="I891" s="30" t="s">
        <v>191</v>
      </c>
      <c r="J891" s="30"/>
      <c r="K891" s="30" t="s">
        <v>3098</v>
      </c>
      <c r="L891" s="30" t="s">
        <v>117</v>
      </c>
      <c r="M891" s="30" t="s">
        <v>113</v>
      </c>
      <c r="N891" s="30" t="s">
        <v>122</v>
      </c>
      <c r="O891" s="30" t="s">
        <v>116</v>
      </c>
      <c r="P891" s="30" t="s">
        <v>118</v>
      </c>
      <c r="Q891" s="30" t="s">
        <v>118</v>
      </c>
      <c r="R891" s="30" t="s">
        <v>189</v>
      </c>
      <c r="S891" s="81">
        <f>HLOOKUP(L891,データについて!$J$6:$M$18,13,FALSE)</f>
        <v>2</v>
      </c>
      <c r="T891" s="81">
        <f>HLOOKUP(M891,データについて!$J$7:$M$18,12,FALSE)</f>
        <v>1</v>
      </c>
      <c r="U891" s="81">
        <f>HLOOKUP(N891,データについて!$J$8:$M$18,11,FALSE)</f>
        <v>3</v>
      </c>
      <c r="V891" s="81">
        <f>HLOOKUP(O891,データについて!$J$9:$M$18,10,FALSE)</f>
        <v>2</v>
      </c>
      <c r="W891" s="81">
        <f>HLOOKUP(P891,データについて!$J$10:$M$18,9,FALSE)</f>
        <v>2</v>
      </c>
      <c r="X891" s="81">
        <f>HLOOKUP(Q891,データについて!$J$11:$M$18,8,FALSE)</f>
        <v>2</v>
      </c>
      <c r="Y891" s="81">
        <f>HLOOKUP(R891,データについて!$J$12:$M$18,7,FALSE)</f>
        <v>4</v>
      </c>
      <c r="Z891" s="81">
        <f>HLOOKUP(I891,データについて!$J$3:$M$18,16,FALSE)</f>
        <v>2</v>
      </c>
      <c r="AA891" s="81" t="str">
        <f>IFERROR(HLOOKUP(J891,データについて!$J$4:$AH$19,16,FALSE),"")</f>
        <v/>
      </c>
      <c r="AB891" s="81">
        <f>IFERROR(HLOOKUP(K891,データについて!$J$5:$AH$20,14,FALSE),"")</f>
        <v>3</v>
      </c>
      <c r="AC891" s="81" t="str">
        <f>IF(X891=1,HLOOKUP(R891,データについて!$J$12:$M$18,7,FALSE),"*")</f>
        <v>*</v>
      </c>
      <c r="AD891" s="81">
        <f>IF(X891=2,HLOOKUP(R891,データについて!$J$12:$M$18,7,FALSE),"*")</f>
        <v>4</v>
      </c>
    </row>
    <row r="892" spans="1:30">
      <c r="A892" s="30">
        <v>4300</v>
      </c>
      <c r="B892" s="30" t="s">
        <v>3272</v>
      </c>
      <c r="C892" s="30" t="s">
        <v>3271</v>
      </c>
      <c r="D892" s="30" t="s">
        <v>106</v>
      </c>
      <c r="E892" s="30"/>
      <c r="F892" s="30" t="s">
        <v>107</v>
      </c>
      <c r="G892" s="30" t="s">
        <v>106</v>
      </c>
      <c r="H892" s="30"/>
      <c r="I892" s="30" t="s">
        <v>191</v>
      </c>
      <c r="J892" s="30"/>
      <c r="K892" s="30" t="s">
        <v>3098</v>
      </c>
      <c r="L892" s="30" t="s">
        <v>108</v>
      </c>
      <c r="M892" s="30" t="s">
        <v>113</v>
      </c>
      <c r="N892" s="30" t="s">
        <v>110</v>
      </c>
      <c r="O892" s="30" t="s">
        <v>115</v>
      </c>
      <c r="P892" s="30" t="s">
        <v>112</v>
      </c>
      <c r="Q892" s="30" t="s">
        <v>112</v>
      </c>
      <c r="R892" s="30" t="s">
        <v>185</v>
      </c>
      <c r="S892" s="81">
        <f>HLOOKUP(L892,データについて!$J$6:$M$18,13,FALSE)</f>
        <v>1</v>
      </c>
      <c r="T892" s="81">
        <f>HLOOKUP(M892,データについて!$J$7:$M$18,12,FALSE)</f>
        <v>1</v>
      </c>
      <c r="U892" s="81">
        <f>HLOOKUP(N892,データについて!$J$8:$M$18,11,FALSE)</f>
        <v>2</v>
      </c>
      <c r="V892" s="81">
        <f>HLOOKUP(O892,データについて!$J$9:$M$18,10,FALSE)</f>
        <v>1</v>
      </c>
      <c r="W892" s="81">
        <f>HLOOKUP(P892,データについて!$J$10:$M$18,9,FALSE)</f>
        <v>1</v>
      </c>
      <c r="X892" s="81">
        <f>HLOOKUP(Q892,データについて!$J$11:$M$18,8,FALSE)</f>
        <v>1</v>
      </c>
      <c r="Y892" s="81">
        <f>HLOOKUP(R892,データについて!$J$12:$M$18,7,FALSE)</f>
        <v>2</v>
      </c>
      <c r="Z892" s="81">
        <f>HLOOKUP(I892,データについて!$J$3:$M$18,16,FALSE)</f>
        <v>2</v>
      </c>
      <c r="AA892" s="81" t="str">
        <f>IFERROR(HLOOKUP(J892,データについて!$J$4:$AH$19,16,FALSE),"")</f>
        <v/>
      </c>
      <c r="AB892" s="81">
        <f>IFERROR(HLOOKUP(K892,データについて!$J$5:$AH$20,14,FALSE),"")</f>
        <v>3</v>
      </c>
      <c r="AC892" s="81">
        <f>IF(X892=1,HLOOKUP(R892,データについて!$J$12:$M$18,7,FALSE),"*")</f>
        <v>2</v>
      </c>
      <c r="AD892" s="81" t="str">
        <f>IF(X892=2,HLOOKUP(R892,データについて!$J$12:$M$18,7,FALSE),"*")</f>
        <v>*</v>
      </c>
    </row>
    <row r="893" spans="1:30">
      <c r="A893" s="30">
        <v>4299</v>
      </c>
      <c r="B893" s="30" t="s">
        <v>3273</v>
      </c>
      <c r="C893" s="30" t="s">
        <v>3271</v>
      </c>
      <c r="D893" s="30" t="s">
        <v>106</v>
      </c>
      <c r="E893" s="30"/>
      <c r="F893" s="30" t="s">
        <v>107</v>
      </c>
      <c r="G893" s="30" t="s">
        <v>106</v>
      </c>
      <c r="H893" s="30"/>
      <c r="I893" s="30" t="s">
        <v>191</v>
      </c>
      <c r="J893" s="30"/>
      <c r="K893" s="30" t="s">
        <v>3098</v>
      </c>
      <c r="L893" s="30" t="s">
        <v>108</v>
      </c>
      <c r="M893" s="30" t="s">
        <v>113</v>
      </c>
      <c r="N893" s="30" t="s">
        <v>110</v>
      </c>
      <c r="O893" s="30" t="s">
        <v>115</v>
      </c>
      <c r="P893" s="30" t="s">
        <v>112</v>
      </c>
      <c r="Q893" s="30" t="s">
        <v>112</v>
      </c>
      <c r="R893" s="30" t="s">
        <v>185</v>
      </c>
      <c r="S893" s="81">
        <f>HLOOKUP(L893,データについて!$J$6:$M$18,13,FALSE)</f>
        <v>1</v>
      </c>
      <c r="T893" s="81">
        <f>HLOOKUP(M893,データについて!$J$7:$M$18,12,FALSE)</f>
        <v>1</v>
      </c>
      <c r="U893" s="81">
        <f>HLOOKUP(N893,データについて!$J$8:$M$18,11,FALSE)</f>
        <v>2</v>
      </c>
      <c r="V893" s="81">
        <f>HLOOKUP(O893,データについて!$J$9:$M$18,10,FALSE)</f>
        <v>1</v>
      </c>
      <c r="W893" s="81">
        <f>HLOOKUP(P893,データについて!$J$10:$M$18,9,FALSE)</f>
        <v>1</v>
      </c>
      <c r="X893" s="81">
        <f>HLOOKUP(Q893,データについて!$J$11:$M$18,8,FALSE)</f>
        <v>1</v>
      </c>
      <c r="Y893" s="81">
        <f>HLOOKUP(R893,データについて!$J$12:$M$18,7,FALSE)</f>
        <v>2</v>
      </c>
      <c r="Z893" s="81">
        <f>HLOOKUP(I893,データについて!$J$3:$M$18,16,FALSE)</f>
        <v>2</v>
      </c>
      <c r="AA893" s="81" t="str">
        <f>IFERROR(HLOOKUP(J893,データについて!$J$4:$AH$19,16,FALSE),"")</f>
        <v/>
      </c>
      <c r="AB893" s="81">
        <f>IFERROR(HLOOKUP(K893,データについて!$J$5:$AH$20,14,FALSE),"")</f>
        <v>3</v>
      </c>
      <c r="AC893" s="81">
        <f>IF(X893=1,HLOOKUP(R893,データについて!$J$12:$M$18,7,FALSE),"*")</f>
        <v>2</v>
      </c>
      <c r="AD893" s="81" t="str">
        <f>IF(X893=2,HLOOKUP(R893,データについて!$J$12:$M$18,7,FALSE),"*")</f>
        <v>*</v>
      </c>
    </row>
    <row r="894" spans="1:30">
      <c r="A894" s="30">
        <v>4298</v>
      </c>
      <c r="B894" s="30" t="s">
        <v>3274</v>
      </c>
      <c r="C894" s="30" t="s">
        <v>3275</v>
      </c>
      <c r="D894" s="30" t="s">
        <v>106</v>
      </c>
      <c r="E894" s="30"/>
      <c r="F894" s="30" t="s">
        <v>107</v>
      </c>
      <c r="G894" s="30" t="s">
        <v>106</v>
      </c>
      <c r="H894" s="30"/>
      <c r="I894" s="30" t="s">
        <v>191</v>
      </c>
      <c r="J894" s="30"/>
      <c r="K894" s="30" t="s">
        <v>3098</v>
      </c>
      <c r="L894" s="30" t="s">
        <v>117</v>
      </c>
      <c r="M894" s="30" t="s">
        <v>113</v>
      </c>
      <c r="N894" s="30" t="s">
        <v>114</v>
      </c>
      <c r="O894" s="30" t="s">
        <v>115</v>
      </c>
      <c r="P894" s="30" t="s">
        <v>112</v>
      </c>
      <c r="Q894" s="30" t="s">
        <v>112</v>
      </c>
      <c r="R894" s="30" t="s">
        <v>189</v>
      </c>
      <c r="S894" s="81">
        <f>HLOOKUP(L894,データについて!$J$6:$M$18,13,FALSE)</f>
        <v>2</v>
      </c>
      <c r="T894" s="81">
        <f>HLOOKUP(M894,データについて!$J$7:$M$18,12,FALSE)</f>
        <v>1</v>
      </c>
      <c r="U894" s="81">
        <f>HLOOKUP(N894,データについて!$J$8:$M$18,11,FALSE)</f>
        <v>1</v>
      </c>
      <c r="V894" s="81">
        <f>HLOOKUP(O894,データについて!$J$9:$M$18,10,FALSE)</f>
        <v>1</v>
      </c>
      <c r="W894" s="81">
        <f>HLOOKUP(P894,データについて!$J$10:$M$18,9,FALSE)</f>
        <v>1</v>
      </c>
      <c r="X894" s="81">
        <f>HLOOKUP(Q894,データについて!$J$11:$M$18,8,FALSE)</f>
        <v>1</v>
      </c>
      <c r="Y894" s="81">
        <f>HLOOKUP(R894,データについて!$J$12:$M$18,7,FALSE)</f>
        <v>4</v>
      </c>
      <c r="Z894" s="81">
        <f>HLOOKUP(I894,データについて!$J$3:$M$18,16,FALSE)</f>
        <v>2</v>
      </c>
      <c r="AA894" s="81" t="str">
        <f>IFERROR(HLOOKUP(J894,データについて!$J$4:$AH$19,16,FALSE),"")</f>
        <v/>
      </c>
      <c r="AB894" s="81">
        <f>IFERROR(HLOOKUP(K894,データについて!$J$5:$AH$20,14,FALSE),"")</f>
        <v>3</v>
      </c>
      <c r="AC894" s="81">
        <f>IF(X894=1,HLOOKUP(R894,データについて!$J$12:$M$18,7,FALSE),"*")</f>
        <v>4</v>
      </c>
      <c r="AD894" s="81" t="str">
        <f>IF(X894=2,HLOOKUP(R894,データについて!$J$12:$M$18,7,FALSE),"*")</f>
        <v>*</v>
      </c>
    </row>
    <row r="895" spans="1:30">
      <c r="A895" s="30">
        <v>4297</v>
      </c>
      <c r="B895" s="30" t="s">
        <v>3276</v>
      </c>
      <c r="C895" s="30" t="s">
        <v>3277</v>
      </c>
      <c r="D895" s="30" t="s">
        <v>106</v>
      </c>
      <c r="E895" s="30"/>
      <c r="F895" s="30" t="s">
        <v>107</v>
      </c>
      <c r="G895" s="30" t="s">
        <v>106</v>
      </c>
      <c r="H895" s="30"/>
      <c r="I895" s="30" t="s">
        <v>191</v>
      </c>
      <c r="J895" s="30"/>
      <c r="K895" s="30" t="s">
        <v>3098</v>
      </c>
      <c r="L895" s="30" t="s">
        <v>108</v>
      </c>
      <c r="M895" s="30" t="s">
        <v>113</v>
      </c>
      <c r="N895" s="30" t="s">
        <v>114</v>
      </c>
      <c r="O895" s="30" t="s">
        <v>115</v>
      </c>
      <c r="P895" s="30" t="s">
        <v>112</v>
      </c>
      <c r="Q895" s="30" t="s">
        <v>112</v>
      </c>
      <c r="R895" s="30" t="s">
        <v>183</v>
      </c>
      <c r="S895" s="81">
        <f>HLOOKUP(L895,データについて!$J$6:$M$18,13,FALSE)</f>
        <v>1</v>
      </c>
      <c r="T895" s="81">
        <f>HLOOKUP(M895,データについて!$J$7:$M$18,12,FALSE)</f>
        <v>1</v>
      </c>
      <c r="U895" s="81">
        <f>HLOOKUP(N895,データについて!$J$8:$M$18,11,FALSE)</f>
        <v>1</v>
      </c>
      <c r="V895" s="81">
        <f>HLOOKUP(O895,データについて!$J$9:$M$18,10,FALSE)</f>
        <v>1</v>
      </c>
      <c r="W895" s="81">
        <f>HLOOKUP(P895,データについて!$J$10:$M$18,9,FALSE)</f>
        <v>1</v>
      </c>
      <c r="X895" s="81">
        <f>HLOOKUP(Q895,データについて!$J$11:$M$18,8,FALSE)</f>
        <v>1</v>
      </c>
      <c r="Y895" s="81">
        <f>HLOOKUP(R895,データについて!$J$12:$M$18,7,FALSE)</f>
        <v>1</v>
      </c>
      <c r="Z895" s="81">
        <f>HLOOKUP(I895,データについて!$J$3:$M$18,16,FALSE)</f>
        <v>2</v>
      </c>
      <c r="AA895" s="81" t="str">
        <f>IFERROR(HLOOKUP(J895,データについて!$J$4:$AH$19,16,FALSE),"")</f>
        <v/>
      </c>
      <c r="AB895" s="81">
        <f>IFERROR(HLOOKUP(K895,データについて!$J$5:$AH$20,14,FALSE),"")</f>
        <v>3</v>
      </c>
      <c r="AC895" s="81">
        <f>IF(X895=1,HLOOKUP(R895,データについて!$J$12:$M$18,7,FALSE),"*")</f>
        <v>1</v>
      </c>
      <c r="AD895" s="81" t="str">
        <f>IF(X895=2,HLOOKUP(R895,データについて!$J$12:$M$18,7,FALSE),"*")</f>
        <v>*</v>
      </c>
    </row>
    <row r="896" spans="1:30">
      <c r="A896" s="30">
        <v>4296</v>
      </c>
      <c r="B896" s="30" t="s">
        <v>3278</v>
      </c>
      <c r="C896" s="30" t="s">
        <v>3279</v>
      </c>
      <c r="D896" s="30" t="s">
        <v>106</v>
      </c>
      <c r="E896" s="30"/>
      <c r="F896" s="30" t="s">
        <v>107</v>
      </c>
      <c r="G896" s="30" t="s">
        <v>106</v>
      </c>
      <c r="H896" s="30"/>
      <c r="I896" s="30" t="s">
        <v>191</v>
      </c>
      <c r="J896" s="30"/>
      <c r="K896" s="30" t="s">
        <v>3098</v>
      </c>
      <c r="L896" s="30" t="s">
        <v>108</v>
      </c>
      <c r="M896" s="30" t="s">
        <v>113</v>
      </c>
      <c r="N896" s="30" t="s">
        <v>110</v>
      </c>
      <c r="O896" s="30" t="s">
        <v>115</v>
      </c>
      <c r="P896" s="30" t="s">
        <v>112</v>
      </c>
      <c r="Q896" s="30" t="s">
        <v>112</v>
      </c>
      <c r="R896" s="30" t="s">
        <v>185</v>
      </c>
      <c r="S896" s="81">
        <f>HLOOKUP(L896,データについて!$J$6:$M$18,13,FALSE)</f>
        <v>1</v>
      </c>
      <c r="T896" s="81">
        <f>HLOOKUP(M896,データについて!$J$7:$M$18,12,FALSE)</f>
        <v>1</v>
      </c>
      <c r="U896" s="81">
        <f>HLOOKUP(N896,データについて!$J$8:$M$18,11,FALSE)</f>
        <v>2</v>
      </c>
      <c r="V896" s="81">
        <f>HLOOKUP(O896,データについて!$J$9:$M$18,10,FALSE)</f>
        <v>1</v>
      </c>
      <c r="W896" s="81">
        <f>HLOOKUP(P896,データについて!$J$10:$M$18,9,FALSE)</f>
        <v>1</v>
      </c>
      <c r="X896" s="81">
        <f>HLOOKUP(Q896,データについて!$J$11:$M$18,8,FALSE)</f>
        <v>1</v>
      </c>
      <c r="Y896" s="81">
        <f>HLOOKUP(R896,データについて!$J$12:$M$18,7,FALSE)</f>
        <v>2</v>
      </c>
      <c r="Z896" s="81">
        <f>HLOOKUP(I896,データについて!$J$3:$M$18,16,FALSE)</f>
        <v>2</v>
      </c>
      <c r="AA896" s="81" t="str">
        <f>IFERROR(HLOOKUP(J896,データについて!$J$4:$AH$19,16,FALSE),"")</f>
        <v/>
      </c>
      <c r="AB896" s="81">
        <f>IFERROR(HLOOKUP(K896,データについて!$J$5:$AH$20,14,FALSE),"")</f>
        <v>3</v>
      </c>
      <c r="AC896" s="81">
        <f>IF(X896=1,HLOOKUP(R896,データについて!$J$12:$M$18,7,FALSE),"*")</f>
        <v>2</v>
      </c>
      <c r="AD896" s="81" t="str">
        <f>IF(X896=2,HLOOKUP(R896,データについて!$J$12:$M$18,7,FALSE),"*")</f>
        <v>*</v>
      </c>
    </row>
    <row r="897" spans="1:30">
      <c r="A897" s="30">
        <v>4295</v>
      </c>
      <c r="B897" s="30" t="s">
        <v>3280</v>
      </c>
      <c r="C897" s="30" t="s">
        <v>3279</v>
      </c>
      <c r="D897" s="30" t="s">
        <v>106</v>
      </c>
      <c r="E897" s="30"/>
      <c r="F897" s="30" t="s">
        <v>107</v>
      </c>
      <c r="G897" s="30" t="s">
        <v>106</v>
      </c>
      <c r="H897" s="30"/>
      <c r="I897" s="30" t="s">
        <v>191</v>
      </c>
      <c r="J897" s="30"/>
      <c r="K897" s="30" t="s">
        <v>3098</v>
      </c>
      <c r="L897" s="30" t="s">
        <v>117</v>
      </c>
      <c r="M897" s="30" t="s">
        <v>109</v>
      </c>
      <c r="N897" s="30" t="s">
        <v>119</v>
      </c>
      <c r="O897" s="30" t="s">
        <v>115</v>
      </c>
      <c r="P897" s="30" t="s">
        <v>112</v>
      </c>
      <c r="Q897" s="30" t="s">
        <v>112</v>
      </c>
      <c r="R897" s="30" t="s">
        <v>185</v>
      </c>
      <c r="S897" s="81">
        <f>HLOOKUP(L897,データについて!$J$6:$M$18,13,FALSE)</f>
        <v>2</v>
      </c>
      <c r="T897" s="81">
        <f>HLOOKUP(M897,データについて!$J$7:$M$18,12,FALSE)</f>
        <v>2</v>
      </c>
      <c r="U897" s="81">
        <f>HLOOKUP(N897,データについて!$J$8:$M$18,11,FALSE)</f>
        <v>4</v>
      </c>
      <c r="V897" s="81">
        <f>HLOOKUP(O897,データについて!$J$9:$M$18,10,FALSE)</f>
        <v>1</v>
      </c>
      <c r="W897" s="81">
        <f>HLOOKUP(P897,データについて!$J$10:$M$18,9,FALSE)</f>
        <v>1</v>
      </c>
      <c r="X897" s="81">
        <f>HLOOKUP(Q897,データについて!$J$11:$M$18,8,FALSE)</f>
        <v>1</v>
      </c>
      <c r="Y897" s="81">
        <f>HLOOKUP(R897,データについて!$J$12:$M$18,7,FALSE)</f>
        <v>2</v>
      </c>
      <c r="Z897" s="81">
        <f>HLOOKUP(I897,データについて!$J$3:$M$18,16,FALSE)</f>
        <v>2</v>
      </c>
      <c r="AA897" s="81" t="str">
        <f>IFERROR(HLOOKUP(J897,データについて!$J$4:$AH$19,16,FALSE),"")</f>
        <v/>
      </c>
      <c r="AB897" s="81">
        <f>IFERROR(HLOOKUP(K897,データについて!$J$5:$AH$20,14,FALSE),"")</f>
        <v>3</v>
      </c>
      <c r="AC897" s="81">
        <f>IF(X897=1,HLOOKUP(R897,データについて!$J$12:$M$18,7,FALSE),"*")</f>
        <v>2</v>
      </c>
      <c r="AD897" s="81" t="str">
        <f>IF(X897=2,HLOOKUP(R897,データについて!$J$12:$M$18,7,FALSE),"*")</f>
        <v>*</v>
      </c>
    </row>
    <row r="898" spans="1:30">
      <c r="A898" s="30">
        <v>4294</v>
      </c>
      <c r="B898" s="30" t="s">
        <v>3281</v>
      </c>
      <c r="C898" s="30" t="s">
        <v>3279</v>
      </c>
      <c r="D898" s="30" t="s">
        <v>106</v>
      </c>
      <c r="E898" s="30"/>
      <c r="F898" s="30" t="s">
        <v>107</v>
      </c>
      <c r="G898" s="30" t="s">
        <v>106</v>
      </c>
      <c r="H898" s="30"/>
      <c r="I898" s="30" t="s">
        <v>191</v>
      </c>
      <c r="J898" s="30"/>
      <c r="K898" s="30" t="s">
        <v>3098</v>
      </c>
      <c r="L898" s="30" t="s">
        <v>117</v>
      </c>
      <c r="M898" s="30" t="s">
        <v>109</v>
      </c>
      <c r="N898" s="30" t="s">
        <v>110</v>
      </c>
      <c r="O898" s="30" t="s">
        <v>115</v>
      </c>
      <c r="P898" s="30" t="s">
        <v>112</v>
      </c>
      <c r="Q898" s="30" t="s">
        <v>112</v>
      </c>
      <c r="R898" s="30" t="s">
        <v>185</v>
      </c>
      <c r="S898" s="81">
        <f>HLOOKUP(L898,データについて!$J$6:$M$18,13,FALSE)</f>
        <v>2</v>
      </c>
      <c r="T898" s="81">
        <f>HLOOKUP(M898,データについて!$J$7:$M$18,12,FALSE)</f>
        <v>2</v>
      </c>
      <c r="U898" s="81">
        <f>HLOOKUP(N898,データについて!$J$8:$M$18,11,FALSE)</f>
        <v>2</v>
      </c>
      <c r="V898" s="81">
        <f>HLOOKUP(O898,データについて!$J$9:$M$18,10,FALSE)</f>
        <v>1</v>
      </c>
      <c r="W898" s="81">
        <f>HLOOKUP(P898,データについて!$J$10:$M$18,9,FALSE)</f>
        <v>1</v>
      </c>
      <c r="X898" s="81">
        <f>HLOOKUP(Q898,データについて!$J$11:$M$18,8,FALSE)</f>
        <v>1</v>
      </c>
      <c r="Y898" s="81">
        <f>HLOOKUP(R898,データについて!$J$12:$M$18,7,FALSE)</f>
        <v>2</v>
      </c>
      <c r="Z898" s="81">
        <f>HLOOKUP(I898,データについて!$J$3:$M$18,16,FALSE)</f>
        <v>2</v>
      </c>
      <c r="AA898" s="81" t="str">
        <f>IFERROR(HLOOKUP(J898,データについて!$J$4:$AH$19,16,FALSE),"")</f>
        <v/>
      </c>
      <c r="AB898" s="81">
        <f>IFERROR(HLOOKUP(K898,データについて!$J$5:$AH$20,14,FALSE),"")</f>
        <v>3</v>
      </c>
      <c r="AC898" s="81">
        <f>IF(X898=1,HLOOKUP(R898,データについて!$J$12:$M$18,7,FALSE),"*")</f>
        <v>2</v>
      </c>
      <c r="AD898" s="81" t="str">
        <f>IF(X898=2,HLOOKUP(R898,データについて!$J$12:$M$18,7,FALSE),"*")</f>
        <v>*</v>
      </c>
    </row>
    <row r="899" spans="1:30">
      <c r="A899" s="30">
        <v>4293</v>
      </c>
      <c r="B899" s="30" t="s">
        <v>3282</v>
      </c>
      <c r="C899" s="30" t="s">
        <v>3283</v>
      </c>
      <c r="D899" s="30" t="s">
        <v>106</v>
      </c>
      <c r="E899" s="30"/>
      <c r="F899" s="30" t="s">
        <v>107</v>
      </c>
      <c r="G899" s="30" t="s">
        <v>106</v>
      </c>
      <c r="H899" s="30"/>
      <c r="I899" s="30" t="s">
        <v>191</v>
      </c>
      <c r="J899" s="30"/>
      <c r="K899" s="30" t="s">
        <v>3098</v>
      </c>
      <c r="L899" s="30" t="s">
        <v>108</v>
      </c>
      <c r="M899" s="30" t="s">
        <v>113</v>
      </c>
      <c r="N899" s="30" t="s">
        <v>114</v>
      </c>
      <c r="O899" s="30" t="s">
        <v>115</v>
      </c>
      <c r="P899" s="30" t="s">
        <v>118</v>
      </c>
      <c r="Q899" s="30" t="s">
        <v>112</v>
      </c>
      <c r="R899" s="30" t="s">
        <v>183</v>
      </c>
      <c r="S899" s="81">
        <f>HLOOKUP(L899,データについて!$J$6:$M$18,13,FALSE)</f>
        <v>1</v>
      </c>
      <c r="T899" s="81">
        <f>HLOOKUP(M899,データについて!$J$7:$M$18,12,FALSE)</f>
        <v>1</v>
      </c>
      <c r="U899" s="81">
        <f>HLOOKUP(N899,データについて!$J$8:$M$18,11,FALSE)</f>
        <v>1</v>
      </c>
      <c r="V899" s="81">
        <f>HLOOKUP(O899,データについて!$J$9:$M$18,10,FALSE)</f>
        <v>1</v>
      </c>
      <c r="W899" s="81">
        <f>HLOOKUP(P899,データについて!$J$10:$M$18,9,FALSE)</f>
        <v>2</v>
      </c>
      <c r="X899" s="81">
        <f>HLOOKUP(Q899,データについて!$J$11:$M$18,8,FALSE)</f>
        <v>1</v>
      </c>
      <c r="Y899" s="81">
        <f>HLOOKUP(R899,データについて!$J$12:$M$18,7,FALSE)</f>
        <v>1</v>
      </c>
      <c r="Z899" s="81">
        <f>HLOOKUP(I899,データについて!$J$3:$M$18,16,FALSE)</f>
        <v>2</v>
      </c>
      <c r="AA899" s="81" t="str">
        <f>IFERROR(HLOOKUP(J899,データについて!$J$4:$AH$19,16,FALSE),"")</f>
        <v/>
      </c>
      <c r="AB899" s="81">
        <f>IFERROR(HLOOKUP(K899,データについて!$J$5:$AH$20,14,FALSE),"")</f>
        <v>3</v>
      </c>
      <c r="AC899" s="81">
        <f>IF(X899=1,HLOOKUP(R899,データについて!$J$12:$M$18,7,FALSE),"*")</f>
        <v>1</v>
      </c>
      <c r="AD899" s="81" t="str">
        <f>IF(X899=2,HLOOKUP(R899,データについて!$J$12:$M$18,7,FALSE),"*")</f>
        <v>*</v>
      </c>
    </row>
    <row r="900" spans="1:30">
      <c r="A900" s="30">
        <v>4292</v>
      </c>
      <c r="B900" s="30" t="s">
        <v>3284</v>
      </c>
      <c r="C900" s="30" t="s">
        <v>3285</v>
      </c>
      <c r="D900" s="30" t="s">
        <v>106</v>
      </c>
      <c r="E900" s="30"/>
      <c r="F900" s="30" t="s">
        <v>107</v>
      </c>
      <c r="G900" s="30" t="s">
        <v>106</v>
      </c>
      <c r="H900" s="30"/>
      <c r="I900" s="30" t="s">
        <v>191</v>
      </c>
      <c r="J900" s="30"/>
      <c r="K900" s="30" t="s">
        <v>3098</v>
      </c>
      <c r="L900" s="30" t="s">
        <v>117</v>
      </c>
      <c r="M900" s="30" t="s">
        <v>124</v>
      </c>
      <c r="N900" s="30" t="s">
        <v>114</v>
      </c>
      <c r="O900" s="30" t="s">
        <v>115</v>
      </c>
      <c r="P900" s="30" t="s">
        <v>112</v>
      </c>
      <c r="Q900" s="30" t="s">
        <v>112</v>
      </c>
      <c r="R900" s="30" t="s">
        <v>187</v>
      </c>
      <c r="S900" s="81">
        <f>HLOOKUP(L900,データについて!$J$6:$M$18,13,FALSE)</f>
        <v>2</v>
      </c>
      <c r="T900" s="81">
        <f>HLOOKUP(M900,データについて!$J$7:$M$18,12,FALSE)</f>
        <v>3</v>
      </c>
      <c r="U900" s="81">
        <f>HLOOKUP(N900,データについて!$J$8:$M$18,11,FALSE)</f>
        <v>1</v>
      </c>
      <c r="V900" s="81">
        <f>HLOOKUP(O900,データについて!$J$9:$M$18,10,FALSE)</f>
        <v>1</v>
      </c>
      <c r="W900" s="81">
        <f>HLOOKUP(P900,データについて!$J$10:$M$18,9,FALSE)</f>
        <v>1</v>
      </c>
      <c r="X900" s="81">
        <f>HLOOKUP(Q900,データについて!$J$11:$M$18,8,FALSE)</f>
        <v>1</v>
      </c>
      <c r="Y900" s="81">
        <f>HLOOKUP(R900,データについて!$J$12:$M$18,7,FALSE)</f>
        <v>3</v>
      </c>
      <c r="Z900" s="81">
        <f>HLOOKUP(I900,データについて!$J$3:$M$18,16,FALSE)</f>
        <v>2</v>
      </c>
      <c r="AA900" s="81" t="str">
        <f>IFERROR(HLOOKUP(J900,データについて!$J$4:$AH$19,16,FALSE),"")</f>
        <v/>
      </c>
      <c r="AB900" s="81">
        <f>IFERROR(HLOOKUP(K900,データについて!$J$5:$AH$20,14,FALSE),"")</f>
        <v>3</v>
      </c>
      <c r="AC900" s="81">
        <f>IF(X900=1,HLOOKUP(R900,データについて!$J$12:$M$18,7,FALSE),"*")</f>
        <v>3</v>
      </c>
      <c r="AD900" s="81" t="str">
        <f>IF(X900=2,HLOOKUP(R900,データについて!$J$12:$M$18,7,FALSE),"*")</f>
        <v>*</v>
      </c>
    </row>
    <row r="901" spans="1:30">
      <c r="A901" s="30">
        <v>4291</v>
      </c>
      <c r="B901" s="30" t="s">
        <v>3286</v>
      </c>
      <c r="C901" s="30" t="s">
        <v>3287</v>
      </c>
      <c r="D901" s="30" t="s">
        <v>106</v>
      </c>
      <c r="E901" s="30"/>
      <c r="F901" s="30" t="s">
        <v>107</v>
      </c>
      <c r="G901" s="30" t="s">
        <v>106</v>
      </c>
      <c r="H901" s="30"/>
      <c r="I901" s="30" t="s">
        <v>191</v>
      </c>
      <c r="J901" s="30"/>
      <c r="K901" s="30" t="s">
        <v>3098</v>
      </c>
      <c r="L901" s="30" t="s">
        <v>117</v>
      </c>
      <c r="M901" s="30" t="s">
        <v>113</v>
      </c>
      <c r="N901" s="30" t="s">
        <v>114</v>
      </c>
      <c r="O901" s="30" t="s">
        <v>115</v>
      </c>
      <c r="P901" s="30" t="s">
        <v>112</v>
      </c>
      <c r="Q901" s="30" t="s">
        <v>112</v>
      </c>
      <c r="R901" s="30" t="s">
        <v>185</v>
      </c>
      <c r="S901" s="81">
        <f>HLOOKUP(L901,データについて!$J$6:$M$18,13,FALSE)</f>
        <v>2</v>
      </c>
      <c r="T901" s="81">
        <f>HLOOKUP(M901,データについて!$J$7:$M$18,12,FALSE)</f>
        <v>1</v>
      </c>
      <c r="U901" s="81">
        <f>HLOOKUP(N901,データについて!$J$8:$M$18,11,FALSE)</f>
        <v>1</v>
      </c>
      <c r="V901" s="81">
        <f>HLOOKUP(O901,データについて!$J$9:$M$18,10,FALSE)</f>
        <v>1</v>
      </c>
      <c r="W901" s="81">
        <f>HLOOKUP(P901,データについて!$J$10:$M$18,9,FALSE)</f>
        <v>1</v>
      </c>
      <c r="X901" s="81">
        <f>HLOOKUP(Q901,データについて!$J$11:$M$18,8,FALSE)</f>
        <v>1</v>
      </c>
      <c r="Y901" s="81">
        <f>HLOOKUP(R901,データについて!$J$12:$M$18,7,FALSE)</f>
        <v>2</v>
      </c>
      <c r="Z901" s="81">
        <f>HLOOKUP(I901,データについて!$J$3:$M$18,16,FALSE)</f>
        <v>2</v>
      </c>
      <c r="AA901" s="81" t="str">
        <f>IFERROR(HLOOKUP(J901,データについて!$J$4:$AH$19,16,FALSE),"")</f>
        <v/>
      </c>
      <c r="AB901" s="81">
        <f>IFERROR(HLOOKUP(K901,データについて!$J$5:$AH$20,14,FALSE),"")</f>
        <v>3</v>
      </c>
      <c r="AC901" s="81">
        <f>IF(X901=1,HLOOKUP(R901,データについて!$J$12:$M$18,7,FALSE),"*")</f>
        <v>2</v>
      </c>
      <c r="AD901" s="81" t="str">
        <f>IF(X901=2,HLOOKUP(R901,データについて!$J$12:$M$18,7,FALSE),"*")</f>
        <v>*</v>
      </c>
    </row>
    <row r="902" spans="1:30">
      <c r="A902" s="30">
        <v>4290</v>
      </c>
      <c r="B902" s="30" t="s">
        <v>3288</v>
      </c>
      <c r="C902" s="30" t="s">
        <v>3289</v>
      </c>
      <c r="D902" s="30" t="s">
        <v>106</v>
      </c>
      <c r="E902" s="30"/>
      <c r="F902" s="30" t="s">
        <v>107</v>
      </c>
      <c r="G902" s="30" t="s">
        <v>106</v>
      </c>
      <c r="H902" s="30"/>
      <c r="I902" s="30" t="s">
        <v>191</v>
      </c>
      <c r="J902" s="30"/>
      <c r="K902" s="30" t="s">
        <v>3098</v>
      </c>
      <c r="L902" s="30" t="s">
        <v>108</v>
      </c>
      <c r="M902" s="30" t="s">
        <v>113</v>
      </c>
      <c r="N902" s="30" t="s">
        <v>110</v>
      </c>
      <c r="O902" s="30" t="s">
        <v>116</v>
      </c>
      <c r="P902" s="30" t="s">
        <v>118</v>
      </c>
      <c r="Q902" s="30" t="s">
        <v>112</v>
      </c>
      <c r="R902" s="30" t="s">
        <v>183</v>
      </c>
      <c r="S902" s="81">
        <f>HLOOKUP(L902,データについて!$J$6:$M$18,13,FALSE)</f>
        <v>1</v>
      </c>
      <c r="T902" s="81">
        <f>HLOOKUP(M902,データについて!$J$7:$M$18,12,FALSE)</f>
        <v>1</v>
      </c>
      <c r="U902" s="81">
        <f>HLOOKUP(N902,データについて!$J$8:$M$18,11,FALSE)</f>
        <v>2</v>
      </c>
      <c r="V902" s="81">
        <f>HLOOKUP(O902,データについて!$J$9:$M$18,10,FALSE)</f>
        <v>2</v>
      </c>
      <c r="W902" s="81">
        <f>HLOOKUP(P902,データについて!$J$10:$M$18,9,FALSE)</f>
        <v>2</v>
      </c>
      <c r="X902" s="81">
        <f>HLOOKUP(Q902,データについて!$J$11:$M$18,8,FALSE)</f>
        <v>1</v>
      </c>
      <c r="Y902" s="81">
        <f>HLOOKUP(R902,データについて!$J$12:$M$18,7,FALSE)</f>
        <v>1</v>
      </c>
      <c r="Z902" s="81">
        <f>HLOOKUP(I902,データについて!$J$3:$M$18,16,FALSE)</f>
        <v>2</v>
      </c>
      <c r="AA902" s="81" t="str">
        <f>IFERROR(HLOOKUP(J902,データについて!$J$4:$AH$19,16,FALSE),"")</f>
        <v/>
      </c>
      <c r="AB902" s="81">
        <f>IFERROR(HLOOKUP(K902,データについて!$J$5:$AH$20,14,FALSE),"")</f>
        <v>3</v>
      </c>
      <c r="AC902" s="81">
        <f>IF(X902=1,HLOOKUP(R902,データについて!$J$12:$M$18,7,FALSE),"*")</f>
        <v>1</v>
      </c>
      <c r="AD902" s="81" t="str">
        <f>IF(X902=2,HLOOKUP(R902,データについて!$J$12:$M$18,7,FALSE),"*")</f>
        <v>*</v>
      </c>
    </row>
    <row r="903" spans="1:30">
      <c r="A903" s="30">
        <v>4289</v>
      </c>
      <c r="B903" s="30" t="s">
        <v>3290</v>
      </c>
      <c r="C903" s="30" t="s">
        <v>3291</v>
      </c>
      <c r="D903" s="30" t="s">
        <v>106</v>
      </c>
      <c r="E903" s="30"/>
      <c r="F903" s="30" t="s">
        <v>107</v>
      </c>
      <c r="G903" s="30" t="s">
        <v>106</v>
      </c>
      <c r="H903" s="30"/>
      <c r="I903" s="30" t="s">
        <v>191</v>
      </c>
      <c r="J903" s="30"/>
      <c r="K903" s="30" t="s">
        <v>3098</v>
      </c>
      <c r="L903" s="30" t="s">
        <v>117</v>
      </c>
      <c r="M903" s="30" t="s">
        <v>124</v>
      </c>
      <c r="N903" s="30" t="s">
        <v>122</v>
      </c>
      <c r="O903" s="30" t="s">
        <v>115</v>
      </c>
      <c r="P903" s="30" t="s">
        <v>112</v>
      </c>
      <c r="Q903" s="30" t="s">
        <v>118</v>
      </c>
      <c r="R903" s="30" t="s">
        <v>189</v>
      </c>
      <c r="S903" s="81">
        <f>HLOOKUP(L903,データについて!$J$6:$M$18,13,FALSE)</f>
        <v>2</v>
      </c>
      <c r="T903" s="81">
        <f>HLOOKUP(M903,データについて!$J$7:$M$18,12,FALSE)</f>
        <v>3</v>
      </c>
      <c r="U903" s="81">
        <f>HLOOKUP(N903,データについて!$J$8:$M$18,11,FALSE)</f>
        <v>3</v>
      </c>
      <c r="V903" s="81">
        <f>HLOOKUP(O903,データについて!$J$9:$M$18,10,FALSE)</f>
        <v>1</v>
      </c>
      <c r="W903" s="81">
        <f>HLOOKUP(P903,データについて!$J$10:$M$18,9,FALSE)</f>
        <v>1</v>
      </c>
      <c r="X903" s="81">
        <f>HLOOKUP(Q903,データについて!$J$11:$M$18,8,FALSE)</f>
        <v>2</v>
      </c>
      <c r="Y903" s="81">
        <f>HLOOKUP(R903,データについて!$J$12:$M$18,7,FALSE)</f>
        <v>4</v>
      </c>
      <c r="Z903" s="81">
        <f>HLOOKUP(I903,データについて!$J$3:$M$18,16,FALSE)</f>
        <v>2</v>
      </c>
      <c r="AA903" s="81" t="str">
        <f>IFERROR(HLOOKUP(J903,データについて!$J$4:$AH$19,16,FALSE),"")</f>
        <v/>
      </c>
      <c r="AB903" s="81">
        <f>IFERROR(HLOOKUP(K903,データについて!$J$5:$AH$20,14,FALSE),"")</f>
        <v>3</v>
      </c>
      <c r="AC903" s="81" t="str">
        <f>IF(X903=1,HLOOKUP(R903,データについて!$J$12:$M$18,7,FALSE),"*")</f>
        <v>*</v>
      </c>
      <c r="AD903" s="81">
        <f>IF(X903=2,HLOOKUP(R903,データについて!$J$12:$M$18,7,FALSE),"*")</f>
        <v>4</v>
      </c>
    </row>
    <row r="904" spans="1:30">
      <c r="A904" s="30">
        <v>4288</v>
      </c>
      <c r="B904" s="30" t="s">
        <v>3292</v>
      </c>
      <c r="C904" s="30" t="s">
        <v>3293</v>
      </c>
      <c r="D904" s="30" t="s">
        <v>106</v>
      </c>
      <c r="E904" s="30"/>
      <c r="F904" s="30" t="s">
        <v>107</v>
      </c>
      <c r="G904" s="30" t="s">
        <v>106</v>
      </c>
      <c r="H904" s="30"/>
      <c r="I904" s="30" t="s">
        <v>191</v>
      </c>
      <c r="J904" s="30"/>
      <c r="K904" s="30" t="s">
        <v>3098</v>
      </c>
      <c r="L904" s="30" t="s">
        <v>117</v>
      </c>
      <c r="M904" s="30" t="s">
        <v>113</v>
      </c>
      <c r="N904" s="30" t="s">
        <v>114</v>
      </c>
      <c r="O904" s="30" t="s">
        <v>115</v>
      </c>
      <c r="P904" s="30" t="s">
        <v>112</v>
      </c>
      <c r="Q904" s="30" t="s">
        <v>112</v>
      </c>
      <c r="R904" s="30" t="s">
        <v>183</v>
      </c>
      <c r="S904" s="81">
        <f>HLOOKUP(L904,データについて!$J$6:$M$18,13,FALSE)</f>
        <v>2</v>
      </c>
      <c r="T904" s="81">
        <f>HLOOKUP(M904,データについて!$J$7:$M$18,12,FALSE)</f>
        <v>1</v>
      </c>
      <c r="U904" s="81">
        <f>HLOOKUP(N904,データについて!$J$8:$M$18,11,FALSE)</f>
        <v>1</v>
      </c>
      <c r="V904" s="81">
        <f>HLOOKUP(O904,データについて!$J$9:$M$18,10,FALSE)</f>
        <v>1</v>
      </c>
      <c r="W904" s="81">
        <f>HLOOKUP(P904,データについて!$J$10:$M$18,9,FALSE)</f>
        <v>1</v>
      </c>
      <c r="X904" s="81">
        <f>HLOOKUP(Q904,データについて!$J$11:$M$18,8,FALSE)</f>
        <v>1</v>
      </c>
      <c r="Y904" s="81">
        <f>HLOOKUP(R904,データについて!$J$12:$M$18,7,FALSE)</f>
        <v>1</v>
      </c>
      <c r="Z904" s="81">
        <f>HLOOKUP(I904,データについて!$J$3:$M$18,16,FALSE)</f>
        <v>2</v>
      </c>
      <c r="AA904" s="81" t="str">
        <f>IFERROR(HLOOKUP(J904,データについて!$J$4:$AH$19,16,FALSE),"")</f>
        <v/>
      </c>
      <c r="AB904" s="81">
        <f>IFERROR(HLOOKUP(K904,データについて!$J$5:$AH$20,14,FALSE),"")</f>
        <v>3</v>
      </c>
      <c r="AC904" s="81">
        <f>IF(X904=1,HLOOKUP(R904,データについて!$J$12:$M$18,7,FALSE),"*")</f>
        <v>1</v>
      </c>
      <c r="AD904" s="81" t="str">
        <f>IF(X904=2,HLOOKUP(R904,データについて!$J$12:$M$18,7,FALSE),"*")</f>
        <v>*</v>
      </c>
    </row>
    <row r="905" spans="1:30">
      <c r="A905" s="30">
        <v>4287</v>
      </c>
      <c r="B905" s="30" t="s">
        <v>3294</v>
      </c>
      <c r="C905" s="30" t="s">
        <v>3295</v>
      </c>
      <c r="D905" s="30" t="s">
        <v>106</v>
      </c>
      <c r="E905" s="30"/>
      <c r="F905" s="30" t="s">
        <v>107</v>
      </c>
      <c r="G905" s="30" t="s">
        <v>106</v>
      </c>
      <c r="H905" s="30"/>
      <c r="I905" s="30" t="s">
        <v>191</v>
      </c>
      <c r="J905" s="30"/>
      <c r="K905" s="30" t="s">
        <v>3098</v>
      </c>
      <c r="L905" s="30" t="s">
        <v>117</v>
      </c>
      <c r="M905" s="30" t="s">
        <v>109</v>
      </c>
      <c r="N905" s="30" t="s">
        <v>119</v>
      </c>
      <c r="O905" s="30" t="s">
        <v>116</v>
      </c>
      <c r="P905" s="30" t="s">
        <v>112</v>
      </c>
      <c r="Q905" s="30" t="s">
        <v>112</v>
      </c>
      <c r="R905" s="30" t="s">
        <v>189</v>
      </c>
      <c r="S905" s="81">
        <f>HLOOKUP(L905,データについて!$J$6:$M$18,13,FALSE)</f>
        <v>2</v>
      </c>
      <c r="T905" s="81">
        <f>HLOOKUP(M905,データについて!$J$7:$M$18,12,FALSE)</f>
        <v>2</v>
      </c>
      <c r="U905" s="81">
        <f>HLOOKUP(N905,データについて!$J$8:$M$18,11,FALSE)</f>
        <v>4</v>
      </c>
      <c r="V905" s="81">
        <f>HLOOKUP(O905,データについて!$J$9:$M$18,10,FALSE)</f>
        <v>2</v>
      </c>
      <c r="W905" s="81">
        <f>HLOOKUP(P905,データについて!$J$10:$M$18,9,FALSE)</f>
        <v>1</v>
      </c>
      <c r="X905" s="81">
        <f>HLOOKUP(Q905,データについて!$J$11:$M$18,8,FALSE)</f>
        <v>1</v>
      </c>
      <c r="Y905" s="81">
        <f>HLOOKUP(R905,データについて!$J$12:$M$18,7,FALSE)</f>
        <v>4</v>
      </c>
      <c r="Z905" s="81">
        <f>HLOOKUP(I905,データについて!$J$3:$M$18,16,FALSE)</f>
        <v>2</v>
      </c>
      <c r="AA905" s="81" t="str">
        <f>IFERROR(HLOOKUP(J905,データについて!$J$4:$AH$19,16,FALSE),"")</f>
        <v/>
      </c>
      <c r="AB905" s="81">
        <f>IFERROR(HLOOKUP(K905,データについて!$J$5:$AH$20,14,FALSE),"")</f>
        <v>3</v>
      </c>
      <c r="AC905" s="81">
        <f>IF(X905=1,HLOOKUP(R905,データについて!$J$12:$M$18,7,FALSE),"*")</f>
        <v>4</v>
      </c>
      <c r="AD905" s="81" t="str">
        <f>IF(X905=2,HLOOKUP(R905,データについて!$J$12:$M$18,7,FALSE),"*")</f>
        <v>*</v>
      </c>
    </row>
    <row r="906" spans="1:30">
      <c r="A906" s="30">
        <v>4286</v>
      </c>
      <c r="B906" s="30" t="s">
        <v>3296</v>
      </c>
      <c r="C906" s="30" t="s">
        <v>3297</v>
      </c>
      <c r="D906" s="30" t="s">
        <v>106</v>
      </c>
      <c r="E906" s="30"/>
      <c r="F906" s="30" t="s">
        <v>107</v>
      </c>
      <c r="G906" s="30" t="s">
        <v>106</v>
      </c>
      <c r="H906" s="30"/>
      <c r="I906" s="30" t="s">
        <v>191</v>
      </c>
      <c r="J906" s="30"/>
      <c r="K906" s="30" t="s">
        <v>3098</v>
      </c>
      <c r="L906" s="30" t="s">
        <v>108</v>
      </c>
      <c r="M906" s="30" t="s">
        <v>109</v>
      </c>
      <c r="N906" s="30" t="s">
        <v>110</v>
      </c>
      <c r="O906" s="30" t="s">
        <v>115</v>
      </c>
      <c r="P906" s="30" t="s">
        <v>112</v>
      </c>
      <c r="Q906" s="30" t="s">
        <v>112</v>
      </c>
      <c r="R906" s="30" t="s">
        <v>185</v>
      </c>
      <c r="S906" s="81">
        <f>HLOOKUP(L906,データについて!$J$6:$M$18,13,FALSE)</f>
        <v>1</v>
      </c>
      <c r="T906" s="81">
        <f>HLOOKUP(M906,データについて!$J$7:$M$18,12,FALSE)</f>
        <v>2</v>
      </c>
      <c r="U906" s="81">
        <f>HLOOKUP(N906,データについて!$J$8:$M$18,11,FALSE)</f>
        <v>2</v>
      </c>
      <c r="V906" s="81">
        <f>HLOOKUP(O906,データについて!$J$9:$M$18,10,FALSE)</f>
        <v>1</v>
      </c>
      <c r="W906" s="81">
        <f>HLOOKUP(P906,データについて!$J$10:$M$18,9,FALSE)</f>
        <v>1</v>
      </c>
      <c r="X906" s="81">
        <f>HLOOKUP(Q906,データについて!$J$11:$M$18,8,FALSE)</f>
        <v>1</v>
      </c>
      <c r="Y906" s="81">
        <f>HLOOKUP(R906,データについて!$J$12:$M$18,7,FALSE)</f>
        <v>2</v>
      </c>
      <c r="Z906" s="81">
        <f>HLOOKUP(I906,データについて!$J$3:$M$18,16,FALSE)</f>
        <v>2</v>
      </c>
      <c r="AA906" s="81" t="str">
        <f>IFERROR(HLOOKUP(J906,データについて!$J$4:$AH$19,16,FALSE),"")</f>
        <v/>
      </c>
      <c r="AB906" s="81">
        <f>IFERROR(HLOOKUP(K906,データについて!$J$5:$AH$20,14,FALSE),"")</f>
        <v>3</v>
      </c>
      <c r="AC906" s="81">
        <f>IF(X906=1,HLOOKUP(R906,データについて!$J$12:$M$18,7,FALSE),"*")</f>
        <v>2</v>
      </c>
      <c r="AD906" s="81" t="str">
        <f>IF(X906=2,HLOOKUP(R906,データについて!$J$12:$M$18,7,FALSE),"*")</f>
        <v>*</v>
      </c>
    </row>
    <row r="907" spans="1:30">
      <c r="A907" s="30">
        <v>4285</v>
      </c>
      <c r="B907" s="30" t="s">
        <v>3298</v>
      </c>
      <c r="C907" s="30" t="s">
        <v>3299</v>
      </c>
      <c r="D907" s="30" t="s">
        <v>106</v>
      </c>
      <c r="E907" s="30"/>
      <c r="F907" s="30" t="s">
        <v>107</v>
      </c>
      <c r="G907" s="30" t="s">
        <v>106</v>
      </c>
      <c r="H907" s="30"/>
      <c r="I907" s="30" t="s">
        <v>191</v>
      </c>
      <c r="J907" s="30"/>
      <c r="K907" s="30" t="s">
        <v>3098</v>
      </c>
      <c r="L907" s="30" t="s">
        <v>108</v>
      </c>
      <c r="M907" s="30" t="s">
        <v>124</v>
      </c>
      <c r="N907" s="30" t="s">
        <v>122</v>
      </c>
      <c r="O907" s="30" t="s">
        <v>123</v>
      </c>
      <c r="P907" s="30" t="s">
        <v>112</v>
      </c>
      <c r="Q907" s="30" t="s">
        <v>112</v>
      </c>
      <c r="R907" s="30" t="s">
        <v>185</v>
      </c>
      <c r="S907" s="81">
        <f>HLOOKUP(L907,データについて!$J$6:$M$18,13,FALSE)</f>
        <v>1</v>
      </c>
      <c r="T907" s="81">
        <f>HLOOKUP(M907,データについて!$J$7:$M$18,12,FALSE)</f>
        <v>3</v>
      </c>
      <c r="U907" s="81">
        <f>HLOOKUP(N907,データについて!$J$8:$M$18,11,FALSE)</f>
        <v>3</v>
      </c>
      <c r="V907" s="81">
        <f>HLOOKUP(O907,データについて!$J$9:$M$18,10,FALSE)</f>
        <v>4</v>
      </c>
      <c r="W907" s="81">
        <f>HLOOKUP(P907,データについて!$J$10:$M$18,9,FALSE)</f>
        <v>1</v>
      </c>
      <c r="X907" s="81">
        <f>HLOOKUP(Q907,データについて!$J$11:$M$18,8,FALSE)</f>
        <v>1</v>
      </c>
      <c r="Y907" s="81">
        <f>HLOOKUP(R907,データについて!$J$12:$M$18,7,FALSE)</f>
        <v>2</v>
      </c>
      <c r="Z907" s="81">
        <f>HLOOKUP(I907,データについて!$J$3:$M$18,16,FALSE)</f>
        <v>2</v>
      </c>
      <c r="AA907" s="81" t="str">
        <f>IFERROR(HLOOKUP(J907,データについて!$J$4:$AH$19,16,FALSE),"")</f>
        <v/>
      </c>
      <c r="AB907" s="81">
        <f>IFERROR(HLOOKUP(K907,データについて!$J$5:$AH$20,14,FALSE),"")</f>
        <v>3</v>
      </c>
      <c r="AC907" s="81">
        <f>IF(X907=1,HLOOKUP(R907,データについて!$J$12:$M$18,7,FALSE),"*")</f>
        <v>2</v>
      </c>
      <c r="AD907" s="81" t="str">
        <f>IF(X907=2,HLOOKUP(R907,データについて!$J$12:$M$18,7,FALSE),"*")</f>
        <v>*</v>
      </c>
    </row>
    <row r="908" spans="1:30">
      <c r="A908" s="30">
        <v>4284</v>
      </c>
      <c r="B908" s="30" t="s">
        <v>3300</v>
      </c>
      <c r="C908" s="30" t="s">
        <v>3301</v>
      </c>
      <c r="D908" s="30" t="s">
        <v>106</v>
      </c>
      <c r="E908" s="30"/>
      <c r="F908" s="30" t="s">
        <v>107</v>
      </c>
      <c r="G908" s="30" t="s">
        <v>106</v>
      </c>
      <c r="H908" s="30"/>
      <c r="I908" s="30" t="s">
        <v>191</v>
      </c>
      <c r="J908" s="30"/>
      <c r="K908" s="30" t="s">
        <v>3098</v>
      </c>
      <c r="L908" s="30" t="s">
        <v>117</v>
      </c>
      <c r="M908" s="30" t="s">
        <v>113</v>
      </c>
      <c r="N908" s="30" t="s">
        <v>110</v>
      </c>
      <c r="O908" s="30" t="s">
        <v>115</v>
      </c>
      <c r="P908" s="30" t="s">
        <v>112</v>
      </c>
      <c r="Q908" s="30" t="s">
        <v>112</v>
      </c>
      <c r="R908" s="30" t="s">
        <v>183</v>
      </c>
      <c r="S908" s="81">
        <f>HLOOKUP(L908,データについて!$J$6:$M$18,13,FALSE)</f>
        <v>2</v>
      </c>
      <c r="T908" s="81">
        <f>HLOOKUP(M908,データについて!$J$7:$M$18,12,FALSE)</f>
        <v>1</v>
      </c>
      <c r="U908" s="81">
        <f>HLOOKUP(N908,データについて!$J$8:$M$18,11,FALSE)</f>
        <v>2</v>
      </c>
      <c r="V908" s="81">
        <f>HLOOKUP(O908,データについて!$J$9:$M$18,10,FALSE)</f>
        <v>1</v>
      </c>
      <c r="W908" s="81">
        <f>HLOOKUP(P908,データについて!$J$10:$M$18,9,FALSE)</f>
        <v>1</v>
      </c>
      <c r="X908" s="81">
        <f>HLOOKUP(Q908,データについて!$J$11:$M$18,8,FALSE)</f>
        <v>1</v>
      </c>
      <c r="Y908" s="81">
        <f>HLOOKUP(R908,データについて!$J$12:$M$18,7,FALSE)</f>
        <v>1</v>
      </c>
      <c r="Z908" s="81">
        <f>HLOOKUP(I908,データについて!$J$3:$M$18,16,FALSE)</f>
        <v>2</v>
      </c>
      <c r="AA908" s="81" t="str">
        <f>IFERROR(HLOOKUP(J908,データについて!$J$4:$AH$19,16,FALSE),"")</f>
        <v/>
      </c>
      <c r="AB908" s="81">
        <f>IFERROR(HLOOKUP(K908,データについて!$J$5:$AH$20,14,FALSE),"")</f>
        <v>3</v>
      </c>
      <c r="AC908" s="81">
        <f>IF(X908=1,HLOOKUP(R908,データについて!$J$12:$M$18,7,FALSE),"*")</f>
        <v>1</v>
      </c>
      <c r="AD908" s="81" t="str">
        <f>IF(X908=2,HLOOKUP(R908,データについて!$J$12:$M$18,7,FALSE),"*")</f>
        <v>*</v>
      </c>
    </row>
    <row r="909" spans="1:30">
      <c r="A909" s="30">
        <v>4283</v>
      </c>
      <c r="B909" s="30" t="s">
        <v>3302</v>
      </c>
      <c r="C909" s="30" t="s">
        <v>3303</v>
      </c>
      <c r="D909" s="30" t="s">
        <v>106</v>
      </c>
      <c r="E909" s="30"/>
      <c r="F909" s="30" t="s">
        <v>107</v>
      </c>
      <c r="G909" s="30" t="s">
        <v>106</v>
      </c>
      <c r="H909" s="30"/>
      <c r="I909" s="30" t="s">
        <v>191</v>
      </c>
      <c r="J909" s="30"/>
      <c r="K909" s="30" t="s">
        <v>3098</v>
      </c>
      <c r="L909" s="30" t="s">
        <v>108</v>
      </c>
      <c r="M909" s="30" t="s">
        <v>109</v>
      </c>
      <c r="N909" s="30" t="s">
        <v>110</v>
      </c>
      <c r="O909" s="30" t="s">
        <v>115</v>
      </c>
      <c r="P909" s="30" t="s">
        <v>112</v>
      </c>
      <c r="Q909" s="30" t="s">
        <v>112</v>
      </c>
      <c r="R909" s="30" t="s">
        <v>187</v>
      </c>
      <c r="S909" s="81">
        <f>HLOOKUP(L909,データについて!$J$6:$M$18,13,FALSE)</f>
        <v>1</v>
      </c>
      <c r="T909" s="81">
        <f>HLOOKUP(M909,データについて!$J$7:$M$18,12,FALSE)</f>
        <v>2</v>
      </c>
      <c r="U909" s="81">
        <f>HLOOKUP(N909,データについて!$J$8:$M$18,11,FALSE)</f>
        <v>2</v>
      </c>
      <c r="V909" s="81">
        <f>HLOOKUP(O909,データについて!$J$9:$M$18,10,FALSE)</f>
        <v>1</v>
      </c>
      <c r="W909" s="81">
        <f>HLOOKUP(P909,データについて!$J$10:$M$18,9,FALSE)</f>
        <v>1</v>
      </c>
      <c r="X909" s="81">
        <f>HLOOKUP(Q909,データについて!$J$11:$M$18,8,FALSE)</f>
        <v>1</v>
      </c>
      <c r="Y909" s="81">
        <f>HLOOKUP(R909,データについて!$J$12:$M$18,7,FALSE)</f>
        <v>3</v>
      </c>
      <c r="Z909" s="81">
        <f>HLOOKUP(I909,データについて!$J$3:$M$18,16,FALSE)</f>
        <v>2</v>
      </c>
      <c r="AA909" s="81" t="str">
        <f>IFERROR(HLOOKUP(J909,データについて!$J$4:$AH$19,16,FALSE),"")</f>
        <v/>
      </c>
      <c r="AB909" s="81">
        <f>IFERROR(HLOOKUP(K909,データについて!$J$5:$AH$20,14,FALSE),"")</f>
        <v>3</v>
      </c>
      <c r="AC909" s="81">
        <f>IF(X909=1,HLOOKUP(R909,データについて!$J$12:$M$18,7,FALSE),"*")</f>
        <v>3</v>
      </c>
      <c r="AD909" s="81" t="str">
        <f>IF(X909=2,HLOOKUP(R909,データについて!$J$12:$M$18,7,FALSE),"*")</f>
        <v>*</v>
      </c>
    </row>
    <row r="910" spans="1:30">
      <c r="A910" s="30">
        <v>4282</v>
      </c>
      <c r="B910" s="30" t="s">
        <v>3304</v>
      </c>
      <c r="C910" s="30" t="s">
        <v>3305</v>
      </c>
      <c r="D910" s="30" t="s">
        <v>106</v>
      </c>
      <c r="E910" s="30"/>
      <c r="F910" s="30" t="s">
        <v>107</v>
      </c>
      <c r="G910" s="30" t="s">
        <v>106</v>
      </c>
      <c r="H910" s="30"/>
      <c r="I910" s="30" t="s">
        <v>191</v>
      </c>
      <c r="J910" s="30"/>
      <c r="K910" s="30" t="s">
        <v>3098</v>
      </c>
      <c r="L910" s="30" t="s">
        <v>117</v>
      </c>
      <c r="M910" s="30" t="s">
        <v>109</v>
      </c>
      <c r="N910" s="30" t="s">
        <v>119</v>
      </c>
      <c r="O910" s="30" t="s">
        <v>115</v>
      </c>
      <c r="P910" s="30" t="s">
        <v>112</v>
      </c>
      <c r="Q910" s="30" t="s">
        <v>118</v>
      </c>
      <c r="R910" s="30" t="s">
        <v>185</v>
      </c>
      <c r="S910" s="81">
        <f>HLOOKUP(L910,データについて!$J$6:$M$18,13,FALSE)</f>
        <v>2</v>
      </c>
      <c r="T910" s="81">
        <f>HLOOKUP(M910,データについて!$J$7:$M$18,12,FALSE)</f>
        <v>2</v>
      </c>
      <c r="U910" s="81">
        <f>HLOOKUP(N910,データについて!$J$8:$M$18,11,FALSE)</f>
        <v>4</v>
      </c>
      <c r="V910" s="81">
        <f>HLOOKUP(O910,データについて!$J$9:$M$18,10,FALSE)</f>
        <v>1</v>
      </c>
      <c r="W910" s="81">
        <f>HLOOKUP(P910,データについて!$J$10:$M$18,9,FALSE)</f>
        <v>1</v>
      </c>
      <c r="X910" s="81">
        <f>HLOOKUP(Q910,データについて!$J$11:$M$18,8,FALSE)</f>
        <v>2</v>
      </c>
      <c r="Y910" s="81">
        <f>HLOOKUP(R910,データについて!$J$12:$M$18,7,FALSE)</f>
        <v>2</v>
      </c>
      <c r="Z910" s="81">
        <f>HLOOKUP(I910,データについて!$J$3:$M$18,16,FALSE)</f>
        <v>2</v>
      </c>
      <c r="AA910" s="81" t="str">
        <f>IFERROR(HLOOKUP(J910,データについて!$J$4:$AH$19,16,FALSE),"")</f>
        <v/>
      </c>
      <c r="AB910" s="81">
        <f>IFERROR(HLOOKUP(K910,データについて!$J$5:$AH$20,14,FALSE),"")</f>
        <v>3</v>
      </c>
      <c r="AC910" s="81" t="str">
        <f>IF(X910=1,HLOOKUP(R910,データについて!$J$12:$M$18,7,FALSE),"*")</f>
        <v>*</v>
      </c>
      <c r="AD910" s="81">
        <f>IF(X910=2,HLOOKUP(R910,データについて!$J$12:$M$18,7,FALSE),"*")</f>
        <v>2</v>
      </c>
    </row>
    <row r="911" spans="1:30">
      <c r="A911" s="30">
        <v>4281</v>
      </c>
      <c r="B911" s="30" t="s">
        <v>3306</v>
      </c>
      <c r="C911" s="30" t="s">
        <v>3307</v>
      </c>
      <c r="D911" s="30" t="s">
        <v>106</v>
      </c>
      <c r="E911" s="30"/>
      <c r="F911" s="30" t="s">
        <v>107</v>
      </c>
      <c r="G911" s="30" t="s">
        <v>106</v>
      </c>
      <c r="H911" s="30"/>
      <c r="I911" s="30" t="s">
        <v>191</v>
      </c>
      <c r="J911" s="30"/>
      <c r="K911" s="30" t="s">
        <v>3098</v>
      </c>
      <c r="L911" s="30" t="s">
        <v>108</v>
      </c>
      <c r="M911" s="30" t="s">
        <v>109</v>
      </c>
      <c r="N911" s="30" t="s">
        <v>114</v>
      </c>
      <c r="O911" s="30" t="s">
        <v>115</v>
      </c>
      <c r="P911" s="30" t="s">
        <v>112</v>
      </c>
      <c r="Q911" s="30" t="s">
        <v>112</v>
      </c>
      <c r="R911" s="30" t="s">
        <v>183</v>
      </c>
      <c r="S911" s="81">
        <f>HLOOKUP(L911,データについて!$J$6:$M$18,13,FALSE)</f>
        <v>1</v>
      </c>
      <c r="T911" s="81">
        <f>HLOOKUP(M911,データについて!$J$7:$M$18,12,FALSE)</f>
        <v>2</v>
      </c>
      <c r="U911" s="81">
        <f>HLOOKUP(N911,データについて!$J$8:$M$18,11,FALSE)</f>
        <v>1</v>
      </c>
      <c r="V911" s="81">
        <f>HLOOKUP(O911,データについて!$J$9:$M$18,10,FALSE)</f>
        <v>1</v>
      </c>
      <c r="W911" s="81">
        <f>HLOOKUP(P911,データについて!$J$10:$M$18,9,FALSE)</f>
        <v>1</v>
      </c>
      <c r="X911" s="81">
        <f>HLOOKUP(Q911,データについて!$J$11:$M$18,8,FALSE)</f>
        <v>1</v>
      </c>
      <c r="Y911" s="81">
        <f>HLOOKUP(R911,データについて!$J$12:$M$18,7,FALSE)</f>
        <v>1</v>
      </c>
      <c r="Z911" s="81">
        <f>HLOOKUP(I911,データについて!$J$3:$M$18,16,FALSE)</f>
        <v>2</v>
      </c>
      <c r="AA911" s="81" t="str">
        <f>IFERROR(HLOOKUP(J911,データについて!$J$4:$AH$19,16,FALSE),"")</f>
        <v/>
      </c>
      <c r="AB911" s="81">
        <f>IFERROR(HLOOKUP(K911,データについて!$J$5:$AH$20,14,FALSE),"")</f>
        <v>3</v>
      </c>
      <c r="AC911" s="81">
        <f>IF(X911=1,HLOOKUP(R911,データについて!$J$12:$M$18,7,FALSE),"*")</f>
        <v>1</v>
      </c>
      <c r="AD911" s="81" t="str">
        <f>IF(X911=2,HLOOKUP(R911,データについて!$J$12:$M$18,7,FALSE),"*")</f>
        <v>*</v>
      </c>
    </row>
    <row r="912" spans="1:30">
      <c r="A912" s="30">
        <v>4280</v>
      </c>
      <c r="B912" s="30" t="s">
        <v>3308</v>
      </c>
      <c r="C912" s="30" t="s">
        <v>3309</v>
      </c>
      <c r="D912" s="30" t="s">
        <v>106</v>
      </c>
      <c r="E912" s="30"/>
      <c r="F912" s="30" t="s">
        <v>107</v>
      </c>
      <c r="G912" s="30" t="s">
        <v>106</v>
      </c>
      <c r="H912" s="30"/>
      <c r="I912" s="30" t="s">
        <v>191</v>
      </c>
      <c r="J912" s="30"/>
      <c r="K912" s="30" t="s">
        <v>3098</v>
      </c>
      <c r="L912" s="30" t="s">
        <v>117</v>
      </c>
      <c r="M912" s="30" t="s">
        <v>109</v>
      </c>
      <c r="N912" s="30" t="s">
        <v>122</v>
      </c>
      <c r="O912" s="30" t="s">
        <v>115</v>
      </c>
      <c r="P912" s="30" t="s">
        <v>112</v>
      </c>
      <c r="Q912" s="30" t="s">
        <v>112</v>
      </c>
      <c r="R912" s="30" t="s">
        <v>183</v>
      </c>
      <c r="S912" s="81">
        <f>HLOOKUP(L912,データについて!$J$6:$M$18,13,FALSE)</f>
        <v>2</v>
      </c>
      <c r="T912" s="81">
        <f>HLOOKUP(M912,データについて!$J$7:$M$18,12,FALSE)</f>
        <v>2</v>
      </c>
      <c r="U912" s="81">
        <f>HLOOKUP(N912,データについて!$J$8:$M$18,11,FALSE)</f>
        <v>3</v>
      </c>
      <c r="V912" s="81">
        <f>HLOOKUP(O912,データについて!$J$9:$M$18,10,FALSE)</f>
        <v>1</v>
      </c>
      <c r="W912" s="81">
        <f>HLOOKUP(P912,データについて!$J$10:$M$18,9,FALSE)</f>
        <v>1</v>
      </c>
      <c r="X912" s="81">
        <f>HLOOKUP(Q912,データについて!$J$11:$M$18,8,FALSE)</f>
        <v>1</v>
      </c>
      <c r="Y912" s="81">
        <f>HLOOKUP(R912,データについて!$J$12:$M$18,7,FALSE)</f>
        <v>1</v>
      </c>
      <c r="Z912" s="81">
        <f>HLOOKUP(I912,データについて!$J$3:$M$18,16,FALSE)</f>
        <v>2</v>
      </c>
      <c r="AA912" s="81" t="str">
        <f>IFERROR(HLOOKUP(J912,データについて!$J$4:$AH$19,16,FALSE),"")</f>
        <v/>
      </c>
      <c r="AB912" s="81">
        <f>IFERROR(HLOOKUP(K912,データについて!$J$5:$AH$20,14,FALSE),"")</f>
        <v>3</v>
      </c>
      <c r="AC912" s="81">
        <f>IF(X912=1,HLOOKUP(R912,データについて!$J$12:$M$18,7,FALSE),"*")</f>
        <v>1</v>
      </c>
      <c r="AD912" s="81" t="str">
        <f>IF(X912=2,HLOOKUP(R912,データについて!$J$12:$M$18,7,FALSE),"*")</f>
        <v>*</v>
      </c>
    </row>
    <row r="913" spans="1:30">
      <c r="A913" s="30">
        <v>4279</v>
      </c>
      <c r="B913" s="30" t="s">
        <v>3310</v>
      </c>
      <c r="C913" s="30" t="s">
        <v>3309</v>
      </c>
      <c r="D913" s="30" t="s">
        <v>106</v>
      </c>
      <c r="E913" s="30"/>
      <c r="F913" s="30" t="s">
        <v>107</v>
      </c>
      <c r="G913" s="30" t="s">
        <v>106</v>
      </c>
      <c r="H913" s="30"/>
      <c r="I913" s="30" t="s">
        <v>191</v>
      </c>
      <c r="J913" s="30"/>
      <c r="K913" s="30" t="s">
        <v>3098</v>
      </c>
      <c r="L913" s="30" t="s">
        <v>108</v>
      </c>
      <c r="M913" s="30" t="s">
        <v>113</v>
      </c>
      <c r="N913" s="30" t="s">
        <v>114</v>
      </c>
      <c r="O913" s="30" t="s">
        <v>115</v>
      </c>
      <c r="P913" s="30" t="s">
        <v>112</v>
      </c>
      <c r="Q913" s="30" t="s">
        <v>112</v>
      </c>
      <c r="R913" s="30" t="s">
        <v>183</v>
      </c>
      <c r="S913" s="81">
        <f>HLOOKUP(L913,データについて!$J$6:$M$18,13,FALSE)</f>
        <v>1</v>
      </c>
      <c r="T913" s="81">
        <f>HLOOKUP(M913,データについて!$J$7:$M$18,12,FALSE)</f>
        <v>1</v>
      </c>
      <c r="U913" s="81">
        <f>HLOOKUP(N913,データについて!$J$8:$M$18,11,FALSE)</f>
        <v>1</v>
      </c>
      <c r="V913" s="81">
        <f>HLOOKUP(O913,データについて!$J$9:$M$18,10,FALSE)</f>
        <v>1</v>
      </c>
      <c r="W913" s="81">
        <f>HLOOKUP(P913,データについて!$J$10:$M$18,9,FALSE)</f>
        <v>1</v>
      </c>
      <c r="X913" s="81">
        <f>HLOOKUP(Q913,データについて!$J$11:$M$18,8,FALSE)</f>
        <v>1</v>
      </c>
      <c r="Y913" s="81">
        <f>HLOOKUP(R913,データについて!$J$12:$M$18,7,FALSE)</f>
        <v>1</v>
      </c>
      <c r="Z913" s="81">
        <f>HLOOKUP(I913,データについて!$J$3:$M$18,16,FALSE)</f>
        <v>2</v>
      </c>
      <c r="AA913" s="81" t="str">
        <f>IFERROR(HLOOKUP(J913,データについて!$J$4:$AH$19,16,FALSE),"")</f>
        <v/>
      </c>
      <c r="AB913" s="81">
        <f>IFERROR(HLOOKUP(K913,データについて!$J$5:$AH$20,14,FALSE),"")</f>
        <v>3</v>
      </c>
      <c r="AC913" s="81">
        <f>IF(X913=1,HLOOKUP(R913,データについて!$J$12:$M$18,7,FALSE),"*")</f>
        <v>1</v>
      </c>
      <c r="AD913" s="81" t="str">
        <f>IF(X913=2,HLOOKUP(R913,データについて!$J$12:$M$18,7,FALSE),"*")</f>
        <v>*</v>
      </c>
    </row>
    <row r="914" spans="1:30">
      <c r="A914" s="30">
        <v>4278</v>
      </c>
      <c r="B914" s="30" t="s">
        <v>3311</v>
      </c>
      <c r="C914" s="30" t="s">
        <v>3312</v>
      </c>
      <c r="D914" s="30" t="s">
        <v>106</v>
      </c>
      <c r="E914" s="30"/>
      <c r="F914" s="30" t="s">
        <v>107</v>
      </c>
      <c r="G914" s="30" t="s">
        <v>106</v>
      </c>
      <c r="H914" s="30"/>
      <c r="I914" s="30" t="s">
        <v>191</v>
      </c>
      <c r="J914" s="30"/>
      <c r="K914" s="30" t="s">
        <v>3098</v>
      </c>
      <c r="L914" s="30" t="s">
        <v>108</v>
      </c>
      <c r="M914" s="30" t="s">
        <v>113</v>
      </c>
      <c r="N914" s="30" t="s">
        <v>114</v>
      </c>
      <c r="O914" s="30" t="s">
        <v>115</v>
      </c>
      <c r="P914" s="30" t="s">
        <v>112</v>
      </c>
      <c r="Q914" s="30" t="s">
        <v>112</v>
      </c>
      <c r="R914" s="30" t="s">
        <v>185</v>
      </c>
      <c r="S914" s="81">
        <f>HLOOKUP(L914,データについて!$J$6:$M$18,13,FALSE)</f>
        <v>1</v>
      </c>
      <c r="T914" s="81">
        <f>HLOOKUP(M914,データについて!$J$7:$M$18,12,FALSE)</f>
        <v>1</v>
      </c>
      <c r="U914" s="81">
        <f>HLOOKUP(N914,データについて!$J$8:$M$18,11,FALSE)</f>
        <v>1</v>
      </c>
      <c r="V914" s="81">
        <f>HLOOKUP(O914,データについて!$J$9:$M$18,10,FALSE)</f>
        <v>1</v>
      </c>
      <c r="W914" s="81">
        <f>HLOOKUP(P914,データについて!$J$10:$M$18,9,FALSE)</f>
        <v>1</v>
      </c>
      <c r="X914" s="81">
        <f>HLOOKUP(Q914,データについて!$J$11:$M$18,8,FALSE)</f>
        <v>1</v>
      </c>
      <c r="Y914" s="81">
        <f>HLOOKUP(R914,データについて!$J$12:$M$18,7,FALSE)</f>
        <v>2</v>
      </c>
      <c r="Z914" s="81">
        <f>HLOOKUP(I914,データについて!$J$3:$M$18,16,FALSE)</f>
        <v>2</v>
      </c>
      <c r="AA914" s="81" t="str">
        <f>IFERROR(HLOOKUP(J914,データについて!$J$4:$AH$19,16,FALSE),"")</f>
        <v/>
      </c>
      <c r="AB914" s="81">
        <f>IFERROR(HLOOKUP(K914,データについて!$J$5:$AH$20,14,FALSE),"")</f>
        <v>3</v>
      </c>
      <c r="AC914" s="81">
        <f>IF(X914=1,HLOOKUP(R914,データについて!$J$12:$M$18,7,FALSE),"*")</f>
        <v>2</v>
      </c>
      <c r="AD914" s="81" t="str">
        <f>IF(X914=2,HLOOKUP(R914,データについて!$J$12:$M$18,7,FALSE),"*")</f>
        <v>*</v>
      </c>
    </row>
    <row r="915" spans="1:30">
      <c r="A915" s="30">
        <v>4277</v>
      </c>
      <c r="B915" s="30" t="s">
        <v>3313</v>
      </c>
      <c r="C915" s="30" t="s">
        <v>3314</v>
      </c>
      <c r="D915" s="30" t="s">
        <v>106</v>
      </c>
      <c r="E915" s="30"/>
      <c r="F915" s="30" t="s">
        <v>107</v>
      </c>
      <c r="G915" s="30" t="s">
        <v>106</v>
      </c>
      <c r="H915" s="30"/>
      <c r="I915" s="30" t="s">
        <v>191</v>
      </c>
      <c r="J915" s="30"/>
      <c r="K915" s="30" t="s">
        <v>3098</v>
      </c>
      <c r="L915" s="30" t="s">
        <v>117</v>
      </c>
      <c r="M915" s="30" t="s">
        <v>113</v>
      </c>
      <c r="N915" s="30" t="s">
        <v>110</v>
      </c>
      <c r="O915" s="30" t="s">
        <v>115</v>
      </c>
      <c r="P915" s="30" t="s">
        <v>118</v>
      </c>
      <c r="Q915" s="30" t="s">
        <v>112</v>
      </c>
      <c r="R915" s="30" t="s">
        <v>187</v>
      </c>
      <c r="S915" s="81">
        <f>HLOOKUP(L915,データについて!$J$6:$M$18,13,FALSE)</f>
        <v>2</v>
      </c>
      <c r="T915" s="81">
        <f>HLOOKUP(M915,データについて!$J$7:$M$18,12,FALSE)</f>
        <v>1</v>
      </c>
      <c r="U915" s="81">
        <f>HLOOKUP(N915,データについて!$J$8:$M$18,11,FALSE)</f>
        <v>2</v>
      </c>
      <c r="V915" s="81">
        <f>HLOOKUP(O915,データについて!$J$9:$M$18,10,FALSE)</f>
        <v>1</v>
      </c>
      <c r="W915" s="81">
        <f>HLOOKUP(P915,データについて!$J$10:$M$18,9,FALSE)</f>
        <v>2</v>
      </c>
      <c r="X915" s="81">
        <f>HLOOKUP(Q915,データについて!$J$11:$M$18,8,FALSE)</f>
        <v>1</v>
      </c>
      <c r="Y915" s="81">
        <f>HLOOKUP(R915,データについて!$J$12:$M$18,7,FALSE)</f>
        <v>3</v>
      </c>
      <c r="Z915" s="81">
        <f>HLOOKUP(I915,データについて!$J$3:$M$18,16,FALSE)</f>
        <v>2</v>
      </c>
      <c r="AA915" s="81" t="str">
        <f>IFERROR(HLOOKUP(J915,データについて!$J$4:$AH$19,16,FALSE),"")</f>
        <v/>
      </c>
      <c r="AB915" s="81">
        <f>IFERROR(HLOOKUP(K915,データについて!$J$5:$AH$20,14,FALSE),"")</f>
        <v>3</v>
      </c>
      <c r="AC915" s="81">
        <f>IF(X915=1,HLOOKUP(R915,データについて!$J$12:$M$18,7,FALSE),"*")</f>
        <v>3</v>
      </c>
      <c r="AD915" s="81" t="str">
        <f>IF(X915=2,HLOOKUP(R915,データについて!$J$12:$M$18,7,FALSE),"*")</f>
        <v>*</v>
      </c>
    </row>
    <row r="916" spans="1:30">
      <c r="A916" s="30">
        <v>4276</v>
      </c>
      <c r="B916" s="30" t="s">
        <v>3315</v>
      </c>
      <c r="C916" s="30" t="s">
        <v>3316</v>
      </c>
      <c r="D916" s="30" t="s">
        <v>106</v>
      </c>
      <c r="E916" s="30"/>
      <c r="F916" s="30" t="s">
        <v>107</v>
      </c>
      <c r="G916" s="30" t="s">
        <v>106</v>
      </c>
      <c r="H916" s="30"/>
      <c r="I916" s="30" t="s">
        <v>191</v>
      </c>
      <c r="J916" s="30"/>
      <c r="K916" s="30" t="s">
        <v>3098</v>
      </c>
      <c r="L916" s="30" t="s">
        <v>117</v>
      </c>
      <c r="M916" s="30" t="s">
        <v>109</v>
      </c>
      <c r="N916" s="30" t="s">
        <v>110</v>
      </c>
      <c r="O916" s="30" t="s">
        <v>115</v>
      </c>
      <c r="P916" s="30" t="s">
        <v>112</v>
      </c>
      <c r="Q916" s="30" t="s">
        <v>112</v>
      </c>
      <c r="R916" s="30" t="s">
        <v>187</v>
      </c>
      <c r="S916" s="81">
        <f>HLOOKUP(L916,データについて!$J$6:$M$18,13,FALSE)</f>
        <v>2</v>
      </c>
      <c r="T916" s="81">
        <f>HLOOKUP(M916,データについて!$J$7:$M$18,12,FALSE)</f>
        <v>2</v>
      </c>
      <c r="U916" s="81">
        <f>HLOOKUP(N916,データについて!$J$8:$M$18,11,FALSE)</f>
        <v>2</v>
      </c>
      <c r="V916" s="81">
        <f>HLOOKUP(O916,データについて!$J$9:$M$18,10,FALSE)</f>
        <v>1</v>
      </c>
      <c r="W916" s="81">
        <f>HLOOKUP(P916,データについて!$J$10:$M$18,9,FALSE)</f>
        <v>1</v>
      </c>
      <c r="X916" s="81">
        <f>HLOOKUP(Q916,データについて!$J$11:$M$18,8,FALSE)</f>
        <v>1</v>
      </c>
      <c r="Y916" s="81">
        <f>HLOOKUP(R916,データについて!$J$12:$M$18,7,FALSE)</f>
        <v>3</v>
      </c>
      <c r="Z916" s="81">
        <f>HLOOKUP(I916,データについて!$J$3:$M$18,16,FALSE)</f>
        <v>2</v>
      </c>
      <c r="AA916" s="81" t="str">
        <f>IFERROR(HLOOKUP(J916,データについて!$J$4:$AH$19,16,FALSE),"")</f>
        <v/>
      </c>
      <c r="AB916" s="81">
        <f>IFERROR(HLOOKUP(K916,データについて!$J$5:$AH$20,14,FALSE),"")</f>
        <v>3</v>
      </c>
      <c r="AC916" s="81">
        <f>IF(X916=1,HLOOKUP(R916,データについて!$J$12:$M$18,7,FALSE),"*")</f>
        <v>3</v>
      </c>
      <c r="AD916" s="81" t="str">
        <f>IF(X916=2,HLOOKUP(R916,データについて!$J$12:$M$18,7,FALSE),"*")</f>
        <v>*</v>
      </c>
    </row>
    <row r="917" spans="1:30">
      <c r="A917" s="30">
        <v>4275</v>
      </c>
      <c r="B917" s="30" t="s">
        <v>3317</v>
      </c>
      <c r="C917" s="30" t="s">
        <v>3316</v>
      </c>
      <c r="D917" s="30" t="s">
        <v>106</v>
      </c>
      <c r="E917" s="30"/>
      <c r="F917" s="30" t="s">
        <v>107</v>
      </c>
      <c r="G917" s="30" t="s">
        <v>106</v>
      </c>
      <c r="H917" s="30"/>
      <c r="I917" s="30" t="s">
        <v>191</v>
      </c>
      <c r="J917" s="30"/>
      <c r="K917" s="30" t="s">
        <v>3098</v>
      </c>
      <c r="L917" s="30" t="s">
        <v>117</v>
      </c>
      <c r="M917" s="30" t="s">
        <v>109</v>
      </c>
      <c r="N917" s="30" t="s">
        <v>110</v>
      </c>
      <c r="O917" s="30" t="s">
        <v>115</v>
      </c>
      <c r="P917" s="30" t="s">
        <v>112</v>
      </c>
      <c r="Q917" s="30" t="s">
        <v>112</v>
      </c>
      <c r="R917" s="30" t="s">
        <v>185</v>
      </c>
      <c r="S917" s="81">
        <f>HLOOKUP(L917,データについて!$J$6:$M$18,13,FALSE)</f>
        <v>2</v>
      </c>
      <c r="T917" s="81">
        <f>HLOOKUP(M917,データについて!$J$7:$M$18,12,FALSE)</f>
        <v>2</v>
      </c>
      <c r="U917" s="81">
        <f>HLOOKUP(N917,データについて!$J$8:$M$18,11,FALSE)</f>
        <v>2</v>
      </c>
      <c r="V917" s="81">
        <f>HLOOKUP(O917,データについて!$J$9:$M$18,10,FALSE)</f>
        <v>1</v>
      </c>
      <c r="W917" s="81">
        <f>HLOOKUP(P917,データについて!$J$10:$M$18,9,FALSE)</f>
        <v>1</v>
      </c>
      <c r="X917" s="81">
        <f>HLOOKUP(Q917,データについて!$J$11:$M$18,8,FALSE)</f>
        <v>1</v>
      </c>
      <c r="Y917" s="81">
        <f>HLOOKUP(R917,データについて!$J$12:$M$18,7,FALSE)</f>
        <v>2</v>
      </c>
      <c r="Z917" s="81">
        <f>HLOOKUP(I917,データについて!$J$3:$M$18,16,FALSE)</f>
        <v>2</v>
      </c>
      <c r="AA917" s="81" t="str">
        <f>IFERROR(HLOOKUP(J917,データについて!$J$4:$AH$19,16,FALSE),"")</f>
        <v/>
      </c>
      <c r="AB917" s="81">
        <f>IFERROR(HLOOKUP(K917,データについて!$J$5:$AH$20,14,FALSE),"")</f>
        <v>3</v>
      </c>
      <c r="AC917" s="81">
        <f>IF(X917=1,HLOOKUP(R917,データについて!$J$12:$M$18,7,FALSE),"*")</f>
        <v>2</v>
      </c>
      <c r="AD917" s="81" t="str">
        <f>IF(X917=2,HLOOKUP(R917,データについて!$J$12:$M$18,7,FALSE),"*")</f>
        <v>*</v>
      </c>
    </row>
    <row r="918" spans="1:30">
      <c r="A918" s="30">
        <v>4274</v>
      </c>
      <c r="B918" s="30" t="s">
        <v>3318</v>
      </c>
      <c r="C918" s="30" t="s">
        <v>3316</v>
      </c>
      <c r="D918" s="30" t="s">
        <v>106</v>
      </c>
      <c r="E918" s="30"/>
      <c r="F918" s="30" t="s">
        <v>107</v>
      </c>
      <c r="G918" s="30" t="s">
        <v>106</v>
      </c>
      <c r="H918" s="30"/>
      <c r="I918" s="30" t="s">
        <v>191</v>
      </c>
      <c r="J918" s="30"/>
      <c r="K918" s="30" t="s">
        <v>3098</v>
      </c>
      <c r="L918" s="30" t="s">
        <v>108</v>
      </c>
      <c r="M918" s="30" t="s">
        <v>113</v>
      </c>
      <c r="N918" s="30" t="s">
        <v>110</v>
      </c>
      <c r="O918" s="30" t="s">
        <v>115</v>
      </c>
      <c r="P918" s="30" t="s">
        <v>112</v>
      </c>
      <c r="Q918" s="30" t="s">
        <v>112</v>
      </c>
      <c r="R918" s="30" t="s">
        <v>185</v>
      </c>
      <c r="S918" s="81">
        <f>HLOOKUP(L918,データについて!$J$6:$M$18,13,FALSE)</f>
        <v>1</v>
      </c>
      <c r="T918" s="81">
        <f>HLOOKUP(M918,データについて!$J$7:$M$18,12,FALSE)</f>
        <v>1</v>
      </c>
      <c r="U918" s="81">
        <f>HLOOKUP(N918,データについて!$J$8:$M$18,11,FALSE)</f>
        <v>2</v>
      </c>
      <c r="V918" s="81">
        <f>HLOOKUP(O918,データについて!$J$9:$M$18,10,FALSE)</f>
        <v>1</v>
      </c>
      <c r="W918" s="81">
        <f>HLOOKUP(P918,データについて!$J$10:$M$18,9,FALSE)</f>
        <v>1</v>
      </c>
      <c r="X918" s="81">
        <f>HLOOKUP(Q918,データについて!$J$11:$M$18,8,FALSE)</f>
        <v>1</v>
      </c>
      <c r="Y918" s="81">
        <f>HLOOKUP(R918,データについて!$J$12:$M$18,7,FALSE)</f>
        <v>2</v>
      </c>
      <c r="Z918" s="81">
        <f>HLOOKUP(I918,データについて!$J$3:$M$18,16,FALSE)</f>
        <v>2</v>
      </c>
      <c r="AA918" s="81" t="str">
        <f>IFERROR(HLOOKUP(J918,データについて!$J$4:$AH$19,16,FALSE),"")</f>
        <v/>
      </c>
      <c r="AB918" s="81">
        <f>IFERROR(HLOOKUP(K918,データについて!$J$5:$AH$20,14,FALSE),"")</f>
        <v>3</v>
      </c>
      <c r="AC918" s="81">
        <f>IF(X918=1,HLOOKUP(R918,データについて!$J$12:$M$18,7,FALSE),"*")</f>
        <v>2</v>
      </c>
      <c r="AD918" s="81" t="str">
        <f>IF(X918=2,HLOOKUP(R918,データについて!$J$12:$M$18,7,FALSE),"*")</f>
        <v>*</v>
      </c>
    </row>
    <row r="919" spans="1:30">
      <c r="A919" s="30">
        <v>4273</v>
      </c>
      <c r="B919" s="30" t="s">
        <v>3319</v>
      </c>
      <c r="C919" s="30" t="s">
        <v>3320</v>
      </c>
      <c r="D919" s="30" t="s">
        <v>106</v>
      </c>
      <c r="E919" s="30"/>
      <c r="F919" s="30" t="s">
        <v>107</v>
      </c>
      <c r="G919" s="30" t="s">
        <v>106</v>
      </c>
      <c r="H919" s="30"/>
      <c r="I919" s="30" t="s">
        <v>191</v>
      </c>
      <c r="J919" s="30"/>
      <c r="K919" s="30" t="s">
        <v>3098</v>
      </c>
      <c r="L919" s="30" t="s">
        <v>108</v>
      </c>
      <c r="M919" s="30" t="s">
        <v>113</v>
      </c>
      <c r="N919" s="30" t="s">
        <v>114</v>
      </c>
      <c r="O919" s="30" t="s">
        <v>115</v>
      </c>
      <c r="P919" s="30" t="s">
        <v>112</v>
      </c>
      <c r="Q919" s="30" t="s">
        <v>112</v>
      </c>
      <c r="R919" s="30" t="s">
        <v>183</v>
      </c>
      <c r="S919" s="81">
        <f>HLOOKUP(L919,データについて!$J$6:$M$18,13,FALSE)</f>
        <v>1</v>
      </c>
      <c r="T919" s="81">
        <f>HLOOKUP(M919,データについて!$J$7:$M$18,12,FALSE)</f>
        <v>1</v>
      </c>
      <c r="U919" s="81">
        <f>HLOOKUP(N919,データについて!$J$8:$M$18,11,FALSE)</f>
        <v>1</v>
      </c>
      <c r="V919" s="81">
        <f>HLOOKUP(O919,データについて!$J$9:$M$18,10,FALSE)</f>
        <v>1</v>
      </c>
      <c r="W919" s="81">
        <f>HLOOKUP(P919,データについて!$J$10:$M$18,9,FALSE)</f>
        <v>1</v>
      </c>
      <c r="X919" s="81">
        <f>HLOOKUP(Q919,データについて!$J$11:$M$18,8,FALSE)</f>
        <v>1</v>
      </c>
      <c r="Y919" s="81">
        <f>HLOOKUP(R919,データについて!$J$12:$M$18,7,FALSE)</f>
        <v>1</v>
      </c>
      <c r="Z919" s="81">
        <f>HLOOKUP(I919,データについて!$J$3:$M$18,16,FALSE)</f>
        <v>2</v>
      </c>
      <c r="AA919" s="81" t="str">
        <f>IFERROR(HLOOKUP(J919,データについて!$J$4:$AH$19,16,FALSE),"")</f>
        <v/>
      </c>
      <c r="AB919" s="81">
        <f>IFERROR(HLOOKUP(K919,データについて!$J$5:$AH$20,14,FALSE),"")</f>
        <v>3</v>
      </c>
      <c r="AC919" s="81">
        <f>IF(X919=1,HLOOKUP(R919,データについて!$J$12:$M$18,7,FALSE),"*")</f>
        <v>1</v>
      </c>
      <c r="AD919" s="81" t="str">
        <f>IF(X919=2,HLOOKUP(R919,データについて!$J$12:$M$18,7,FALSE),"*")</f>
        <v>*</v>
      </c>
    </row>
    <row r="920" spans="1:30">
      <c r="A920" s="30">
        <v>4272</v>
      </c>
      <c r="B920" s="30" t="s">
        <v>3321</v>
      </c>
      <c r="C920" s="30" t="s">
        <v>3320</v>
      </c>
      <c r="D920" s="30" t="s">
        <v>106</v>
      </c>
      <c r="E920" s="30"/>
      <c r="F920" s="30" t="s">
        <v>107</v>
      </c>
      <c r="G920" s="30" t="s">
        <v>106</v>
      </c>
      <c r="H920" s="30"/>
      <c r="I920" s="30" t="s">
        <v>191</v>
      </c>
      <c r="J920" s="30"/>
      <c r="K920" s="30" t="s">
        <v>3098</v>
      </c>
      <c r="L920" s="30" t="s">
        <v>108</v>
      </c>
      <c r="M920" s="30" t="s">
        <v>113</v>
      </c>
      <c r="N920" s="30" t="s">
        <v>114</v>
      </c>
      <c r="O920" s="30" t="s">
        <v>115</v>
      </c>
      <c r="P920" s="30" t="s">
        <v>112</v>
      </c>
      <c r="Q920" s="30" t="s">
        <v>112</v>
      </c>
      <c r="R920" s="30" t="s">
        <v>183</v>
      </c>
      <c r="S920" s="81">
        <f>HLOOKUP(L920,データについて!$J$6:$M$18,13,FALSE)</f>
        <v>1</v>
      </c>
      <c r="T920" s="81">
        <f>HLOOKUP(M920,データについて!$J$7:$M$18,12,FALSE)</f>
        <v>1</v>
      </c>
      <c r="U920" s="81">
        <f>HLOOKUP(N920,データについて!$J$8:$M$18,11,FALSE)</f>
        <v>1</v>
      </c>
      <c r="V920" s="81">
        <f>HLOOKUP(O920,データについて!$J$9:$M$18,10,FALSE)</f>
        <v>1</v>
      </c>
      <c r="W920" s="81">
        <f>HLOOKUP(P920,データについて!$J$10:$M$18,9,FALSE)</f>
        <v>1</v>
      </c>
      <c r="X920" s="81">
        <f>HLOOKUP(Q920,データについて!$J$11:$M$18,8,FALSE)</f>
        <v>1</v>
      </c>
      <c r="Y920" s="81">
        <f>HLOOKUP(R920,データについて!$J$12:$M$18,7,FALSE)</f>
        <v>1</v>
      </c>
      <c r="Z920" s="81">
        <f>HLOOKUP(I920,データについて!$J$3:$M$18,16,FALSE)</f>
        <v>2</v>
      </c>
      <c r="AA920" s="81" t="str">
        <f>IFERROR(HLOOKUP(J920,データについて!$J$4:$AH$19,16,FALSE),"")</f>
        <v/>
      </c>
      <c r="AB920" s="81">
        <f>IFERROR(HLOOKUP(K920,データについて!$J$5:$AH$20,14,FALSE),"")</f>
        <v>3</v>
      </c>
      <c r="AC920" s="81">
        <f>IF(X920=1,HLOOKUP(R920,データについて!$J$12:$M$18,7,FALSE),"*")</f>
        <v>1</v>
      </c>
      <c r="AD920" s="81" t="str">
        <f>IF(X920=2,HLOOKUP(R920,データについて!$J$12:$M$18,7,FALSE),"*")</f>
        <v>*</v>
      </c>
    </row>
    <row r="921" spans="1:30">
      <c r="A921" s="30">
        <v>4271</v>
      </c>
      <c r="B921" s="30" t="s">
        <v>3322</v>
      </c>
      <c r="C921" s="30" t="s">
        <v>3323</v>
      </c>
      <c r="D921" s="30" t="s">
        <v>106</v>
      </c>
      <c r="E921" s="30"/>
      <c r="F921" s="30" t="s">
        <v>107</v>
      </c>
      <c r="G921" s="30" t="s">
        <v>106</v>
      </c>
      <c r="H921" s="30"/>
      <c r="I921" s="30" t="s">
        <v>191</v>
      </c>
      <c r="J921" s="30"/>
      <c r="K921" s="30" t="s">
        <v>3098</v>
      </c>
      <c r="L921" s="30" t="s">
        <v>117</v>
      </c>
      <c r="M921" s="30" t="s">
        <v>113</v>
      </c>
      <c r="N921" s="30" t="s">
        <v>110</v>
      </c>
      <c r="O921" s="30" t="s">
        <v>115</v>
      </c>
      <c r="P921" s="30" t="s">
        <v>112</v>
      </c>
      <c r="Q921" s="30" t="s">
        <v>112</v>
      </c>
      <c r="R921" s="30" t="s">
        <v>185</v>
      </c>
      <c r="S921" s="81">
        <f>HLOOKUP(L921,データについて!$J$6:$M$18,13,FALSE)</f>
        <v>2</v>
      </c>
      <c r="T921" s="81">
        <f>HLOOKUP(M921,データについて!$J$7:$M$18,12,FALSE)</f>
        <v>1</v>
      </c>
      <c r="U921" s="81">
        <f>HLOOKUP(N921,データについて!$J$8:$M$18,11,FALSE)</f>
        <v>2</v>
      </c>
      <c r="V921" s="81">
        <f>HLOOKUP(O921,データについて!$J$9:$M$18,10,FALSE)</f>
        <v>1</v>
      </c>
      <c r="W921" s="81">
        <f>HLOOKUP(P921,データについて!$J$10:$M$18,9,FALSE)</f>
        <v>1</v>
      </c>
      <c r="X921" s="81">
        <f>HLOOKUP(Q921,データについて!$J$11:$M$18,8,FALSE)</f>
        <v>1</v>
      </c>
      <c r="Y921" s="81">
        <f>HLOOKUP(R921,データについて!$J$12:$M$18,7,FALSE)</f>
        <v>2</v>
      </c>
      <c r="Z921" s="81">
        <f>HLOOKUP(I921,データについて!$J$3:$M$18,16,FALSE)</f>
        <v>2</v>
      </c>
      <c r="AA921" s="81" t="str">
        <f>IFERROR(HLOOKUP(J921,データについて!$J$4:$AH$19,16,FALSE),"")</f>
        <v/>
      </c>
      <c r="AB921" s="81">
        <f>IFERROR(HLOOKUP(K921,データについて!$J$5:$AH$20,14,FALSE),"")</f>
        <v>3</v>
      </c>
      <c r="AC921" s="81">
        <f>IF(X921=1,HLOOKUP(R921,データについて!$J$12:$M$18,7,FALSE),"*")</f>
        <v>2</v>
      </c>
      <c r="AD921" s="81" t="str">
        <f>IF(X921=2,HLOOKUP(R921,データについて!$J$12:$M$18,7,FALSE),"*")</f>
        <v>*</v>
      </c>
    </row>
    <row r="922" spans="1:30">
      <c r="A922" s="30">
        <v>4270</v>
      </c>
      <c r="B922" s="30" t="s">
        <v>3324</v>
      </c>
      <c r="C922" s="30" t="s">
        <v>3325</v>
      </c>
      <c r="D922" s="30" t="s">
        <v>106</v>
      </c>
      <c r="E922" s="30"/>
      <c r="F922" s="30" t="s">
        <v>107</v>
      </c>
      <c r="G922" s="30" t="s">
        <v>106</v>
      </c>
      <c r="H922" s="30"/>
      <c r="I922" s="30" t="s">
        <v>191</v>
      </c>
      <c r="J922" s="30"/>
      <c r="K922" s="30" t="s">
        <v>3098</v>
      </c>
      <c r="L922" s="30" t="s">
        <v>108</v>
      </c>
      <c r="M922" s="30" t="s">
        <v>109</v>
      </c>
      <c r="N922" s="30" t="s">
        <v>119</v>
      </c>
      <c r="O922" s="30" t="s">
        <v>116</v>
      </c>
      <c r="P922" s="30" t="s">
        <v>112</v>
      </c>
      <c r="Q922" s="30" t="s">
        <v>112</v>
      </c>
      <c r="R922" s="30" t="s">
        <v>185</v>
      </c>
      <c r="S922" s="81">
        <f>HLOOKUP(L922,データについて!$J$6:$M$18,13,FALSE)</f>
        <v>1</v>
      </c>
      <c r="T922" s="81">
        <f>HLOOKUP(M922,データについて!$J$7:$M$18,12,FALSE)</f>
        <v>2</v>
      </c>
      <c r="U922" s="81">
        <f>HLOOKUP(N922,データについて!$J$8:$M$18,11,FALSE)</f>
        <v>4</v>
      </c>
      <c r="V922" s="81">
        <f>HLOOKUP(O922,データについて!$J$9:$M$18,10,FALSE)</f>
        <v>2</v>
      </c>
      <c r="W922" s="81">
        <f>HLOOKUP(P922,データについて!$J$10:$M$18,9,FALSE)</f>
        <v>1</v>
      </c>
      <c r="X922" s="81">
        <f>HLOOKUP(Q922,データについて!$J$11:$M$18,8,FALSE)</f>
        <v>1</v>
      </c>
      <c r="Y922" s="81">
        <f>HLOOKUP(R922,データについて!$J$12:$M$18,7,FALSE)</f>
        <v>2</v>
      </c>
      <c r="Z922" s="81">
        <f>HLOOKUP(I922,データについて!$J$3:$M$18,16,FALSE)</f>
        <v>2</v>
      </c>
      <c r="AA922" s="81" t="str">
        <f>IFERROR(HLOOKUP(J922,データについて!$J$4:$AH$19,16,FALSE),"")</f>
        <v/>
      </c>
      <c r="AB922" s="81">
        <f>IFERROR(HLOOKUP(K922,データについて!$J$5:$AH$20,14,FALSE),"")</f>
        <v>3</v>
      </c>
      <c r="AC922" s="81">
        <f>IF(X922=1,HLOOKUP(R922,データについて!$J$12:$M$18,7,FALSE),"*")</f>
        <v>2</v>
      </c>
      <c r="AD922" s="81" t="str">
        <f>IF(X922=2,HLOOKUP(R922,データについて!$J$12:$M$18,7,FALSE),"*")</f>
        <v>*</v>
      </c>
    </row>
    <row r="923" spans="1:30">
      <c r="A923" s="30">
        <v>4269</v>
      </c>
      <c r="B923" s="30" t="s">
        <v>3326</v>
      </c>
      <c r="C923" s="30" t="s">
        <v>3327</v>
      </c>
      <c r="D923" s="30" t="s">
        <v>106</v>
      </c>
      <c r="E923" s="30"/>
      <c r="F923" s="30" t="s">
        <v>107</v>
      </c>
      <c r="G923" s="30" t="s">
        <v>106</v>
      </c>
      <c r="H923" s="30"/>
      <c r="I923" s="30" t="s">
        <v>191</v>
      </c>
      <c r="J923" s="30"/>
      <c r="K923" s="30" t="s">
        <v>3098</v>
      </c>
      <c r="L923" s="30" t="s">
        <v>117</v>
      </c>
      <c r="M923" s="30" t="s">
        <v>124</v>
      </c>
      <c r="N923" s="30" t="s">
        <v>122</v>
      </c>
      <c r="O923" s="30" t="s">
        <v>115</v>
      </c>
      <c r="P923" s="30" t="s">
        <v>118</v>
      </c>
      <c r="Q923" s="30" t="s">
        <v>112</v>
      </c>
      <c r="R923" s="30" t="s">
        <v>185</v>
      </c>
      <c r="S923" s="81">
        <f>HLOOKUP(L923,データについて!$J$6:$M$18,13,FALSE)</f>
        <v>2</v>
      </c>
      <c r="T923" s="81">
        <f>HLOOKUP(M923,データについて!$J$7:$M$18,12,FALSE)</f>
        <v>3</v>
      </c>
      <c r="U923" s="81">
        <f>HLOOKUP(N923,データについて!$J$8:$M$18,11,FALSE)</f>
        <v>3</v>
      </c>
      <c r="V923" s="81">
        <f>HLOOKUP(O923,データについて!$J$9:$M$18,10,FALSE)</f>
        <v>1</v>
      </c>
      <c r="W923" s="81">
        <f>HLOOKUP(P923,データについて!$J$10:$M$18,9,FALSE)</f>
        <v>2</v>
      </c>
      <c r="X923" s="81">
        <f>HLOOKUP(Q923,データについて!$J$11:$M$18,8,FALSE)</f>
        <v>1</v>
      </c>
      <c r="Y923" s="81">
        <f>HLOOKUP(R923,データについて!$J$12:$M$18,7,FALSE)</f>
        <v>2</v>
      </c>
      <c r="Z923" s="81">
        <f>HLOOKUP(I923,データについて!$J$3:$M$18,16,FALSE)</f>
        <v>2</v>
      </c>
      <c r="AA923" s="81" t="str">
        <f>IFERROR(HLOOKUP(J923,データについて!$J$4:$AH$19,16,FALSE),"")</f>
        <v/>
      </c>
      <c r="AB923" s="81">
        <f>IFERROR(HLOOKUP(K923,データについて!$J$5:$AH$20,14,FALSE),"")</f>
        <v>3</v>
      </c>
      <c r="AC923" s="81">
        <f>IF(X923=1,HLOOKUP(R923,データについて!$J$12:$M$18,7,FALSE),"*")</f>
        <v>2</v>
      </c>
      <c r="AD923" s="81" t="str">
        <f>IF(X923=2,HLOOKUP(R923,データについて!$J$12:$M$18,7,FALSE),"*")</f>
        <v>*</v>
      </c>
    </row>
    <row r="924" spans="1:30">
      <c r="A924" s="30">
        <v>4268</v>
      </c>
      <c r="B924" s="30" t="s">
        <v>3328</v>
      </c>
      <c r="C924" s="30" t="s">
        <v>3327</v>
      </c>
      <c r="D924" s="30" t="s">
        <v>106</v>
      </c>
      <c r="E924" s="30"/>
      <c r="F924" s="30" t="s">
        <v>107</v>
      </c>
      <c r="G924" s="30" t="s">
        <v>106</v>
      </c>
      <c r="H924" s="30"/>
      <c r="I924" s="30" t="s">
        <v>191</v>
      </c>
      <c r="J924" s="30"/>
      <c r="K924" s="30" t="s">
        <v>3098</v>
      </c>
      <c r="L924" s="30" t="s">
        <v>117</v>
      </c>
      <c r="M924" s="30" t="s">
        <v>113</v>
      </c>
      <c r="N924" s="30" t="s">
        <v>114</v>
      </c>
      <c r="O924" s="30" t="s">
        <v>115</v>
      </c>
      <c r="P924" s="30" t="s">
        <v>112</v>
      </c>
      <c r="Q924" s="30" t="s">
        <v>112</v>
      </c>
      <c r="R924" s="30" t="s">
        <v>185</v>
      </c>
      <c r="S924" s="81">
        <f>HLOOKUP(L924,データについて!$J$6:$M$18,13,FALSE)</f>
        <v>2</v>
      </c>
      <c r="T924" s="81">
        <f>HLOOKUP(M924,データについて!$J$7:$M$18,12,FALSE)</f>
        <v>1</v>
      </c>
      <c r="U924" s="81">
        <f>HLOOKUP(N924,データについて!$J$8:$M$18,11,FALSE)</f>
        <v>1</v>
      </c>
      <c r="V924" s="81">
        <f>HLOOKUP(O924,データについて!$J$9:$M$18,10,FALSE)</f>
        <v>1</v>
      </c>
      <c r="W924" s="81">
        <f>HLOOKUP(P924,データについて!$J$10:$M$18,9,FALSE)</f>
        <v>1</v>
      </c>
      <c r="X924" s="81">
        <f>HLOOKUP(Q924,データについて!$J$11:$M$18,8,FALSE)</f>
        <v>1</v>
      </c>
      <c r="Y924" s="81">
        <f>HLOOKUP(R924,データについて!$J$12:$M$18,7,FALSE)</f>
        <v>2</v>
      </c>
      <c r="Z924" s="81">
        <f>HLOOKUP(I924,データについて!$J$3:$M$18,16,FALSE)</f>
        <v>2</v>
      </c>
      <c r="AA924" s="81" t="str">
        <f>IFERROR(HLOOKUP(J924,データについて!$J$4:$AH$19,16,FALSE),"")</f>
        <v/>
      </c>
      <c r="AB924" s="81">
        <f>IFERROR(HLOOKUP(K924,データについて!$J$5:$AH$20,14,FALSE),"")</f>
        <v>3</v>
      </c>
      <c r="AC924" s="81">
        <f>IF(X924=1,HLOOKUP(R924,データについて!$J$12:$M$18,7,FALSE),"*")</f>
        <v>2</v>
      </c>
      <c r="AD924" s="81" t="str">
        <f>IF(X924=2,HLOOKUP(R924,データについて!$J$12:$M$18,7,FALSE),"*")</f>
        <v>*</v>
      </c>
    </row>
    <row r="925" spans="1:30">
      <c r="A925" s="30">
        <v>4267</v>
      </c>
      <c r="B925" s="30" t="s">
        <v>3329</v>
      </c>
      <c r="C925" s="30" t="s">
        <v>3330</v>
      </c>
      <c r="D925" s="30" t="s">
        <v>106</v>
      </c>
      <c r="E925" s="30"/>
      <c r="F925" s="30" t="s">
        <v>107</v>
      </c>
      <c r="G925" s="30" t="s">
        <v>106</v>
      </c>
      <c r="H925" s="30"/>
      <c r="I925" s="30" t="s">
        <v>191</v>
      </c>
      <c r="J925" s="30"/>
      <c r="K925" s="30" t="s">
        <v>3098</v>
      </c>
      <c r="L925" s="30" t="s">
        <v>117</v>
      </c>
      <c r="M925" s="30" t="s">
        <v>109</v>
      </c>
      <c r="N925" s="30" t="s">
        <v>122</v>
      </c>
      <c r="O925" s="30" t="s">
        <v>115</v>
      </c>
      <c r="P925" s="30" t="s">
        <v>112</v>
      </c>
      <c r="Q925" s="30" t="s">
        <v>112</v>
      </c>
      <c r="R925" s="30" t="s">
        <v>187</v>
      </c>
      <c r="S925" s="81">
        <f>HLOOKUP(L925,データについて!$J$6:$M$18,13,FALSE)</f>
        <v>2</v>
      </c>
      <c r="T925" s="81">
        <f>HLOOKUP(M925,データについて!$J$7:$M$18,12,FALSE)</f>
        <v>2</v>
      </c>
      <c r="U925" s="81">
        <f>HLOOKUP(N925,データについて!$J$8:$M$18,11,FALSE)</f>
        <v>3</v>
      </c>
      <c r="V925" s="81">
        <f>HLOOKUP(O925,データについて!$J$9:$M$18,10,FALSE)</f>
        <v>1</v>
      </c>
      <c r="W925" s="81">
        <f>HLOOKUP(P925,データについて!$J$10:$M$18,9,FALSE)</f>
        <v>1</v>
      </c>
      <c r="X925" s="81">
        <f>HLOOKUP(Q925,データについて!$J$11:$M$18,8,FALSE)</f>
        <v>1</v>
      </c>
      <c r="Y925" s="81">
        <f>HLOOKUP(R925,データについて!$J$12:$M$18,7,FALSE)</f>
        <v>3</v>
      </c>
      <c r="Z925" s="81">
        <f>HLOOKUP(I925,データについて!$J$3:$M$18,16,FALSE)</f>
        <v>2</v>
      </c>
      <c r="AA925" s="81" t="str">
        <f>IFERROR(HLOOKUP(J925,データについて!$J$4:$AH$19,16,FALSE),"")</f>
        <v/>
      </c>
      <c r="AB925" s="81">
        <f>IFERROR(HLOOKUP(K925,データについて!$J$5:$AH$20,14,FALSE),"")</f>
        <v>3</v>
      </c>
      <c r="AC925" s="81">
        <f>IF(X925=1,HLOOKUP(R925,データについて!$J$12:$M$18,7,FALSE),"*")</f>
        <v>3</v>
      </c>
      <c r="AD925" s="81" t="str">
        <f>IF(X925=2,HLOOKUP(R925,データについて!$J$12:$M$18,7,FALSE),"*")</f>
        <v>*</v>
      </c>
    </row>
    <row r="926" spans="1:30">
      <c r="A926" s="30">
        <v>4266</v>
      </c>
      <c r="B926" s="30" t="s">
        <v>3331</v>
      </c>
      <c r="C926" s="30" t="s">
        <v>3332</v>
      </c>
      <c r="D926" s="30" t="s">
        <v>106</v>
      </c>
      <c r="E926" s="30"/>
      <c r="F926" s="30" t="s">
        <v>107</v>
      </c>
      <c r="G926" s="30" t="s">
        <v>106</v>
      </c>
      <c r="H926" s="30"/>
      <c r="I926" s="30" t="s">
        <v>191</v>
      </c>
      <c r="J926" s="30"/>
      <c r="K926" s="30" t="s">
        <v>3098</v>
      </c>
      <c r="L926" s="30" t="s">
        <v>117</v>
      </c>
      <c r="M926" s="30" t="s">
        <v>109</v>
      </c>
      <c r="N926" s="30" t="s">
        <v>110</v>
      </c>
      <c r="O926" s="30" t="s">
        <v>123</v>
      </c>
      <c r="P926" s="30" t="s">
        <v>112</v>
      </c>
      <c r="Q926" s="30" t="s">
        <v>112</v>
      </c>
      <c r="R926" s="30" t="s">
        <v>187</v>
      </c>
      <c r="S926" s="81">
        <f>HLOOKUP(L926,データについて!$J$6:$M$18,13,FALSE)</f>
        <v>2</v>
      </c>
      <c r="T926" s="81">
        <f>HLOOKUP(M926,データについて!$J$7:$M$18,12,FALSE)</f>
        <v>2</v>
      </c>
      <c r="U926" s="81">
        <f>HLOOKUP(N926,データについて!$J$8:$M$18,11,FALSE)</f>
        <v>2</v>
      </c>
      <c r="V926" s="81">
        <f>HLOOKUP(O926,データについて!$J$9:$M$18,10,FALSE)</f>
        <v>4</v>
      </c>
      <c r="W926" s="81">
        <f>HLOOKUP(P926,データについて!$J$10:$M$18,9,FALSE)</f>
        <v>1</v>
      </c>
      <c r="X926" s="81">
        <f>HLOOKUP(Q926,データについて!$J$11:$M$18,8,FALSE)</f>
        <v>1</v>
      </c>
      <c r="Y926" s="81">
        <f>HLOOKUP(R926,データについて!$J$12:$M$18,7,FALSE)</f>
        <v>3</v>
      </c>
      <c r="Z926" s="81">
        <f>HLOOKUP(I926,データについて!$J$3:$M$18,16,FALSE)</f>
        <v>2</v>
      </c>
      <c r="AA926" s="81" t="str">
        <f>IFERROR(HLOOKUP(J926,データについて!$J$4:$AH$19,16,FALSE),"")</f>
        <v/>
      </c>
      <c r="AB926" s="81">
        <f>IFERROR(HLOOKUP(K926,データについて!$J$5:$AH$20,14,FALSE),"")</f>
        <v>3</v>
      </c>
      <c r="AC926" s="81">
        <f>IF(X926=1,HLOOKUP(R926,データについて!$J$12:$M$18,7,FALSE),"*")</f>
        <v>3</v>
      </c>
      <c r="AD926" s="81" t="str">
        <f>IF(X926=2,HLOOKUP(R926,データについて!$J$12:$M$18,7,FALSE),"*")</f>
        <v>*</v>
      </c>
    </row>
    <row r="927" spans="1:30">
      <c r="A927" s="30">
        <v>4265</v>
      </c>
      <c r="B927" s="30" t="s">
        <v>3333</v>
      </c>
      <c r="C927" s="30" t="s">
        <v>3334</v>
      </c>
      <c r="D927" s="30" t="s">
        <v>106</v>
      </c>
      <c r="E927" s="30"/>
      <c r="F927" s="30" t="s">
        <v>107</v>
      </c>
      <c r="G927" s="30" t="s">
        <v>106</v>
      </c>
      <c r="H927" s="30"/>
      <c r="I927" s="30" t="s">
        <v>191</v>
      </c>
      <c r="J927" s="30"/>
      <c r="K927" s="30" t="s">
        <v>3098</v>
      </c>
      <c r="L927" s="30" t="s">
        <v>108</v>
      </c>
      <c r="M927" s="30" t="s">
        <v>113</v>
      </c>
      <c r="N927" s="30" t="s">
        <v>114</v>
      </c>
      <c r="O927" s="30" t="s">
        <v>115</v>
      </c>
      <c r="P927" s="30" t="s">
        <v>112</v>
      </c>
      <c r="Q927" s="30" t="s">
        <v>112</v>
      </c>
      <c r="R927" s="30" t="s">
        <v>185</v>
      </c>
      <c r="S927" s="81">
        <f>HLOOKUP(L927,データについて!$J$6:$M$18,13,FALSE)</f>
        <v>1</v>
      </c>
      <c r="T927" s="81">
        <f>HLOOKUP(M927,データについて!$J$7:$M$18,12,FALSE)</f>
        <v>1</v>
      </c>
      <c r="U927" s="81">
        <f>HLOOKUP(N927,データについて!$J$8:$M$18,11,FALSE)</f>
        <v>1</v>
      </c>
      <c r="V927" s="81">
        <f>HLOOKUP(O927,データについて!$J$9:$M$18,10,FALSE)</f>
        <v>1</v>
      </c>
      <c r="W927" s="81">
        <f>HLOOKUP(P927,データについて!$J$10:$M$18,9,FALSE)</f>
        <v>1</v>
      </c>
      <c r="X927" s="81">
        <f>HLOOKUP(Q927,データについて!$J$11:$M$18,8,FALSE)</f>
        <v>1</v>
      </c>
      <c r="Y927" s="81">
        <f>HLOOKUP(R927,データについて!$J$12:$M$18,7,FALSE)</f>
        <v>2</v>
      </c>
      <c r="Z927" s="81">
        <f>HLOOKUP(I927,データについて!$J$3:$M$18,16,FALSE)</f>
        <v>2</v>
      </c>
      <c r="AA927" s="81" t="str">
        <f>IFERROR(HLOOKUP(J927,データについて!$J$4:$AH$19,16,FALSE),"")</f>
        <v/>
      </c>
      <c r="AB927" s="81">
        <f>IFERROR(HLOOKUP(K927,データについて!$J$5:$AH$20,14,FALSE),"")</f>
        <v>3</v>
      </c>
      <c r="AC927" s="81">
        <f>IF(X927=1,HLOOKUP(R927,データについて!$J$12:$M$18,7,FALSE),"*")</f>
        <v>2</v>
      </c>
      <c r="AD927" s="81" t="str">
        <f>IF(X927=2,HLOOKUP(R927,データについて!$J$12:$M$18,7,FALSE),"*")</f>
        <v>*</v>
      </c>
    </row>
    <row r="928" spans="1:30">
      <c r="A928" s="30">
        <v>4264</v>
      </c>
      <c r="B928" s="30" t="s">
        <v>3335</v>
      </c>
      <c r="C928" s="30" t="s">
        <v>3336</v>
      </c>
      <c r="D928" s="30" t="s">
        <v>106</v>
      </c>
      <c r="E928" s="30"/>
      <c r="F928" s="30" t="s">
        <v>107</v>
      </c>
      <c r="G928" s="30" t="s">
        <v>106</v>
      </c>
      <c r="H928" s="30"/>
      <c r="I928" s="30" t="s">
        <v>191</v>
      </c>
      <c r="J928" s="30"/>
      <c r="K928" s="30" t="s">
        <v>3098</v>
      </c>
      <c r="L928" s="30" t="s">
        <v>117</v>
      </c>
      <c r="M928" s="30" t="s">
        <v>124</v>
      </c>
      <c r="N928" s="30" t="s">
        <v>122</v>
      </c>
      <c r="O928" s="30" t="s">
        <v>115</v>
      </c>
      <c r="P928" s="30" t="s">
        <v>118</v>
      </c>
      <c r="Q928" s="30" t="s">
        <v>112</v>
      </c>
      <c r="R928" s="30" t="s">
        <v>187</v>
      </c>
      <c r="S928" s="81">
        <f>HLOOKUP(L928,データについて!$J$6:$M$18,13,FALSE)</f>
        <v>2</v>
      </c>
      <c r="T928" s="81">
        <f>HLOOKUP(M928,データについて!$J$7:$M$18,12,FALSE)</f>
        <v>3</v>
      </c>
      <c r="U928" s="81">
        <f>HLOOKUP(N928,データについて!$J$8:$M$18,11,FALSE)</f>
        <v>3</v>
      </c>
      <c r="V928" s="81">
        <f>HLOOKUP(O928,データについて!$J$9:$M$18,10,FALSE)</f>
        <v>1</v>
      </c>
      <c r="W928" s="81">
        <f>HLOOKUP(P928,データについて!$J$10:$M$18,9,FALSE)</f>
        <v>2</v>
      </c>
      <c r="X928" s="81">
        <f>HLOOKUP(Q928,データについて!$J$11:$M$18,8,FALSE)</f>
        <v>1</v>
      </c>
      <c r="Y928" s="81">
        <f>HLOOKUP(R928,データについて!$J$12:$M$18,7,FALSE)</f>
        <v>3</v>
      </c>
      <c r="Z928" s="81">
        <f>HLOOKUP(I928,データについて!$J$3:$M$18,16,FALSE)</f>
        <v>2</v>
      </c>
      <c r="AA928" s="81" t="str">
        <f>IFERROR(HLOOKUP(J928,データについて!$J$4:$AH$19,16,FALSE),"")</f>
        <v/>
      </c>
      <c r="AB928" s="81">
        <f>IFERROR(HLOOKUP(K928,データについて!$J$5:$AH$20,14,FALSE),"")</f>
        <v>3</v>
      </c>
      <c r="AC928" s="81">
        <f>IF(X928=1,HLOOKUP(R928,データについて!$J$12:$M$18,7,FALSE),"*")</f>
        <v>3</v>
      </c>
      <c r="AD928" s="81" t="str">
        <f>IF(X928=2,HLOOKUP(R928,データについて!$J$12:$M$18,7,FALSE),"*")</f>
        <v>*</v>
      </c>
    </row>
    <row r="929" spans="1:30">
      <c r="A929" s="30">
        <v>4263</v>
      </c>
      <c r="B929" s="30" t="s">
        <v>3337</v>
      </c>
      <c r="C929" s="30" t="s">
        <v>3338</v>
      </c>
      <c r="D929" s="30" t="s">
        <v>106</v>
      </c>
      <c r="E929" s="30"/>
      <c r="F929" s="30" t="s">
        <v>107</v>
      </c>
      <c r="G929" s="30" t="s">
        <v>106</v>
      </c>
      <c r="H929" s="30"/>
      <c r="I929" s="30" t="s">
        <v>191</v>
      </c>
      <c r="J929" s="30"/>
      <c r="K929" s="30" t="s">
        <v>3098</v>
      </c>
      <c r="L929" s="30" t="s">
        <v>117</v>
      </c>
      <c r="M929" s="30" t="s">
        <v>113</v>
      </c>
      <c r="N929" s="30" t="s">
        <v>110</v>
      </c>
      <c r="O929" s="30" t="s">
        <v>115</v>
      </c>
      <c r="P929" s="30" t="s">
        <v>112</v>
      </c>
      <c r="Q929" s="30" t="s">
        <v>112</v>
      </c>
      <c r="R929" s="30" t="s">
        <v>185</v>
      </c>
      <c r="S929" s="81">
        <f>HLOOKUP(L929,データについて!$J$6:$M$18,13,FALSE)</f>
        <v>2</v>
      </c>
      <c r="T929" s="81">
        <f>HLOOKUP(M929,データについて!$J$7:$M$18,12,FALSE)</f>
        <v>1</v>
      </c>
      <c r="U929" s="81">
        <f>HLOOKUP(N929,データについて!$J$8:$M$18,11,FALSE)</f>
        <v>2</v>
      </c>
      <c r="V929" s="81">
        <f>HLOOKUP(O929,データについて!$J$9:$M$18,10,FALSE)</f>
        <v>1</v>
      </c>
      <c r="W929" s="81">
        <f>HLOOKUP(P929,データについて!$J$10:$M$18,9,FALSE)</f>
        <v>1</v>
      </c>
      <c r="X929" s="81">
        <f>HLOOKUP(Q929,データについて!$J$11:$M$18,8,FALSE)</f>
        <v>1</v>
      </c>
      <c r="Y929" s="81">
        <f>HLOOKUP(R929,データについて!$J$12:$M$18,7,FALSE)</f>
        <v>2</v>
      </c>
      <c r="Z929" s="81">
        <f>HLOOKUP(I929,データについて!$J$3:$M$18,16,FALSE)</f>
        <v>2</v>
      </c>
      <c r="AA929" s="81" t="str">
        <f>IFERROR(HLOOKUP(J929,データについて!$J$4:$AH$19,16,FALSE),"")</f>
        <v/>
      </c>
      <c r="AB929" s="81">
        <f>IFERROR(HLOOKUP(K929,データについて!$J$5:$AH$20,14,FALSE),"")</f>
        <v>3</v>
      </c>
      <c r="AC929" s="81">
        <f>IF(X929=1,HLOOKUP(R929,データについて!$J$12:$M$18,7,FALSE),"*")</f>
        <v>2</v>
      </c>
      <c r="AD929" s="81" t="str">
        <f>IF(X929=2,HLOOKUP(R929,データについて!$J$12:$M$18,7,FALSE),"*")</f>
        <v>*</v>
      </c>
    </row>
    <row r="930" spans="1:30">
      <c r="A930" s="30">
        <v>4262</v>
      </c>
      <c r="B930" s="30" t="s">
        <v>3339</v>
      </c>
      <c r="C930" s="30" t="s">
        <v>3340</v>
      </c>
      <c r="D930" s="30" t="s">
        <v>106</v>
      </c>
      <c r="E930" s="30"/>
      <c r="F930" s="30" t="s">
        <v>107</v>
      </c>
      <c r="G930" s="30" t="s">
        <v>106</v>
      </c>
      <c r="H930" s="30"/>
      <c r="I930" s="30" t="s">
        <v>191</v>
      </c>
      <c r="J930" s="30"/>
      <c r="K930" s="30" t="s">
        <v>3098</v>
      </c>
      <c r="L930" s="30" t="s">
        <v>108</v>
      </c>
      <c r="M930" s="30" t="s">
        <v>113</v>
      </c>
      <c r="N930" s="30" t="s">
        <v>114</v>
      </c>
      <c r="O930" s="30" t="s">
        <v>115</v>
      </c>
      <c r="P930" s="30" t="s">
        <v>112</v>
      </c>
      <c r="Q930" s="30" t="s">
        <v>112</v>
      </c>
      <c r="R930" s="30" t="s">
        <v>185</v>
      </c>
      <c r="S930" s="81">
        <f>HLOOKUP(L930,データについて!$J$6:$M$18,13,FALSE)</f>
        <v>1</v>
      </c>
      <c r="T930" s="81">
        <f>HLOOKUP(M930,データについて!$J$7:$M$18,12,FALSE)</f>
        <v>1</v>
      </c>
      <c r="U930" s="81">
        <f>HLOOKUP(N930,データについて!$J$8:$M$18,11,FALSE)</f>
        <v>1</v>
      </c>
      <c r="V930" s="81">
        <f>HLOOKUP(O930,データについて!$J$9:$M$18,10,FALSE)</f>
        <v>1</v>
      </c>
      <c r="W930" s="81">
        <f>HLOOKUP(P930,データについて!$J$10:$M$18,9,FALSE)</f>
        <v>1</v>
      </c>
      <c r="X930" s="81">
        <f>HLOOKUP(Q930,データについて!$J$11:$M$18,8,FALSE)</f>
        <v>1</v>
      </c>
      <c r="Y930" s="81">
        <f>HLOOKUP(R930,データについて!$J$12:$M$18,7,FALSE)</f>
        <v>2</v>
      </c>
      <c r="Z930" s="81">
        <f>HLOOKUP(I930,データについて!$J$3:$M$18,16,FALSE)</f>
        <v>2</v>
      </c>
      <c r="AA930" s="81" t="str">
        <f>IFERROR(HLOOKUP(J930,データについて!$J$4:$AH$19,16,FALSE),"")</f>
        <v/>
      </c>
      <c r="AB930" s="81">
        <f>IFERROR(HLOOKUP(K930,データについて!$J$5:$AH$20,14,FALSE),"")</f>
        <v>3</v>
      </c>
      <c r="AC930" s="81">
        <f>IF(X930=1,HLOOKUP(R930,データについて!$J$12:$M$18,7,FALSE),"*")</f>
        <v>2</v>
      </c>
      <c r="AD930" s="81" t="str">
        <f>IF(X930=2,HLOOKUP(R930,データについて!$J$12:$M$18,7,FALSE),"*")</f>
        <v>*</v>
      </c>
    </row>
    <row r="931" spans="1:30">
      <c r="A931" s="30">
        <v>4261</v>
      </c>
      <c r="B931" s="30" t="s">
        <v>3341</v>
      </c>
      <c r="C931" s="30" t="s">
        <v>3342</v>
      </c>
      <c r="D931" s="30" t="s">
        <v>106</v>
      </c>
      <c r="E931" s="30"/>
      <c r="F931" s="30" t="s">
        <v>107</v>
      </c>
      <c r="G931" s="30" t="s">
        <v>106</v>
      </c>
      <c r="H931" s="30"/>
      <c r="I931" s="30" t="s">
        <v>191</v>
      </c>
      <c r="J931" s="30"/>
      <c r="K931" s="30" t="s">
        <v>3098</v>
      </c>
      <c r="L931" s="30" t="s">
        <v>108</v>
      </c>
      <c r="M931" s="30" t="s">
        <v>113</v>
      </c>
      <c r="N931" s="30" t="s">
        <v>114</v>
      </c>
      <c r="O931" s="30" t="s">
        <v>115</v>
      </c>
      <c r="P931" s="30" t="s">
        <v>112</v>
      </c>
      <c r="Q931" s="30" t="s">
        <v>112</v>
      </c>
      <c r="R931" s="30" t="s">
        <v>185</v>
      </c>
      <c r="S931" s="81">
        <f>HLOOKUP(L931,データについて!$J$6:$M$18,13,FALSE)</f>
        <v>1</v>
      </c>
      <c r="T931" s="81">
        <f>HLOOKUP(M931,データについて!$J$7:$M$18,12,FALSE)</f>
        <v>1</v>
      </c>
      <c r="U931" s="81">
        <f>HLOOKUP(N931,データについて!$J$8:$M$18,11,FALSE)</f>
        <v>1</v>
      </c>
      <c r="V931" s="81">
        <f>HLOOKUP(O931,データについて!$J$9:$M$18,10,FALSE)</f>
        <v>1</v>
      </c>
      <c r="W931" s="81">
        <f>HLOOKUP(P931,データについて!$J$10:$M$18,9,FALSE)</f>
        <v>1</v>
      </c>
      <c r="X931" s="81">
        <f>HLOOKUP(Q931,データについて!$J$11:$M$18,8,FALSE)</f>
        <v>1</v>
      </c>
      <c r="Y931" s="81">
        <f>HLOOKUP(R931,データについて!$J$12:$M$18,7,FALSE)</f>
        <v>2</v>
      </c>
      <c r="Z931" s="81">
        <f>HLOOKUP(I931,データについて!$J$3:$M$18,16,FALSE)</f>
        <v>2</v>
      </c>
      <c r="AA931" s="81" t="str">
        <f>IFERROR(HLOOKUP(J931,データについて!$J$4:$AH$19,16,FALSE),"")</f>
        <v/>
      </c>
      <c r="AB931" s="81">
        <f>IFERROR(HLOOKUP(K931,データについて!$J$5:$AH$20,14,FALSE),"")</f>
        <v>3</v>
      </c>
      <c r="AC931" s="81">
        <f>IF(X931=1,HLOOKUP(R931,データについて!$J$12:$M$18,7,FALSE),"*")</f>
        <v>2</v>
      </c>
      <c r="AD931" s="81" t="str">
        <f>IF(X931=2,HLOOKUP(R931,データについて!$J$12:$M$18,7,FALSE),"*")</f>
        <v>*</v>
      </c>
    </row>
    <row r="932" spans="1:30">
      <c r="A932" s="30">
        <v>4260</v>
      </c>
      <c r="B932" s="30" t="s">
        <v>3343</v>
      </c>
      <c r="C932" s="30" t="s">
        <v>3344</v>
      </c>
      <c r="D932" s="30" t="s">
        <v>106</v>
      </c>
      <c r="E932" s="30"/>
      <c r="F932" s="30" t="s">
        <v>107</v>
      </c>
      <c r="G932" s="30" t="s">
        <v>106</v>
      </c>
      <c r="H932" s="30"/>
      <c r="I932" s="30" t="s">
        <v>191</v>
      </c>
      <c r="J932" s="30"/>
      <c r="K932" s="30" t="s">
        <v>3098</v>
      </c>
      <c r="L932" s="30" t="s">
        <v>117</v>
      </c>
      <c r="M932" s="30" t="s">
        <v>113</v>
      </c>
      <c r="N932" s="30" t="s">
        <v>122</v>
      </c>
      <c r="O932" s="30" t="s">
        <v>115</v>
      </c>
      <c r="P932" s="30" t="s">
        <v>112</v>
      </c>
      <c r="Q932" s="30" t="s">
        <v>112</v>
      </c>
      <c r="R932" s="30" t="s">
        <v>187</v>
      </c>
      <c r="S932" s="81">
        <f>HLOOKUP(L932,データについて!$J$6:$M$18,13,FALSE)</f>
        <v>2</v>
      </c>
      <c r="T932" s="81">
        <f>HLOOKUP(M932,データについて!$J$7:$M$18,12,FALSE)</f>
        <v>1</v>
      </c>
      <c r="U932" s="81">
        <f>HLOOKUP(N932,データについて!$J$8:$M$18,11,FALSE)</f>
        <v>3</v>
      </c>
      <c r="V932" s="81">
        <f>HLOOKUP(O932,データについて!$J$9:$M$18,10,FALSE)</f>
        <v>1</v>
      </c>
      <c r="W932" s="81">
        <f>HLOOKUP(P932,データについて!$J$10:$M$18,9,FALSE)</f>
        <v>1</v>
      </c>
      <c r="X932" s="81">
        <f>HLOOKUP(Q932,データについて!$J$11:$M$18,8,FALSE)</f>
        <v>1</v>
      </c>
      <c r="Y932" s="81">
        <f>HLOOKUP(R932,データについて!$J$12:$M$18,7,FALSE)</f>
        <v>3</v>
      </c>
      <c r="Z932" s="81">
        <f>HLOOKUP(I932,データについて!$J$3:$M$18,16,FALSE)</f>
        <v>2</v>
      </c>
      <c r="AA932" s="81" t="str">
        <f>IFERROR(HLOOKUP(J932,データについて!$J$4:$AH$19,16,FALSE),"")</f>
        <v/>
      </c>
      <c r="AB932" s="81">
        <f>IFERROR(HLOOKUP(K932,データについて!$J$5:$AH$20,14,FALSE),"")</f>
        <v>3</v>
      </c>
      <c r="AC932" s="81">
        <f>IF(X932=1,HLOOKUP(R932,データについて!$J$12:$M$18,7,FALSE),"*")</f>
        <v>3</v>
      </c>
      <c r="AD932" s="81" t="str">
        <f>IF(X932=2,HLOOKUP(R932,データについて!$J$12:$M$18,7,FALSE),"*")</f>
        <v>*</v>
      </c>
    </row>
    <row r="933" spans="1:30">
      <c r="A933" s="30">
        <v>4259</v>
      </c>
      <c r="B933" s="30" t="s">
        <v>3345</v>
      </c>
      <c r="C933" s="30" t="s">
        <v>3346</v>
      </c>
      <c r="D933" s="30" t="s">
        <v>106</v>
      </c>
      <c r="E933" s="30"/>
      <c r="F933" s="30" t="s">
        <v>107</v>
      </c>
      <c r="G933" s="30" t="s">
        <v>106</v>
      </c>
      <c r="H933" s="30"/>
      <c r="I933" s="30" t="s">
        <v>191</v>
      </c>
      <c r="J933" s="30"/>
      <c r="K933" s="30" t="s">
        <v>3098</v>
      </c>
      <c r="L933" s="30" t="s">
        <v>117</v>
      </c>
      <c r="M933" s="30" t="s">
        <v>109</v>
      </c>
      <c r="N933" s="30" t="s">
        <v>110</v>
      </c>
      <c r="O933" s="30" t="s">
        <v>115</v>
      </c>
      <c r="P933" s="30" t="s">
        <v>112</v>
      </c>
      <c r="Q933" s="30" t="s">
        <v>112</v>
      </c>
      <c r="R933" s="30" t="s">
        <v>185</v>
      </c>
      <c r="S933" s="81">
        <f>HLOOKUP(L933,データについて!$J$6:$M$18,13,FALSE)</f>
        <v>2</v>
      </c>
      <c r="T933" s="81">
        <f>HLOOKUP(M933,データについて!$J$7:$M$18,12,FALSE)</f>
        <v>2</v>
      </c>
      <c r="U933" s="81">
        <f>HLOOKUP(N933,データについて!$J$8:$M$18,11,FALSE)</f>
        <v>2</v>
      </c>
      <c r="V933" s="81">
        <f>HLOOKUP(O933,データについて!$J$9:$M$18,10,FALSE)</f>
        <v>1</v>
      </c>
      <c r="W933" s="81">
        <f>HLOOKUP(P933,データについて!$J$10:$M$18,9,FALSE)</f>
        <v>1</v>
      </c>
      <c r="X933" s="81">
        <f>HLOOKUP(Q933,データについて!$J$11:$M$18,8,FALSE)</f>
        <v>1</v>
      </c>
      <c r="Y933" s="81">
        <f>HLOOKUP(R933,データについて!$J$12:$M$18,7,FALSE)</f>
        <v>2</v>
      </c>
      <c r="Z933" s="81">
        <f>HLOOKUP(I933,データについて!$J$3:$M$18,16,FALSE)</f>
        <v>2</v>
      </c>
      <c r="AA933" s="81" t="str">
        <f>IFERROR(HLOOKUP(J933,データについて!$J$4:$AH$19,16,FALSE),"")</f>
        <v/>
      </c>
      <c r="AB933" s="81">
        <f>IFERROR(HLOOKUP(K933,データについて!$J$5:$AH$20,14,FALSE),"")</f>
        <v>3</v>
      </c>
      <c r="AC933" s="81">
        <f>IF(X933=1,HLOOKUP(R933,データについて!$J$12:$M$18,7,FALSE),"*")</f>
        <v>2</v>
      </c>
      <c r="AD933" s="81" t="str">
        <f>IF(X933=2,HLOOKUP(R933,データについて!$J$12:$M$18,7,FALSE),"*")</f>
        <v>*</v>
      </c>
    </row>
    <row r="934" spans="1:30">
      <c r="A934" s="30">
        <v>4258</v>
      </c>
      <c r="B934" s="30" t="s">
        <v>3347</v>
      </c>
      <c r="C934" s="30" t="s">
        <v>3348</v>
      </c>
      <c r="D934" s="30" t="s">
        <v>106</v>
      </c>
      <c r="E934" s="30"/>
      <c r="F934" s="30" t="s">
        <v>107</v>
      </c>
      <c r="G934" s="30" t="s">
        <v>106</v>
      </c>
      <c r="H934" s="30"/>
      <c r="I934" s="30" t="s">
        <v>191</v>
      </c>
      <c r="J934" s="30"/>
      <c r="K934" s="30" t="s">
        <v>3098</v>
      </c>
      <c r="L934" s="30" t="s">
        <v>108</v>
      </c>
      <c r="M934" s="30" t="s">
        <v>113</v>
      </c>
      <c r="N934" s="30" t="s">
        <v>114</v>
      </c>
      <c r="O934" s="30" t="s">
        <v>115</v>
      </c>
      <c r="P934" s="30" t="s">
        <v>118</v>
      </c>
      <c r="Q934" s="30" t="s">
        <v>112</v>
      </c>
      <c r="R934" s="30" t="s">
        <v>183</v>
      </c>
      <c r="S934" s="81">
        <f>HLOOKUP(L934,データについて!$J$6:$M$18,13,FALSE)</f>
        <v>1</v>
      </c>
      <c r="T934" s="81">
        <f>HLOOKUP(M934,データについて!$J$7:$M$18,12,FALSE)</f>
        <v>1</v>
      </c>
      <c r="U934" s="81">
        <f>HLOOKUP(N934,データについて!$J$8:$M$18,11,FALSE)</f>
        <v>1</v>
      </c>
      <c r="V934" s="81">
        <f>HLOOKUP(O934,データについて!$J$9:$M$18,10,FALSE)</f>
        <v>1</v>
      </c>
      <c r="W934" s="81">
        <f>HLOOKUP(P934,データについて!$J$10:$M$18,9,FALSE)</f>
        <v>2</v>
      </c>
      <c r="X934" s="81">
        <f>HLOOKUP(Q934,データについて!$J$11:$M$18,8,FALSE)</f>
        <v>1</v>
      </c>
      <c r="Y934" s="81">
        <f>HLOOKUP(R934,データについて!$J$12:$M$18,7,FALSE)</f>
        <v>1</v>
      </c>
      <c r="Z934" s="81">
        <f>HLOOKUP(I934,データについて!$J$3:$M$18,16,FALSE)</f>
        <v>2</v>
      </c>
      <c r="AA934" s="81" t="str">
        <f>IFERROR(HLOOKUP(J934,データについて!$J$4:$AH$19,16,FALSE),"")</f>
        <v/>
      </c>
      <c r="AB934" s="81">
        <f>IFERROR(HLOOKUP(K934,データについて!$J$5:$AH$20,14,FALSE),"")</f>
        <v>3</v>
      </c>
      <c r="AC934" s="81">
        <f>IF(X934=1,HLOOKUP(R934,データについて!$J$12:$M$18,7,FALSE),"*")</f>
        <v>1</v>
      </c>
      <c r="AD934" s="81" t="str">
        <f>IF(X934=2,HLOOKUP(R934,データについて!$J$12:$M$18,7,FALSE),"*")</f>
        <v>*</v>
      </c>
    </row>
    <row r="935" spans="1:30">
      <c r="A935" s="30">
        <v>4257</v>
      </c>
      <c r="B935" s="30" t="s">
        <v>3349</v>
      </c>
      <c r="C935" s="30" t="s">
        <v>3350</v>
      </c>
      <c r="D935" s="30" t="s">
        <v>106</v>
      </c>
      <c r="E935" s="30"/>
      <c r="F935" s="30" t="s">
        <v>107</v>
      </c>
      <c r="G935" s="30" t="s">
        <v>106</v>
      </c>
      <c r="H935" s="30"/>
      <c r="I935" s="30" t="s">
        <v>191</v>
      </c>
      <c r="J935" s="30"/>
      <c r="K935" s="30" t="s">
        <v>3098</v>
      </c>
      <c r="L935" s="30" t="s">
        <v>108</v>
      </c>
      <c r="M935" s="30" t="s">
        <v>113</v>
      </c>
      <c r="N935" s="30" t="s">
        <v>114</v>
      </c>
      <c r="O935" s="30" t="s">
        <v>115</v>
      </c>
      <c r="P935" s="30" t="s">
        <v>112</v>
      </c>
      <c r="Q935" s="30" t="s">
        <v>118</v>
      </c>
      <c r="R935" s="30" t="s">
        <v>187</v>
      </c>
      <c r="S935" s="81">
        <f>HLOOKUP(L935,データについて!$J$6:$M$18,13,FALSE)</f>
        <v>1</v>
      </c>
      <c r="T935" s="81">
        <f>HLOOKUP(M935,データについて!$J$7:$M$18,12,FALSE)</f>
        <v>1</v>
      </c>
      <c r="U935" s="81">
        <f>HLOOKUP(N935,データについて!$J$8:$M$18,11,FALSE)</f>
        <v>1</v>
      </c>
      <c r="V935" s="81">
        <f>HLOOKUP(O935,データについて!$J$9:$M$18,10,FALSE)</f>
        <v>1</v>
      </c>
      <c r="W935" s="81">
        <f>HLOOKUP(P935,データについて!$J$10:$M$18,9,FALSE)</f>
        <v>1</v>
      </c>
      <c r="X935" s="81">
        <f>HLOOKUP(Q935,データについて!$J$11:$M$18,8,FALSE)</f>
        <v>2</v>
      </c>
      <c r="Y935" s="81">
        <f>HLOOKUP(R935,データについて!$J$12:$M$18,7,FALSE)</f>
        <v>3</v>
      </c>
      <c r="Z935" s="81">
        <f>HLOOKUP(I935,データについて!$J$3:$M$18,16,FALSE)</f>
        <v>2</v>
      </c>
      <c r="AA935" s="81" t="str">
        <f>IFERROR(HLOOKUP(J935,データについて!$J$4:$AH$19,16,FALSE),"")</f>
        <v/>
      </c>
      <c r="AB935" s="81">
        <f>IFERROR(HLOOKUP(K935,データについて!$J$5:$AH$20,14,FALSE),"")</f>
        <v>3</v>
      </c>
      <c r="AC935" s="81" t="str">
        <f>IF(X935=1,HLOOKUP(R935,データについて!$J$12:$M$18,7,FALSE),"*")</f>
        <v>*</v>
      </c>
      <c r="AD935" s="81">
        <f>IF(X935=2,HLOOKUP(R935,データについて!$J$12:$M$18,7,FALSE),"*")</f>
        <v>3</v>
      </c>
    </row>
    <row r="936" spans="1:30">
      <c r="A936" s="30">
        <v>4256</v>
      </c>
      <c r="B936" s="30" t="s">
        <v>3351</v>
      </c>
      <c r="C936" s="30" t="s">
        <v>3352</v>
      </c>
      <c r="D936" s="30" t="s">
        <v>106</v>
      </c>
      <c r="E936" s="30"/>
      <c r="F936" s="30" t="s">
        <v>107</v>
      </c>
      <c r="G936" s="30" t="s">
        <v>106</v>
      </c>
      <c r="H936" s="30"/>
      <c r="I936" s="30" t="s">
        <v>191</v>
      </c>
      <c r="J936" s="30"/>
      <c r="K936" s="30" t="s">
        <v>3098</v>
      </c>
      <c r="L936" s="30" t="s">
        <v>117</v>
      </c>
      <c r="M936" s="30" t="s">
        <v>109</v>
      </c>
      <c r="N936" s="30" t="s">
        <v>122</v>
      </c>
      <c r="O936" s="30" t="s">
        <v>115</v>
      </c>
      <c r="P936" s="30" t="s">
        <v>112</v>
      </c>
      <c r="Q936" s="30" t="s">
        <v>112</v>
      </c>
      <c r="R936" s="30" t="s">
        <v>187</v>
      </c>
      <c r="S936" s="81">
        <f>HLOOKUP(L936,データについて!$J$6:$M$18,13,FALSE)</f>
        <v>2</v>
      </c>
      <c r="T936" s="81">
        <f>HLOOKUP(M936,データについて!$J$7:$M$18,12,FALSE)</f>
        <v>2</v>
      </c>
      <c r="U936" s="81">
        <f>HLOOKUP(N936,データについて!$J$8:$M$18,11,FALSE)</f>
        <v>3</v>
      </c>
      <c r="V936" s="81">
        <f>HLOOKUP(O936,データについて!$J$9:$M$18,10,FALSE)</f>
        <v>1</v>
      </c>
      <c r="W936" s="81">
        <f>HLOOKUP(P936,データについて!$J$10:$M$18,9,FALSE)</f>
        <v>1</v>
      </c>
      <c r="X936" s="81">
        <f>HLOOKUP(Q936,データについて!$J$11:$M$18,8,FALSE)</f>
        <v>1</v>
      </c>
      <c r="Y936" s="81">
        <f>HLOOKUP(R936,データについて!$J$12:$M$18,7,FALSE)</f>
        <v>3</v>
      </c>
      <c r="Z936" s="81">
        <f>HLOOKUP(I936,データについて!$J$3:$M$18,16,FALSE)</f>
        <v>2</v>
      </c>
      <c r="AA936" s="81" t="str">
        <f>IFERROR(HLOOKUP(J936,データについて!$J$4:$AH$19,16,FALSE),"")</f>
        <v/>
      </c>
      <c r="AB936" s="81">
        <f>IFERROR(HLOOKUP(K936,データについて!$J$5:$AH$20,14,FALSE),"")</f>
        <v>3</v>
      </c>
      <c r="AC936" s="81">
        <f>IF(X936=1,HLOOKUP(R936,データについて!$J$12:$M$18,7,FALSE),"*")</f>
        <v>3</v>
      </c>
      <c r="AD936" s="81" t="str">
        <f>IF(X936=2,HLOOKUP(R936,データについて!$J$12:$M$18,7,FALSE),"*")</f>
        <v>*</v>
      </c>
    </row>
    <row r="937" spans="1:30">
      <c r="A937" s="30">
        <v>4255</v>
      </c>
      <c r="B937" s="30" t="s">
        <v>3353</v>
      </c>
      <c r="C937" s="30" t="s">
        <v>3354</v>
      </c>
      <c r="D937" s="30" t="s">
        <v>106</v>
      </c>
      <c r="E937" s="30"/>
      <c r="F937" s="30" t="s">
        <v>107</v>
      </c>
      <c r="G937" s="30" t="s">
        <v>106</v>
      </c>
      <c r="H937" s="30"/>
      <c r="I937" s="30" t="s">
        <v>191</v>
      </c>
      <c r="J937" s="30"/>
      <c r="K937" s="30" t="s">
        <v>3098</v>
      </c>
      <c r="L937" s="30" t="s">
        <v>108</v>
      </c>
      <c r="M937" s="30" t="s">
        <v>121</v>
      </c>
      <c r="N937" s="30" t="s">
        <v>110</v>
      </c>
      <c r="O937" s="30" t="s">
        <v>115</v>
      </c>
      <c r="P937" s="30" t="s">
        <v>112</v>
      </c>
      <c r="Q937" s="30" t="s">
        <v>118</v>
      </c>
      <c r="R937" s="30" t="s">
        <v>189</v>
      </c>
      <c r="S937" s="81">
        <f>HLOOKUP(L937,データについて!$J$6:$M$18,13,FALSE)</f>
        <v>1</v>
      </c>
      <c r="T937" s="81">
        <f>HLOOKUP(M937,データについて!$J$7:$M$18,12,FALSE)</f>
        <v>4</v>
      </c>
      <c r="U937" s="81">
        <f>HLOOKUP(N937,データについて!$J$8:$M$18,11,FALSE)</f>
        <v>2</v>
      </c>
      <c r="V937" s="81">
        <f>HLOOKUP(O937,データについて!$J$9:$M$18,10,FALSE)</f>
        <v>1</v>
      </c>
      <c r="W937" s="81">
        <f>HLOOKUP(P937,データについて!$J$10:$M$18,9,FALSE)</f>
        <v>1</v>
      </c>
      <c r="X937" s="81">
        <f>HLOOKUP(Q937,データについて!$J$11:$M$18,8,FALSE)</f>
        <v>2</v>
      </c>
      <c r="Y937" s="81">
        <f>HLOOKUP(R937,データについて!$J$12:$M$18,7,FALSE)</f>
        <v>4</v>
      </c>
      <c r="Z937" s="81">
        <f>HLOOKUP(I937,データについて!$J$3:$M$18,16,FALSE)</f>
        <v>2</v>
      </c>
      <c r="AA937" s="81" t="str">
        <f>IFERROR(HLOOKUP(J937,データについて!$J$4:$AH$19,16,FALSE),"")</f>
        <v/>
      </c>
      <c r="AB937" s="81">
        <f>IFERROR(HLOOKUP(K937,データについて!$J$5:$AH$20,14,FALSE),"")</f>
        <v>3</v>
      </c>
      <c r="AC937" s="81" t="str">
        <f>IF(X937=1,HLOOKUP(R937,データについて!$J$12:$M$18,7,FALSE),"*")</f>
        <v>*</v>
      </c>
      <c r="AD937" s="81">
        <f>IF(X937=2,HLOOKUP(R937,データについて!$J$12:$M$18,7,FALSE),"*")</f>
        <v>4</v>
      </c>
    </row>
    <row r="938" spans="1:30">
      <c r="A938" s="30">
        <v>4254</v>
      </c>
      <c r="B938" s="30" t="s">
        <v>3355</v>
      </c>
      <c r="C938" s="30" t="s">
        <v>3356</v>
      </c>
      <c r="D938" s="30" t="s">
        <v>106</v>
      </c>
      <c r="E938" s="30"/>
      <c r="F938" s="30" t="s">
        <v>107</v>
      </c>
      <c r="G938" s="30" t="s">
        <v>106</v>
      </c>
      <c r="H938" s="30"/>
      <c r="I938" s="30" t="s">
        <v>191</v>
      </c>
      <c r="J938" s="30"/>
      <c r="K938" s="30" t="s">
        <v>3098</v>
      </c>
      <c r="L938" s="30" t="s">
        <v>108</v>
      </c>
      <c r="M938" s="30" t="s">
        <v>113</v>
      </c>
      <c r="N938" s="30" t="s">
        <v>122</v>
      </c>
      <c r="O938" s="30" t="s">
        <v>115</v>
      </c>
      <c r="P938" s="30" t="s">
        <v>118</v>
      </c>
      <c r="Q938" s="30" t="s">
        <v>112</v>
      </c>
      <c r="R938" s="30" t="s">
        <v>187</v>
      </c>
      <c r="S938" s="81">
        <f>HLOOKUP(L938,データについて!$J$6:$M$18,13,FALSE)</f>
        <v>1</v>
      </c>
      <c r="T938" s="81">
        <f>HLOOKUP(M938,データについて!$J$7:$M$18,12,FALSE)</f>
        <v>1</v>
      </c>
      <c r="U938" s="81">
        <f>HLOOKUP(N938,データについて!$J$8:$M$18,11,FALSE)</f>
        <v>3</v>
      </c>
      <c r="V938" s="81">
        <f>HLOOKUP(O938,データについて!$J$9:$M$18,10,FALSE)</f>
        <v>1</v>
      </c>
      <c r="W938" s="81">
        <f>HLOOKUP(P938,データについて!$J$10:$M$18,9,FALSE)</f>
        <v>2</v>
      </c>
      <c r="X938" s="81">
        <f>HLOOKUP(Q938,データについて!$J$11:$M$18,8,FALSE)</f>
        <v>1</v>
      </c>
      <c r="Y938" s="81">
        <f>HLOOKUP(R938,データについて!$J$12:$M$18,7,FALSE)</f>
        <v>3</v>
      </c>
      <c r="Z938" s="81">
        <f>HLOOKUP(I938,データについて!$J$3:$M$18,16,FALSE)</f>
        <v>2</v>
      </c>
      <c r="AA938" s="81" t="str">
        <f>IFERROR(HLOOKUP(J938,データについて!$J$4:$AH$19,16,FALSE),"")</f>
        <v/>
      </c>
      <c r="AB938" s="81">
        <f>IFERROR(HLOOKUP(K938,データについて!$J$5:$AH$20,14,FALSE),"")</f>
        <v>3</v>
      </c>
      <c r="AC938" s="81">
        <f>IF(X938=1,HLOOKUP(R938,データについて!$J$12:$M$18,7,FALSE),"*")</f>
        <v>3</v>
      </c>
      <c r="AD938" s="81" t="str">
        <f>IF(X938=2,HLOOKUP(R938,データについて!$J$12:$M$18,7,FALSE),"*")</f>
        <v>*</v>
      </c>
    </row>
    <row r="939" spans="1:30">
      <c r="A939" s="30">
        <v>4253</v>
      </c>
      <c r="B939" s="30" t="s">
        <v>3357</v>
      </c>
      <c r="C939" s="30" t="s">
        <v>3358</v>
      </c>
      <c r="D939" s="30" t="s">
        <v>106</v>
      </c>
      <c r="E939" s="30"/>
      <c r="F939" s="30" t="s">
        <v>107</v>
      </c>
      <c r="G939" s="30" t="s">
        <v>106</v>
      </c>
      <c r="H939" s="30"/>
      <c r="I939" s="30" t="s">
        <v>191</v>
      </c>
      <c r="J939" s="30"/>
      <c r="K939" s="30" t="s">
        <v>3098</v>
      </c>
      <c r="L939" s="30" t="s">
        <v>108</v>
      </c>
      <c r="M939" s="30" t="s">
        <v>113</v>
      </c>
      <c r="N939" s="30" t="s">
        <v>114</v>
      </c>
      <c r="O939" s="30" t="s">
        <v>115</v>
      </c>
      <c r="P939" s="30" t="s">
        <v>112</v>
      </c>
      <c r="Q939" s="30" t="s">
        <v>118</v>
      </c>
      <c r="R939" s="30" t="s">
        <v>187</v>
      </c>
      <c r="S939" s="81">
        <f>HLOOKUP(L939,データについて!$J$6:$M$18,13,FALSE)</f>
        <v>1</v>
      </c>
      <c r="T939" s="81">
        <f>HLOOKUP(M939,データについて!$J$7:$M$18,12,FALSE)</f>
        <v>1</v>
      </c>
      <c r="U939" s="81">
        <f>HLOOKUP(N939,データについて!$J$8:$M$18,11,FALSE)</f>
        <v>1</v>
      </c>
      <c r="V939" s="81">
        <f>HLOOKUP(O939,データについて!$J$9:$M$18,10,FALSE)</f>
        <v>1</v>
      </c>
      <c r="W939" s="81">
        <f>HLOOKUP(P939,データについて!$J$10:$M$18,9,FALSE)</f>
        <v>1</v>
      </c>
      <c r="X939" s="81">
        <f>HLOOKUP(Q939,データについて!$J$11:$M$18,8,FALSE)</f>
        <v>2</v>
      </c>
      <c r="Y939" s="81">
        <f>HLOOKUP(R939,データについて!$J$12:$M$18,7,FALSE)</f>
        <v>3</v>
      </c>
      <c r="Z939" s="81">
        <f>HLOOKUP(I939,データについて!$J$3:$M$18,16,FALSE)</f>
        <v>2</v>
      </c>
      <c r="AA939" s="81" t="str">
        <f>IFERROR(HLOOKUP(J939,データについて!$J$4:$AH$19,16,FALSE),"")</f>
        <v/>
      </c>
      <c r="AB939" s="81">
        <f>IFERROR(HLOOKUP(K939,データについて!$J$5:$AH$20,14,FALSE),"")</f>
        <v>3</v>
      </c>
      <c r="AC939" s="81" t="str">
        <f>IF(X939=1,HLOOKUP(R939,データについて!$J$12:$M$18,7,FALSE),"*")</f>
        <v>*</v>
      </c>
      <c r="AD939" s="81">
        <f>IF(X939=2,HLOOKUP(R939,データについて!$J$12:$M$18,7,FALSE),"*")</f>
        <v>3</v>
      </c>
    </row>
    <row r="940" spans="1:30">
      <c r="A940" s="30">
        <v>4252</v>
      </c>
      <c r="B940" s="30" t="s">
        <v>3359</v>
      </c>
      <c r="C940" s="30" t="s">
        <v>3360</v>
      </c>
      <c r="D940" s="30" t="s">
        <v>106</v>
      </c>
      <c r="E940" s="30"/>
      <c r="F940" s="30" t="s">
        <v>107</v>
      </c>
      <c r="G940" s="30" t="s">
        <v>106</v>
      </c>
      <c r="H940" s="30"/>
      <c r="I940" s="30" t="s">
        <v>191</v>
      </c>
      <c r="J940" s="30"/>
      <c r="K940" s="30" t="s">
        <v>3098</v>
      </c>
      <c r="L940" s="30" t="s">
        <v>117</v>
      </c>
      <c r="M940" s="30" t="s">
        <v>109</v>
      </c>
      <c r="N940" s="30" t="s">
        <v>114</v>
      </c>
      <c r="O940" s="30" t="s">
        <v>111</v>
      </c>
      <c r="P940" s="30" t="s">
        <v>112</v>
      </c>
      <c r="Q940" s="30" t="s">
        <v>112</v>
      </c>
      <c r="R940" s="30" t="s">
        <v>183</v>
      </c>
      <c r="S940" s="81">
        <f>HLOOKUP(L940,データについて!$J$6:$M$18,13,FALSE)</f>
        <v>2</v>
      </c>
      <c r="T940" s="81">
        <f>HLOOKUP(M940,データについて!$J$7:$M$18,12,FALSE)</f>
        <v>2</v>
      </c>
      <c r="U940" s="81">
        <f>HLOOKUP(N940,データについて!$J$8:$M$18,11,FALSE)</f>
        <v>1</v>
      </c>
      <c r="V940" s="81">
        <f>HLOOKUP(O940,データについて!$J$9:$M$18,10,FALSE)</f>
        <v>3</v>
      </c>
      <c r="W940" s="81">
        <f>HLOOKUP(P940,データについて!$J$10:$M$18,9,FALSE)</f>
        <v>1</v>
      </c>
      <c r="X940" s="81">
        <f>HLOOKUP(Q940,データについて!$J$11:$M$18,8,FALSE)</f>
        <v>1</v>
      </c>
      <c r="Y940" s="81">
        <f>HLOOKUP(R940,データについて!$J$12:$M$18,7,FALSE)</f>
        <v>1</v>
      </c>
      <c r="Z940" s="81">
        <f>HLOOKUP(I940,データについて!$J$3:$M$18,16,FALSE)</f>
        <v>2</v>
      </c>
      <c r="AA940" s="81" t="str">
        <f>IFERROR(HLOOKUP(J940,データについて!$J$4:$AH$19,16,FALSE),"")</f>
        <v/>
      </c>
      <c r="AB940" s="81">
        <f>IFERROR(HLOOKUP(K940,データについて!$J$5:$AH$20,14,FALSE),"")</f>
        <v>3</v>
      </c>
      <c r="AC940" s="81">
        <f>IF(X940=1,HLOOKUP(R940,データについて!$J$12:$M$18,7,FALSE),"*")</f>
        <v>1</v>
      </c>
      <c r="AD940" s="81" t="str">
        <f>IF(X940=2,HLOOKUP(R940,データについて!$J$12:$M$18,7,FALSE),"*")</f>
        <v>*</v>
      </c>
    </row>
    <row r="941" spans="1:30">
      <c r="A941" s="30">
        <v>4251</v>
      </c>
      <c r="B941" s="30" t="s">
        <v>3361</v>
      </c>
      <c r="C941" s="30" t="s">
        <v>3362</v>
      </c>
      <c r="D941" s="30" t="s">
        <v>106</v>
      </c>
      <c r="E941" s="30"/>
      <c r="F941" s="30" t="s">
        <v>107</v>
      </c>
      <c r="G941" s="30" t="s">
        <v>106</v>
      </c>
      <c r="H941" s="30"/>
      <c r="I941" s="30" t="s">
        <v>191</v>
      </c>
      <c r="J941" s="30"/>
      <c r="K941" s="30" t="s">
        <v>3098</v>
      </c>
      <c r="L941" s="30" t="s">
        <v>108</v>
      </c>
      <c r="M941" s="30" t="s">
        <v>124</v>
      </c>
      <c r="N941" s="30" t="s">
        <v>110</v>
      </c>
      <c r="O941" s="30" t="s">
        <v>123</v>
      </c>
      <c r="P941" s="30" t="s">
        <v>118</v>
      </c>
      <c r="Q941" s="30" t="s">
        <v>112</v>
      </c>
      <c r="R941" s="30" t="s">
        <v>187</v>
      </c>
      <c r="S941" s="81">
        <f>HLOOKUP(L941,データについて!$J$6:$M$18,13,FALSE)</f>
        <v>1</v>
      </c>
      <c r="T941" s="81">
        <f>HLOOKUP(M941,データについて!$J$7:$M$18,12,FALSE)</f>
        <v>3</v>
      </c>
      <c r="U941" s="81">
        <f>HLOOKUP(N941,データについて!$J$8:$M$18,11,FALSE)</f>
        <v>2</v>
      </c>
      <c r="V941" s="81">
        <f>HLOOKUP(O941,データについて!$J$9:$M$18,10,FALSE)</f>
        <v>4</v>
      </c>
      <c r="W941" s="81">
        <f>HLOOKUP(P941,データについて!$J$10:$M$18,9,FALSE)</f>
        <v>2</v>
      </c>
      <c r="X941" s="81">
        <f>HLOOKUP(Q941,データについて!$J$11:$M$18,8,FALSE)</f>
        <v>1</v>
      </c>
      <c r="Y941" s="81">
        <f>HLOOKUP(R941,データについて!$J$12:$M$18,7,FALSE)</f>
        <v>3</v>
      </c>
      <c r="Z941" s="81">
        <f>HLOOKUP(I941,データについて!$J$3:$M$18,16,FALSE)</f>
        <v>2</v>
      </c>
      <c r="AA941" s="81" t="str">
        <f>IFERROR(HLOOKUP(J941,データについて!$J$4:$AH$19,16,FALSE),"")</f>
        <v/>
      </c>
      <c r="AB941" s="81">
        <f>IFERROR(HLOOKUP(K941,データについて!$J$5:$AH$20,14,FALSE),"")</f>
        <v>3</v>
      </c>
      <c r="AC941" s="81">
        <f>IF(X941=1,HLOOKUP(R941,データについて!$J$12:$M$18,7,FALSE),"*")</f>
        <v>3</v>
      </c>
      <c r="AD941" s="81" t="str">
        <f>IF(X941=2,HLOOKUP(R941,データについて!$J$12:$M$18,7,FALSE),"*")</f>
        <v>*</v>
      </c>
    </row>
    <row r="942" spans="1:30">
      <c r="A942" s="30">
        <v>4250</v>
      </c>
      <c r="B942" s="30" t="s">
        <v>3363</v>
      </c>
      <c r="C942" s="30" t="s">
        <v>3364</v>
      </c>
      <c r="D942" s="30" t="s">
        <v>106</v>
      </c>
      <c r="E942" s="30"/>
      <c r="F942" s="30" t="s">
        <v>107</v>
      </c>
      <c r="G942" s="30" t="s">
        <v>106</v>
      </c>
      <c r="H942" s="30"/>
      <c r="I942" s="30" t="s">
        <v>191</v>
      </c>
      <c r="J942" s="30"/>
      <c r="K942" s="30" t="s">
        <v>3098</v>
      </c>
      <c r="L942" s="30" t="s">
        <v>117</v>
      </c>
      <c r="M942" s="30" t="s">
        <v>109</v>
      </c>
      <c r="N942" s="30" t="s">
        <v>110</v>
      </c>
      <c r="O942" s="30" t="s">
        <v>115</v>
      </c>
      <c r="P942" s="30" t="s">
        <v>112</v>
      </c>
      <c r="Q942" s="30" t="s">
        <v>112</v>
      </c>
      <c r="R942" s="30" t="s">
        <v>187</v>
      </c>
      <c r="S942" s="81">
        <f>HLOOKUP(L942,データについて!$J$6:$M$18,13,FALSE)</f>
        <v>2</v>
      </c>
      <c r="T942" s="81">
        <f>HLOOKUP(M942,データについて!$J$7:$M$18,12,FALSE)</f>
        <v>2</v>
      </c>
      <c r="U942" s="81">
        <f>HLOOKUP(N942,データについて!$J$8:$M$18,11,FALSE)</f>
        <v>2</v>
      </c>
      <c r="V942" s="81">
        <f>HLOOKUP(O942,データについて!$J$9:$M$18,10,FALSE)</f>
        <v>1</v>
      </c>
      <c r="W942" s="81">
        <f>HLOOKUP(P942,データについて!$J$10:$M$18,9,FALSE)</f>
        <v>1</v>
      </c>
      <c r="X942" s="81">
        <f>HLOOKUP(Q942,データについて!$J$11:$M$18,8,FALSE)</f>
        <v>1</v>
      </c>
      <c r="Y942" s="81">
        <f>HLOOKUP(R942,データについて!$J$12:$M$18,7,FALSE)</f>
        <v>3</v>
      </c>
      <c r="Z942" s="81">
        <f>HLOOKUP(I942,データについて!$J$3:$M$18,16,FALSE)</f>
        <v>2</v>
      </c>
      <c r="AA942" s="81" t="str">
        <f>IFERROR(HLOOKUP(J942,データについて!$J$4:$AH$19,16,FALSE),"")</f>
        <v/>
      </c>
      <c r="AB942" s="81">
        <f>IFERROR(HLOOKUP(K942,データについて!$J$5:$AH$20,14,FALSE),"")</f>
        <v>3</v>
      </c>
      <c r="AC942" s="81">
        <f>IF(X942=1,HLOOKUP(R942,データについて!$J$12:$M$18,7,FALSE),"*")</f>
        <v>3</v>
      </c>
      <c r="AD942" s="81" t="str">
        <f>IF(X942=2,HLOOKUP(R942,データについて!$J$12:$M$18,7,FALSE),"*")</f>
        <v>*</v>
      </c>
    </row>
    <row r="943" spans="1:30">
      <c r="A943" s="30">
        <v>4249</v>
      </c>
      <c r="B943" s="30" t="s">
        <v>3365</v>
      </c>
      <c r="C943" s="30" t="s">
        <v>3364</v>
      </c>
      <c r="D943" s="30" t="s">
        <v>106</v>
      </c>
      <c r="E943" s="30"/>
      <c r="F943" s="30" t="s">
        <v>107</v>
      </c>
      <c r="G943" s="30" t="s">
        <v>106</v>
      </c>
      <c r="H943" s="30"/>
      <c r="I943" s="30" t="s">
        <v>191</v>
      </c>
      <c r="J943" s="30"/>
      <c r="K943" s="30" t="s">
        <v>3098</v>
      </c>
      <c r="L943" s="30" t="s">
        <v>108</v>
      </c>
      <c r="M943" s="30" t="s">
        <v>113</v>
      </c>
      <c r="N943" s="30" t="s">
        <v>114</v>
      </c>
      <c r="O943" s="30" t="s">
        <v>115</v>
      </c>
      <c r="P943" s="30" t="s">
        <v>118</v>
      </c>
      <c r="Q943" s="30" t="s">
        <v>112</v>
      </c>
      <c r="R943" s="30" t="s">
        <v>187</v>
      </c>
      <c r="S943" s="81">
        <f>HLOOKUP(L943,データについて!$J$6:$M$18,13,FALSE)</f>
        <v>1</v>
      </c>
      <c r="T943" s="81">
        <f>HLOOKUP(M943,データについて!$J$7:$M$18,12,FALSE)</f>
        <v>1</v>
      </c>
      <c r="U943" s="81">
        <f>HLOOKUP(N943,データについて!$J$8:$M$18,11,FALSE)</f>
        <v>1</v>
      </c>
      <c r="V943" s="81">
        <f>HLOOKUP(O943,データについて!$J$9:$M$18,10,FALSE)</f>
        <v>1</v>
      </c>
      <c r="W943" s="81">
        <f>HLOOKUP(P943,データについて!$J$10:$M$18,9,FALSE)</f>
        <v>2</v>
      </c>
      <c r="X943" s="81">
        <f>HLOOKUP(Q943,データについて!$J$11:$M$18,8,FALSE)</f>
        <v>1</v>
      </c>
      <c r="Y943" s="81">
        <f>HLOOKUP(R943,データについて!$J$12:$M$18,7,FALSE)</f>
        <v>3</v>
      </c>
      <c r="Z943" s="81">
        <f>HLOOKUP(I943,データについて!$J$3:$M$18,16,FALSE)</f>
        <v>2</v>
      </c>
      <c r="AA943" s="81" t="str">
        <f>IFERROR(HLOOKUP(J943,データについて!$J$4:$AH$19,16,FALSE),"")</f>
        <v/>
      </c>
      <c r="AB943" s="81">
        <f>IFERROR(HLOOKUP(K943,データについて!$J$5:$AH$20,14,FALSE),"")</f>
        <v>3</v>
      </c>
      <c r="AC943" s="81">
        <f>IF(X943=1,HLOOKUP(R943,データについて!$J$12:$M$18,7,FALSE),"*")</f>
        <v>3</v>
      </c>
      <c r="AD943" s="81" t="str">
        <f>IF(X943=2,HLOOKUP(R943,データについて!$J$12:$M$18,7,FALSE),"*")</f>
        <v>*</v>
      </c>
    </row>
    <row r="944" spans="1:30">
      <c r="A944" s="30">
        <v>4248</v>
      </c>
      <c r="B944" s="30" t="s">
        <v>3366</v>
      </c>
      <c r="C944" s="30" t="s">
        <v>3367</v>
      </c>
      <c r="D944" s="30" t="s">
        <v>106</v>
      </c>
      <c r="E944" s="30"/>
      <c r="F944" s="30" t="s">
        <v>107</v>
      </c>
      <c r="G944" s="30" t="s">
        <v>106</v>
      </c>
      <c r="H944" s="30"/>
      <c r="I944" s="30" t="s">
        <v>191</v>
      </c>
      <c r="J944" s="30"/>
      <c r="K944" s="30" t="s">
        <v>3098</v>
      </c>
      <c r="L944" s="30" t="s">
        <v>108</v>
      </c>
      <c r="M944" s="30" t="s">
        <v>109</v>
      </c>
      <c r="N944" s="30" t="s">
        <v>110</v>
      </c>
      <c r="O944" s="30" t="s">
        <v>111</v>
      </c>
      <c r="P944" s="30" t="s">
        <v>112</v>
      </c>
      <c r="Q944" s="30" t="s">
        <v>112</v>
      </c>
      <c r="R944" s="30" t="s">
        <v>187</v>
      </c>
      <c r="S944" s="81">
        <f>HLOOKUP(L944,データについて!$J$6:$M$18,13,FALSE)</f>
        <v>1</v>
      </c>
      <c r="T944" s="81">
        <f>HLOOKUP(M944,データについて!$J$7:$M$18,12,FALSE)</f>
        <v>2</v>
      </c>
      <c r="U944" s="81">
        <f>HLOOKUP(N944,データについて!$J$8:$M$18,11,FALSE)</f>
        <v>2</v>
      </c>
      <c r="V944" s="81">
        <f>HLOOKUP(O944,データについて!$J$9:$M$18,10,FALSE)</f>
        <v>3</v>
      </c>
      <c r="W944" s="81">
        <f>HLOOKUP(P944,データについて!$J$10:$M$18,9,FALSE)</f>
        <v>1</v>
      </c>
      <c r="X944" s="81">
        <f>HLOOKUP(Q944,データについて!$J$11:$M$18,8,FALSE)</f>
        <v>1</v>
      </c>
      <c r="Y944" s="81">
        <f>HLOOKUP(R944,データについて!$J$12:$M$18,7,FALSE)</f>
        <v>3</v>
      </c>
      <c r="Z944" s="81">
        <f>HLOOKUP(I944,データについて!$J$3:$M$18,16,FALSE)</f>
        <v>2</v>
      </c>
      <c r="AA944" s="81" t="str">
        <f>IFERROR(HLOOKUP(J944,データについて!$J$4:$AH$19,16,FALSE),"")</f>
        <v/>
      </c>
      <c r="AB944" s="81">
        <f>IFERROR(HLOOKUP(K944,データについて!$J$5:$AH$20,14,FALSE),"")</f>
        <v>3</v>
      </c>
      <c r="AC944" s="81">
        <f>IF(X944=1,HLOOKUP(R944,データについて!$J$12:$M$18,7,FALSE),"*")</f>
        <v>3</v>
      </c>
      <c r="AD944" s="81" t="str">
        <f>IF(X944=2,HLOOKUP(R944,データについて!$J$12:$M$18,7,FALSE),"*")</f>
        <v>*</v>
      </c>
    </row>
    <row r="945" spans="1:30">
      <c r="A945" s="30">
        <v>4247</v>
      </c>
      <c r="B945" s="30" t="s">
        <v>3368</v>
      </c>
      <c r="C945" s="30" t="s">
        <v>3367</v>
      </c>
      <c r="D945" s="30" t="s">
        <v>106</v>
      </c>
      <c r="E945" s="30"/>
      <c r="F945" s="30" t="s">
        <v>107</v>
      </c>
      <c r="G945" s="30" t="s">
        <v>106</v>
      </c>
      <c r="H945" s="30"/>
      <c r="I945" s="30" t="s">
        <v>191</v>
      </c>
      <c r="J945" s="30"/>
      <c r="K945" s="30" t="s">
        <v>3098</v>
      </c>
      <c r="L945" s="30" t="s">
        <v>108</v>
      </c>
      <c r="M945" s="30" t="s">
        <v>109</v>
      </c>
      <c r="N945" s="30" t="s">
        <v>122</v>
      </c>
      <c r="O945" s="30" t="s">
        <v>115</v>
      </c>
      <c r="P945" s="30" t="s">
        <v>112</v>
      </c>
      <c r="Q945" s="30" t="s">
        <v>112</v>
      </c>
      <c r="R945" s="30" t="s">
        <v>185</v>
      </c>
      <c r="S945" s="81">
        <f>HLOOKUP(L945,データについて!$J$6:$M$18,13,FALSE)</f>
        <v>1</v>
      </c>
      <c r="T945" s="81">
        <f>HLOOKUP(M945,データについて!$J$7:$M$18,12,FALSE)</f>
        <v>2</v>
      </c>
      <c r="U945" s="81">
        <f>HLOOKUP(N945,データについて!$J$8:$M$18,11,FALSE)</f>
        <v>3</v>
      </c>
      <c r="V945" s="81">
        <f>HLOOKUP(O945,データについて!$J$9:$M$18,10,FALSE)</f>
        <v>1</v>
      </c>
      <c r="W945" s="81">
        <f>HLOOKUP(P945,データについて!$J$10:$M$18,9,FALSE)</f>
        <v>1</v>
      </c>
      <c r="X945" s="81">
        <f>HLOOKUP(Q945,データについて!$J$11:$M$18,8,FALSE)</f>
        <v>1</v>
      </c>
      <c r="Y945" s="81">
        <f>HLOOKUP(R945,データについて!$J$12:$M$18,7,FALSE)</f>
        <v>2</v>
      </c>
      <c r="Z945" s="81">
        <f>HLOOKUP(I945,データについて!$J$3:$M$18,16,FALSE)</f>
        <v>2</v>
      </c>
      <c r="AA945" s="81" t="str">
        <f>IFERROR(HLOOKUP(J945,データについて!$J$4:$AH$19,16,FALSE),"")</f>
        <v/>
      </c>
      <c r="AB945" s="81">
        <f>IFERROR(HLOOKUP(K945,データについて!$J$5:$AH$20,14,FALSE),"")</f>
        <v>3</v>
      </c>
      <c r="AC945" s="81">
        <f>IF(X945=1,HLOOKUP(R945,データについて!$J$12:$M$18,7,FALSE),"*")</f>
        <v>2</v>
      </c>
      <c r="AD945" s="81" t="str">
        <f>IF(X945=2,HLOOKUP(R945,データについて!$J$12:$M$18,7,FALSE),"*")</f>
        <v>*</v>
      </c>
    </row>
    <row r="946" spans="1:30">
      <c r="A946" s="30">
        <v>4246</v>
      </c>
      <c r="B946" s="30" t="s">
        <v>3369</v>
      </c>
      <c r="C946" s="30" t="s">
        <v>3370</v>
      </c>
      <c r="D946" s="30" t="s">
        <v>106</v>
      </c>
      <c r="E946" s="30"/>
      <c r="F946" s="30" t="s">
        <v>107</v>
      </c>
      <c r="G946" s="30" t="s">
        <v>106</v>
      </c>
      <c r="H946" s="30"/>
      <c r="I946" s="30" t="s">
        <v>191</v>
      </c>
      <c r="J946" s="30"/>
      <c r="K946" s="30" t="s">
        <v>3098</v>
      </c>
      <c r="L946" s="30" t="s">
        <v>108</v>
      </c>
      <c r="M946" s="30" t="s">
        <v>109</v>
      </c>
      <c r="N946" s="30" t="s">
        <v>114</v>
      </c>
      <c r="O946" s="30" t="s">
        <v>115</v>
      </c>
      <c r="P946" s="30" t="s">
        <v>112</v>
      </c>
      <c r="Q946" s="30" t="s">
        <v>112</v>
      </c>
      <c r="R946" s="30" t="s">
        <v>185</v>
      </c>
      <c r="S946" s="81">
        <f>HLOOKUP(L946,データについて!$J$6:$M$18,13,FALSE)</f>
        <v>1</v>
      </c>
      <c r="T946" s="81">
        <f>HLOOKUP(M946,データについて!$J$7:$M$18,12,FALSE)</f>
        <v>2</v>
      </c>
      <c r="U946" s="81">
        <f>HLOOKUP(N946,データについて!$J$8:$M$18,11,FALSE)</f>
        <v>1</v>
      </c>
      <c r="V946" s="81">
        <f>HLOOKUP(O946,データについて!$J$9:$M$18,10,FALSE)</f>
        <v>1</v>
      </c>
      <c r="W946" s="81">
        <f>HLOOKUP(P946,データについて!$J$10:$M$18,9,FALSE)</f>
        <v>1</v>
      </c>
      <c r="X946" s="81">
        <f>HLOOKUP(Q946,データについて!$J$11:$M$18,8,FALSE)</f>
        <v>1</v>
      </c>
      <c r="Y946" s="81">
        <f>HLOOKUP(R946,データについて!$J$12:$M$18,7,FALSE)</f>
        <v>2</v>
      </c>
      <c r="Z946" s="81">
        <f>HLOOKUP(I946,データについて!$J$3:$M$18,16,FALSE)</f>
        <v>2</v>
      </c>
      <c r="AA946" s="81" t="str">
        <f>IFERROR(HLOOKUP(J946,データについて!$J$4:$AH$19,16,FALSE),"")</f>
        <v/>
      </c>
      <c r="AB946" s="81">
        <f>IFERROR(HLOOKUP(K946,データについて!$J$5:$AH$20,14,FALSE),"")</f>
        <v>3</v>
      </c>
      <c r="AC946" s="81">
        <f>IF(X946=1,HLOOKUP(R946,データについて!$J$12:$M$18,7,FALSE),"*")</f>
        <v>2</v>
      </c>
      <c r="AD946" s="81" t="str">
        <f>IF(X946=2,HLOOKUP(R946,データについて!$J$12:$M$18,7,FALSE),"*")</f>
        <v>*</v>
      </c>
    </row>
    <row r="947" spans="1:30">
      <c r="A947" s="30">
        <v>4245</v>
      </c>
      <c r="B947" s="30" t="s">
        <v>3371</v>
      </c>
      <c r="C947" s="30" t="s">
        <v>3372</v>
      </c>
      <c r="D947" s="30" t="s">
        <v>106</v>
      </c>
      <c r="E947" s="30"/>
      <c r="F947" s="30" t="s">
        <v>107</v>
      </c>
      <c r="G947" s="30" t="s">
        <v>106</v>
      </c>
      <c r="H947" s="30"/>
      <c r="I947" s="30" t="s">
        <v>191</v>
      </c>
      <c r="J947" s="30"/>
      <c r="K947" s="30" t="s">
        <v>3098</v>
      </c>
      <c r="L947" s="30" t="s">
        <v>117</v>
      </c>
      <c r="M947" s="30" t="s">
        <v>113</v>
      </c>
      <c r="N947" s="30" t="s">
        <v>114</v>
      </c>
      <c r="O947" s="30" t="s">
        <v>115</v>
      </c>
      <c r="P947" s="30" t="s">
        <v>118</v>
      </c>
      <c r="Q947" s="30" t="s">
        <v>112</v>
      </c>
      <c r="R947" s="30" t="s">
        <v>183</v>
      </c>
      <c r="S947" s="81">
        <f>HLOOKUP(L947,データについて!$J$6:$M$18,13,FALSE)</f>
        <v>2</v>
      </c>
      <c r="T947" s="81">
        <f>HLOOKUP(M947,データについて!$J$7:$M$18,12,FALSE)</f>
        <v>1</v>
      </c>
      <c r="U947" s="81">
        <f>HLOOKUP(N947,データについて!$J$8:$M$18,11,FALSE)</f>
        <v>1</v>
      </c>
      <c r="V947" s="81">
        <f>HLOOKUP(O947,データについて!$J$9:$M$18,10,FALSE)</f>
        <v>1</v>
      </c>
      <c r="W947" s="81">
        <f>HLOOKUP(P947,データについて!$J$10:$M$18,9,FALSE)</f>
        <v>2</v>
      </c>
      <c r="X947" s="81">
        <f>HLOOKUP(Q947,データについて!$J$11:$M$18,8,FALSE)</f>
        <v>1</v>
      </c>
      <c r="Y947" s="81">
        <f>HLOOKUP(R947,データについて!$J$12:$M$18,7,FALSE)</f>
        <v>1</v>
      </c>
      <c r="Z947" s="81">
        <f>HLOOKUP(I947,データについて!$J$3:$M$18,16,FALSE)</f>
        <v>2</v>
      </c>
      <c r="AA947" s="81" t="str">
        <f>IFERROR(HLOOKUP(J947,データについて!$J$4:$AH$19,16,FALSE),"")</f>
        <v/>
      </c>
      <c r="AB947" s="81">
        <f>IFERROR(HLOOKUP(K947,データについて!$J$5:$AH$20,14,FALSE),"")</f>
        <v>3</v>
      </c>
      <c r="AC947" s="81">
        <f>IF(X947=1,HLOOKUP(R947,データについて!$J$12:$M$18,7,FALSE),"*")</f>
        <v>1</v>
      </c>
      <c r="AD947" s="81" t="str">
        <f>IF(X947=2,HLOOKUP(R947,データについて!$J$12:$M$18,7,FALSE),"*")</f>
        <v>*</v>
      </c>
    </row>
    <row r="948" spans="1:30">
      <c r="A948" s="30">
        <v>4244</v>
      </c>
      <c r="B948" s="30" t="s">
        <v>3373</v>
      </c>
      <c r="C948" s="30" t="s">
        <v>3374</v>
      </c>
      <c r="D948" s="30" t="s">
        <v>106</v>
      </c>
      <c r="E948" s="30"/>
      <c r="F948" s="30" t="s">
        <v>107</v>
      </c>
      <c r="G948" s="30" t="s">
        <v>106</v>
      </c>
      <c r="H948" s="30"/>
      <c r="I948" s="30" t="s">
        <v>191</v>
      </c>
      <c r="J948" s="30"/>
      <c r="K948" s="30" t="s">
        <v>3098</v>
      </c>
      <c r="L948" s="30" t="s">
        <v>108</v>
      </c>
      <c r="M948" s="30" t="s">
        <v>113</v>
      </c>
      <c r="N948" s="30" t="s">
        <v>114</v>
      </c>
      <c r="O948" s="30" t="s">
        <v>115</v>
      </c>
      <c r="P948" s="30" t="s">
        <v>112</v>
      </c>
      <c r="Q948" s="30" t="s">
        <v>112</v>
      </c>
      <c r="R948" s="30" t="s">
        <v>183</v>
      </c>
      <c r="S948" s="81">
        <f>HLOOKUP(L948,データについて!$J$6:$M$18,13,FALSE)</f>
        <v>1</v>
      </c>
      <c r="T948" s="81">
        <f>HLOOKUP(M948,データについて!$J$7:$M$18,12,FALSE)</f>
        <v>1</v>
      </c>
      <c r="U948" s="81">
        <f>HLOOKUP(N948,データについて!$J$8:$M$18,11,FALSE)</f>
        <v>1</v>
      </c>
      <c r="V948" s="81">
        <f>HLOOKUP(O948,データについて!$J$9:$M$18,10,FALSE)</f>
        <v>1</v>
      </c>
      <c r="W948" s="81">
        <f>HLOOKUP(P948,データについて!$J$10:$M$18,9,FALSE)</f>
        <v>1</v>
      </c>
      <c r="X948" s="81">
        <f>HLOOKUP(Q948,データについて!$J$11:$M$18,8,FALSE)</f>
        <v>1</v>
      </c>
      <c r="Y948" s="81">
        <f>HLOOKUP(R948,データについて!$J$12:$M$18,7,FALSE)</f>
        <v>1</v>
      </c>
      <c r="Z948" s="81">
        <f>HLOOKUP(I948,データについて!$J$3:$M$18,16,FALSE)</f>
        <v>2</v>
      </c>
      <c r="AA948" s="81" t="str">
        <f>IFERROR(HLOOKUP(J948,データについて!$J$4:$AH$19,16,FALSE),"")</f>
        <v/>
      </c>
      <c r="AB948" s="81">
        <f>IFERROR(HLOOKUP(K948,データについて!$J$5:$AH$20,14,FALSE),"")</f>
        <v>3</v>
      </c>
      <c r="AC948" s="81">
        <f>IF(X948=1,HLOOKUP(R948,データについて!$J$12:$M$18,7,FALSE),"*")</f>
        <v>1</v>
      </c>
      <c r="AD948" s="81" t="str">
        <f>IF(X948=2,HLOOKUP(R948,データについて!$J$12:$M$18,7,FALSE),"*")</f>
        <v>*</v>
      </c>
    </row>
    <row r="949" spans="1:30">
      <c r="A949" s="30">
        <v>4243</v>
      </c>
      <c r="B949" s="30" t="s">
        <v>3375</v>
      </c>
      <c r="C949" s="30" t="s">
        <v>3376</v>
      </c>
      <c r="D949" s="30" t="s">
        <v>106</v>
      </c>
      <c r="E949" s="30"/>
      <c r="F949" s="30" t="s">
        <v>107</v>
      </c>
      <c r="G949" s="30" t="s">
        <v>106</v>
      </c>
      <c r="H949" s="30"/>
      <c r="I949" s="30" t="s">
        <v>191</v>
      </c>
      <c r="J949" s="30"/>
      <c r="K949" s="30" t="s">
        <v>3098</v>
      </c>
      <c r="L949" s="30" t="s">
        <v>117</v>
      </c>
      <c r="M949" s="30" t="s">
        <v>109</v>
      </c>
      <c r="N949" s="30" t="s">
        <v>114</v>
      </c>
      <c r="O949" s="30" t="s">
        <v>115</v>
      </c>
      <c r="P949" s="30" t="s">
        <v>112</v>
      </c>
      <c r="Q949" s="30" t="s">
        <v>112</v>
      </c>
      <c r="R949" s="30" t="s">
        <v>185</v>
      </c>
      <c r="S949" s="81">
        <f>HLOOKUP(L949,データについて!$J$6:$M$18,13,FALSE)</f>
        <v>2</v>
      </c>
      <c r="T949" s="81">
        <f>HLOOKUP(M949,データについて!$J$7:$M$18,12,FALSE)</f>
        <v>2</v>
      </c>
      <c r="U949" s="81">
        <f>HLOOKUP(N949,データについて!$J$8:$M$18,11,FALSE)</f>
        <v>1</v>
      </c>
      <c r="V949" s="81">
        <f>HLOOKUP(O949,データについて!$J$9:$M$18,10,FALSE)</f>
        <v>1</v>
      </c>
      <c r="W949" s="81">
        <f>HLOOKUP(P949,データについて!$J$10:$M$18,9,FALSE)</f>
        <v>1</v>
      </c>
      <c r="X949" s="81">
        <f>HLOOKUP(Q949,データについて!$J$11:$M$18,8,FALSE)</f>
        <v>1</v>
      </c>
      <c r="Y949" s="81">
        <f>HLOOKUP(R949,データについて!$J$12:$M$18,7,FALSE)</f>
        <v>2</v>
      </c>
      <c r="Z949" s="81">
        <f>HLOOKUP(I949,データについて!$J$3:$M$18,16,FALSE)</f>
        <v>2</v>
      </c>
      <c r="AA949" s="81" t="str">
        <f>IFERROR(HLOOKUP(J949,データについて!$J$4:$AH$19,16,FALSE),"")</f>
        <v/>
      </c>
      <c r="AB949" s="81">
        <f>IFERROR(HLOOKUP(K949,データについて!$J$5:$AH$20,14,FALSE),"")</f>
        <v>3</v>
      </c>
      <c r="AC949" s="81">
        <f>IF(X949=1,HLOOKUP(R949,データについて!$J$12:$M$18,7,FALSE),"*")</f>
        <v>2</v>
      </c>
      <c r="AD949" s="81" t="str">
        <f>IF(X949=2,HLOOKUP(R949,データについて!$J$12:$M$18,7,FALSE),"*")</f>
        <v>*</v>
      </c>
    </row>
    <row r="950" spans="1:30">
      <c r="A950" s="30">
        <v>4242</v>
      </c>
      <c r="B950" s="30" t="s">
        <v>3377</v>
      </c>
      <c r="C950" s="30" t="s">
        <v>3378</v>
      </c>
      <c r="D950" s="30" t="s">
        <v>106</v>
      </c>
      <c r="E950" s="30"/>
      <c r="F950" s="30" t="s">
        <v>107</v>
      </c>
      <c r="G950" s="30" t="s">
        <v>106</v>
      </c>
      <c r="H950" s="30"/>
      <c r="I950" s="30" t="s">
        <v>191</v>
      </c>
      <c r="J950" s="30"/>
      <c r="K950" s="30" t="s">
        <v>3098</v>
      </c>
      <c r="L950" s="30" t="s">
        <v>108</v>
      </c>
      <c r="M950" s="30" t="s">
        <v>113</v>
      </c>
      <c r="N950" s="30" t="s">
        <v>114</v>
      </c>
      <c r="O950" s="30" t="s">
        <v>115</v>
      </c>
      <c r="P950" s="30" t="s">
        <v>112</v>
      </c>
      <c r="Q950" s="30" t="s">
        <v>112</v>
      </c>
      <c r="R950" s="30" t="s">
        <v>185</v>
      </c>
      <c r="S950" s="81">
        <f>HLOOKUP(L950,データについて!$J$6:$M$18,13,FALSE)</f>
        <v>1</v>
      </c>
      <c r="T950" s="81">
        <f>HLOOKUP(M950,データについて!$J$7:$M$18,12,FALSE)</f>
        <v>1</v>
      </c>
      <c r="U950" s="81">
        <f>HLOOKUP(N950,データについて!$J$8:$M$18,11,FALSE)</f>
        <v>1</v>
      </c>
      <c r="V950" s="81">
        <f>HLOOKUP(O950,データについて!$J$9:$M$18,10,FALSE)</f>
        <v>1</v>
      </c>
      <c r="W950" s="81">
        <f>HLOOKUP(P950,データについて!$J$10:$M$18,9,FALSE)</f>
        <v>1</v>
      </c>
      <c r="X950" s="81">
        <f>HLOOKUP(Q950,データについて!$J$11:$M$18,8,FALSE)</f>
        <v>1</v>
      </c>
      <c r="Y950" s="81">
        <f>HLOOKUP(R950,データについて!$J$12:$M$18,7,FALSE)</f>
        <v>2</v>
      </c>
      <c r="Z950" s="81">
        <f>HLOOKUP(I950,データについて!$J$3:$M$18,16,FALSE)</f>
        <v>2</v>
      </c>
      <c r="AA950" s="81" t="str">
        <f>IFERROR(HLOOKUP(J950,データについて!$J$4:$AH$19,16,FALSE),"")</f>
        <v/>
      </c>
      <c r="AB950" s="81">
        <f>IFERROR(HLOOKUP(K950,データについて!$J$5:$AH$20,14,FALSE),"")</f>
        <v>3</v>
      </c>
      <c r="AC950" s="81">
        <f>IF(X950=1,HLOOKUP(R950,データについて!$J$12:$M$18,7,FALSE),"*")</f>
        <v>2</v>
      </c>
      <c r="AD950" s="81" t="str">
        <f>IF(X950=2,HLOOKUP(R950,データについて!$J$12:$M$18,7,FALSE),"*")</f>
        <v>*</v>
      </c>
    </row>
    <row r="951" spans="1:30">
      <c r="A951" s="30">
        <v>4241</v>
      </c>
      <c r="B951" s="30" t="s">
        <v>3379</v>
      </c>
      <c r="C951" s="30" t="s">
        <v>3380</v>
      </c>
      <c r="D951" s="30" t="s">
        <v>106</v>
      </c>
      <c r="E951" s="30"/>
      <c r="F951" s="30" t="s">
        <v>107</v>
      </c>
      <c r="G951" s="30" t="s">
        <v>106</v>
      </c>
      <c r="H951" s="30"/>
      <c r="I951" s="30" t="s">
        <v>191</v>
      </c>
      <c r="J951" s="30"/>
      <c r="K951" s="30" t="s">
        <v>3098</v>
      </c>
      <c r="L951" s="30" t="s">
        <v>108</v>
      </c>
      <c r="M951" s="30" t="s">
        <v>109</v>
      </c>
      <c r="N951" s="30" t="s">
        <v>114</v>
      </c>
      <c r="O951" s="30" t="s">
        <v>116</v>
      </c>
      <c r="P951" s="30" t="s">
        <v>118</v>
      </c>
      <c r="Q951" s="30" t="s">
        <v>112</v>
      </c>
      <c r="R951" s="30" t="s">
        <v>185</v>
      </c>
      <c r="S951" s="81">
        <f>HLOOKUP(L951,データについて!$J$6:$M$18,13,FALSE)</f>
        <v>1</v>
      </c>
      <c r="T951" s="81">
        <f>HLOOKUP(M951,データについて!$J$7:$M$18,12,FALSE)</f>
        <v>2</v>
      </c>
      <c r="U951" s="81">
        <f>HLOOKUP(N951,データについて!$J$8:$M$18,11,FALSE)</f>
        <v>1</v>
      </c>
      <c r="V951" s="81">
        <f>HLOOKUP(O951,データについて!$J$9:$M$18,10,FALSE)</f>
        <v>2</v>
      </c>
      <c r="W951" s="81">
        <f>HLOOKUP(P951,データについて!$J$10:$M$18,9,FALSE)</f>
        <v>2</v>
      </c>
      <c r="X951" s="81">
        <f>HLOOKUP(Q951,データについて!$J$11:$M$18,8,FALSE)</f>
        <v>1</v>
      </c>
      <c r="Y951" s="81">
        <f>HLOOKUP(R951,データについて!$J$12:$M$18,7,FALSE)</f>
        <v>2</v>
      </c>
      <c r="Z951" s="81">
        <f>HLOOKUP(I951,データについて!$J$3:$M$18,16,FALSE)</f>
        <v>2</v>
      </c>
      <c r="AA951" s="81" t="str">
        <f>IFERROR(HLOOKUP(J951,データについて!$J$4:$AH$19,16,FALSE),"")</f>
        <v/>
      </c>
      <c r="AB951" s="81">
        <f>IFERROR(HLOOKUP(K951,データについて!$J$5:$AH$20,14,FALSE),"")</f>
        <v>3</v>
      </c>
      <c r="AC951" s="81">
        <f>IF(X951=1,HLOOKUP(R951,データについて!$J$12:$M$18,7,FALSE),"*")</f>
        <v>2</v>
      </c>
      <c r="AD951" s="81" t="str">
        <f>IF(X951=2,HLOOKUP(R951,データについて!$J$12:$M$18,7,FALSE),"*")</f>
        <v>*</v>
      </c>
    </row>
    <row r="952" spans="1:30">
      <c r="A952" s="30">
        <v>4240</v>
      </c>
      <c r="B952" s="30" t="s">
        <v>3381</v>
      </c>
      <c r="C952" s="30" t="s">
        <v>3382</v>
      </c>
      <c r="D952" s="30" t="s">
        <v>106</v>
      </c>
      <c r="E952" s="30"/>
      <c r="F952" s="30" t="s">
        <v>107</v>
      </c>
      <c r="G952" s="30" t="s">
        <v>106</v>
      </c>
      <c r="H952" s="30"/>
      <c r="I952" s="30" t="s">
        <v>191</v>
      </c>
      <c r="J952" s="30"/>
      <c r="K952" s="30" t="s">
        <v>3098</v>
      </c>
      <c r="L952" s="30" t="s">
        <v>117</v>
      </c>
      <c r="M952" s="30" t="s">
        <v>124</v>
      </c>
      <c r="N952" s="30" t="s">
        <v>122</v>
      </c>
      <c r="O952" s="30" t="s">
        <v>115</v>
      </c>
      <c r="P952" s="30" t="s">
        <v>112</v>
      </c>
      <c r="Q952" s="30" t="s">
        <v>112</v>
      </c>
      <c r="R952" s="30" t="s">
        <v>183</v>
      </c>
      <c r="S952" s="81">
        <f>HLOOKUP(L952,データについて!$J$6:$M$18,13,FALSE)</f>
        <v>2</v>
      </c>
      <c r="T952" s="81">
        <f>HLOOKUP(M952,データについて!$J$7:$M$18,12,FALSE)</f>
        <v>3</v>
      </c>
      <c r="U952" s="81">
        <f>HLOOKUP(N952,データについて!$J$8:$M$18,11,FALSE)</f>
        <v>3</v>
      </c>
      <c r="V952" s="81">
        <f>HLOOKUP(O952,データについて!$J$9:$M$18,10,FALSE)</f>
        <v>1</v>
      </c>
      <c r="W952" s="81">
        <f>HLOOKUP(P952,データについて!$J$10:$M$18,9,FALSE)</f>
        <v>1</v>
      </c>
      <c r="X952" s="81">
        <f>HLOOKUP(Q952,データについて!$J$11:$M$18,8,FALSE)</f>
        <v>1</v>
      </c>
      <c r="Y952" s="81">
        <f>HLOOKUP(R952,データについて!$J$12:$M$18,7,FALSE)</f>
        <v>1</v>
      </c>
      <c r="Z952" s="81">
        <f>HLOOKUP(I952,データについて!$J$3:$M$18,16,FALSE)</f>
        <v>2</v>
      </c>
      <c r="AA952" s="81" t="str">
        <f>IFERROR(HLOOKUP(J952,データについて!$J$4:$AH$19,16,FALSE),"")</f>
        <v/>
      </c>
      <c r="AB952" s="81">
        <f>IFERROR(HLOOKUP(K952,データについて!$J$5:$AH$20,14,FALSE),"")</f>
        <v>3</v>
      </c>
      <c r="AC952" s="81">
        <f>IF(X952=1,HLOOKUP(R952,データについて!$J$12:$M$18,7,FALSE),"*")</f>
        <v>1</v>
      </c>
      <c r="AD952" s="81" t="str">
        <f>IF(X952=2,HLOOKUP(R952,データについて!$J$12:$M$18,7,FALSE),"*")</f>
        <v>*</v>
      </c>
    </row>
    <row r="953" spans="1:30">
      <c r="A953" s="30">
        <v>4239</v>
      </c>
      <c r="B953" s="30" t="s">
        <v>3383</v>
      </c>
      <c r="C953" s="30" t="s">
        <v>3384</v>
      </c>
      <c r="D953" s="30" t="s">
        <v>106</v>
      </c>
      <c r="E953" s="30"/>
      <c r="F953" s="30" t="s">
        <v>107</v>
      </c>
      <c r="G953" s="30" t="s">
        <v>106</v>
      </c>
      <c r="H953" s="30"/>
      <c r="I953" s="30" t="s">
        <v>191</v>
      </c>
      <c r="J953" s="30"/>
      <c r="K953" s="30" t="s">
        <v>3098</v>
      </c>
      <c r="L953" s="30" t="s">
        <v>108</v>
      </c>
      <c r="M953" s="30" t="s">
        <v>113</v>
      </c>
      <c r="N953" s="30" t="s">
        <v>110</v>
      </c>
      <c r="O953" s="30" t="s">
        <v>115</v>
      </c>
      <c r="P953" s="30" t="s">
        <v>112</v>
      </c>
      <c r="Q953" s="30" t="s">
        <v>118</v>
      </c>
      <c r="R953" s="30" t="s">
        <v>187</v>
      </c>
      <c r="S953" s="81">
        <f>HLOOKUP(L953,データについて!$J$6:$M$18,13,FALSE)</f>
        <v>1</v>
      </c>
      <c r="T953" s="81">
        <f>HLOOKUP(M953,データについて!$J$7:$M$18,12,FALSE)</f>
        <v>1</v>
      </c>
      <c r="U953" s="81">
        <f>HLOOKUP(N953,データについて!$J$8:$M$18,11,FALSE)</f>
        <v>2</v>
      </c>
      <c r="V953" s="81">
        <f>HLOOKUP(O953,データについて!$J$9:$M$18,10,FALSE)</f>
        <v>1</v>
      </c>
      <c r="W953" s="81">
        <f>HLOOKUP(P953,データについて!$J$10:$M$18,9,FALSE)</f>
        <v>1</v>
      </c>
      <c r="X953" s="81">
        <f>HLOOKUP(Q953,データについて!$J$11:$M$18,8,FALSE)</f>
        <v>2</v>
      </c>
      <c r="Y953" s="81">
        <f>HLOOKUP(R953,データについて!$J$12:$M$18,7,FALSE)</f>
        <v>3</v>
      </c>
      <c r="Z953" s="81">
        <f>HLOOKUP(I953,データについて!$J$3:$M$18,16,FALSE)</f>
        <v>2</v>
      </c>
      <c r="AA953" s="81" t="str">
        <f>IFERROR(HLOOKUP(J953,データについて!$J$4:$AH$19,16,FALSE),"")</f>
        <v/>
      </c>
      <c r="AB953" s="81">
        <f>IFERROR(HLOOKUP(K953,データについて!$J$5:$AH$20,14,FALSE),"")</f>
        <v>3</v>
      </c>
      <c r="AC953" s="81" t="str">
        <f>IF(X953=1,HLOOKUP(R953,データについて!$J$12:$M$18,7,FALSE),"*")</f>
        <v>*</v>
      </c>
      <c r="AD953" s="81">
        <f>IF(X953=2,HLOOKUP(R953,データについて!$J$12:$M$18,7,FALSE),"*")</f>
        <v>3</v>
      </c>
    </row>
    <row r="954" spans="1:30">
      <c r="A954" s="30">
        <v>4238</v>
      </c>
      <c r="B954" s="30" t="s">
        <v>3385</v>
      </c>
      <c r="C954" s="30" t="s">
        <v>3386</v>
      </c>
      <c r="D954" s="30" t="s">
        <v>106</v>
      </c>
      <c r="E954" s="30"/>
      <c r="F954" s="30" t="s">
        <v>107</v>
      </c>
      <c r="G954" s="30" t="s">
        <v>106</v>
      </c>
      <c r="H954" s="30"/>
      <c r="I954" s="30" t="s">
        <v>191</v>
      </c>
      <c r="J954" s="30"/>
      <c r="K954" s="30" t="s">
        <v>3098</v>
      </c>
      <c r="L954" s="30" t="s">
        <v>117</v>
      </c>
      <c r="M954" s="30" t="s">
        <v>113</v>
      </c>
      <c r="N954" s="30" t="s">
        <v>119</v>
      </c>
      <c r="O954" s="30" t="s">
        <v>116</v>
      </c>
      <c r="P954" s="30" t="s">
        <v>112</v>
      </c>
      <c r="Q954" s="30" t="s">
        <v>112</v>
      </c>
      <c r="R954" s="30" t="s">
        <v>189</v>
      </c>
      <c r="S954" s="81">
        <f>HLOOKUP(L954,データについて!$J$6:$M$18,13,FALSE)</f>
        <v>2</v>
      </c>
      <c r="T954" s="81">
        <f>HLOOKUP(M954,データについて!$J$7:$M$18,12,FALSE)</f>
        <v>1</v>
      </c>
      <c r="U954" s="81">
        <f>HLOOKUP(N954,データについて!$J$8:$M$18,11,FALSE)</f>
        <v>4</v>
      </c>
      <c r="V954" s="81">
        <f>HLOOKUP(O954,データについて!$J$9:$M$18,10,FALSE)</f>
        <v>2</v>
      </c>
      <c r="W954" s="81">
        <f>HLOOKUP(P954,データについて!$J$10:$M$18,9,FALSE)</f>
        <v>1</v>
      </c>
      <c r="X954" s="81">
        <f>HLOOKUP(Q954,データについて!$J$11:$M$18,8,FALSE)</f>
        <v>1</v>
      </c>
      <c r="Y954" s="81">
        <f>HLOOKUP(R954,データについて!$J$12:$M$18,7,FALSE)</f>
        <v>4</v>
      </c>
      <c r="Z954" s="81">
        <f>HLOOKUP(I954,データについて!$J$3:$M$18,16,FALSE)</f>
        <v>2</v>
      </c>
      <c r="AA954" s="81" t="str">
        <f>IFERROR(HLOOKUP(J954,データについて!$J$4:$AH$19,16,FALSE),"")</f>
        <v/>
      </c>
      <c r="AB954" s="81">
        <f>IFERROR(HLOOKUP(K954,データについて!$J$5:$AH$20,14,FALSE),"")</f>
        <v>3</v>
      </c>
      <c r="AC954" s="81">
        <f>IF(X954=1,HLOOKUP(R954,データについて!$J$12:$M$18,7,FALSE),"*")</f>
        <v>4</v>
      </c>
      <c r="AD954" s="81" t="str">
        <f>IF(X954=2,HLOOKUP(R954,データについて!$J$12:$M$18,7,FALSE),"*")</f>
        <v>*</v>
      </c>
    </row>
    <row r="955" spans="1:30">
      <c r="A955" s="30">
        <v>4237</v>
      </c>
      <c r="B955" s="30" t="s">
        <v>3387</v>
      </c>
      <c r="C955" s="30" t="s">
        <v>3388</v>
      </c>
      <c r="D955" s="30" t="s">
        <v>106</v>
      </c>
      <c r="E955" s="30"/>
      <c r="F955" s="30" t="s">
        <v>107</v>
      </c>
      <c r="G955" s="30" t="s">
        <v>106</v>
      </c>
      <c r="H955" s="30"/>
      <c r="I955" s="30" t="s">
        <v>191</v>
      </c>
      <c r="J955" s="30"/>
      <c r="K955" s="30" t="s">
        <v>3098</v>
      </c>
      <c r="L955" s="30" t="s">
        <v>108</v>
      </c>
      <c r="M955" s="30" t="s">
        <v>109</v>
      </c>
      <c r="N955" s="30" t="s">
        <v>114</v>
      </c>
      <c r="O955" s="30" t="s">
        <v>111</v>
      </c>
      <c r="P955" s="30" t="s">
        <v>112</v>
      </c>
      <c r="Q955" s="30" t="s">
        <v>112</v>
      </c>
      <c r="R955" s="30" t="s">
        <v>185</v>
      </c>
      <c r="S955" s="81">
        <f>HLOOKUP(L955,データについて!$J$6:$M$18,13,FALSE)</f>
        <v>1</v>
      </c>
      <c r="T955" s="81">
        <f>HLOOKUP(M955,データについて!$J$7:$M$18,12,FALSE)</f>
        <v>2</v>
      </c>
      <c r="U955" s="81">
        <f>HLOOKUP(N955,データについて!$J$8:$M$18,11,FALSE)</f>
        <v>1</v>
      </c>
      <c r="V955" s="81">
        <f>HLOOKUP(O955,データについて!$J$9:$M$18,10,FALSE)</f>
        <v>3</v>
      </c>
      <c r="W955" s="81">
        <f>HLOOKUP(P955,データについて!$J$10:$M$18,9,FALSE)</f>
        <v>1</v>
      </c>
      <c r="X955" s="81">
        <f>HLOOKUP(Q955,データについて!$J$11:$M$18,8,FALSE)</f>
        <v>1</v>
      </c>
      <c r="Y955" s="81">
        <f>HLOOKUP(R955,データについて!$J$12:$M$18,7,FALSE)</f>
        <v>2</v>
      </c>
      <c r="Z955" s="81">
        <f>HLOOKUP(I955,データについて!$J$3:$M$18,16,FALSE)</f>
        <v>2</v>
      </c>
      <c r="AA955" s="81" t="str">
        <f>IFERROR(HLOOKUP(J955,データについて!$J$4:$AH$19,16,FALSE),"")</f>
        <v/>
      </c>
      <c r="AB955" s="81">
        <f>IFERROR(HLOOKUP(K955,データについて!$J$5:$AH$20,14,FALSE),"")</f>
        <v>3</v>
      </c>
      <c r="AC955" s="81">
        <f>IF(X955=1,HLOOKUP(R955,データについて!$J$12:$M$18,7,FALSE),"*")</f>
        <v>2</v>
      </c>
      <c r="AD955" s="81" t="str">
        <f>IF(X955=2,HLOOKUP(R955,データについて!$J$12:$M$18,7,FALSE),"*")</f>
        <v>*</v>
      </c>
    </row>
    <row r="956" spans="1:30">
      <c r="A956" s="30">
        <v>4236</v>
      </c>
      <c r="B956" s="30" t="s">
        <v>3389</v>
      </c>
      <c r="C956" s="30" t="s">
        <v>3390</v>
      </c>
      <c r="D956" s="30" t="s">
        <v>106</v>
      </c>
      <c r="E956" s="30"/>
      <c r="F956" s="30" t="s">
        <v>107</v>
      </c>
      <c r="G956" s="30" t="s">
        <v>106</v>
      </c>
      <c r="H956" s="30"/>
      <c r="I956" s="30" t="s">
        <v>191</v>
      </c>
      <c r="J956" s="30"/>
      <c r="K956" s="30" t="s">
        <v>3098</v>
      </c>
      <c r="L956" s="30" t="s">
        <v>108</v>
      </c>
      <c r="M956" s="30" t="s">
        <v>113</v>
      </c>
      <c r="N956" s="30" t="s">
        <v>110</v>
      </c>
      <c r="O956" s="30" t="s">
        <v>115</v>
      </c>
      <c r="P956" s="30" t="s">
        <v>118</v>
      </c>
      <c r="Q956" s="30" t="s">
        <v>112</v>
      </c>
      <c r="R956" s="30" t="s">
        <v>183</v>
      </c>
      <c r="S956" s="81">
        <f>HLOOKUP(L956,データについて!$J$6:$M$18,13,FALSE)</f>
        <v>1</v>
      </c>
      <c r="T956" s="81">
        <f>HLOOKUP(M956,データについて!$J$7:$M$18,12,FALSE)</f>
        <v>1</v>
      </c>
      <c r="U956" s="81">
        <f>HLOOKUP(N956,データについて!$J$8:$M$18,11,FALSE)</f>
        <v>2</v>
      </c>
      <c r="V956" s="81">
        <f>HLOOKUP(O956,データについて!$J$9:$M$18,10,FALSE)</f>
        <v>1</v>
      </c>
      <c r="W956" s="81">
        <f>HLOOKUP(P956,データについて!$J$10:$M$18,9,FALSE)</f>
        <v>2</v>
      </c>
      <c r="X956" s="81">
        <f>HLOOKUP(Q956,データについて!$J$11:$M$18,8,FALSE)</f>
        <v>1</v>
      </c>
      <c r="Y956" s="81">
        <f>HLOOKUP(R956,データについて!$J$12:$M$18,7,FALSE)</f>
        <v>1</v>
      </c>
      <c r="Z956" s="81">
        <f>HLOOKUP(I956,データについて!$J$3:$M$18,16,FALSE)</f>
        <v>2</v>
      </c>
      <c r="AA956" s="81" t="str">
        <f>IFERROR(HLOOKUP(J956,データについて!$J$4:$AH$19,16,FALSE),"")</f>
        <v/>
      </c>
      <c r="AB956" s="81">
        <f>IFERROR(HLOOKUP(K956,データについて!$J$5:$AH$20,14,FALSE),"")</f>
        <v>3</v>
      </c>
      <c r="AC956" s="81">
        <f>IF(X956=1,HLOOKUP(R956,データについて!$J$12:$M$18,7,FALSE),"*")</f>
        <v>1</v>
      </c>
      <c r="AD956" s="81" t="str">
        <f>IF(X956=2,HLOOKUP(R956,データについて!$J$12:$M$18,7,FALSE),"*")</f>
        <v>*</v>
      </c>
    </row>
    <row r="957" spans="1:30">
      <c r="A957" s="30">
        <v>4235</v>
      </c>
      <c r="B957" s="30" t="s">
        <v>3391</v>
      </c>
      <c r="C957" s="30" t="s">
        <v>3390</v>
      </c>
      <c r="D957" s="30" t="s">
        <v>106</v>
      </c>
      <c r="E957" s="30"/>
      <c r="F957" s="30" t="s">
        <v>107</v>
      </c>
      <c r="G957" s="30" t="s">
        <v>106</v>
      </c>
      <c r="H957" s="30"/>
      <c r="I957" s="30" t="s">
        <v>191</v>
      </c>
      <c r="J957" s="30"/>
      <c r="K957" s="30" t="s">
        <v>3098</v>
      </c>
      <c r="L957" s="30" t="s">
        <v>108</v>
      </c>
      <c r="M957" s="30" t="s">
        <v>109</v>
      </c>
      <c r="N957" s="30" t="s">
        <v>114</v>
      </c>
      <c r="O957" s="30" t="s">
        <v>115</v>
      </c>
      <c r="P957" s="30" t="s">
        <v>112</v>
      </c>
      <c r="Q957" s="30" t="s">
        <v>112</v>
      </c>
      <c r="R957" s="30" t="s">
        <v>185</v>
      </c>
      <c r="S957" s="81">
        <f>HLOOKUP(L957,データについて!$J$6:$M$18,13,FALSE)</f>
        <v>1</v>
      </c>
      <c r="T957" s="81">
        <f>HLOOKUP(M957,データについて!$J$7:$M$18,12,FALSE)</f>
        <v>2</v>
      </c>
      <c r="U957" s="81">
        <f>HLOOKUP(N957,データについて!$J$8:$M$18,11,FALSE)</f>
        <v>1</v>
      </c>
      <c r="V957" s="81">
        <f>HLOOKUP(O957,データについて!$J$9:$M$18,10,FALSE)</f>
        <v>1</v>
      </c>
      <c r="W957" s="81">
        <f>HLOOKUP(P957,データについて!$J$10:$M$18,9,FALSE)</f>
        <v>1</v>
      </c>
      <c r="X957" s="81">
        <f>HLOOKUP(Q957,データについて!$J$11:$M$18,8,FALSE)</f>
        <v>1</v>
      </c>
      <c r="Y957" s="81">
        <f>HLOOKUP(R957,データについて!$J$12:$M$18,7,FALSE)</f>
        <v>2</v>
      </c>
      <c r="Z957" s="81">
        <f>HLOOKUP(I957,データについて!$J$3:$M$18,16,FALSE)</f>
        <v>2</v>
      </c>
      <c r="AA957" s="81" t="str">
        <f>IFERROR(HLOOKUP(J957,データについて!$J$4:$AH$19,16,FALSE),"")</f>
        <v/>
      </c>
      <c r="AB957" s="81">
        <f>IFERROR(HLOOKUP(K957,データについて!$J$5:$AH$20,14,FALSE),"")</f>
        <v>3</v>
      </c>
      <c r="AC957" s="81">
        <f>IF(X957=1,HLOOKUP(R957,データについて!$J$12:$M$18,7,FALSE),"*")</f>
        <v>2</v>
      </c>
      <c r="AD957" s="81" t="str">
        <f>IF(X957=2,HLOOKUP(R957,データについて!$J$12:$M$18,7,FALSE),"*")</f>
        <v>*</v>
      </c>
    </row>
    <row r="958" spans="1:30">
      <c r="A958" s="30">
        <v>4234</v>
      </c>
      <c r="B958" s="30" t="s">
        <v>3392</v>
      </c>
      <c r="C958" s="30" t="s">
        <v>3393</v>
      </c>
      <c r="D958" s="30" t="s">
        <v>106</v>
      </c>
      <c r="E958" s="30"/>
      <c r="F958" s="30" t="s">
        <v>107</v>
      </c>
      <c r="G958" s="30" t="s">
        <v>106</v>
      </c>
      <c r="H958" s="30"/>
      <c r="I958" s="30" t="s">
        <v>191</v>
      </c>
      <c r="J958" s="30"/>
      <c r="K958" s="30" t="s">
        <v>3098</v>
      </c>
      <c r="L958" s="30" t="s">
        <v>117</v>
      </c>
      <c r="M958" s="30" t="s">
        <v>109</v>
      </c>
      <c r="N958" s="30" t="s">
        <v>110</v>
      </c>
      <c r="O958" s="30" t="s">
        <v>115</v>
      </c>
      <c r="P958" s="30" t="s">
        <v>118</v>
      </c>
      <c r="Q958" s="30" t="s">
        <v>112</v>
      </c>
      <c r="R958" s="30" t="s">
        <v>187</v>
      </c>
      <c r="S958" s="81">
        <f>HLOOKUP(L958,データについて!$J$6:$M$18,13,FALSE)</f>
        <v>2</v>
      </c>
      <c r="T958" s="81">
        <f>HLOOKUP(M958,データについて!$J$7:$M$18,12,FALSE)</f>
        <v>2</v>
      </c>
      <c r="U958" s="81">
        <f>HLOOKUP(N958,データについて!$J$8:$M$18,11,FALSE)</f>
        <v>2</v>
      </c>
      <c r="V958" s="81">
        <f>HLOOKUP(O958,データについて!$J$9:$M$18,10,FALSE)</f>
        <v>1</v>
      </c>
      <c r="W958" s="81">
        <f>HLOOKUP(P958,データについて!$J$10:$M$18,9,FALSE)</f>
        <v>2</v>
      </c>
      <c r="X958" s="81">
        <f>HLOOKUP(Q958,データについて!$J$11:$M$18,8,FALSE)</f>
        <v>1</v>
      </c>
      <c r="Y958" s="81">
        <f>HLOOKUP(R958,データについて!$J$12:$M$18,7,FALSE)</f>
        <v>3</v>
      </c>
      <c r="Z958" s="81">
        <f>HLOOKUP(I958,データについて!$J$3:$M$18,16,FALSE)</f>
        <v>2</v>
      </c>
      <c r="AA958" s="81" t="str">
        <f>IFERROR(HLOOKUP(J958,データについて!$J$4:$AH$19,16,FALSE),"")</f>
        <v/>
      </c>
      <c r="AB958" s="81">
        <f>IFERROR(HLOOKUP(K958,データについて!$J$5:$AH$20,14,FALSE),"")</f>
        <v>3</v>
      </c>
      <c r="AC958" s="81">
        <f>IF(X958=1,HLOOKUP(R958,データについて!$J$12:$M$18,7,FALSE),"*")</f>
        <v>3</v>
      </c>
      <c r="AD958" s="81" t="str">
        <f>IF(X958=2,HLOOKUP(R958,データについて!$J$12:$M$18,7,FALSE),"*")</f>
        <v>*</v>
      </c>
    </row>
    <row r="959" spans="1:30">
      <c r="A959" s="30">
        <v>4233</v>
      </c>
      <c r="B959" s="30" t="s">
        <v>3394</v>
      </c>
      <c r="C959" s="30" t="s">
        <v>3393</v>
      </c>
      <c r="D959" s="30" t="s">
        <v>106</v>
      </c>
      <c r="E959" s="30"/>
      <c r="F959" s="30" t="s">
        <v>107</v>
      </c>
      <c r="G959" s="30" t="s">
        <v>106</v>
      </c>
      <c r="H959" s="30"/>
      <c r="I959" s="30" t="s">
        <v>191</v>
      </c>
      <c r="J959" s="30"/>
      <c r="K959" s="30" t="s">
        <v>3098</v>
      </c>
      <c r="L959" s="30" t="s">
        <v>108</v>
      </c>
      <c r="M959" s="30" t="s">
        <v>109</v>
      </c>
      <c r="N959" s="30" t="s">
        <v>110</v>
      </c>
      <c r="O959" s="30" t="s">
        <v>115</v>
      </c>
      <c r="P959" s="30" t="s">
        <v>112</v>
      </c>
      <c r="Q959" s="30" t="s">
        <v>112</v>
      </c>
      <c r="R959" s="30" t="s">
        <v>185</v>
      </c>
      <c r="S959" s="81">
        <f>HLOOKUP(L959,データについて!$J$6:$M$18,13,FALSE)</f>
        <v>1</v>
      </c>
      <c r="T959" s="81">
        <f>HLOOKUP(M959,データについて!$J$7:$M$18,12,FALSE)</f>
        <v>2</v>
      </c>
      <c r="U959" s="81">
        <f>HLOOKUP(N959,データについて!$J$8:$M$18,11,FALSE)</f>
        <v>2</v>
      </c>
      <c r="V959" s="81">
        <f>HLOOKUP(O959,データについて!$J$9:$M$18,10,FALSE)</f>
        <v>1</v>
      </c>
      <c r="W959" s="81">
        <f>HLOOKUP(P959,データについて!$J$10:$M$18,9,FALSE)</f>
        <v>1</v>
      </c>
      <c r="X959" s="81">
        <f>HLOOKUP(Q959,データについて!$J$11:$M$18,8,FALSE)</f>
        <v>1</v>
      </c>
      <c r="Y959" s="81">
        <f>HLOOKUP(R959,データについて!$J$12:$M$18,7,FALSE)</f>
        <v>2</v>
      </c>
      <c r="Z959" s="81">
        <f>HLOOKUP(I959,データについて!$J$3:$M$18,16,FALSE)</f>
        <v>2</v>
      </c>
      <c r="AA959" s="81" t="str">
        <f>IFERROR(HLOOKUP(J959,データについて!$J$4:$AH$19,16,FALSE),"")</f>
        <v/>
      </c>
      <c r="AB959" s="81">
        <f>IFERROR(HLOOKUP(K959,データについて!$J$5:$AH$20,14,FALSE),"")</f>
        <v>3</v>
      </c>
      <c r="AC959" s="81">
        <f>IF(X959=1,HLOOKUP(R959,データについて!$J$12:$M$18,7,FALSE),"*")</f>
        <v>2</v>
      </c>
      <c r="AD959" s="81" t="str">
        <f>IF(X959=2,HLOOKUP(R959,データについて!$J$12:$M$18,7,FALSE),"*")</f>
        <v>*</v>
      </c>
    </row>
    <row r="960" spans="1:30">
      <c r="A960" s="30">
        <v>4232</v>
      </c>
      <c r="B960" s="30" t="s">
        <v>3395</v>
      </c>
      <c r="C960" s="30" t="s">
        <v>3393</v>
      </c>
      <c r="D960" s="30" t="s">
        <v>106</v>
      </c>
      <c r="E960" s="30"/>
      <c r="F960" s="30" t="s">
        <v>107</v>
      </c>
      <c r="G960" s="30" t="s">
        <v>106</v>
      </c>
      <c r="H960" s="30"/>
      <c r="I960" s="30" t="s">
        <v>191</v>
      </c>
      <c r="J960" s="30"/>
      <c r="K960" s="30" t="s">
        <v>3098</v>
      </c>
      <c r="L960" s="30" t="s">
        <v>117</v>
      </c>
      <c r="M960" s="30" t="s">
        <v>124</v>
      </c>
      <c r="N960" s="30" t="s">
        <v>119</v>
      </c>
      <c r="O960" s="30" t="s">
        <v>116</v>
      </c>
      <c r="P960" s="30" t="s">
        <v>112</v>
      </c>
      <c r="Q960" s="30" t="s">
        <v>112</v>
      </c>
      <c r="R960" s="30" t="s">
        <v>189</v>
      </c>
      <c r="S960" s="81">
        <f>HLOOKUP(L960,データについて!$J$6:$M$18,13,FALSE)</f>
        <v>2</v>
      </c>
      <c r="T960" s="81">
        <f>HLOOKUP(M960,データについて!$J$7:$M$18,12,FALSE)</f>
        <v>3</v>
      </c>
      <c r="U960" s="81">
        <f>HLOOKUP(N960,データについて!$J$8:$M$18,11,FALSE)</f>
        <v>4</v>
      </c>
      <c r="V960" s="81">
        <f>HLOOKUP(O960,データについて!$J$9:$M$18,10,FALSE)</f>
        <v>2</v>
      </c>
      <c r="W960" s="81">
        <f>HLOOKUP(P960,データについて!$J$10:$M$18,9,FALSE)</f>
        <v>1</v>
      </c>
      <c r="X960" s="81">
        <f>HLOOKUP(Q960,データについて!$J$11:$M$18,8,FALSE)</f>
        <v>1</v>
      </c>
      <c r="Y960" s="81">
        <f>HLOOKUP(R960,データについて!$J$12:$M$18,7,FALSE)</f>
        <v>4</v>
      </c>
      <c r="Z960" s="81">
        <f>HLOOKUP(I960,データについて!$J$3:$M$18,16,FALSE)</f>
        <v>2</v>
      </c>
      <c r="AA960" s="81" t="str">
        <f>IFERROR(HLOOKUP(J960,データについて!$J$4:$AH$19,16,FALSE),"")</f>
        <v/>
      </c>
      <c r="AB960" s="81">
        <f>IFERROR(HLOOKUP(K960,データについて!$J$5:$AH$20,14,FALSE),"")</f>
        <v>3</v>
      </c>
      <c r="AC960" s="81">
        <f>IF(X960=1,HLOOKUP(R960,データについて!$J$12:$M$18,7,FALSE),"*")</f>
        <v>4</v>
      </c>
      <c r="AD960" s="81" t="str">
        <f>IF(X960=2,HLOOKUP(R960,データについて!$J$12:$M$18,7,FALSE),"*")</f>
        <v>*</v>
      </c>
    </row>
    <row r="961" spans="1:30">
      <c r="A961" s="30">
        <v>4231</v>
      </c>
      <c r="B961" s="30" t="s">
        <v>3396</v>
      </c>
      <c r="C961" s="30" t="s">
        <v>3393</v>
      </c>
      <c r="D961" s="30" t="s">
        <v>106</v>
      </c>
      <c r="E961" s="30"/>
      <c r="F961" s="30" t="s">
        <v>107</v>
      </c>
      <c r="G961" s="30" t="s">
        <v>106</v>
      </c>
      <c r="H961" s="30"/>
      <c r="I961" s="30" t="s">
        <v>191</v>
      </c>
      <c r="J961" s="30"/>
      <c r="K961" s="30" t="s">
        <v>3098</v>
      </c>
      <c r="L961" s="30" t="s">
        <v>117</v>
      </c>
      <c r="M961" s="30" t="s">
        <v>113</v>
      </c>
      <c r="N961" s="30" t="s">
        <v>114</v>
      </c>
      <c r="O961" s="30" t="s">
        <v>115</v>
      </c>
      <c r="P961" s="30" t="s">
        <v>112</v>
      </c>
      <c r="Q961" s="30" t="s">
        <v>112</v>
      </c>
      <c r="R961" s="30" t="s">
        <v>185</v>
      </c>
      <c r="S961" s="81">
        <f>HLOOKUP(L961,データについて!$J$6:$M$18,13,FALSE)</f>
        <v>2</v>
      </c>
      <c r="T961" s="81">
        <f>HLOOKUP(M961,データについて!$J$7:$M$18,12,FALSE)</f>
        <v>1</v>
      </c>
      <c r="U961" s="81">
        <f>HLOOKUP(N961,データについて!$J$8:$M$18,11,FALSE)</f>
        <v>1</v>
      </c>
      <c r="V961" s="81">
        <f>HLOOKUP(O961,データについて!$J$9:$M$18,10,FALSE)</f>
        <v>1</v>
      </c>
      <c r="W961" s="81">
        <f>HLOOKUP(P961,データについて!$J$10:$M$18,9,FALSE)</f>
        <v>1</v>
      </c>
      <c r="X961" s="81">
        <f>HLOOKUP(Q961,データについて!$J$11:$M$18,8,FALSE)</f>
        <v>1</v>
      </c>
      <c r="Y961" s="81">
        <f>HLOOKUP(R961,データについて!$J$12:$M$18,7,FALSE)</f>
        <v>2</v>
      </c>
      <c r="Z961" s="81">
        <f>HLOOKUP(I961,データについて!$J$3:$M$18,16,FALSE)</f>
        <v>2</v>
      </c>
      <c r="AA961" s="81" t="str">
        <f>IFERROR(HLOOKUP(J961,データについて!$J$4:$AH$19,16,FALSE),"")</f>
        <v/>
      </c>
      <c r="AB961" s="81">
        <f>IFERROR(HLOOKUP(K961,データについて!$J$5:$AH$20,14,FALSE),"")</f>
        <v>3</v>
      </c>
      <c r="AC961" s="81">
        <f>IF(X961=1,HLOOKUP(R961,データについて!$J$12:$M$18,7,FALSE),"*")</f>
        <v>2</v>
      </c>
      <c r="AD961" s="81" t="str">
        <f>IF(X961=2,HLOOKUP(R961,データについて!$J$12:$M$18,7,FALSE),"*")</f>
        <v>*</v>
      </c>
    </row>
    <row r="962" spans="1:30">
      <c r="A962" s="30">
        <v>4230</v>
      </c>
      <c r="B962" s="30" t="s">
        <v>3397</v>
      </c>
      <c r="C962" s="30" t="s">
        <v>3393</v>
      </c>
      <c r="D962" s="30" t="s">
        <v>106</v>
      </c>
      <c r="E962" s="30"/>
      <c r="F962" s="30" t="s">
        <v>107</v>
      </c>
      <c r="G962" s="30" t="s">
        <v>106</v>
      </c>
      <c r="H962" s="30"/>
      <c r="I962" s="30" t="s">
        <v>191</v>
      </c>
      <c r="J962" s="30"/>
      <c r="K962" s="30" t="s">
        <v>3098</v>
      </c>
      <c r="L962" s="30" t="s">
        <v>117</v>
      </c>
      <c r="M962" s="30" t="s">
        <v>109</v>
      </c>
      <c r="N962" s="30" t="s">
        <v>110</v>
      </c>
      <c r="O962" s="30" t="s">
        <v>115</v>
      </c>
      <c r="P962" s="30" t="s">
        <v>118</v>
      </c>
      <c r="Q962" s="30" t="s">
        <v>112</v>
      </c>
      <c r="R962" s="30" t="s">
        <v>185</v>
      </c>
      <c r="S962" s="81">
        <f>HLOOKUP(L962,データについて!$J$6:$M$18,13,FALSE)</f>
        <v>2</v>
      </c>
      <c r="T962" s="81">
        <f>HLOOKUP(M962,データについて!$J$7:$M$18,12,FALSE)</f>
        <v>2</v>
      </c>
      <c r="U962" s="81">
        <f>HLOOKUP(N962,データについて!$J$8:$M$18,11,FALSE)</f>
        <v>2</v>
      </c>
      <c r="V962" s="81">
        <f>HLOOKUP(O962,データについて!$J$9:$M$18,10,FALSE)</f>
        <v>1</v>
      </c>
      <c r="W962" s="81">
        <f>HLOOKUP(P962,データについて!$J$10:$M$18,9,FALSE)</f>
        <v>2</v>
      </c>
      <c r="X962" s="81">
        <f>HLOOKUP(Q962,データについて!$J$11:$M$18,8,FALSE)</f>
        <v>1</v>
      </c>
      <c r="Y962" s="81">
        <f>HLOOKUP(R962,データについて!$J$12:$M$18,7,FALSE)</f>
        <v>2</v>
      </c>
      <c r="Z962" s="81">
        <f>HLOOKUP(I962,データについて!$J$3:$M$18,16,FALSE)</f>
        <v>2</v>
      </c>
      <c r="AA962" s="81" t="str">
        <f>IFERROR(HLOOKUP(J962,データについて!$J$4:$AH$19,16,FALSE),"")</f>
        <v/>
      </c>
      <c r="AB962" s="81">
        <f>IFERROR(HLOOKUP(K962,データについて!$J$5:$AH$20,14,FALSE),"")</f>
        <v>3</v>
      </c>
      <c r="AC962" s="81">
        <f>IF(X962=1,HLOOKUP(R962,データについて!$J$12:$M$18,7,FALSE),"*")</f>
        <v>2</v>
      </c>
      <c r="AD962" s="81" t="str">
        <f>IF(X962=2,HLOOKUP(R962,データについて!$J$12:$M$18,7,FALSE),"*")</f>
        <v>*</v>
      </c>
    </row>
    <row r="963" spans="1:30">
      <c r="A963" s="30">
        <v>4229</v>
      </c>
      <c r="B963" s="30" t="s">
        <v>3398</v>
      </c>
      <c r="C963" s="30" t="s">
        <v>3393</v>
      </c>
      <c r="D963" s="30" t="s">
        <v>106</v>
      </c>
      <c r="E963" s="30"/>
      <c r="F963" s="30" t="s">
        <v>107</v>
      </c>
      <c r="G963" s="30" t="s">
        <v>106</v>
      </c>
      <c r="H963" s="30"/>
      <c r="I963" s="30" t="s">
        <v>191</v>
      </c>
      <c r="J963" s="30"/>
      <c r="K963" s="30" t="s">
        <v>3098</v>
      </c>
      <c r="L963" s="30" t="s">
        <v>117</v>
      </c>
      <c r="M963" s="30" t="s">
        <v>113</v>
      </c>
      <c r="N963" s="30" t="s">
        <v>114</v>
      </c>
      <c r="O963" s="30" t="s">
        <v>115</v>
      </c>
      <c r="P963" s="30" t="s">
        <v>112</v>
      </c>
      <c r="Q963" s="30" t="s">
        <v>112</v>
      </c>
      <c r="R963" s="30" t="s">
        <v>185</v>
      </c>
      <c r="S963" s="81">
        <f>HLOOKUP(L963,データについて!$J$6:$M$18,13,FALSE)</f>
        <v>2</v>
      </c>
      <c r="T963" s="81">
        <f>HLOOKUP(M963,データについて!$J$7:$M$18,12,FALSE)</f>
        <v>1</v>
      </c>
      <c r="U963" s="81">
        <f>HLOOKUP(N963,データについて!$J$8:$M$18,11,FALSE)</f>
        <v>1</v>
      </c>
      <c r="V963" s="81">
        <f>HLOOKUP(O963,データについて!$J$9:$M$18,10,FALSE)</f>
        <v>1</v>
      </c>
      <c r="W963" s="81">
        <f>HLOOKUP(P963,データについて!$J$10:$M$18,9,FALSE)</f>
        <v>1</v>
      </c>
      <c r="X963" s="81">
        <f>HLOOKUP(Q963,データについて!$J$11:$M$18,8,FALSE)</f>
        <v>1</v>
      </c>
      <c r="Y963" s="81">
        <f>HLOOKUP(R963,データについて!$J$12:$M$18,7,FALSE)</f>
        <v>2</v>
      </c>
      <c r="Z963" s="81">
        <f>HLOOKUP(I963,データについて!$J$3:$M$18,16,FALSE)</f>
        <v>2</v>
      </c>
      <c r="AA963" s="81" t="str">
        <f>IFERROR(HLOOKUP(J963,データについて!$J$4:$AH$19,16,FALSE),"")</f>
        <v/>
      </c>
      <c r="AB963" s="81">
        <f>IFERROR(HLOOKUP(K963,データについて!$J$5:$AH$20,14,FALSE),"")</f>
        <v>3</v>
      </c>
      <c r="AC963" s="81">
        <f>IF(X963=1,HLOOKUP(R963,データについて!$J$12:$M$18,7,FALSE),"*")</f>
        <v>2</v>
      </c>
      <c r="AD963" s="81" t="str">
        <f>IF(X963=2,HLOOKUP(R963,データについて!$J$12:$M$18,7,FALSE),"*")</f>
        <v>*</v>
      </c>
    </row>
    <row r="964" spans="1:30">
      <c r="A964" s="30">
        <v>4228</v>
      </c>
      <c r="B964" s="30" t="s">
        <v>3399</v>
      </c>
      <c r="C964" s="30" t="s">
        <v>3393</v>
      </c>
      <c r="D964" s="30" t="s">
        <v>106</v>
      </c>
      <c r="E964" s="30"/>
      <c r="F964" s="30" t="s">
        <v>107</v>
      </c>
      <c r="G964" s="30" t="s">
        <v>106</v>
      </c>
      <c r="H964" s="30"/>
      <c r="I964" s="30" t="s">
        <v>191</v>
      </c>
      <c r="J964" s="30"/>
      <c r="K964" s="30" t="s">
        <v>3098</v>
      </c>
      <c r="L964" s="30" t="s">
        <v>108</v>
      </c>
      <c r="M964" s="30" t="s">
        <v>113</v>
      </c>
      <c r="N964" s="30" t="s">
        <v>110</v>
      </c>
      <c r="O964" s="30" t="s">
        <v>115</v>
      </c>
      <c r="P964" s="30" t="s">
        <v>112</v>
      </c>
      <c r="Q964" s="30" t="s">
        <v>112</v>
      </c>
      <c r="R964" s="30" t="s">
        <v>183</v>
      </c>
      <c r="S964" s="81">
        <f>HLOOKUP(L964,データについて!$J$6:$M$18,13,FALSE)</f>
        <v>1</v>
      </c>
      <c r="T964" s="81">
        <f>HLOOKUP(M964,データについて!$J$7:$M$18,12,FALSE)</f>
        <v>1</v>
      </c>
      <c r="U964" s="81">
        <f>HLOOKUP(N964,データについて!$J$8:$M$18,11,FALSE)</f>
        <v>2</v>
      </c>
      <c r="V964" s="81">
        <f>HLOOKUP(O964,データについて!$J$9:$M$18,10,FALSE)</f>
        <v>1</v>
      </c>
      <c r="W964" s="81">
        <f>HLOOKUP(P964,データについて!$J$10:$M$18,9,FALSE)</f>
        <v>1</v>
      </c>
      <c r="X964" s="81">
        <f>HLOOKUP(Q964,データについて!$J$11:$M$18,8,FALSE)</f>
        <v>1</v>
      </c>
      <c r="Y964" s="81">
        <f>HLOOKUP(R964,データについて!$J$12:$M$18,7,FALSE)</f>
        <v>1</v>
      </c>
      <c r="Z964" s="81">
        <f>HLOOKUP(I964,データについて!$J$3:$M$18,16,FALSE)</f>
        <v>2</v>
      </c>
      <c r="AA964" s="81" t="str">
        <f>IFERROR(HLOOKUP(J964,データについて!$J$4:$AH$19,16,FALSE),"")</f>
        <v/>
      </c>
      <c r="AB964" s="81">
        <f>IFERROR(HLOOKUP(K964,データについて!$J$5:$AH$20,14,FALSE),"")</f>
        <v>3</v>
      </c>
      <c r="AC964" s="81">
        <f>IF(X964=1,HLOOKUP(R964,データについて!$J$12:$M$18,7,FALSE),"*")</f>
        <v>1</v>
      </c>
      <c r="AD964" s="81" t="str">
        <f>IF(X964=2,HLOOKUP(R964,データについて!$J$12:$M$18,7,FALSE),"*")</f>
        <v>*</v>
      </c>
    </row>
    <row r="965" spans="1:30">
      <c r="A965" s="30">
        <v>4227</v>
      </c>
      <c r="B965" s="30" t="s">
        <v>3400</v>
      </c>
      <c r="C965" s="30" t="s">
        <v>3393</v>
      </c>
      <c r="D965" s="30" t="s">
        <v>106</v>
      </c>
      <c r="E965" s="30"/>
      <c r="F965" s="30" t="s">
        <v>107</v>
      </c>
      <c r="G965" s="30" t="s">
        <v>106</v>
      </c>
      <c r="H965" s="30"/>
      <c r="I965" s="30" t="s">
        <v>191</v>
      </c>
      <c r="J965" s="30"/>
      <c r="K965" s="30" t="s">
        <v>3098</v>
      </c>
      <c r="L965" s="30" t="s">
        <v>108</v>
      </c>
      <c r="M965" s="30" t="s">
        <v>113</v>
      </c>
      <c r="N965" s="30" t="s">
        <v>110</v>
      </c>
      <c r="O965" s="30" t="s">
        <v>115</v>
      </c>
      <c r="P965" s="30" t="s">
        <v>112</v>
      </c>
      <c r="Q965" s="30" t="s">
        <v>112</v>
      </c>
      <c r="R965" s="30" t="s">
        <v>187</v>
      </c>
      <c r="S965" s="81">
        <f>HLOOKUP(L965,データについて!$J$6:$M$18,13,FALSE)</f>
        <v>1</v>
      </c>
      <c r="T965" s="81">
        <f>HLOOKUP(M965,データについて!$J$7:$M$18,12,FALSE)</f>
        <v>1</v>
      </c>
      <c r="U965" s="81">
        <f>HLOOKUP(N965,データについて!$J$8:$M$18,11,FALSE)</f>
        <v>2</v>
      </c>
      <c r="V965" s="81">
        <f>HLOOKUP(O965,データについて!$J$9:$M$18,10,FALSE)</f>
        <v>1</v>
      </c>
      <c r="W965" s="81">
        <f>HLOOKUP(P965,データについて!$J$10:$M$18,9,FALSE)</f>
        <v>1</v>
      </c>
      <c r="X965" s="81">
        <f>HLOOKUP(Q965,データについて!$J$11:$M$18,8,FALSE)</f>
        <v>1</v>
      </c>
      <c r="Y965" s="81">
        <f>HLOOKUP(R965,データについて!$J$12:$M$18,7,FALSE)</f>
        <v>3</v>
      </c>
      <c r="Z965" s="81">
        <f>HLOOKUP(I965,データについて!$J$3:$M$18,16,FALSE)</f>
        <v>2</v>
      </c>
      <c r="AA965" s="81" t="str">
        <f>IFERROR(HLOOKUP(J965,データについて!$J$4:$AH$19,16,FALSE),"")</f>
        <v/>
      </c>
      <c r="AB965" s="81">
        <f>IFERROR(HLOOKUP(K965,データについて!$J$5:$AH$20,14,FALSE),"")</f>
        <v>3</v>
      </c>
      <c r="AC965" s="81">
        <f>IF(X965=1,HLOOKUP(R965,データについて!$J$12:$M$18,7,FALSE),"*")</f>
        <v>3</v>
      </c>
      <c r="AD965" s="81" t="str">
        <f>IF(X965=2,HLOOKUP(R965,データについて!$J$12:$M$18,7,FALSE),"*")</f>
        <v>*</v>
      </c>
    </row>
    <row r="966" spans="1:30">
      <c r="A966" s="30">
        <v>4226</v>
      </c>
      <c r="B966" s="30" t="s">
        <v>3401</v>
      </c>
      <c r="C966" s="30" t="s">
        <v>3402</v>
      </c>
      <c r="D966" s="30" t="s">
        <v>106</v>
      </c>
      <c r="E966" s="30"/>
      <c r="F966" s="30" t="s">
        <v>107</v>
      </c>
      <c r="G966" s="30" t="s">
        <v>106</v>
      </c>
      <c r="H966" s="30"/>
      <c r="I966" s="30" t="s">
        <v>191</v>
      </c>
      <c r="J966" s="30"/>
      <c r="K966" s="30" t="s">
        <v>3098</v>
      </c>
      <c r="L966" s="30" t="s">
        <v>117</v>
      </c>
      <c r="M966" s="30" t="s">
        <v>113</v>
      </c>
      <c r="N966" s="30" t="s">
        <v>122</v>
      </c>
      <c r="O966" s="30" t="s">
        <v>115</v>
      </c>
      <c r="P966" s="30" t="s">
        <v>118</v>
      </c>
      <c r="Q966" s="30" t="s">
        <v>118</v>
      </c>
      <c r="R966" s="30" t="s">
        <v>185</v>
      </c>
      <c r="S966" s="81">
        <f>HLOOKUP(L966,データについて!$J$6:$M$18,13,FALSE)</f>
        <v>2</v>
      </c>
      <c r="T966" s="81">
        <f>HLOOKUP(M966,データについて!$J$7:$M$18,12,FALSE)</f>
        <v>1</v>
      </c>
      <c r="U966" s="81">
        <f>HLOOKUP(N966,データについて!$J$8:$M$18,11,FALSE)</f>
        <v>3</v>
      </c>
      <c r="V966" s="81">
        <f>HLOOKUP(O966,データについて!$J$9:$M$18,10,FALSE)</f>
        <v>1</v>
      </c>
      <c r="W966" s="81">
        <f>HLOOKUP(P966,データについて!$J$10:$M$18,9,FALSE)</f>
        <v>2</v>
      </c>
      <c r="X966" s="81">
        <f>HLOOKUP(Q966,データについて!$J$11:$M$18,8,FALSE)</f>
        <v>2</v>
      </c>
      <c r="Y966" s="81">
        <f>HLOOKUP(R966,データについて!$J$12:$M$18,7,FALSE)</f>
        <v>2</v>
      </c>
      <c r="Z966" s="81">
        <f>HLOOKUP(I966,データについて!$J$3:$M$18,16,FALSE)</f>
        <v>2</v>
      </c>
      <c r="AA966" s="81" t="str">
        <f>IFERROR(HLOOKUP(J966,データについて!$J$4:$AH$19,16,FALSE),"")</f>
        <v/>
      </c>
      <c r="AB966" s="81">
        <f>IFERROR(HLOOKUP(K966,データについて!$J$5:$AH$20,14,FALSE),"")</f>
        <v>3</v>
      </c>
      <c r="AC966" s="81" t="str">
        <f>IF(X966=1,HLOOKUP(R966,データについて!$J$12:$M$18,7,FALSE),"*")</f>
        <v>*</v>
      </c>
      <c r="AD966" s="81">
        <f>IF(X966=2,HLOOKUP(R966,データについて!$J$12:$M$18,7,FALSE),"*")</f>
        <v>2</v>
      </c>
    </row>
    <row r="967" spans="1:30">
      <c r="A967" s="30">
        <v>4225</v>
      </c>
      <c r="B967" s="30" t="s">
        <v>3403</v>
      </c>
      <c r="C967" s="30" t="s">
        <v>3402</v>
      </c>
      <c r="D967" s="30" t="s">
        <v>106</v>
      </c>
      <c r="E967" s="30"/>
      <c r="F967" s="30" t="s">
        <v>107</v>
      </c>
      <c r="G967" s="30" t="s">
        <v>106</v>
      </c>
      <c r="H967" s="30"/>
      <c r="I967" s="30" t="s">
        <v>191</v>
      </c>
      <c r="J967" s="30"/>
      <c r="K967" s="30" t="s">
        <v>3098</v>
      </c>
      <c r="L967" s="30" t="s">
        <v>117</v>
      </c>
      <c r="M967" s="30" t="s">
        <v>109</v>
      </c>
      <c r="N967" s="30" t="s">
        <v>110</v>
      </c>
      <c r="O967" s="30" t="s">
        <v>115</v>
      </c>
      <c r="P967" s="30" t="s">
        <v>118</v>
      </c>
      <c r="Q967" s="30" t="s">
        <v>118</v>
      </c>
      <c r="R967" s="30" t="s">
        <v>185</v>
      </c>
      <c r="S967" s="81">
        <f>HLOOKUP(L967,データについて!$J$6:$M$18,13,FALSE)</f>
        <v>2</v>
      </c>
      <c r="T967" s="81">
        <f>HLOOKUP(M967,データについて!$J$7:$M$18,12,FALSE)</f>
        <v>2</v>
      </c>
      <c r="U967" s="81">
        <f>HLOOKUP(N967,データについて!$J$8:$M$18,11,FALSE)</f>
        <v>2</v>
      </c>
      <c r="V967" s="81">
        <f>HLOOKUP(O967,データについて!$J$9:$M$18,10,FALSE)</f>
        <v>1</v>
      </c>
      <c r="W967" s="81">
        <f>HLOOKUP(P967,データについて!$J$10:$M$18,9,FALSE)</f>
        <v>2</v>
      </c>
      <c r="X967" s="81">
        <f>HLOOKUP(Q967,データについて!$J$11:$M$18,8,FALSE)</f>
        <v>2</v>
      </c>
      <c r="Y967" s="81">
        <f>HLOOKUP(R967,データについて!$J$12:$M$18,7,FALSE)</f>
        <v>2</v>
      </c>
      <c r="Z967" s="81">
        <f>HLOOKUP(I967,データについて!$J$3:$M$18,16,FALSE)</f>
        <v>2</v>
      </c>
      <c r="AA967" s="81" t="str">
        <f>IFERROR(HLOOKUP(J967,データについて!$J$4:$AH$19,16,FALSE),"")</f>
        <v/>
      </c>
      <c r="AB967" s="81">
        <f>IFERROR(HLOOKUP(K967,データについて!$J$5:$AH$20,14,FALSE),"")</f>
        <v>3</v>
      </c>
      <c r="AC967" s="81" t="str">
        <f>IF(X967=1,HLOOKUP(R967,データについて!$J$12:$M$18,7,FALSE),"*")</f>
        <v>*</v>
      </c>
      <c r="AD967" s="81">
        <f>IF(X967=2,HLOOKUP(R967,データについて!$J$12:$M$18,7,FALSE),"*")</f>
        <v>2</v>
      </c>
    </row>
    <row r="968" spans="1:30">
      <c r="A968" s="30">
        <v>4224</v>
      </c>
      <c r="B968" s="30" t="s">
        <v>3404</v>
      </c>
      <c r="C968" s="30" t="s">
        <v>3402</v>
      </c>
      <c r="D968" s="30" t="s">
        <v>106</v>
      </c>
      <c r="E968" s="30"/>
      <c r="F968" s="30" t="s">
        <v>107</v>
      </c>
      <c r="G968" s="30" t="s">
        <v>106</v>
      </c>
      <c r="H968" s="30"/>
      <c r="I968" s="30" t="s">
        <v>191</v>
      </c>
      <c r="J968" s="30"/>
      <c r="K968" s="30" t="s">
        <v>3098</v>
      </c>
      <c r="L968" s="30" t="s">
        <v>108</v>
      </c>
      <c r="M968" s="30" t="s">
        <v>113</v>
      </c>
      <c r="N968" s="30" t="s">
        <v>114</v>
      </c>
      <c r="O968" s="30" t="s">
        <v>115</v>
      </c>
      <c r="P968" s="30" t="s">
        <v>118</v>
      </c>
      <c r="Q968" s="30" t="s">
        <v>112</v>
      </c>
      <c r="R968" s="30" t="s">
        <v>183</v>
      </c>
      <c r="S968" s="81">
        <f>HLOOKUP(L968,データについて!$J$6:$M$18,13,FALSE)</f>
        <v>1</v>
      </c>
      <c r="T968" s="81">
        <f>HLOOKUP(M968,データについて!$J$7:$M$18,12,FALSE)</f>
        <v>1</v>
      </c>
      <c r="U968" s="81">
        <f>HLOOKUP(N968,データについて!$J$8:$M$18,11,FALSE)</f>
        <v>1</v>
      </c>
      <c r="V968" s="81">
        <f>HLOOKUP(O968,データについて!$J$9:$M$18,10,FALSE)</f>
        <v>1</v>
      </c>
      <c r="W968" s="81">
        <f>HLOOKUP(P968,データについて!$J$10:$M$18,9,FALSE)</f>
        <v>2</v>
      </c>
      <c r="X968" s="81">
        <f>HLOOKUP(Q968,データについて!$J$11:$M$18,8,FALSE)</f>
        <v>1</v>
      </c>
      <c r="Y968" s="81">
        <f>HLOOKUP(R968,データについて!$J$12:$M$18,7,FALSE)</f>
        <v>1</v>
      </c>
      <c r="Z968" s="81">
        <f>HLOOKUP(I968,データについて!$J$3:$M$18,16,FALSE)</f>
        <v>2</v>
      </c>
      <c r="AA968" s="81" t="str">
        <f>IFERROR(HLOOKUP(J968,データについて!$J$4:$AH$19,16,FALSE),"")</f>
        <v/>
      </c>
      <c r="AB968" s="81">
        <f>IFERROR(HLOOKUP(K968,データについて!$J$5:$AH$20,14,FALSE),"")</f>
        <v>3</v>
      </c>
      <c r="AC968" s="81">
        <f>IF(X968=1,HLOOKUP(R968,データについて!$J$12:$M$18,7,FALSE),"*")</f>
        <v>1</v>
      </c>
      <c r="AD968" s="81" t="str">
        <f>IF(X968=2,HLOOKUP(R968,データについて!$J$12:$M$18,7,FALSE),"*")</f>
        <v>*</v>
      </c>
    </row>
    <row r="969" spans="1:30">
      <c r="A969" s="30">
        <v>4223</v>
      </c>
      <c r="B969" s="30" t="s">
        <v>3405</v>
      </c>
      <c r="C969" s="30" t="s">
        <v>3402</v>
      </c>
      <c r="D969" s="30" t="s">
        <v>106</v>
      </c>
      <c r="E969" s="30"/>
      <c r="F969" s="30" t="s">
        <v>107</v>
      </c>
      <c r="G969" s="30" t="s">
        <v>106</v>
      </c>
      <c r="H969" s="30"/>
      <c r="I969" s="30" t="s">
        <v>191</v>
      </c>
      <c r="J969" s="30"/>
      <c r="K969" s="30" t="s">
        <v>3098</v>
      </c>
      <c r="L969" s="30" t="s">
        <v>108</v>
      </c>
      <c r="M969" s="30" t="s">
        <v>113</v>
      </c>
      <c r="N969" s="30" t="s">
        <v>110</v>
      </c>
      <c r="O969" s="30" t="s">
        <v>111</v>
      </c>
      <c r="P969" s="30" t="s">
        <v>112</v>
      </c>
      <c r="Q969" s="30" t="s">
        <v>112</v>
      </c>
      <c r="R969" s="30" t="s">
        <v>185</v>
      </c>
      <c r="S969" s="81">
        <f>HLOOKUP(L969,データについて!$J$6:$M$18,13,FALSE)</f>
        <v>1</v>
      </c>
      <c r="T969" s="81">
        <f>HLOOKUP(M969,データについて!$J$7:$M$18,12,FALSE)</f>
        <v>1</v>
      </c>
      <c r="U969" s="81">
        <f>HLOOKUP(N969,データについて!$J$8:$M$18,11,FALSE)</f>
        <v>2</v>
      </c>
      <c r="V969" s="81">
        <f>HLOOKUP(O969,データについて!$J$9:$M$18,10,FALSE)</f>
        <v>3</v>
      </c>
      <c r="W969" s="81">
        <f>HLOOKUP(P969,データについて!$J$10:$M$18,9,FALSE)</f>
        <v>1</v>
      </c>
      <c r="X969" s="81">
        <f>HLOOKUP(Q969,データについて!$J$11:$M$18,8,FALSE)</f>
        <v>1</v>
      </c>
      <c r="Y969" s="81">
        <f>HLOOKUP(R969,データについて!$J$12:$M$18,7,FALSE)</f>
        <v>2</v>
      </c>
      <c r="Z969" s="81">
        <f>HLOOKUP(I969,データについて!$J$3:$M$18,16,FALSE)</f>
        <v>2</v>
      </c>
      <c r="AA969" s="81" t="str">
        <f>IFERROR(HLOOKUP(J969,データについて!$J$4:$AH$19,16,FALSE),"")</f>
        <v/>
      </c>
      <c r="AB969" s="81">
        <f>IFERROR(HLOOKUP(K969,データについて!$J$5:$AH$20,14,FALSE),"")</f>
        <v>3</v>
      </c>
      <c r="AC969" s="81">
        <f>IF(X969=1,HLOOKUP(R969,データについて!$J$12:$M$18,7,FALSE),"*")</f>
        <v>2</v>
      </c>
      <c r="AD969" s="81" t="str">
        <f>IF(X969=2,HLOOKUP(R969,データについて!$J$12:$M$18,7,FALSE),"*")</f>
        <v>*</v>
      </c>
    </row>
    <row r="970" spans="1:30">
      <c r="A970" s="30">
        <v>4222</v>
      </c>
      <c r="B970" s="30" t="s">
        <v>3406</v>
      </c>
      <c r="C970" s="30" t="s">
        <v>3407</v>
      </c>
      <c r="D970" s="30" t="s">
        <v>106</v>
      </c>
      <c r="E970" s="30"/>
      <c r="F970" s="30" t="s">
        <v>107</v>
      </c>
      <c r="G970" s="30" t="s">
        <v>106</v>
      </c>
      <c r="H970" s="30"/>
      <c r="I970" s="30" t="s">
        <v>191</v>
      </c>
      <c r="J970" s="30"/>
      <c r="K970" s="30" t="s">
        <v>3098</v>
      </c>
      <c r="L970" s="30" t="s">
        <v>117</v>
      </c>
      <c r="M970" s="30" t="s">
        <v>109</v>
      </c>
      <c r="N970" s="30" t="s">
        <v>110</v>
      </c>
      <c r="O970" s="30" t="s">
        <v>115</v>
      </c>
      <c r="P970" s="30" t="s">
        <v>112</v>
      </c>
      <c r="Q970" s="30" t="s">
        <v>112</v>
      </c>
      <c r="R970" s="30" t="s">
        <v>185</v>
      </c>
      <c r="S970" s="81">
        <f>HLOOKUP(L970,データについて!$J$6:$M$18,13,FALSE)</f>
        <v>2</v>
      </c>
      <c r="T970" s="81">
        <f>HLOOKUP(M970,データについて!$J$7:$M$18,12,FALSE)</f>
        <v>2</v>
      </c>
      <c r="U970" s="81">
        <f>HLOOKUP(N970,データについて!$J$8:$M$18,11,FALSE)</f>
        <v>2</v>
      </c>
      <c r="V970" s="81">
        <f>HLOOKUP(O970,データについて!$J$9:$M$18,10,FALSE)</f>
        <v>1</v>
      </c>
      <c r="W970" s="81">
        <f>HLOOKUP(P970,データについて!$J$10:$M$18,9,FALSE)</f>
        <v>1</v>
      </c>
      <c r="X970" s="81">
        <f>HLOOKUP(Q970,データについて!$J$11:$M$18,8,FALSE)</f>
        <v>1</v>
      </c>
      <c r="Y970" s="81">
        <f>HLOOKUP(R970,データについて!$J$12:$M$18,7,FALSE)</f>
        <v>2</v>
      </c>
      <c r="Z970" s="81">
        <f>HLOOKUP(I970,データについて!$J$3:$M$18,16,FALSE)</f>
        <v>2</v>
      </c>
      <c r="AA970" s="81" t="str">
        <f>IFERROR(HLOOKUP(J970,データについて!$J$4:$AH$19,16,FALSE),"")</f>
        <v/>
      </c>
      <c r="AB970" s="81">
        <f>IFERROR(HLOOKUP(K970,データについて!$J$5:$AH$20,14,FALSE),"")</f>
        <v>3</v>
      </c>
      <c r="AC970" s="81">
        <f>IF(X970=1,HLOOKUP(R970,データについて!$J$12:$M$18,7,FALSE),"*")</f>
        <v>2</v>
      </c>
      <c r="AD970" s="81" t="str">
        <f>IF(X970=2,HLOOKUP(R970,データについて!$J$12:$M$18,7,FALSE),"*")</f>
        <v>*</v>
      </c>
    </row>
    <row r="971" spans="1:30">
      <c r="A971" s="30">
        <v>4221</v>
      </c>
      <c r="B971" s="30" t="s">
        <v>3408</v>
      </c>
      <c r="C971" s="30" t="s">
        <v>3407</v>
      </c>
      <c r="D971" s="30" t="s">
        <v>106</v>
      </c>
      <c r="E971" s="30"/>
      <c r="F971" s="30" t="s">
        <v>107</v>
      </c>
      <c r="G971" s="30" t="s">
        <v>106</v>
      </c>
      <c r="H971" s="30"/>
      <c r="I971" s="30" t="s">
        <v>191</v>
      </c>
      <c r="J971" s="30"/>
      <c r="K971" s="30" t="s">
        <v>3098</v>
      </c>
      <c r="L971" s="30" t="s">
        <v>117</v>
      </c>
      <c r="M971" s="30" t="s">
        <v>113</v>
      </c>
      <c r="N971" s="30" t="s">
        <v>114</v>
      </c>
      <c r="O971" s="30" t="s">
        <v>115</v>
      </c>
      <c r="P971" s="30" t="s">
        <v>112</v>
      </c>
      <c r="Q971" s="30" t="s">
        <v>112</v>
      </c>
      <c r="R971" s="30" t="s">
        <v>185</v>
      </c>
      <c r="S971" s="81">
        <f>HLOOKUP(L971,データについて!$J$6:$M$18,13,FALSE)</f>
        <v>2</v>
      </c>
      <c r="T971" s="81">
        <f>HLOOKUP(M971,データについて!$J$7:$M$18,12,FALSE)</f>
        <v>1</v>
      </c>
      <c r="U971" s="81">
        <f>HLOOKUP(N971,データについて!$J$8:$M$18,11,FALSE)</f>
        <v>1</v>
      </c>
      <c r="V971" s="81">
        <f>HLOOKUP(O971,データについて!$J$9:$M$18,10,FALSE)</f>
        <v>1</v>
      </c>
      <c r="W971" s="81">
        <f>HLOOKUP(P971,データについて!$J$10:$M$18,9,FALSE)</f>
        <v>1</v>
      </c>
      <c r="X971" s="81">
        <f>HLOOKUP(Q971,データについて!$J$11:$M$18,8,FALSE)</f>
        <v>1</v>
      </c>
      <c r="Y971" s="81">
        <f>HLOOKUP(R971,データについて!$J$12:$M$18,7,FALSE)</f>
        <v>2</v>
      </c>
      <c r="Z971" s="81">
        <f>HLOOKUP(I971,データについて!$J$3:$M$18,16,FALSE)</f>
        <v>2</v>
      </c>
      <c r="AA971" s="81" t="str">
        <f>IFERROR(HLOOKUP(J971,データについて!$J$4:$AH$19,16,FALSE),"")</f>
        <v/>
      </c>
      <c r="AB971" s="81">
        <f>IFERROR(HLOOKUP(K971,データについて!$J$5:$AH$20,14,FALSE),"")</f>
        <v>3</v>
      </c>
      <c r="AC971" s="81">
        <f>IF(X971=1,HLOOKUP(R971,データについて!$J$12:$M$18,7,FALSE),"*")</f>
        <v>2</v>
      </c>
      <c r="AD971" s="81" t="str">
        <f>IF(X971=2,HLOOKUP(R971,データについて!$J$12:$M$18,7,FALSE),"*")</f>
        <v>*</v>
      </c>
    </row>
    <row r="972" spans="1:30">
      <c r="A972" s="30">
        <v>4220</v>
      </c>
      <c r="B972" s="30" t="s">
        <v>3409</v>
      </c>
      <c r="C972" s="30" t="s">
        <v>3410</v>
      </c>
      <c r="D972" s="30" t="s">
        <v>106</v>
      </c>
      <c r="E972" s="30"/>
      <c r="F972" s="30" t="s">
        <v>107</v>
      </c>
      <c r="G972" s="30" t="s">
        <v>106</v>
      </c>
      <c r="H972" s="30"/>
      <c r="I972" s="30" t="s">
        <v>191</v>
      </c>
      <c r="J972" s="30"/>
      <c r="K972" s="30" t="s">
        <v>3098</v>
      </c>
      <c r="L972" s="30" t="s">
        <v>117</v>
      </c>
      <c r="M972" s="30" t="s">
        <v>113</v>
      </c>
      <c r="N972" s="30" t="s">
        <v>110</v>
      </c>
      <c r="O972" s="30" t="s">
        <v>115</v>
      </c>
      <c r="P972" s="30" t="s">
        <v>112</v>
      </c>
      <c r="Q972" s="30" t="s">
        <v>112</v>
      </c>
      <c r="R972" s="30" t="s">
        <v>185</v>
      </c>
      <c r="S972" s="81">
        <f>HLOOKUP(L972,データについて!$J$6:$M$18,13,FALSE)</f>
        <v>2</v>
      </c>
      <c r="T972" s="81">
        <f>HLOOKUP(M972,データについて!$J$7:$M$18,12,FALSE)</f>
        <v>1</v>
      </c>
      <c r="U972" s="81">
        <f>HLOOKUP(N972,データについて!$J$8:$M$18,11,FALSE)</f>
        <v>2</v>
      </c>
      <c r="V972" s="81">
        <f>HLOOKUP(O972,データについて!$J$9:$M$18,10,FALSE)</f>
        <v>1</v>
      </c>
      <c r="W972" s="81">
        <f>HLOOKUP(P972,データについて!$J$10:$M$18,9,FALSE)</f>
        <v>1</v>
      </c>
      <c r="X972" s="81">
        <f>HLOOKUP(Q972,データについて!$J$11:$M$18,8,FALSE)</f>
        <v>1</v>
      </c>
      <c r="Y972" s="81">
        <f>HLOOKUP(R972,データについて!$J$12:$M$18,7,FALSE)</f>
        <v>2</v>
      </c>
      <c r="Z972" s="81">
        <f>HLOOKUP(I972,データについて!$J$3:$M$18,16,FALSE)</f>
        <v>2</v>
      </c>
      <c r="AA972" s="81" t="str">
        <f>IFERROR(HLOOKUP(J972,データについて!$J$4:$AH$19,16,FALSE),"")</f>
        <v/>
      </c>
      <c r="AB972" s="81">
        <f>IFERROR(HLOOKUP(K972,データについて!$J$5:$AH$20,14,FALSE),"")</f>
        <v>3</v>
      </c>
      <c r="AC972" s="81">
        <f>IF(X972=1,HLOOKUP(R972,データについて!$J$12:$M$18,7,FALSE),"*")</f>
        <v>2</v>
      </c>
      <c r="AD972" s="81" t="str">
        <f>IF(X972=2,HLOOKUP(R972,データについて!$J$12:$M$18,7,FALSE),"*")</f>
        <v>*</v>
      </c>
    </row>
    <row r="973" spans="1:30">
      <c r="A973" s="30">
        <v>4219</v>
      </c>
      <c r="B973" s="30" t="s">
        <v>3411</v>
      </c>
      <c r="C973" s="30" t="s">
        <v>3410</v>
      </c>
      <c r="D973" s="30" t="s">
        <v>106</v>
      </c>
      <c r="E973" s="30"/>
      <c r="F973" s="30" t="s">
        <v>107</v>
      </c>
      <c r="G973" s="30" t="s">
        <v>106</v>
      </c>
      <c r="H973" s="30"/>
      <c r="I973" s="30" t="s">
        <v>191</v>
      </c>
      <c r="J973" s="30"/>
      <c r="K973" s="30" t="s">
        <v>3098</v>
      </c>
      <c r="L973" s="30" t="s">
        <v>108</v>
      </c>
      <c r="M973" s="30" t="s">
        <v>109</v>
      </c>
      <c r="N973" s="30" t="s">
        <v>122</v>
      </c>
      <c r="O973" s="30" t="s">
        <v>116</v>
      </c>
      <c r="P973" s="30" t="s">
        <v>112</v>
      </c>
      <c r="Q973" s="30" t="s">
        <v>112</v>
      </c>
      <c r="R973" s="30" t="s">
        <v>185</v>
      </c>
      <c r="S973" s="81">
        <f>HLOOKUP(L973,データについて!$J$6:$M$18,13,FALSE)</f>
        <v>1</v>
      </c>
      <c r="T973" s="81">
        <f>HLOOKUP(M973,データについて!$J$7:$M$18,12,FALSE)</f>
        <v>2</v>
      </c>
      <c r="U973" s="81">
        <f>HLOOKUP(N973,データについて!$J$8:$M$18,11,FALSE)</f>
        <v>3</v>
      </c>
      <c r="V973" s="81">
        <f>HLOOKUP(O973,データについて!$J$9:$M$18,10,FALSE)</f>
        <v>2</v>
      </c>
      <c r="W973" s="81">
        <f>HLOOKUP(P973,データについて!$J$10:$M$18,9,FALSE)</f>
        <v>1</v>
      </c>
      <c r="X973" s="81">
        <f>HLOOKUP(Q973,データについて!$J$11:$M$18,8,FALSE)</f>
        <v>1</v>
      </c>
      <c r="Y973" s="81">
        <f>HLOOKUP(R973,データについて!$J$12:$M$18,7,FALSE)</f>
        <v>2</v>
      </c>
      <c r="Z973" s="81">
        <f>HLOOKUP(I973,データについて!$J$3:$M$18,16,FALSE)</f>
        <v>2</v>
      </c>
      <c r="AA973" s="81" t="str">
        <f>IFERROR(HLOOKUP(J973,データについて!$J$4:$AH$19,16,FALSE),"")</f>
        <v/>
      </c>
      <c r="AB973" s="81">
        <f>IFERROR(HLOOKUP(K973,データについて!$J$5:$AH$20,14,FALSE),"")</f>
        <v>3</v>
      </c>
      <c r="AC973" s="81">
        <f>IF(X973=1,HLOOKUP(R973,データについて!$J$12:$M$18,7,FALSE),"*")</f>
        <v>2</v>
      </c>
      <c r="AD973" s="81" t="str">
        <f>IF(X973=2,HLOOKUP(R973,データについて!$J$12:$M$18,7,FALSE),"*")</f>
        <v>*</v>
      </c>
    </row>
    <row r="974" spans="1:30">
      <c r="A974" s="30">
        <v>4218</v>
      </c>
      <c r="B974" s="30" t="s">
        <v>3412</v>
      </c>
      <c r="C974" s="30" t="s">
        <v>3413</v>
      </c>
      <c r="D974" s="30" t="s">
        <v>106</v>
      </c>
      <c r="E974" s="30"/>
      <c r="F974" s="30" t="s">
        <v>107</v>
      </c>
      <c r="G974" s="30" t="s">
        <v>106</v>
      </c>
      <c r="H974" s="30"/>
      <c r="I974" s="30" t="s">
        <v>191</v>
      </c>
      <c r="J974" s="30"/>
      <c r="K974" s="30" t="s">
        <v>3098</v>
      </c>
      <c r="L974" s="30" t="s">
        <v>117</v>
      </c>
      <c r="M974" s="30" t="s">
        <v>113</v>
      </c>
      <c r="N974" s="30" t="s">
        <v>114</v>
      </c>
      <c r="O974" s="30" t="s">
        <v>115</v>
      </c>
      <c r="P974" s="30" t="s">
        <v>112</v>
      </c>
      <c r="Q974" s="30" t="s">
        <v>112</v>
      </c>
      <c r="R974" s="30" t="s">
        <v>185</v>
      </c>
      <c r="S974" s="81">
        <f>HLOOKUP(L974,データについて!$J$6:$M$18,13,FALSE)</f>
        <v>2</v>
      </c>
      <c r="T974" s="81">
        <f>HLOOKUP(M974,データについて!$J$7:$M$18,12,FALSE)</f>
        <v>1</v>
      </c>
      <c r="U974" s="81">
        <f>HLOOKUP(N974,データについて!$J$8:$M$18,11,FALSE)</f>
        <v>1</v>
      </c>
      <c r="V974" s="81">
        <f>HLOOKUP(O974,データについて!$J$9:$M$18,10,FALSE)</f>
        <v>1</v>
      </c>
      <c r="W974" s="81">
        <f>HLOOKUP(P974,データについて!$J$10:$M$18,9,FALSE)</f>
        <v>1</v>
      </c>
      <c r="X974" s="81">
        <f>HLOOKUP(Q974,データについて!$J$11:$M$18,8,FALSE)</f>
        <v>1</v>
      </c>
      <c r="Y974" s="81">
        <f>HLOOKUP(R974,データについて!$J$12:$M$18,7,FALSE)</f>
        <v>2</v>
      </c>
      <c r="Z974" s="81">
        <f>HLOOKUP(I974,データについて!$J$3:$M$18,16,FALSE)</f>
        <v>2</v>
      </c>
      <c r="AA974" s="81" t="str">
        <f>IFERROR(HLOOKUP(J974,データについて!$J$4:$AH$19,16,FALSE),"")</f>
        <v/>
      </c>
      <c r="AB974" s="81">
        <f>IFERROR(HLOOKUP(K974,データについて!$J$5:$AH$20,14,FALSE),"")</f>
        <v>3</v>
      </c>
      <c r="AC974" s="81">
        <f>IF(X974=1,HLOOKUP(R974,データについて!$J$12:$M$18,7,FALSE),"*")</f>
        <v>2</v>
      </c>
      <c r="AD974" s="81" t="str">
        <f>IF(X974=2,HLOOKUP(R974,データについて!$J$12:$M$18,7,FALSE),"*")</f>
        <v>*</v>
      </c>
    </row>
    <row r="975" spans="1:30">
      <c r="A975" s="30">
        <v>4217</v>
      </c>
      <c r="B975" s="30" t="s">
        <v>3414</v>
      </c>
      <c r="C975" s="30" t="s">
        <v>3415</v>
      </c>
      <c r="D975" s="30" t="s">
        <v>106</v>
      </c>
      <c r="E975" s="30"/>
      <c r="F975" s="30" t="s">
        <v>107</v>
      </c>
      <c r="G975" s="30" t="s">
        <v>106</v>
      </c>
      <c r="H975" s="30"/>
      <c r="I975" s="30" t="s">
        <v>191</v>
      </c>
      <c r="J975" s="30"/>
      <c r="K975" s="30" t="s">
        <v>3098</v>
      </c>
      <c r="L975" s="30" t="s">
        <v>117</v>
      </c>
      <c r="M975" s="30" t="s">
        <v>109</v>
      </c>
      <c r="N975" s="30" t="s">
        <v>119</v>
      </c>
      <c r="O975" s="30" t="s">
        <v>115</v>
      </c>
      <c r="P975" s="30" t="s">
        <v>112</v>
      </c>
      <c r="Q975" s="30" t="s">
        <v>112</v>
      </c>
      <c r="R975" s="30" t="s">
        <v>183</v>
      </c>
      <c r="S975" s="81">
        <f>HLOOKUP(L975,データについて!$J$6:$M$18,13,FALSE)</f>
        <v>2</v>
      </c>
      <c r="T975" s="81">
        <f>HLOOKUP(M975,データについて!$J$7:$M$18,12,FALSE)</f>
        <v>2</v>
      </c>
      <c r="U975" s="81">
        <f>HLOOKUP(N975,データについて!$J$8:$M$18,11,FALSE)</f>
        <v>4</v>
      </c>
      <c r="V975" s="81">
        <f>HLOOKUP(O975,データについて!$J$9:$M$18,10,FALSE)</f>
        <v>1</v>
      </c>
      <c r="W975" s="81">
        <f>HLOOKUP(P975,データについて!$J$10:$M$18,9,FALSE)</f>
        <v>1</v>
      </c>
      <c r="X975" s="81">
        <f>HLOOKUP(Q975,データについて!$J$11:$M$18,8,FALSE)</f>
        <v>1</v>
      </c>
      <c r="Y975" s="81">
        <f>HLOOKUP(R975,データについて!$J$12:$M$18,7,FALSE)</f>
        <v>1</v>
      </c>
      <c r="Z975" s="81">
        <f>HLOOKUP(I975,データについて!$J$3:$M$18,16,FALSE)</f>
        <v>2</v>
      </c>
      <c r="AA975" s="81" t="str">
        <f>IFERROR(HLOOKUP(J975,データについて!$J$4:$AH$19,16,FALSE),"")</f>
        <v/>
      </c>
      <c r="AB975" s="81">
        <f>IFERROR(HLOOKUP(K975,データについて!$J$5:$AH$20,14,FALSE),"")</f>
        <v>3</v>
      </c>
      <c r="AC975" s="81">
        <f>IF(X975=1,HLOOKUP(R975,データについて!$J$12:$M$18,7,FALSE),"*")</f>
        <v>1</v>
      </c>
      <c r="AD975" s="81" t="str">
        <f>IF(X975=2,HLOOKUP(R975,データについて!$J$12:$M$18,7,FALSE),"*")</f>
        <v>*</v>
      </c>
    </row>
    <row r="976" spans="1:30">
      <c r="A976" s="30">
        <v>4216</v>
      </c>
      <c r="B976" s="30" t="s">
        <v>3416</v>
      </c>
      <c r="C976" s="30" t="s">
        <v>3417</v>
      </c>
      <c r="D976" s="30" t="s">
        <v>106</v>
      </c>
      <c r="E976" s="30"/>
      <c r="F976" s="30" t="s">
        <v>107</v>
      </c>
      <c r="G976" s="30" t="s">
        <v>106</v>
      </c>
      <c r="H976" s="30"/>
      <c r="I976" s="30" t="s">
        <v>191</v>
      </c>
      <c r="J976" s="30"/>
      <c r="K976" s="30" t="s">
        <v>3098</v>
      </c>
      <c r="L976" s="30" t="s">
        <v>117</v>
      </c>
      <c r="M976" s="30" t="s">
        <v>109</v>
      </c>
      <c r="N976" s="30" t="s">
        <v>119</v>
      </c>
      <c r="O976" s="30" t="s">
        <v>115</v>
      </c>
      <c r="P976" s="30" t="s">
        <v>112</v>
      </c>
      <c r="Q976" s="30" t="s">
        <v>112</v>
      </c>
      <c r="R976" s="30" t="s">
        <v>187</v>
      </c>
      <c r="S976" s="81">
        <f>HLOOKUP(L976,データについて!$J$6:$M$18,13,FALSE)</f>
        <v>2</v>
      </c>
      <c r="T976" s="81">
        <f>HLOOKUP(M976,データについて!$J$7:$M$18,12,FALSE)</f>
        <v>2</v>
      </c>
      <c r="U976" s="81">
        <f>HLOOKUP(N976,データについて!$J$8:$M$18,11,FALSE)</f>
        <v>4</v>
      </c>
      <c r="V976" s="81">
        <f>HLOOKUP(O976,データについて!$J$9:$M$18,10,FALSE)</f>
        <v>1</v>
      </c>
      <c r="W976" s="81">
        <f>HLOOKUP(P976,データについて!$J$10:$M$18,9,FALSE)</f>
        <v>1</v>
      </c>
      <c r="X976" s="81">
        <f>HLOOKUP(Q976,データについて!$J$11:$M$18,8,FALSE)</f>
        <v>1</v>
      </c>
      <c r="Y976" s="81">
        <f>HLOOKUP(R976,データについて!$J$12:$M$18,7,FALSE)</f>
        <v>3</v>
      </c>
      <c r="Z976" s="81">
        <f>HLOOKUP(I976,データについて!$J$3:$M$18,16,FALSE)</f>
        <v>2</v>
      </c>
      <c r="AA976" s="81" t="str">
        <f>IFERROR(HLOOKUP(J976,データについて!$J$4:$AH$19,16,FALSE),"")</f>
        <v/>
      </c>
      <c r="AB976" s="81">
        <f>IFERROR(HLOOKUP(K976,データについて!$J$5:$AH$20,14,FALSE),"")</f>
        <v>3</v>
      </c>
      <c r="AC976" s="81">
        <f>IF(X976=1,HLOOKUP(R976,データについて!$J$12:$M$18,7,FALSE),"*")</f>
        <v>3</v>
      </c>
      <c r="AD976" s="81" t="str">
        <f>IF(X976=2,HLOOKUP(R976,データについて!$J$12:$M$18,7,FALSE),"*")</f>
        <v>*</v>
      </c>
    </row>
    <row r="977" spans="1:30">
      <c r="A977" s="30">
        <v>4215</v>
      </c>
      <c r="B977" s="30" t="s">
        <v>3418</v>
      </c>
      <c r="C977" s="30" t="s">
        <v>3417</v>
      </c>
      <c r="D977" s="30" t="s">
        <v>106</v>
      </c>
      <c r="E977" s="30"/>
      <c r="F977" s="30" t="s">
        <v>107</v>
      </c>
      <c r="G977" s="30" t="s">
        <v>106</v>
      </c>
      <c r="H977" s="30"/>
      <c r="I977" s="30" t="s">
        <v>191</v>
      </c>
      <c r="J977" s="30"/>
      <c r="K977" s="30" t="s">
        <v>3098</v>
      </c>
      <c r="L977" s="30" t="s">
        <v>117</v>
      </c>
      <c r="M977" s="30" t="s">
        <v>109</v>
      </c>
      <c r="N977" s="30" t="s">
        <v>110</v>
      </c>
      <c r="O977" s="30" t="s">
        <v>115</v>
      </c>
      <c r="P977" s="30" t="s">
        <v>112</v>
      </c>
      <c r="Q977" s="30" t="s">
        <v>112</v>
      </c>
      <c r="R977" s="30" t="s">
        <v>187</v>
      </c>
      <c r="S977" s="81">
        <f>HLOOKUP(L977,データについて!$J$6:$M$18,13,FALSE)</f>
        <v>2</v>
      </c>
      <c r="T977" s="81">
        <f>HLOOKUP(M977,データについて!$J$7:$M$18,12,FALSE)</f>
        <v>2</v>
      </c>
      <c r="U977" s="81">
        <f>HLOOKUP(N977,データについて!$J$8:$M$18,11,FALSE)</f>
        <v>2</v>
      </c>
      <c r="V977" s="81">
        <f>HLOOKUP(O977,データについて!$J$9:$M$18,10,FALSE)</f>
        <v>1</v>
      </c>
      <c r="W977" s="81">
        <f>HLOOKUP(P977,データについて!$J$10:$M$18,9,FALSE)</f>
        <v>1</v>
      </c>
      <c r="X977" s="81">
        <f>HLOOKUP(Q977,データについて!$J$11:$M$18,8,FALSE)</f>
        <v>1</v>
      </c>
      <c r="Y977" s="81">
        <f>HLOOKUP(R977,データについて!$J$12:$M$18,7,FALSE)</f>
        <v>3</v>
      </c>
      <c r="Z977" s="81">
        <f>HLOOKUP(I977,データについて!$J$3:$M$18,16,FALSE)</f>
        <v>2</v>
      </c>
      <c r="AA977" s="81" t="str">
        <f>IFERROR(HLOOKUP(J977,データについて!$J$4:$AH$19,16,FALSE),"")</f>
        <v/>
      </c>
      <c r="AB977" s="81">
        <f>IFERROR(HLOOKUP(K977,データについて!$J$5:$AH$20,14,FALSE),"")</f>
        <v>3</v>
      </c>
      <c r="AC977" s="81">
        <f>IF(X977=1,HLOOKUP(R977,データについて!$J$12:$M$18,7,FALSE),"*")</f>
        <v>3</v>
      </c>
      <c r="AD977" s="81" t="str">
        <f>IF(X977=2,HLOOKUP(R977,データについて!$J$12:$M$18,7,FALSE),"*")</f>
        <v>*</v>
      </c>
    </row>
    <row r="978" spans="1:30">
      <c r="A978" s="30">
        <v>4214</v>
      </c>
      <c r="B978" s="30" t="s">
        <v>3419</v>
      </c>
      <c r="C978" s="30" t="s">
        <v>3420</v>
      </c>
      <c r="D978" s="30" t="s">
        <v>106</v>
      </c>
      <c r="E978" s="30"/>
      <c r="F978" s="30" t="s">
        <v>107</v>
      </c>
      <c r="G978" s="30" t="s">
        <v>106</v>
      </c>
      <c r="H978" s="30"/>
      <c r="I978" s="30" t="s">
        <v>191</v>
      </c>
      <c r="J978" s="30"/>
      <c r="K978" s="30" t="s">
        <v>3098</v>
      </c>
      <c r="L978" s="30" t="s">
        <v>108</v>
      </c>
      <c r="M978" s="30" t="s">
        <v>113</v>
      </c>
      <c r="N978" s="30" t="s">
        <v>114</v>
      </c>
      <c r="O978" s="30" t="s">
        <v>111</v>
      </c>
      <c r="P978" s="30" t="s">
        <v>112</v>
      </c>
      <c r="Q978" s="30" t="s">
        <v>112</v>
      </c>
      <c r="R978" s="30" t="s">
        <v>183</v>
      </c>
      <c r="S978" s="81">
        <f>HLOOKUP(L978,データについて!$J$6:$M$18,13,FALSE)</f>
        <v>1</v>
      </c>
      <c r="T978" s="81">
        <f>HLOOKUP(M978,データについて!$J$7:$M$18,12,FALSE)</f>
        <v>1</v>
      </c>
      <c r="U978" s="81">
        <f>HLOOKUP(N978,データについて!$J$8:$M$18,11,FALSE)</f>
        <v>1</v>
      </c>
      <c r="V978" s="81">
        <f>HLOOKUP(O978,データについて!$J$9:$M$18,10,FALSE)</f>
        <v>3</v>
      </c>
      <c r="W978" s="81">
        <f>HLOOKUP(P978,データについて!$J$10:$M$18,9,FALSE)</f>
        <v>1</v>
      </c>
      <c r="X978" s="81">
        <f>HLOOKUP(Q978,データについて!$J$11:$M$18,8,FALSE)</f>
        <v>1</v>
      </c>
      <c r="Y978" s="81">
        <f>HLOOKUP(R978,データについて!$J$12:$M$18,7,FALSE)</f>
        <v>1</v>
      </c>
      <c r="Z978" s="81">
        <f>HLOOKUP(I978,データについて!$J$3:$M$18,16,FALSE)</f>
        <v>2</v>
      </c>
      <c r="AA978" s="81" t="str">
        <f>IFERROR(HLOOKUP(J978,データについて!$J$4:$AH$19,16,FALSE),"")</f>
        <v/>
      </c>
      <c r="AB978" s="81">
        <f>IFERROR(HLOOKUP(K978,データについて!$J$5:$AH$20,14,FALSE),"")</f>
        <v>3</v>
      </c>
      <c r="AC978" s="81">
        <f>IF(X978=1,HLOOKUP(R978,データについて!$J$12:$M$18,7,FALSE),"*")</f>
        <v>1</v>
      </c>
      <c r="AD978" s="81" t="str">
        <f>IF(X978=2,HLOOKUP(R978,データについて!$J$12:$M$18,7,FALSE),"*")</f>
        <v>*</v>
      </c>
    </row>
    <row r="979" spans="1:30">
      <c r="A979" s="30">
        <v>4213</v>
      </c>
      <c r="B979" s="30" t="s">
        <v>3421</v>
      </c>
      <c r="C979" s="30" t="s">
        <v>3422</v>
      </c>
      <c r="D979" s="30" t="s">
        <v>106</v>
      </c>
      <c r="E979" s="30"/>
      <c r="F979" s="30" t="s">
        <v>107</v>
      </c>
      <c r="G979" s="30" t="s">
        <v>106</v>
      </c>
      <c r="H979" s="30"/>
      <c r="I979" s="30" t="s">
        <v>191</v>
      </c>
      <c r="J979" s="30"/>
      <c r="K979" s="30" t="s">
        <v>3098</v>
      </c>
      <c r="L979" s="30" t="s">
        <v>108</v>
      </c>
      <c r="M979" s="30" t="s">
        <v>109</v>
      </c>
      <c r="N979" s="30" t="s">
        <v>114</v>
      </c>
      <c r="O979" s="30" t="s">
        <v>115</v>
      </c>
      <c r="P979" s="30" t="s">
        <v>112</v>
      </c>
      <c r="Q979" s="30" t="s">
        <v>118</v>
      </c>
      <c r="R979" s="30" t="s">
        <v>189</v>
      </c>
      <c r="S979" s="81">
        <f>HLOOKUP(L979,データについて!$J$6:$M$18,13,FALSE)</f>
        <v>1</v>
      </c>
      <c r="T979" s="81">
        <f>HLOOKUP(M979,データについて!$J$7:$M$18,12,FALSE)</f>
        <v>2</v>
      </c>
      <c r="U979" s="81">
        <f>HLOOKUP(N979,データについて!$J$8:$M$18,11,FALSE)</f>
        <v>1</v>
      </c>
      <c r="V979" s="81">
        <f>HLOOKUP(O979,データについて!$J$9:$M$18,10,FALSE)</f>
        <v>1</v>
      </c>
      <c r="W979" s="81">
        <f>HLOOKUP(P979,データについて!$J$10:$M$18,9,FALSE)</f>
        <v>1</v>
      </c>
      <c r="X979" s="81">
        <f>HLOOKUP(Q979,データについて!$J$11:$M$18,8,FALSE)</f>
        <v>2</v>
      </c>
      <c r="Y979" s="81">
        <f>HLOOKUP(R979,データについて!$J$12:$M$18,7,FALSE)</f>
        <v>4</v>
      </c>
      <c r="Z979" s="81">
        <f>HLOOKUP(I979,データについて!$J$3:$M$18,16,FALSE)</f>
        <v>2</v>
      </c>
      <c r="AA979" s="81" t="str">
        <f>IFERROR(HLOOKUP(J979,データについて!$J$4:$AH$19,16,FALSE),"")</f>
        <v/>
      </c>
      <c r="AB979" s="81">
        <f>IFERROR(HLOOKUP(K979,データについて!$J$5:$AH$20,14,FALSE),"")</f>
        <v>3</v>
      </c>
      <c r="AC979" s="81" t="str">
        <f>IF(X979=1,HLOOKUP(R979,データについて!$J$12:$M$18,7,FALSE),"*")</f>
        <v>*</v>
      </c>
      <c r="AD979" s="81">
        <f>IF(X979=2,HLOOKUP(R979,データについて!$J$12:$M$18,7,FALSE),"*")</f>
        <v>4</v>
      </c>
    </row>
    <row r="980" spans="1:30">
      <c r="A980" s="30">
        <v>4212</v>
      </c>
      <c r="B980" s="30" t="s">
        <v>3423</v>
      </c>
      <c r="C980" s="30" t="s">
        <v>3424</v>
      </c>
      <c r="D980" s="30" t="s">
        <v>106</v>
      </c>
      <c r="E980" s="30"/>
      <c r="F980" s="30" t="s">
        <v>107</v>
      </c>
      <c r="G980" s="30" t="s">
        <v>106</v>
      </c>
      <c r="H980" s="30"/>
      <c r="I980" s="30" t="s">
        <v>191</v>
      </c>
      <c r="J980" s="30"/>
      <c r="K980" s="30" t="s">
        <v>3098</v>
      </c>
      <c r="L980" s="30" t="s">
        <v>108</v>
      </c>
      <c r="M980" s="30" t="s">
        <v>109</v>
      </c>
      <c r="N980" s="30" t="s">
        <v>122</v>
      </c>
      <c r="O980" s="30" t="s">
        <v>115</v>
      </c>
      <c r="P980" s="30" t="s">
        <v>112</v>
      </c>
      <c r="Q980" s="30" t="s">
        <v>112</v>
      </c>
      <c r="R980" s="30" t="s">
        <v>187</v>
      </c>
      <c r="S980" s="81">
        <f>HLOOKUP(L980,データについて!$J$6:$M$18,13,FALSE)</f>
        <v>1</v>
      </c>
      <c r="T980" s="81">
        <f>HLOOKUP(M980,データについて!$J$7:$M$18,12,FALSE)</f>
        <v>2</v>
      </c>
      <c r="U980" s="81">
        <f>HLOOKUP(N980,データについて!$J$8:$M$18,11,FALSE)</f>
        <v>3</v>
      </c>
      <c r="V980" s="81">
        <f>HLOOKUP(O980,データについて!$J$9:$M$18,10,FALSE)</f>
        <v>1</v>
      </c>
      <c r="W980" s="81">
        <f>HLOOKUP(P980,データについて!$J$10:$M$18,9,FALSE)</f>
        <v>1</v>
      </c>
      <c r="X980" s="81">
        <f>HLOOKUP(Q980,データについて!$J$11:$M$18,8,FALSE)</f>
        <v>1</v>
      </c>
      <c r="Y980" s="81">
        <f>HLOOKUP(R980,データについて!$J$12:$M$18,7,FALSE)</f>
        <v>3</v>
      </c>
      <c r="Z980" s="81">
        <f>HLOOKUP(I980,データについて!$J$3:$M$18,16,FALSE)</f>
        <v>2</v>
      </c>
      <c r="AA980" s="81" t="str">
        <f>IFERROR(HLOOKUP(J980,データについて!$J$4:$AH$19,16,FALSE),"")</f>
        <v/>
      </c>
      <c r="AB980" s="81">
        <f>IFERROR(HLOOKUP(K980,データについて!$J$5:$AH$20,14,FALSE),"")</f>
        <v>3</v>
      </c>
      <c r="AC980" s="81">
        <f>IF(X980=1,HLOOKUP(R980,データについて!$J$12:$M$18,7,FALSE),"*")</f>
        <v>3</v>
      </c>
      <c r="AD980" s="81" t="str">
        <f>IF(X980=2,HLOOKUP(R980,データについて!$J$12:$M$18,7,FALSE),"*")</f>
        <v>*</v>
      </c>
    </row>
    <row r="981" spans="1:30">
      <c r="A981" s="30">
        <v>4211</v>
      </c>
      <c r="B981" s="30" t="s">
        <v>3425</v>
      </c>
      <c r="C981" s="30" t="s">
        <v>3426</v>
      </c>
      <c r="D981" s="30" t="s">
        <v>106</v>
      </c>
      <c r="E981" s="30"/>
      <c r="F981" s="30" t="s">
        <v>107</v>
      </c>
      <c r="G981" s="30" t="s">
        <v>106</v>
      </c>
      <c r="H981" s="30"/>
      <c r="I981" s="30" t="s">
        <v>191</v>
      </c>
      <c r="J981" s="30"/>
      <c r="K981" s="30" t="s">
        <v>3098</v>
      </c>
      <c r="L981" s="30" t="s">
        <v>108</v>
      </c>
      <c r="M981" s="30" t="s">
        <v>113</v>
      </c>
      <c r="N981" s="30" t="s">
        <v>114</v>
      </c>
      <c r="O981" s="30" t="s">
        <v>115</v>
      </c>
      <c r="P981" s="30" t="s">
        <v>112</v>
      </c>
      <c r="Q981" s="30" t="s">
        <v>112</v>
      </c>
      <c r="R981" s="30" t="s">
        <v>183</v>
      </c>
      <c r="S981" s="81">
        <f>HLOOKUP(L981,データについて!$J$6:$M$18,13,FALSE)</f>
        <v>1</v>
      </c>
      <c r="T981" s="81">
        <f>HLOOKUP(M981,データについて!$J$7:$M$18,12,FALSE)</f>
        <v>1</v>
      </c>
      <c r="U981" s="81">
        <f>HLOOKUP(N981,データについて!$J$8:$M$18,11,FALSE)</f>
        <v>1</v>
      </c>
      <c r="V981" s="81">
        <f>HLOOKUP(O981,データについて!$J$9:$M$18,10,FALSE)</f>
        <v>1</v>
      </c>
      <c r="W981" s="81">
        <f>HLOOKUP(P981,データについて!$J$10:$M$18,9,FALSE)</f>
        <v>1</v>
      </c>
      <c r="X981" s="81">
        <f>HLOOKUP(Q981,データについて!$J$11:$M$18,8,FALSE)</f>
        <v>1</v>
      </c>
      <c r="Y981" s="81">
        <f>HLOOKUP(R981,データについて!$J$12:$M$18,7,FALSE)</f>
        <v>1</v>
      </c>
      <c r="Z981" s="81">
        <f>HLOOKUP(I981,データについて!$J$3:$M$18,16,FALSE)</f>
        <v>2</v>
      </c>
      <c r="AA981" s="81" t="str">
        <f>IFERROR(HLOOKUP(J981,データについて!$J$4:$AH$19,16,FALSE),"")</f>
        <v/>
      </c>
      <c r="AB981" s="81">
        <f>IFERROR(HLOOKUP(K981,データについて!$J$5:$AH$20,14,FALSE),"")</f>
        <v>3</v>
      </c>
      <c r="AC981" s="81">
        <f>IF(X981=1,HLOOKUP(R981,データについて!$J$12:$M$18,7,FALSE),"*")</f>
        <v>1</v>
      </c>
      <c r="AD981" s="81" t="str">
        <f>IF(X981=2,HLOOKUP(R981,データについて!$J$12:$M$18,7,FALSE),"*")</f>
        <v>*</v>
      </c>
    </row>
    <row r="982" spans="1:30">
      <c r="A982" s="30">
        <v>4210</v>
      </c>
      <c r="B982" s="30" t="s">
        <v>3427</v>
      </c>
      <c r="C982" s="30" t="s">
        <v>3428</v>
      </c>
      <c r="D982" s="30" t="s">
        <v>106</v>
      </c>
      <c r="E982" s="30"/>
      <c r="F982" s="30" t="s">
        <v>107</v>
      </c>
      <c r="G982" s="30" t="s">
        <v>106</v>
      </c>
      <c r="H982" s="30"/>
      <c r="I982" s="30" t="s">
        <v>191</v>
      </c>
      <c r="J982" s="30"/>
      <c r="K982" s="30" t="s">
        <v>3098</v>
      </c>
      <c r="L982" s="30" t="s">
        <v>117</v>
      </c>
      <c r="M982" s="30" t="s">
        <v>109</v>
      </c>
      <c r="N982" s="30" t="s">
        <v>110</v>
      </c>
      <c r="O982" s="30" t="s">
        <v>123</v>
      </c>
      <c r="P982" s="30" t="s">
        <v>112</v>
      </c>
      <c r="Q982" s="30" t="s">
        <v>112</v>
      </c>
      <c r="R982" s="30" t="s">
        <v>185</v>
      </c>
      <c r="S982" s="81">
        <f>HLOOKUP(L982,データについて!$J$6:$M$18,13,FALSE)</f>
        <v>2</v>
      </c>
      <c r="T982" s="81">
        <f>HLOOKUP(M982,データについて!$J$7:$M$18,12,FALSE)</f>
        <v>2</v>
      </c>
      <c r="U982" s="81">
        <f>HLOOKUP(N982,データについて!$J$8:$M$18,11,FALSE)</f>
        <v>2</v>
      </c>
      <c r="V982" s="81">
        <f>HLOOKUP(O982,データについて!$J$9:$M$18,10,FALSE)</f>
        <v>4</v>
      </c>
      <c r="W982" s="81">
        <f>HLOOKUP(P982,データについて!$J$10:$M$18,9,FALSE)</f>
        <v>1</v>
      </c>
      <c r="X982" s="81">
        <f>HLOOKUP(Q982,データについて!$J$11:$M$18,8,FALSE)</f>
        <v>1</v>
      </c>
      <c r="Y982" s="81">
        <f>HLOOKUP(R982,データについて!$J$12:$M$18,7,FALSE)</f>
        <v>2</v>
      </c>
      <c r="Z982" s="81">
        <f>HLOOKUP(I982,データについて!$J$3:$M$18,16,FALSE)</f>
        <v>2</v>
      </c>
      <c r="AA982" s="81" t="str">
        <f>IFERROR(HLOOKUP(J982,データについて!$J$4:$AH$19,16,FALSE),"")</f>
        <v/>
      </c>
      <c r="AB982" s="81">
        <f>IFERROR(HLOOKUP(K982,データについて!$J$5:$AH$20,14,FALSE),"")</f>
        <v>3</v>
      </c>
      <c r="AC982" s="81">
        <f>IF(X982=1,HLOOKUP(R982,データについて!$J$12:$M$18,7,FALSE),"*")</f>
        <v>2</v>
      </c>
      <c r="AD982" s="81" t="str">
        <f>IF(X982=2,HLOOKUP(R982,データについて!$J$12:$M$18,7,FALSE),"*")</f>
        <v>*</v>
      </c>
    </row>
    <row r="983" spans="1:30">
      <c r="A983" s="30">
        <v>4209</v>
      </c>
      <c r="B983" s="30" t="s">
        <v>3429</v>
      </c>
      <c r="C983" s="30" t="s">
        <v>3430</v>
      </c>
      <c r="D983" s="30" t="s">
        <v>106</v>
      </c>
      <c r="E983" s="30"/>
      <c r="F983" s="30" t="s">
        <v>107</v>
      </c>
      <c r="G983" s="30" t="s">
        <v>106</v>
      </c>
      <c r="H983" s="30"/>
      <c r="I983" s="30" t="s">
        <v>191</v>
      </c>
      <c r="J983" s="30"/>
      <c r="K983" s="30" t="s">
        <v>3098</v>
      </c>
      <c r="L983" s="30" t="s">
        <v>108</v>
      </c>
      <c r="M983" s="30" t="s">
        <v>109</v>
      </c>
      <c r="N983" s="30" t="s">
        <v>114</v>
      </c>
      <c r="O983" s="30" t="s">
        <v>115</v>
      </c>
      <c r="P983" s="30" t="s">
        <v>112</v>
      </c>
      <c r="Q983" s="30" t="s">
        <v>112</v>
      </c>
      <c r="R983" s="30" t="s">
        <v>185</v>
      </c>
      <c r="S983" s="81">
        <f>HLOOKUP(L983,データについて!$J$6:$M$18,13,FALSE)</f>
        <v>1</v>
      </c>
      <c r="T983" s="81">
        <f>HLOOKUP(M983,データについて!$J$7:$M$18,12,FALSE)</f>
        <v>2</v>
      </c>
      <c r="U983" s="81">
        <f>HLOOKUP(N983,データについて!$J$8:$M$18,11,FALSE)</f>
        <v>1</v>
      </c>
      <c r="V983" s="81">
        <f>HLOOKUP(O983,データについて!$J$9:$M$18,10,FALSE)</f>
        <v>1</v>
      </c>
      <c r="W983" s="81">
        <f>HLOOKUP(P983,データについて!$J$10:$M$18,9,FALSE)</f>
        <v>1</v>
      </c>
      <c r="X983" s="81">
        <f>HLOOKUP(Q983,データについて!$J$11:$M$18,8,FALSE)</f>
        <v>1</v>
      </c>
      <c r="Y983" s="81">
        <f>HLOOKUP(R983,データについて!$J$12:$M$18,7,FALSE)</f>
        <v>2</v>
      </c>
      <c r="Z983" s="81">
        <f>HLOOKUP(I983,データについて!$J$3:$M$18,16,FALSE)</f>
        <v>2</v>
      </c>
      <c r="AA983" s="81" t="str">
        <f>IFERROR(HLOOKUP(J983,データについて!$J$4:$AH$19,16,FALSE),"")</f>
        <v/>
      </c>
      <c r="AB983" s="81">
        <f>IFERROR(HLOOKUP(K983,データについて!$J$5:$AH$20,14,FALSE),"")</f>
        <v>3</v>
      </c>
      <c r="AC983" s="81">
        <f>IF(X983=1,HLOOKUP(R983,データについて!$J$12:$M$18,7,FALSE),"*")</f>
        <v>2</v>
      </c>
      <c r="AD983" s="81" t="str">
        <f>IF(X983=2,HLOOKUP(R983,データについて!$J$12:$M$18,7,FALSE),"*")</f>
        <v>*</v>
      </c>
    </row>
    <row r="984" spans="1:30">
      <c r="A984" s="30">
        <v>4208</v>
      </c>
      <c r="B984" s="30" t="s">
        <v>3431</v>
      </c>
      <c r="C984" s="30" t="s">
        <v>3432</v>
      </c>
      <c r="D984" s="30" t="s">
        <v>106</v>
      </c>
      <c r="E984" s="30"/>
      <c r="F984" s="30" t="s">
        <v>107</v>
      </c>
      <c r="G984" s="30" t="s">
        <v>106</v>
      </c>
      <c r="H984" s="30"/>
      <c r="I984" s="30" t="s">
        <v>191</v>
      </c>
      <c r="J984" s="30"/>
      <c r="K984" s="30" t="s">
        <v>3098</v>
      </c>
      <c r="L984" s="30" t="s">
        <v>117</v>
      </c>
      <c r="M984" s="30" t="s">
        <v>109</v>
      </c>
      <c r="N984" s="30" t="s">
        <v>110</v>
      </c>
      <c r="O984" s="30" t="s">
        <v>116</v>
      </c>
      <c r="P984" s="30" t="s">
        <v>112</v>
      </c>
      <c r="Q984" s="30" t="s">
        <v>118</v>
      </c>
      <c r="R984" s="30" t="s">
        <v>187</v>
      </c>
      <c r="S984" s="81">
        <f>HLOOKUP(L984,データについて!$J$6:$M$18,13,FALSE)</f>
        <v>2</v>
      </c>
      <c r="T984" s="81">
        <f>HLOOKUP(M984,データについて!$J$7:$M$18,12,FALSE)</f>
        <v>2</v>
      </c>
      <c r="U984" s="81">
        <f>HLOOKUP(N984,データについて!$J$8:$M$18,11,FALSE)</f>
        <v>2</v>
      </c>
      <c r="V984" s="81">
        <f>HLOOKUP(O984,データについて!$J$9:$M$18,10,FALSE)</f>
        <v>2</v>
      </c>
      <c r="W984" s="81">
        <f>HLOOKUP(P984,データについて!$J$10:$M$18,9,FALSE)</f>
        <v>1</v>
      </c>
      <c r="X984" s="81">
        <f>HLOOKUP(Q984,データについて!$J$11:$M$18,8,FALSE)</f>
        <v>2</v>
      </c>
      <c r="Y984" s="81">
        <f>HLOOKUP(R984,データについて!$J$12:$M$18,7,FALSE)</f>
        <v>3</v>
      </c>
      <c r="Z984" s="81">
        <f>HLOOKUP(I984,データについて!$J$3:$M$18,16,FALSE)</f>
        <v>2</v>
      </c>
      <c r="AA984" s="81" t="str">
        <f>IFERROR(HLOOKUP(J984,データについて!$J$4:$AH$19,16,FALSE),"")</f>
        <v/>
      </c>
      <c r="AB984" s="81">
        <f>IFERROR(HLOOKUP(K984,データについて!$J$5:$AH$20,14,FALSE),"")</f>
        <v>3</v>
      </c>
      <c r="AC984" s="81" t="str">
        <f>IF(X984=1,HLOOKUP(R984,データについて!$J$12:$M$18,7,FALSE),"*")</f>
        <v>*</v>
      </c>
      <c r="AD984" s="81">
        <f>IF(X984=2,HLOOKUP(R984,データについて!$J$12:$M$18,7,FALSE),"*")</f>
        <v>3</v>
      </c>
    </row>
    <row r="985" spans="1:30">
      <c r="A985" s="30">
        <v>4207</v>
      </c>
      <c r="B985" s="30" t="s">
        <v>3433</v>
      </c>
      <c r="C985" s="30" t="s">
        <v>3434</v>
      </c>
      <c r="D985" s="30" t="s">
        <v>106</v>
      </c>
      <c r="E985" s="30"/>
      <c r="F985" s="30" t="s">
        <v>107</v>
      </c>
      <c r="G985" s="30" t="s">
        <v>106</v>
      </c>
      <c r="H985" s="30"/>
      <c r="I985" s="30" t="s">
        <v>191</v>
      </c>
      <c r="J985" s="30"/>
      <c r="K985" s="30" t="s">
        <v>3098</v>
      </c>
      <c r="L985" s="30" t="s">
        <v>108</v>
      </c>
      <c r="M985" s="30" t="s">
        <v>113</v>
      </c>
      <c r="N985" s="30" t="s">
        <v>119</v>
      </c>
      <c r="O985" s="30" t="s">
        <v>115</v>
      </c>
      <c r="P985" s="30" t="s">
        <v>112</v>
      </c>
      <c r="Q985" s="30" t="s">
        <v>112</v>
      </c>
      <c r="R985" s="30" t="s">
        <v>185</v>
      </c>
      <c r="S985" s="81">
        <f>HLOOKUP(L985,データについて!$J$6:$M$18,13,FALSE)</f>
        <v>1</v>
      </c>
      <c r="T985" s="81">
        <f>HLOOKUP(M985,データについて!$J$7:$M$18,12,FALSE)</f>
        <v>1</v>
      </c>
      <c r="U985" s="81">
        <f>HLOOKUP(N985,データについて!$J$8:$M$18,11,FALSE)</f>
        <v>4</v>
      </c>
      <c r="V985" s="81">
        <f>HLOOKUP(O985,データについて!$J$9:$M$18,10,FALSE)</f>
        <v>1</v>
      </c>
      <c r="W985" s="81">
        <f>HLOOKUP(P985,データについて!$J$10:$M$18,9,FALSE)</f>
        <v>1</v>
      </c>
      <c r="X985" s="81">
        <f>HLOOKUP(Q985,データについて!$J$11:$M$18,8,FALSE)</f>
        <v>1</v>
      </c>
      <c r="Y985" s="81">
        <f>HLOOKUP(R985,データについて!$J$12:$M$18,7,FALSE)</f>
        <v>2</v>
      </c>
      <c r="Z985" s="81">
        <f>HLOOKUP(I985,データについて!$J$3:$M$18,16,FALSE)</f>
        <v>2</v>
      </c>
      <c r="AA985" s="81" t="str">
        <f>IFERROR(HLOOKUP(J985,データについて!$J$4:$AH$19,16,FALSE),"")</f>
        <v/>
      </c>
      <c r="AB985" s="81">
        <f>IFERROR(HLOOKUP(K985,データについて!$J$5:$AH$20,14,FALSE),"")</f>
        <v>3</v>
      </c>
      <c r="AC985" s="81">
        <f>IF(X985=1,HLOOKUP(R985,データについて!$J$12:$M$18,7,FALSE),"*")</f>
        <v>2</v>
      </c>
      <c r="AD985" s="81" t="str">
        <f>IF(X985=2,HLOOKUP(R985,データについて!$J$12:$M$18,7,FALSE),"*")</f>
        <v>*</v>
      </c>
    </row>
    <row r="986" spans="1:30">
      <c r="A986" s="30">
        <v>4206</v>
      </c>
      <c r="B986" s="30" t="s">
        <v>3435</v>
      </c>
      <c r="C986" s="30" t="s">
        <v>3436</v>
      </c>
      <c r="D986" s="30" t="s">
        <v>106</v>
      </c>
      <c r="E986" s="30"/>
      <c r="F986" s="30" t="s">
        <v>107</v>
      </c>
      <c r="G986" s="30" t="s">
        <v>106</v>
      </c>
      <c r="H986" s="30"/>
      <c r="I986" s="30" t="s">
        <v>191</v>
      </c>
      <c r="J986" s="30"/>
      <c r="K986" s="30" t="s">
        <v>3098</v>
      </c>
      <c r="L986" s="30" t="s">
        <v>117</v>
      </c>
      <c r="M986" s="30" t="s">
        <v>109</v>
      </c>
      <c r="N986" s="30" t="s">
        <v>110</v>
      </c>
      <c r="O986" s="30" t="s">
        <v>115</v>
      </c>
      <c r="P986" s="30" t="s">
        <v>112</v>
      </c>
      <c r="Q986" s="30" t="s">
        <v>112</v>
      </c>
      <c r="R986" s="30" t="s">
        <v>189</v>
      </c>
      <c r="S986" s="81">
        <f>HLOOKUP(L986,データについて!$J$6:$M$18,13,FALSE)</f>
        <v>2</v>
      </c>
      <c r="T986" s="81">
        <f>HLOOKUP(M986,データについて!$J$7:$M$18,12,FALSE)</f>
        <v>2</v>
      </c>
      <c r="U986" s="81">
        <f>HLOOKUP(N986,データについて!$J$8:$M$18,11,FALSE)</f>
        <v>2</v>
      </c>
      <c r="V986" s="81">
        <f>HLOOKUP(O986,データについて!$J$9:$M$18,10,FALSE)</f>
        <v>1</v>
      </c>
      <c r="W986" s="81">
        <f>HLOOKUP(P986,データについて!$J$10:$M$18,9,FALSE)</f>
        <v>1</v>
      </c>
      <c r="X986" s="81">
        <f>HLOOKUP(Q986,データについて!$J$11:$M$18,8,FALSE)</f>
        <v>1</v>
      </c>
      <c r="Y986" s="81">
        <f>HLOOKUP(R986,データについて!$J$12:$M$18,7,FALSE)</f>
        <v>4</v>
      </c>
      <c r="Z986" s="81">
        <f>HLOOKUP(I986,データについて!$J$3:$M$18,16,FALSE)</f>
        <v>2</v>
      </c>
      <c r="AA986" s="81" t="str">
        <f>IFERROR(HLOOKUP(J986,データについて!$J$4:$AH$19,16,FALSE),"")</f>
        <v/>
      </c>
      <c r="AB986" s="81">
        <f>IFERROR(HLOOKUP(K986,データについて!$J$5:$AH$20,14,FALSE),"")</f>
        <v>3</v>
      </c>
      <c r="AC986" s="81">
        <f>IF(X986=1,HLOOKUP(R986,データについて!$J$12:$M$18,7,FALSE),"*")</f>
        <v>4</v>
      </c>
      <c r="AD986" s="81" t="str">
        <f>IF(X986=2,HLOOKUP(R986,データについて!$J$12:$M$18,7,FALSE),"*")</f>
        <v>*</v>
      </c>
    </row>
    <row r="987" spans="1:30">
      <c r="A987" s="30">
        <v>4205</v>
      </c>
      <c r="B987" s="30" t="s">
        <v>3437</v>
      </c>
      <c r="C987" s="30" t="s">
        <v>3438</v>
      </c>
      <c r="D987" s="30" t="s">
        <v>106</v>
      </c>
      <c r="E987" s="30"/>
      <c r="F987" s="30" t="s">
        <v>107</v>
      </c>
      <c r="G987" s="30" t="s">
        <v>106</v>
      </c>
      <c r="H987" s="30"/>
      <c r="I987" s="30" t="s">
        <v>191</v>
      </c>
      <c r="J987" s="30"/>
      <c r="K987" s="30" t="s">
        <v>3098</v>
      </c>
      <c r="L987" s="30" t="s">
        <v>108</v>
      </c>
      <c r="M987" s="30" t="s">
        <v>109</v>
      </c>
      <c r="N987" s="30" t="s">
        <v>110</v>
      </c>
      <c r="O987" s="30" t="s">
        <v>115</v>
      </c>
      <c r="P987" s="30" t="s">
        <v>112</v>
      </c>
      <c r="Q987" s="30" t="s">
        <v>118</v>
      </c>
      <c r="R987" s="30" t="s">
        <v>185</v>
      </c>
      <c r="S987" s="81">
        <f>HLOOKUP(L987,データについて!$J$6:$M$18,13,FALSE)</f>
        <v>1</v>
      </c>
      <c r="T987" s="81">
        <f>HLOOKUP(M987,データについて!$J$7:$M$18,12,FALSE)</f>
        <v>2</v>
      </c>
      <c r="U987" s="81">
        <f>HLOOKUP(N987,データについて!$J$8:$M$18,11,FALSE)</f>
        <v>2</v>
      </c>
      <c r="V987" s="81">
        <f>HLOOKUP(O987,データについて!$J$9:$M$18,10,FALSE)</f>
        <v>1</v>
      </c>
      <c r="W987" s="81">
        <f>HLOOKUP(P987,データについて!$J$10:$M$18,9,FALSE)</f>
        <v>1</v>
      </c>
      <c r="X987" s="81">
        <f>HLOOKUP(Q987,データについて!$J$11:$M$18,8,FALSE)</f>
        <v>2</v>
      </c>
      <c r="Y987" s="81">
        <f>HLOOKUP(R987,データについて!$J$12:$M$18,7,FALSE)</f>
        <v>2</v>
      </c>
      <c r="Z987" s="81">
        <f>HLOOKUP(I987,データについて!$J$3:$M$18,16,FALSE)</f>
        <v>2</v>
      </c>
      <c r="AA987" s="81" t="str">
        <f>IFERROR(HLOOKUP(J987,データについて!$J$4:$AH$19,16,FALSE),"")</f>
        <v/>
      </c>
      <c r="AB987" s="81">
        <f>IFERROR(HLOOKUP(K987,データについて!$J$5:$AH$20,14,FALSE),"")</f>
        <v>3</v>
      </c>
      <c r="AC987" s="81" t="str">
        <f>IF(X987=1,HLOOKUP(R987,データについて!$J$12:$M$18,7,FALSE),"*")</f>
        <v>*</v>
      </c>
      <c r="AD987" s="81">
        <f>IF(X987=2,HLOOKUP(R987,データについて!$J$12:$M$18,7,FALSE),"*")</f>
        <v>2</v>
      </c>
    </row>
    <row r="988" spans="1:30">
      <c r="A988" s="30">
        <v>4204</v>
      </c>
      <c r="B988" s="30" t="s">
        <v>3439</v>
      </c>
      <c r="C988" s="30" t="s">
        <v>3440</v>
      </c>
      <c r="D988" s="30" t="s">
        <v>106</v>
      </c>
      <c r="E988" s="30"/>
      <c r="F988" s="30" t="s">
        <v>107</v>
      </c>
      <c r="G988" s="30" t="s">
        <v>106</v>
      </c>
      <c r="H988" s="30"/>
      <c r="I988" s="30" t="s">
        <v>191</v>
      </c>
      <c r="J988" s="30"/>
      <c r="K988" s="30" t="s">
        <v>3098</v>
      </c>
      <c r="L988" s="30" t="s">
        <v>117</v>
      </c>
      <c r="M988" s="30" t="s">
        <v>113</v>
      </c>
      <c r="N988" s="30" t="s">
        <v>114</v>
      </c>
      <c r="O988" s="30" t="s">
        <v>115</v>
      </c>
      <c r="P988" s="30" t="s">
        <v>118</v>
      </c>
      <c r="Q988" s="30" t="s">
        <v>118</v>
      </c>
      <c r="R988" s="30" t="s">
        <v>185</v>
      </c>
      <c r="S988" s="81">
        <f>HLOOKUP(L988,データについて!$J$6:$M$18,13,FALSE)</f>
        <v>2</v>
      </c>
      <c r="T988" s="81">
        <f>HLOOKUP(M988,データについて!$J$7:$M$18,12,FALSE)</f>
        <v>1</v>
      </c>
      <c r="U988" s="81">
        <f>HLOOKUP(N988,データについて!$J$8:$M$18,11,FALSE)</f>
        <v>1</v>
      </c>
      <c r="V988" s="81">
        <f>HLOOKUP(O988,データについて!$J$9:$M$18,10,FALSE)</f>
        <v>1</v>
      </c>
      <c r="W988" s="81">
        <f>HLOOKUP(P988,データについて!$J$10:$M$18,9,FALSE)</f>
        <v>2</v>
      </c>
      <c r="X988" s="81">
        <f>HLOOKUP(Q988,データについて!$J$11:$M$18,8,FALSE)</f>
        <v>2</v>
      </c>
      <c r="Y988" s="81">
        <f>HLOOKUP(R988,データについて!$J$12:$M$18,7,FALSE)</f>
        <v>2</v>
      </c>
      <c r="Z988" s="81">
        <f>HLOOKUP(I988,データについて!$J$3:$M$18,16,FALSE)</f>
        <v>2</v>
      </c>
      <c r="AA988" s="81" t="str">
        <f>IFERROR(HLOOKUP(J988,データについて!$J$4:$AH$19,16,FALSE),"")</f>
        <v/>
      </c>
      <c r="AB988" s="81">
        <f>IFERROR(HLOOKUP(K988,データについて!$J$5:$AH$20,14,FALSE),"")</f>
        <v>3</v>
      </c>
      <c r="AC988" s="81" t="str">
        <f>IF(X988=1,HLOOKUP(R988,データについて!$J$12:$M$18,7,FALSE),"*")</f>
        <v>*</v>
      </c>
      <c r="AD988" s="81">
        <f>IF(X988=2,HLOOKUP(R988,データについて!$J$12:$M$18,7,FALSE),"*")</f>
        <v>2</v>
      </c>
    </row>
    <row r="989" spans="1:30">
      <c r="A989" s="30">
        <v>4203</v>
      </c>
      <c r="B989" s="30" t="s">
        <v>3441</v>
      </c>
      <c r="C989" s="30" t="s">
        <v>3440</v>
      </c>
      <c r="D989" s="30" t="s">
        <v>106</v>
      </c>
      <c r="E989" s="30"/>
      <c r="F989" s="30" t="s">
        <v>107</v>
      </c>
      <c r="G989" s="30" t="s">
        <v>106</v>
      </c>
      <c r="H989" s="30"/>
      <c r="I989" s="30" t="s">
        <v>191</v>
      </c>
      <c r="J989" s="30"/>
      <c r="K989" s="30" t="s">
        <v>3098</v>
      </c>
      <c r="L989" s="30" t="s">
        <v>117</v>
      </c>
      <c r="M989" s="30" t="s">
        <v>109</v>
      </c>
      <c r="N989" s="30" t="s">
        <v>122</v>
      </c>
      <c r="O989" s="30" t="s">
        <v>115</v>
      </c>
      <c r="P989" s="30" t="s">
        <v>118</v>
      </c>
      <c r="Q989" s="30" t="s">
        <v>112</v>
      </c>
      <c r="R989" s="30" t="s">
        <v>189</v>
      </c>
      <c r="S989" s="81">
        <f>HLOOKUP(L989,データについて!$J$6:$M$18,13,FALSE)</f>
        <v>2</v>
      </c>
      <c r="T989" s="81">
        <f>HLOOKUP(M989,データについて!$J$7:$M$18,12,FALSE)</f>
        <v>2</v>
      </c>
      <c r="U989" s="81">
        <f>HLOOKUP(N989,データについて!$J$8:$M$18,11,FALSE)</f>
        <v>3</v>
      </c>
      <c r="V989" s="81">
        <f>HLOOKUP(O989,データについて!$J$9:$M$18,10,FALSE)</f>
        <v>1</v>
      </c>
      <c r="W989" s="81">
        <f>HLOOKUP(P989,データについて!$J$10:$M$18,9,FALSE)</f>
        <v>2</v>
      </c>
      <c r="X989" s="81">
        <f>HLOOKUP(Q989,データについて!$J$11:$M$18,8,FALSE)</f>
        <v>1</v>
      </c>
      <c r="Y989" s="81">
        <f>HLOOKUP(R989,データについて!$J$12:$M$18,7,FALSE)</f>
        <v>4</v>
      </c>
      <c r="Z989" s="81">
        <f>HLOOKUP(I989,データについて!$J$3:$M$18,16,FALSE)</f>
        <v>2</v>
      </c>
      <c r="AA989" s="81" t="str">
        <f>IFERROR(HLOOKUP(J989,データについて!$J$4:$AH$19,16,FALSE),"")</f>
        <v/>
      </c>
      <c r="AB989" s="81">
        <f>IFERROR(HLOOKUP(K989,データについて!$J$5:$AH$20,14,FALSE),"")</f>
        <v>3</v>
      </c>
      <c r="AC989" s="81">
        <f>IF(X989=1,HLOOKUP(R989,データについて!$J$12:$M$18,7,FALSE),"*")</f>
        <v>4</v>
      </c>
      <c r="AD989" s="81" t="str">
        <f>IF(X989=2,HLOOKUP(R989,データについて!$J$12:$M$18,7,FALSE),"*")</f>
        <v>*</v>
      </c>
    </row>
    <row r="990" spans="1:30">
      <c r="A990" s="30">
        <v>4202</v>
      </c>
      <c r="B990" s="30" t="s">
        <v>3442</v>
      </c>
      <c r="C990" s="30" t="s">
        <v>3443</v>
      </c>
      <c r="D990" s="30" t="s">
        <v>106</v>
      </c>
      <c r="E990" s="30"/>
      <c r="F990" s="30" t="s">
        <v>107</v>
      </c>
      <c r="G990" s="30" t="s">
        <v>106</v>
      </c>
      <c r="H990" s="30"/>
      <c r="I990" s="30" t="s">
        <v>191</v>
      </c>
      <c r="J990" s="30"/>
      <c r="K990" s="30" t="s">
        <v>3098</v>
      </c>
      <c r="L990" s="30" t="s">
        <v>108</v>
      </c>
      <c r="M990" s="30" t="s">
        <v>113</v>
      </c>
      <c r="N990" s="30" t="s">
        <v>110</v>
      </c>
      <c r="O990" s="30" t="s">
        <v>111</v>
      </c>
      <c r="P990" s="30" t="s">
        <v>112</v>
      </c>
      <c r="Q990" s="30" t="s">
        <v>112</v>
      </c>
      <c r="R990" s="30" t="s">
        <v>183</v>
      </c>
      <c r="S990" s="81">
        <f>HLOOKUP(L990,データについて!$J$6:$M$18,13,FALSE)</f>
        <v>1</v>
      </c>
      <c r="T990" s="81">
        <f>HLOOKUP(M990,データについて!$J$7:$M$18,12,FALSE)</f>
        <v>1</v>
      </c>
      <c r="U990" s="81">
        <f>HLOOKUP(N990,データについて!$J$8:$M$18,11,FALSE)</f>
        <v>2</v>
      </c>
      <c r="V990" s="81">
        <f>HLOOKUP(O990,データについて!$J$9:$M$18,10,FALSE)</f>
        <v>3</v>
      </c>
      <c r="W990" s="81">
        <f>HLOOKUP(P990,データについて!$J$10:$M$18,9,FALSE)</f>
        <v>1</v>
      </c>
      <c r="X990" s="81">
        <f>HLOOKUP(Q990,データについて!$J$11:$M$18,8,FALSE)</f>
        <v>1</v>
      </c>
      <c r="Y990" s="81">
        <f>HLOOKUP(R990,データについて!$J$12:$M$18,7,FALSE)</f>
        <v>1</v>
      </c>
      <c r="Z990" s="81">
        <f>HLOOKUP(I990,データについて!$J$3:$M$18,16,FALSE)</f>
        <v>2</v>
      </c>
      <c r="AA990" s="81" t="str">
        <f>IFERROR(HLOOKUP(J990,データについて!$J$4:$AH$19,16,FALSE),"")</f>
        <v/>
      </c>
      <c r="AB990" s="81">
        <f>IFERROR(HLOOKUP(K990,データについて!$J$5:$AH$20,14,FALSE),"")</f>
        <v>3</v>
      </c>
      <c r="AC990" s="81">
        <f>IF(X990=1,HLOOKUP(R990,データについて!$J$12:$M$18,7,FALSE),"*")</f>
        <v>1</v>
      </c>
      <c r="AD990" s="81" t="str">
        <f>IF(X990=2,HLOOKUP(R990,データについて!$J$12:$M$18,7,FALSE),"*")</f>
        <v>*</v>
      </c>
    </row>
    <row r="991" spans="1:30">
      <c r="A991" s="30">
        <v>4201</v>
      </c>
      <c r="B991" s="30" t="s">
        <v>3444</v>
      </c>
      <c r="C991" s="30" t="s">
        <v>3445</v>
      </c>
      <c r="D991" s="30" t="s">
        <v>106</v>
      </c>
      <c r="E991" s="30"/>
      <c r="F991" s="30" t="s">
        <v>107</v>
      </c>
      <c r="G991" s="30" t="s">
        <v>106</v>
      </c>
      <c r="H991" s="30"/>
      <c r="I991" s="30" t="s">
        <v>191</v>
      </c>
      <c r="J991" s="30"/>
      <c r="K991" s="30" t="s">
        <v>3098</v>
      </c>
      <c r="L991" s="30" t="s">
        <v>117</v>
      </c>
      <c r="M991" s="30" t="s">
        <v>113</v>
      </c>
      <c r="N991" s="30" t="s">
        <v>114</v>
      </c>
      <c r="O991" s="30" t="s">
        <v>123</v>
      </c>
      <c r="P991" s="30" t="s">
        <v>112</v>
      </c>
      <c r="Q991" s="30" t="s">
        <v>112</v>
      </c>
      <c r="R991" s="30" t="s">
        <v>185</v>
      </c>
      <c r="S991" s="81">
        <f>HLOOKUP(L991,データについて!$J$6:$M$18,13,FALSE)</f>
        <v>2</v>
      </c>
      <c r="T991" s="81">
        <f>HLOOKUP(M991,データについて!$J$7:$M$18,12,FALSE)</f>
        <v>1</v>
      </c>
      <c r="U991" s="81">
        <f>HLOOKUP(N991,データについて!$J$8:$M$18,11,FALSE)</f>
        <v>1</v>
      </c>
      <c r="V991" s="81">
        <f>HLOOKUP(O991,データについて!$J$9:$M$18,10,FALSE)</f>
        <v>4</v>
      </c>
      <c r="W991" s="81">
        <f>HLOOKUP(P991,データについて!$J$10:$M$18,9,FALSE)</f>
        <v>1</v>
      </c>
      <c r="X991" s="81">
        <f>HLOOKUP(Q991,データについて!$J$11:$M$18,8,FALSE)</f>
        <v>1</v>
      </c>
      <c r="Y991" s="81">
        <f>HLOOKUP(R991,データについて!$J$12:$M$18,7,FALSE)</f>
        <v>2</v>
      </c>
      <c r="Z991" s="81">
        <f>HLOOKUP(I991,データについて!$J$3:$M$18,16,FALSE)</f>
        <v>2</v>
      </c>
      <c r="AA991" s="81" t="str">
        <f>IFERROR(HLOOKUP(J991,データについて!$J$4:$AH$19,16,FALSE),"")</f>
        <v/>
      </c>
      <c r="AB991" s="81">
        <f>IFERROR(HLOOKUP(K991,データについて!$J$5:$AH$20,14,FALSE),"")</f>
        <v>3</v>
      </c>
      <c r="AC991" s="81">
        <f>IF(X991=1,HLOOKUP(R991,データについて!$J$12:$M$18,7,FALSE),"*")</f>
        <v>2</v>
      </c>
      <c r="AD991" s="81" t="str">
        <f>IF(X991=2,HLOOKUP(R991,データについて!$J$12:$M$18,7,FALSE),"*")</f>
        <v>*</v>
      </c>
    </row>
    <row r="992" spans="1:30">
      <c r="A992" s="30">
        <v>4200</v>
      </c>
      <c r="B992" s="30" t="s">
        <v>3446</v>
      </c>
      <c r="C992" s="30" t="s">
        <v>3447</v>
      </c>
      <c r="D992" s="30" t="s">
        <v>106</v>
      </c>
      <c r="E992" s="30"/>
      <c r="F992" s="30" t="s">
        <v>107</v>
      </c>
      <c r="G992" s="30" t="s">
        <v>106</v>
      </c>
      <c r="H992" s="30"/>
      <c r="I992" s="30" t="s">
        <v>191</v>
      </c>
      <c r="J992" s="30"/>
      <c r="K992" s="30" t="s">
        <v>3098</v>
      </c>
      <c r="L992" s="30" t="s">
        <v>108</v>
      </c>
      <c r="M992" s="30" t="s">
        <v>113</v>
      </c>
      <c r="N992" s="30" t="s">
        <v>114</v>
      </c>
      <c r="O992" s="30" t="s">
        <v>115</v>
      </c>
      <c r="P992" s="30" t="s">
        <v>112</v>
      </c>
      <c r="Q992" s="30" t="s">
        <v>112</v>
      </c>
      <c r="R992" s="30" t="s">
        <v>185</v>
      </c>
      <c r="S992" s="81">
        <f>HLOOKUP(L992,データについて!$J$6:$M$18,13,FALSE)</f>
        <v>1</v>
      </c>
      <c r="T992" s="81">
        <f>HLOOKUP(M992,データについて!$J$7:$M$18,12,FALSE)</f>
        <v>1</v>
      </c>
      <c r="U992" s="81">
        <f>HLOOKUP(N992,データについて!$J$8:$M$18,11,FALSE)</f>
        <v>1</v>
      </c>
      <c r="V992" s="81">
        <f>HLOOKUP(O992,データについて!$J$9:$M$18,10,FALSE)</f>
        <v>1</v>
      </c>
      <c r="W992" s="81">
        <f>HLOOKUP(P992,データについて!$J$10:$M$18,9,FALSE)</f>
        <v>1</v>
      </c>
      <c r="X992" s="81">
        <f>HLOOKUP(Q992,データについて!$J$11:$M$18,8,FALSE)</f>
        <v>1</v>
      </c>
      <c r="Y992" s="81">
        <f>HLOOKUP(R992,データについて!$J$12:$M$18,7,FALSE)</f>
        <v>2</v>
      </c>
      <c r="Z992" s="81">
        <f>HLOOKUP(I992,データについて!$J$3:$M$18,16,FALSE)</f>
        <v>2</v>
      </c>
      <c r="AA992" s="81" t="str">
        <f>IFERROR(HLOOKUP(J992,データについて!$J$4:$AH$19,16,FALSE),"")</f>
        <v/>
      </c>
      <c r="AB992" s="81">
        <f>IFERROR(HLOOKUP(K992,データについて!$J$5:$AH$20,14,FALSE),"")</f>
        <v>3</v>
      </c>
      <c r="AC992" s="81">
        <f>IF(X992=1,HLOOKUP(R992,データについて!$J$12:$M$18,7,FALSE),"*")</f>
        <v>2</v>
      </c>
      <c r="AD992" s="81" t="str">
        <f>IF(X992=2,HLOOKUP(R992,データについて!$J$12:$M$18,7,FALSE),"*")</f>
        <v>*</v>
      </c>
    </row>
    <row r="993" spans="1:30">
      <c r="A993" s="30">
        <v>4199</v>
      </c>
      <c r="B993" s="30" t="s">
        <v>3448</v>
      </c>
      <c r="C993" s="30" t="s">
        <v>3449</v>
      </c>
      <c r="D993" s="30" t="s">
        <v>106</v>
      </c>
      <c r="E993" s="30"/>
      <c r="F993" s="30" t="s">
        <v>107</v>
      </c>
      <c r="G993" s="30" t="s">
        <v>106</v>
      </c>
      <c r="H993" s="30"/>
      <c r="I993" s="30" t="s">
        <v>191</v>
      </c>
      <c r="J993" s="30"/>
      <c r="K993" s="30" t="s">
        <v>3098</v>
      </c>
      <c r="L993" s="30" t="s">
        <v>108</v>
      </c>
      <c r="M993" s="30" t="s">
        <v>113</v>
      </c>
      <c r="N993" s="30" t="s">
        <v>114</v>
      </c>
      <c r="O993" s="30" t="s">
        <v>115</v>
      </c>
      <c r="P993" s="30" t="s">
        <v>112</v>
      </c>
      <c r="Q993" s="30" t="s">
        <v>112</v>
      </c>
      <c r="R993" s="30" t="s">
        <v>185</v>
      </c>
      <c r="S993" s="81">
        <f>HLOOKUP(L993,データについて!$J$6:$M$18,13,FALSE)</f>
        <v>1</v>
      </c>
      <c r="T993" s="81">
        <f>HLOOKUP(M993,データについて!$J$7:$M$18,12,FALSE)</f>
        <v>1</v>
      </c>
      <c r="U993" s="81">
        <f>HLOOKUP(N993,データについて!$J$8:$M$18,11,FALSE)</f>
        <v>1</v>
      </c>
      <c r="V993" s="81">
        <f>HLOOKUP(O993,データについて!$J$9:$M$18,10,FALSE)</f>
        <v>1</v>
      </c>
      <c r="W993" s="81">
        <f>HLOOKUP(P993,データについて!$J$10:$M$18,9,FALSE)</f>
        <v>1</v>
      </c>
      <c r="X993" s="81">
        <f>HLOOKUP(Q993,データについて!$J$11:$M$18,8,FALSE)</f>
        <v>1</v>
      </c>
      <c r="Y993" s="81">
        <f>HLOOKUP(R993,データについて!$J$12:$M$18,7,FALSE)</f>
        <v>2</v>
      </c>
      <c r="Z993" s="81">
        <f>HLOOKUP(I993,データについて!$J$3:$M$18,16,FALSE)</f>
        <v>2</v>
      </c>
      <c r="AA993" s="81" t="str">
        <f>IFERROR(HLOOKUP(J993,データについて!$J$4:$AH$19,16,FALSE),"")</f>
        <v/>
      </c>
      <c r="AB993" s="81">
        <f>IFERROR(HLOOKUP(K993,データについて!$J$5:$AH$20,14,FALSE),"")</f>
        <v>3</v>
      </c>
      <c r="AC993" s="81">
        <f>IF(X993=1,HLOOKUP(R993,データについて!$J$12:$M$18,7,FALSE),"*")</f>
        <v>2</v>
      </c>
      <c r="AD993" s="81" t="str">
        <f>IF(X993=2,HLOOKUP(R993,データについて!$J$12:$M$18,7,FALSE),"*")</f>
        <v>*</v>
      </c>
    </row>
    <row r="994" spans="1:30">
      <c r="A994" s="30">
        <v>4198</v>
      </c>
      <c r="B994" s="30" t="s">
        <v>3450</v>
      </c>
      <c r="C994" s="30" t="s">
        <v>3449</v>
      </c>
      <c r="D994" s="30" t="s">
        <v>106</v>
      </c>
      <c r="E994" s="30"/>
      <c r="F994" s="30" t="s">
        <v>107</v>
      </c>
      <c r="G994" s="30" t="s">
        <v>106</v>
      </c>
      <c r="H994" s="30"/>
      <c r="I994" s="30" t="s">
        <v>191</v>
      </c>
      <c r="J994" s="30"/>
      <c r="K994" s="30" t="s">
        <v>3098</v>
      </c>
      <c r="L994" s="30" t="s">
        <v>108</v>
      </c>
      <c r="M994" s="30" t="s">
        <v>109</v>
      </c>
      <c r="N994" s="30" t="s">
        <v>114</v>
      </c>
      <c r="O994" s="30" t="s">
        <v>115</v>
      </c>
      <c r="P994" s="30" t="s">
        <v>112</v>
      </c>
      <c r="Q994" s="30" t="s">
        <v>118</v>
      </c>
      <c r="R994" s="30" t="s">
        <v>183</v>
      </c>
      <c r="S994" s="81">
        <f>HLOOKUP(L994,データについて!$J$6:$M$18,13,FALSE)</f>
        <v>1</v>
      </c>
      <c r="T994" s="81">
        <f>HLOOKUP(M994,データについて!$J$7:$M$18,12,FALSE)</f>
        <v>2</v>
      </c>
      <c r="U994" s="81">
        <f>HLOOKUP(N994,データについて!$J$8:$M$18,11,FALSE)</f>
        <v>1</v>
      </c>
      <c r="V994" s="81">
        <f>HLOOKUP(O994,データについて!$J$9:$M$18,10,FALSE)</f>
        <v>1</v>
      </c>
      <c r="W994" s="81">
        <f>HLOOKUP(P994,データについて!$J$10:$M$18,9,FALSE)</f>
        <v>1</v>
      </c>
      <c r="X994" s="81">
        <f>HLOOKUP(Q994,データについて!$J$11:$M$18,8,FALSE)</f>
        <v>2</v>
      </c>
      <c r="Y994" s="81">
        <f>HLOOKUP(R994,データについて!$J$12:$M$18,7,FALSE)</f>
        <v>1</v>
      </c>
      <c r="Z994" s="81">
        <f>HLOOKUP(I994,データについて!$J$3:$M$18,16,FALSE)</f>
        <v>2</v>
      </c>
      <c r="AA994" s="81" t="str">
        <f>IFERROR(HLOOKUP(J994,データについて!$J$4:$AH$19,16,FALSE),"")</f>
        <v/>
      </c>
      <c r="AB994" s="81">
        <f>IFERROR(HLOOKUP(K994,データについて!$J$5:$AH$20,14,FALSE),"")</f>
        <v>3</v>
      </c>
      <c r="AC994" s="81" t="str">
        <f>IF(X994=1,HLOOKUP(R994,データについて!$J$12:$M$18,7,FALSE),"*")</f>
        <v>*</v>
      </c>
      <c r="AD994" s="81">
        <f>IF(X994=2,HLOOKUP(R994,データについて!$J$12:$M$18,7,FALSE),"*")</f>
        <v>1</v>
      </c>
    </row>
    <row r="995" spans="1:30">
      <c r="A995" s="30">
        <v>4197</v>
      </c>
      <c r="B995" s="30" t="s">
        <v>3451</v>
      </c>
      <c r="C995" s="30" t="s">
        <v>3452</v>
      </c>
      <c r="D995" s="30" t="s">
        <v>106</v>
      </c>
      <c r="E995" s="30"/>
      <c r="F995" s="30" t="s">
        <v>107</v>
      </c>
      <c r="G995" s="30" t="s">
        <v>106</v>
      </c>
      <c r="H995" s="30"/>
      <c r="I995" s="30" t="s">
        <v>191</v>
      </c>
      <c r="J995" s="30"/>
      <c r="K995" s="30" t="s">
        <v>3098</v>
      </c>
      <c r="L995" s="30" t="s">
        <v>108</v>
      </c>
      <c r="M995" s="30" t="s">
        <v>113</v>
      </c>
      <c r="N995" s="30" t="s">
        <v>114</v>
      </c>
      <c r="O995" s="30" t="s">
        <v>115</v>
      </c>
      <c r="P995" s="30" t="s">
        <v>112</v>
      </c>
      <c r="Q995" s="30" t="s">
        <v>112</v>
      </c>
      <c r="R995" s="30" t="s">
        <v>183</v>
      </c>
      <c r="S995" s="81">
        <f>HLOOKUP(L995,データについて!$J$6:$M$18,13,FALSE)</f>
        <v>1</v>
      </c>
      <c r="T995" s="81">
        <f>HLOOKUP(M995,データについて!$J$7:$M$18,12,FALSE)</f>
        <v>1</v>
      </c>
      <c r="U995" s="81">
        <f>HLOOKUP(N995,データについて!$J$8:$M$18,11,FALSE)</f>
        <v>1</v>
      </c>
      <c r="V995" s="81">
        <f>HLOOKUP(O995,データについて!$J$9:$M$18,10,FALSE)</f>
        <v>1</v>
      </c>
      <c r="W995" s="81">
        <f>HLOOKUP(P995,データについて!$J$10:$M$18,9,FALSE)</f>
        <v>1</v>
      </c>
      <c r="X995" s="81">
        <f>HLOOKUP(Q995,データについて!$J$11:$M$18,8,FALSE)</f>
        <v>1</v>
      </c>
      <c r="Y995" s="81">
        <f>HLOOKUP(R995,データについて!$J$12:$M$18,7,FALSE)</f>
        <v>1</v>
      </c>
      <c r="Z995" s="81">
        <f>HLOOKUP(I995,データについて!$J$3:$M$18,16,FALSE)</f>
        <v>2</v>
      </c>
      <c r="AA995" s="81" t="str">
        <f>IFERROR(HLOOKUP(J995,データについて!$J$4:$AH$19,16,FALSE),"")</f>
        <v/>
      </c>
      <c r="AB995" s="81">
        <f>IFERROR(HLOOKUP(K995,データについて!$J$5:$AH$20,14,FALSE),"")</f>
        <v>3</v>
      </c>
      <c r="AC995" s="81">
        <f>IF(X995=1,HLOOKUP(R995,データについて!$J$12:$M$18,7,FALSE),"*")</f>
        <v>1</v>
      </c>
      <c r="AD995" s="81" t="str">
        <f>IF(X995=2,HLOOKUP(R995,データについて!$J$12:$M$18,7,FALSE),"*")</f>
        <v>*</v>
      </c>
    </row>
    <row r="996" spans="1:30">
      <c r="A996" s="30">
        <v>4196</v>
      </c>
      <c r="B996" s="30" t="s">
        <v>3453</v>
      </c>
      <c r="C996" s="30" t="s">
        <v>3454</v>
      </c>
      <c r="D996" s="30" t="s">
        <v>106</v>
      </c>
      <c r="E996" s="30"/>
      <c r="F996" s="30" t="s">
        <v>107</v>
      </c>
      <c r="G996" s="30" t="s">
        <v>106</v>
      </c>
      <c r="H996" s="30"/>
      <c r="I996" s="30" t="s">
        <v>191</v>
      </c>
      <c r="J996" s="30"/>
      <c r="K996" s="30" t="s">
        <v>3098</v>
      </c>
      <c r="L996" s="30" t="s">
        <v>117</v>
      </c>
      <c r="M996" s="30" t="s">
        <v>113</v>
      </c>
      <c r="N996" s="30" t="s">
        <v>110</v>
      </c>
      <c r="O996" s="30" t="s">
        <v>111</v>
      </c>
      <c r="P996" s="30" t="s">
        <v>112</v>
      </c>
      <c r="Q996" s="30" t="s">
        <v>112</v>
      </c>
      <c r="R996" s="30" t="s">
        <v>185</v>
      </c>
      <c r="S996" s="81">
        <f>HLOOKUP(L996,データについて!$J$6:$M$18,13,FALSE)</f>
        <v>2</v>
      </c>
      <c r="T996" s="81">
        <f>HLOOKUP(M996,データについて!$J$7:$M$18,12,FALSE)</f>
        <v>1</v>
      </c>
      <c r="U996" s="81">
        <f>HLOOKUP(N996,データについて!$J$8:$M$18,11,FALSE)</f>
        <v>2</v>
      </c>
      <c r="V996" s="81">
        <f>HLOOKUP(O996,データについて!$J$9:$M$18,10,FALSE)</f>
        <v>3</v>
      </c>
      <c r="W996" s="81">
        <f>HLOOKUP(P996,データについて!$J$10:$M$18,9,FALSE)</f>
        <v>1</v>
      </c>
      <c r="X996" s="81">
        <f>HLOOKUP(Q996,データについて!$J$11:$M$18,8,FALSE)</f>
        <v>1</v>
      </c>
      <c r="Y996" s="81">
        <f>HLOOKUP(R996,データについて!$J$12:$M$18,7,FALSE)</f>
        <v>2</v>
      </c>
      <c r="Z996" s="81">
        <f>HLOOKUP(I996,データについて!$J$3:$M$18,16,FALSE)</f>
        <v>2</v>
      </c>
      <c r="AA996" s="81" t="str">
        <f>IFERROR(HLOOKUP(J996,データについて!$J$4:$AH$19,16,FALSE),"")</f>
        <v/>
      </c>
      <c r="AB996" s="81">
        <f>IFERROR(HLOOKUP(K996,データについて!$J$5:$AH$20,14,FALSE),"")</f>
        <v>3</v>
      </c>
      <c r="AC996" s="81">
        <f>IF(X996=1,HLOOKUP(R996,データについて!$J$12:$M$18,7,FALSE),"*")</f>
        <v>2</v>
      </c>
      <c r="AD996" s="81" t="str">
        <f>IF(X996=2,HLOOKUP(R996,データについて!$J$12:$M$18,7,FALSE),"*")</f>
        <v>*</v>
      </c>
    </row>
    <row r="997" spans="1:30">
      <c r="A997" s="30">
        <v>4195</v>
      </c>
      <c r="B997" s="30" t="s">
        <v>3455</v>
      </c>
      <c r="C997" s="30" t="s">
        <v>3456</v>
      </c>
      <c r="D997" s="30" t="s">
        <v>106</v>
      </c>
      <c r="E997" s="30"/>
      <c r="F997" s="30" t="s">
        <v>107</v>
      </c>
      <c r="G997" s="30" t="s">
        <v>106</v>
      </c>
      <c r="H997" s="30"/>
      <c r="I997" s="30" t="s">
        <v>191</v>
      </c>
      <c r="J997" s="30"/>
      <c r="K997" s="30" t="s">
        <v>3098</v>
      </c>
      <c r="L997" s="30" t="s">
        <v>108</v>
      </c>
      <c r="M997" s="30" t="s">
        <v>109</v>
      </c>
      <c r="N997" s="30" t="s">
        <v>114</v>
      </c>
      <c r="O997" s="30" t="s">
        <v>115</v>
      </c>
      <c r="P997" s="30" t="s">
        <v>112</v>
      </c>
      <c r="Q997" s="30" t="s">
        <v>112</v>
      </c>
      <c r="R997" s="30" t="s">
        <v>185</v>
      </c>
      <c r="S997" s="81">
        <f>HLOOKUP(L997,データについて!$J$6:$M$18,13,FALSE)</f>
        <v>1</v>
      </c>
      <c r="T997" s="81">
        <f>HLOOKUP(M997,データについて!$J$7:$M$18,12,FALSE)</f>
        <v>2</v>
      </c>
      <c r="U997" s="81">
        <f>HLOOKUP(N997,データについて!$J$8:$M$18,11,FALSE)</f>
        <v>1</v>
      </c>
      <c r="V997" s="81">
        <f>HLOOKUP(O997,データについて!$J$9:$M$18,10,FALSE)</f>
        <v>1</v>
      </c>
      <c r="W997" s="81">
        <f>HLOOKUP(P997,データについて!$J$10:$M$18,9,FALSE)</f>
        <v>1</v>
      </c>
      <c r="X997" s="81">
        <f>HLOOKUP(Q997,データについて!$J$11:$M$18,8,FALSE)</f>
        <v>1</v>
      </c>
      <c r="Y997" s="81">
        <f>HLOOKUP(R997,データについて!$J$12:$M$18,7,FALSE)</f>
        <v>2</v>
      </c>
      <c r="Z997" s="81">
        <f>HLOOKUP(I997,データについて!$J$3:$M$18,16,FALSE)</f>
        <v>2</v>
      </c>
      <c r="AA997" s="81" t="str">
        <f>IFERROR(HLOOKUP(J997,データについて!$J$4:$AH$19,16,FALSE),"")</f>
        <v/>
      </c>
      <c r="AB997" s="81">
        <f>IFERROR(HLOOKUP(K997,データについて!$J$5:$AH$20,14,FALSE),"")</f>
        <v>3</v>
      </c>
      <c r="AC997" s="81">
        <f>IF(X997=1,HLOOKUP(R997,データについて!$J$12:$M$18,7,FALSE),"*")</f>
        <v>2</v>
      </c>
      <c r="AD997" s="81" t="str">
        <f>IF(X997=2,HLOOKUP(R997,データについて!$J$12:$M$18,7,FALSE),"*")</f>
        <v>*</v>
      </c>
    </row>
    <row r="998" spans="1:30">
      <c r="A998" s="30">
        <v>4194</v>
      </c>
      <c r="B998" s="30" t="s">
        <v>3457</v>
      </c>
      <c r="C998" s="30" t="s">
        <v>3456</v>
      </c>
      <c r="D998" s="30" t="s">
        <v>106</v>
      </c>
      <c r="E998" s="30"/>
      <c r="F998" s="30" t="s">
        <v>107</v>
      </c>
      <c r="G998" s="30" t="s">
        <v>106</v>
      </c>
      <c r="H998" s="30"/>
      <c r="I998" s="30" t="s">
        <v>191</v>
      </c>
      <c r="J998" s="30"/>
      <c r="K998" s="30" t="s">
        <v>3098</v>
      </c>
      <c r="L998" s="30" t="s">
        <v>108</v>
      </c>
      <c r="M998" s="30" t="s">
        <v>113</v>
      </c>
      <c r="N998" s="30" t="s">
        <v>114</v>
      </c>
      <c r="O998" s="30" t="s">
        <v>116</v>
      </c>
      <c r="P998" s="30" t="s">
        <v>112</v>
      </c>
      <c r="Q998" s="30" t="s">
        <v>112</v>
      </c>
      <c r="R998" s="30" t="s">
        <v>187</v>
      </c>
      <c r="S998" s="81">
        <f>HLOOKUP(L998,データについて!$J$6:$M$18,13,FALSE)</f>
        <v>1</v>
      </c>
      <c r="T998" s="81">
        <f>HLOOKUP(M998,データについて!$J$7:$M$18,12,FALSE)</f>
        <v>1</v>
      </c>
      <c r="U998" s="81">
        <f>HLOOKUP(N998,データについて!$J$8:$M$18,11,FALSE)</f>
        <v>1</v>
      </c>
      <c r="V998" s="81">
        <f>HLOOKUP(O998,データについて!$J$9:$M$18,10,FALSE)</f>
        <v>2</v>
      </c>
      <c r="W998" s="81">
        <f>HLOOKUP(P998,データについて!$J$10:$M$18,9,FALSE)</f>
        <v>1</v>
      </c>
      <c r="X998" s="81">
        <f>HLOOKUP(Q998,データについて!$J$11:$M$18,8,FALSE)</f>
        <v>1</v>
      </c>
      <c r="Y998" s="81">
        <f>HLOOKUP(R998,データについて!$J$12:$M$18,7,FALSE)</f>
        <v>3</v>
      </c>
      <c r="Z998" s="81">
        <f>HLOOKUP(I998,データについて!$J$3:$M$18,16,FALSE)</f>
        <v>2</v>
      </c>
      <c r="AA998" s="81" t="str">
        <f>IFERROR(HLOOKUP(J998,データについて!$J$4:$AH$19,16,FALSE),"")</f>
        <v/>
      </c>
      <c r="AB998" s="81">
        <f>IFERROR(HLOOKUP(K998,データについて!$J$5:$AH$20,14,FALSE),"")</f>
        <v>3</v>
      </c>
      <c r="AC998" s="81">
        <f>IF(X998=1,HLOOKUP(R998,データについて!$J$12:$M$18,7,FALSE),"*")</f>
        <v>3</v>
      </c>
      <c r="AD998" s="81" t="str">
        <f>IF(X998=2,HLOOKUP(R998,データについて!$J$12:$M$18,7,FALSE),"*")</f>
        <v>*</v>
      </c>
    </row>
    <row r="999" spans="1:30">
      <c r="A999" s="30">
        <v>4193</v>
      </c>
      <c r="B999" s="30" t="s">
        <v>3458</v>
      </c>
      <c r="C999" s="30" t="s">
        <v>3459</v>
      </c>
      <c r="D999" s="30" t="s">
        <v>106</v>
      </c>
      <c r="E999" s="30"/>
      <c r="F999" s="30" t="s">
        <v>107</v>
      </c>
      <c r="G999" s="30" t="s">
        <v>106</v>
      </c>
      <c r="H999" s="30"/>
      <c r="I999" s="30" t="s">
        <v>191</v>
      </c>
      <c r="J999" s="30"/>
      <c r="K999" s="30" t="s">
        <v>3098</v>
      </c>
      <c r="L999" s="30" t="s">
        <v>117</v>
      </c>
      <c r="M999" s="30" t="s">
        <v>113</v>
      </c>
      <c r="N999" s="30" t="s">
        <v>114</v>
      </c>
      <c r="O999" s="30" t="s">
        <v>115</v>
      </c>
      <c r="P999" s="30" t="s">
        <v>118</v>
      </c>
      <c r="Q999" s="30" t="s">
        <v>112</v>
      </c>
      <c r="R999" s="30" t="s">
        <v>183</v>
      </c>
      <c r="S999" s="81">
        <f>HLOOKUP(L999,データについて!$J$6:$M$18,13,FALSE)</f>
        <v>2</v>
      </c>
      <c r="T999" s="81">
        <f>HLOOKUP(M999,データについて!$J$7:$M$18,12,FALSE)</f>
        <v>1</v>
      </c>
      <c r="U999" s="81">
        <f>HLOOKUP(N999,データについて!$J$8:$M$18,11,FALSE)</f>
        <v>1</v>
      </c>
      <c r="V999" s="81">
        <f>HLOOKUP(O999,データについて!$J$9:$M$18,10,FALSE)</f>
        <v>1</v>
      </c>
      <c r="W999" s="81">
        <f>HLOOKUP(P999,データについて!$J$10:$M$18,9,FALSE)</f>
        <v>2</v>
      </c>
      <c r="X999" s="81">
        <f>HLOOKUP(Q999,データについて!$J$11:$M$18,8,FALSE)</f>
        <v>1</v>
      </c>
      <c r="Y999" s="81">
        <f>HLOOKUP(R999,データについて!$J$12:$M$18,7,FALSE)</f>
        <v>1</v>
      </c>
      <c r="Z999" s="81">
        <f>HLOOKUP(I999,データについて!$J$3:$M$18,16,FALSE)</f>
        <v>2</v>
      </c>
      <c r="AA999" s="81" t="str">
        <f>IFERROR(HLOOKUP(J999,データについて!$J$4:$AH$19,16,FALSE),"")</f>
        <v/>
      </c>
      <c r="AB999" s="81">
        <f>IFERROR(HLOOKUP(K999,データについて!$J$5:$AH$20,14,FALSE),"")</f>
        <v>3</v>
      </c>
      <c r="AC999" s="81">
        <f>IF(X999=1,HLOOKUP(R999,データについて!$J$12:$M$18,7,FALSE),"*")</f>
        <v>1</v>
      </c>
      <c r="AD999" s="81" t="str">
        <f>IF(X999=2,HLOOKUP(R999,データについて!$J$12:$M$18,7,FALSE),"*")</f>
        <v>*</v>
      </c>
    </row>
    <row r="1000" spans="1:30">
      <c r="A1000" s="30">
        <v>4192</v>
      </c>
      <c r="B1000" s="30" t="s">
        <v>3460</v>
      </c>
      <c r="C1000" s="30" t="s">
        <v>3461</v>
      </c>
      <c r="D1000" s="30" t="s">
        <v>106</v>
      </c>
      <c r="E1000" s="30"/>
      <c r="F1000" s="30" t="s">
        <v>107</v>
      </c>
      <c r="G1000" s="30" t="s">
        <v>106</v>
      </c>
      <c r="H1000" s="30"/>
      <c r="I1000" s="30" t="s">
        <v>191</v>
      </c>
      <c r="J1000" s="30"/>
      <c r="K1000" s="30" t="s">
        <v>3098</v>
      </c>
      <c r="L1000" s="30" t="s">
        <v>108</v>
      </c>
      <c r="M1000" s="30" t="s">
        <v>109</v>
      </c>
      <c r="N1000" s="30" t="s">
        <v>114</v>
      </c>
      <c r="O1000" s="30" t="s">
        <v>115</v>
      </c>
      <c r="P1000" s="30" t="s">
        <v>112</v>
      </c>
      <c r="Q1000" s="30" t="s">
        <v>118</v>
      </c>
      <c r="R1000" s="30" t="s">
        <v>189</v>
      </c>
      <c r="S1000" s="81">
        <f>HLOOKUP(L1000,データについて!$J$6:$M$18,13,FALSE)</f>
        <v>1</v>
      </c>
      <c r="T1000" s="81">
        <f>HLOOKUP(M1000,データについて!$J$7:$M$18,12,FALSE)</f>
        <v>2</v>
      </c>
      <c r="U1000" s="81">
        <f>HLOOKUP(N1000,データについて!$J$8:$M$18,11,FALSE)</f>
        <v>1</v>
      </c>
      <c r="V1000" s="81">
        <f>HLOOKUP(O1000,データについて!$J$9:$M$18,10,FALSE)</f>
        <v>1</v>
      </c>
      <c r="W1000" s="81">
        <f>HLOOKUP(P1000,データについて!$J$10:$M$18,9,FALSE)</f>
        <v>1</v>
      </c>
      <c r="X1000" s="81">
        <f>HLOOKUP(Q1000,データについて!$J$11:$M$18,8,FALSE)</f>
        <v>2</v>
      </c>
      <c r="Y1000" s="81">
        <f>HLOOKUP(R1000,データについて!$J$12:$M$18,7,FALSE)</f>
        <v>4</v>
      </c>
      <c r="Z1000" s="81">
        <f>HLOOKUP(I1000,データについて!$J$3:$M$18,16,FALSE)</f>
        <v>2</v>
      </c>
      <c r="AA1000" s="81" t="str">
        <f>IFERROR(HLOOKUP(J1000,データについて!$J$4:$AH$19,16,FALSE),"")</f>
        <v/>
      </c>
      <c r="AB1000" s="81">
        <f>IFERROR(HLOOKUP(K1000,データについて!$J$5:$AH$20,14,FALSE),"")</f>
        <v>3</v>
      </c>
      <c r="AC1000" s="81" t="str">
        <f>IF(X1000=1,HLOOKUP(R1000,データについて!$J$12:$M$18,7,FALSE),"*")</f>
        <v>*</v>
      </c>
      <c r="AD1000" s="81">
        <f>IF(X1000=2,HLOOKUP(R1000,データについて!$J$12:$M$18,7,FALSE),"*")</f>
        <v>4</v>
      </c>
    </row>
    <row r="1001" spans="1:30">
      <c r="A1001" s="30">
        <v>4191</v>
      </c>
      <c r="B1001" s="30" t="s">
        <v>3462</v>
      </c>
      <c r="C1001" s="30" t="s">
        <v>3463</v>
      </c>
      <c r="D1001" s="30" t="s">
        <v>106</v>
      </c>
      <c r="E1001" s="30"/>
      <c r="F1001" s="30" t="s">
        <v>107</v>
      </c>
      <c r="G1001" s="30" t="s">
        <v>106</v>
      </c>
      <c r="H1001" s="30"/>
      <c r="I1001" s="30" t="s">
        <v>191</v>
      </c>
      <c r="J1001" s="30"/>
      <c r="K1001" s="30" t="s">
        <v>3098</v>
      </c>
      <c r="L1001" s="30" t="s">
        <v>108</v>
      </c>
      <c r="M1001" s="30" t="s">
        <v>113</v>
      </c>
      <c r="N1001" s="30" t="s">
        <v>114</v>
      </c>
      <c r="O1001" s="30" t="s">
        <v>115</v>
      </c>
      <c r="P1001" s="30" t="s">
        <v>112</v>
      </c>
      <c r="Q1001" s="30" t="s">
        <v>112</v>
      </c>
      <c r="R1001" s="30" t="s">
        <v>185</v>
      </c>
      <c r="S1001" s="81">
        <f>HLOOKUP(L1001,データについて!$J$6:$M$18,13,FALSE)</f>
        <v>1</v>
      </c>
      <c r="T1001" s="81">
        <f>HLOOKUP(M1001,データについて!$J$7:$M$18,12,FALSE)</f>
        <v>1</v>
      </c>
      <c r="U1001" s="81">
        <f>HLOOKUP(N1001,データについて!$J$8:$M$18,11,FALSE)</f>
        <v>1</v>
      </c>
      <c r="V1001" s="81">
        <f>HLOOKUP(O1001,データについて!$J$9:$M$18,10,FALSE)</f>
        <v>1</v>
      </c>
      <c r="W1001" s="81">
        <f>HLOOKUP(P1001,データについて!$J$10:$M$18,9,FALSE)</f>
        <v>1</v>
      </c>
      <c r="X1001" s="81">
        <f>HLOOKUP(Q1001,データについて!$J$11:$M$18,8,FALSE)</f>
        <v>1</v>
      </c>
      <c r="Y1001" s="81">
        <f>HLOOKUP(R1001,データについて!$J$12:$M$18,7,FALSE)</f>
        <v>2</v>
      </c>
      <c r="Z1001" s="81">
        <f>HLOOKUP(I1001,データについて!$J$3:$M$18,16,FALSE)</f>
        <v>2</v>
      </c>
      <c r="AA1001" s="81" t="str">
        <f>IFERROR(HLOOKUP(J1001,データについて!$J$4:$AH$19,16,FALSE),"")</f>
        <v/>
      </c>
      <c r="AB1001" s="81">
        <f>IFERROR(HLOOKUP(K1001,データについて!$J$5:$AH$20,14,FALSE),"")</f>
        <v>3</v>
      </c>
      <c r="AC1001" s="81">
        <f>IF(X1001=1,HLOOKUP(R1001,データについて!$J$12:$M$18,7,FALSE),"*")</f>
        <v>2</v>
      </c>
      <c r="AD1001" s="81" t="str">
        <f>IF(X1001=2,HLOOKUP(R1001,データについて!$J$12:$M$18,7,FALSE),"*")</f>
        <v>*</v>
      </c>
    </row>
    <row r="1002" spans="1:30">
      <c r="A1002" s="30">
        <v>4190</v>
      </c>
      <c r="B1002" s="30" t="s">
        <v>3464</v>
      </c>
      <c r="C1002" s="30" t="s">
        <v>3463</v>
      </c>
      <c r="D1002" s="30" t="s">
        <v>106</v>
      </c>
      <c r="E1002" s="30"/>
      <c r="F1002" s="30" t="s">
        <v>107</v>
      </c>
      <c r="G1002" s="30" t="s">
        <v>106</v>
      </c>
      <c r="H1002" s="30"/>
      <c r="I1002" s="30" t="s">
        <v>191</v>
      </c>
      <c r="J1002" s="30"/>
      <c r="K1002" s="30" t="s">
        <v>3098</v>
      </c>
      <c r="L1002" s="30" t="s">
        <v>108</v>
      </c>
      <c r="M1002" s="30" t="s">
        <v>113</v>
      </c>
      <c r="N1002" s="30" t="s">
        <v>114</v>
      </c>
      <c r="O1002" s="30" t="s">
        <v>111</v>
      </c>
      <c r="P1002" s="30" t="s">
        <v>112</v>
      </c>
      <c r="Q1002" s="30" t="s">
        <v>118</v>
      </c>
      <c r="R1002" s="30" t="s">
        <v>187</v>
      </c>
      <c r="S1002" s="81">
        <f>HLOOKUP(L1002,データについて!$J$6:$M$18,13,FALSE)</f>
        <v>1</v>
      </c>
      <c r="T1002" s="81">
        <f>HLOOKUP(M1002,データについて!$J$7:$M$18,12,FALSE)</f>
        <v>1</v>
      </c>
      <c r="U1002" s="81">
        <f>HLOOKUP(N1002,データについて!$J$8:$M$18,11,FALSE)</f>
        <v>1</v>
      </c>
      <c r="V1002" s="81">
        <f>HLOOKUP(O1002,データについて!$J$9:$M$18,10,FALSE)</f>
        <v>3</v>
      </c>
      <c r="W1002" s="81">
        <f>HLOOKUP(P1002,データについて!$J$10:$M$18,9,FALSE)</f>
        <v>1</v>
      </c>
      <c r="X1002" s="81">
        <f>HLOOKUP(Q1002,データについて!$J$11:$M$18,8,FALSE)</f>
        <v>2</v>
      </c>
      <c r="Y1002" s="81">
        <f>HLOOKUP(R1002,データについて!$J$12:$M$18,7,FALSE)</f>
        <v>3</v>
      </c>
      <c r="Z1002" s="81">
        <f>HLOOKUP(I1002,データについて!$J$3:$M$18,16,FALSE)</f>
        <v>2</v>
      </c>
      <c r="AA1002" s="81" t="str">
        <f>IFERROR(HLOOKUP(J1002,データについて!$J$4:$AH$19,16,FALSE),"")</f>
        <v/>
      </c>
      <c r="AB1002" s="81">
        <f>IFERROR(HLOOKUP(K1002,データについて!$J$5:$AH$20,14,FALSE),"")</f>
        <v>3</v>
      </c>
      <c r="AC1002" s="81" t="str">
        <f>IF(X1002=1,HLOOKUP(R1002,データについて!$J$12:$M$18,7,FALSE),"*")</f>
        <v>*</v>
      </c>
      <c r="AD1002" s="81">
        <f>IF(X1002=2,HLOOKUP(R1002,データについて!$J$12:$M$18,7,FALSE),"*")</f>
        <v>3</v>
      </c>
    </row>
    <row r="1003" spans="1:30">
      <c r="A1003" s="30">
        <v>4189</v>
      </c>
      <c r="B1003" s="30" t="s">
        <v>3465</v>
      </c>
      <c r="C1003" s="30" t="s">
        <v>3466</v>
      </c>
      <c r="D1003" s="30" t="s">
        <v>106</v>
      </c>
      <c r="E1003" s="30"/>
      <c r="F1003" s="30" t="s">
        <v>107</v>
      </c>
      <c r="G1003" s="30" t="s">
        <v>106</v>
      </c>
      <c r="H1003" s="30"/>
      <c r="I1003" s="30" t="s">
        <v>191</v>
      </c>
      <c r="J1003" s="30"/>
      <c r="K1003" s="30" t="s">
        <v>3098</v>
      </c>
      <c r="L1003" s="30" t="s">
        <v>108</v>
      </c>
      <c r="M1003" s="30" t="s">
        <v>109</v>
      </c>
      <c r="N1003" s="30" t="s">
        <v>114</v>
      </c>
      <c r="O1003" s="30" t="s">
        <v>115</v>
      </c>
      <c r="P1003" s="30" t="s">
        <v>112</v>
      </c>
      <c r="Q1003" s="30" t="s">
        <v>112</v>
      </c>
      <c r="R1003" s="30" t="s">
        <v>187</v>
      </c>
      <c r="S1003" s="81">
        <f>HLOOKUP(L1003,データについて!$J$6:$M$18,13,FALSE)</f>
        <v>1</v>
      </c>
      <c r="T1003" s="81">
        <f>HLOOKUP(M1003,データについて!$J$7:$M$18,12,FALSE)</f>
        <v>2</v>
      </c>
      <c r="U1003" s="81">
        <f>HLOOKUP(N1003,データについて!$J$8:$M$18,11,FALSE)</f>
        <v>1</v>
      </c>
      <c r="V1003" s="81">
        <f>HLOOKUP(O1003,データについて!$J$9:$M$18,10,FALSE)</f>
        <v>1</v>
      </c>
      <c r="W1003" s="81">
        <f>HLOOKUP(P1003,データについて!$J$10:$M$18,9,FALSE)</f>
        <v>1</v>
      </c>
      <c r="X1003" s="81">
        <f>HLOOKUP(Q1003,データについて!$J$11:$M$18,8,FALSE)</f>
        <v>1</v>
      </c>
      <c r="Y1003" s="81">
        <f>HLOOKUP(R1003,データについて!$J$12:$M$18,7,FALSE)</f>
        <v>3</v>
      </c>
      <c r="Z1003" s="81">
        <f>HLOOKUP(I1003,データについて!$J$3:$M$18,16,FALSE)</f>
        <v>2</v>
      </c>
      <c r="AA1003" s="81" t="str">
        <f>IFERROR(HLOOKUP(J1003,データについて!$J$4:$AH$19,16,FALSE),"")</f>
        <v/>
      </c>
      <c r="AB1003" s="81">
        <f>IFERROR(HLOOKUP(K1003,データについて!$J$5:$AH$20,14,FALSE),"")</f>
        <v>3</v>
      </c>
      <c r="AC1003" s="81">
        <f>IF(X1003=1,HLOOKUP(R1003,データについて!$J$12:$M$18,7,FALSE),"*")</f>
        <v>3</v>
      </c>
      <c r="AD1003" s="81" t="str">
        <f>IF(X1003=2,HLOOKUP(R1003,データについて!$J$12:$M$18,7,FALSE),"*")</f>
        <v>*</v>
      </c>
    </row>
    <row r="1004" spans="1:30">
      <c r="A1004" s="30">
        <v>4188</v>
      </c>
      <c r="B1004" s="30" t="s">
        <v>3467</v>
      </c>
      <c r="C1004" s="30" t="s">
        <v>3468</v>
      </c>
      <c r="D1004" s="30" t="s">
        <v>106</v>
      </c>
      <c r="E1004" s="30"/>
      <c r="F1004" s="30" t="s">
        <v>107</v>
      </c>
      <c r="G1004" s="30" t="s">
        <v>106</v>
      </c>
      <c r="H1004" s="30"/>
      <c r="I1004" s="30" t="s">
        <v>191</v>
      </c>
      <c r="J1004" s="30"/>
      <c r="K1004" s="30" t="s">
        <v>3098</v>
      </c>
      <c r="L1004" s="30" t="s">
        <v>108</v>
      </c>
      <c r="M1004" s="30" t="s">
        <v>113</v>
      </c>
      <c r="N1004" s="30" t="s">
        <v>122</v>
      </c>
      <c r="O1004" s="30" t="s">
        <v>115</v>
      </c>
      <c r="P1004" s="30" t="s">
        <v>112</v>
      </c>
      <c r="Q1004" s="30" t="s">
        <v>112</v>
      </c>
      <c r="R1004" s="30" t="s">
        <v>187</v>
      </c>
      <c r="S1004" s="81">
        <f>HLOOKUP(L1004,データについて!$J$6:$M$18,13,FALSE)</f>
        <v>1</v>
      </c>
      <c r="T1004" s="81">
        <f>HLOOKUP(M1004,データについて!$J$7:$M$18,12,FALSE)</f>
        <v>1</v>
      </c>
      <c r="U1004" s="81">
        <f>HLOOKUP(N1004,データについて!$J$8:$M$18,11,FALSE)</f>
        <v>3</v>
      </c>
      <c r="V1004" s="81">
        <f>HLOOKUP(O1004,データについて!$J$9:$M$18,10,FALSE)</f>
        <v>1</v>
      </c>
      <c r="W1004" s="81">
        <f>HLOOKUP(P1004,データについて!$J$10:$M$18,9,FALSE)</f>
        <v>1</v>
      </c>
      <c r="X1004" s="81">
        <f>HLOOKUP(Q1004,データについて!$J$11:$M$18,8,FALSE)</f>
        <v>1</v>
      </c>
      <c r="Y1004" s="81">
        <f>HLOOKUP(R1004,データについて!$J$12:$M$18,7,FALSE)</f>
        <v>3</v>
      </c>
      <c r="Z1004" s="81">
        <f>HLOOKUP(I1004,データについて!$J$3:$M$18,16,FALSE)</f>
        <v>2</v>
      </c>
      <c r="AA1004" s="81" t="str">
        <f>IFERROR(HLOOKUP(J1004,データについて!$J$4:$AH$19,16,FALSE),"")</f>
        <v/>
      </c>
      <c r="AB1004" s="81">
        <f>IFERROR(HLOOKUP(K1004,データについて!$J$5:$AH$20,14,FALSE),"")</f>
        <v>3</v>
      </c>
      <c r="AC1004" s="81">
        <f>IF(X1004=1,HLOOKUP(R1004,データについて!$J$12:$M$18,7,FALSE),"*")</f>
        <v>3</v>
      </c>
      <c r="AD1004" s="81" t="str">
        <f>IF(X1004=2,HLOOKUP(R1004,データについて!$J$12:$M$18,7,FALSE),"*")</f>
        <v>*</v>
      </c>
    </row>
    <row r="1005" spans="1:30">
      <c r="A1005" s="30">
        <v>4187</v>
      </c>
      <c r="B1005" s="30" t="s">
        <v>3469</v>
      </c>
      <c r="C1005" s="30" t="s">
        <v>3470</v>
      </c>
      <c r="D1005" s="30" t="s">
        <v>106</v>
      </c>
      <c r="E1005" s="30"/>
      <c r="F1005" s="30" t="s">
        <v>107</v>
      </c>
      <c r="G1005" s="30" t="s">
        <v>106</v>
      </c>
      <c r="H1005" s="30"/>
      <c r="I1005" s="30" t="s">
        <v>191</v>
      </c>
      <c r="J1005" s="30"/>
      <c r="K1005" s="30" t="s">
        <v>3098</v>
      </c>
      <c r="L1005" s="30" t="s">
        <v>117</v>
      </c>
      <c r="M1005" s="30" t="s">
        <v>124</v>
      </c>
      <c r="N1005" s="30" t="s">
        <v>114</v>
      </c>
      <c r="O1005" s="30" t="s">
        <v>123</v>
      </c>
      <c r="P1005" s="30" t="s">
        <v>118</v>
      </c>
      <c r="Q1005" s="30" t="s">
        <v>112</v>
      </c>
      <c r="R1005" s="30" t="s">
        <v>189</v>
      </c>
      <c r="S1005" s="81">
        <f>HLOOKUP(L1005,データについて!$J$6:$M$18,13,FALSE)</f>
        <v>2</v>
      </c>
      <c r="T1005" s="81">
        <f>HLOOKUP(M1005,データについて!$J$7:$M$18,12,FALSE)</f>
        <v>3</v>
      </c>
      <c r="U1005" s="81">
        <f>HLOOKUP(N1005,データについて!$J$8:$M$18,11,FALSE)</f>
        <v>1</v>
      </c>
      <c r="V1005" s="81">
        <f>HLOOKUP(O1005,データについて!$J$9:$M$18,10,FALSE)</f>
        <v>4</v>
      </c>
      <c r="W1005" s="81">
        <f>HLOOKUP(P1005,データについて!$J$10:$M$18,9,FALSE)</f>
        <v>2</v>
      </c>
      <c r="X1005" s="81">
        <f>HLOOKUP(Q1005,データについて!$J$11:$M$18,8,FALSE)</f>
        <v>1</v>
      </c>
      <c r="Y1005" s="81">
        <f>HLOOKUP(R1005,データについて!$J$12:$M$18,7,FALSE)</f>
        <v>4</v>
      </c>
      <c r="Z1005" s="81">
        <f>HLOOKUP(I1005,データについて!$J$3:$M$18,16,FALSE)</f>
        <v>2</v>
      </c>
      <c r="AA1005" s="81" t="str">
        <f>IFERROR(HLOOKUP(J1005,データについて!$J$4:$AH$19,16,FALSE),"")</f>
        <v/>
      </c>
      <c r="AB1005" s="81">
        <f>IFERROR(HLOOKUP(K1005,データについて!$J$5:$AH$20,14,FALSE),"")</f>
        <v>3</v>
      </c>
      <c r="AC1005" s="81">
        <f>IF(X1005=1,HLOOKUP(R1005,データについて!$J$12:$M$18,7,FALSE),"*")</f>
        <v>4</v>
      </c>
      <c r="AD1005" s="81" t="str">
        <f>IF(X1005=2,HLOOKUP(R1005,データについて!$J$12:$M$18,7,FALSE),"*")</f>
        <v>*</v>
      </c>
    </row>
    <row r="1006" spans="1:30">
      <c r="A1006" s="30">
        <v>4186</v>
      </c>
      <c r="B1006" s="30" t="s">
        <v>3471</v>
      </c>
      <c r="C1006" s="30" t="s">
        <v>3472</v>
      </c>
      <c r="D1006" s="30" t="s">
        <v>106</v>
      </c>
      <c r="E1006" s="30"/>
      <c r="F1006" s="30" t="s">
        <v>107</v>
      </c>
      <c r="G1006" s="30" t="s">
        <v>106</v>
      </c>
      <c r="H1006" s="30"/>
      <c r="I1006" s="30" t="s">
        <v>191</v>
      </c>
      <c r="J1006" s="30"/>
      <c r="K1006" s="30" t="s">
        <v>3098</v>
      </c>
      <c r="L1006" s="30" t="s">
        <v>120</v>
      </c>
      <c r="M1006" s="30" t="s">
        <v>109</v>
      </c>
      <c r="N1006" s="30" t="s">
        <v>114</v>
      </c>
      <c r="O1006" s="30" t="s">
        <v>115</v>
      </c>
      <c r="P1006" s="30" t="s">
        <v>118</v>
      </c>
      <c r="Q1006" s="30" t="s">
        <v>112</v>
      </c>
      <c r="R1006" s="30" t="s">
        <v>185</v>
      </c>
      <c r="S1006" s="81">
        <f>HLOOKUP(L1006,データについて!$J$6:$M$18,13,FALSE)</f>
        <v>3</v>
      </c>
      <c r="T1006" s="81">
        <f>HLOOKUP(M1006,データについて!$J$7:$M$18,12,FALSE)</f>
        <v>2</v>
      </c>
      <c r="U1006" s="81">
        <f>HLOOKUP(N1006,データについて!$J$8:$M$18,11,FALSE)</f>
        <v>1</v>
      </c>
      <c r="V1006" s="81">
        <f>HLOOKUP(O1006,データについて!$J$9:$M$18,10,FALSE)</f>
        <v>1</v>
      </c>
      <c r="W1006" s="81">
        <f>HLOOKUP(P1006,データについて!$J$10:$M$18,9,FALSE)</f>
        <v>2</v>
      </c>
      <c r="X1006" s="81">
        <f>HLOOKUP(Q1006,データについて!$J$11:$M$18,8,FALSE)</f>
        <v>1</v>
      </c>
      <c r="Y1006" s="81">
        <f>HLOOKUP(R1006,データについて!$J$12:$M$18,7,FALSE)</f>
        <v>2</v>
      </c>
      <c r="Z1006" s="81">
        <f>HLOOKUP(I1006,データについて!$J$3:$M$18,16,FALSE)</f>
        <v>2</v>
      </c>
      <c r="AA1006" s="81" t="str">
        <f>IFERROR(HLOOKUP(J1006,データについて!$J$4:$AH$19,16,FALSE),"")</f>
        <v/>
      </c>
      <c r="AB1006" s="81">
        <f>IFERROR(HLOOKUP(K1006,データについて!$J$5:$AH$20,14,FALSE),"")</f>
        <v>3</v>
      </c>
      <c r="AC1006" s="81">
        <f>IF(X1006=1,HLOOKUP(R1006,データについて!$J$12:$M$18,7,FALSE),"*")</f>
        <v>2</v>
      </c>
      <c r="AD1006" s="81" t="str">
        <f>IF(X1006=2,HLOOKUP(R1006,データについて!$J$12:$M$18,7,FALSE),"*")</f>
        <v>*</v>
      </c>
    </row>
    <row r="1007" spans="1:30">
      <c r="A1007" s="30">
        <v>4185</v>
      </c>
      <c r="B1007" s="30" t="s">
        <v>3473</v>
      </c>
      <c r="C1007" s="30" t="s">
        <v>3474</v>
      </c>
      <c r="D1007" s="30" t="s">
        <v>106</v>
      </c>
      <c r="E1007" s="30"/>
      <c r="F1007" s="30" t="s">
        <v>107</v>
      </c>
      <c r="G1007" s="30" t="s">
        <v>106</v>
      </c>
      <c r="H1007" s="30"/>
      <c r="I1007" s="30" t="s">
        <v>191</v>
      </c>
      <c r="J1007" s="30"/>
      <c r="K1007" s="30" t="s">
        <v>3098</v>
      </c>
      <c r="L1007" s="30" t="s">
        <v>117</v>
      </c>
      <c r="M1007" s="30" t="s">
        <v>113</v>
      </c>
      <c r="N1007" s="30" t="s">
        <v>122</v>
      </c>
      <c r="O1007" s="30" t="s">
        <v>115</v>
      </c>
      <c r="P1007" s="30" t="s">
        <v>118</v>
      </c>
      <c r="Q1007" s="30" t="s">
        <v>112</v>
      </c>
      <c r="R1007" s="30" t="s">
        <v>185</v>
      </c>
      <c r="S1007" s="81">
        <f>HLOOKUP(L1007,データについて!$J$6:$M$18,13,FALSE)</f>
        <v>2</v>
      </c>
      <c r="T1007" s="81">
        <f>HLOOKUP(M1007,データについて!$J$7:$M$18,12,FALSE)</f>
        <v>1</v>
      </c>
      <c r="U1007" s="81">
        <f>HLOOKUP(N1007,データについて!$J$8:$M$18,11,FALSE)</f>
        <v>3</v>
      </c>
      <c r="V1007" s="81">
        <f>HLOOKUP(O1007,データについて!$J$9:$M$18,10,FALSE)</f>
        <v>1</v>
      </c>
      <c r="W1007" s="81">
        <f>HLOOKUP(P1007,データについて!$J$10:$M$18,9,FALSE)</f>
        <v>2</v>
      </c>
      <c r="X1007" s="81">
        <f>HLOOKUP(Q1007,データについて!$J$11:$M$18,8,FALSE)</f>
        <v>1</v>
      </c>
      <c r="Y1007" s="81">
        <f>HLOOKUP(R1007,データについて!$J$12:$M$18,7,FALSE)</f>
        <v>2</v>
      </c>
      <c r="Z1007" s="81">
        <f>HLOOKUP(I1007,データについて!$J$3:$M$18,16,FALSE)</f>
        <v>2</v>
      </c>
      <c r="AA1007" s="81" t="str">
        <f>IFERROR(HLOOKUP(J1007,データについて!$J$4:$AH$19,16,FALSE),"")</f>
        <v/>
      </c>
      <c r="AB1007" s="81">
        <f>IFERROR(HLOOKUP(K1007,データについて!$J$5:$AH$20,14,FALSE),"")</f>
        <v>3</v>
      </c>
      <c r="AC1007" s="81">
        <f>IF(X1007=1,HLOOKUP(R1007,データについて!$J$12:$M$18,7,FALSE),"*")</f>
        <v>2</v>
      </c>
      <c r="AD1007" s="81" t="str">
        <f>IF(X1007=2,HLOOKUP(R1007,データについて!$J$12:$M$18,7,FALSE),"*")</f>
        <v>*</v>
      </c>
    </row>
    <row r="1008" spans="1:30">
      <c r="A1008" s="30">
        <v>4184</v>
      </c>
      <c r="B1008" s="30" t="s">
        <v>3475</v>
      </c>
      <c r="C1008" s="30" t="s">
        <v>3476</v>
      </c>
      <c r="D1008" s="30" t="s">
        <v>106</v>
      </c>
      <c r="E1008" s="30"/>
      <c r="F1008" s="30" t="s">
        <v>107</v>
      </c>
      <c r="G1008" s="30" t="s">
        <v>106</v>
      </c>
      <c r="H1008" s="30"/>
      <c r="I1008" s="30" t="s">
        <v>192</v>
      </c>
      <c r="J1008" s="30" t="s">
        <v>942</v>
      </c>
      <c r="K1008" s="30"/>
      <c r="L1008" s="30" t="s">
        <v>108</v>
      </c>
      <c r="M1008" s="30" t="s">
        <v>113</v>
      </c>
      <c r="N1008" s="30" t="s">
        <v>114</v>
      </c>
      <c r="O1008" s="30" t="s">
        <v>115</v>
      </c>
      <c r="P1008" s="30" t="s">
        <v>112</v>
      </c>
      <c r="Q1008" s="30" t="s">
        <v>118</v>
      </c>
      <c r="R1008" s="30" t="s">
        <v>183</v>
      </c>
      <c r="S1008" s="81">
        <f>HLOOKUP(L1008,データについて!$J$6:$M$18,13,FALSE)</f>
        <v>1</v>
      </c>
      <c r="T1008" s="81">
        <f>HLOOKUP(M1008,データについて!$J$7:$M$18,12,FALSE)</f>
        <v>1</v>
      </c>
      <c r="U1008" s="81">
        <f>HLOOKUP(N1008,データについて!$J$8:$M$18,11,FALSE)</f>
        <v>1</v>
      </c>
      <c r="V1008" s="81">
        <f>HLOOKUP(O1008,データについて!$J$9:$M$18,10,FALSE)</f>
        <v>1</v>
      </c>
      <c r="W1008" s="81">
        <f>HLOOKUP(P1008,データについて!$J$10:$M$18,9,FALSE)</f>
        <v>1</v>
      </c>
      <c r="X1008" s="81">
        <f>HLOOKUP(Q1008,データについて!$J$11:$M$18,8,FALSE)</f>
        <v>2</v>
      </c>
      <c r="Y1008" s="81">
        <f>HLOOKUP(R1008,データについて!$J$12:$M$18,7,FALSE)</f>
        <v>1</v>
      </c>
      <c r="Z1008" s="81">
        <f>HLOOKUP(I1008,データについて!$J$3:$M$18,16,FALSE)</f>
        <v>1</v>
      </c>
      <c r="AA1008" s="81">
        <f>IFERROR(HLOOKUP(J1008,データについて!$J$4:$AH$19,16,FALSE),"")</f>
        <v>7</v>
      </c>
      <c r="AB1008" s="81" t="str">
        <f>IFERROR(HLOOKUP(K1008,データについて!$J$5:$AH$20,14,FALSE),"")</f>
        <v/>
      </c>
      <c r="AC1008" s="81" t="str">
        <f>IF(X1008=1,HLOOKUP(R1008,データについて!$J$12:$M$18,7,FALSE),"*")</f>
        <v>*</v>
      </c>
      <c r="AD1008" s="81">
        <f>IF(X1008=2,HLOOKUP(R1008,データについて!$J$12:$M$18,7,FALSE),"*")</f>
        <v>1</v>
      </c>
    </row>
    <row r="1009" spans="1:30">
      <c r="A1009" s="30">
        <v>4183</v>
      </c>
      <c r="B1009" s="30" t="s">
        <v>3477</v>
      </c>
      <c r="C1009" s="30" t="s">
        <v>3478</v>
      </c>
      <c r="D1009" s="30" t="s">
        <v>106</v>
      </c>
      <c r="E1009" s="30"/>
      <c r="F1009" s="30" t="s">
        <v>107</v>
      </c>
      <c r="G1009" s="30" t="s">
        <v>106</v>
      </c>
      <c r="H1009" s="30"/>
      <c r="I1009" s="30" t="s">
        <v>192</v>
      </c>
      <c r="J1009" s="30" t="s">
        <v>942</v>
      </c>
      <c r="K1009" s="30"/>
      <c r="L1009" s="30" t="s">
        <v>108</v>
      </c>
      <c r="M1009" s="30" t="s">
        <v>113</v>
      </c>
      <c r="N1009" s="30" t="s">
        <v>114</v>
      </c>
      <c r="O1009" s="30" t="s">
        <v>115</v>
      </c>
      <c r="P1009" s="30" t="s">
        <v>112</v>
      </c>
      <c r="Q1009" s="30" t="s">
        <v>118</v>
      </c>
      <c r="R1009" s="30" t="s">
        <v>185</v>
      </c>
      <c r="S1009" s="81">
        <f>HLOOKUP(L1009,データについて!$J$6:$M$18,13,FALSE)</f>
        <v>1</v>
      </c>
      <c r="T1009" s="81">
        <f>HLOOKUP(M1009,データについて!$J$7:$M$18,12,FALSE)</f>
        <v>1</v>
      </c>
      <c r="U1009" s="81">
        <f>HLOOKUP(N1009,データについて!$J$8:$M$18,11,FALSE)</f>
        <v>1</v>
      </c>
      <c r="V1009" s="81">
        <f>HLOOKUP(O1009,データについて!$J$9:$M$18,10,FALSE)</f>
        <v>1</v>
      </c>
      <c r="W1009" s="81">
        <f>HLOOKUP(P1009,データについて!$J$10:$M$18,9,FALSE)</f>
        <v>1</v>
      </c>
      <c r="X1009" s="81">
        <f>HLOOKUP(Q1009,データについて!$J$11:$M$18,8,FALSE)</f>
        <v>2</v>
      </c>
      <c r="Y1009" s="81">
        <f>HLOOKUP(R1009,データについて!$J$12:$M$18,7,FALSE)</f>
        <v>2</v>
      </c>
      <c r="Z1009" s="81">
        <f>HLOOKUP(I1009,データについて!$J$3:$M$18,16,FALSE)</f>
        <v>1</v>
      </c>
      <c r="AA1009" s="81">
        <f>IFERROR(HLOOKUP(J1009,データについて!$J$4:$AH$19,16,FALSE),"")</f>
        <v>7</v>
      </c>
      <c r="AB1009" s="81" t="str">
        <f>IFERROR(HLOOKUP(K1009,データについて!$J$5:$AH$20,14,FALSE),"")</f>
        <v/>
      </c>
      <c r="AC1009" s="81" t="str">
        <f>IF(X1009=1,HLOOKUP(R1009,データについて!$J$12:$M$18,7,FALSE),"*")</f>
        <v>*</v>
      </c>
      <c r="AD1009" s="81">
        <f>IF(X1009=2,HLOOKUP(R1009,データについて!$J$12:$M$18,7,FALSE),"*")</f>
        <v>2</v>
      </c>
    </row>
    <row r="1010" spans="1:30">
      <c r="A1010" s="30">
        <v>4182</v>
      </c>
      <c r="B1010" s="30" t="s">
        <v>3479</v>
      </c>
      <c r="C1010" s="30" t="s">
        <v>3480</v>
      </c>
      <c r="D1010" s="30" t="s">
        <v>106</v>
      </c>
      <c r="E1010" s="30"/>
      <c r="F1010" s="30" t="s">
        <v>107</v>
      </c>
      <c r="G1010" s="30" t="s">
        <v>106</v>
      </c>
      <c r="H1010" s="30"/>
      <c r="I1010" s="30" t="s">
        <v>192</v>
      </c>
      <c r="J1010" s="30" t="s">
        <v>942</v>
      </c>
      <c r="K1010" s="30"/>
      <c r="L1010" s="30" t="s">
        <v>117</v>
      </c>
      <c r="M1010" s="30" t="s">
        <v>113</v>
      </c>
      <c r="N1010" s="30" t="s">
        <v>110</v>
      </c>
      <c r="O1010" s="30" t="s">
        <v>115</v>
      </c>
      <c r="P1010" s="30" t="s">
        <v>112</v>
      </c>
      <c r="Q1010" s="30" t="s">
        <v>112</v>
      </c>
      <c r="R1010" s="30" t="s">
        <v>185</v>
      </c>
      <c r="S1010" s="81">
        <f>HLOOKUP(L1010,データについて!$J$6:$M$18,13,FALSE)</f>
        <v>2</v>
      </c>
      <c r="T1010" s="81">
        <f>HLOOKUP(M1010,データについて!$J$7:$M$18,12,FALSE)</f>
        <v>1</v>
      </c>
      <c r="U1010" s="81">
        <f>HLOOKUP(N1010,データについて!$J$8:$M$18,11,FALSE)</f>
        <v>2</v>
      </c>
      <c r="V1010" s="81">
        <f>HLOOKUP(O1010,データについて!$J$9:$M$18,10,FALSE)</f>
        <v>1</v>
      </c>
      <c r="W1010" s="81">
        <f>HLOOKUP(P1010,データについて!$J$10:$M$18,9,FALSE)</f>
        <v>1</v>
      </c>
      <c r="X1010" s="81">
        <f>HLOOKUP(Q1010,データについて!$J$11:$M$18,8,FALSE)</f>
        <v>1</v>
      </c>
      <c r="Y1010" s="81">
        <f>HLOOKUP(R1010,データについて!$J$12:$M$18,7,FALSE)</f>
        <v>2</v>
      </c>
      <c r="Z1010" s="81">
        <f>HLOOKUP(I1010,データについて!$J$3:$M$18,16,FALSE)</f>
        <v>1</v>
      </c>
      <c r="AA1010" s="81">
        <f>IFERROR(HLOOKUP(J1010,データについて!$J$4:$AH$19,16,FALSE),"")</f>
        <v>7</v>
      </c>
      <c r="AB1010" s="81" t="str">
        <f>IFERROR(HLOOKUP(K1010,データについて!$J$5:$AH$20,14,FALSE),"")</f>
        <v/>
      </c>
      <c r="AC1010" s="81">
        <f>IF(X1010=1,HLOOKUP(R1010,データについて!$J$12:$M$18,7,FALSE),"*")</f>
        <v>2</v>
      </c>
      <c r="AD1010" s="81" t="str">
        <f>IF(X1010=2,HLOOKUP(R1010,データについて!$J$12:$M$18,7,FALSE),"*")</f>
        <v>*</v>
      </c>
    </row>
    <row r="1011" spans="1:30">
      <c r="A1011" s="30">
        <v>4181</v>
      </c>
      <c r="B1011" s="30" t="s">
        <v>3481</v>
      </c>
      <c r="C1011" s="30" t="s">
        <v>3482</v>
      </c>
      <c r="D1011" s="30" t="s">
        <v>106</v>
      </c>
      <c r="E1011" s="30"/>
      <c r="F1011" s="30" t="s">
        <v>107</v>
      </c>
      <c r="G1011" s="30" t="s">
        <v>106</v>
      </c>
      <c r="H1011" s="30"/>
      <c r="I1011" s="30" t="s">
        <v>192</v>
      </c>
      <c r="J1011" s="30" t="s">
        <v>942</v>
      </c>
      <c r="K1011" s="30"/>
      <c r="L1011" s="30" t="s">
        <v>117</v>
      </c>
      <c r="M1011" s="30" t="s">
        <v>113</v>
      </c>
      <c r="N1011" s="30" t="s">
        <v>114</v>
      </c>
      <c r="O1011" s="30" t="s">
        <v>123</v>
      </c>
      <c r="P1011" s="30" t="s">
        <v>112</v>
      </c>
      <c r="Q1011" s="30" t="s">
        <v>112</v>
      </c>
      <c r="R1011" s="30" t="s">
        <v>183</v>
      </c>
      <c r="S1011" s="81">
        <f>HLOOKUP(L1011,データについて!$J$6:$M$18,13,FALSE)</f>
        <v>2</v>
      </c>
      <c r="T1011" s="81">
        <f>HLOOKUP(M1011,データについて!$J$7:$M$18,12,FALSE)</f>
        <v>1</v>
      </c>
      <c r="U1011" s="81">
        <f>HLOOKUP(N1011,データについて!$J$8:$M$18,11,FALSE)</f>
        <v>1</v>
      </c>
      <c r="V1011" s="81">
        <f>HLOOKUP(O1011,データについて!$J$9:$M$18,10,FALSE)</f>
        <v>4</v>
      </c>
      <c r="W1011" s="81">
        <f>HLOOKUP(P1011,データについて!$J$10:$M$18,9,FALSE)</f>
        <v>1</v>
      </c>
      <c r="X1011" s="81">
        <f>HLOOKUP(Q1011,データについて!$J$11:$M$18,8,FALSE)</f>
        <v>1</v>
      </c>
      <c r="Y1011" s="81">
        <f>HLOOKUP(R1011,データについて!$J$12:$M$18,7,FALSE)</f>
        <v>1</v>
      </c>
      <c r="Z1011" s="81">
        <f>HLOOKUP(I1011,データについて!$J$3:$M$18,16,FALSE)</f>
        <v>1</v>
      </c>
      <c r="AA1011" s="81">
        <f>IFERROR(HLOOKUP(J1011,データについて!$J$4:$AH$19,16,FALSE),"")</f>
        <v>7</v>
      </c>
      <c r="AB1011" s="81" t="str">
        <f>IFERROR(HLOOKUP(K1011,データについて!$J$5:$AH$20,14,FALSE),"")</f>
        <v/>
      </c>
      <c r="AC1011" s="81">
        <f>IF(X1011=1,HLOOKUP(R1011,データについて!$J$12:$M$18,7,FALSE),"*")</f>
        <v>1</v>
      </c>
      <c r="AD1011" s="81" t="str">
        <f>IF(X1011=2,HLOOKUP(R1011,データについて!$J$12:$M$18,7,FALSE),"*")</f>
        <v>*</v>
      </c>
    </row>
    <row r="1012" spans="1:30">
      <c r="A1012" s="30">
        <v>4180</v>
      </c>
      <c r="B1012" s="30" t="s">
        <v>3483</v>
      </c>
      <c r="C1012" s="30" t="s">
        <v>3484</v>
      </c>
      <c r="D1012" s="30" t="s">
        <v>106</v>
      </c>
      <c r="E1012" s="30"/>
      <c r="F1012" s="30" t="s">
        <v>107</v>
      </c>
      <c r="G1012" s="30" t="s">
        <v>106</v>
      </c>
      <c r="H1012" s="30"/>
      <c r="I1012" s="30" t="s">
        <v>192</v>
      </c>
      <c r="J1012" s="30" t="s">
        <v>942</v>
      </c>
      <c r="K1012" s="30"/>
      <c r="L1012" s="30" t="s">
        <v>108</v>
      </c>
      <c r="M1012" s="30" t="s">
        <v>113</v>
      </c>
      <c r="N1012" s="30" t="s">
        <v>114</v>
      </c>
      <c r="O1012" s="30" t="s">
        <v>115</v>
      </c>
      <c r="P1012" s="30" t="s">
        <v>112</v>
      </c>
      <c r="Q1012" s="30" t="s">
        <v>112</v>
      </c>
      <c r="R1012" s="30" t="s">
        <v>185</v>
      </c>
      <c r="S1012" s="81">
        <f>HLOOKUP(L1012,データについて!$J$6:$M$18,13,FALSE)</f>
        <v>1</v>
      </c>
      <c r="T1012" s="81">
        <f>HLOOKUP(M1012,データについて!$J$7:$M$18,12,FALSE)</f>
        <v>1</v>
      </c>
      <c r="U1012" s="81">
        <f>HLOOKUP(N1012,データについて!$J$8:$M$18,11,FALSE)</f>
        <v>1</v>
      </c>
      <c r="V1012" s="81">
        <f>HLOOKUP(O1012,データについて!$J$9:$M$18,10,FALSE)</f>
        <v>1</v>
      </c>
      <c r="W1012" s="81">
        <f>HLOOKUP(P1012,データについて!$J$10:$M$18,9,FALSE)</f>
        <v>1</v>
      </c>
      <c r="X1012" s="81">
        <f>HLOOKUP(Q1012,データについて!$J$11:$M$18,8,FALSE)</f>
        <v>1</v>
      </c>
      <c r="Y1012" s="81">
        <f>HLOOKUP(R1012,データについて!$J$12:$M$18,7,FALSE)</f>
        <v>2</v>
      </c>
      <c r="Z1012" s="81">
        <f>HLOOKUP(I1012,データについて!$J$3:$M$18,16,FALSE)</f>
        <v>1</v>
      </c>
      <c r="AA1012" s="81">
        <f>IFERROR(HLOOKUP(J1012,データについて!$J$4:$AH$19,16,FALSE),"")</f>
        <v>7</v>
      </c>
      <c r="AB1012" s="81" t="str">
        <f>IFERROR(HLOOKUP(K1012,データについて!$J$5:$AH$20,14,FALSE),"")</f>
        <v/>
      </c>
      <c r="AC1012" s="81">
        <f>IF(X1012=1,HLOOKUP(R1012,データについて!$J$12:$M$18,7,FALSE),"*")</f>
        <v>2</v>
      </c>
      <c r="AD1012" s="81" t="str">
        <f>IF(X1012=2,HLOOKUP(R1012,データについて!$J$12:$M$18,7,FALSE),"*")</f>
        <v>*</v>
      </c>
    </row>
    <row r="1013" spans="1:30">
      <c r="A1013" s="30">
        <v>4179</v>
      </c>
      <c r="B1013" s="30" t="s">
        <v>3485</v>
      </c>
      <c r="C1013" s="30" t="s">
        <v>3486</v>
      </c>
      <c r="D1013" s="30" t="s">
        <v>106</v>
      </c>
      <c r="E1013" s="30"/>
      <c r="F1013" s="30" t="s">
        <v>107</v>
      </c>
      <c r="G1013" s="30" t="s">
        <v>106</v>
      </c>
      <c r="H1013" s="30"/>
      <c r="I1013" s="30" t="s">
        <v>192</v>
      </c>
      <c r="J1013" s="30" t="s">
        <v>942</v>
      </c>
      <c r="K1013" s="30"/>
      <c r="L1013" s="30" t="s">
        <v>117</v>
      </c>
      <c r="M1013" s="30" t="s">
        <v>113</v>
      </c>
      <c r="N1013" s="30" t="s">
        <v>114</v>
      </c>
      <c r="O1013" s="30" t="s">
        <v>115</v>
      </c>
      <c r="P1013" s="30" t="s">
        <v>112</v>
      </c>
      <c r="Q1013" s="30" t="s">
        <v>112</v>
      </c>
      <c r="R1013" s="30" t="s">
        <v>185</v>
      </c>
      <c r="S1013" s="81">
        <f>HLOOKUP(L1013,データについて!$J$6:$M$18,13,FALSE)</f>
        <v>2</v>
      </c>
      <c r="T1013" s="81">
        <f>HLOOKUP(M1013,データについて!$J$7:$M$18,12,FALSE)</f>
        <v>1</v>
      </c>
      <c r="U1013" s="81">
        <f>HLOOKUP(N1013,データについて!$J$8:$M$18,11,FALSE)</f>
        <v>1</v>
      </c>
      <c r="V1013" s="81">
        <f>HLOOKUP(O1013,データについて!$J$9:$M$18,10,FALSE)</f>
        <v>1</v>
      </c>
      <c r="W1013" s="81">
        <f>HLOOKUP(P1013,データについて!$J$10:$M$18,9,FALSE)</f>
        <v>1</v>
      </c>
      <c r="X1013" s="81">
        <f>HLOOKUP(Q1013,データについて!$J$11:$M$18,8,FALSE)</f>
        <v>1</v>
      </c>
      <c r="Y1013" s="81">
        <f>HLOOKUP(R1013,データについて!$J$12:$M$18,7,FALSE)</f>
        <v>2</v>
      </c>
      <c r="Z1013" s="81">
        <f>HLOOKUP(I1013,データについて!$J$3:$M$18,16,FALSE)</f>
        <v>1</v>
      </c>
      <c r="AA1013" s="81">
        <f>IFERROR(HLOOKUP(J1013,データについて!$J$4:$AH$19,16,FALSE),"")</f>
        <v>7</v>
      </c>
      <c r="AB1013" s="81" t="str">
        <f>IFERROR(HLOOKUP(K1013,データについて!$J$5:$AH$20,14,FALSE),"")</f>
        <v/>
      </c>
      <c r="AC1013" s="81">
        <f>IF(X1013=1,HLOOKUP(R1013,データについて!$J$12:$M$18,7,FALSE),"*")</f>
        <v>2</v>
      </c>
      <c r="AD1013" s="81" t="str">
        <f>IF(X1013=2,HLOOKUP(R1013,データについて!$J$12:$M$18,7,FALSE),"*")</f>
        <v>*</v>
      </c>
    </row>
    <row r="1014" spans="1:30">
      <c r="A1014" s="30">
        <v>4178</v>
      </c>
      <c r="B1014" s="30" t="s">
        <v>3487</v>
      </c>
      <c r="C1014" s="30" t="s">
        <v>3488</v>
      </c>
      <c r="D1014" s="30" t="s">
        <v>106</v>
      </c>
      <c r="E1014" s="30"/>
      <c r="F1014" s="30" t="s">
        <v>107</v>
      </c>
      <c r="G1014" s="30" t="s">
        <v>106</v>
      </c>
      <c r="H1014" s="30"/>
      <c r="I1014" s="30" t="s">
        <v>192</v>
      </c>
      <c r="J1014" s="30" t="s">
        <v>942</v>
      </c>
      <c r="K1014" s="30"/>
      <c r="L1014" s="30" t="s">
        <v>108</v>
      </c>
      <c r="M1014" s="30" t="s">
        <v>113</v>
      </c>
      <c r="N1014" s="30" t="s">
        <v>110</v>
      </c>
      <c r="O1014" s="30" t="s">
        <v>115</v>
      </c>
      <c r="P1014" s="30" t="s">
        <v>112</v>
      </c>
      <c r="Q1014" s="30" t="s">
        <v>112</v>
      </c>
      <c r="R1014" s="30" t="s">
        <v>183</v>
      </c>
      <c r="S1014" s="81">
        <f>HLOOKUP(L1014,データについて!$J$6:$M$18,13,FALSE)</f>
        <v>1</v>
      </c>
      <c r="T1014" s="81">
        <f>HLOOKUP(M1014,データについて!$J$7:$M$18,12,FALSE)</f>
        <v>1</v>
      </c>
      <c r="U1014" s="81">
        <f>HLOOKUP(N1014,データについて!$J$8:$M$18,11,FALSE)</f>
        <v>2</v>
      </c>
      <c r="V1014" s="81">
        <f>HLOOKUP(O1014,データについて!$J$9:$M$18,10,FALSE)</f>
        <v>1</v>
      </c>
      <c r="W1014" s="81">
        <f>HLOOKUP(P1014,データについて!$J$10:$M$18,9,FALSE)</f>
        <v>1</v>
      </c>
      <c r="X1014" s="81">
        <f>HLOOKUP(Q1014,データについて!$J$11:$M$18,8,FALSE)</f>
        <v>1</v>
      </c>
      <c r="Y1014" s="81">
        <f>HLOOKUP(R1014,データについて!$J$12:$M$18,7,FALSE)</f>
        <v>1</v>
      </c>
      <c r="Z1014" s="81">
        <f>HLOOKUP(I1014,データについて!$J$3:$M$18,16,FALSE)</f>
        <v>1</v>
      </c>
      <c r="AA1014" s="81">
        <f>IFERROR(HLOOKUP(J1014,データについて!$J$4:$AH$19,16,FALSE),"")</f>
        <v>7</v>
      </c>
      <c r="AB1014" s="81" t="str">
        <f>IFERROR(HLOOKUP(K1014,データについて!$J$5:$AH$20,14,FALSE),"")</f>
        <v/>
      </c>
      <c r="AC1014" s="81">
        <f>IF(X1014=1,HLOOKUP(R1014,データについて!$J$12:$M$18,7,FALSE),"*")</f>
        <v>1</v>
      </c>
      <c r="AD1014" s="81" t="str">
        <f>IF(X1014=2,HLOOKUP(R1014,データについて!$J$12:$M$18,7,FALSE),"*")</f>
        <v>*</v>
      </c>
    </row>
    <row r="1015" spans="1:30">
      <c r="A1015" s="30">
        <v>4177</v>
      </c>
      <c r="B1015" s="30" t="s">
        <v>3489</v>
      </c>
      <c r="C1015" s="30" t="s">
        <v>3490</v>
      </c>
      <c r="D1015" s="30" t="s">
        <v>106</v>
      </c>
      <c r="E1015" s="30"/>
      <c r="F1015" s="30" t="s">
        <v>107</v>
      </c>
      <c r="G1015" s="30" t="s">
        <v>106</v>
      </c>
      <c r="H1015" s="30"/>
      <c r="I1015" s="30" t="s">
        <v>192</v>
      </c>
      <c r="J1015" s="30" t="s">
        <v>942</v>
      </c>
      <c r="K1015" s="30"/>
      <c r="L1015" s="30" t="s">
        <v>117</v>
      </c>
      <c r="M1015" s="30" t="s">
        <v>109</v>
      </c>
      <c r="N1015" s="30" t="s">
        <v>114</v>
      </c>
      <c r="O1015" s="30" t="s">
        <v>115</v>
      </c>
      <c r="P1015" s="30" t="s">
        <v>112</v>
      </c>
      <c r="Q1015" s="30" t="s">
        <v>112</v>
      </c>
      <c r="R1015" s="30" t="s">
        <v>185</v>
      </c>
      <c r="S1015" s="81">
        <f>HLOOKUP(L1015,データについて!$J$6:$M$18,13,FALSE)</f>
        <v>2</v>
      </c>
      <c r="T1015" s="81">
        <f>HLOOKUP(M1015,データについて!$J$7:$M$18,12,FALSE)</f>
        <v>2</v>
      </c>
      <c r="U1015" s="81">
        <f>HLOOKUP(N1015,データについて!$J$8:$M$18,11,FALSE)</f>
        <v>1</v>
      </c>
      <c r="V1015" s="81">
        <f>HLOOKUP(O1015,データについて!$J$9:$M$18,10,FALSE)</f>
        <v>1</v>
      </c>
      <c r="W1015" s="81">
        <f>HLOOKUP(P1015,データについて!$J$10:$M$18,9,FALSE)</f>
        <v>1</v>
      </c>
      <c r="X1015" s="81">
        <f>HLOOKUP(Q1015,データについて!$J$11:$M$18,8,FALSE)</f>
        <v>1</v>
      </c>
      <c r="Y1015" s="81">
        <f>HLOOKUP(R1015,データについて!$J$12:$M$18,7,FALSE)</f>
        <v>2</v>
      </c>
      <c r="Z1015" s="81">
        <f>HLOOKUP(I1015,データについて!$J$3:$M$18,16,FALSE)</f>
        <v>1</v>
      </c>
      <c r="AA1015" s="81">
        <f>IFERROR(HLOOKUP(J1015,データについて!$J$4:$AH$19,16,FALSE),"")</f>
        <v>7</v>
      </c>
      <c r="AB1015" s="81" t="str">
        <f>IFERROR(HLOOKUP(K1015,データについて!$J$5:$AH$20,14,FALSE),"")</f>
        <v/>
      </c>
      <c r="AC1015" s="81">
        <f>IF(X1015=1,HLOOKUP(R1015,データについて!$J$12:$M$18,7,FALSE),"*")</f>
        <v>2</v>
      </c>
      <c r="AD1015" s="81" t="str">
        <f>IF(X1015=2,HLOOKUP(R1015,データについて!$J$12:$M$18,7,FALSE),"*")</f>
        <v>*</v>
      </c>
    </row>
    <row r="1016" spans="1:30">
      <c r="A1016" s="30">
        <v>4176</v>
      </c>
      <c r="B1016" s="30" t="s">
        <v>3491</v>
      </c>
      <c r="C1016" s="30" t="s">
        <v>3492</v>
      </c>
      <c r="D1016" s="30" t="s">
        <v>106</v>
      </c>
      <c r="E1016" s="30"/>
      <c r="F1016" s="30" t="s">
        <v>107</v>
      </c>
      <c r="G1016" s="30" t="s">
        <v>106</v>
      </c>
      <c r="H1016" s="30"/>
      <c r="I1016" s="30" t="s">
        <v>192</v>
      </c>
      <c r="J1016" s="30" t="s">
        <v>942</v>
      </c>
      <c r="K1016" s="30"/>
      <c r="L1016" s="30" t="s">
        <v>108</v>
      </c>
      <c r="M1016" s="30" t="s">
        <v>113</v>
      </c>
      <c r="N1016" s="30" t="s">
        <v>114</v>
      </c>
      <c r="O1016" s="30" t="s">
        <v>115</v>
      </c>
      <c r="P1016" s="30" t="s">
        <v>112</v>
      </c>
      <c r="Q1016" s="30" t="s">
        <v>112</v>
      </c>
      <c r="R1016" s="30" t="s">
        <v>185</v>
      </c>
      <c r="S1016" s="81">
        <f>HLOOKUP(L1016,データについて!$J$6:$M$18,13,FALSE)</f>
        <v>1</v>
      </c>
      <c r="T1016" s="81">
        <f>HLOOKUP(M1016,データについて!$J$7:$M$18,12,FALSE)</f>
        <v>1</v>
      </c>
      <c r="U1016" s="81">
        <f>HLOOKUP(N1016,データについて!$J$8:$M$18,11,FALSE)</f>
        <v>1</v>
      </c>
      <c r="V1016" s="81">
        <f>HLOOKUP(O1016,データについて!$J$9:$M$18,10,FALSE)</f>
        <v>1</v>
      </c>
      <c r="W1016" s="81">
        <f>HLOOKUP(P1016,データについて!$J$10:$M$18,9,FALSE)</f>
        <v>1</v>
      </c>
      <c r="X1016" s="81">
        <f>HLOOKUP(Q1016,データについて!$J$11:$M$18,8,FALSE)</f>
        <v>1</v>
      </c>
      <c r="Y1016" s="81">
        <f>HLOOKUP(R1016,データについて!$J$12:$M$18,7,FALSE)</f>
        <v>2</v>
      </c>
      <c r="Z1016" s="81">
        <f>HLOOKUP(I1016,データについて!$J$3:$M$18,16,FALSE)</f>
        <v>1</v>
      </c>
      <c r="AA1016" s="81">
        <f>IFERROR(HLOOKUP(J1016,データについて!$J$4:$AH$19,16,FALSE),"")</f>
        <v>7</v>
      </c>
      <c r="AB1016" s="81" t="str">
        <f>IFERROR(HLOOKUP(K1016,データについて!$J$5:$AH$20,14,FALSE),"")</f>
        <v/>
      </c>
      <c r="AC1016" s="81">
        <f>IF(X1016=1,HLOOKUP(R1016,データについて!$J$12:$M$18,7,FALSE),"*")</f>
        <v>2</v>
      </c>
      <c r="AD1016" s="81" t="str">
        <f>IF(X1016=2,HLOOKUP(R1016,データについて!$J$12:$M$18,7,FALSE),"*")</f>
        <v>*</v>
      </c>
    </row>
    <row r="1017" spans="1:30">
      <c r="A1017" s="30">
        <v>4175</v>
      </c>
      <c r="B1017" s="30" t="s">
        <v>3493</v>
      </c>
      <c r="C1017" s="30" t="s">
        <v>3494</v>
      </c>
      <c r="D1017" s="30" t="s">
        <v>106</v>
      </c>
      <c r="E1017" s="30"/>
      <c r="F1017" s="30" t="s">
        <v>107</v>
      </c>
      <c r="G1017" s="30" t="s">
        <v>106</v>
      </c>
      <c r="H1017" s="30"/>
      <c r="I1017" s="30" t="s">
        <v>192</v>
      </c>
      <c r="J1017" s="30" t="s">
        <v>942</v>
      </c>
      <c r="K1017" s="30"/>
      <c r="L1017" s="30" t="s">
        <v>117</v>
      </c>
      <c r="M1017" s="30" t="s">
        <v>113</v>
      </c>
      <c r="N1017" s="30" t="s">
        <v>114</v>
      </c>
      <c r="O1017" s="30" t="s">
        <v>115</v>
      </c>
      <c r="P1017" s="30" t="s">
        <v>112</v>
      </c>
      <c r="Q1017" s="30" t="s">
        <v>112</v>
      </c>
      <c r="R1017" s="30" t="s">
        <v>185</v>
      </c>
      <c r="S1017" s="81">
        <f>HLOOKUP(L1017,データについて!$J$6:$M$18,13,FALSE)</f>
        <v>2</v>
      </c>
      <c r="T1017" s="81">
        <f>HLOOKUP(M1017,データについて!$J$7:$M$18,12,FALSE)</f>
        <v>1</v>
      </c>
      <c r="U1017" s="81">
        <f>HLOOKUP(N1017,データについて!$J$8:$M$18,11,FALSE)</f>
        <v>1</v>
      </c>
      <c r="V1017" s="81">
        <f>HLOOKUP(O1017,データについて!$J$9:$M$18,10,FALSE)</f>
        <v>1</v>
      </c>
      <c r="W1017" s="81">
        <f>HLOOKUP(P1017,データについて!$J$10:$M$18,9,FALSE)</f>
        <v>1</v>
      </c>
      <c r="X1017" s="81">
        <f>HLOOKUP(Q1017,データについて!$J$11:$M$18,8,FALSE)</f>
        <v>1</v>
      </c>
      <c r="Y1017" s="81">
        <f>HLOOKUP(R1017,データについて!$J$12:$M$18,7,FALSE)</f>
        <v>2</v>
      </c>
      <c r="Z1017" s="81">
        <f>HLOOKUP(I1017,データについて!$J$3:$M$18,16,FALSE)</f>
        <v>1</v>
      </c>
      <c r="AA1017" s="81">
        <f>IFERROR(HLOOKUP(J1017,データについて!$J$4:$AH$19,16,FALSE),"")</f>
        <v>7</v>
      </c>
      <c r="AB1017" s="81" t="str">
        <f>IFERROR(HLOOKUP(K1017,データについて!$J$5:$AH$20,14,FALSE),"")</f>
        <v/>
      </c>
      <c r="AC1017" s="81">
        <f>IF(X1017=1,HLOOKUP(R1017,データについて!$J$12:$M$18,7,FALSE),"*")</f>
        <v>2</v>
      </c>
      <c r="AD1017" s="81" t="str">
        <f>IF(X1017=2,HLOOKUP(R1017,データについて!$J$12:$M$18,7,FALSE),"*")</f>
        <v>*</v>
      </c>
    </row>
    <row r="1018" spans="1:30">
      <c r="A1018" s="30">
        <v>4174</v>
      </c>
      <c r="B1018" s="30" t="s">
        <v>3495</v>
      </c>
      <c r="C1018" s="30" t="s">
        <v>3496</v>
      </c>
      <c r="D1018" s="30" t="s">
        <v>106</v>
      </c>
      <c r="E1018" s="30"/>
      <c r="F1018" s="30" t="s">
        <v>107</v>
      </c>
      <c r="G1018" s="30" t="s">
        <v>106</v>
      </c>
      <c r="H1018" s="30"/>
      <c r="I1018" s="30" t="s">
        <v>192</v>
      </c>
      <c r="J1018" s="30" t="s">
        <v>942</v>
      </c>
      <c r="K1018" s="30"/>
      <c r="L1018" s="30" t="s">
        <v>117</v>
      </c>
      <c r="M1018" s="30" t="s">
        <v>113</v>
      </c>
      <c r="N1018" s="30" t="s">
        <v>114</v>
      </c>
      <c r="O1018" s="30" t="s">
        <v>115</v>
      </c>
      <c r="P1018" s="30" t="s">
        <v>112</v>
      </c>
      <c r="Q1018" s="30" t="s">
        <v>112</v>
      </c>
      <c r="R1018" s="30" t="s">
        <v>185</v>
      </c>
      <c r="S1018" s="81">
        <f>HLOOKUP(L1018,データについて!$J$6:$M$18,13,FALSE)</f>
        <v>2</v>
      </c>
      <c r="T1018" s="81">
        <f>HLOOKUP(M1018,データについて!$J$7:$M$18,12,FALSE)</f>
        <v>1</v>
      </c>
      <c r="U1018" s="81">
        <f>HLOOKUP(N1018,データについて!$J$8:$M$18,11,FALSE)</f>
        <v>1</v>
      </c>
      <c r="V1018" s="81">
        <f>HLOOKUP(O1018,データについて!$J$9:$M$18,10,FALSE)</f>
        <v>1</v>
      </c>
      <c r="W1018" s="81">
        <f>HLOOKUP(P1018,データについて!$J$10:$M$18,9,FALSE)</f>
        <v>1</v>
      </c>
      <c r="X1018" s="81">
        <f>HLOOKUP(Q1018,データについて!$J$11:$M$18,8,FALSE)</f>
        <v>1</v>
      </c>
      <c r="Y1018" s="81">
        <f>HLOOKUP(R1018,データについて!$J$12:$M$18,7,FALSE)</f>
        <v>2</v>
      </c>
      <c r="Z1018" s="81">
        <f>HLOOKUP(I1018,データについて!$J$3:$M$18,16,FALSE)</f>
        <v>1</v>
      </c>
      <c r="AA1018" s="81">
        <f>IFERROR(HLOOKUP(J1018,データについて!$J$4:$AH$19,16,FALSE),"")</f>
        <v>7</v>
      </c>
      <c r="AB1018" s="81" t="str">
        <f>IFERROR(HLOOKUP(K1018,データについて!$J$5:$AH$20,14,FALSE),"")</f>
        <v/>
      </c>
      <c r="AC1018" s="81">
        <f>IF(X1018=1,HLOOKUP(R1018,データについて!$J$12:$M$18,7,FALSE),"*")</f>
        <v>2</v>
      </c>
      <c r="AD1018" s="81" t="str">
        <f>IF(X1018=2,HLOOKUP(R1018,データについて!$J$12:$M$18,7,FALSE),"*")</f>
        <v>*</v>
      </c>
    </row>
    <row r="1019" spans="1:30">
      <c r="A1019" s="30">
        <v>4173</v>
      </c>
      <c r="B1019" s="30" t="s">
        <v>3497</v>
      </c>
      <c r="C1019" s="30" t="s">
        <v>3498</v>
      </c>
      <c r="D1019" s="30" t="s">
        <v>106</v>
      </c>
      <c r="E1019" s="30"/>
      <c r="F1019" s="30" t="s">
        <v>107</v>
      </c>
      <c r="G1019" s="30" t="s">
        <v>106</v>
      </c>
      <c r="H1019" s="30"/>
      <c r="I1019" s="30" t="s">
        <v>192</v>
      </c>
      <c r="J1019" s="30" t="s">
        <v>942</v>
      </c>
      <c r="K1019" s="30"/>
      <c r="L1019" s="30" t="s">
        <v>117</v>
      </c>
      <c r="M1019" s="30" t="s">
        <v>113</v>
      </c>
      <c r="N1019" s="30" t="s">
        <v>110</v>
      </c>
      <c r="O1019" s="30" t="s">
        <v>115</v>
      </c>
      <c r="P1019" s="30" t="s">
        <v>112</v>
      </c>
      <c r="Q1019" s="30" t="s">
        <v>112</v>
      </c>
      <c r="R1019" s="30" t="s">
        <v>185</v>
      </c>
      <c r="S1019" s="81">
        <f>HLOOKUP(L1019,データについて!$J$6:$M$18,13,FALSE)</f>
        <v>2</v>
      </c>
      <c r="T1019" s="81">
        <f>HLOOKUP(M1019,データについて!$J$7:$M$18,12,FALSE)</f>
        <v>1</v>
      </c>
      <c r="U1019" s="81">
        <f>HLOOKUP(N1019,データについて!$J$8:$M$18,11,FALSE)</f>
        <v>2</v>
      </c>
      <c r="V1019" s="81">
        <f>HLOOKUP(O1019,データについて!$J$9:$M$18,10,FALSE)</f>
        <v>1</v>
      </c>
      <c r="W1019" s="81">
        <f>HLOOKUP(P1019,データについて!$J$10:$M$18,9,FALSE)</f>
        <v>1</v>
      </c>
      <c r="X1019" s="81">
        <f>HLOOKUP(Q1019,データについて!$J$11:$M$18,8,FALSE)</f>
        <v>1</v>
      </c>
      <c r="Y1019" s="81">
        <f>HLOOKUP(R1019,データについて!$J$12:$M$18,7,FALSE)</f>
        <v>2</v>
      </c>
      <c r="Z1019" s="81">
        <f>HLOOKUP(I1019,データについて!$J$3:$M$18,16,FALSE)</f>
        <v>1</v>
      </c>
      <c r="AA1019" s="81">
        <f>IFERROR(HLOOKUP(J1019,データについて!$J$4:$AH$19,16,FALSE),"")</f>
        <v>7</v>
      </c>
      <c r="AB1019" s="81" t="str">
        <f>IFERROR(HLOOKUP(K1019,データについて!$J$5:$AH$20,14,FALSE),"")</f>
        <v/>
      </c>
      <c r="AC1019" s="81">
        <f>IF(X1019=1,HLOOKUP(R1019,データについて!$J$12:$M$18,7,FALSE),"*")</f>
        <v>2</v>
      </c>
      <c r="AD1019" s="81" t="str">
        <f>IF(X1019=2,HLOOKUP(R1019,データについて!$J$12:$M$18,7,FALSE),"*")</f>
        <v>*</v>
      </c>
    </row>
    <row r="1020" spans="1:30">
      <c r="A1020" s="30">
        <v>4172</v>
      </c>
      <c r="B1020" s="30" t="s">
        <v>3499</v>
      </c>
      <c r="C1020" s="30" t="s">
        <v>3500</v>
      </c>
      <c r="D1020" s="30" t="s">
        <v>106</v>
      </c>
      <c r="E1020" s="30"/>
      <c r="F1020" s="30" t="s">
        <v>107</v>
      </c>
      <c r="G1020" s="30" t="s">
        <v>106</v>
      </c>
      <c r="H1020" s="30"/>
      <c r="I1020" s="30" t="s">
        <v>192</v>
      </c>
      <c r="J1020" s="30" t="s">
        <v>942</v>
      </c>
      <c r="K1020" s="30"/>
      <c r="L1020" s="30" t="s">
        <v>108</v>
      </c>
      <c r="M1020" s="30" t="s">
        <v>109</v>
      </c>
      <c r="N1020" s="30" t="s">
        <v>114</v>
      </c>
      <c r="O1020" s="30" t="s">
        <v>115</v>
      </c>
      <c r="P1020" s="30" t="s">
        <v>112</v>
      </c>
      <c r="Q1020" s="30" t="s">
        <v>118</v>
      </c>
      <c r="R1020" s="30" t="s">
        <v>187</v>
      </c>
      <c r="S1020" s="81">
        <f>HLOOKUP(L1020,データについて!$J$6:$M$18,13,FALSE)</f>
        <v>1</v>
      </c>
      <c r="T1020" s="81">
        <f>HLOOKUP(M1020,データについて!$J$7:$M$18,12,FALSE)</f>
        <v>2</v>
      </c>
      <c r="U1020" s="81">
        <f>HLOOKUP(N1020,データについて!$J$8:$M$18,11,FALSE)</f>
        <v>1</v>
      </c>
      <c r="V1020" s="81">
        <f>HLOOKUP(O1020,データについて!$J$9:$M$18,10,FALSE)</f>
        <v>1</v>
      </c>
      <c r="W1020" s="81">
        <f>HLOOKUP(P1020,データについて!$J$10:$M$18,9,FALSE)</f>
        <v>1</v>
      </c>
      <c r="X1020" s="81">
        <f>HLOOKUP(Q1020,データについて!$J$11:$M$18,8,FALSE)</f>
        <v>2</v>
      </c>
      <c r="Y1020" s="81">
        <f>HLOOKUP(R1020,データについて!$J$12:$M$18,7,FALSE)</f>
        <v>3</v>
      </c>
      <c r="Z1020" s="81">
        <f>HLOOKUP(I1020,データについて!$J$3:$M$18,16,FALSE)</f>
        <v>1</v>
      </c>
      <c r="AA1020" s="81">
        <f>IFERROR(HLOOKUP(J1020,データについて!$J$4:$AH$19,16,FALSE),"")</f>
        <v>7</v>
      </c>
      <c r="AB1020" s="81" t="str">
        <f>IFERROR(HLOOKUP(K1020,データについて!$J$5:$AH$20,14,FALSE),"")</f>
        <v/>
      </c>
      <c r="AC1020" s="81" t="str">
        <f>IF(X1020=1,HLOOKUP(R1020,データについて!$J$12:$M$18,7,FALSE),"*")</f>
        <v>*</v>
      </c>
      <c r="AD1020" s="81">
        <f>IF(X1020=2,HLOOKUP(R1020,データについて!$J$12:$M$18,7,FALSE),"*")</f>
        <v>3</v>
      </c>
    </row>
    <row r="1021" spans="1:30">
      <c r="A1021" s="30">
        <v>4171</v>
      </c>
      <c r="B1021" s="30" t="s">
        <v>3501</v>
      </c>
      <c r="C1021" s="30" t="s">
        <v>3502</v>
      </c>
      <c r="D1021" s="30" t="s">
        <v>106</v>
      </c>
      <c r="E1021" s="30"/>
      <c r="F1021" s="30" t="s">
        <v>107</v>
      </c>
      <c r="G1021" s="30" t="s">
        <v>106</v>
      </c>
      <c r="H1021" s="30"/>
      <c r="I1021" s="30" t="s">
        <v>192</v>
      </c>
      <c r="J1021" s="30" t="s">
        <v>942</v>
      </c>
      <c r="K1021" s="30"/>
      <c r="L1021" s="30" t="s">
        <v>117</v>
      </c>
      <c r="M1021" s="30" t="s">
        <v>109</v>
      </c>
      <c r="N1021" s="30" t="s">
        <v>110</v>
      </c>
      <c r="O1021" s="30" t="s">
        <v>115</v>
      </c>
      <c r="P1021" s="30" t="s">
        <v>112</v>
      </c>
      <c r="Q1021" s="30" t="s">
        <v>112</v>
      </c>
      <c r="R1021" s="30" t="s">
        <v>185</v>
      </c>
      <c r="S1021" s="81">
        <f>HLOOKUP(L1021,データについて!$J$6:$M$18,13,FALSE)</f>
        <v>2</v>
      </c>
      <c r="T1021" s="81">
        <f>HLOOKUP(M1021,データについて!$J$7:$M$18,12,FALSE)</f>
        <v>2</v>
      </c>
      <c r="U1021" s="81">
        <f>HLOOKUP(N1021,データについて!$J$8:$M$18,11,FALSE)</f>
        <v>2</v>
      </c>
      <c r="V1021" s="81">
        <f>HLOOKUP(O1021,データについて!$J$9:$M$18,10,FALSE)</f>
        <v>1</v>
      </c>
      <c r="W1021" s="81">
        <f>HLOOKUP(P1021,データについて!$J$10:$M$18,9,FALSE)</f>
        <v>1</v>
      </c>
      <c r="X1021" s="81">
        <f>HLOOKUP(Q1021,データについて!$J$11:$M$18,8,FALSE)</f>
        <v>1</v>
      </c>
      <c r="Y1021" s="81">
        <f>HLOOKUP(R1021,データについて!$J$12:$M$18,7,FALSE)</f>
        <v>2</v>
      </c>
      <c r="Z1021" s="81">
        <f>HLOOKUP(I1021,データについて!$J$3:$M$18,16,FALSE)</f>
        <v>1</v>
      </c>
      <c r="AA1021" s="81">
        <f>IFERROR(HLOOKUP(J1021,データについて!$J$4:$AH$19,16,FALSE),"")</f>
        <v>7</v>
      </c>
      <c r="AB1021" s="81" t="str">
        <f>IFERROR(HLOOKUP(K1021,データについて!$J$5:$AH$20,14,FALSE),"")</f>
        <v/>
      </c>
      <c r="AC1021" s="81">
        <f>IF(X1021=1,HLOOKUP(R1021,データについて!$J$12:$M$18,7,FALSE),"*")</f>
        <v>2</v>
      </c>
      <c r="AD1021" s="81" t="str">
        <f>IF(X1021=2,HLOOKUP(R1021,データについて!$J$12:$M$18,7,FALSE),"*")</f>
        <v>*</v>
      </c>
    </row>
    <row r="1022" spans="1:30">
      <c r="A1022" s="30">
        <v>4170</v>
      </c>
      <c r="B1022" s="30" t="s">
        <v>3503</v>
      </c>
      <c r="C1022" s="30" t="s">
        <v>3502</v>
      </c>
      <c r="D1022" s="30" t="s">
        <v>106</v>
      </c>
      <c r="E1022" s="30"/>
      <c r="F1022" s="30" t="s">
        <v>107</v>
      </c>
      <c r="G1022" s="30" t="s">
        <v>106</v>
      </c>
      <c r="H1022" s="30"/>
      <c r="I1022" s="30" t="s">
        <v>192</v>
      </c>
      <c r="J1022" s="30" t="s">
        <v>942</v>
      </c>
      <c r="K1022" s="30"/>
      <c r="L1022" s="30" t="s">
        <v>108</v>
      </c>
      <c r="M1022" s="30" t="s">
        <v>113</v>
      </c>
      <c r="N1022" s="30" t="s">
        <v>110</v>
      </c>
      <c r="O1022" s="30" t="s">
        <v>115</v>
      </c>
      <c r="P1022" s="30" t="s">
        <v>112</v>
      </c>
      <c r="Q1022" s="30" t="s">
        <v>112</v>
      </c>
      <c r="R1022" s="30" t="s">
        <v>187</v>
      </c>
      <c r="S1022" s="81">
        <f>HLOOKUP(L1022,データについて!$J$6:$M$18,13,FALSE)</f>
        <v>1</v>
      </c>
      <c r="T1022" s="81">
        <f>HLOOKUP(M1022,データについて!$J$7:$M$18,12,FALSE)</f>
        <v>1</v>
      </c>
      <c r="U1022" s="81">
        <f>HLOOKUP(N1022,データについて!$J$8:$M$18,11,FALSE)</f>
        <v>2</v>
      </c>
      <c r="V1022" s="81">
        <f>HLOOKUP(O1022,データについて!$J$9:$M$18,10,FALSE)</f>
        <v>1</v>
      </c>
      <c r="W1022" s="81">
        <f>HLOOKUP(P1022,データについて!$J$10:$M$18,9,FALSE)</f>
        <v>1</v>
      </c>
      <c r="X1022" s="81">
        <f>HLOOKUP(Q1022,データについて!$J$11:$M$18,8,FALSE)</f>
        <v>1</v>
      </c>
      <c r="Y1022" s="81">
        <f>HLOOKUP(R1022,データについて!$J$12:$M$18,7,FALSE)</f>
        <v>3</v>
      </c>
      <c r="Z1022" s="81">
        <f>HLOOKUP(I1022,データについて!$J$3:$M$18,16,FALSE)</f>
        <v>1</v>
      </c>
      <c r="AA1022" s="81">
        <f>IFERROR(HLOOKUP(J1022,データについて!$J$4:$AH$19,16,FALSE),"")</f>
        <v>7</v>
      </c>
      <c r="AB1022" s="81" t="str">
        <f>IFERROR(HLOOKUP(K1022,データについて!$J$5:$AH$20,14,FALSE),"")</f>
        <v/>
      </c>
      <c r="AC1022" s="81">
        <f>IF(X1022=1,HLOOKUP(R1022,データについて!$J$12:$M$18,7,FALSE),"*")</f>
        <v>3</v>
      </c>
      <c r="AD1022" s="81" t="str">
        <f>IF(X1022=2,HLOOKUP(R1022,データについて!$J$12:$M$18,7,FALSE),"*")</f>
        <v>*</v>
      </c>
    </row>
    <row r="1023" spans="1:30">
      <c r="A1023" s="30">
        <v>4169</v>
      </c>
      <c r="B1023" s="30" t="s">
        <v>3504</v>
      </c>
      <c r="C1023" s="30" t="s">
        <v>3505</v>
      </c>
      <c r="D1023" s="30" t="s">
        <v>106</v>
      </c>
      <c r="E1023" s="30"/>
      <c r="F1023" s="30" t="s">
        <v>107</v>
      </c>
      <c r="G1023" s="30" t="s">
        <v>106</v>
      </c>
      <c r="H1023" s="30"/>
      <c r="I1023" s="30" t="s">
        <v>192</v>
      </c>
      <c r="J1023" s="30" t="s">
        <v>942</v>
      </c>
      <c r="K1023" s="30"/>
      <c r="L1023" s="30" t="s">
        <v>108</v>
      </c>
      <c r="M1023" s="30" t="s">
        <v>113</v>
      </c>
      <c r="N1023" s="30" t="s">
        <v>114</v>
      </c>
      <c r="O1023" s="30" t="s">
        <v>116</v>
      </c>
      <c r="P1023" s="30" t="s">
        <v>112</v>
      </c>
      <c r="Q1023" s="30" t="s">
        <v>112</v>
      </c>
      <c r="R1023" s="30" t="s">
        <v>183</v>
      </c>
      <c r="S1023" s="81">
        <f>HLOOKUP(L1023,データについて!$J$6:$M$18,13,FALSE)</f>
        <v>1</v>
      </c>
      <c r="T1023" s="81">
        <f>HLOOKUP(M1023,データについて!$J$7:$M$18,12,FALSE)</f>
        <v>1</v>
      </c>
      <c r="U1023" s="81">
        <f>HLOOKUP(N1023,データについて!$J$8:$M$18,11,FALSE)</f>
        <v>1</v>
      </c>
      <c r="V1023" s="81">
        <f>HLOOKUP(O1023,データについて!$J$9:$M$18,10,FALSE)</f>
        <v>2</v>
      </c>
      <c r="W1023" s="81">
        <f>HLOOKUP(P1023,データについて!$J$10:$M$18,9,FALSE)</f>
        <v>1</v>
      </c>
      <c r="X1023" s="81">
        <f>HLOOKUP(Q1023,データについて!$J$11:$M$18,8,FALSE)</f>
        <v>1</v>
      </c>
      <c r="Y1023" s="81">
        <f>HLOOKUP(R1023,データについて!$J$12:$M$18,7,FALSE)</f>
        <v>1</v>
      </c>
      <c r="Z1023" s="81">
        <f>HLOOKUP(I1023,データについて!$J$3:$M$18,16,FALSE)</f>
        <v>1</v>
      </c>
      <c r="AA1023" s="81">
        <f>IFERROR(HLOOKUP(J1023,データについて!$J$4:$AH$19,16,FALSE),"")</f>
        <v>7</v>
      </c>
      <c r="AB1023" s="81" t="str">
        <f>IFERROR(HLOOKUP(K1023,データについて!$J$5:$AH$20,14,FALSE),"")</f>
        <v/>
      </c>
      <c r="AC1023" s="81">
        <f>IF(X1023=1,HLOOKUP(R1023,データについて!$J$12:$M$18,7,FALSE),"*")</f>
        <v>1</v>
      </c>
      <c r="AD1023" s="81" t="str">
        <f>IF(X1023=2,HLOOKUP(R1023,データについて!$J$12:$M$18,7,FALSE),"*")</f>
        <v>*</v>
      </c>
    </row>
    <row r="1024" spans="1:30">
      <c r="A1024" s="30">
        <v>4168</v>
      </c>
      <c r="B1024" s="30" t="s">
        <v>3506</v>
      </c>
      <c r="C1024" s="30" t="s">
        <v>3507</v>
      </c>
      <c r="D1024" s="30" t="s">
        <v>106</v>
      </c>
      <c r="E1024" s="30"/>
      <c r="F1024" s="30" t="s">
        <v>107</v>
      </c>
      <c r="G1024" s="30" t="s">
        <v>106</v>
      </c>
      <c r="H1024" s="30"/>
      <c r="I1024" s="30" t="s">
        <v>192</v>
      </c>
      <c r="J1024" s="30" t="s">
        <v>942</v>
      </c>
      <c r="K1024" s="30"/>
      <c r="L1024" s="30" t="s">
        <v>117</v>
      </c>
      <c r="M1024" s="30" t="s">
        <v>113</v>
      </c>
      <c r="N1024" s="30" t="s">
        <v>114</v>
      </c>
      <c r="O1024" s="30" t="s">
        <v>115</v>
      </c>
      <c r="P1024" s="30" t="s">
        <v>118</v>
      </c>
      <c r="Q1024" s="30" t="s">
        <v>112</v>
      </c>
      <c r="R1024" s="30" t="s">
        <v>185</v>
      </c>
      <c r="S1024" s="81">
        <f>HLOOKUP(L1024,データについて!$J$6:$M$18,13,FALSE)</f>
        <v>2</v>
      </c>
      <c r="T1024" s="81">
        <f>HLOOKUP(M1024,データについて!$J$7:$M$18,12,FALSE)</f>
        <v>1</v>
      </c>
      <c r="U1024" s="81">
        <f>HLOOKUP(N1024,データについて!$J$8:$M$18,11,FALSE)</f>
        <v>1</v>
      </c>
      <c r="V1024" s="81">
        <f>HLOOKUP(O1024,データについて!$J$9:$M$18,10,FALSE)</f>
        <v>1</v>
      </c>
      <c r="W1024" s="81">
        <f>HLOOKUP(P1024,データについて!$J$10:$M$18,9,FALSE)</f>
        <v>2</v>
      </c>
      <c r="X1024" s="81">
        <f>HLOOKUP(Q1024,データについて!$J$11:$M$18,8,FALSE)</f>
        <v>1</v>
      </c>
      <c r="Y1024" s="81">
        <f>HLOOKUP(R1024,データについて!$J$12:$M$18,7,FALSE)</f>
        <v>2</v>
      </c>
      <c r="Z1024" s="81">
        <f>HLOOKUP(I1024,データについて!$J$3:$M$18,16,FALSE)</f>
        <v>1</v>
      </c>
      <c r="AA1024" s="81">
        <f>IFERROR(HLOOKUP(J1024,データについて!$J$4:$AH$19,16,FALSE),"")</f>
        <v>7</v>
      </c>
      <c r="AB1024" s="81" t="str">
        <f>IFERROR(HLOOKUP(K1024,データについて!$J$5:$AH$20,14,FALSE),"")</f>
        <v/>
      </c>
      <c r="AC1024" s="81">
        <f>IF(X1024=1,HLOOKUP(R1024,データについて!$J$12:$M$18,7,FALSE),"*")</f>
        <v>2</v>
      </c>
      <c r="AD1024" s="81" t="str">
        <f>IF(X1024=2,HLOOKUP(R1024,データについて!$J$12:$M$18,7,FALSE),"*")</f>
        <v>*</v>
      </c>
    </row>
    <row r="1025" spans="1:30">
      <c r="A1025" s="30">
        <v>4167</v>
      </c>
      <c r="B1025" s="30" t="s">
        <v>3508</v>
      </c>
      <c r="C1025" s="30" t="s">
        <v>3509</v>
      </c>
      <c r="D1025" s="30" t="s">
        <v>106</v>
      </c>
      <c r="E1025" s="30"/>
      <c r="F1025" s="30" t="s">
        <v>107</v>
      </c>
      <c r="G1025" s="30" t="s">
        <v>106</v>
      </c>
      <c r="H1025" s="30"/>
      <c r="I1025" s="30" t="s">
        <v>192</v>
      </c>
      <c r="J1025" s="30" t="s">
        <v>942</v>
      </c>
      <c r="K1025" s="30"/>
      <c r="L1025" s="30" t="s">
        <v>117</v>
      </c>
      <c r="M1025" s="30" t="s">
        <v>113</v>
      </c>
      <c r="N1025" s="30" t="s">
        <v>110</v>
      </c>
      <c r="O1025" s="30" t="s">
        <v>115</v>
      </c>
      <c r="P1025" s="30" t="s">
        <v>112</v>
      </c>
      <c r="Q1025" s="30" t="s">
        <v>112</v>
      </c>
      <c r="R1025" s="30" t="s">
        <v>183</v>
      </c>
      <c r="S1025" s="81">
        <f>HLOOKUP(L1025,データについて!$J$6:$M$18,13,FALSE)</f>
        <v>2</v>
      </c>
      <c r="T1025" s="81">
        <f>HLOOKUP(M1025,データについて!$J$7:$M$18,12,FALSE)</f>
        <v>1</v>
      </c>
      <c r="U1025" s="81">
        <f>HLOOKUP(N1025,データについて!$J$8:$M$18,11,FALSE)</f>
        <v>2</v>
      </c>
      <c r="V1025" s="81">
        <f>HLOOKUP(O1025,データについて!$J$9:$M$18,10,FALSE)</f>
        <v>1</v>
      </c>
      <c r="W1025" s="81">
        <f>HLOOKUP(P1025,データについて!$J$10:$M$18,9,FALSE)</f>
        <v>1</v>
      </c>
      <c r="X1025" s="81">
        <f>HLOOKUP(Q1025,データについて!$J$11:$M$18,8,FALSE)</f>
        <v>1</v>
      </c>
      <c r="Y1025" s="81">
        <f>HLOOKUP(R1025,データについて!$J$12:$M$18,7,FALSE)</f>
        <v>1</v>
      </c>
      <c r="Z1025" s="81">
        <f>HLOOKUP(I1025,データについて!$J$3:$M$18,16,FALSE)</f>
        <v>1</v>
      </c>
      <c r="AA1025" s="81">
        <f>IFERROR(HLOOKUP(J1025,データについて!$J$4:$AH$19,16,FALSE),"")</f>
        <v>7</v>
      </c>
      <c r="AB1025" s="81" t="str">
        <f>IFERROR(HLOOKUP(K1025,データについて!$J$5:$AH$20,14,FALSE),"")</f>
        <v/>
      </c>
      <c r="AC1025" s="81">
        <f>IF(X1025=1,HLOOKUP(R1025,データについて!$J$12:$M$18,7,FALSE),"*")</f>
        <v>1</v>
      </c>
      <c r="AD1025" s="81" t="str">
        <f>IF(X1025=2,HLOOKUP(R1025,データについて!$J$12:$M$18,7,FALSE),"*")</f>
        <v>*</v>
      </c>
    </row>
    <row r="1026" spans="1:30">
      <c r="A1026" s="30">
        <v>4166</v>
      </c>
      <c r="B1026" s="30" t="s">
        <v>3510</v>
      </c>
      <c r="C1026" s="30" t="s">
        <v>3511</v>
      </c>
      <c r="D1026" s="30" t="s">
        <v>106</v>
      </c>
      <c r="E1026" s="30"/>
      <c r="F1026" s="30" t="s">
        <v>107</v>
      </c>
      <c r="G1026" s="30" t="s">
        <v>106</v>
      </c>
      <c r="H1026" s="30"/>
      <c r="I1026" s="30" t="s">
        <v>192</v>
      </c>
      <c r="J1026" s="30" t="s">
        <v>942</v>
      </c>
      <c r="K1026" s="30"/>
      <c r="L1026" s="30" t="s">
        <v>117</v>
      </c>
      <c r="M1026" s="30" t="s">
        <v>113</v>
      </c>
      <c r="N1026" s="30" t="s">
        <v>110</v>
      </c>
      <c r="O1026" s="30" t="s">
        <v>115</v>
      </c>
      <c r="P1026" s="30" t="s">
        <v>112</v>
      </c>
      <c r="Q1026" s="30" t="s">
        <v>112</v>
      </c>
      <c r="R1026" s="30" t="s">
        <v>183</v>
      </c>
      <c r="S1026" s="81">
        <f>HLOOKUP(L1026,データについて!$J$6:$M$18,13,FALSE)</f>
        <v>2</v>
      </c>
      <c r="T1026" s="81">
        <f>HLOOKUP(M1026,データについて!$J$7:$M$18,12,FALSE)</f>
        <v>1</v>
      </c>
      <c r="U1026" s="81">
        <f>HLOOKUP(N1026,データについて!$J$8:$M$18,11,FALSE)</f>
        <v>2</v>
      </c>
      <c r="V1026" s="81">
        <f>HLOOKUP(O1026,データについて!$J$9:$M$18,10,FALSE)</f>
        <v>1</v>
      </c>
      <c r="W1026" s="81">
        <f>HLOOKUP(P1026,データについて!$J$10:$M$18,9,FALSE)</f>
        <v>1</v>
      </c>
      <c r="X1026" s="81">
        <f>HLOOKUP(Q1026,データについて!$J$11:$M$18,8,FALSE)</f>
        <v>1</v>
      </c>
      <c r="Y1026" s="81">
        <f>HLOOKUP(R1026,データについて!$J$12:$M$18,7,FALSE)</f>
        <v>1</v>
      </c>
      <c r="Z1026" s="81">
        <f>HLOOKUP(I1026,データについて!$J$3:$M$18,16,FALSE)</f>
        <v>1</v>
      </c>
      <c r="AA1026" s="81">
        <f>IFERROR(HLOOKUP(J1026,データについて!$J$4:$AH$19,16,FALSE),"")</f>
        <v>7</v>
      </c>
      <c r="AB1026" s="81" t="str">
        <f>IFERROR(HLOOKUP(K1026,データについて!$J$5:$AH$20,14,FALSE),"")</f>
        <v/>
      </c>
      <c r="AC1026" s="81">
        <f>IF(X1026=1,HLOOKUP(R1026,データについて!$J$12:$M$18,7,FALSE),"*")</f>
        <v>1</v>
      </c>
      <c r="AD1026" s="81" t="str">
        <f>IF(X1026=2,HLOOKUP(R1026,データについて!$J$12:$M$18,7,FALSE),"*")</f>
        <v>*</v>
      </c>
    </row>
    <row r="1027" spans="1:30">
      <c r="A1027" s="30">
        <v>4165</v>
      </c>
      <c r="B1027" s="30" t="s">
        <v>3512</v>
      </c>
      <c r="C1027" s="30" t="s">
        <v>3513</v>
      </c>
      <c r="D1027" s="30" t="s">
        <v>106</v>
      </c>
      <c r="E1027" s="30"/>
      <c r="F1027" s="30" t="s">
        <v>107</v>
      </c>
      <c r="G1027" s="30" t="s">
        <v>106</v>
      </c>
      <c r="H1027" s="30"/>
      <c r="I1027" s="30" t="s">
        <v>192</v>
      </c>
      <c r="J1027" s="30" t="s">
        <v>942</v>
      </c>
      <c r="K1027" s="30"/>
      <c r="L1027" s="30" t="s">
        <v>117</v>
      </c>
      <c r="M1027" s="30" t="s">
        <v>113</v>
      </c>
      <c r="N1027" s="30" t="s">
        <v>114</v>
      </c>
      <c r="O1027" s="30" t="s">
        <v>115</v>
      </c>
      <c r="P1027" s="30" t="s">
        <v>112</v>
      </c>
      <c r="Q1027" s="30" t="s">
        <v>112</v>
      </c>
      <c r="R1027" s="30" t="s">
        <v>183</v>
      </c>
      <c r="S1027" s="81">
        <f>HLOOKUP(L1027,データについて!$J$6:$M$18,13,FALSE)</f>
        <v>2</v>
      </c>
      <c r="T1027" s="81">
        <f>HLOOKUP(M1027,データについて!$J$7:$M$18,12,FALSE)</f>
        <v>1</v>
      </c>
      <c r="U1027" s="81">
        <f>HLOOKUP(N1027,データについて!$J$8:$M$18,11,FALSE)</f>
        <v>1</v>
      </c>
      <c r="V1027" s="81">
        <f>HLOOKUP(O1027,データについて!$J$9:$M$18,10,FALSE)</f>
        <v>1</v>
      </c>
      <c r="W1027" s="81">
        <f>HLOOKUP(P1027,データについて!$J$10:$M$18,9,FALSE)</f>
        <v>1</v>
      </c>
      <c r="X1027" s="81">
        <f>HLOOKUP(Q1027,データについて!$J$11:$M$18,8,FALSE)</f>
        <v>1</v>
      </c>
      <c r="Y1027" s="81">
        <f>HLOOKUP(R1027,データについて!$J$12:$M$18,7,FALSE)</f>
        <v>1</v>
      </c>
      <c r="Z1027" s="81">
        <f>HLOOKUP(I1027,データについて!$J$3:$M$18,16,FALSE)</f>
        <v>1</v>
      </c>
      <c r="AA1027" s="81">
        <f>IFERROR(HLOOKUP(J1027,データについて!$J$4:$AH$19,16,FALSE),"")</f>
        <v>7</v>
      </c>
      <c r="AB1027" s="81" t="str">
        <f>IFERROR(HLOOKUP(K1027,データについて!$J$5:$AH$20,14,FALSE),"")</f>
        <v/>
      </c>
      <c r="AC1027" s="81">
        <f>IF(X1027=1,HLOOKUP(R1027,データについて!$J$12:$M$18,7,FALSE),"*")</f>
        <v>1</v>
      </c>
      <c r="AD1027" s="81" t="str">
        <f>IF(X1027=2,HLOOKUP(R1027,データについて!$J$12:$M$18,7,FALSE),"*")</f>
        <v>*</v>
      </c>
    </row>
    <row r="1028" spans="1:30">
      <c r="A1028" s="30">
        <v>4164</v>
      </c>
      <c r="B1028" s="30" t="s">
        <v>3514</v>
      </c>
      <c r="C1028" s="30" t="s">
        <v>3515</v>
      </c>
      <c r="D1028" s="30" t="s">
        <v>106</v>
      </c>
      <c r="E1028" s="30"/>
      <c r="F1028" s="30" t="s">
        <v>107</v>
      </c>
      <c r="G1028" s="30" t="s">
        <v>106</v>
      </c>
      <c r="H1028" s="30"/>
      <c r="I1028" s="30" t="s">
        <v>192</v>
      </c>
      <c r="J1028" s="30" t="s">
        <v>942</v>
      </c>
      <c r="K1028" s="30"/>
      <c r="L1028" s="30" t="s">
        <v>117</v>
      </c>
      <c r="M1028" s="30" t="s">
        <v>113</v>
      </c>
      <c r="N1028" s="30" t="s">
        <v>114</v>
      </c>
      <c r="O1028" s="30" t="s">
        <v>115</v>
      </c>
      <c r="P1028" s="30" t="s">
        <v>118</v>
      </c>
      <c r="Q1028" s="30" t="s">
        <v>112</v>
      </c>
      <c r="R1028" s="30" t="s">
        <v>185</v>
      </c>
      <c r="S1028" s="81">
        <f>HLOOKUP(L1028,データについて!$J$6:$M$18,13,FALSE)</f>
        <v>2</v>
      </c>
      <c r="T1028" s="81">
        <f>HLOOKUP(M1028,データについて!$J$7:$M$18,12,FALSE)</f>
        <v>1</v>
      </c>
      <c r="U1028" s="81">
        <f>HLOOKUP(N1028,データについて!$J$8:$M$18,11,FALSE)</f>
        <v>1</v>
      </c>
      <c r="V1028" s="81">
        <f>HLOOKUP(O1028,データについて!$J$9:$M$18,10,FALSE)</f>
        <v>1</v>
      </c>
      <c r="W1028" s="81">
        <f>HLOOKUP(P1028,データについて!$J$10:$M$18,9,FALSE)</f>
        <v>2</v>
      </c>
      <c r="X1028" s="81">
        <f>HLOOKUP(Q1028,データについて!$J$11:$M$18,8,FALSE)</f>
        <v>1</v>
      </c>
      <c r="Y1028" s="81">
        <f>HLOOKUP(R1028,データについて!$J$12:$M$18,7,FALSE)</f>
        <v>2</v>
      </c>
      <c r="Z1028" s="81">
        <f>HLOOKUP(I1028,データについて!$J$3:$M$18,16,FALSE)</f>
        <v>1</v>
      </c>
      <c r="AA1028" s="81">
        <f>IFERROR(HLOOKUP(J1028,データについて!$J$4:$AH$19,16,FALSE),"")</f>
        <v>7</v>
      </c>
      <c r="AB1028" s="81" t="str">
        <f>IFERROR(HLOOKUP(K1028,データについて!$J$5:$AH$20,14,FALSE),"")</f>
        <v/>
      </c>
      <c r="AC1028" s="81">
        <f>IF(X1028=1,HLOOKUP(R1028,データについて!$J$12:$M$18,7,FALSE),"*")</f>
        <v>2</v>
      </c>
      <c r="AD1028" s="81" t="str">
        <f>IF(X1028=2,HLOOKUP(R1028,データについて!$J$12:$M$18,7,FALSE),"*")</f>
        <v>*</v>
      </c>
    </row>
    <row r="1029" spans="1:30">
      <c r="A1029" s="30">
        <v>4163</v>
      </c>
      <c r="B1029" s="30" t="s">
        <v>3516</v>
      </c>
      <c r="C1029" s="30" t="s">
        <v>3515</v>
      </c>
      <c r="D1029" s="30" t="s">
        <v>106</v>
      </c>
      <c r="E1029" s="30"/>
      <c r="F1029" s="30" t="s">
        <v>107</v>
      </c>
      <c r="G1029" s="30" t="s">
        <v>106</v>
      </c>
      <c r="H1029" s="30"/>
      <c r="I1029" s="30" t="s">
        <v>192</v>
      </c>
      <c r="J1029" s="30" t="s">
        <v>125</v>
      </c>
      <c r="K1029" s="30"/>
      <c r="L1029" s="30" t="s">
        <v>108</v>
      </c>
      <c r="M1029" s="30" t="s">
        <v>113</v>
      </c>
      <c r="N1029" s="30" t="s">
        <v>114</v>
      </c>
      <c r="O1029" s="30" t="s">
        <v>115</v>
      </c>
      <c r="P1029" s="30" t="s">
        <v>112</v>
      </c>
      <c r="Q1029" s="30" t="s">
        <v>112</v>
      </c>
      <c r="R1029" s="30" t="s">
        <v>189</v>
      </c>
      <c r="S1029" s="81">
        <f>HLOOKUP(L1029,データについて!$J$6:$M$18,13,FALSE)</f>
        <v>1</v>
      </c>
      <c r="T1029" s="81">
        <f>HLOOKUP(M1029,データについて!$J$7:$M$18,12,FALSE)</f>
        <v>1</v>
      </c>
      <c r="U1029" s="81">
        <f>HLOOKUP(N1029,データについて!$J$8:$M$18,11,FALSE)</f>
        <v>1</v>
      </c>
      <c r="V1029" s="81">
        <f>HLOOKUP(O1029,データについて!$J$9:$M$18,10,FALSE)</f>
        <v>1</v>
      </c>
      <c r="W1029" s="81">
        <f>HLOOKUP(P1029,データについて!$J$10:$M$18,9,FALSE)</f>
        <v>1</v>
      </c>
      <c r="X1029" s="81">
        <f>HLOOKUP(Q1029,データについて!$J$11:$M$18,8,FALSE)</f>
        <v>1</v>
      </c>
      <c r="Y1029" s="81">
        <f>HLOOKUP(R1029,データについて!$J$12:$M$18,7,FALSE)</f>
        <v>4</v>
      </c>
      <c r="Z1029" s="81">
        <f>HLOOKUP(I1029,データについて!$J$3:$M$18,16,FALSE)</f>
        <v>1</v>
      </c>
      <c r="AA1029" s="81">
        <f>IFERROR(HLOOKUP(J1029,データについて!$J$4:$AH$19,16,FALSE),"")</f>
        <v>6</v>
      </c>
      <c r="AB1029" s="81" t="str">
        <f>IFERROR(HLOOKUP(K1029,データについて!$J$5:$AH$20,14,FALSE),"")</f>
        <v/>
      </c>
      <c r="AC1029" s="81">
        <f>IF(X1029=1,HLOOKUP(R1029,データについて!$J$12:$M$18,7,FALSE),"*")</f>
        <v>4</v>
      </c>
      <c r="AD1029" s="81" t="str">
        <f>IF(X1029=2,HLOOKUP(R1029,データについて!$J$12:$M$18,7,FALSE),"*")</f>
        <v>*</v>
      </c>
    </row>
    <row r="1030" spans="1:30">
      <c r="A1030" s="30">
        <v>4162</v>
      </c>
      <c r="B1030" s="30" t="s">
        <v>3517</v>
      </c>
      <c r="C1030" s="30" t="s">
        <v>3518</v>
      </c>
      <c r="D1030" s="30" t="s">
        <v>106</v>
      </c>
      <c r="E1030" s="30"/>
      <c r="F1030" s="30" t="s">
        <v>107</v>
      </c>
      <c r="G1030" s="30" t="s">
        <v>106</v>
      </c>
      <c r="H1030" s="30"/>
      <c r="I1030" s="30" t="s">
        <v>192</v>
      </c>
      <c r="J1030" s="30" t="s">
        <v>942</v>
      </c>
      <c r="K1030" s="30"/>
      <c r="L1030" s="30" t="s">
        <v>117</v>
      </c>
      <c r="M1030" s="30" t="s">
        <v>113</v>
      </c>
      <c r="N1030" s="30" t="s">
        <v>114</v>
      </c>
      <c r="O1030" s="30" t="s">
        <v>115</v>
      </c>
      <c r="P1030" s="30" t="s">
        <v>112</v>
      </c>
      <c r="Q1030" s="30" t="s">
        <v>112</v>
      </c>
      <c r="R1030" s="30" t="s">
        <v>189</v>
      </c>
      <c r="S1030" s="81">
        <f>HLOOKUP(L1030,データについて!$J$6:$M$18,13,FALSE)</f>
        <v>2</v>
      </c>
      <c r="T1030" s="81">
        <f>HLOOKUP(M1030,データについて!$J$7:$M$18,12,FALSE)</f>
        <v>1</v>
      </c>
      <c r="U1030" s="81">
        <f>HLOOKUP(N1030,データについて!$J$8:$M$18,11,FALSE)</f>
        <v>1</v>
      </c>
      <c r="V1030" s="81">
        <f>HLOOKUP(O1030,データについて!$J$9:$M$18,10,FALSE)</f>
        <v>1</v>
      </c>
      <c r="W1030" s="81">
        <f>HLOOKUP(P1030,データについて!$J$10:$M$18,9,FALSE)</f>
        <v>1</v>
      </c>
      <c r="X1030" s="81">
        <f>HLOOKUP(Q1030,データについて!$J$11:$M$18,8,FALSE)</f>
        <v>1</v>
      </c>
      <c r="Y1030" s="81">
        <f>HLOOKUP(R1030,データについて!$J$12:$M$18,7,FALSE)</f>
        <v>4</v>
      </c>
      <c r="Z1030" s="81">
        <f>HLOOKUP(I1030,データについて!$J$3:$M$18,16,FALSE)</f>
        <v>1</v>
      </c>
      <c r="AA1030" s="81">
        <f>IFERROR(HLOOKUP(J1030,データについて!$J$4:$AH$19,16,FALSE),"")</f>
        <v>7</v>
      </c>
      <c r="AB1030" s="81" t="str">
        <f>IFERROR(HLOOKUP(K1030,データについて!$J$5:$AH$20,14,FALSE),"")</f>
        <v/>
      </c>
      <c r="AC1030" s="81">
        <f>IF(X1030=1,HLOOKUP(R1030,データについて!$J$12:$M$18,7,FALSE),"*")</f>
        <v>4</v>
      </c>
      <c r="AD1030" s="81" t="str">
        <f>IF(X1030=2,HLOOKUP(R1030,データについて!$J$12:$M$18,7,FALSE),"*")</f>
        <v>*</v>
      </c>
    </row>
    <row r="1031" spans="1:30">
      <c r="A1031" s="30">
        <v>4161</v>
      </c>
      <c r="B1031" s="30" t="s">
        <v>3519</v>
      </c>
      <c r="C1031" s="30" t="s">
        <v>3520</v>
      </c>
      <c r="D1031" s="30" t="s">
        <v>106</v>
      </c>
      <c r="E1031" s="30"/>
      <c r="F1031" s="30" t="s">
        <v>107</v>
      </c>
      <c r="G1031" s="30" t="s">
        <v>106</v>
      </c>
      <c r="H1031" s="30"/>
      <c r="I1031" s="30" t="s">
        <v>192</v>
      </c>
      <c r="J1031" s="30" t="s">
        <v>942</v>
      </c>
      <c r="K1031" s="30"/>
      <c r="L1031" s="30" t="s">
        <v>108</v>
      </c>
      <c r="M1031" s="30" t="s">
        <v>113</v>
      </c>
      <c r="N1031" s="30" t="s">
        <v>114</v>
      </c>
      <c r="O1031" s="30" t="s">
        <v>111</v>
      </c>
      <c r="P1031" s="30" t="s">
        <v>112</v>
      </c>
      <c r="Q1031" s="30" t="s">
        <v>118</v>
      </c>
      <c r="R1031" s="30" t="s">
        <v>185</v>
      </c>
      <c r="S1031" s="81">
        <f>HLOOKUP(L1031,データについて!$J$6:$M$18,13,FALSE)</f>
        <v>1</v>
      </c>
      <c r="T1031" s="81">
        <f>HLOOKUP(M1031,データについて!$J$7:$M$18,12,FALSE)</f>
        <v>1</v>
      </c>
      <c r="U1031" s="81">
        <f>HLOOKUP(N1031,データについて!$J$8:$M$18,11,FALSE)</f>
        <v>1</v>
      </c>
      <c r="V1031" s="81">
        <f>HLOOKUP(O1031,データについて!$J$9:$M$18,10,FALSE)</f>
        <v>3</v>
      </c>
      <c r="W1031" s="81">
        <f>HLOOKUP(P1031,データについて!$J$10:$M$18,9,FALSE)</f>
        <v>1</v>
      </c>
      <c r="X1031" s="81">
        <f>HLOOKUP(Q1031,データについて!$J$11:$M$18,8,FALSE)</f>
        <v>2</v>
      </c>
      <c r="Y1031" s="81">
        <f>HLOOKUP(R1031,データについて!$J$12:$M$18,7,FALSE)</f>
        <v>2</v>
      </c>
      <c r="Z1031" s="81">
        <f>HLOOKUP(I1031,データについて!$J$3:$M$18,16,FALSE)</f>
        <v>1</v>
      </c>
      <c r="AA1031" s="81">
        <f>IFERROR(HLOOKUP(J1031,データについて!$J$4:$AH$19,16,FALSE),"")</f>
        <v>7</v>
      </c>
      <c r="AB1031" s="81" t="str">
        <f>IFERROR(HLOOKUP(K1031,データについて!$J$5:$AH$20,14,FALSE),"")</f>
        <v/>
      </c>
      <c r="AC1031" s="81" t="str">
        <f>IF(X1031=1,HLOOKUP(R1031,データについて!$J$12:$M$18,7,FALSE),"*")</f>
        <v>*</v>
      </c>
      <c r="AD1031" s="81">
        <f>IF(X1031=2,HLOOKUP(R1031,データについて!$J$12:$M$18,7,FALSE),"*")</f>
        <v>2</v>
      </c>
    </row>
    <row r="1032" spans="1:30">
      <c r="A1032" s="30">
        <v>4160</v>
      </c>
      <c r="B1032" s="30" t="s">
        <v>3521</v>
      </c>
      <c r="C1032" s="30" t="s">
        <v>3520</v>
      </c>
      <c r="D1032" s="30" t="s">
        <v>106</v>
      </c>
      <c r="E1032" s="30"/>
      <c r="F1032" s="30" t="s">
        <v>107</v>
      </c>
      <c r="G1032" s="30" t="s">
        <v>106</v>
      </c>
      <c r="H1032" s="30"/>
      <c r="I1032" s="30" t="s">
        <v>192</v>
      </c>
      <c r="J1032" s="30" t="s">
        <v>942</v>
      </c>
      <c r="K1032" s="30"/>
      <c r="L1032" s="30" t="s">
        <v>117</v>
      </c>
      <c r="M1032" s="30" t="s">
        <v>113</v>
      </c>
      <c r="N1032" s="30" t="s">
        <v>114</v>
      </c>
      <c r="O1032" s="30" t="s">
        <v>115</v>
      </c>
      <c r="P1032" s="30" t="s">
        <v>112</v>
      </c>
      <c r="Q1032" s="30" t="s">
        <v>112</v>
      </c>
      <c r="R1032" s="30" t="s">
        <v>185</v>
      </c>
      <c r="S1032" s="81">
        <f>HLOOKUP(L1032,データについて!$J$6:$M$18,13,FALSE)</f>
        <v>2</v>
      </c>
      <c r="T1032" s="81">
        <f>HLOOKUP(M1032,データについて!$J$7:$M$18,12,FALSE)</f>
        <v>1</v>
      </c>
      <c r="U1032" s="81">
        <f>HLOOKUP(N1032,データについて!$J$8:$M$18,11,FALSE)</f>
        <v>1</v>
      </c>
      <c r="V1032" s="81">
        <f>HLOOKUP(O1032,データについて!$J$9:$M$18,10,FALSE)</f>
        <v>1</v>
      </c>
      <c r="W1032" s="81">
        <f>HLOOKUP(P1032,データについて!$J$10:$M$18,9,FALSE)</f>
        <v>1</v>
      </c>
      <c r="X1032" s="81">
        <f>HLOOKUP(Q1032,データについて!$J$11:$M$18,8,FALSE)</f>
        <v>1</v>
      </c>
      <c r="Y1032" s="81">
        <f>HLOOKUP(R1032,データについて!$J$12:$M$18,7,FALSE)</f>
        <v>2</v>
      </c>
      <c r="Z1032" s="81">
        <f>HLOOKUP(I1032,データについて!$J$3:$M$18,16,FALSE)</f>
        <v>1</v>
      </c>
      <c r="AA1032" s="81">
        <f>IFERROR(HLOOKUP(J1032,データについて!$J$4:$AH$19,16,FALSE),"")</f>
        <v>7</v>
      </c>
      <c r="AB1032" s="81" t="str">
        <f>IFERROR(HLOOKUP(K1032,データについて!$J$5:$AH$20,14,FALSE),"")</f>
        <v/>
      </c>
      <c r="AC1032" s="81">
        <f>IF(X1032=1,HLOOKUP(R1032,データについて!$J$12:$M$18,7,FALSE),"*")</f>
        <v>2</v>
      </c>
      <c r="AD1032" s="81" t="str">
        <f>IF(X1032=2,HLOOKUP(R1032,データについて!$J$12:$M$18,7,FALSE),"*")</f>
        <v>*</v>
      </c>
    </row>
    <row r="1033" spans="1:30">
      <c r="A1033" s="30">
        <v>4159</v>
      </c>
      <c r="B1033" s="30" t="s">
        <v>3522</v>
      </c>
      <c r="C1033" s="30" t="s">
        <v>3523</v>
      </c>
      <c r="D1033" s="30" t="s">
        <v>106</v>
      </c>
      <c r="E1033" s="30"/>
      <c r="F1033" s="30" t="s">
        <v>107</v>
      </c>
      <c r="G1033" s="30" t="s">
        <v>106</v>
      </c>
      <c r="H1033" s="30"/>
      <c r="I1033" s="30" t="s">
        <v>192</v>
      </c>
      <c r="J1033" s="30" t="s">
        <v>942</v>
      </c>
      <c r="K1033" s="30"/>
      <c r="L1033" s="30" t="s">
        <v>108</v>
      </c>
      <c r="M1033" s="30" t="s">
        <v>121</v>
      </c>
      <c r="N1033" s="30" t="s">
        <v>114</v>
      </c>
      <c r="O1033" s="30" t="s">
        <v>116</v>
      </c>
      <c r="P1033" s="30" t="s">
        <v>112</v>
      </c>
      <c r="Q1033" s="30" t="s">
        <v>112</v>
      </c>
      <c r="R1033" s="30" t="s">
        <v>189</v>
      </c>
      <c r="S1033" s="81">
        <f>HLOOKUP(L1033,データについて!$J$6:$M$18,13,FALSE)</f>
        <v>1</v>
      </c>
      <c r="T1033" s="81">
        <f>HLOOKUP(M1033,データについて!$J$7:$M$18,12,FALSE)</f>
        <v>4</v>
      </c>
      <c r="U1033" s="81">
        <f>HLOOKUP(N1033,データについて!$J$8:$M$18,11,FALSE)</f>
        <v>1</v>
      </c>
      <c r="V1033" s="81">
        <f>HLOOKUP(O1033,データについて!$J$9:$M$18,10,FALSE)</f>
        <v>2</v>
      </c>
      <c r="W1033" s="81">
        <f>HLOOKUP(P1033,データについて!$J$10:$M$18,9,FALSE)</f>
        <v>1</v>
      </c>
      <c r="X1033" s="81">
        <f>HLOOKUP(Q1033,データについて!$J$11:$M$18,8,FALSE)</f>
        <v>1</v>
      </c>
      <c r="Y1033" s="81">
        <f>HLOOKUP(R1033,データについて!$J$12:$M$18,7,FALSE)</f>
        <v>4</v>
      </c>
      <c r="Z1033" s="81">
        <f>HLOOKUP(I1033,データについて!$J$3:$M$18,16,FALSE)</f>
        <v>1</v>
      </c>
      <c r="AA1033" s="81">
        <f>IFERROR(HLOOKUP(J1033,データについて!$J$4:$AH$19,16,FALSE),"")</f>
        <v>7</v>
      </c>
      <c r="AB1033" s="81" t="str">
        <f>IFERROR(HLOOKUP(K1033,データについて!$J$5:$AH$20,14,FALSE),"")</f>
        <v/>
      </c>
      <c r="AC1033" s="81">
        <f>IF(X1033=1,HLOOKUP(R1033,データについて!$J$12:$M$18,7,FALSE),"*")</f>
        <v>4</v>
      </c>
      <c r="AD1033" s="81" t="str">
        <f>IF(X1033=2,HLOOKUP(R1033,データについて!$J$12:$M$18,7,FALSE),"*")</f>
        <v>*</v>
      </c>
    </row>
    <row r="1034" spans="1:30">
      <c r="A1034" s="30">
        <v>4158</v>
      </c>
      <c r="B1034" s="30" t="s">
        <v>3524</v>
      </c>
      <c r="C1034" s="30" t="s">
        <v>3523</v>
      </c>
      <c r="D1034" s="30" t="s">
        <v>106</v>
      </c>
      <c r="E1034" s="30"/>
      <c r="F1034" s="30" t="s">
        <v>107</v>
      </c>
      <c r="G1034" s="30" t="s">
        <v>106</v>
      </c>
      <c r="H1034" s="30"/>
      <c r="I1034" s="30" t="s">
        <v>192</v>
      </c>
      <c r="J1034" s="30" t="s">
        <v>942</v>
      </c>
      <c r="K1034" s="30"/>
      <c r="L1034" s="30" t="s">
        <v>108</v>
      </c>
      <c r="M1034" s="30" t="s">
        <v>109</v>
      </c>
      <c r="N1034" s="30" t="s">
        <v>110</v>
      </c>
      <c r="O1034" s="30" t="s">
        <v>115</v>
      </c>
      <c r="P1034" s="30" t="s">
        <v>112</v>
      </c>
      <c r="Q1034" s="30" t="s">
        <v>112</v>
      </c>
      <c r="R1034" s="30" t="s">
        <v>185</v>
      </c>
      <c r="S1034" s="81">
        <f>HLOOKUP(L1034,データについて!$J$6:$M$18,13,FALSE)</f>
        <v>1</v>
      </c>
      <c r="T1034" s="81">
        <f>HLOOKUP(M1034,データについて!$J$7:$M$18,12,FALSE)</f>
        <v>2</v>
      </c>
      <c r="U1034" s="81">
        <f>HLOOKUP(N1034,データについて!$J$8:$M$18,11,FALSE)</f>
        <v>2</v>
      </c>
      <c r="V1034" s="81">
        <f>HLOOKUP(O1034,データについて!$J$9:$M$18,10,FALSE)</f>
        <v>1</v>
      </c>
      <c r="W1034" s="81">
        <f>HLOOKUP(P1034,データについて!$J$10:$M$18,9,FALSE)</f>
        <v>1</v>
      </c>
      <c r="X1034" s="81">
        <f>HLOOKUP(Q1034,データについて!$J$11:$M$18,8,FALSE)</f>
        <v>1</v>
      </c>
      <c r="Y1034" s="81">
        <f>HLOOKUP(R1034,データについて!$J$12:$M$18,7,FALSE)</f>
        <v>2</v>
      </c>
      <c r="Z1034" s="81">
        <f>HLOOKUP(I1034,データについて!$J$3:$M$18,16,FALSE)</f>
        <v>1</v>
      </c>
      <c r="AA1034" s="81">
        <f>IFERROR(HLOOKUP(J1034,データについて!$J$4:$AH$19,16,FALSE),"")</f>
        <v>7</v>
      </c>
      <c r="AB1034" s="81" t="str">
        <f>IFERROR(HLOOKUP(K1034,データについて!$J$5:$AH$20,14,FALSE),"")</f>
        <v/>
      </c>
      <c r="AC1034" s="81">
        <f>IF(X1034=1,HLOOKUP(R1034,データについて!$J$12:$M$18,7,FALSE),"*")</f>
        <v>2</v>
      </c>
      <c r="AD1034" s="81" t="str">
        <f>IF(X1034=2,HLOOKUP(R1034,データについて!$J$12:$M$18,7,FALSE),"*")</f>
        <v>*</v>
      </c>
    </row>
    <row r="1035" spans="1:30">
      <c r="A1035" s="30">
        <v>4157</v>
      </c>
      <c r="B1035" s="30" t="s">
        <v>3525</v>
      </c>
      <c r="C1035" s="30" t="s">
        <v>3526</v>
      </c>
      <c r="D1035" s="30" t="s">
        <v>106</v>
      </c>
      <c r="E1035" s="30"/>
      <c r="F1035" s="30" t="s">
        <v>107</v>
      </c>
      <c r="G1035" s="30" t="s">
        <v>106</v>
      </c>
      <c r="H1035" s="30"/>
      <c r="I1035" s="30" t="s">
        <v>192</v>
      </c>
      <c r="J1035" s="30" t="s">
        <v>942</v>
      </c>
      <c r="K1035" s="30"/>
      <c r="L1035" s="30" t="s">
        <v>117</v>
      </c>
      <c r="M1035" s="30" t="s">
        <v>109</v>
      </c>
      <c r="N1035" s="30" t="s">
        <v>110</v>
      </c>
      <c r="O1035" s="30" t="s">
        <v>123</v>
      </c>
      <c r="P1035" s="30" t="s">
        <v>112</v>
      </c>
      <c r="Q1035" s="30" t="s">
        <v>112</v>
      </c>
      <c r="R1035" s="30" t="s">
        <v>189</v>
      </c>
      <c r="S1035" s="81">
        <f>HLOOKUP(L1035,データについて!$J$6:$M$18,13,FALSE)</f>
        <v>2</v>
      </c>
      <c r="T1035" s="81">
        <f>HLOOKUP(M1035,データについて!$J$7:$M$18,12,FALSE)</f>
        <v>2</v>
      </c>
      <c r="U1035" s="81">
        <f>HLOOKUP(N1035,データについて!$J$8:$M$18,11,FALSE)</f>
        <v>2</v>
      </c>
      <c r="V1035" s="81">
        <f>HLOOKUP(O1035,データについて!$J$9:$M$18,10,FALSE)</f>
        <v>4</v>
      </c>
      <c r="W1035" s="81">
        <f>HLOOKUP(P1035,データについて!$J$10:$M$18,9,FALSE)</f>
        <v>1</v>
      </c>
      <c r="X1035" s="81">
        <f>HLOOKUP(Q1035,データについて!$J$11:$M$18,8,FALSE)</f>
        <v>1</v>
      </c>
      <c r="Y1035" s="81">
        <f>HLOOKUP(R1035,データについて!$J$12:$M$18,7,FALSE)</f>
        <v>4</v>
      </c>
      <c r="Z1035" s="81">
        <f>HLOOKUP(I1035,データについて!$J$3:$M$18,16,FALSE)</f>
        <v>1</v>
      </c>
      <c r="AA1035" s="81">
        <f>IFERROR(HLOOKUP(J1035,データについて!$J$4:$AH$19,16,FALSE),"")</f>
        <v>7</v>
      </c>
      <c r="AB1035" s="81" t="str">
        <f>IFERROR(HLOOKUP(K1035,データについて!$J$5:$AH$20,14,FALSE),"")</f>
        <v/>
      </c>
      <c r="AC1035" s="81">
        <f>IF(X1035=1,HLOOKUP(R1035,データについて!$J$12:$M$18,7,FALSE),"*")</f>
        <v>4</v>
      </c>
      <c r="AD1035" s="81" t="str">
        <f>IF(X1035=2,HLOOKUP(R1035,データについて!$J$12:$M$18,7,FALSE),"*")</f>
        <v>*</v>
      </c>
    </row>
    <row r="1036" spans="1:30">
      <c r="A1036" s="30">
        <v>4156</v>
      </c>
      <c r="B1036" s="30" t="s">
        <v>3527</v>
      </c>
      <c r="C1036" s="30" t="s">
        <v>3528</v>
      </c>
      <c r="D1036" s="30" t="s">
        <v>106</v>
      </c>
      <c r="E1036" s="30"/>
      <c r="F1036" s="30" t="s">
        <v>107</v>
      </c>
      <c r="G1036" s="30" t="s">
        <v>106</v>
      </c>
      <c r="H1036" s="30"/>
      <c r="I1036" s="30" t="s">
        <v>192</v>
      </c>
      <c r="J1036" s="30" t="s">
        <v>942</v>
      </c>
      <c r="K1036" s="30"/>
      <c r="L1036" s="30" t="s">
        <v>108</v>
      </c>
      <c r="M1036" s="30" t="s">
        <v>113</v>
      </c>
      <c r="N1036" s="30" t="s">
        <v>114</v>
      </c>
      <c r="O1036" s="30" t="s">
        <v>115</v>
      </c>
      <c r="P1036" s="30" t="s">
        <v>112</v>
      </c>
      <c r="Q1036" s="30" t="s">
        <v>112</v>
      </c>
      <c r="R1036" s="30" t="s">
        <v>183</v>
      </c>
      <c r="S1036" s="81">
        <f>HLOOKUP(L1036,データについて!$J$6:$M$18,13,FALSE)</f>
        <v>1</v>
      </c>
      <c r="T1036" s="81">
        <f>HLOOKUP(M1036,データについて!$J$7:$M$18,12,FALSE)</f>
        <v>1</v>
      </c>
      <c r="U1036" s="81">
        <f>HLOOKUP(N1036,データについて!$J$8:$M$18,11,FALSE)</f>
        <v>1</v>
      </c>
      <c r="V1036" s="81">
        <f>HLOOKUP(O1036,データについて!$J$9:$M$18,10,FALSE)</f>
        <v>1</v>
      </c>
      <c r="W1036" s="81">
        <f>HLOOKUP(P1036,データについて!$J$10:$M$18,9,FALSE)</f>
        <v>1</v>
      </c>
      <c r="X1036" s="81">
        <f>HLOOKUP(Q1036,データについて!$J$11:$M$18,8,FALSE)</f>
        <v>1</v>
      </c>
      <c r="Y1036" s="81">
        <f>HLOOKUP(R1036,データについて!$J$12:$M$18,7,FALSE)</f>
        <v>1</v>
      </c>
      <c r="Z1036" s="81">
        <f>HLOOKUP(I1036,データについて!$J$3:$M$18,16,FALSE)</f>
        <v>1</v>
      </c>
      <c r="AA1036" s="81">
        <f>IFERROR(HLOOKUP(J1036,データについて!$J$4:$AH$19,16,FALSE),"")</f>
        <v>7</v>
      </c>
      <c r="AB1036" s="81" t="str">
        <f>IFERROR(HLOOKUP(K1036,データについて!$J$5:$AH$20,14,FALSE),"")</f>
        <v/>
      </c>
      <c r="AC1036" s="81">
        <f>IF(X1036=1,HLOOKUP(R1036,データについて!$J$12:$M$18,7,FALSE),"*")</f>
        <v>1</v>
      </c>
      <c r="AD1036" s="81" t="str">
        <f>IF(X1036=2,HLOOKUP(R1036,データについて!$J$12:$M$18,7,FALSE),"*")</f>
        <v>*</v>
      </c>
    </row>
    <row r="1037" spans="1:30">
      <c r="A1037" s="30">
        <v>4155</v>
      </c>
      <c r="B1037" s="30" t="s">
        <v>3529</v>
      </c>
      <c r="C1037" s="30" t="s">
        <v>3530</v>
      </c>
      <c r="D1037" s="30" t="s">
        <v>106</v>
      </c>
      <c r="E1037" s="30"/>
      <c r="F1037" s="30" t="s">
        <v>107</v>
      </c>
      <c r="G1037" s="30" t="s">
        <v>106</v>
      </c>
      <c r="H1037" s="30"/>
      <c r="I1037" s="30" t="s">
        <v>192</v>
      </c>
      <c r="J1037" s="30" t="s">
        <v>942</v>
      </c>
      <c r="K1037" s="30"/>
      <c r="L1037" s="30" t="s">
        <v>117</v>
      </c>
      <c r="M1037" s="30" t="s">
        <v>113</v>
      </c>
      <c r="N1037" s="30" t="s">
        <v>114</v>
      </c>
      <c r="O1037" s="30" t="s">
        <v>115</v>
      </c>
      <c r="P1037" s="30" t="s">
        <v>112</v>
      </c>
      <c r="Q1037" s="30" t="s">
        <v>112</v>
      </c>
      <c r="R1037" s="30" t="s">
        <v>185</v>
      </c>
      <c r="S1037" s="81">
        <f>HLOOKUP(L1037,データについて!$J$6:$M$18,13,FALSE)</f>
        <v>2</v>
      </c>
      <c r="T1037" s="81">
        <f>HLOOKUP(M1037,データについて!$J$7:$M$18,12,FALSE)</f>
        <v>1</v>
      </c>
      <c r="U1037" s="81">
        <f>HLOOKUP(N1037,データについて!$J$8:$M$18,11,FALSE)</f>
        <v>1</v>
      </c>
      <c r="V1037" s="81">
        <f>HLOOKUP(O1037,データについて!$J$9:$M$18,10,FALSE)</f>
        <v>1</v>
      </c>
      <c r="W1037" s="81">
        <f>HLOOKUP(P1037,データについて!$J$10:$M$18,9,FALSE)</f>
        <v>1</v>
      </c>
      <c r="X1037" s="81">
        <f>HLOOKUP(Q1037,データについて!$J$11:$M$18,8,FALSE)</f>
        <v>1</v>
      </c>
      <c r="Y1037" s="81">
        <f>HLOOKUP(R1037,データについて!$J$12:$M$18,7,FALSE)</f>
        <v>2</v>
      </c>
      <c r="Z1037" s="81">
        <f>HLOOKUP(I1037,データについて!$J$3:$M$18,16,FALSE)</f>
        <v>1</v>
      </c>
      <c r="AA1037" s="81">
        <f>IFERROR(HLOOKUP(J1037,データについて!$J$4:$AH$19,16,FALSE),"")</f>
        <v>7</v>
      </c>
      <c r="AB1037" s="81" t="str">
        <f>IFERROR(HLOOKUP(K1037,データについて!$J$5:$AH$20,14,FALSE),"")</f>
        <v/>
      </c>
      <c r="AC1037" s="81">
        <f>IF(X1037=1,HLOOKUP(R1037,データについて!$J$12:$M$18,7,FALSE),"*")</f>
        <v>2</v>
      </c>
      <c r="AD1037" s="81" t="str">
        <f>IF(X1037=2,HLOOKUP(R1037,データについて!$J$12:$M$18,7,FALSE),"*")</f>
        <v>*</v>
      </c>
    </row>
    <row r="1038" spans="1:30">
      <c r="A1038" s="30">
        <v>4154</v>
      </c>
      <c r="B1038" s="30" t="s">
        <v>3531</v>
      </c>
      <c r="C1038" s="30" t="s">
        <v>3532</v>
      </c>
      <c r="D1038" s="30" t="s">
        <v>106</v>
      </c>
      <c r="E1038" s="30"/>
      <c r="F1038" s="30" t="s">
        <v>107</v>
      </c>
      <c r="G1038" s="30" t="s">
        <v>106</v>
      </c>
      <c r="H1038" s="30"/>
      <c r="I1038" s="30" t="s">
        <v>192</v>
      </c>
      <c r="J1038" s="30" t="s">
        <v>942</v>
      </c>
      <c r="K1038" s="30"/>
      <c r="L1038" s="30" t="s">
        <v>108</v>
      </c>
      <c r="M1038" s="30" t="s">
        <v>113</v>
      </c>
      <c r="N1038" s="30" t="s">
        <v>114</v>
      </c>
      <c r="O1038" s="30" t="s">
        <v>115</v>
      </c>
      <c r="P1038" s="30" t="s">
        <v>112</v>
      </c>
      <c r="Q1038" s="30" t="s">
        <v>112</v>
      </c>
      <c r="R1038" s="30" t="s">
        <v>185</v>
      </c>
      <c r="S1038" s="81">
        <f>HLOOKUP(L1038,データについて!$J$6:$M$18,13,FALSE)</f>
        <v>1</v>
      </c>
      <c r="T1038" s="81">
        <f>HLOOKUP(M1038,データについて!$J$7:$M$18,12,FALSE)</f>
        <v>1</v>
      </c>
      <c r="U1038" s="81">
        <f>HLOOKUP(N1038,データについて!$J$8:$M$18,11,FALSE)</f>
        <v>1</v>
      </c>
      <c r="V1038" s="81">
        <f>HLOOKUP(O1038,データについて!$J$9:$M$18,10,FALSE)</f>
        <v>1</v>
      </c>
      <c r="W1038" s="81">
        <f>HLOOKUP(P1038,データについて!$J$10:$M$18,9,FALSE)</f>
        <v>1</v>
      </c>
      <c r="X1038" s="81">
        <f>HLOOKUP(Q1038,データについて!$J$11:$M$18,8,FALSE)</f>
        <v>1</v>
      </c>
      <c r="Y1038" s="81">
        <f>HLOOKUP(R1038,データについて!$J$12:$M$18,7,FALSE)</f>
        <v>2</v>
      </c>
      <c r="Z1038" s="81">
        <f>HLOOKUP(I1038,データについて!$J$3:$M$18,16,FALSE)</f>
        <v>1</v>
      </c>
      <c r="AA1038" s="81">
        <f>IFERROR(HLOOKUP(J1038,データについて!$J$4:$AH$19,16,FALSE),"")</f>
        <v>7</v>
      </c>
      <c r="AB1038" s="81" t="str">
        <f>IFERROR(HLOOKUP(K1038,データについて!$J$5:$AH$20,14,FALSE),"")</f>
        <v/>
      </c>
      <c r="AC1038" s="81">
        <f>IF(X1038=1,HLOOKUP(R1038,データについて!$J$12:$M$18,7,FALSE),"*")</f>
        <v>2</v>
      </c>
      <c r="AD1038" s="81" t="str">
        <f>IF(X1038=2,HLOOKUP(R1038,データについて!$J$12:$M$18,7,FALSE),"*")</f>
        <v>*</v>
      </c>
    </row>
    <row r="1039" spans="1:30">
      <c r="A1039" s="30">
        <v>4153</v>
      </c>
      <c r="B1039" s="30" t="s">
        <v>3533</v>
      </c>
      <c r="C1039" s="30" t="s">
        <v>3532</v>
      </c>
      <c r="D1039" s="30" t="s">
        <v>106</v>
      </c>
      <c r="E1039" s="30"/>
      <c r="F1039" s="30" t="s">
        <v>107</v>
      </c>
      <c r="G1039" s="30" t="s">
        <v>106</v>
      </c>
      <c r="H1039" s="30"/>
      <c r="I1039" s="30" t="s">
        <v>192</v>
      </c>
      <c r="J1039" s="30" t="s">
        <v>942</v>
      </c>
      <c r="K1039" s="30"/>
      <c r="L1039" s="30" t="s">
        <v>117</v>
      </c>
      <c r="M1039" s="30" t="s">
        <v>113</v>
      </c>
      <c r="N1039" s="30" t="s">
        <v>110</v>
      </c>
      <c r="O1039" s="30" t="s">
        <v>115</v>
      </c>
      <c r="P1039" s="30" t="s">
        <v>118</v>
      </c>
      <c r="Q1039" s="30" t="s">
        <v>112</v>
      </c>
      <c r="R1039" s="30" t="s">
        <v>183</v>
      </c>
      <c r="S1039" s="81">
        <f>HLOOKUP(L1039,データについて!$J$6:$M$18,13,FALSE)</f>
        <v>2</v>
      </c>
      <c r="T1039" s="81">
        <f>HLOOKUP(M1039,データについて!$J$7:$M$18,12,FALSE)</f>
        <v>1</v>
      </c>
      <c r="U1039" s="81">
        <f>HLOOKUP(N1039,データについて!$J$8:$M$18,11,FALSE)</f>
        <v>2</v>
      </c>
      <c r="V1039" s="81">
        <f>HLOOKUP(O1039,データについて!$J$9:$M$18,10,FALSE)</f>
        <v>1</v>
      </c>
      <c r="W1039" s="81">
        <f>HLOOKUP(P1039,データについて!$J$10:$M$18,9,FALSE)</f>
        <v>2</v>
      </c>
      <c r="X1039" s="81">
        <f>HLOOKUP(Q1039,データについて!$J$11:$M$18,8,FALSE)</f>
        <v>1</v>
      </c>
      <c r="Y1039" s="81">
        <f>HLOOKUP(R1039,データについて!$J$12:$M$18,7,FALSE)</f>
        <v>1</v>
      </c>
      <c r="Z1039" s="81">
        <f>HLOOKUP(I1039,データについて!$J$3:$M$18,16,FALSE)</f>
        <v>1</v>
      </c>
      <c r="AA1039" s="81">
        <f>IFERROR(HLOOKUP(J1039,データについて!$J$4:$AH$19,16,FALSE),"")</f>
        <v>7</v>
      </c>
      <c r="AB1039" s="81" t="str">
        <f>IFERROR(HLOOKUP(K1039,データについて!$J$5:$AH$20,14,FALSE),"")</f>
        <v/>
      </c>
      <c r="AC1039" s="81">
        <f>IF(X1039=1,HLOOKUP(R1039,データについて!$J$12:$M$18,7,FALSE),"*")</f>
        <v>1</v>
      </c>
      <c r="AD1039" s="81" t="str">
        <f>IF(X1039=2,HLOOKUP(R1039,データについて!$J$12:$M$18,7,FALSE),"*")</f>
        <v>*</v>
      </c>
    </row>
    <row r="1040" spans="1:30">
      <c r="A1040" s="30">
        <v>4152</v>
      </c>
      <c r="B1040" s="30" t="s">
        <v>3534</v>
      </c>
      <c r="C1040" s="30" t="s">
        <v>3535</v>
      </c>
      <c r="D1040" s="30" t="s">
        <v>106</v>
      </c>
      <c r="E1040" s="30"/>
      <c r="F1040" s="30" t="s">
        <v>107</v>
      </c>
      <c r="G1040" s="30" t="s">
        <v>106</v>
      </c>
      <c r="H1040" s="30"/>
      <c r="I1040" s="30" t="s">
        <v>192</v>
      </c>
      <c r="J1040" s="30" t="s">
        <v>942</v>
      </c>
      <c r="K1040" s="30"/>
      <c r="L1040" s="30" t="s">
        <v>117</v>
      </c>
      <c r="M1040" s="30" t="s">
        <v>113</v>
      </c>
      <c r="N1040" s="30" t="s">
        <v>114</v>
      </c>
      <c r="O1040" s="30" t="s">
        <v>115</v>
      </c>
      <c r="P1040" s="30" t="s">
        <v>112</v>
      </c>
      <c r="Q1040" s="30" t="s">
        <v>112</v>
      </c>
      <c r="R1040" s="30" t="s">
        <v>183</v>
      </c>
      <c r="S1040" s="81">
        <f>HLOOKUP(L1040,データについて!$J$6:$M$18,13,FALSE)</f>
        <v>2</v>
      </c>
      <c r="T1040" s="81">
        <f>HLOOKUP(M1040,データについて!$J$7:$M$18,12,FALSE)</f>
        <v>1</v>
      </c>
      <c r="U1040" s="81">
        <f>HLOOKUP(N1040,データについて!$J$8:$M$18,11,FALSE)</f>
        <v>1</v>
      </c>
      <c r="V1040" s="81">
        <f>HLOOKUP(O1040,データについて!$J$9:$M$18,10,FALSE)</f>
        <v>1</v>
      </c>
      <c r="W1040" s="81">
        <f>HLOOKUP(P1040,データについて!$J$10:$M$18,9,FALSE)</f>
        <v>1</v>
      </c>
      <c r="X1040" s="81">
        <f>HLOOKUP(Q1040,データについて!$J$11:$M$18,8,FALSE)</f>
        <v>1</v>
      </c>
      <c r="Y1040" s="81">
        <f>HLOOKUP(R1040,データについて!$J$12:$M$18,7,FALSE)</f>
        <v>1</v>
      </c>
      <c r="Z1040" s="81">
        <f>HLOOKUP(I1040,データについて!$J$3:$M$18,16,FALSE)</f>
        <v>1</v>
      </c>
      <c r="AA1040" s="81">
        <f>IFERROR(HLOOKUP(J1040,データについて!$J$4:$AH$19,16,FALSE),"")</f>
        <v>7</v>
      </c>
      <c r="AB1040" s="81" t="str">
        <f>IFERROR(HLOOKUP(K1040,データについて!$J$5:$AH$20,14,FALSE),"")</f>
        <v/>
      </c>
      <c r="AC1040" s="81">
        <f>IF(X1040=1,HLOOKUP(R1040,データについて!$J$12:$M$18,7,FALSE),"*")</f>
        <v>1</v>
      </c>
      <c r="AD1040" s="81" t="str">
        <f>IF(X1040=2,HLOOKUP(R1040,データについて!$J$12:$M$18,7,FALSE),"*")</f>
        <v>*</v>
      </c>
    </row>
    <row r="1041" spans="1:30">
      <c r="A1041" s="30">
        <v>4151</v>
      </c>
      <c r="B1041" s="30" t="s">
        <v>3536</v>
      </c>
      <c r="C1041" s="30" t="s">
        <v>3537</v>
      </c>
      <c r="D1041" s="30" t="s">
        <v>106</v>
      </c>
      <c r="E1041" s="30"/>
      <c r="F1041" s="30" t="s">
        <v>107</v>
      </c>
      <c r="G1041" s="30" t="s">
        <v>106</v>
      </c>
      <c r="H1041" s="30"/>
      <c r="I1041" s="30" t="s">
        <v>192</v>
      </c>
      <c r="J1041" s="30" t="s">
        <v>942</v>
      </c>
      <c r="K1041" s="30"/>
      <c r="L1041" s="30" t="s">
        <v>108</v>
      </c>
      <c r="M1041" s="30" t="s">
        <v>113</v>
      </c>
      <c r="N1041" s="30" t="s">
        <v>110</v>
      </c>
      <c r="O1041" s="30" t="s">
        <v>115</v>
      </c>
      <c r="P1041" s="30" t="s">
        <v>112</v>
      </c>
      <c r="Q1041" s="30" t="s">
        <v>112</v>
      </c>
      <c r="R1041" s="30" t="s">
        <v>185</v>
      </c>
      <c r="S1041" s="81">
        <f>HLOOKUP(L1041,データについて!$J$6:$M$18,13,FALSE)</f>
        <v>1</v>
      </c>
      <c r="T1041" s="81">
        <f>HLOOKUP(M1041,データについて!$J$7:$M$18,12,FALSE)</f>
        <v>1</v>
      </c>
      <c r="U1041" s="81">
        <f>HLOOKUP(N1041,データについて!$J$8:$M$18,11,FALSE)</f>
        <v>2</v>
      </c>
      <c r="V1041" s="81">
        <f>HLOOKUP(O1041,データについて!$J$9:$M$18,10,FALSE)</f>
        <v>1</v>
      </c>
      <c r="W1041" s="81">
        <f>HLOOKUP(P1041,データについて!$J$10:$M$18,9,FALSE)</f>
        <v>1</v>
      </c>
      <c r="X1041" s="81">
        <f>HLOOKUP(Q1041,データについて!$J$11:$M$18,8,FALSE)</f>
        <v>1</v>
      </c>
      <c r="Y1041" s="81">
        <f>HLOOKUP(R1041,データについて!$J$12:$M$18,7,FALSE)</f>
        <v>2</v>
      </c>
      <c r="Z1041" s="81">
        <f>HLOOKUP(I1041,データについて!$J$3:$M$18,16,FALSE)</f>
        <v>1</v>
      </c>
      <c r="AA1041" s="81">
        <f>IFERROR(HLOOKUP(J1041,データについて!$J$4:$AH$19,16,FALSE),"")</f>
        <v>7</v>
      </c>
      <c r="AB1041" s="81" t="str">
        <f>IFERROR(HLOOKUP(K1041,データについて!$J$5:$AH$20,14,FALSE),"")</f>
        <v/>
      </c>
      <c r="AC1041" s="81">
        <f>IF(X1041=1,HLOOKUP(R1041,データについて!$J$12:$M$18,7,FALSE),"*")</f>
        <v>2</v>
      </c>
      <c r="AD1041" s="81" t="str">
        <f>IF(X1041=2,HLOOKUP(R1041,データについて!$J$12:$M$18,7,FALSE),"*")</f>
        <v>*</v>
      </c>
    </row>
    <row r="1042" spans="1:30">
      <c r="A1042" s="30">
        <v>4150</v>
      </c>
      <c r="B1042" s="30" t="s">
        <v>3538</v>
      </c>
      <c r="C1042" s="30" t="s">
        <v>3539</v>
      </c>
      <c r="D1042" s="30" t="s">
        <v>106</v>
      </c>
      <c r="E1042" s="30"/>
      <c r="F1042" s="30" t="s">
        <v>107</v>
      </c>
      <c r="G1042" s="30" t="s">
        <v>106</v>
      </c>
      <c r="H1042" s="30"/>
      <c r="I1042" s="30" t="s">
        <v>192</v>
      </c>
      <c r="J1042" s="30" t="s">
        <v>942</v>
      </c>
      <c r="K1042" s="30"/>
      <c r="L1042" s="30" t="s">
        <v>108</v>
      </c>
      <c r="M1042" s="30" t="s">
        <v>109</v>
      </c>
      <c r="N1042" s="30" t="s">
        <v>114</v>
      </c>
      <c r="O1042" s="30" t="s">
        <v>115</v>
      </c>
      <c r="P1042" s="30" t="s">
        <v>112</v>
      </c>
      <c r="Q1042" s="30" t="s">
        <v>118</v>
      </c>
      <c r="R1042" s="30" t="s">
        <v>185</v>
      </c>
      <c r="S1042" s="81">
        <f>HLOOKUP(L1042,データについて!$J$6:$M$18,13,FALSE)</f>
        <v>1</v>
      </c>
      <c r="T1042" s="81">
        <f>HLOOKUP(M1042,データについて!$J$7:$M$18,12,FALSE)</f>
        <v>2</v>
      </c>
      <c r="U1042" s="81">
        <f>HLOOKUP(N1042,データについて!$J$8:$M$18,11,FALSE)</f>
        <v>1</v>
      </c>
      <c r="V1042" s="81">
        <f>HLOOKUP(O1042,データについて!$J$9:$M$18,10,FALSE)</f>
        <v>1</v>
      </c>
      <c r="W1042" s="81">
        <f>HLOOKUP(P1042,データについて!$J$10:$M$18,9,FALSE)</f>
        <v>1</v>
      </c>
      <c r="X1042" s="81">
        <f>HLOOKUP(Q1042,データについて!$J$11:$M$18,8,FALSE)</f>
        <v>2</v>
      </c>
      <c r="Y1042" s="81">
        <f>HLOOKUP(R1042,データについて!$J$12:$M$18,7,FALSE)</f>
        <v>2</v>
      </c>
      <c r="Z1042" s="81">
        <f>HLOOKUP(I1042,データについて!$J$3:$M$18,16,FALSE)</f>
        <v>1</v>
      </c>
      <c r="AA1042" s="81">
        <f>IFERROR(HLOOKUP(J1042,データについて!$J$4:$AH$19,16,FALSE),"")</f>
        <v>7</v>
      </c>
      <c r="AB1042" s="81" t="str">
        <f>IFERROR(HLOOKUP(K1042,データについて!$J$5:$AH$20,14,FALSE),"")</f>
        <v/>
      </c>
      <c r="AC1042" s="81" t="str">
        <f>IF(X1042=1,HLOOKUP(R1042,データについて!$J$12:$M$18,7,FALSE),"*")</f>
        <v>*</v>
      </c>
      <c r="AD1042" s="81">
        <f>IF(X1042=2,HLOOKUP(R1042,データについて!$J$12:$M$18,7,FALSE),"*")</f>
        <v>2</v>
      </c>
    </row>
    <row r="1043" spans="1:30">
      <c r="A1043" s="30">
        <v>4149</v>
      </c>
      <c r="B1043" s="30" t="s">
        <v>3540</v>
      </c>
      <c r="C1043" s="30" t="s">
        <v>3541</v>
      </c>
      <c r="D1043" s="30" t="s">
        <v>106</v>
      </c>
      <c r="E1043" s="30"/>
      <c r="F1043" s="30" t="s">
        <v>107</v>
      </c>
      <c r="G1043" s="30" t="s">
        <v>106</v>
      </c>
      <c r="H1043" s="30"/>
      <c r="I1043" s="30" t="s">
        <v>192</v>
      </c>
      <c r="J1043" s="30" t="s">
        <v>942</v>
      </c>
      <c r="K1043" s="30"/>
      <c r="L1043" s="30" t="s">
        <v>108</v>
      </c>
      <c r="M1043" s="30" t="s">
        <v>113</v>
      </c>
      <c r="N1043" s="30" t="s">
        <v>110</v>
      </c>
      <c r="O1043" s="30" t="s">
        <v>115</v>
      </c>
      <c r="P1043" s="30" t="s">
        <v>112</v>
      </c>
      <c r="Q1043" s="30" t="s">
        <v>112</v>
      </c>
      <c r="R1043" s="30" t="s">
        <v>183</v>
      </c>
      <c r="S1043" s="81">
        <f>HLOOKUP(L1043,データについて!$J$6:$M$18,13,FALSE)</f>
        <v>1</v>
      </c>
      <c r="T1043" s="81">
        <f>HLOOKUP(M1043,データについて!$J$7:$M$18,12,FALSE)</f>
        <v>1</v>
      </c>
      <c r="U1043" s="81">
        <f>HLOOKUP(N1043,データについて!$J$8:$M$18,11,FALSE)</f>
        <v>2</v>
      </c>
      <c r="V1043" s="81">
        <f>HLOOKUP(O1043,データについて!$J$9:$M$18,10,FALSE)</f>
        <v>1</v>
      </c>
      <c r="W1043" s="81">
        <f>HLOOKUP(P1043,データについて!$J$10:$M$18,9,FALSE)</f>
        <v>1</v>
      </c>
      <c r="X1043" s="81">
        <f>HLOOKUP(Q1043,データについて!$J$11:$M$18,8,FALSE)</f>
        <v>1</v>
      </c>
      <c r="Y1043" s="81">
        <f>HLOOKUP(R1043,データについて!$J$12:$M$18,7,FALSE)</f>
        <v>1</v>
      </c>
      <c r="Z1043" s="81">
        <f>HLOOKUP(I1043,データについて!$J$3:$M$18,16,FALSE)</f>
        <v>1</v>
      </c>
      <c r="AA1043" s="81">
        <f>IFERROR(HLOOKUP(J1043,データについて!$J$4:$AH$19,16,FALSE),"")</f>
        <v>7</v>
      </c>
      <c r="AB1043" s="81" t="str">
        <f>IFERROR(HLOOKUP(K1043,データについて!$J$5:$AH$20,14,FALSE),"")</f>
        <v/>
      </c>
      <c r="AC1043" s="81">
        <f>IF(X1043=1,HLOOKUP(R1043,データについて!$J$12:$M$18,7,FALSE),"*")</f>
        <v>1</v>
      </c>
      <c r="AD1043" s="81" t="str">
        <f>IF(X1043=2,HLOOKUP(R1043,データについて!$J$12:$M$18,7,FALSE),"*")</f>
        <v>*</v>
      </c>
    </row>
    <row r="1044" spans="1:30">
      <c r="A1044" s="30">
        <v>4148</v>
      </c>
      <c r="B1044" s="30" t="s">
        <v>3542</v>
      </c>
      <c r="C1044" s="30" t="s">
        <v>3543</v>
      </c>
      <c r="D1044" s="30" t="s">
        <v>106</v>
      </c>
      <c r="E1044" s="30"/>
      <c r="F1044" s="30" t="s">
        <v>107</v>
      </c>
      <c r="G1044" s="30" t="s">
        <v>106</v>
      </c>
      <c r="H1044" s="30"/>
      <c r="I1044" s="30" t="s">
        <v>192</v>
      </c>
      <c r="J1044" s="30" t="s">
        <v>942</v>
      </c>
      <c r="K1044" s="30"/>
      <c r="L1044" s="30" t="s">
        <v>117</v>
      </c>
      <c r="M1044" s="30" t="s">
        <v>109</v>
      </c>
      <c r="N1044" s="30" t="s">
        <v>110</v>
      </c>
      <c r="O1044" s="30" t="s">
        <v>115</v>
      </c>
      <c r="P1044" s="30" t="s">
        <v>112</v>
      </c>
      <c r="Q1044" s="30" t="s">
        <v>112</v>
      </c>
      <c r="R1044" s="30" t="s">
        <v>189</v>
      </c>
      <c r="S1044" s="81">
        <f>HLOOKUP(L1044,データについて!$J$6:$M$18,13,FALSE)</f>
        <v>2</v>
      </c>
      <c r="T1044" s="81">
        <f>HLOOKUP(M1044,データについて!$J$7:$M$18,12,FALSE)</f>
        <v>2</v>
      </c>
      <c r="U1044" s="81">
        <f>HLOOKUP(N1044,データについて!$J$8:$M$18,11,FALSE)</f>
        <v>2</v>
      </c>
      <c r="V1044" s="81">
        <f>HLOOKUP(O1044,データについて!$J$9:$M$18,10,FALSE)</f>
        <v>1</v>
      </c>
      <c r="W1044" s="81">
        <f>HLOOKUP(P1044,データについて!$J$10:$M$18,9,FALSE)</f>
        <v>1</v>
      </c>
      <c r="X1044" s="81">
        <f>HLOOKUP(Q1044,データについて!$J$11:$M$18,8,FALSE)</f>
        <v>1</v>
      </c>
      <c r="Y1044" s="81">
        <f>HLOOKUP(R1044,データについて!$J$12:$M$18,7,FALSE)</f>
        <v>4</v>
      </c>
      <c r="Z1044" s="81">
        <f>HLOOKUP(I1044,データについて!$J$3:$M$18,16,FALSE)</f>
        <v>1</v>
      </c>
      <c r="AA1044" s="81">
        <f>IFERROR(HLOOKUP(J1044,データについて!$J$4:$AH$19,16,FALSE),"")</f>
        <v>7</v>
      </c>
      <c r="AB1044" s="81" t="str">
        <f>IFERROR(HLOOKUP(K1044,データについて!$J$5:$AH$20,14,FALSE),"")</f>
        <v/>
      </c>
      <c r="AC1044" s="81">
        <f>IF(X1044=1,HLOOKUP(R1044,データについて!$J$12:$M$18,7,FALSE),"*")</f>
        <v>4</v>
      </c>
      <c r="AD1044" s="81" t="str">
        <f>IF(X1044=2,HLOOKUP(R1044,データについて!$J$12:$M$18,7,FALSE),"*")</f>
        <v>*</v>
      </c>
    </row>
    <row r="1045" spans="1:30">
      <c r="A1045" s="30">
        <v>4147</v>
      </c>
      <c r="B1045" s="30" t="s">
        <v>3544</v>
      </c>
      <c r="C1045" s="30" t="s">
        <v>3545</v>
      </c>
      <c r="D1045" s="30" t="s">
        <v>106</v>
      </c>
      <c r="E1045" s="30"/>
      <c r="F1045" s="30" t="s">
        <v>107</v>
      </c>
      <c r="G1045" s="30" t="s">
        <v>106</v>
      </c>
      <c r="H1045" s="30"/>
      <c r="I1045" s="30" t="s">
        <v>192</v>
      </c>
      <c r="J1045" s="30" t="s">
        <v>942</v>
      </c>
      <c r="K1045" s="30"/>
      <c r="L1045" s="30" t="s">
        <v>117</v>
      </c>
      <c r="M1045" s="30" t="s">
        <v>113</v>
      </c>
      <c r="N1045" s="30" t="s">
        <v>110</v>
      </c>
      <c r="O1045" s="30" t="s">
        <v>115</v>
      </c>
      <c r="P1045" s="30" t="s">
        <v>112</v>
      </c>
      <c r="Q1045" s="30" t="s">
        <v>112</v>
      </c>
      <c r="R1045" s="30" t="s">
        <v>187</v>
      </c>
      <c r="S1045" s="81">
        <f>HLOOKUP(L1045,データについて!$J$6:$M$18,13,FALSE)</f>
        <v>2</v>
      </c>
      <c r="T1045" s="81">
        <f>HLOOKUP(M1045,データについて!$J$7:$M$18,12,FALSE)</f>
        <v>1</v>
      </c>
      <c r="U1045" s="81">
        <f>HLOOKUP(N1045,データについて!$J$8:$M$18,11,FALSE)</f>
        <v>2</v>
      </c>
      <c r="V1045" s="81">
        <f>HLOOKUP(O1045,データについて!$J$9:$M$18,10,FALSE)</f>
        <v>1</v>
      </c>
      <c r="W1045" s="81">
        <f>HLOOKUP(P1045,データについて!$J$10:$M$18,9,FALSE)</f>
        <v>1</v>
      </c>
      <c r="X1045" s="81">
        <f>HLOOKUP(Q1045,データについて!$J$11:$M$18,8,FALSE)</f>
        <v>1</v>
      </c>
      <c r="Y1045" s="81">
        <f>HLOOKUP(R1045,データについて!$J$12:$M$18,7,FALSE)</f>
        <v>3</v>
      </c>
      <c r="Z1045" s="81">
        <f>HLOOKUP(I1045,データについて!$J$3:$M$18,16,FALSE)</f>
        <v>1</v>
      </c>
      <c r="AA1045" s="81">
        <f>IFERROR(HLOOKUP(J1045,データについて!$J$4:$AH$19,16,FALSE),"")</f>
        <v>7</v>
      </c>
      <c r="AB1045" s="81" t="str">
        <f>IFERROR(HLOOKUP(K1045,データについて!$J$5:$AH$20,14,FALSE),"")</f>
        <v/>
      </c>
      <c r="AC1045" s="81">
        <f>IF(X1045=1,HLOOKUP(R1045,データについて!$J$12:$M$18,7,FALSE),"*")</f>
        <v>3</v>
      </c>
      <c r="AD1045" s="81" t="str">
        <f>IF(X1045=2,HLOOKUP(R1045,データについて!$J$12:$M$18,7,FALSE),"*")</f>
        <v>*</v>
      </c>
    </row>
    <row r="1046" spans="1:30">
      <c r="A1046" s="30">
        <v>4146</v>
      </c>
      <c r="B1046" s="30" t="s">
        <v>3546</v>
      </c>
      <c r="C1046" s="30" t="s">
        <v>3547</v>
      </c>
      <c r="D1046" s="30" t="s">
        <v>106</v>
      </c>
      <c r="E1046" s="30"/>
      <c r="F1046" s="30" t="s">
        <v>107</v>
      </c>
      <c r="G1046" s="30" t="s">
        <v>106</v>
      </c>
      <c r="H1046" s="30"/>
      <c r="I1046" s="30" t="s">
        <v>191</v>
      </c>
      <c r="J1046" s="30"/>
      <c r="K1046" s="30" t="s">
        <v>2463</v>
      </c>
      <c r="L1046" s="30" t="s">
        <v>117</v>
      </c>
      <c r="M1046" s="30" t="s">
        <v>113</v>
      </c>
      <c r="N1046" s="30" t="s">
        <v>110</v>
      </c>
      <c r="O1046" s="30" t="s">
        <v>123</v>
      </c>
      <c r="P1046" s="30" t="s">
        <v>118</v>
      </c>
      <c r="Q1046" s="30" t="s">
        <v>112</v>
      </c>
      <c r="R1046" s="30" t="s">
        <v>187</v>
      </c>
      <c r="S1046" s="81">
        <f>HLOOKUP(L1046,データについて!$J$6:$M$18,13,FALSE)</f>
        <v>2</v>
      </c>
      <c r="T1046" s="81">
        <f>HLOOKUP(M1046,データについて!$J$7:$M$18,12,FALSE)</f>
        <v>1</v>
      </c>
      <c r="U1046" s="81">
        <f>HLOOKUP(N1046,データについて!$J$8:$M$18,11,FALSE)</f>
        <v>2</v>
      </c>
      <c r="V1046" s="81">
        <f>HLOOKUP(O1046,データについて!$J$9:$M$18,10,FALSE)</f>
        <v>4</v>
      </c>
      <c r="W1046" s="81">
        <f>HLOOKUP(P1046,データについて!$J$10:$M$18,9,FALSE)</f>
        <v>2</v>
      </c>
      <c r="X1046" s="81">
        <f>HLOOKUP(Q1046,データについて!$J$11:$M$18,8,FALSE)</f>
        <v>1</v>
      </c>
      <c r="Y1046" s="81">
        <f>HLOOKUP(R1046,データについて!$J$12:$M$18,7,FALSE)</f>
        <v>3</v>
      </c>
      <c r="Z1046" s="81">
        <f>HLOOKUP(I1046,データについて!$J$3:$M$18,16,FALSE)</f>
        <v>2</v>
      </c>
      <c r="AA1046" s="81" t="str">
        <f>IFERROR(HLOOKUP(J1046,データについて!$J$4:$AH$19,16,FALSE),"")</f>
        <v/>
      </c>
      <c r="AB1046" s="81">
        <f>IFERROR(HLOOKUP(K1046,データについて!$J$5:$AH$20,14,FALSE),"")</f>
        <v>4</v>
      </c>
      <c r="AC1046" s="81">
        <f>IF(X1046=1,HLOOKUP(R1046,データについて!$J$12:$M$18,7,FALSE),"*")</f>
        <v>3</v>
      </c>
      <c r="AD1046" s="81" t="str">
        <f>IF(X1046=2,HLOOKUP(R1046,データについて!$J$12:$M$18,7,FALSE),"*")</f>
        <v>*</v>
      </c>
    </row>
    <row r="1047" spans="1:30">
      <c r="A1047" s="30">
        <v>4145</v>
      </c>
      <c r="B1047" s="30" t="s">
        <v>3548</v>
      </c>
      <c r="C1047" s="30" t="s">
        <v>3549</v>
      </c>
      <c r="D1047" s="30" t="s">
        <v>106</v>
      </c>
      <c r="E1047" s="30"/>
      <c r="F1047" s="30" t="s">
        <v>107</v>
      </c>
      <c r="G1047" s="30" t="s">
        <v>106</v>
      </c>
      <c r="H1047" s="30"/>
      <c r="I1047" s="30" t="s">
        <v>191</v>
      </c>
      <c r="J1047" s="30"/>
      <c r="K1047" s="30" t="s">
        <v>2463</v>
      </c>
      <c r="L1047" s="30" t="s">
        <v>117</v>
      </c>
      <c r="M1047" s="30" t="s">
        <v>113</v>
      </c>
      <c r="N1047" s="30" t="s">
        <v>114</v>
      </c>
      <c r="O1047" s="30" t="s">
        <v>115</v>
      </c>
      <c r="P1047" s="30" t="s">
        <v>112</v>
      </c>
      <c r="Q1047" s="30" t="s">
        <v>112</v>
      </c>
      <c r="R1047" s="30" t="s">
        <v>187</v>
      </c>
      <c r="S1047" s="81">
        <f>HLOOKUP(L1047,データについて!$J$6:$M$18,13,FALSE)</f>
        <v>2</v>
      </c>
      <c r="T1047" s="81">
        <f>HLOOKUP(M1047,データについて!$J$7:$M$18,12,FALSE)</f>
        <v>1</v>
      </c>
      <c r="U1047" s="81">
        <f>HLOOKUP(N1047,データについて!$J$8:$M$18,11,FALSE)</f>
        <v>1</v>
      </c>
      <c r="V1047" s="81">
        <f>HLOOKUP(O1047,データについて!$J$9:$M$18,10,FALSE)</f>
        <v>1</v>
      </c>
      <c r="W1047" s="81">
        <f>HLOOKUP(P1047,データについて!$J$10:$M$18,9,FALSE)</f>
        <v>1</v>
      </c>
      <c r="X1047" s="81">
        <f>HLOOKUP(Q1047,データについて!$J$11:$M$18,8,FALSE)</f>
        <v>1</v>
      </c>
      <c r="Y1047" s="81">
        <f>HLOOKUP(R1047,データについて!$J$12:$M$18,7,FALSE)</f>
        <v>3</v>
      </c>
      <c r="Z1047" s="81">
        <f>HLOOKUP(I1047,データについて!$J$3:$M$18,16,FALSE)</f>
        <v>2</v>
      </c>
      <c r="AA1047" s="81" t="str">
        <f>IFERROR(HLOOKUP(J1047,データについて!$J$4:$AH$19,16,FALSE),"")</f>
        <v/>
      </c>
      <c r="AB1047" s="81">
        <f>IFERROR(HLOOKUP(K1047,データについて!$J$5:$AH$20,14,FALSE),"")</f>
        <v>4</v>
      </c>
      <c r="AC1047" s="81">
        <f>IF(X1047=1,HLOOKUP(R1047,データについて!$J$12:$M$18,7,FALSE),"*")</f>
        <v>3</v>
      </c>
      <c r="AD1047" s="81" t="str">
        <f>IF(X1047=2,HLOOKUP(R1047,データについて!$J$12:$M$18,7,FALSE),"*")</f>
        <v>*</v>
      </c>
    </row>
    <row r="1048" spans="1:30">
      <c r="A1048" s="30">
        <v>4144</v>
      </c>
      <c r="B1048" s="30" t="s">
        <v>3550</v>
      </c>
      <c r="C1048" s="30" t="s">
        <v>3551</v>
      </c>
      <c r="D1048" s="30" t="s">
        <v>106</v>
      </c>
      <c r="E1048" s="30"/>
      <c r="F1048" s="30" t="s">
        <v>107</v>
      </c>
      <c r="G1048" s="30" t="s">
        <v>106</v>
      </c>
      <c r="H1048" s="30"/>
      <c r="I1048" s="30" t="s">
        <v>191</v>
      </c>
      <c r="J1048" s="30"/>
      <c r="K1048" s="30" t="s">
        <v>2463</v>
      </c>
      <c r="L1048" s="30" t="s">
        <v>117</v>
      </c>
      <c r="M1048" s="30" t="s">
        <v>121</v>
      </c>
      <c r="N1048" s="30" t="s">
        <v>119</v>
      </c>
      <c r="O1048" s="30" t="s">
        <v>115</v>
      </c>
      <c r="P1048" s="30" t="s">
        <v>118</v>
      </c>
      <c r="Q1048" s="30" t="s">
        <v>112</v>
      </c>
      <c r="R1048" s="30" t="s">
        <v>189</v>
      </c>
      <c r="S1048" s="81">
        <f>HLOOKUP(L1048,データについて!$J$6:$M$18,13,FALSE)</f>
        <v>2</v>
      </c>
      <c r="T1048" s="81">
        <f>HLOOKUP(M1048,データについて!$J$7:$M$18,12,FALSE)</f>
        <v>4</v>
      </c>
      <c r="U1048" s="81">
        <f>HLOOKUP(N1048,データについて!$J$8:$M$18,11,FALSE)</f>
        <v>4</v>
      </c>
      <c r="V1048" s="81">
        <f>HLOOKUP(O1048,データについて!$J$9:$M$18,10,FALSE)</f>
        <v>1</v>
      </c>
      <c r="W1048" s="81">
        <f>HLOOKUP(P1048,データについて!$J$10:$M$18,9,FALSE)</f>
        <v>2</v>
      </c>
      <c r="X1048" s="81">
        <f>HLOOKUP(Q1048,データについて!$J$11:$M$18,8,FALSE)</f>
        <v>1</v>
      </c>
      <c r="Y1048" s="81">
        <f>HLOOKUP(R1048,データについて!$J$12:$M$18,7,FALSE)</f>
        <v>4</v>
      </c>
      <c r="Z1048" s="81">
        <f>HLOOKUP(I1048,データについて!$J$3:$M$18,16,FALSE)</f>
        <v>2</v>
      </c>
      <c r="AA1048" s="81" t="str">
        <f>IFERROR(HLOOKUP(J1048,データについて!$J$4:$AH$19,16,FALSE),"")</f>
        <v/>
      </c>
      <c r="AB1048" s="81">
        <f>IFERROR(HLOOKUP(K1048,データについて!$J$5:$AH$20,14,FALSE),"")</f>
        <v>4</v>
      </c>
      <c r="AC1048" s="81">
        <f>IF(X1048=1,HLOOKUP(R1048,データについて!$J$12:$M$18,7,FALSE),"*")</f>
        <v>4</v>
      </c>
      <c r="AD1048" s="81" t="str">
        <f>IF(X1048=2,HLOOKUP(R1048,データについて!$J$12:$M$18,7,FALSE),"*")</f>
        <v>*</v>
      </c>
    </row>
    <row r="1049" spans="1:30">
      <c r="A1049" s="30">
        <v>4143</v>
      </c>
      <c r="B1049" s="30" t="s">
        <v>3552</v>
      </c>
      <c r="C1049" s="30" t="s">
        <v>3553</v>
      </c>
      <c r="D1049" s="30" t="s">
        <v>106</v>
      </c>
      <c r="E1049" s="30"/>
      <c r="F1049" s="30" t="s">
        <v>107</v>
      </c>
      <c r="G1049" s="30" t="s">
        <v>106</v>
      </c>
      <c r="H1049" s="30"/>
      <c r="I1049" s="30" t="s">
        <v>191</v>
      </c>
      <c r="J1049" s="30"/>
      <c r="K1049" s="30" t="s">
        <v>2463</v>
      </c>
      <c r="L1049" s="30" t="s">
        <v>117</v>
      </c>
      <c r="M1049" s="30" t="s">
        <v>124</v>
      </c>
      <c r="N1049" s="30" t="s">
        <v>110</v>
      </c>
      <c r="O1049" s="30" t="s">
        <v>115</v>
      </c>
      <c r="P1049" s="30" t="s">
        <v>112</v>
      </c>
      <c r="Q1049" s="30" t="s">
        <v>112</v>
      </c>
      <c r="R1049" s="30" t="s">
        <v>187</v>
      </c>
      <c r="S1049" s="81">
        <f>HLOOKUP(L1049,データについて!$J$6:$M$18,13,FALSE)</f>
        <v>2</v>
      </c>
      <c r="T1049" s="81">
        <f>HLOOKUP(M1049,データについて!$J$7:$M$18,12,FALSE)</f>
        <v>3</v>
      </c>
      <c r="U1049" s="81">
        <f>HLOOKUP(N1049,データについて!$J$8:$M$18,11,FALSE)</f>
        <v>2</v>
      </c>
      <c r="V1049" s="81">
        <f>HLOOKUP(O1049,データについて!$J$9:$M$18,10,FALSE)</f>
        <v>1</v>
      </c>
      <c r="W1049" s="81">
        <f>HLOOKUP(P1049,データについて!$J$10:$M$18,9,FALSE)</f>
        <v>1</v>
      </c>
      <c r="X1049" s="81">
        <f>HLOOKUP(Q1049,データについて!$J$11:$M$18,8,FALSE)</f>
        <v>1</v>
      </c>
      <c r="Y1049" s="81">
        <f>HLOOKUP(R1049,データについて!$J$12:$M$18,7,FALSE)</f>
        <v>3</v>
      </c>
      <c r="Z1049" s="81">
        <f>HLOOKUP(I1049,データについて!$J$3:$M$18,16,FALSE)</f>
        <v>2</v>
      </c>
      <c r="AA1049" s="81" t="str">
        <f>IFERROR(HLOOKUP(J1049,データについて!$J$4:$AH$19,16,FALSE),"")</f>
        <v/>
      </c>
      <c r="AB1049" s="81">
        <f>IFERROR(HLOOKUP(K1049,データについて!$J$5:$AH$20,14,FALSE),"")</f>
        <v>4</v>
      </c>
      <c r="AC1049" s="81">
        <f>IF(X1049=1,HLOOKUP(R1049,データについて!$J$12:$M$18,7,FALSE),"*")</f>
        <v>3</v>
      </c>
      <c r="AD1049" s="81" t="str">
        <f>IF(X1049=2,HLOOKUP(R1049,データについて!$J$12:$M$18,7,FALSE),"*")</f>
        <v>*</v>
      </c>
    </row>
    <row r="1050" spans="1:30">
      <c r="A1050" s="30">
        <v>4142</v>
      </c>
      <c r="B1050" s="30" t="s">
        <v>3554</v>
      </c>
      <c r="C1050" s="30" t="s">
        <v>3555</v>
      </c>
      <c r="D1050" s="30" t="s">
        <v>106</v>
      </c>
      <c r="E1050" s="30"/>
      <c r="F1050" s="30" t="s">
        <v>107</v>
      </c>
      <c r="G1050" s="30" t="s">
        <v>106</v>
      </c>
      <c r="H1050" s="30"/>
      <c r="I1050" s="30" t="s">
        <v>191</v>
      </c>
      <c r="J1050" s="30"/>
      <c r="K1050" s="30" t="s">
        <v>2463</v>
      </c>
      <c r="L1050" s="30" t="s">
        <v>117</v>
      </c>
      <c r="M1050" s="30" t="s">
        <v>109</v>
      </c>
      <c r="N1050" s="30" t="s">
        <v>114</v>
      </c>
      <c r="O1050" s="30" t="s">
        <v>115</v>
      </c>
      <c r="P1050" s="30" t="s">
        <v>112</v>
      </c>
      <c r="Q1050" s="30" t="s">
        <v>112</v>
      </c>
      <c r="R1050" s="30" t="s">
        <v>185</v>
      </c>
      <c r="S1050" s="81">
        <f>HLOOKUP(L1050,データについて!$J$6:$M$18,13,FALSE)</f>
        <v>2</v>
      </c>
      <c r="T1050" s="81">
        <f>HLOOKUP(M1050,データについて!$J$7:$M$18,12,FALSE)</f>
        <v>2</v>
      </c>
      <c r="U1050" s="81">
        <f>HLOOKUP(N1050,データについて!$J$8:$M$18,11,FALSE)</f>
        <v>1</v>
      </c>
      <c r="V1050" s="81">
        <f>HLOOKUP(O1050,データについて!$J$9:$M$18,10,FALSE)</f>
        <v>1</v>
      </c>
      <c r="W1050" s="81">
        <f>HLOOKUP(P1050,データについて!$J$10:$M$18,9,FALSE)</f>
        <v>1</v>
      </c>
      <c r="X1050" s="81">
        <f>HLOOKUP(Q1050,データについて!$J$11:$M$18,8,FALSE)</f>
        <v>1</v>
      </c>
      <c r="Y1050" s="81">
        <f>HLOOKUP(R1050,データについて!$J$12:$M$18,7,FALSE)</f>
        <v>2</v>
      </c>
      <c r="Z1050" s="81">
        <f>HLOOKUP(I1050,データについて!$J$3:$M$18,16,FALSE)</f>
        <v>2</v>
      </c>
      <c r="AA1050" s="81" t="str">
        <f>IFERROR(HLOOKUP(J1050,データについて!$J$4:$AH$19,16,FALSE),"")</f>
        <v/>
      </c>
      <c r="AB1050" s="81">
        <f>IFERROR(HLOOKUP(K1050,データについて!$J$5:$AH$20,14,FALSE),"")</f>
        <v>4</v>
      </c>
      <c r="AC1050" s="81">
        <f>IF(X1050=1,HLOOKUP(R1050,データについて!$J$12:$M$18,7,FALSE),"*")</f>
        <v>2</v>
      </c>
      <c r="AD1050" s="81" t="str">
        <f>IF(X1050=2,HLOOKUP(R1050,データについて!$J$12:$M$18,7,FALSE),"*")</f>
        <v>*</v>
      </c>
    </row>
    <row r="1051" spans="1:30">
      <c r="A1051" s="30">
        <v>4141</v>
      </c>
      <c r="B1051" s="30" t="s">
        <v>3556</v>
      </c>
      <c r="C1051" s="30" t="s">
        <v>3557</v>
      </c>
      <c r="D1051" s="30" t="s">
        <v>106</v>
      </c>
      <c r="E1051" s="30"/>
      <c r="F1051" s="30" t="s">
        <v>107</v>
      </c>
      <c r="G1051" s="30" t="s">
        <v>106</v>
      </c>
      <c r="H1051" s="30"/>
      <c r="I1051" s="30" t="s">
        <v>191</v>
      </c>
      <c r="J1051" s="30"/>
      <c r="K1051" s="30" t="s">
        <v>2463</v>
      </c>
      <c r="L1051" s="30" t="s">
        <v>117</v>
      </c>
      <c r="M1051" s="30" t="s">
        <v>109</v>
      </c>
      <c r="N1051" s="30" t="s">
        <v>114</v>
      </c>
      <c r="O1051" s="30" t="s">
        <v>115</v>
      </c>
      <c r="P1051" s="30" t="s">
        <v>112</v>
      </c>
      <c r="Q1051" s="30" t="s">
        <v>112</v>
      </c>
      <c r="R1051" s="30" t="s">
        <v>187</v>
      </c>
      <c r="S1051" s="81">
        <f>HLOOKUP(L1051,データについて!$J$6:$M$18,13,FALSE)</f>
        <v>2</v>
      </c>
      <c r="T1051" s="81">
        <f>HLOOKUP(M1051,データについて!$J$7:$M$18,12,FALSE)</f>
        <v>2</v>
      </c>
      <c r="U1051" s="81">
        <f>HLOOKUP(N1051,データについて!$J$8:$M$18,11,FALSE)</f>
        <v>1</v>
      </c>
      <c r="V1051" s="81">
        <f>HLOOKUP(O1051,データについて!$J$9:$M$18,10,FALSE)</f>
        <v>1</v>
      </c>
      <c r="W1051" s="81">
        <f>HLOOKUP(P1051,データについて!$J$10:$M$18,9,FALSE)</f>
        <v>1</v>
      </c>
      <c r="X1051" s="81">
        <f>HLOOKUP(Q1051,データについて!$J$11:$M$18,8,FALSE)</f>
        <v>1</v>
      </c>
      <c r="Y1051" s="81">
        <f>HLOOKUP(R1051,データについて!$J$12:$M$18,7,FALSE)</f>
        <v>3</v>
      </c>
      <c r="Z1051" s="81">
        <f>HLOOKUP(I1051,データについて!$J$3:$M$18,16,FALSE)</f>
        <v>2</v>
      </c>
      <c r="AA1051" s="81" t="str">
        <f>IFERROR(HLOOKUP(J1051,データについて!$J$4:$AH$19,16,FALSE),"")</f>
        <v/>
      </c>
      <c r="AB1051" s="81">
        <f>IFERROR(HLOOKUP(K1051,データについて!$J$5:$AH$20,14,FALSE),"")</f>
        <v>4</v>
      </c>
      <c r="AC1051" s="81">
        <f>IF(X1051=1,HLOOKUP(R1051,データについて!$J$12:$M$18,7,FALSE),"*")</f>
        <v>3</v>
      </c>
      <c r="AD1051" s="81" t="str">
        <f>IF(X1051=2,HLOOKUP(R1051,データについて!$J$12:$M$18,7,FALSE),"*")</f>
        <v>*</v>
      </c>
    </row>
    <row r="1052" spans="1:30">
      <c r="A1052" s="30">
        <v>4140</v>
      </c>
      <c r="B1052" s="30" t="s">
        <v>3558</v>
      </c>
      <c r="C1052" s="30" t="s">
        <v>3559</v>
      </c>
      <c r="D1052" s="30" t="s">
        <v>106</v>
      </c>
      <c r="E1052" s="30"/>
      <c r="F1052" s="30" t="s">
        <v>107</v>
      </c>
      <c r="G1052" s="30" t="s">
        <v>106</v>
      </c>
      <c r="H1052" s="30"/>
      <c r="I1052" s="30" t="s">
        <v>191</v>
      </c>
      <c r="J1052" s="30"/>
      <c r="K1052" s="30" t="s">
        <v>2463</v>
      </c>
      <c r="L1052" s="30" t="s">
        <v>108</v>
      </c>
      <c r="M1052" s="30" t="s">
        <v>113</v>
      </c>
      <c r="N1052" s="30" t="s">
        <v>114</v>
      </c>
      <c r="O1052" s="30" t="s">
        <v>111</v>
      </c>
      <c r="P1052" s="30" t="s">
        <v>118</v>
      </c>
      <c r="Q1052" s="30" t="s">
        <v>112</v>
      </c>
      <c r="R1052" s="30" t="s">
        <v>187</v>
      </c>
      <c r="S1052" s="81">
        <f>HLOOKUP(L1052,データについて!$J$6:$M$18,13,FALSE)</f>
        <v>1</v>
      </c>
      <c r="T1052" s="81">
        <f>HLOOKUP(M1052,データについて!$J$7:$M$18,12,FALSE)</f>
        <v>1</v>
      </c>
      <c r="U1052" s="81">
        <f>HLOOKUP(N1052,データについて!$J$8:$M$18,11,FALSE)</f>
        <v>1</v>
      </c>
      <c r="V1052" s="81">
        <f>HLOOKUP(O1052,データについて!$J$9:$M$18,10,FALSE)</f>
        <v>3</v>
      </c>
      <c r="W1052" s="81">
        <f>HLOOKUP(P1052,データについて!$J$10:$M$18,9,FALSE)</f>
        <v>2</v>
      </c>
      <c r="X1052" s="81">
        <f>HLOOKUP(Q1052,データについて!$J$11:$M$18,8,FALSE)</f>
        <v>1</v>
      </c>
      <c r="Y1052" s="81">
        <f>HLOOKUP(R1052,データについて!$J$12:$M$18,7,FALSE)</f>
        <v>3</v>
      </c>
      <c r="Z1052" s="81">
        <f>HLOOKUP(I1052,データについて!$J$3:$M$18,16,FALSE)</f>
        <v>2</v>
      </c>
      <c r="AA1052" s="81" t="str">
        <f>IFERROR(HLOOKUP(J1052,データについて!$J$4:$AH$19,16,FALSE),"")</f>
        <v/>
      </c>
      <c r="AB1052" s="81">
        <f>IFERROR(HLOOKUP(K1052,データについて!$J$5:$AH$20,14,FALSE),"")</f>
        <v>4</v>
      </c>
      <c r="AC1052" s="81">
        <f>IF(X1052=1,HLOOKUP(R1052,データについて!$J$12:$M$18,7,FALSE),"*")</f>
        <v>3</v>
      </c>
      <c r="AD1052" s="81" t="str">
        <f>IF(X1052=2,HLOOKUP(R1052,データについて!$J$12:$M$18,7,FALSE),"*")</f>
        <v>*</v>
      </c>
    </row>
    <row r="1053" spans="1:30">
      <c r="A1053" s="30">
        <v>4139</v>
      </c>
      <c r="B1053" s="30" t="s">
        <v>3560</v>
      </c>
      <c r="C1053" s="30" t="s">
        <v>3561</v>
      </c>
      <c r="D1053" s="30" t="s">
        <v>106</v>
      </c>
      <c r="E1053" s="30"/>
      <c r="F1053" s="30" t="s">
        <v>107</v>
      </c>
      <c r="G1053" s="30" t="s">
        <v>106</v>
      </c>
      <c r="H1053" s="30"/>
      <c r="I1053" s="30" t="s">
        <v>191</v>
      </c>
      <c r="J1053" s="30"/>
      <c r="K1053" s="30" t="s">
        <v>2463</v>
      </c>
      <c r="L1053" s="30" t="s">
        <v>117</v>
      </c>
      <c r="M1053" s="30" t="s">
        <v>109</v>
      </c>
      <c r="N1053" s="30" t="s">
        <v>114</v>
      </c>
      <c r="O1053" s="30" t="s">
        <v>115</v>
      </c>
      <c r="P1053" s="30" t="s">
        <v>112</v>
      </c>
      <c r="Q1053" s="30" t="s">
        <v>112</v>
      </c>
      <c r="R1053" s="30" t="s">
        <v>185</v>
      </c>
      <c r="S1053" s="81">
        <f>HLOOKUP(L1053,データについて!$J$6:$M$18,13,FALSE)</f>
        <v>2</v>
      </c>
      <c r="T1053" s="81">
        <f>HLOOKUP(M1053,データについて!$J$7:$M$18,12,FALSE)</f>
        <v>2</v>
      </c>
      <c r="U1053" s="81">
        <f>HLOOKUP(N1053,データについて!$J$8:$M$18,11,FALSE)</f>
        <v>1</v>
      </c>
      <c r="V1053" s="81">
        <f>HLOOKUP(O1053,データについて!$J$9:$M$18,10,FALSE)</f>
        <v>1</v>
      </c>
      <c r="W1053" s="81">
        <f>HLOOKUP(P1053,データについて!$J$10:$M$18,9,FALSE)</f>
        <v>1</v>
      </c>
      <c r="X1053" s="81">
        <f>HLOOKUP(Q1053,データについて!$J$11:$M$18,8,FALSE)</f>
        <v>1</v>
      </c>
      <c r="Y1053" s="81">
        <f>HLOOKUP(R1053,データについて!$J$12:$M$18,7,FALSE)</f>
        <v>2</v>
      </c>
      <c r="Z1053" s="81">
        <f>HLOOKUP(I1053,データについて!$J$3:$M$18,16,FALSE)</f>
        <v>2</v>
      </c>
      <c r="AA1053" s="81" t="str">
        <f>IFERROR(HLOOKUP(J1053,データについて!$J$4:$AH$19,16,FALSE),"")</f>
        <v/>
      </c>
      <c r="AB1053" s="81">
        <f>IFERROR(HLOOKUP(K1053,データについて!$J$5:$AH$20,14,FALSE),"")</f>
        <v>4</v>
      </c>
      <c r="AC1053" s="81">
        <f>IF(X1053=1,HLOOKUP(R1053,データについて!$J$12:$M$18,7,FALSE),"*")</f>
        <v>2</v>
      </c>
      <c r="AD1053" s="81" t="str">
        <f>IF(X1053=2,HLOOKUP(R1053,データについて!$J$12:$M$18,7,FALSE),"*")</f>
        <v>*</v>
      </c>
    </row>
    <row r="1054" spans="1:30">
      <c r="A1054" s="30">
        <v>4138</v>
      </c>
      <c r="B1054" s="30" t="s">
        <v>3562</v>
      </c>
      <c r="C1054" s="30" t="s">
        <v>3563</v>
      </c>
      <c r="D1054" s="30" t="s">
        <v>106</v>
      </c>
      <c r="E1054" s="30"/>
      <c r="F1054" s="30" t="s">
        <v>107</v>
      </c>
      <c r="G1054" s="30" t="s">
        <v>106</v>
      </c>
      <c r="H1054" s="30"/>
      <c r="I1054" s="30" t="s">
        <v>191</v>
      </c>
      <c r="J1054" s="30"/>
      <c r="K1054" s="30" t="s">
        <v>2463</v>
      </c>
      <c r="L1054" s="30" t="s">
        <v>117</v>
      </c>
      <c r="M1054" s="30" t="s">
        <v>109</v>
      </c>
      <c r="N1054" s="30" t="s">
        <v>110</v>
      </c>
      <c r="O1054" s="30" t="s">
        <v>115</v>
      </c>
      <c r="P1054" s="30" t="s">
        <v>112</v>
      </c>
      <c r="Q1054" s="30" t="s">
        <v>112</v>
      </c>
      <c r="R1054" s="30" t="s">
        <v>185</v>
      </c>
      <c r="S1054" s="81">
        <f>HLOOKUP(L1054,データについて!$J$6:$M$18,13,FALSE)</f>
        <v>2</v>
      </c>
      <c r="T1054" s="81">
        <f>HLOOKUP(M1054,データについて!$J$7:$M$18,12,FALSE)</f>
        <v>2</v>
      </c>
      <c r="U1054" s="81">
        <f>HLOOKUP(N1054,データについて!$J$8:$M$18,11,FALSE)</f>
        <v>2</v>
      </c>
      <c r="V1054" s="81">
        <f>HLOOKUP(O1054,データについて!$J$9:$M$18,10,FALSE)</f>
        <v>1</v>
      </c>
      <c r="W1054" s="81">
        <f>HLOOKUP(P1054,データについて!$J$10:$M$18,9,FALSE)</f>
        <v>1</v>
      </c>
      <c r="X1054" s="81">
        <f>HLOOKUP(Q1054,データについて!$J$11:$M$18,8,FALSE)</f>
        <v>1</v>
      </c>
      <c r="Y1054" s="81">
        <f>HLOOKUP(R1054,データについて!$J$12:$M$18,7,FALSE)</f>
        <v>2</v>
      </c>
      <c r="Z1054" s="81">
        <f>HLOOKUP(I1054,データについて!$J$3:$M$18,16,FALSE)</f>
        <v>2</v>
      </c>
      <c r="AA1054" s="81" t="str">
        <f>IFERROR(HLOOKUP(J1054,データについて!$J$4:$AH$19,16,FALSE),"")</f>
        <v/>
      </c>
      <c r="AB1054" s="81">
        <f>IFERROR(HLOOKUP(K1054,データについて!$J$5:$AH$20,14,FALSE),"")</f>
        <v>4</v>
      </c>
      <c r="AC1054" s="81">
        <f>IF(X1054=1,HLOOKUP(R1054,データについて!$J$12:$M$18,7,FALSE),"*")</f>
        <v>2</v>
      </c>
      <c r="AD1054" s="81" t="str">
        <f>IF(X1054=2,HLOOKUP(R1054,データについて!$J$12:$M$18,7,FALSE),"*")</f>
        <v>*</v>
      </c>
    </row>
    <row r="1055" spans="1:30">
      <c r="A1055" s="30">
        <v>4137</v>
      </c>
      <c r="B1055" s="30" t="s">
        <v>3564</v>
      </c>
      <c r="C1055" s="30" t="s">
        <v>3565</v>
      </c>
      <c r="D1055" s="30" t="s">
        <v>106</v>
      </c>
      <c r="E1055" s="30"/>
      <c r="F1055" s="30" t="s">
        <v>107</v>
      </c>
      <c r="G1055" s="30" t="s">
        <v>106</v>
      </c>
      <c r="H1055" s="30"/>
      <c r="I1055" s="30" t="s">
        <v>191</v>
      </c>
      <c r="J1055" s="30"/>
      <c r="K1055" s="30" t="s">
        <v>2463</v>
      </c>
      <c r="L1055" s="30" t="s">
        <v>108</v>
      </c>
      <c r="M1055" s="30" t="s">
        <v>109</v>
      </c>
      <c r="N1055" s="30" t="s">
        <v>114</v>
      </c>
      <c r="O1055" s="30" t="s">
        <v>115</v>
      </c>
      <c r="P1055" s="30" t="s">
        <v>112</v>
      </c>
      <c r="Q1055" s="30" t="s">
        <v>112</v>
      </c>
      <c r="R1055" s="30" t="s">
        <v>187</v>
      </c>
      <c r="S1055" s="81">
        <f>HLOOKUP(L1055,データについて!$J$6:$M$18,13,FALSE)</f>
        <v>1</v>
      </c>
      <c r="T1055" s="81">
        <f>HLOOKUP(M1055,データについて!$J$7:$M$18,12,FALSE)</f>
        <v>2</v>
      </c>
      <c r="U1055" s="81">
        <f>HLOOKUP(N1055,データについて!$J$8:$M$18,11,FALSE)</f>
        <v>1</v>
      </c>
      <c r="V1055" s="81">
        <f>HLOOKUP(O1055,データについて!$J$9:$M$18,10,FALSE)</f>
        <v>1</v>
      </c>
      <c r="W1055" s="81">
        <f>HLOOKUP(P1055,データについて!$J$10:$M$18,9,FALSE)</f>
        <v>1</v>
      </c>
      <c r="X1055" s="81">
        <f>HLOOKUP(Q1055,データについて!$J$11:$M$18,8,FALSE)</f>
        <v>1</v>
      </c>
      <c r="Y1055" s="81">
        <f>HLOOKUP(R1055,データについて!$J$12:$M$18,7,FALSE)</f>
        <v>3</v>
      </c>
      <c r="Z1055" s="81">
        <f>HLOOKUP(I1055,データについて!$J$3:$M$18,16,FALSE)</f>
        <v>2</v>
      </c>
      <c r="AA1055" s="81" t="str">
        <f>IFERROR(HLOOKUP(J1055,データについて!$J$4:$AH$19,16,FALSE),"")</f>
        <v/>
      </c>
      <c r="AB1055" s="81">
        <f>IFERROR(HLOOKUP(K1055,データについて!$J$5:$AH$20,14,FALSE),"")</f>
        <v>4</v>
      </c>
      <c r="AC1055" s="81">
        <f>IF(X1055=1,HLOOKUP(R1055,データについて!$J$12:$M$18,7,FALSE),"*")</f>
        <v>3</v>
      </c>
      <c r="AD1055" s="81" t="str">
        <f>IF(X1055=2,HLOOKUP(R1055,データについて!$J$12:$M$18,7,FALSE),"*")</f>
        <v>*</v>
      </c>
    </row>
    <row r="1056" spans="1:30">
      <c r="A1056" s="30">
        <v>4136</v>
      </c>
      <c r="B1056" s="30" t="s">
        <v>3566</v>
      </c>
      <c r="C1056" s="30" t="s">
        <v>3567</v>
      </c>
      <c r="D1056" s="30" t="s">
        <v>106</v>
      </c>
      <c r="E1056" s="30"/>
      <c r="F1056" s="30" t="s">
        <v>107</v>
      </c>
      <c r="G1056" s="30" t="s">
        <v>106</v>
      </c>
      <c r="H1056" s="30"/>
      <c r="I1056" s="30" t="s">
        <v>191</v>
      </c>
      <c r="J1056" s="30"/>
      <c r="K1056" s="30" t="s">
        <v>2463</v>
      </c>
      <c r="L1056" s="30" t="s">
        <v>108</v>
      </c>
      <c r="M1056" s="30" t="s">
        <v>109</v>
      </c>
      <c r="N1056" s="30" t="s">
        <v>114</v>
      </c>
      <c r="O1056" s="30" t="s">
        <v>115</v>
      </c>
      <c r="P1056" s="30" t="s">
        <v>118</v>
      </c>
      <c r="Q1056" s="30" t="s">
        <v>112</v>
      </c>
      <c r="R1056" s="30" t="s">
        <v>185</v>
      </c>
      <c r="S1056" s="81">
        <f>HLOOKUP(L1056,データについて!$J$6:$M$18,13,FALSE)</f>
        <v>1</v>
      </c>
      <c r="T1056" s="81">
        <f>HLOOKUP(M1056,データについて!$J$7:$M$18,12,FALSE)</f>
        <v>2</v>
      </c>
      <c r="U1056" s="81">
        <f>HLOOKUP(N1056,データについて!$J$8:$M$18,11,FALSE)</f>
        <v>1</v>
      </c>
      <c r="V1056" s="81">
        <f>HLOOKUP(O1056,データについて!$J$9:$M$18,10,FALSE)</f>
        <v>1</v>
      </c>
      <c r="W1056" s="81">
        <f>HLOOKUP(P1056,データについて!$J$10:$M$18,9,FALSE)</f>
        <v>2</v>
      </c>
      <c r="X1056" s="81">
        <f>HLOOKUP(Q1056,データについて!$J$11:$M$18,8,FALSE)</f>
        <v>1</v>
      </c>
      <c r="Y1056" s="81">
        <f>HLOOKUP(R1056,データについて!$J$12:$M$18,7,FALSE)</f>
        <v>2</v>
      </c>
      <c r="Z1056" s="81">
        <f>HLOOKUP(I1056,データについて!$J$3:$M$18,16,FALSE)</f>
        <v>2</v>
      </c>
      <c r="AA1056" s="81" t="str">
        <f>IFERROR(HLOOKUP(J1056,データについて!$J$4:$AH$19,16,FALSE),"")</f>
        <v/>
      </c>
      <c r="AB1056" s="81">
        <f>IFERROR(HLOOKUP(K1056,データについて!$J$5:$AH$20,14,FALSE),"")</f>
        <v>4</v>
      </c>
      <c r="AC1056" s="81">
        <f>IF(X1056=1,HLOOKUP(R1056,データについて!$J$12:$M$18,7,FALSE),"*")</f>
        <v>2</v>
      </c>
      <c r="AD1056" s="81" t="str">
        <f>IF(X1056=2,HLOOKUP(R1056,データについて!$J$12:$M$18,7,FALSE),"*")</f>
        <v>*</v>
      </c>
    </row>
    <row r="1057" spans="1:30">
      <c r="A1057" s="30">
        <v>4135</v>
      </c>
      <c r="B1057" s="30" t="s">
        <v>3568</v>
      </c>
      <c r="C1057" s="30" t="s">
        <v>3569</v>
      </c>
      <c r="D1057" s="30" t="s">
        <v>106</v>
      </c>
      <c r="E1057" s="30"/>
      <c r="F1057" s="30" t="s">
        <v>107</v>
      </c>
      <c r="G1057" s="30" t="s">
        <v>106</v>
      </c>
      <c r="H1057" s="30"/>
      <c r="I1057" s="30" t="s">
        <v>191</v>
      </c>
      <c r="J1057" s="30"/>
      <c r="K1057" s="30" t="s">
        <v>2463</v>
      </c>
      <c r="L1057" s="30" t="s">
        <v>108</v>
      </c>
      <c r="M1057" s="30" t="s">
        <v>113</v>
      </c>
      <c r="N1057" s="30" t="s">
        <v>114</v>
      </c>
      <c r="O1057" s="30" t="s">
        <v>115</v>
      </c>
      <c r="P1057" s="30" t="s">
        <v>118</v>
      </c>
      <c r="Q1057" s="30" t="s">
        <v>112</v>
      </c>
      <c r="R1057" s="30" t="s">
        <v>185</v>
      </c>
      <c r="S1057" s="81">
        <f>HLOOKUP(L1057,データについて!$J$6:$M$18,13,FALSE)</f>
        <v>1</v>
      </c>
      <c r="T1057" s="81">
        <f>HLOOKUP(M1057,データについて!$J$7:$M$18,12,FALSE)</f>
        <v>1</v>
      </c>
      <c r="U1057" s="81">
        <f>HLOOKUP(N1057,データについて!$J$8:$M$18,11,FALSE)</f>
        <v>1</v>
      </c>
      <c r="V1057" s="81">
        <f>HLOOKUP(O1057,データについて!$J$9:$M$18,10,FALSE)</f>
        <v>1</v>
      </c>
      <c r="W1057" s="81">
        <f>HLOOKUP(P1057,データについて!$J$10:$M$18,9,FALSE)</f>
        <v>2</v>
      </c>
      <c r="X1057" s="81">
        <f>HLOOKUP(Q1057,データについて!$J$11:$M$18,8,FALSE)</f>
        <v>1</v>
      </c>
      <c r="Y1057" s="81">
        <f>HLOOKUP(R1057,データについて!$J$12:$M$18,7,FALSE)</f>
        <v>2</v>
      </c>
      <c r="Z1057" s="81">
        <f>HLOOKUP(I1057,データについて!$J$3:$M$18,16,FALSE)</f>
        <v>2</v>
      </c>
      <c r="AA1057" s="81" t="str">
        <f>IFERROR(HLOOKUP(J1057,データについて!$J$4:$AH$19,16,FALSE),"")</f>
        <v/>
      </c>
      <c r="AB1057" s="81">
        <f>IFERROR(HLOOKUP(K1057,データについて!$J$5:$AH$20,14,FALSE),"")</f>
        <v>4</v>
      </c>
      <c r="AC1057" s="81">
        <f>IF(X1057=1,HLOOKUP(R1057,データについて!$J$12:$M$18,7,FALSE),"*")</f>
        <v>2</v>
      </c>
      <c r="AD1057" s="81" t="str">
        <f>IF(X1057=2,HLOOKUP(R1057,データについて!$J$12:$M$18,7,FALSE),"*")</f>
        <v>*</v>
      </c>
    </row>
    <row r="1058" spans="1:30">
      <c r="A1058" s="30">
        <v>4134</v>
      </c>
      <c r="B1058" s="30" t="s">
        <v>3570</v>
      </c>
      <c r="C1058" s="30" t="s">
        <v>3571</v>
      </c>
      <c r="D1058" s="30" t="s">
        <v>106</v>
      </c>
      <c r="E1058" s="30"/>
      <c r="F1058" s="30" t="s">
        <v>107</v>
      </c>
      <c r="G1058" s="30" t="s">
        <v>106</v>
      </c>
      <c r="H1058" s="30"/>
      <c r="I1058" s="30" t="s">
        <v>191</v>
      </c>
      <c r="J1058" s="30"/>
      <c r="K1058" s="30" t="s">
        <v>2463</v>
      </c>
      <c r="L1058" s="30" t="s">
        <v>117</v>
      </c>
      <c r="M1058" s="30" t="s">
        <v>113</v>
      </c>
      <c r="N1058" s="30" t="s">
        <v>114</v>
      </c>
      <c r="O1058" s="30" t="s">
        <v>115</v>
      </c>
      <c r="P1058" s="30" t="s">
        <v>112</v>
      </c>
      <c r="Q1058" s="30" t="s">
        <v>112</v>
      </c>
      <c r="R1058" s="30" t="s">
        <v>187</v>
      </c>
      <c r="S1058" s="81">
        <f>HLOOKUP(L1058,データについて!$J$6:$M$18,13,FALSE)</f>
        <v>2</v>
      </c>
      <c r="T1058" s="81">
        <f>HLOOKUP(M1058,データについて!$J$7:$M$18,12,FALSE)</f>
        <v>1</v>
      </c>
      <c r="U1058" s="81">
        <f>HLOOKUP(N1058,データについて!$J$8:$M$18,11,FALSE)</f>
        <v>1</v>
      </c>
      <c r="V1058" s="81">
        <f>HLOOKUP(O1058,データについて!$J$9:$M$18,10,FALSE)</f>
        <v>1</v>
      </c>
      <c r="W1058" s="81">
        <f>HLOOKUP(P1058,データについて!$J$10:$M$18,9,FALSE)</f>
        <v>1</v>
      </c>
      <c r="X1058" s="81">
        <f>HLOOKUP(Q1058,データについて!$J$11:$M$18,8,FALSE)</f>
        <v>1</v>
      </c>
      <c r="Y1058" s="81">
        <f>HLOOKUP(R1058,データについて!$J$12:$M$18,7,FALSE)</f>
        <v>3</v>
      </c>
      <c r="Z1058" s="81">
        <f>HLOOKUP(I1058,データについて!$J$3:$M$18,16,FALSE)</f>
        <v>2</v>
      </c>
      <c r="AA1058" s="81" t="str">
        <f>IFERROR(HLOOKUP(J1058,データについて!$J$4:$AH$19,16,FALSE),"")</f>
        <v/>
      </c>
      <c r="AB1058" s="81">
        <f>IFERROR(HLOOKUP(K1058,データについて!$J$5:$AH$20,14,FALSE),"")</f>
        <v>4</v>
      </c>
      <c r="AC1058" s="81">
        <f>IF(X1058=1,HLOOKUP(R1058,データについて!$J$12:$M$18,7,FALSE),"*")</f>
        <v>3</v>
      </c>
      <c r="AD1058" s="81" t="str">
        <f>IF(X1058=2,HLOOKUP(R1058,データについて!$J$12:$M$18,7,FALSE),"*")</f>
        <v>*</v>
      </c>
    </row>
    <row r="1059" spans="1:30">
      <c r="A1059" s="30">
        <v>4133</v>
      </c>
      <c r="B1059" s="30" t="s">
        <v>3572</v>
      </c>
      <c r="C1059" s="30" t="s">
        <v>3573</v>
      </c>
      <c r="D1059" s="30" t="s">
        <v>106</v>
      </c>
      <c r="E1059" s="30"/>
      <c r="F1059" s="30" t="s">
        <v>107</v>
      </c>
      <c r="G1059" s="30" t="s">
        <v>106</v>
      </c>
      <c r="H1059" s="30"/>
      <c r="I1059" s="30" t="s">
        <v>191</v>
      </c>
      <c r="J1059" s="30"/>
      <c r="K1059" s="30" t="s">
        <v>2463</v>
      </c>
      <c r="L1059" s="30" t="s">
        <v>108</v>
      </c>
      <c r="M1059" s="30" t="s">
        <v>109</v>
      </c>
      <c r="N1059" s="30" t="s">
        <v>114</v>
      </c>
      <c r="O1059" s="30" t="s">
        <v>115</v>
      </c>
      <c r="P1059" s="30" t="s">
        <v>118</v>
      </c>
      <c r="Q1059" s="30" t="s">
        <v>118</v>
      </c>
      <c r="R1059" s="30" t="s">
        <v>185</v>
      </c>
      <c r="S1059" s="81">
        <f>HLOOKUP(L1059,データについて!$J$6:$M$18,13,FALSE)</f>
        <v>1</v>
      </c>
      <c r="T1059" s="81">
        <f>HLOOKUP(M1059,データについて!$J$7:$M$18,12,FALSE)</f>
        <v>2</v>
      </c>
      <c r="U1059" s="81">
        <f>HLOOKUP(N1059,データについて!$J$8:$M$18,11,FALSE)</f>
        <v>1</v>
      </c>
      <c r="V1059" s="81">
        <f>HLOOKUP(O1059,データについて!$J$9:$M$18,10,FALSE)</f>
        <v>1</v>
      </c>
      <c r="W1059" s="81">
        <f>HLOOKUP(P1059,データについて!$J$10:$M$18,9,FALSE)</f>
        <v>2</v>
      </c>
      <c r="X1059" s="81">
        <f>HLOOKUP(Q1059,データについて!$J$11:$M$18,8,FALSE)</f>
        <v>2</v>
      </c>
      <c r="Y1059" s="81">
        <f>HLOOKUP(R1059,データについて!$J$12:$M$18,7,FALSE)</f>
        <v>2</v>
      </c>
      <c r="Z1059" s="81">
        <f>HLOOKUP(I1059,データについて!$J$3:$M$18,16,FALSE)</f>
        <v>2</v>
      </c>
      <c r="AA1059" s="81" t="str">
        <f>IFERROR(HLOOKUP(J1059,データについて!$J$4:$AH$19,16,FALSE),"")</f>
        <v/>
      </c>
      <c r="AB1059" s="81">
        <f>IFERROR(HLOOKUP(K1059,データについて!$J$5:$AH$20,14,FALSE),"")</f>
        <v>4</v>
      </c>
      <c r="AC1059" s="81" t="str">
        <f>IF(X1059=1,HLOOKUP(R1059,データについて!$J$12:$M$18,7,FALSE),"*")</f>
        <v>*</v>
      </c>
      <c r="AD1059" s="81">
        <f>IF(X1059=2,HLOOKUP(R1059,データについて!$J$12:$M$18,7,FALSE),"*")</f>
        <v>2</v>
      </c>
    </row>
    <row r="1060" spans="1:30">
      <c r="A1060" s="30">
        <v>4132</v>
      </c>
      <c r="B1060" s="30" t="s">
        <v>3574</v>
      </c>
      <c r="C1060" s="30" t="s">
        <v>3575</v>
      </c>
      <c r="D1060" s="30" t="s">
        <v>106</v>
      </c>
      <c r="E1060" s="30"/>
      <c r="F1060" s="30" t="s">
        <v>107</v>
      </c>
      <c r="G1060" s="30" t="s">
        <v>106</v>
      </c>
      <c r="H1060" s="30"/>
      <c r="I1060" s="30" t="s">
        <v>191</v>
      </c>
      <c r="J1060" s="30"/>
      <c r="K1060" s="30" t="s">
        <v>2463</v>
      </c>
      <c r="L1060" s="30" t="s">
        <v>108</v>
      </c>
      <c r="M1060" s="30" t="s">
        <v>113</v>
      </c>
      <c r="N1060" s="30" t="s">
        <v>110</v>
      </c>
      <c r="O1060" s="30" t="s">
        <v>116</v>
      </c>
      <c r="P1060" s="30" t="s">
        <v>112</v>
      </c>
      <c r="Q1060" s="30" t="s">
        <v>112</v>
      </c>
      <c r="R1060" s="30" t="s">
        <v>185</v>
      </c>
      <c r="S1060" s="81">
        <f>HLOOKUP(L1060,データについて!$J$6:$M$18,13,FALSE)</f>
        <v>1</v>
      </c>
      <c r="T1060" s="81">
        <f>HLOOKUP(M1060,データについて!$J$7:$M$18,12,FALSE)</f>
        <v>1</v>
      </c>
      <c r="U1060" s="81">
        <f>HLOOKUP(N1060,データについて!$J$8:$M$18,11,FALSE)</f>
        <v>2</v>
      </c>
      <c r="V1060" s="81">
        <f>HLOOKUP(O1060,データについて!$J$9:$M$18,10,FALSE)</f>
        <v>2</v>
      </c>
      <c r="W1060" s="81">
        <f>HLOOKUP(P1060,データについて!$J$10:$M$18,9,FALSE)</f>
        <v>1</v>
      </c>
      <c r="X1060" s="81">
        <f>HLOOKUP(Q1060,データについて!$J$11:$M$18,8,FALSE)</f>
        <v>1</v>
      </c>
      <c r="Y1060" s="81">
        <f>HLOOKUP(R1060,データについて!$J$12:$M$18,7,FALSE)</f>
        <v>2</v>
      </c>
      <c r="Z1060" s="81">
        <f>HLOOKUP(I1060,データについて!$J$3:$M$18,16,FALSE)</f>
        <v>2</v>
      </c>
      <c r="AA1060" s="81" t="str">
        <f>IFERROR(HLOOKUP(J1060,データについて!$J$4:$AH$19,16,FALSE),"")</f>
        <v/>
      </c>
      <c r="AB1060" s="81">
        <f>IFERROR(HLOOKUP(K1060,データについて!$J$5:$AH$20,14,FALSE),"")</f>
        <v>4</v>
      </c>
      <c r="AC1060" s="81">
        <f>IF(X1060=1,HLOOKUP(R1060,データについて!$J$12:$M$18,7,FALSE),"*")</f>
        <v>2</v>
      </c>
      <c r="AD1060" s="81" t="str">
        <f>IF(X1060=2,HLOOKUP(R1060,データについて!$J$12:$M$18,7,FALSE),"*")</f>
        <v>*</v>
      </c>
    </row>
    <row r="1061" spans="1:30">
      <c r="A1061" s="30">
        <v>4131</v>
      </c>
      <c r="B1061" s="30" t="s">
        <v>3576</v>
      </c>
      <c r="C1061" s="30" t="s">
        <v>3577</v>
      </c>
      <c r="D1061" s="30" t="s">
        <v>106</v>
      </c>
      <c r="E1061" s="30"/>
      <c r="F1061" s="30" t="s">
        <v>107</v>
      </c>
      <c r="G1061" s="30" t="s">
        <v>106</v>
      </c>
      <c r="H1061" s="30"/>
      <c r="I1061" s="30" t="s">
        <v>191</v>
      </c>
      <c r="J1061" s="30"/>
      <c r="K1061" s="30" t="s">
        <v>2463</v>
      </c>
      <c r="L1061" s="30" t="s">
        <v>117</v>
      </c>
      <c r="M1061" s="30" t="s">
        <v>109</v>
      </c>
      <c r="N1061" s="30" t="s">
        <v>110</v>
      </c>
      <c r="O1061" s="30" t="s">
        <v>115</v>
      </c>
      <c r="P1061" s="30" t="s">
        <v>118</v>
      </c>
      <c r="Q1061" s="30" t="s">
        <v>112</v>
      </c>
      <c r="R1061" s="30" t="s">
        <v>185</v>
      </c>
      <c r="S1061" s="81">
        <f>HLOOKUP(L1061,データについて!$J$6:$M$18,13,FALSE)</f>
        <v>2</v>
      </c>
      <c r="T1061" s="81">
        <f>HLOOKUP(M1061,データについて!$J$7:$M$18,12,FALSE)</f>
        <v>2</v>
      </c>
      <c r="U1061" s="81">
        <f>HLOOKUP(N1061,データについて!$J$8:$M$18,11,FALSE)</f>
        <v>2</v>
      </c>
      <c r="V1061" s="81">
        <f>HLOOKUP(O1061,データについて!$J$9:$M$18,10,FALSE)</f>
        <v>1</v>
      </c>
      <c r="W1061" s="81">
        <f>HLOOKUP(P1061,データについて!$J$10:$M$18,9,FALSE)</f>
        <v>2</v>
      </c>
      <c r="X1061" s="81">
        <f>HLOOKUP(Q1061,データについて!$J$11:$M$18,8,FALSE)</f>
        <v>1</v>
      </c>
      <c r="Y1061" s="81">
        <f>HLOOKUP(R1061,データについて!$J$12:$M$18,7,FALSE)</f>
        <v>2</v>
      </c>
      <c r="Z1061" s="81">
        <f>HLOOKUP(I1061,データについて!$J$3:$M$18,16,FALSE)</f>
        <v>2</v>
      </c>
      <c r="AA1061" s="81" t="str">
        <f>IFERROR(HLOOKUP(J1061,データについて!$J$4:$AH$19,16,FALSE),"")</f>
        <v/>
      </c>
      <c r="AB1061" s="81">
        <f>IFERROR(HLOOKUP(K1061,データについて!$J$5:$AH$20,14,FALSE),"")</f>
        <v>4</v>
      </c>
      <c r="AC1061" s="81">
        <f>IF(X1061=1,HLOOKUP(R1061,データについて!$J$12:$M$18,7,FALSE),"*")</f>
        <v>2</v>
      </c>
      <c r="AD1061" s="81" t="str">
        <f>IF(X1061=2,HLOOKUP(R1061,データについて!$J$12:$M$18,7,FALSE),"*")</f>
        <v>*</v>
      </c>
    </row>
    <row r="1062" spans="1:30">
      <c r="A1062" s="30">
        <v>4130</v>
      </c>
      <c r="B1062" s="30" t="s">
        <v>3578</v>
      </c>
      <c r="C1062" s="30" t="s">
        <v>3579</v>
      </c>
      <c r="D1062" s="30" t="s">
        <v>106</v>
      </c>
      <c r="E1062" s="30"/>
      <c r="F1062" s="30" t="s">
        <v>107</v>
      </c>
      <c r="G1062" s="30" t="s">
        <v>106</v>
      </c>
      <c r="H1062" s="30"/>
      <c r="I1062" s="30" t="s">
        <v>191</v>
      </c>
      <c r="J1062" s="30"/>
      <c r="K1062" s="30" t="s">
        <v>2463</v>
      </c>
      <c r="L1062" s="30" t="s">
        <v>108</v>
      </c>
      <c r="M1062" s="30" t="s">
        <v>113</v>
      </c>
      <c r="N1062" s="30" t="s">
        <v>114</v>
      </c>
      <c r="O1062" s="30" t="s">
        <v>115</v>
      </c>
      <c r="P1062" s="30" t="s">
        <v>112</v>
      </c>
      <c r="Q1062" s="30" t="s">
        <v>112</v>
      </c>
      <c r="R1062" s="30" t="s">
        <v>185</v>
      </c>
      <c r="S1062" s="81">
        <f>HLOOKUP(L1062,データについて!$J$6:$M$18,13,FALSE)</f>
        <v>1</v>
      </c>
      <c r="T1062" s="81">
        <f>HLOOKUP(M1062,データについて!$J$7:$M$18,12,FALSE)</f>
        <v>1</v>
      </c>
      <c r="U1062" s="81">
        <f>HLOOKUP(N1062,データについて!$J$8:$M$18,11,FALSE)</f>
        <v>1</v>
      </c>
      <c r="V1062" s="81">
        <f>HLOOKUP(O1062,データについて!$J$9:$M$18,10,FALSE)</f>
        <v>1</v>
      </c>
      <c r="W1062" s="81">
        <f>HLOOKUP(P1062,データについて!$J$10:$M$18,9,FALSE)</f>
        <v>1</v>
      </c>
      <c r="X1062" s="81">
        <f>HLOOKUP(Q1062,データについて!$J$11:$M$18,8,FALSE)</f>
        <v>1</v>
      </c>
      <c r="Y1062" s="81">
        <f>HLOOKUP(R1062,データについて!$J$12:$M$18,7,FALSE)</f>
        <v>2</v>
      </c>
      <c r="Z1062" s="81">
        <f>HLOOKUP(I1062,データについて!$J$3:$M$18,16,FALSE)</f>
        <v>2</v>
      </c>
      <c r="AA1062" s="81" t="str">
        <f>IFERROR(HLOOKUP(J1062,データについて!$J$4:$AH$19,16,FALSE),"")</f>
        <v/>
      </c>
      <c r="AB1062" s="81">
        <f>IFERROR(HLOOKUP(K1062,データについて!$J$5:$AH$20,14,FALSE),"")</f>
        <v>4</v>
      </c>
      <c r="AC1062" s="81">
        <f>IF(X1062=1,HLOOKUP(R1062,データについて!$J$12:$M$18,7,FALSE),"*")</f>
        <v>2</v>
      </c>
      <c r="AD1062" s="81" t="str">
        <f>IF(X1062=2,HLOOKUP(R1062,データについて!$J$12:$M$18,7,FALSE),"*")</f>
        <v>*</v>
      </c>
    </row>
    <row r="1063" spans="1:30">
      <c r="A1063" s="30">
        <v>4129</v>
      </c>
      <c r="B1063" s="30" t="s">
        <v>3580</v>
      </c>
      <c r="C1063" s="30" t="s">
        <v>3581</v>
      </c>
      <c r="D1063" s="30" t="s">
        <v>106</v>
      </c>
      <c r="E1063" s="30"/>
      <c r="F1063" s="30" t="s">
        <v>107</v>
      </c>
      <c r="G1063" s="30" t="s">
        <v>106</v>
      </c>
      <c r="H1063" s="30"/>
      <c r="I1063" s="30" t="s">
        <v>191</v>
      </c>
      <c r="J1063" s="30"/>
      <c r="K1063" s="30" t="s">
        <v>2463</v>
      </c>
      <c r="L1063" s="30" t="s">
        <v>117</v>
      </c>
      <c r="M1063" s="30" t="s">
        <v>113</v>
      </c>
      <c r="N1063" s="30" t="s">
        <v>122</v>
      </c>
      <c r="O1063" s="30" t="s">
        <v>115</v>
      </c>
      <c r="P1063" s="30" t="s">
        <v>112</v>
      </c>
      <c r="Q1063" s="30" t="s">
        <v>112</v>
      </c>
      <c r="R1063" s="30" t="s">
        <v>183</v>
      </c>
      <c r="S1063" s="81">
        <f>HLOOKUP(L1063,データについて!$J$6:$M$18,13,FALSE)</f>
        <v>2</v>
      </c>
      <c r="T1063" s="81">
        <f>HLOOKUP(M1063,データについて!$J$7:$M$18,12,FALSE)</f>
        <v>1</v>
      </c>
      <c r="U1063" s="81">
        <f>HLOOKUP(N1063,データについて!$J$8:$M$18,11,FALSE)</f>
        <v>3</v>
      </c>
      <c r="V1063" s="81">
        <f>HLOOKUP(O1063,データについて!$J$9:$M$18,10,FALSE)</f>
        <v>1</v>
      </c>
      <c r="W1063" s="81">
        <f>HLOOKUP(P1063,データについて!$J$10:$M$18,9,FALSE)</f>
        <v>1</v>
      </c>
      <c r="X1063" s="81">
        <f>HLOOKUP(Q1063,データについて!$J$11:$M$18,8,FALSE)</f>
        <v>1</v>
      </c>
      <c r="Y1063" s="81">
        <f>HLOOKUP(R1063,データについて!$J$12:$M$18,7,FALSE)</f>
        <v>1</v>
      </c>
      <c r="Z1063" s="81">
        <f>HLOOKUP(I1063,データについて!$J$3:$M$18,16,FALSE)</f>
        <v>2</v>
      </c>
      <c r="AA1063" s="81" t="str">
        <f>IFERROR(HLOOKUP(J1063,データについて!$J$4:$AH$19,16,FALSE),"")</f>
        <v/>
      </c>
      <c r="AB1063" s="81">
        <f>IFERROR(HLOOKUP(K1063,データについて!$J$5:$AH$20,14,FALSE),"")</f>
        <v>4</v>
      </c>
      <c r="AC1063" s="81">
        <f>IF(X1063=1,HLOOKUP(R1063,データについて!$J$12:$M$18,7,FALSE),"*")</f>
        <v>1</v>
      </c>
      <c r="AD1063" s="81" t="str">
        <f>IF(X1063=2,HLOOKUP(R1063,データについて!$J$12:$M$18,7,FALSE),"*")</f>
        <v>*</v>
      </c>
    </row>
    <row r="1064" spans="1:30">
      <c r="A1064" s="30">
        <v>4128</v>
      </c>
      <c r="B1064" s="30" t="s">
        <v>3582</v>
      </c>
      <c r="C1064" s="30" t="s">
        <v>3583</v>
      </c>
      <c r="D1064" s="30" t="s">
        <v>106</v>
      </c>
      <c r="E1064" s="30"/>
      <c r="F1064" s="30" t="s">
        <v>107</v>
      </c>
      <c r="G1064" s="30" t="s">
        <v>106</v>
      </c>
      <c r="H1064" s="30"/>
      <c r="I1064" s="30" t="s">
        <v>191</v>
      </c>
      <c r="J1064" s="30"/>
      <c r="K1064" s="30" t="s">
        <v>2463</v>
      </c>
      <c r="L1064" s="30" t="s">
        <v>108</v>
      </c>
      <c r="M1064" s="30" t="s">
        <v>109</v>
      </c>
      <c r="N1064" s="30" t="s">
        <v>110</v>
      </c>
      <c r="O1064" s="30" t="s">
        <v>115</v>
      </c>
      <c r="P1064" s="30" t="s">
        <v>112</v>
      </c>
      <c r="Q1064" s="30" t="s">
        <v>112</v>
      </c>
      <c r="R1064" s="30" t="s">
        <v>185</v>
      </c>
      <c r="S1064" s="81">
        <f>HLOOKUP(L1064,データについて!$J$6:$M$18,13,FALSE)</f>
        <v>1</v>
      </c>
      <c r="T1064" s="81">
        <f>HLOOKUP(M1064,データについて!$J$7:$M$18,12,FALSE)</f>
        <v>2</v>
      </c>
      <c r="U1064" s="81">
        <f>HLOOKUP(N1064,データについて!$J$8:$M$18,11,FALSE)</f>
        <v>2</v>
      </c>
      <c r="V1064" s="81">
        <f>HLOOKUP(O1064,データについて!$J$9:$M$18,10,FALSE)</f>
        <v>1</v>
      </c>
      <c r="W1064" s="81">
        <f>HLOOKUP(P1064,データについて!$J$10:$M$18,9,FALSE)</f>
        <v>1</v>
      </c>
      <c r="X1064" s="81">
        <f>HLOOKUP(Q1064,データについて!$J$11:$M$18,8,FALSE)</f>
        <v>1</v>
      </c>
      <c r="Y1064" s="81">
        <f>HLOOKUP(R1064,データについて!$J$12:$M$18,7,FALSE)</f>
        <v>2</v>
      </c>
      <c r="Z1064" s="81">
        <f>HLOOKUP(I1064,データについて!$J$3:$M$18,16,FALSE)</f>
        <v>2</v>
      </c>
      <c r="AA1064" s="81" t="str">
        <f>IFERROR(HLOOKUP(J1064,データについて!$J$4:$AH$19,16,FALSE),"")</f>
        <v/>
      </c>
      <c r="AB1064" s="81">
        <f>IFERROR(HLOOKUP(K1064,データについて!$J$5:$AH$20,14,FALSE),"")</f>
        <v>4</v>
      </c>
      <c r="AC1064" s="81">
        <f>IF(X1064=1,HLOOKUP(R1064,データについて!$J$12:$M$18,7,FALSE),"*")</f>
        <v>2</v>
      </c>
      <c r="AD1064" s="81" t="str">
        <f>IF(X1064=2,HLOOKUP(R1064,データについて!$J$12:$M$18,7,FALSE),"*")</f>
        <v>*</v>
      </c>
    </row>
    <row r="1065" spans="1:30">
      <c r="A1065" s="30">
        <v>4127</v>
      </c>
      <c r="B1065" s="30" t="s">
        <v>3584</v>
      </c>
      <c r="C1065" s="30" t="s">
        <v>3585</v>
      </c>
      <c r="D1065" s="30" t="s">
        <v>106</v>
      </c>
      <c r="E1065" s="30"/>
      <c r="F1065" s="30" t="s">
        <v>107</v>
      </c>
      <c r="G1065" s="30" t="s">
        <v>106</v>
      </c>
      <c r="H1065" s="30"/>
      <c r="I1065" s="30" t="s">
        <v>191</v>
      </c>
      <c r="J1065" s="30"/>
      <c r="K1065" s="30" t="s">
        <v>2463</v>
      </c>
      <c r="L1065" s="30" t="s">
        <v>117</v>
      </c>
      <c r="M1065" s="30" t="s">
        <v>109</v>
      </c>
      <c r="N1065" s="30" t="s">
        <v>122</v>
      </c>
      <c r="O1065" s="30" t="s">
        <v>123</v>
      </c>
      <c r="P1065" s="30" t="s">
        <v>112</v>
      </c>
      <c r="Q1065" s="30" t="s">
        <v>112</v>
      </c>
      <c r="R1065" s="30" t="s">
        <v>187</v>
      </c>
      <c r="S1065" s="81">
        <f>HLOOKUP(L1065,データについて!$J$6:$M$18,13,FALSE)</f>
        <v>2</v>
      </c>
      <c r="T1065" s="81">
        <f>HLOOKUP(M1065,データについて!$J$7:$M$18,12,FALSE)</f>
        <v>2</v>
      </c>
      <c r="U1065" s="81">
        <f>HLOOKUP(N1065,データについて!$J$8:$M$18,11,FALSE)</f>
        <v>3</v>
      </c>
      <c r="V1065" s="81">
        <f>HLOOKUP(O1065,データについて!$J$9:$M$18,10,FALSE)</f>
        <v>4</v>
      </c>
      <c r="W1065" s="81">
        <f>HLOOKUP(P1065,データについて!$J$10:$M$18,9,FALSE)</f>
        <v>1</v>
      </c>
      <c r="X1065" s="81">
        <f>HLOOKUP(Q1065,データについて!$J$11:$M$18,8,FALSE)</f>
        <v>1</v>
      </c>
      <c r="Y1065" s="81">
        <f>HLOOKUP(R1065,データについて!$J$12:$M$18,7,FALSE)</f>
        <v>3</v>
      </c>
      <c r="Z1065" s="81">
        <f>HLOOKUP(I1065,データについて!$J$3:$M$18,16,FALSE)</f>
        <v>2</v>
      </c>
      <c r="AA1065" s="81" t="str">
        <f>IFERROR(HLOOKUP(J1065,データについて!$J$4:$AH$19,16,FALSE),"")</f>
        <v/>
      </c>
      <c r="AB1065" s="81">
        <f>IFERROR(HLOOKUP(K1065,データについて!$J$5:$AH$20,14,FALSE),"")</f>
        <v>4</v>
      </c>
      <c r="AC1065" s="81">
        <f>IF(X1065=1,HLOOKUP(R1065,データについて!$J$12:$M$18,7,FALSE),"*")</f>
        <v>3</v>
      </c>
      <c r="AD1065" s="81" t="str">
        <f>IF(X1065=2,HLOOKUP(R1065,データについて!$J$12:$M$18,7,FALSE),"*")</f>
        <v>*</v>
      </c>
    </row>
    <row r="1066" spans="1:30">
      <c r="A1066" s="30">
        <v>4126</v>
      </c>
      <c r="B1066" s="30" t="s">
        <v>3586</v>
      </c>
      <c r="C1066" s="30" t="s">
        <v>3587</v>
      </c>
      <c r="D1066" s="30" t="s">
        <v>106</v>
      </c>
      <c r="E1066" s="30"/>
      <c r="F1066" s="30" t="s">
        <v>107</v>
      </c>
      <c r="G1066" s="30" t="s">
        <v>106</v>
      </c>
      <c r="H1066" s="30"/>
      <c r="I1066" s="30" t="s">
        <v>191</v>
      </c>
      <c r="J1066" s="30"/>
      <c r="K1066" s="30" t="s">
        <v>2463</v>
      </c>
      <c r="L1066" s="30" t="s">
        <v>117</v>
      </c>
      <c r="M1066" s="30" t="s">
        <v>113</v>
      </c>
      <c r="N1066" s="30" t="s">
        <v>110</v>
      </c>
      <c r="O1066" s="30" t="s">
        <v>115</v>
      </c>
      <c r="P1066" s="30" t="s">
        <v>112</v>
      </c>
      <c r="Q1066" s="30" t="s">
        <v>112</v>
      </c>
      <c r="R1066" s="30" t="s">
        <v>187</v>
      </c>
      <c r="S1066" s="81">
        <f>HLOOKUP(L1066,データについて!$J$6:$M$18,13,FALSE)</f>
        <v>2</v>
      </c>
      <c r="T1066" s="81">
        <f>HLOOKUP(M1066,データについて!$J$7:$M$18,12,FALSE)</f>
        <v>1</v>
      </c>
      <c r="U1066" s="81">
        <f>HLOOKUP(N1066,データについて!$J$8:$M$18,11,FALSE)</f>
        <v>2</v>
      </c>
      <c r="V1066" s="81">
        <f>HLOOKUP(O1066,データについて!$J$9:$M$18,10,FALSE)</f>
        <v>1</v>
      </c>
      <c r="W1066" s="81">
        <f>HLOOKUP(P1066,データについて!$J$10:$M$18,9,FALSE)</f>
        <v>1</v>
      </c>
      <c r="X1066" s="81">
        <f>HLOOKUP(Q1066,データについて!$J$11:$M$18,8,FALSE)</f>
        <v>1</v>
      </c>
      <c r="Y1066" s="81">
        <f>HLOOKUP(R1066,データについて!$J$12:$M$18,7,FALSE)</f>
        <v>3</v>
      </c>
      <c r="Z1066" s="81">
        <f>HLOOKUP(I1066,データについて!$J$3:$M$18,16,FALSE)</f>
        <v>2</v>
      </c>
      <c r="AA1066" s="81" t="str">
        <f>IFERROR(HLOOKUP(J1066,データについて!$J$4:$AH$19,16,FALSE),"")</f>
        <v/>
      </c>
      <c r="AB1066" s="81">
        <f>IFERROR(HLOOKUP(K1066,データについて!$J$5:$AH$20,14,FALSE),"")</f>
        <v>4</v>
      </c>
      <c r="AC1066" s="81">
        <f>IF(X1066=1,HLOOKUP(R1066,データについて!$J$12:$M$18,7,FALSE),"*")</f>
        <v>3</v>
      </c>
      <c r="AD1066" s="81" t="str">
        <f>IF(X1066=2,HLOOKUP(R1066,データについて!$J$12:$M$18,7,FALSE),"*")</f>
        <v>*</v>
      </c>
    </row>
    <row r="1067" spans="1:30">
      <c r="A1067" s="30">
        <v>4125</v>
      </c>
      <c r="B1067" s="30" t="s">
        <v>3588</v>
      </c>
      <c r="C1067" s="30" t="s">
        <v>3589</v>
      </c>
      <c r="D1067" s="30" t="s">
        <v>106</v>
      </c>
      <c r="E1067" s="30"/>
      <c r="F1067" s="30" t="s">
        <v>107</v>
      </c>
      <c r="G1067" s="30" t="s">
        <v>106</v>
      </c>
      <c r="H1067" s="30"/>
      <c r="I1067" s="30" t="s">
        <v>191</v>
      </c>
      <c r="J1067" s="30"/>
      <c r="K1067" s="30" t="s">
        <v>2463</v>
      </c>
      <c r="L1067" s="30" t="s">
        <v>117</v>
      </c>
      <c r="M1067" s="30" t="s">
        <v>109</v>
      </c>
      <c r="N1067" s="30" t="s">
        <v>110</v>
      </c>
      <c r="O1067" s="30" t="s">
        <v>115</v>
      </c>
      <c r="P1067" s="30" t="s">
        <v>112</v>
      </c>
      <c r="Q1067" s="30" t="s">
        <v>112</v>
      </c>
      <c r="R1067" s="30" t="s">
        <v>183</v>
      </c>
      <c r="S1067" s="81">
        <f>HLOOKUP(L1067,データについて!$J$6:$M$18,13,FALSE)</f>
        <v>2</v>
      </c>
      <c r="T1067" s="81">
        <f>HLOOKUP(M1067,データについて!$J$7:$M$18,12,FALSE)</f>
        <v>2</v>
      </c>
      <c r="U1067" s="81">
        <f>HLOOKUP(N1067,データについて!$J$8:$M$18,11,FALSE)</f>
        <v>2</v>
      </c>
      <c r="V1067" s="81">
        <f>HLOOKUP(O1067,データについて!$J$9:$M$18,10,FALSE)</f>
        <v>1</v>
      </c>
      <c r="W1067" s="81">
        <f>HLOOKUP(P1067,データについて!$J$10:$M$18,9,FALSE)</f>
        <v>1</v>
      </c>
      <c r="X1067" s="81">
        <f>HLOOKUP(Q1067,データについて!$J$11:$M$18,8,FALSE)</f>
        <v>1</v>
      </c>
      <c r="Y1067" s="81">
        <f>HLOOKUP(R1067,データについて!$J$12:$M$18,7,FALSE)</f>
        <v>1</v>
      </c>
      <c r="Z1067" s="81">
        <f>HLOOKUP(I1067,データについて!$J$3:$M$18,16,FALSE)</f>
        <v>2</v>
      </c>
      <c r="AA1067" s="81" t="str">
        <f>IFERROR(HLOOKUP(J1067,データについて!$J$4:$AH$19,16,FALSE),"")</f>
        <v/>
      </c>
      <c r="AB1067" s="81">
        <f>IFERROR(HLOOKUP(K1067,データについて!$J$5:$AH$20,14,FALSE),"")</f>
        <v>4</v>
      </c>
      <c r="AC1067" s="81">
        <f>IF(X1067=1,HLOOKUP(R1067,データについて!$J$12:$M$18,7,FALSE),"*")</f>
        <v>1</v>
      </c>
      <c r="AD1067" s="81" t="str">
        <f>IF(X1067=2,HLOOKUP(R1067,データについて!$J$12:$M$18,7,FALSE),"*")</f>
        <v>*</v>
      </c>
    </row>
    <row r="1068" spans="1:30">
      <c r="A1068" s="30">
        <v>4124</v>
      </c>
      <c r="B1068" s="30" t="s">
        <v>3590</v>
      </c>
      <c r="C1068" s="30" t="s">
        <v>3591</v>
      </c>
      <c r="D1068" s="30" t="s">
        <v>106</v>
      </c>
      <c r="E1068" s="30"/>
      <c r="F1068" s="30" t="s">
        <v>107</v>
      </c>
      <c r="G1068" s="30" t="s">
        <v>106</v>
      </c>
      <c r="H1068" s="30"/>
      <c r="I1068" s="30" t="s">
        <v>191</v>
      </c>
      <c r="J1068" s="30"/>
      <c r="K1068" s="30" t="s">
        <v>2463</v>
      </c>
      <c r="L1068" s="30" t="s">
        <v>117</v>
      </c>
      <c r="M1068" s="30" t="s">
        <v>109</v>
      </c>
      <c r="N1068" s="30" t="s">
        <v>114</v>
      </c>
      <c r="O1068" s="30" t="s">
        <v>115</v>
      </c>
      <c r="P1068" s="30" t="s">
        <v>112</v>
      </c>
      <c r="Q1068" s="30" t="s">
        <v>112</v>
      </c>
      <c r="R1068" s="30" t="s">
        <v>185</v>
      </c>
      <c r="S1068" s="81">
        <f>HLOOKUP(L1068,データについて!$J$6:$M$18,13,FALSE)</f>
        <v>2</v>
      </c>
      <c r="T1068" s="81">
        <f>HLOOKUP(M1068,データについて!$J$7:$M$18,12,FALSE)</f>
        <v>2</v>
      </c>
      <c r="U1068" s="81">
        <f>HLOOKUP(N1068,データについて!$J$8:$M$18,11,FALSE)</f>
        <v>1</v>
      </c>
      <c r="V1068" s="81">
        <f>HLOOKUP(O1068,データについて!$J$9:$M$18,10,FALSE)</f>
        <v>1</v>
      </c>
      <c r="W1068" s="81">
        <f>HLOOKUP(P1068,データについて!$J$10:$M$18,9,FALSE)</f>
        <v>1</v>
      </c>
      <c r="X1068" s="81">
        <f>HLOOKUP(Q1068,データについて!$J$11:$M$18,8,FALSE)</f>
        <v>1</v>
      </c>
      <c r="Y1068" s="81">
        <f>HLOOKUP(R1068,データについて!$J$12:$M$18,7,FALSE)</f>
        <v>2</v>
      </c>
      <c r="Z1068" s="81">
        <f>HLOOKUP(I1068,データについて!$J$3:$M$18,16,FALSE)</f>
        <v>2</v>
      </c>
      <c r="AA1068" s="81" t="str">
        <f>IFERROR(HLOOKUP(J1068,データについて!$J$4:$AH$19,16,FALSE),"")</f>
        <v/>
      </c>
      <c r="AB1068" s="81">
        <f>IFERROR(HLOOKUP(K1068,データについて!$J$5:$AH$20,14,FALSE),"")</f>
        <v>4</v>
      </c>
      <c r="AC1068" s="81">
        <f>IF(X1068=1,HLOOKUP(R1068,データについて!$J$12:$M$18,7,FALSE),"*")</f>
        <v>2</v>
      </c>
      <c r="AD1068" s="81" t="str">
        <f>IF(X1068=2,HLOOKUP(R1068,データについて!$J$12:$M$18,7,FALSE),"*")</f>
        <v>*</v>
      </c>
    </row>
    <row r="1069" spans="1:30">
      <c r="A1069" s="30">
        <v>4123</v>
      </c>
      <c r="B1069" s="30" t="s">
        <v>3592</v>
      </c>
      <c r="C1069" s="30" t="s">
        <v>3593</v>
      </c>
      <c r="D1069" s="30" t="s">
        <v>106</v>
      </c>
      <c r="E1069" s="30"/>
      <c r="F1069" s="30" t="s">
        <v>107</v>
      </c>
      <c r="G1069" s="30" t="s">
        <v>106</v>
      </c>
      <c r="H1069" s="30"/>
      <c r="I1069" s="30" t="s">
        <v>191</v>
      </c>
      <c r="J1069" s="30"/>
      <c r="K1069" s="30" t="s">
        <v>2463</v>
      </c>
      <c r="L1069" s="30" t="s">
        <v>108</v>
      </c>
      <c r="M1069" s="30" t="s">
        <v>121</v>
      </c>
      <c r="N1069" s="30" t="s">
        <v>114</v>
      </c>
      <c r="O1069" s="30" t="s">
        <v>116</v>
      </c>
      <c r="P1069" s="30" t="s">
        <v>118</v>
      </c>
      <c r="Q1069" s="30" t="s">
        <v>118</v>
      </c>
      <c r="R1069" s="30" t="s">
        <v>189</v>
      </c>
      <c r="S1069" s="81">
        <f>HLOOKUP(L1069,データについて!$J$6:$M$18,13,FALSE)</f>
        <v>1</v>
      </c>
      <c r="T1069" s="81">
        <f>HLOOKUP(M1069,データについて!$J$7:$M$18,12,FALSE)</f>
        <v>4</v>
      </c>
      <c r="U1069" s="81">
        <f>HLOOKUP(N1069,データについて!$J$8:$M$18,11,FALSE)</f>
        <v>1</v>
      </c>
      <c r="V1069" s="81">
        <f>HLOOKUP(O1069,データについて!$J$9:$M$18,10,FALSE)</f>
        <v>2</v>
      </c>
      <c r="W1069" s="81">
        <f>HLOOKUP(P1069,データについて!$J$10:$M$18,9,FALSE)</f>
        <v>2</v>
      </c>
      <c r="X1069" s="81">
        <f>HLOOKUP(Q1069,データについて!$J$11:$M$18,8,FALSE)</f>
        <v>2</v>
      </c>
      <c r="Y1069" s="81">
        <f>HLOOKUP(R1069,データについて!$J$12:$M$18,7,FALSE)</f>
        <v>4</v>
      </c>
      <c r="Z1069" s="81">
        <f>HLOOKUP(I1069,データについて!$J$3:$M$18,16,FALSE)</f>
        <v>2</v>
      </c>
      <c r="AA1069" s="81" t="str">
        <f>IFERROR(HLOOKUP(J1069,データについて!$J$4:$AH$19,16,FALSE),"")</f>
        <v/>
      </c>
      <c r="AB1069" s="81">
        <f>IFERROR(HLOOKUP(K1069,データについて!$J$5:$AH$20,14,FALSE),"")</f>
        <v>4</v>
      </c>
      <c r="AC1069" s="81" t="str">
        <f>IF(X1069=1,HLOOKUP(R1069,データについて!$J$12:$M$18,7,FALSE),"*")</f>
        <v>*</v>
      </c>
      <c r="AD1069" s="81">
        <f>IF(X1069=2,HLOOKUP(R1069,データについて!$J$12:$M$18,7,FALSE),"*")</f>
        <v>4</v>
      </c>
    </row>
    <row r="1070" spans="1:30">
      <c r="A1070" s="30">
        <v>4122</v>
      </c>
      <c r="B1070" s="30" t="s">
        <v>3594</v>
      </c>
      <c r="C1070" s="30" t="s">
        <v>3595</v>
      </c>
      <c r="D1070" s="30" t="s">
        <v>106</v>
      </c>
      <c r="E1070" s="30"/>
      <c r="F1070" s="30" t="s">
        <v>107</v>
      </c>
      <c r="G1070" s="30" t="s">
        <v>106</v>
      </c>
      <c r="H1070" s="30"/>
      <c r="I1070" s="30" t="s">
        <v>191</v>
      </c>
      <c r="J1070" s="30"/>
      <c r="K1070" s="30" t="s">
        <v>2463</v>
      </c>
      <c r="L1070" s="30" t="s">
        <v>117</v>
      </c>
      <c r="M1070" s="30" t="s">
        <v>113</v>
      </c>
      <c r="N1070" s="30" t="s">
        <v>114</v>
      </c>
      <c r="O1070" s="30" t="s">
        <v>115</v>
      </c>
      <c r="P1070" s="30" t="s">
        <v>118</v>
      </c>
      <c r="Q1070" s="30" t="s">
        <v>112</v>
      </c>
      <c r="R1070" s="30" t="s">
        <v>185</v>
      </c>
      <c r="S1070" s="81">
        <f>HLOOKUP(L1070,データについて!$J$6:$M$18,13,FALSE)</f>
        <v>2</v>
      </c>
      <c r="T1070" s="81">
        <f>HLOOKUP(M1070,データについて!$J$7:$M$18,12,FALSE)</f>
        <v>1</v>
      </c>
      <c r="U1070" s="81">
        <f>HLOOKUP(N1070,データについて!$J$8:$M$18,11,FALSE)</f>
        <v>1</v>
      </c>
      <c r="V1070" s="81">
        <f>HLOOKUP(O1070,データについて!$J$9:$M$18,10,FALSE)</f>
        <v>1</v>
      </c>
      <c r="W1070" s="81">
        <f>HLOOKUP(P1070,データについて!$J$10:$M$18,9,FALSE)</f>
        <v>2</v>
      </c>
      <c r="X1070" s="81">
        <f>HLOOKUP(Q1070,データについて!$J$11:$M$18,8,FALSE)</f>
        <v>1</v>
      </c>
      <c r="Y1070" s="81">
        <f>HLOOKUP(R1070,データについて!$J$12:$M$18,7,FALSE)</f>
        <v>2</v>
      </c>
      <c r="Z1070" s="81">
        <f>HLOOKUP(I1070,データについて!$J$3:$M$18,16,FALSE)</f>
        <v>2</v>
      </c>
      <c r="AA1070" s="81" t="str">
        <f>IFERROR(HLOOKUP(J1070,データについて!$J$4:$AH$19,16,FALSE),"")</f>
        <v/>
      </c>
      <c r="AB1070" s="81">
        <f>IFERROR(HLOOKUP(K1070,データについて!$J$5:$AH$20,14,FALSE),"")</f>
        <v>4</v>
      </c>
      <c r="AC1070" s="81">
        <f>IF(X1070=1,HLOOKUP(R1070,データについて!$J$12:$M$18,7,FALSE),"*")</f>
        <v>2</v>
      </c>
      <c r="AD1070" s="81" t="str">
        <f>IF(X1070=2,HLOOKUP(R1070,データについて!$J$12:$M$18,7,FALSE),"*")</f>
        <v>*</v>
      </c>
    </row>
    <row r="1071" spans="1:30">
      <c r="A1071" s="30">
        <v>4121</v>
      </c>
      <c r="B1071" s="30" t="s">
        <v>3596</v>
      </c>
      <c r="C1071" s="30" t="s">
        <v>3597</v>
      </c>
      <c r="D1071" s="30" t="s">
        <v>106</v>
      </c>
      <c r="E1071" s="30"/>
      <c r="F1071" s="30" t="s">
        <v>107</v>
      </c>
      <c r="G1071" s="30" t="s">
        <v>106</v>
      </c>
      <c r="H1071" s="30"/>
      <c r="I1071" s="30" t="s">
        <v>191</v>
      </c>
      <c r="J1071" s="30"/>
      <c r="K1071" s="30" t="s">
        <v>2463</v>
      </c>
      <c r="L1071" s="30" t="s">
        <v>117</v>
      </c>
      <c r="M1071" s="30" t="s">
        <v>109</v>
      </c>
      <c r="N1071" s="30" t="s">
        <v>114</v>
      </c>
      <c r="O1071" s="30" t="s">
        <v>115</v>
      </c>
      <c r="P1071" s="30" t="s">
        <v>118</v>
      </c>
      <c r="Q1071" s="30" t="s">
        <v>112</v>
      </c>
      <c r="R1071" s="30" t="s">
        <v>183</v>
      </c>
      <c r="S1071" s="81">
        <f>HLOOKUP(L1071,データについて!$J$6:$M$18,13,FALSE)</f>
        <v>2</v>
      </c>
      <c r="T1071" s="81">
        <f>HLOOKUP(M1071,データについて!$J$7:$M$18,12,FALSE)</f>
        <v>2</v>
      </c>
      <c r="U1071" s="81">
        <f>HLOOKUP(N1071,データについて!$J$8:$M$18,11,FALSE)</f>
        <v>1</v>
      </c>
      <c r="V1071" s="81">
        <f>HLOOKUP(O1071,データについて!$J$9:$M$18,10,FALSE)</f>
        <v>1</v>
      </c>
      <c r="W1071" s="81">
        <f>HLOOKUP(P1071,データについて!$J$10:$M$18,9,FALSE)</f>
        <v>2</v>
      </c>
      <c r="X1071" s="81">
        <f>HLOOKUP(Q1071,データについて!$J$11:$M$18,8,FALSE)</f>
        <v>1</v>
      </c>
      <c r="Y1071" s="81">
        <f>HLOOKUP(R1071,データについて!$J$12:$M$18,7,FALSE)</f>
        <v>1</v>
      </c>
      <c r="Z1071" s="81">
        <f>HLOOKUP(I1071,データについて!$J$3:$M$18,16,FALSE)</f>
        <v>2</v>
      </c>
      <c r="AA1071" s="81" t="str">
        <f>IFERROR(HLOOKUP(J1071,データについて!$J$4:$AH$19,16,FALSE),"")</f>
        <v/>
      </c>
      <c r="AB1071" s="81">
        <f>IFERROR(HLOOKUP(K1071,データについて!$J$5:$AH$20,14,FALSE),"")</f>
        <v>4</v>
      </c>
      <c r="AC1071" s="81">
        <f>IF(X1071=1,HLOOKUP(R1071,データについて!$J$12:$M$18,7,FALSE),"*")</f>
        <v>1</v>
      </c>
      <c r="AD1071" s="81" t="str">
        <f>IF(X1071=2,HLOOKUP(R1071,データについて!$J$12:$M$18,7,FALSE),"*")</f>
        <v>*</v>
      </c>
    </row>
    <row r="1072" spans="1:30">
      <c r="A1072" s="30">
        <v>4120</v>
      </c>
      <c r="B1072" s="30" t="s">
        <v>3598</v>
      </c>
      <c r="C1072" s="30" t="s">
        <v>3599</v>
      </c>
      <c r="D1072" s="30" t="s">
        <v>106</v>
      </c>
      <c r="E1072" s="30"/>
      <c r="F1072" s="30" t="s">
        <v>107</v>
      </c>
      <c r="G1072" s="30" t="s">
        <v>106</v>
      </c>
      <c r="H1072" s="30"/>
      <c r="I1072" s="30" t="s">
        <v>191</v>
      </c>
      <c r="J1072" s="30"/>
      <c r="K1072" s="30" t="s">
        <v>2463</v>
      </c>
      <c r="L1072" s="30" t="s">
        <v>108</v>
      </c>
      <c r="M1072" s="30" t="s">
        <v>113</v>
      </c>
      <c r="N1072" s="30" t="s">
        <v>114</v>
      </c>
      <c r="O1072" s="30" t="s">
        <v>115</v>
      </c>
      <c r="P1072" s="30" t="s">
        <v>118</v>
      </c>
      <c r="Q1072" s="30" t="s">
        <v>112</v>
      </c>
      <c r="R1072" s="30" t="s">
        <v>185</v>
      </c>
      <c r="S1072" s="81">
        <f>HLOOKUP(L1072,データについて!$J$6:$M$18,13,FALSE)</f>
        <v>1</v>
      </c>
      <c r="T1072" s="81">
        <f>HLOOKUP(M1072,データについて!$J$7:$M$18,12,FALSE)</f>
        <v>1</v>
      </c>
      <c r="U1072" s="81">
        <f>HLOOKUP(N1072,データについて!$J$8:$M$18,11,FALSE)</f>
        <v>1</v>
      </c>
      <c r="V1072" s="81">
        <f>HLOOKUP(O1072,データについて!$J$9:$M$18,10,FALSE)</f>
        <v>1</v>
      </c>
      <c r="W1072" s="81">
        <f>HLOOKUP(P1072,データについて!$J$10:$M$18,9,FALSE)</f>
        <v>2</v>
      </c>
      <c r="X1072" s="81">
        <f>HLOOKUP(Q1072,データについて!$J$11:$M$18,8,FALSE)</f>
        <v>1</v>
      </c>
      <c r="Y1072" s="81">
        <f>HLOOKUP(R1072,データについて!$J$12:$M$18,7,FALSE)</f>
        <v>2</v>
      </c>
      <c r="Z1072" s="81">
        <f>HLOOKUP(I1072,データについて!$J$3:$M$18,16,FALSE)</f>
        <v>2</v>
      </c>
      <c r="AA1072" s="81" t="str">
        <f>IFERROR(HLOOKUP(J1072,データについて!$J$4:$AH$19,16,FALSE),"")</f>
        <v/>
      </c>
      <c r="AB1072" s="81">
        <f>IFERROR(HLOOKUP(K1072,データについて!$J$5:$AH$20,14,FALSE),"")</f>
        <v>4</v>
      </c>
      <c r="AC1072" s="81">
        <f>IF(X1072=1,HLOOKUP(R1072,データについて!$J$12:$M$18,7,FALSE),"*")</f>
        <v>2</v>
      </c>
      <c r="AD1072" s="81" t="str">
        <f>IF(X1072=2,HLOOKUP(R1072,データについて!$J$12:$M$18,7,FALSE),"*")</f>
        <v>*</v>
      </c>
    </row>
    <row r="1073" spans="1:30">
      <c r="A1073" s="30">
        <v>4119</v>
      </c>
      <c r="B1073" s="30" t="s">
        <v>3600</v>
      </c>
      <c r="C1073" s="30" t="s">
        <v>3601</v>
      </c>
      <c r="D1073" s="30" t="s">
        <v>106</v>
      </c>
      <c r="E1073" s="30"/>
      <c r="F1073" s="30" t="s">
        <v>107</v>
      </c>
      <c r="G1073" s="30" t="s">
        <v>106</v>
      </c>
      <c r="H1073" s="30"/>
      <c r="I1073" s="30" t="s">
        <v>191</v>
      </c>
      <c r="J1073" s="30"/>
      <c r="K1073" s="30" t="s">
        <v>2463</v>
      </c>
      <c r="L1073" s="30" t="s">
        <v>117</v>
      </c>
      <c r="M1073" s="30" t="s">
        <v>109</v>
      </c>
      <c r="N1073" s="30" t="s">
        <v>110</v>
      </c>
      <c r="O1073" s="30" t="s">
        <v>116</v>
      </c>
      <c r="P1073" s="30" t="s">
        <v>118</v>
      </c>
      <c r="Q1073" s="30" t="s">
        <v>112</v>
      </c>
      <c r="R1073" s="30" t="s">
        <v>187</v>
      </c>
      <c r="S1073" s="81">
        <f>HLOOKUP(L1073,データについて!$J$6:$M$18,13,FALSE)</f>
        <v>2</v>
      </c>
      <c r="T1073" s="81">
        <f>HLOOKUP(M1073,データについて!$J$7:$M$18,12,FALSE)</f>
        <v>2</v>
      </c>
      <c r="U1073" s="81">
        <f>HLOOKUP(N1073,データについて!$J$8:$M$18,11,FALSE)</f>
        <v>2</v>
      </c>
      <c r="V1073" s="81">
        <f>HLOOKUP(O1073,データについて!$J$9:$M$18,10,FALSE)</f>
        <v>2</v>
      </c>
      <c r="W1073" s="81">
        <f>HLOOKUP(P1073,データについて!$J$10:$M$18,9,FALSE)</f>
        <v>2</v>
      </c>
      <c r="X1073" s="81">
        <f>HLOOKUP(Q1073,データについて!$J$11:$M$18,8,FALSE)</f>
        <v>1</v>
      </c>
      <c r="Y1073" s="81">
        <f>HLOOKUP(R1073,データについて!$J$12:$M$18,7,FALSE)</f>
        <v>3</v>
      </c>
      <c r="Z1073" s="81">
        <f>HLOOKUP(I1073,データについて!$J$3:$M$18,16,FALSE)</f>
        <v>2</v>
      </c>
      <c r="AA1073" s="81" t="str">
        <f>IFERROR(HLOOKUP(J1073,データについて!$J$4:$AH$19,16,FALSE),"")</f>
        <v/>
      </c>
      <c r="AB1073" s="81">
        <f>IFERROR(HLOOKUP(K1073,データについて!$J$5:$AH$20,14,FALSE),"")</f>
        <v>4</v>
      </c>
      <c r="AC1073" s="81">
        <f>IF(X1073=1,HLOOKUP(R1073,データについて!$J$12:$M$18,7,FALSE),"*")</f>
        <v>3</v>
      </c>
      <c r="AD1073" s="81" t="str">
        <f>IF(X1073=2,HLOOKUP(R1073,データについて!$J$12:$M$18,7,FALSE),"*")</f>
        <v>*</v>
      </c>
    </row>
    <row r="1074" spans="1:30">
      <c r="A1074" s="30">
        <v>4118</v>
      </c>
      <c r="B1074" s="30" t="s">
        <v>3602</v>
      </c>
      <c r="C1074" s="30" t="s">
        <v>3603</v>
      </c>
      <c r="D1074" s="30" t="s">
        <v>106</v>
      </c>
      <c r="E1074" s="30"/>
      <c r="F1074" s="30" t="s">
        <v>107</v>
      </c>
      <c r="G1074" s="30" t="s">
        <v>106</v>
      </c>
      <c r="H1074" s="30"/>
      <c r="I1074" s="30" t="s">
        <v>191</v>
      </c>
      <c r="J1074" s="30"/>
      <c r="K1074" s="30" t="s">
        <v>2463</v>
      </c>
      <c r="L1074" s="30" t="s">
        <v>117</v>
      </c>
      <c r="M1074" s="30" t="s">
        <v>113</v>
      </c>
      <c r="N1074" s="30" t="s">
        <v>114</v>
      </c>
      <c r="O1074" s="30" t="s">
        <v>115</v>
      </c>
      <c r="P1074" s="30" t="s">
        <v>112</v>
      </c>
      <c r="Q1074" s="30" t="s">
        <v>112</v>
      </c>
      <c r="R1074" s="30" t="s">
        <v>183</v>
      </c>
      <c r="S1074" s="81">
        <f>HLOOKUP(L1074,データについて!$J$6:$M$18,13,FALSE)</f>
        <v>2</v>
      </c>
      <c r="T1074" s="81">
        <f>HLOOKUP(M1074,データについて!$J$7:$M$18,12,FALSE)</f>
        <v>1</v>
      </c>
      <c r="U1074" s="81">
        <f>HLOOKUP(N1074,データについて!$J$8:$M$18,11,FALSE)</f>
        <v>1</v>
      </c>
      <c r="V1074" s="81">
        <f>HLOOKUP(O1074,データについて!$J$9:$M$18,10,FALSE)</f>
        <v>1</v>
      </c>
      <c r="W1074" s="81">
        <f>HLOOKUP(P1074,データについて!$J$10:$M$18,9,FALSE)</f>
        <v>1</v>
      </c>
      <c r="X1074" s="81">
        <f>HLOOKUP(Q1074,データについて!$J$11:$M$18,8,FALSE)</f>
        <v>1</v>
      </c>
      <c r="Y1074" s="81">
        <f>HLOOKUP(R1074,データについて!$J$12:$M$18,7,FALSE)</f>
        <v>1</v>
      </c>
      <c r="Z1074" s="81">
        <f>HLOOKUP(I1074,データについて!$J$3:$M$18,16,FALSE)</f>
        <v>2</v>
      </c>
      <c r="AA1074" s="81" t="str">
        <f>IFERROR(HLOOKUP(J1074,データについて!$J$4:$AH$19,16,FALSE),"")</f>
        <v/>
      </c>
      <c r="AB1074" s="81">
        <f>IFERROR(HLOOKUP(K1074,データについて!$J$5:$AH$20,14,FALSE),"")</f>
        <v>4</v>
      </c>
      <c r="AC1074" s="81">
        <f>IF(X1074=1,HLOOKUP(R1074,データについて!$J$12:$M$18,7,FALSE),"*")</f>
        <v>1</v>
      </c>
      <c r="AD1074" s="81" t="str">
        <f>IF(X1074=2,HLOOKUP(R1074,データについて!$J$12:$M$18,7,FALSE),"*")</f>
        <v>*</v>
      </c>
    </row>
    <row r="1075" spans="1:30">
      <c r="A1075" s="30">
        <v>4117</v>
      </c>
      <c r="B1075" s="30" t="s">
        <v>3604</v>
      </c>
      <c r="C1075" s="30" t="s">
        <v>3605</v>
      </c>
      <c r="D1075" s="30" t="s">
        <v>106</v>
      </c>
      <c r="E1075" s="30"/>
      <c r="F1075" s="30" t="s">
        <v>107</v>
      </c>
      <c r="G1075" s="30" t="s">
        <v>106</v>
      </c>
      <c r="H1075" s="30"/>
      <c r="I1075" s="30" t="s">
        <v>191</v>
      </c>
      <c r="J1075" s="30"/>
      <c r="K1075" s="30" t="s">
        <v>2463</v>
      </c>
      <c r="L1075" s="30" t="s">
        <v>108</v>
      </c>
      <c r="M1075" s="30" t="s">
        <v>109</v>
      </c>
      <c r="N1075" s="30" t="s">
        <v>114</v>
      </c>
      <c r="O1075" s="30" t="s">
        <v>115</v>
      </c>
      <c r="P1075" s="30" t="s">
        <v>112</v>
      </c>
      <c r="Q1075" s="30" t="s">
        <v>118</v>
      </c>
      <c r="R1075" s="30" t="s">
        <v>187</v>
      </c>
      <c r="S1075" s="81">
        <f>HLOOKUP(L1075,データについて!$J$6:$M$18,13,FALSE)</f>
        <v>1</v>
      </c>
      <c r="T1075" s="81">
        <f>HLOOKUP(M1075,データについて!$J$7:$M$18,12,FALSE)</f>
        <v>2</v>
      </c>
      <c r="U1075" s="81">
        <f>HLOOKUP(N1075,データについて!$J$8:$M$18,11,FALSE)</f>
        <v>1</v>
      </c>
      <c r="V1075" s="81">
        <f>HLOOKUP(O1075,データについて!$J$9:$M$18,10,FALSE)</f>
        <v>1</v>
      </c>
      <c r="W1075" s="81">
        <f>HLOOKUP(P1075,データについて!$J$10:$M$18,9,FALSE)</f>
        <v>1</v>
      </c>
      <c r="X1075" s="81">
        <f>HLOOKUP(Q1075,データについて!$J$11:$M$18,8,FALSE)</f>
        <v>2</v>
      </c>
      <c r="Y1075" s="81">
        <f>HLOOKUP(R1075,データについて!$J$12:$M$18,7,FALSE)</f>
        <v>3</v>
      </c>
      <c r="Z1075" s="81">
        <f>HLOOKUP(I1075,データについて!$J$3:$M$18,16,FALSE)</f>
        <v>2</v>
      </c>
      <c r="AA1075" s="81" t="str">
        <f>IFERROR(HLOOKUP(J1075,データについて!$J$4:$AH$19,16,FALSE),"")</f>
        <v/>
      </c>
      <c r="AB1075" s="81">
        <f>IFERROR(HLOOKUP(K1075,データについて!$J$5:$AH$20,14,FALSE),"")</f>
        <v>4</v>
      </c>
      <c r="AC1075" s="81" t="str">
        <f>IF(X1075=1,HLOOKUP(R1075,データについて!$J$12:$M$18,7,FALSE),"*")</f>
        <v>*</v>
      </c>
      <c r="AD1075" s="81">
        <f>IF(X1075=2,HLOOKUP(R1075,データについて!$J$12:$M$18,7,FALSE),"*")</f>
        <v>3</v>
      </c>
    </row>
    <row r="1076" spans="1:30">
      <c r="A1076" s="30">
        <v>4116</v>
      </c>
      <c r="B1076" s="30" t="s">
        <v>3606</v>
      </c>
      <c r="C1076" s="30" t="s">
        <v>3607</v>
      </c>
      <c r="D1076" s="30" t="s">
        <v>106</v>
      </c>
      <c r="E1076" s="30"/>
      <c r="F1076" s="30" t="s">
        <v>107</v>
      </c>
      <c r="G1076" s="30" t="s">
        <v>106</v>
      </c>
      <c r="H1076" s="30"/>
      <c r="I1076" s="30" t="s">
        <v>191</v>
      </c>
      <c r="J1076" s="30"/>
      <c r="K1076" s="30" t="s">
        <v>2463</v>
      </c>
      <c r="L1076" s="30" t="s">
        <v>108</v>
      </c>
      <c r="M1076" s="30" t="s">
        <v>113</v>
      </c>
      <c r="N1076" s="30" t="s">
        <v>114</v>
      </c>
      <c r="O1076" s="30" t="s">
        <v>115</v>
      </c>
      <c r="P1076" s="30" t="s">
        <v>112</v>
      </c>
      <c r="Q1076" s="30" t="s">
        <v>112</v>
      </c>
      <c r="R1076" s="30" t="s">
        <v>185</v>
      </c>
      <c r="S1076" s="81">
        <f>HLOOKUP(L1076,データについて!$J$6:$M$18,13,FALSE)</f>
        <v>1</v>
      </c>
      <c r="T1076" s="81">
        <f>HLOOKUP(M1076,データについて!$J$7:$M$18,12,FALSE)</f>
        <v>1</v>
      </c>
      <c r="U1076" s="81">
        <f>HLOOKUP(N1076,データについて!$J$8:$M$18,11,FALSE)</f>
        <v>1</v>
      </c>
      <c r="V1076" s="81">
        <f>HLOOKUP(O1076,データについて!$J$9:$M$18,10,FALSE)</f>
        <v>1</v>
      </c>
      <c r="W1076" s="81">
        <f>HLOOKUP(P1076,データについて!$J$10:$M$18,9,FALSE)</f>
        <v>1</v>
      </c>
      <c r="X1076" s="81">
        <f>HLOOKUP(Q1076,データについて!$J$11:$M$18,8,FALSE)</f>
        <v>1</v>
      </c>
      <c r="Y1076" s="81">
        <f>HLOOKUP(R1076,データについて!$J$12:$M$18,7,FALSE)</f>
        <v>2</v>
      </c>
      <c r="Z1076" s="81">
        <f>HLOOKUP(I1076,データについて!$J$3:$M$18,16,FALSE)</f>
        <v>2</v>
      </c>
      <c r="AA1076" s="81" t="str">
        <f>IFERROR(HLOOKUP(J1076,データについて!$J$4:$AH$19,16,FALSE),"")</f>
        <v/>
      </c>
      <c r="AB1076" s="81">
        <f>IFERROR(HLOOKUP(K1076,データについて!$J$5:$AH$20,14,FALSE),"")</f>
        <v>4</v>
      </c>
      <c r="AC1076" s="81">
        <f>IF(X1076=1,HLOOKUP(R1076,データについて!$J$12:$M$18,7,FALSE),"*")</f>
        <v>2</v>
      </c>
      <c r="AD1076" s="81" t="str">
        <f>IF(X1076=2,HLOOKUP(R1076,データについて!$J$12:$M$18,7,FALSE),"*")</f>
        <v>*</v>
      </c>
    </row>
    <row r="1077" spans="1:30">
      <c r="A1077" s="30">
        <v>4115</v>
      </c>
      <c r="B1077" s="30" t="s">
        <v>3608</v>
      </c>
      <c r="C1077" s="30" t="s">
        <v>3609</v>
      </c>
      <c r="D1077" s="30" t="s">
        <v>106</v>
      </c>
      <c r="E1077" s="30"/>
      <c r="F1077" s="30" t="s">
        <v>107</v>
      </c>
      <c r="G1077" s="30" t="s">
        <v>106</v>
      </c>
      <c r="H1077" s="30"/>
      <c r="I1077" s="30" t="s">
        <v>191</v>
      </c>
      <c r="J1077" s="30"/>
      <c r="K1077" s="30" t="s">
        <v>2463</v>
      </c>
      <c r="L1077" s="30" t="s">
        <v>117</v>
      </c>
      <c r="M1077" s="30" t="s">
        <v>109</v>
      </c>
      <c r="N1077" s="30" t="s">
        <v>110</v>
      </c>
      <c r="O1077" s="30" t="s">
        <v>115</v>
      </c>
      <c r="P1077" s="30" t="s">
        <v>118</v>
      </c>
      <c r="Q1077" s="30" t="s">
        <v>112</v>
      </c>
      <c r="R1077" s="30" t="s">
        <v>187</v>
      </c>
      <c r="S1077" s="81">
        <f>HLOOKUP(L1077,データについて!$J$6:$M$18,13,FALSE)</f>
        <v>2</v>
      </c>
      <c r="T1077" s="81">
        <f>HLOOKUP(M1077,データについて!$J$7:$M$18,12,FALSE)</f>
        <v>2</v>
      </c>
      <c r="U1077" s="81">
        <f>HLOOKUP(N1077,データについて!$J$8:$M$18,11,FALSE)</f>
        <v>2</v>
      </c>
      <c r="V1077" s="81">
        <f>HLOOKUP(O1077,データについて!$J$9:$M$18,10,FALSE)</f>
        <v>1</v>
      </c>
      <c r="W1077" s="81">
        <f>HLOOKUP(P1077,データについて!$J$10:$M$18,9,FALSE)</f>
        <v>2</v>
      </c>
      <c r="X1077" s="81">
        <f>HLOOKUP(Q1077,データについて!$J$11:$M$18,8,FALSE)</f>
        <v>1</v>
      </c>
      <c r="Y1077" s="81">
        <f>HLOOKUP(R1077,データについて!$J$12:$M$18,7,FALSE)</f>
        <v>3</v>
      </c>
      <c r="Z1077" s="81">
        <f>HLOOKUP(I1077,データについて!$J$3:$M$18,16,FALSE)</f>
        <v>2</v>
      </c>
      <c r="AA1077" s="81" t="str">
        <f>IFERROR(HLOOKUP(J1077,データについて!$J$4:$AH$19,16,FALSE),"")</f>
        <v/>
      </c>
      <c r="AB1077" s="81">
        <f>IFERROR(HLOOKUP(K1077,データについて!$J$5:$AH$20,14,FALSE),"")</f>
        <v>4</v>
      </c>
      <c r="AC1077" s="81">
        <f>IF(X1077=1,HLOOKUP(R1077,データについて!$J$12:$M$18,7,FALSE),"*")</f>
        <v>3</v>
      </c>
      <c r="AD1077" s="81" t="str">
        <f>IF(X1077=2,HLOOKUP(R1077,データについて!$J$12:$M$18,7,FALSE),"*")</f>
        <v>*</v>
      </c>
    </row>
    <row r="1078" spans="1:30">
      <c r="A1078" s="30">
        <v>4114</v>
      </c>
      <c r="B1078" s="30" t="s">
        <v>3610</v>
      </c>
      <c r="C1078" s="30" t="s">
        <v>3611</v>
      </c>
      <c r="D1078" s="30" t="s">
        <v>106</v>
      </c>
      <c r="E1078" s="30"/>
      <c r="F1078" s="30" t="s">
        <v>107</v>
      </c>
      <c r="G1078" s="30" t="s">
        <v>106</v>
      </c>
      <c r="H1078" s="30"/>
      <c r="I1078" s="30" t="s">
        <v>191</v>
      </c>
      <c r="J1078" s="30"/>
      <c r="K1078" s="30" t="s">
        <v>2463</v>
      </c>
      <c r="L1078" s="30" t="s">
        <v>108</v>
      </c>
      <c r="M1078" s="30" t="s">
        <v>113</v>
      </c>
      <c r="N1078" s="30" t="s">
        <v>114</v>
      </c>
      <c r="O1078" s="30" t="s">
        <v>115</v>
      </c>
      <c r="P1078" s="30" t="s">
        <v>118</v>
      </c>
      <c r="Q1078" s="30" t="s">
        <v>112</v>
      </c>
      <c r="R1078" s="30" t="s">
        <v>185</v>
      </c>
      <c r="S1078" s="81">
        <f>HLOOKUP(L1078,データについて!$J$6:$M$18,13,FALSE)</f>
        <v>1</v>
      </c>
      <c r="T1078" s="81">
        <f>HLOOKUP(M1078,データについて!$J$7:$M$18,12,FALSE)</f>
        <v>1</v>
      </c>
      <c r="U1078" s="81">
        <f>HLOOKUP(N1078,データについて!$J$8:$M$18,11,FALSE)</f>
        <v>1</v>
      </c>
      <c r="V1078" s="81">
        <f>HLOOKUP(O1078,データについて!$J$9:$M$18,10,FALSE)</f>
        <v>1</v>
      </c>
      <c r="W1078" s="81">
        <f>HLOOKUP(P1078,データについて!$J$10:$M$18,9,FALSE)</f>
        <v>2</v>
      </c>
      <c r="X1078" s="81">
        <f>HLOOKUP(Q1078,データについて!$J$11:$M$18,8,FALSE)</f>
        <v>1</v>
      </c>
      <c r="Y1078" s="81">
        <f>HLOOKUP(R1078,データについて!$J$12:$M$18,7,FALSE)</f>
        <v>2</v>
      </c>
      <c r="Z1078" s="81">
        <f>HLOOKUP(I1078,データについて!$J$3:$M$18,16,FALSE)</f>
        <v>2</v>
      </c>
      <c r="AA1078" s="81" t="str">
        <f>IFERROR(HLOOKUP(J1078,データについて!$J$4:$AH$19,16,FALSE),"")</f>
        <v/>
      </c>
      <c r="AB1078" s="81">
        <f>IFERROR(HLOOKUP(K1078,データについて!$J$5:$AH$20,14,FALSE),"")</f>
        <v>4</v>
      </c>
      <c r="AC1078" s="81">
        <f>IF(X1078=1,HLOOKUP(R1078,データについて!$J$12:$M$18,7,FALSE),"*")</f>
        <v>2</v>
      </c>
      <c r="AD1078" s="81" t="str">
        <f>IF(X1078=2,HLOOKUP(R1078,データについて!$J$12:$M$18,7,FALSE),"*")</f>
        <v>*</v>
      </c>
    </row>
    <row r="1079" spans="1:30">
      <c r="A1079" s="30">
        <v>4113</v>
      </c>
      <c r="B1079" s="30" t="s">
        <v>3612</v>
      </c>
      <c r="C1079" s="30" t="s">
        <v>3613</v>
      </c>
      <c r="D1079" s="30" t="s">
        <v>106</v>
      </c>
      <c r="E1079" s="30"/>
      <c r="F1079" s="30" t="s">
        <v>107</v>
      </c>
      <c r="G1079" s="30" t="s">
        <v>106</v>
      </c>
      <c r="H1079" s="30"/>
      <c r="I1079" s="30" t="s">
        <v>191</v>
      </c>
      <c r="J1079" s="30"/>
      <c r="K1079" s="30" t="s">
        <v>2463</v>
      </c>
      <c r="L1079" s="30" t="s">
        <v>117</v>
      </c>
      <c r="M1079" s="30" t="s">
        <v>113</v>
      </c>
      <c r="N1079" s="30" t="s">
        <v>114</v>
      </c>
      <c r="O1079" s="30" t="s">
        <v>115</v>
      </c>
      <c r="P1079" s="30" t="s">
        <v>112</v>
      </c>
      <c r="Q1079" s="30" t="s">
        <v>118</v>
      </c>
      <c r="R1079" s="30" t="s">
        <v>189</v>
      </c>
      <c r="S1079" s="81">
        <f>HLOOKUP(L1079,データについて!$J$6:$M$18,13,FALSE)</f>
        <v>2</v>
      </c>
      <c r="T1079" s="81">
        <f>HLOOKUP(M1079,データについて!$J$7:$M$18,12,FALSE)</f>
        <v>1</v>
      </c>
      <c r="U1079" s="81">
        <f>HLOOKUP(N1079,データについて!$J$8:$M$18,11,FALSE)</f>
        <v>1</v>
      </c>
      <c r="V1079" s="81">
        <f>HLOOKUP(O1079,データについて!$J$9:$M$18,10,FALSE)</f>
        <v>1</v>
      </c>
      <c r="W1079" s="81">
        <f>HLOOKUP(P1079,データについて!$J$10:$M$18,9,FALSE)</f>
        <v>1</v>
      </c>
      <c r="X1079" s="81">
        <f>HLOOKUP(Q1079,データについて!$J$11:$M$18,8,FALSE)</f>
        <v>2</v>
      </c>
      <c r="Y1079" s="81">
        <f>HLOOKUP(R1079,データについて!$J$12:$M$18,7,FALSE)</f>
        <v>4</v>
      </c>
      <c r="Z1079" s="81">
        <f>HLOOKUP(I1079,データについて!$J$3:$M$18,16,FALSE)</f>
        <v>2</v>
      </c>
      <c r="AA1079" s="81" t="str">
        <f>IFERROR(HLOOKUP(J1079,データについて!$J$4:$AH$19,16,FALSE),"")</f>
        <v/>
      </c>
      <c r="AB1079" s="81">
        <f>IFERROR(HLOOKUP(K1079,データについて!$J$5:$AH$20,14,FALSE),"")</f>
        <v>4</v>
      </c>
      <c r="AC1079" s="81" t="str">
        <f>IF(X1079=1,HLOOKUP(R1079,データについて!$J$12:$M$18,7,FALSE),"*")</f>
        <v>*</v>
      </c>
      <c r="AD1079" s="81">
        <f>IF(X1079=2,HLOOKUP(R1079,データについて!$J$12:$M$18,7,FALSE),"*")</f>
        <v>4</v>
      </c>
    </row>
    <row r="1080" spans="1:30">
      <c r="A1080" s="30">
        <v>4112</v>
      </c>
      <c r="B1080" s="30" t="s">
        <v>3614</v>
      </c>
      <c r="C1080" s="30" t="s">
        <v>3615</v>
      </c>
      <c r="D1080" s="30" t="s">
        <v>106</v>
      </c>
      <c r="E1080" s="30"/>
      <c r="F1080" s="30" t="s">
        <v>107</v>
      </c>
      <c r="G1080" s="30" t="s">
        <v>106</v>
      </c>
      <c r="H1080" s="30"/>
      <c r="I1080" s="30" t="s">
        <v>191</v>
      </c>
      <c r="J1080" s="30"/>
      <c r="K1080" s="30" t="s">
        <v>2463</v>
      </c>
      <c r="L1080" s="30" t="s">
        <v>108</v>
      </c>
      <c r="M1080" s="30" t="s">
        <v>124</v>
      </c>
      <c r="N1080" s="30" t="s">
        <v>114</v>
      </c>
      <c r="O1080" s="30" t="s">
        <v>115</v>
      </c>
      <c r="P1080" s="30" t="s">
        <v>112</v>
      </c>
      <c r="Q1080" s="30" t="s">
        <v>112</v>
      </c>
      <c r="R1080" s="30" t="s">
        <v>189</v>
      </c>
      <c r="S1080" s="81">
        <f>HLOOKUP(L1080,データについて!$J$6:$M$18,13,FALSE)</f>
        <v>1</v>
      </c>
      <c r="T1080" s="81">
        <f>HLOOKUP(M1080,データについて!$J$7:$M$18,12,FALSE)</f>
        <v>3</v>
      </c>
      <c r="U1080" s="81">
        <f>HLOOKUP(N1080,データについて!$J$8:$M$18,11,FALSE)</f>
        <v>1</v>
      </c>
      <c r="V1080" s="81">
        <f>HLOOKUP(O1080,データについて!$J$9:$M$18,10,FALSE)</f>
        <v>1</v>
      </c>
      <c r="W1080" s="81">
        <f>HLOOKUP(P1080,データについて!$J$10:$M$18,9,FALSE)</f>
        <v>1</v>
      </c>
      <c r="X1080" s="81">
        <f>HLOOKUP(Q1080,データについて!$J$11:$M$18,8,FALSE)</f>
        <v>1</v>
      </c>
      <c r="Y1080" s="81">
        <f>HLOOKUP(R1080,データについて!$J$12:$M$18,7,FALSE)</f>
        <v>4</v>
      </c>
      <c r="Z1080" s="81">
        <f>HLOOKUP(I1080,データについて!$J$3:$M$18,16,FALSE)</f>
        <v>2</v>
      </c>
      <c r="AA1080" s="81" t="str">
        <f>IFERROR(HLOOKUP(J1080,データについて!$J$4:$AH$19,16,FALSE),"")</f>
        <v/>
      </c>
      <c r="AB1080" s="81">
        <f>IFERROR(HLOOKUP(K1080,データについて!$J$5:$AH$20,14,FALSE),"")</f>
        <v>4</v>
      </c>
      <c r="AC1080" s="81">
        <f>IF(X1080=1,HLOOKUP(R1080,データについて!$J$12:$M$18,7,FALSE),"*")</f>
        <v>4</v>
      </c>
      <c r="AD1080" s="81" t="str">
        <f>IF(X1080=2,HLOOKUP(R1080,データについて!$J$12:$M$18,7,FALSE),"*")</f>
        <v>*</v>
      </c>
    </row>
    <row r="1081" spans="1:30">
      <c r="A1081" s="30">
        <v>4111</v>
      </c>
      <c r="B1081" s="30" t="s">
        <v>3616</v>
      </c>
      <c r="C1081" s="30" t="s">
        <v>3617</v>
      </c>
      <c r="D1081" s="30" t="s">
        <v>106</v>
      </c>
      <c r="E1081" s="30"/>
      <c r="F1081" s="30" t="s">
        <v>107</v>
      </c>
      <c r="G1081" s="30" t="s">
        <v>106</v>
      </c>
      <c r="H1081" s="30"/>
      <c r="I1081" s="30" t="s">
        <v>191</v>
      </c>
      <c r="J1081" s="30"/>
      <c r="K1081" s="30" t="s">
        <v>2463</v>
      </c>
      <c r="L1081" s="30" t="s">
        <v>108</v>
      </c>
      <c r="M1081" s="30" t="s">
        <v>113</v>
      </c>
      <c r="N1081" s="30" t="s">
        <v>119</v>
      </c>
      <c r="O1081" s="30" t="s">
        <v>115</v>
      </c>
      <c r="P1081" s="30" t="s">
        <v>112</v>
      </c>
      <c r="Q1081" s="30" t="s">
        <v>118</v>
      </c>
      <c r="R1081" s="30" t="s">
        <v>189</v>
      </c>
      <c r="S1081" s="81">
        <f>HLOOKUP(L1081,データについて!$J$6:$M$18,13,FALSE)</f>
        <v>1</v>
      </c>
      <c r="T1081" s="81">
        <f>HLOOKUP(M1081,データについて!$J$7:$M$18,12,FALSE)</f>
        <v>1</v>
      </c>
      <c r="U1081" s="81">
        <f>HLOOKUP(N1081,データについて!$J$8:$M$18,11,FALSE)</f>
        <v>4</v>
      </c>
      <c r="V1081" s="81">
        <f>HLOOKUP(O1081,データについて!$J$9:$M$18,10,FALSE)</f>
        <v>1</v>
      </c>
      <c r="W1081" s="81">
        <f>HLOOKUP(P1081,データについて!$J$10:$M$18,9,FALSE)</f>
        <v>1</v>
      </c>
      <c r="X1081" s="81">
        <f>HLOOKUP(Q1081,データについて!$J$11:$M$18,8,FALSE)</f>
        <v>2</v>
      </c>
      <c r="Y1081" s="81">
        <f>HLOOKUP(R1081,データについて!$J$12:$M$18,7,FALSE)</f>
        <v>4</v>
      </c>
      <c r="Z1081" s="81">
        <f>HLOOKUP(I1081,データについて!$J$3:$M$18,16,FALSE)</f>
        <v>2</v>
      </c>
      <c r="AA1081" s="81" t="str">
        <f>IFERROR(HLOOKUP(J1081,データについて!$J$4:$AH$19,16,FALSE),"")</f>
        <v/>
      </c>
      <c r="AB1081" s="81">
        <f>IFERROR(HLOOKUP(K1081,データについて!$J$5:$AH$20,14,FALSE),"")</f>
        <v>4</v>
      </c>
      <c r="AC1081" s="81" t="str">
        <f>IF(X1081=1,HLOOKUP(R1081,データについて!$J$12:$M$18,7,FALSE),"*")</f>
        <v>*</v>
      </c>
      <c r="AD1081" s="81">
        <f>IF(X1081=2,HLOOKUP(R1081,データについて!$J$12:$M$18,7,FALSE),"*")</f>
        <v>4</v>
      </c>
    </row>
    <row r="1082" spans="1:30">
      <c r="A1082" s="30">
        <v>4110</v>
      </c>
      <c r="B1082" s="30" t="s">
        <v>3618</v>
      </c>
      <c r="C1082" s="30" t="s">
        <v>3619</v>
      </c>
      <c r="D1082" s="30" t="s">
        <v>106</v>
      </c>
      <c r="E1082" s="30"/>
      <c r="F1082" s="30" t="s">
        <v>107</v>
      </c>
      <c r="G1082" s="30" t="s">
        <v>106</v>
      </c>
      <c r="H1082" s="30"/>
      <c r="I1082" s="30" t="s">
        <v>191</v>
      </c>
      <c r="J1082" s="30"/>
      <c r="K1082" s="30" t="s">
        <v>2463</v>
      </c>
      <c r="L1082" s="30" t="s">
        <v>117</v>
      </c>
      <c r="M1082" s="30" t="s">
        <v>121</v>
      </c>
      <c r="N1082" s="30" t="s">
        <v>114</v>
      </c>
      <c r="O1082" s="30" t="s">
        <v>115</v>
      </c>
      <c r="P1082" s="30" t="s">
        <v>112</v>
      </c>
      <c r="Q1082" s="30" t="s">
        <v>118</v>
      </c>
      <c r="R1082" s="30" t="s">
        <v>187</v>
      </c>
      <c r="S1082" s="81">
        <f>HLOOKUP(L1082,データについて!$J$6:$M$18,13,FALSE)</f>
        <v>2</v>
      </c>
      <c r="T1082" s="81">
        <f>HLOOKUP(M1082,データについて!$J$7:$M$18,12,FALSE)</f>
        <v>4</v>
      </c>
      <c r="U1082" s="81">
        <f>HLOOKUP(N1082,データについて!$J$8:$M$18,11,FALSE)</f>
        <v>1</v>
      </c>
      <c r="V1082" s="81">
        <f>HLOOKUP(O1082,データについて!$J$9:$M$18,10,FALSE)</f>
        <v>1</v>
      </c>
      <c r="W1082" s="81">
        <f>HLOOKUP(P1082,データについて!$J$10:$M$18,9,FALSE)</f>
        <v>1</v>
      </c>
      <c r="X1082" s="81">
        <f>HLOOKUP(Q1082,データについて!$J$11:$M$18,8,FALSE)</f>
        <v>2</v>
      </c>
      <c r="Y1082" s="81">
        <f>HLOOKUP(R1082,データについて!$J$12:$M$18,7,FALSE)</f>
        <v>3</v>
      </c>
      <c r="Z1082" s="81">
        <f>HLOOKUP(I1082,データについて!$J$3:$M$18,16,FALSE)</f>
        <v>2</v>
      </c>
      <c r="AA1082" s="81" t="str">
        <f>IFERROR(HLOOKUP(J1082,データについて!$J$4:$AH$19,16,FALSE),"")</f>
        <v/>
      </c>
      <c r="AB1082" s="81">
        <f>IFERROR(HLOOKUP(K1082,データについて!$J$5:$AH$20,14,FALSE),"")</f>
        <v>4</v>
      </c>
      <c r="AC1082" s="81" t="str">
        <f>IF(X1082=1,HLOOKUP(R1082,データについて!$J$12:$M$18,7,FALSE),"*")</f>
        <v>*</v>
      </c>
      <c r="AD1082" s="81">
        <f>IF(X1082=2,HLOOKUP(R1082,データについて!$J$12:$M$18,7,FALSE),"*")</f>
        <v>3</v>
      </c>
    </row>
    <row r="1083" spans="1:30">
      <c r="A1083" s="30">
        <v>4109</v>
      </c>
      <c r="B1083" s="30" t="s">
        <v>3620</v>
      </c>
      <c r="C1083" s="30" t="s">
        <v>3621</v>
      </c>
      <c r="D1083" s="30" t="s">
        <v>106</v>
      </c>
      <c r="E1083" s="30"/>
      <c r="F1083" s="30" t="s">
        <v>107</v>
      </c>
      <c r="G1083" s="30" t="s">
        <v>106</v>
      </c>
      <c r="H1083" s="30"/>
      <c r="I1083" s="30" t="s">
        <v>191</v>
      </c>
      <c r="J1083" s="30"/>
      <c r="K1083" s="30" t="s">
        <v>2463</v>
      </c>
      <c r="L1083" s="30" t="s">
        <v>117</v>
      </c>
      <c r="M1083" s="30" t="s">
        <v>109</v>
      </c>
      <c r="N1083" s="30" t="s">
        <v>110</v>
      </c>
      <c r="O1083" s="30" t="s">
        <v>115</v>
      </c>
      <c r="P1083" s="30" t="s">
        <v>118</v>
      </c>
      <c r="Q1083" s="30" t="s">
        <v>112</v>
      </c>
      <c r="R1083" s="30" t="s">
        <v>189</v>
      </c>
      <c r="S1083" s="81">
        <f>HLOOKUP(L1083,データについて!$J$6:$M$18,13,FALSE)</f>
        <v>2</v>
      </c>
      <c r="T1083" s="81">
        <f>HLOOKUP(M1083,データについて!$J$7:$M$18,12,FALSE)</f>
        <v>2</v>
      </c>
      <c r="U1083" s="81">
        <f>HLOOKUP(N1083,データについて!$J$8:$M$18,11,FALSE)</f>
        <v>2</v>
      </c>
      <c r="V1083" s="81">
        <f>HLOOKUP(O1083,データについて!$J$9:$M$18,10,FALSE)</f>
        <v>1</v>
      </c>
      <c r="W1083" s="81">
        <f>HLOOKUP(P1083,データについて!$J$10:$M$18,9,FALSE)</f>
        <v>2</v>
      </c>
      <c r="X1083" s="81">
        <f>HLOOKUP(Q1083,データについて!$J$11:$M$18,8,FALSE)</f>
        <v>1</v>
      </c>
      <c r="Y1083" s="81">
        <f>HLOOKUP(R1083,データについて!$J$12:$M$18,7,FALSE)</f>
        <v>4</v>
      </c>
      <c r="Z1083" s="81">
        <f>HLOOKUP(I1083,データについて!$J$3:$M$18,16,FALSE)</f>
        <v>2</v>
      </c>
      <c r="AA1083" s="81" t="str">
        <f>IFERROR(HLOOKUP(J1083,データについて!$J$4:$AH$19,16,FALSE),"")</f>
        <v/>
      </c>
      <c r="AB1083" s="81">
        <f>IFERROR(HLOOKUP(K1083,データについて!$J$5:$AH$20,14,FALSE),"")</f>
        <v>4</v>
      </c>
      <c r="AC1083" s="81">
        <f>IF(X1083=1,HLOOKUP(R1083,データについて!$J$12:$M$18,7,FALSE),"*")</f>
        <v>4</v>
      </c>
      <c r="AD1083" s="81" t="str">
        <f>IF(X1083=2,HLOOKUP(R1083,データについて!$J$12:$M$18,7,FALSE),"*")</f>
        <v>*</v>
      </c>
    </row>
    <row r="1084" spans="1:30">
      <c r="A1084" s="30">
        <v>4108</v>
      </c>
      <c r="B1084" s="30" t="s">
        <v>3622</v>
      </c>
      <c r="C1084" s="30" t="s">
        <v>3623</v>
      </c>
      <c r="D1084" s="30" t="s">
        <v>106</v>
      </c>
      <c r="E1084" s="30"/>
      <c r="F1084" s="30" t="s">
        <v>107</v>
      </c>
      <c r="G1084" s="30" t="s">
        <v>106</v>
      </c>
      <c r="H1084" s="30"/>
      <c r="I1084" s="30" t="s">
        <v>191</v>
      </c>
      <c r="J1084" s="30"/>
      <c r="K1084" s="30" t="s">
        <v>2463</v>
      </c>
      <c r="L1084" s="30" t="s">
        <v>117</v>
      </c>
      <c r="M1084" s="30" t="s">
        <v>109</v>
      </c>
      <c r="N1084" s="30" t="s">
        <v>122</v>
      </c>
      <c r="O1084" s="30" t="s">
        <v>115</v>
      </c>
      <c r="P1084" s="30" t="s">
        <v>112</v>
      </c>
      <c r="Q1084" s="30" t="s">
        <v>112</v>
      </c>
      <c r="R1084" s="30" t="s">
        <v>187</v>
      </c>
      <c r="S1084" s="81">
        <f>HLOOKUP(L1084,データについて!$J$6:$M$18,13,FALSE)</f>
        <v>2</v>
      </c>
      <c r="T1084" s="81">
        <f>HLOOKUP(M1084,データについて!$J$7:$M$18,12,FALSE)</f>
        <v>2</v>
      </c>
      <c r="U1084" s="81">
        <f>HLOOKUP(N1084,データについて!$J$8:$M$18,11,FALSE)</f>
        <v>3</v>
      </c>
      <c r="V1084" s="81">
        <f>HLOOKUP(O1084,データについて!$J$9:$M$18,10,FALSE)</f>
        <v>1</v>
      </c>
      <c r="W1084" s="81">
        <f>HLOOKUP(P1084,データについて!$J$10:$M$18,9,FALSE)</f>
        <v>1</v>
      </c>
      <c r="X1084" s="81">
        <f>HLOOKUP(Q1084,データについて!$J$11:$M$18,8,FALSE)</f>
        <v>1</v>
      </c>
      <c r="Y1084" s="81">
        <f>HLOOKUP(R1084,データについて!$J$12:$M$18,7,FALSE)</f>
        <v>3</v>
      </c>
      <c r="Z1084" s="81">
        <f>HLOOKUP(I1084,データについて!$J$3:$M$18,16,FALSE)</f>
        <v>2</v>
      </c>
      <c r="AA1084" s="81" t="str">
        <f>IFERROR(HLOOKUP(J1084,データについて!$J$4:$AH$19,16,FALSE),"")</f>
        <v/>
      </c>
      <c r="AB1084" s="81">
        <f>IFERROR(HLOOKUP(K1084,データについて!$J$5:$AH$20,14,FALSE),"")</f>
        <v>4</v>
      </c>
      <c r="AC1084" s="81">
        <f>IF(X1084=1,HLOOKUP(R1084,データについて!$J$12:$M$18,7,FALSE),"*")</f>
        <v>3</v>
      </c>
      <c r="AD1084" s="81" t="str">
        <f>IF(X1084=2,HLOOKUP(R1084,データについて!$J$12:$M$18,7,FALSE),"*")</f>
        <v>*</v>
      </c>
    </row>
    <row r="1085" spans="1:30">
      <c r="A1085" s="30">
        <v>4107</v>
      </c>
      <c r="B1085" s="30" t="s">
        <v>3624</v>
      </c>
      <c r="C1085" s="30" t="s">
        <v>3623</v>
      </c>
      <c r="D1085" s="30" t="s">
        <v>106</v>
      </c>
      <c r="E1085" s="30"/>
      <c r="F1085" s="30" t="s">
        <v>107</v>
      </c>
      <c r="G1085" s="30" t="s">
        <v>106</v>
      </c>
      <c r="H1085" s="30"/>
      <c r="I1085" s="30" t="s">
        <v>191</v>
      </c>
      <c r="J1085" s="30"/>
      <c r="K1085" s="30" t="s">
        <v>2463</v>
      </c>
      <c r="L1085" s="30" t="s">
        <v>108</v>
      </c>
      <c r="M1085" s="30" t="s">
        <v>121</v>
      </c>
      <c r="N1085" s="30" t="s">
        <v>119</v>
      </c>
      <c r="O1085" s="30" t="s">
        <v>115</v>
      </c>
      <c r="P1085" s="30" t="s">
        <v>112</v>
      </c>
      <c r="Q1085" s="30" t="s">
        <v>118</v>
      </c>
      <c r="R1085" s="30" t="s">
        <v>187</v>
      </c>
      <c r="S1085" s="81">
        <f>HLOOKUP(L1085,データについて!$J$6:$M$18,13,FALSE)</f>
        <v>1</v>
      </c>
      <c r="T1085" s="81">
        <f>HLOOKUP(M1085,データについて!$J$7:$M$18,12,FALSE)</f>
        <v>4</v>
      </c>
      <c r="U1085" s="81">
        <f>HLOOKUP(N1085,データについて!$J$8:$M$18,11,FALSE)</f>
        <v>4</v>
      </c>
      <c r="V1085" s="81">
        <f>HLOOKUP(O1085,データについて!$J$9:$M$18,10,FALSE)</f>
        <v>1</v>
      </c>
      <c r="W1085" s="81">
        <f>HLOOKUP(P1085,データについて!$J$10:$M$18,9,FALSE)</f>
        <v>1</v>
      </c>
      <c r="X1085" s="81">
        <f>HLOOKUP(Q1085,データについて!$J$11:$M$18,8,FALSE)</f>
        <v>2</v>
      </c>
      <c r="Y1085" s="81">
        <f>HLOOKUP(R1085,データについて!$J$12:$M$18,7,FALSE)</f>
        <v>3</v>
      </c>
      <c r="Z1085" s="81">
        <f>HLOOKUP(I1085,データについて!$J$3:$M$18,16,FALSE)</f>
        <v>2</v>
      </c>
      <c r="AA1085" s="81" t="str">
        <f>IFERROR(HLOOKUP(J1085,データについて!$J$4:$AH$19,16,FALSE),"")</f>
        <v/>
      </c>
      <c r="AB1085" s="81">
        <f>IFERROR(HLOOKUP(K1085,データについて!$J$5:$AH$20,14,FALSE),"")</f>
        <v>4</v>
      </c>
      <c r="AC1085" s="81" t="str">
        <f>IF(X1085=1,HLOOKUP(R1085,データについて!$J$12:$M$18,7,FALSE),"*")</f>
        <v>*</v>
      </c>
      <c r="AD1085" s="81">
        <f>IF(X1085=2,HLOOKUP(R1085,データについて!$J$12:$M$18,7,FALSE),"*")</f>
        <v>3</v>
      </c>
    </row>
    <row r="1086" spans="1:30">
      <c r="A1086" s="30">
        <v>4106</v>
      </c>
      <c r="B1086" s="30" t="s">
        <v>3625</v>
      </c>
      <c r="C1086" s="30" t="s">
        <v>3626</v>
      </c>
      <c r="D1086" s="30" t="s">
        <v>106</v>
      </c>
      <c r="E1086" s="30"/>
      <c r="F1086" s="30" t="s">
        <v>107</v>
      </c>
      <c r="G1086" s="30" t="s">
        <v>106</v>
      </c>
      <c r="H1086" s="30"/>
      <c r="I1086" s="30" t="s">
        <v>191</v>
      </c>
      <c r="J1086" s="30"/>
      <c r="K1086" s="30" t="s">
        <v>2463</v>
      </c>
      <c r="L1086" s="30" t="s">
        <v>108</v>
      </c>
      <c r="M1086" s="30" t="s">
        <v>113</v>
      </c>
      <c r="N1086" s="30" t="s">
        <v>119</v>
      </c>
      <c r="O1086" s="30" t="s">
        <v>111</v>
      </c>
      <c r="P1086" s="30" t="s">
        <v>112</v>
      </c>
      <c r="Q1086" s="30" t="s">
        <v>112</v>
      </c>
      <c r="R1086" s="30" t="s">
        <v>183</v>
      </c>
      <c r="S1086" s="81">
        <f>HLOOKUP(L1086,データについて!$J$6:$M$18,13,FALSE)</f>
        <v>1</v>
      </c>
      <c r="T1086" s="81">
        <f>HLOOKUP(M1086,データについて!$J$7:$M$18,12,FALSE)</f>
        <v>1</v>
      </c>
      <c r="U1086" s="81">
        <f>HLOOKUP(N1086,データについて!$J$8:$M$18,11,FALSE)</f>
        <v>4</v>
      </c>
      <c r="V1086" s="81">
        <f>HLOOKUP(O1086,データについて!$J$9:$M$18,10,FALSE)</f>
        <v>3</v>
      </c>
      <c r="W1086" s="81">
        <f>HLOOKUP(P1086,データについて!$J$10:$M$18,9,FALSE)</f>
        <v>1</v>
      </c>
      <c r="X1086" s="81">
        <f>HLOOKUP(Q1086,データについて!$J$11:$M$18,8,FALSE)</f>
        <v>1</v>
      </c>
      <c r="Y1086" s="81">
        <f>HLOOKUP(R1086,データについて!$J$12:$M$18,7,FALSE)</f>
        <v>1</v>
      </c>
      <c r="Z1086" s="81">
        <f>HLOOKUP(I1086,データについて!$J$3:$M$18,16,FALSE)</f>
        <v>2</v>
      </c>
      <c r="AA1086" s="81" t="str">
        <f>IFERROR(HLOOKUP(J1086,データについて!$J$4:$AH$19,16,FALSE),"")</f>
        <v/>
      </c>
      <c r="AB1086" s="81">
        <f>IFERROR(HLOOKUP(K1086,データについて!$J$5:$AH$20,14,FALSE),"")</f>
        <v>4</v>
      </c>
      <c r="AC1086" s="81">
        <f>IF(X1086=1,HLOOKUP(R1086,データについて!$J$12:$M$18,7,FALSE),"*")</f>
        <v>1</v>
      </c>
      <c r="AD1086" s="81" t="str">
        <f>IF(X1086=2,HLOOKUP(R1086,データについて!$J$12:$M$18,7,FALSE),"*")</f>
        <v>*</v>
      </c>
    </row>
    <row r="1087" spans="1:30">
      <c r="A1087" s="30">
        <v>4105</v>
      </c>
      <c r="B1087" s="30" t="s">
        <v>3627</v>
      </c>
      <c r="C1087" s="30" t="s">
        <v>3628</v>
      </c>
      <c r="D1087" s="30" t="s">
        <v>106</v>
      </c>
      <c r="E1087" s="30"/>
      <c r="F1087" s="30" t="s">
        <v>107</v>
      </c>
      <c r="G1087" s="30" t="s">
        <v>106</v>
      </c>
      <c r="H1087" s="30"/>
      <c r="I1087" s="30" t="s">
        <v>191</v>
      </c>
      <c r="J1087" s="30"/>
      <c r="K1087" s="30" t="s">
        <v>2463</v>
      </c>
      <c r="L1087" s="30" t="s">
        <v>108</v>
      </c>
      <c r="M1087" s="30" t="s">
        <v>109</v>
      </c>
      <c r="N1087" s="30" t="s">
        <v>114</v>
      </c>
      <c r="O1087" s="30" t="s">
        <v>115</v>
      </c>
      <c r="P1087" s="30" t="s">
        <v>118</v>
      </c>
      <c r="Q1087" s="30" t="s">
        <v>112</v>
      </c>
      <c r="R1087" s="30" t="s">
        <v>185</v>
      </c>
      <c r="S1087" s="81">
        <f>HLOOKUP(L1087,データについて!$J$6:$M$18,13,FALSE)</f>
        <v>1</v>
      </c>
      <c r="T1087" s="81">
        <f>HLOOKUP(M1087,データについて!$J$7:$M$18,12,FALSE)</f>
        <v>2</v>
      </c>
      <c r="U1087" s="81">
        <f>HLOOKUP(N1087,データについて!$J$8:$M$18,11,FALSE)</f>
        <v>1</v>
      </c>
      <c r="V1087" s="81">
        <f>HLOOKUP(O1087,データについて!$J$9:$M$18,10,FALSE)</f>
        <v>1</v>
      </c>
      <c r="W1087" s="81">
        <f>HLOOKUP(P1087,データについて!$J$10:$M$18,9,FALSE)</f>
        <v>2</v>
      </c>
      <c r="X1087" s="81">
        <f>HLOOKUP(Q1087,データについて!$J$11:$M$18,8,FALSE)</f>
        <v>1</v>
      </c>
      <c r="Y1087" s="81">
        <f>HLOOKUP(R1087,データについて!$J$12:$M$18,7,FALSE)</f>
        <v>2</v>
      </c>
      <c r="Z1087" s="81">
        <f>HLOOKUP(I1087,データについて!$J$3:$M$18,16,FALSE)</f>
        <v>2</v>
      </c>
      <c r="AA1087" s="81" t="str">
        <f>IFERROR(HLOOKUP(J1087,データについて!$J$4:$AH$19,16,FALSE),"")</f>
        <v/>
      </c>
      <c r="AB1087" s="81">
        <f>IFERROR(HLOOKUP(K1087,データについて!$J$5:$AH$20,14,FALSE),"")</f>
        <v>4</v>
      </c>
      <c r="AC1087" s="81">
        <f>IF(X1087=1,HLOOKUP(R1087,データについて!$J$12:$M$18,7,FALSE),"*")</f>
        <v>2</v>
      </c>
      <c r="AD1087" s="81" t="str">
        <f>IF(X1087=2,HLOOKUP(R1087,データについて!$J$12:$M$18,7,FALSE),"*")</f>
        <v>*</v>
      </c>
    </row>
    <row r="1088" spans="1:30">
      <c r="A1088" s="30">
        <v>4104</v>
      </c>
      <c r="B1088" s="30" t="s">
        <v>3629</v>
      </c>
      <c r="C1088" s="30" t="s">
        <v>3630</v>
      </c>
      <c r="D1088" s="30" t="s">
        <v>106</v>
      </c>
      <c r="E1088" s="30"/>
      <c r="F1088" s="30" t="s">
        <v>107</v>
      </c>
      <c r="G1088" s="30" t="s">
        <v>106</v>
      </c>
      <c r="H1088" s="30"/>
      <c r="I1088" s="30" t="s">
        <v>191</v>
      </c>
      <c r="J1088" s="30"/>
      <c r="K1088" s="30" t="s">
        <v>2463</v>
      </c>
      <c r="L1088" s="30" t="s">
        <v>117</v>
      </c>
      <c r="M1088" s="30" t="s">
        <v>124</v>
      </c>
      <c r="N1088" s="30" t="s">
        <v>114</v>
      </c>
      <c r="O1088" s="30" t="s">
        <v>115</v>
      </c>
      <c r="P1088" s="30" t="s">
        <v>112</v>
      </c>
      <c r="Q1088" s="30" t="s">
        <v>112</v>
      </c>
      <c r="R1088" s="30" t="s">
        <v>187</v>
      </c>
      <c r="S1088" s="81">
        <f>HLOOKUP(L1088,データについて!$J$6:$M$18,13,FALSE)</f>
        <v>2</v>
      </c>
      <c r="T1088" s="81">
        <f>HLOOKUP(M1088,データについて!$J$7:$M$18,12,FALSE)</f>
        <v>3</v>
      </c>
      <c r="U1088" s="81">
        <f>HLOOKUP(N1088,データについて!$J$8:$M$18,11,FALSE)</f>
        <v>1</v>
      </c>
      <c r="V1088" s="81">
        <f>HLOOKUP(O1088,データについて!$J$9:$M$18,10,FALSE)</f>
        <v>1</v>
      </c>
      <c r="W1088" s="81">
        <f>HLOOKUP(P1088,データについて!$J$10:$M$18,9,FALSE)</f>
        <v>1</v>
      </c>
      <c r="X1088" s="81">
        <f>HLOOKUP(Q1088,データについて!$J$11:$M$18,8,FALSE)</f>
        <v>1</v>
      </c>
      <c r="Y1088" s="81">
        <f>HLOOKUP(R1088,データについて!$J$12:$M$18,7,FALSE)</f>
        <v>3</v>
      </c>
      <c r="Z1088" s="81">
        <f>HLOOKUP(I1088,データについて!$J$3:$M$18,16,FALSE)</f>
        <v>2</v>
      </c>
      <c r="AA1088" s="81" t="str">
        <f>IFERROR(HLOOKUP(J1088,データについて!$J$4:$AH$19,16,FALSE),"")</f>
        <v/>
      </c>
      <c r="AB1088" s="81">
        <f>IFERROR(HLOOKUP(K1088,データについて!$J$5:$AH$20,14,FALSE),"")</f>
        <v>4</v>
      </c>
      <c r="AC1088" s="81">
        <f>IF(X1088=1,HLOOKUP(R1088,データについて!$J$12:$M$18,7,FALSE),"*")</f>
        <v>3</v>
      </c>
      <c r="AD1088" s="81" t="str">
        <f>IF(X1088=2,HLOOKUP(R1088,データについて!$J$12:$M$18,7,FALSE),"*")</f>
        <v>*</v>
      </c>
    </row>
    <row r="1089" spans="1:30">
      <c r="A1089" s="30">
        <v>4103</v>
      </c>
      <c r="B1089" s="30" t="s">
        <v>3631</v>
      </c>
      <c r="C1089" s="30" t="s">
        <v>3630</v>
      </c>
      <c r="D1089" s="30" t="s">
        <v>106</v>
      </c>
      <c r="E1089" s="30"/>
      <c r="F1089" s="30" t="s">
        <v>107</v>
      </c>
      <c r="G1089" s="30" t="s">
        <v>106</v>
      </c>
      <c r="H1089" s="30"/>
      <c r="I1089" s="30" t="s">
        <v>191</v>
      </c>
      <c r="J1089" s="30"/>
      <c r="K1089" s="30" t="s">
        <v>2463</v>
      </c>
      <c r="L1089" s="30" t="s">
        <v>117</v>
      </c>
      <c r="M1089" s="30" t="s">
        <v>124</v>
      </c>
      <c r="N1089" s="30" t="s">
        <v>114</v>
      </c>
      <c r="O1089" s="30" t="s">
        <v>115</v>
      </c>
      <c r="P1089" s="30" t="s">
        <v>112</v>
      </c>
      <c r="Q1089" s="30" t="s">
        <v>118</v>
      </c>
      <c r="R1089" s="30" t="s">
        <v>187</v>
      </c>
      <c r="S1089" s="81">
        <f>HLOOKUP(L1089,データについて!$J$6:$M$18,13,FALSE)</f>
        <v>2</v>
      </c>
      <c r="T1089" s="81">
        <f>HLOOKUP(M1089,データについて!$J$7:$M$18,12,FALSE)</f>
        <v>3</v>
      </c>
      <c r="U1089" s="81">
        <f>HLOOKUP(N1089,データについて!$J$8:$M$18,11,FALSE)</f>
        <v>1</v>
      </c>
      <c r="V1089" s="81">
        <f>HLOOKUP(O1089,データについて!$J$9:$M$18,10,FALSE)</f>
        <v>1</v>
      </c>
      <c r="W1089" s="81">
        <f>HLOOKUP(P1089,データについて!$J$10:$M$18,9,FALSE)</f>
        <v>1</v>
      </c>
      <c r="X1089" s="81">
        <f>HLOOKUP(Q1089,データについて!$J$11:$M$18,8,FALSE)</f>
        <v>2</v>
      </c>
      <c r="Y1089" s="81">
        <f>HLOOKUP(R1089,データについて!$J$12:$M$18,7,FALSE)</f>
        <v>3</v>
      </c>
      <c r="Z1089" s="81">
        <f>HLOOKUP(I1089,データについて!$J$3:$M$18,16,FALSE)</f>
        <v>2</v>
      </c>
      <c r="AA1089" s="81" t="str">
        <f>IFERROR(HLOOKUP(J1089,データについて!$J$4:$AH$19,16,FALSE),"")</f>
        <v/>
      </c>
      <c r="AB1089" s="81">
        <f>IFERROR(HLOOKUP(K1089,データについて!$J$5:$AH$20,14,FALSE),"")</f>
        <v>4</v>
      </c>
      <c r="AC1089" s="81" t="str">
        <f>IF(X1089=1,HLOOKUP(R1089,データについて!$J$12:$M$18,7,FALSE),"*")</f>
        <v>*</v>
      </c>
      <c r="AD1089" s="81">
        <f>IF(X1089=2,HLOOKUP(R1089,データについて!$J$12:$M$18,7,FALSE),"*")</f>
        <v>3</v>
      </c>
    </row>
    <row r="1090" spans="1:30">
      <c r="A1090" s="30">
        <v>4102</v>
      </c>
      <c r="B1090" s="30" t="s">
        <v>3632</v>
      </c>
      <c r="C1090" s="30" t="s">
        <v>3633</v>
      </c>
      <c r="D1090" s="30" t="s">
        <v>106</v>
      </c>
      <c r="E1090" s="30"/>
      <c r="F1090" s="30" t="s">
        <v>107</v>
      </c>
      <c r="G1090" s="30" t="s">
        <v>106</v>
      </c>
      <c r="H1090" s="30"/>
      <c r="I1090" s="30" t="s">
        <v>191</v>
      </c>
      <c r="J1090" s="30"/>
      <c r="K1090" s="30" t="s">
        <v>2463</v>
      </c>
      <c r="L1090" s="30" t="s">
        <v>108</v>
      </c>
      <c r="M1090" s="30" t="s">
        <v>109</v>
      </c>
      <c r="N1090" s="30" t="s">
        <v>110</v>
      </c>
      <c r="O1090" s="30" t="s">
        <v>116</v>
      </c>
      <c r="P1090" s="30" t="s">
        <v>118</v>
      </c>
      <c r="Q1090" s="30" t="s">
        <v>112</v>
      </c>
      <c r="R1090" s="30" t="s">
        <v>187</v>
      </c>
      <c r="S1090" s="81">
        <f>HLOOKUP(L1090,データについて!$J$6:$M$18,13,FALSE)</f>
        <v>1</v>
      </c>
      <c r="T1090" s="81">
        <f>HLOOKUP(M1090,データについて!$J$7:$M$18,12,FALSE)</f>
        <v>2</v>
      </c>
      <c r="U1090" s="81">
        <f>HLOOKUP(N1090,データについて!$J$8:$M$18,11,FALSE)</f>
        <v>2</v>
      </c>
      <c r="V1090" s="81">
        <f>HLOOKUP(O1090,データについて!$J$9:$M$18,10,FALSE)</f>
        <v>2</v>
      </c>
      <c r="W1090" s="81">
        <f>HLOOKUP(P1090,データについて!$J$10:$M$18,9,FALSE)</f>
        <v>2</v>
      </c>
      <c r="X1090" s="81">
        <f>HLOOKUP(Q1090,データについて!$J$11:$M$18,8,FALSE)</f>
        <v>1</v>
      </c>
      <c r="Y1090" s="81">
        <f>HLOOKUP(R1090,データについて!$J$12:$M$18,7,FALSE)</f>
        <v>3</v>
      </c>
      <c r="Z1090" s="81">
        <f>HLOOKUP(I1090,データについて!$J$3:$M$18,16,FALSE)</f>
        <v>2</v>
      </c>
      <c r="AA1090" s="81" t="str">
        <f>IFERROR(HLOOKUP(J1090,データについて!$J$4:$AH$19,16,FALSE),"")</f>
        <v/>
      </c>
      <c r="AB1090" s="81">
        <f>IFERROR(HLOOKUP(K1090,データについて!$J$5:$AH$20,14,FALSE),"")</f>
        <v>4</v>
      </c>
      <c r="AC1090" s="81">
        <f>IF(X1090=1,HLOOKUP(R1090,データについて!$J$12:$M$18,7,FALSE),"*")</f>
        <v>3</v>
      </c>
      <c r="AD1090" s="81" t="str">
        <f>IF(X1090=2,HLOOKUP(R1090,データについて!$J$12:$M$18,7,FALSE),"*")</f>
        <v>*</v>
      </c>
    </row>
    <row r="1091" spans="1:30">
      <c r="A1091" s="30">
        <v>4101</v>
      </c>
      <c r="B1091" s="30" t="s">
        <v>3634</v>
      </c>
      <c r="C1091" s="30" t="s">
        <v>3635</v>
      </c>
      <c r="D1091" s="30" t="s">
        <v>106</v>
      </c>
      <c r="E1091" s="30"/>
      <c r="F1091" s="30" t="s">
        <v>107</v>
      </c>
      <c r="G1091" s="30" t="s">
        <v>106</v>
      </c>
      <c r="H1091" s="30"/>
      <c r="I1091" s="30" t="s">
        <v>191</v>
      </c>
      <c r="J1091" s="30"/>
      <c r="K1091" s="30" t="s">
        <v>2463</v>
      </c>
      <c r="L1091" s="30" t="s">
        <v>117</v>
      </c>
      <c r="M1091" s="30" t="s">
        <v>109</v>
      </c>
      <c r="N1091" s="30" t="s">
        <v>110</v>
      </c>
      <c r="O1091" s="30" t="s">
        <v>115</v>
      </c>
      <c r="P1091" s="30" t="s">
        <v>112</v>
      </c>
      <c r="Q1091" s="30" t="s">
        <v>112</v>
      </c>
      <c r="R1091" s="30" t="s">
        <v>185</v>
      </c>
      <c r="S1091" s="81">
        <f>HLOOKUP(L1091,データについて!$J$6:$M$18,13,FALSE)</f>
        <v>2</v>
      </c>
      <c r="T1091" s="81">
        <f>HLOOKUP(M1091,データについて!$J$7:$M$18,12,FALSE)</f>
        <v>2</v>
      </c>
      <c r="U1091" s="81">
        <f>HLOOKUP(N1091,データについて!$J$8:$M$18,11,FALSE)</f>
        <v>2</v>
      </c>
      <c r="V1091" s="81">
        <f>HLOOKUP(O1091,データについて!$J$9:$M$18,10,FALSE)</f>
        <v>1</v>
      </c>
      <c r="W1091" s="81">
        <f>HLOOKUP(P1091,データについて!$J$10:$M$18,9,FALSE)</f>
        <v>1</v>
      </c>
      <c r="X1091" s="81">
        <f>HLOOKUP(Q1091,データについて!$J$11:$M$18,8,FALSE)</f>
        <v>1</v>
      </c>
      <c r="Y1091" s="81">
        <f>HLOOKUP(R1091,データについて!$J$12:$M$18,7,FALSE)</f>
        <v>2</v>
      </c>
      <c r="Z1091" s="81">
        <f>HLOOKUP(I1091,データについて!$J$3:$M$18,16,FALSE)</f>
        <v>2</v>
      </c>
      <c r="AA1091" s="81" t="str">
        <f>IFERROR(HLOOKUP(J1091,データについて!$J$4:$AH$19,16,FALSE),"")</f>
        <v/>
      </c>
      <c r="AB1091" s="81">
        <f>IFERROR(HLOOKUP(K1091,データについて!$J$5:$AH$20,14,FALSE),"")</f>
        <v>4</v>
      </c>
      <c r="AC1091" s="81">
        <f>IF(X1091=1,HLOOKUP(R1091,データについて!$J$12:$M$18,7,FALSE),"*")</f>
        <v>2</v>
      </c>
      <c r="AD1091" s="81" t="str">
        <f>IF(X1091=2,HLOOKUP(R1091,データについて!$J$12:$M$18,7,FALSE),"*")</f>
        <v>*</v>
      </c>
    </row>
    <row r="1092" spans="1:30">
      <c r="A1092" s="30">
        <v>4100</v>
      </c>
      <c r="B1092" s="30" t="s">
        <v>3636</v>
      </c>
      <c r="C1092" s="30" t="s">
        <v>3637</v>
      </c>
      <c r="D1092" s="30" t="s">
        <v>106</v>
      </c>
      <c r="E1092" s="30"/>
      <c r="F1092" s="30" t="s">
        <v>107</v>
      </c>
      <c r="G1092" s="30" t="s">
        <v>106</v>
      </c>
      <c r="H1092" s="30"/>
      <c r="I1092" s="30" t="s">
        <v>191</v>
      </c>
      <c r="J1092" s="30"/>
      <c r="K1092" s="30" t="s">
        <v>2463</v>
      </c>
      <c r="L1092" s="30" t="s">
        <v>117</v>
      </c>
      <c r="M1092" s="30" t="s">
        <v>113</v>
      </c>
      <c r="N1092" s="30" t="s">
        <v>119</v>
      </c>
      <c r="O1092" s="30" t="s">
        <v>115</v>
      </c>
      <c r="P1092" s="30" t="s">
        <v>112</v>
      </c>
      <c r="Q1092" s="30" t="s">
        <v>112</v>
      </c>
      <c r="R1092" s="30" t="s">
        <v>185</v>
      </c>
      <c r="S1092" s="81">
        <f>HLOOKUP(L1092,データについて!$J$6:$M$18,13,FALSE)</f>
        <v>2</v>
      </c>
      <c r="T1092" s="81">
        <f>HLOOKUP(M1092,データについて!$J$7:$M$18,12,FALSE)</f>
        <v>1</v>
      </c>
      <c r="U1092" s="81">
        <f>HLOOKUP(N1092,データについて!$J$8:$M$18,11,FALSE)</f>
        <v>4</v>
      </c>
      <c r="V1092" s="81">
        <f>HLOOKUP(O1092,データについて!$J$9:$M$18,10,FALSE)</f>
        <v>1</v>
      </c>
      <c r="W1092" s="81">
        <f>HLOOKUP(P1092,データについて!$J$10:$M$18,9,FALSE)</f>
        <v>1</v>
      </c>
      <c r="X1092" s="81">
        <f>HLOOKUP(Q1092,データについて!$J$11:$M$18,8,FALSE)</f>
        <v>1</v>
      </c>
      <c r="Y1092" s="81">
        <f>HLOOKUP(R1092,データについて!$J$12:$M$18,7,FALSE)</f>
        <v>2</v>
      </c>
      <c r="Z1092" s="81">
        <f>HLOOKUP(I1092,データについて!$J$3:$M$18,16,FALSE)</f>
        <v>2</v>
      </c>
      <c r="AA1092" s="81" t="str">
        <f>IFERROR(HLOOKUP(J1092,データについて!$J$4:$AH$19,16,FALSE),"")</f>
        <v/>
      </c>
      <c r="AB1092" s="81">
        <f>IFERROR(HLOOKUP(K1092,データについて!$J$5:$AH$20,14,FALSE),"")</f>
        <v>4</v>
      </c>
      <c r="AC1092" s="81">
        <f>IF(X1092=1,HLOOKUP(R1092,データについて!$J$12:$M$18,7,FALSE),"*")</f>
        <v>2</v>
      </c>
      <c r="AD1092" s="81" t="str">
        <f>IF(X1092=2,HLOOKUP(R1092,データについて!$J$12:$M$18,7,FALSE),"*")</f>
        <v>*</v>
      </c>
    </row>
    <row r="1093" spans="1:30">
      <c r="A1093" s="30">
        <v>4099</v>
      </c>
      <c r="B1093" s="30" t="s">
        <v>3638</v>
      </c>
      <c r="C1093" s="30" t="s">
        <v>3639</v>
      </c>
      <c r="D1093" s="30" t="s">
        <v>106</v>
      </c>
      <c r="E1093" s="30"/>
      <c r="F1093" s="30" t="s">
        <v>107</v>
      </c>
      <c r="G1093" s="30" t="s">
        <v>106</v>
      </c>
      <c r="H1093" s="30"/>
      <c r="I1093" s="30" t="s">
        <v>191</v>
      </c>
      <c r="J1093" s="30"/>
      <c r="K1093" s="30" t="s">
        <v>2463</v>
      </c>
      <c r="L1093" s="30" t="s">
        <v>117</v>
      </c>
      <c r="M1093" s="30" t="s">
        <v>113</v>
      </c>
      <c r="N1093" s="30" t="s">
        <v>122</v>
      </c>
      <c r="O1093" s="30" t="s">
        <v>115</v>
      </c>
      <c r="P1093" s="30" t="s">
        <v>118</v>
      </c>
      <c r="Q1093" s="30" t="s">
        <v>112</v>
      </c>
      <c r="R1093" s="30" t="s">
        <v>187</v>
      </c>
      <c r="S1093" s="81">
        <f>HLOOKUP(L1093,データについて!$J$6:$M$18,13,FALSE)</f>
        <v>2</v>
      </c>
      <c r="T1093" s="81">
        <f>HLOOKUP(M1093,データについて!$J$7:$M$18,12,FALSE)</f>
        <v>1</v>
      </c>
      <c r="U1093" s="81">
        <f>HLOOKUP(N1093,データについて!$J$8:$M$18,11,FALSE)</f>
        <v>3</v>
      </c>
      <c r="V1093" s="81">
        <f>HLOOKUP(O1093,データについて!$J$9:$M$18,10,FALSE)</f>
        <v>1</v>
      </c>
      <c r="W1093" s="81">
        <f>HLOOKUP(P1093,データについて!$J$10:$M$18,9,FALSE)</f>
        <v>2</v>
      </c>
      <c r="X1093" s="81">
        <f>HLOOKUP(Q1093,データについて!$J$11:$M$18,8,FALSE)</f>
        <v>1</v>
      </c>
      <c r="Y1093" s="81">
        <f>HLOOKUP(R1093,データについて!$J$12:$M$18,7,FALSE)</f>
        <v>3</v>
      </c>
      <c r="Z1093" s="81">
        <f>HLOOKUP(I1093,データについて!$J$3:$M$18,16,FALSE)</f>
        <v>2</v>
      </c>
      <c r="AA1093" s="81" t="str">
        <f>IFERROR(HLOOKUP(J1093,データについて!$J$4:$AH$19,16,FALSE),"")</f>
        <v/>
      </c>
      <c r="AB1093" s="81">
        <f>IFERROR(HLOOKUP(K1093,データについて!$J$5:$AH$20,14,FALSE),"")</f>
        <v>4</v>
      </c>
      <c r="AC1093" s="81">
        <f>IF(X1093=1,HLOOKUP(R1093,データについて!$J$12:$M$18,7,FALSE),"*")</f>
        <v>3</v>
      </c>
      <c r="AD1093" s="81" t="str">
        <f>IF(X1093=2,HLOOKUP(R1093,データについて!$J$12:$M$18,7,FALSE),"*")</f>
        <v>*</v>
      </c>
    </row>
    <row r="1094" spans="1:30">
      <c r="A1094" s="30">
        <v>4098</v>
      </c>
      <c r="B1094" s="30" t="s">
        <v>3640</v>
      </c>
      <c r="C1094" s="30" t="s">
        <v>3641</v>
      </c>
      <c r="D1094" s="30" t="s">
        <v>106</v>
      </c>
      <c r="E1094" s="30"/>
      <c r="F1094" s="30" t="s">
        <v>107</v>
      </c>
      <c r="G1094" s="30" t="s">
        <v>106</v>
      </c>
      <c r="H1094" s="30"/>
      <c r="I1094" s="30" t="s">
        <v>191</v>
      </c>
      <c r="J1094" s="30"/>
      <c r="K1094" s="30" t="s">
        <v>2463</v>
      </c>
      <c r="L1094" s="30" t="s">
        <v>108</v>
      </c>
      <c r="M1094" s="30" t="s">
        <v>113</v>
      </c>
      <c r="N1094" s="30" t="s">
        <v>110</v>
      </c>
      <c r="O1094" s="30" t="s">
        <v>115</v>
      </c>
      <c r="P1094" s="30" t="s">
        <v>118</v>
      </c>
      <c r="Q1094" s="30" t="s">
        <v>112</v>
      </c>
      <c r="R1094" s="30" t="s">
        <v>185</v>
      </c>
      <c r="S1094" s="81">
        <f>HLOOKUP(L1094,データについて!$J$6:$M$18,13,FALSE)</f>
        <v>1</v>
      </c>
      <c r="T1094" s="81">
        <f>HLOOKUP(M1094,データについて!$J$7:$M$18,12,FALSE)</f>
        <v>1</v>
      </c>
      <c r="U1094" s="81">
        <f>HLOOKUP(N1094,データについて!$J$8:$M$18,11,FALSE)</f>
        <v>2</v>
      </c>
      <c r="V1094" s="81">
        <f>HLOOKUP(O1094,データについて!$J$9:$M$18,10,FALSE)</f>
        <v>1</v>
      </c>
      <c r="W1094" s="81">
        <f>HLOOKUP(P1094,データについて!$J$10:$M$18,9,FALSE)</f>
        <v>2</v>
      </c>
      <c r="X1094" s="81">
        <f>HLOOKUP(Q1094,データについて!$J$11:$M$18,8,FALSE)</f>
        <v>1</v>
      </c>
      <c r="Y1094" s="81">
        <f>HLOOKUP(R1094,データについて!$J$12:$M$18,7,FALSE)</f>
        <v>2</v>
      </c>
      <c r="Z1094" s="81">
        <f>HLOOKUP(I1094,データについて!$J$3:$M$18,16,FALSE)</f>
        <v>2</v>
      </c>
      <c r="AA1094" s="81" t="str">
        <f>IFERROR(HLOOKUP(J1094,データについて!$J$4:$AH$19,16,FALSE),"")</f>
        <v/>
      </c>
      <c r="AB1094" s="81">
        <f>IFERROR(HLOOKUP(K1094,データについて!$J$5:$AH$20,14,FALSE),"")</f>
        <v>4</v>
      </c>
      <c r="AC1094" s="81">
        <f>IF(X1094=1,HLOOKUP(R1094,データについて!$J$12:$M$18,7,FALSE),"*")</f>
        <v>2</v>
      </c>
      <c r="AD1094" s="81" t="str">
        <f>IF(X1094=2,HLOOKUP(R1094,データについて!$J$12:$M$18,7,FALSE),"*")</f>
        <v>*</v>
      </c>
    </row>
    <row r="1095" spans="1:30">
      <c r="A1095" s="30">
        <v>4097</v>
      </c>
      <c r="B1095" s="30" t="s">
        <v>3642</v>
      </c>
      <c r="C1095" s="30" t="s">
        <v>3643</v>
      </c>
      <c r="D1095" s="30" t="s">
        <v>106</v>
      </c>
      <c r="E1095" s="30"/>
      <c r="F1095" s="30" t="s">
        <v>107</v>
      </c>
      <c r="G1095" s="30" t="s">
        <v>106</v>
      </c>
      <c r="H1095" s="30"/>
      <c r="I1095" s="30" t="s">
        <v>191</v>
      </c>
      <c r="J1095" s="30"/>
      <c r="K1095" s="30" t="s">
        <v>2463</v>
      </c>
      <c r="L1095" s="30" t="s">
        <v>117</v>
      </c>
      <c r="M1095" s="30" t="s">
        <v>113</v>
      </c>
      <c r="N1095" s="30" t="s">
        <v>110</v>
      </c>
      <c r="O1095" s="30" t="s">
        <v>115</v>
      </c>
      <c r="P1095" s="30" t="s">
        <v>112</v>
      </c>
      <c r="Q1095" s="30" t="s">
        <v>118</v>
      </c>
      <c r="R1095" s="30" t="s">
        <v>187</v>
      </c>
      <c r="S1095" s="81">
        <f>HLOOKUP(L1095,データについて!$J$6:$M$18,13,FALSE)</f>
        <v>2</v>
      </c>
      <c r="T1095" s="81">
        <f>HLOOKUP(M1095,データについて!$J$7:$M$18,12,FALSE)</f>
        <v>1</v>
      </c>
      <c r="U1095" s="81">
        <f>HLOOKUP(N1095,データについて!$J$8:$M$18,11,FALSE)</f>
        <v>2</v>
      </c>
      <c r="V1095" s="81">
        <f>HLOOKUP(O1095,データについて!$J$9:$M$18,10,FALSE)</f>
        <v>1</v>
      </c>
      <c r="W1095" s="81">
        <f>HLOOKUP(P1095,データについて!$J$10:$M$18,9,FALSE)</f>
        <v>1</v>
      </c>
      <c r="X1095" s="81">
        <f>HLOOKUP(Q1095,データについて!$J$11:$M$18,8,FALSE)</f>
        <v>2</v>
      </c>
      <c r="Y1095" s="81">
        <f>HLOOKUP(R1095,データについて!$J$12:$M$18,7,FALSE)</f>
        <v>3</v>
      </c>
      <c r="Z1095" s="81">
        <f>HLOOKUP(I1095,データについて!$J$3:$M$18,16,FALSE)</f>
        <v>2</v>
      </c>
      <c r="AA1095" s="81" t="str">
        <f>IFERROR(HLOOKUP(J1095,データについて!$J$4:$AH$19,16,FALSE),"")</f>
        <v/>
      </c>
      <c r="AB1095" s="81">
        <f>IFERROR(HLOOKUP(K1095,データについて!$J$5:$AH$20,14,FALSE),"")</f>
        <v>4</v>
      </c>
      <c r="AC1095" s="81" t="str">
        <f>IF(X1095=1,HLOOKUP(R1095,データについて!$J$12:$M$18,7,FALSE),"*")</f>
        <v>*</v>
      </c>
      <c r="AD1095" s="81">
        <f>IF(X1095=2,HLOOKUP(R1095,データについて!$J$12:$M$18,7,FALSE),"*")</f>
        <v>3</v>
      </c>
    </row>
    <row r="1096" spans="1:30">
      <c r="A1096" s="30">
        <v>4096</v>
      </c>
      <c r="B1096" s="30" t="s">
        <v>3644</v>
      </c>
      <c r="C1096" s="30" t="s">
        <v>3645</v>
      </c>
      <c r="D1096" s="30" t="s">
        <v>106</v>
      </c>
      <c r="E1096" s="30"/>
      <c r="F1096" s="30" t="s">
        <v>107</v>
      </c>
      <c r="G1096" s="30" t="s">
        <v>106</v>
      </c>
      <c r="H1096" s="30"/>
      <c r="I1096" s="30" t="s">
        <v>191</v>
      </c>
      <c r="J1096" s="30"/>
      <c r="K1096" s="30" t="s">
        <v>2463</v>
      </c>
      <c r="L1096" s="30" t="s">
        <v>117</v>
      </c>
      <c r="M1096" s="30" t="s">
        <v>113</v>
      </c>
      <c r="N1096" s="30" t="s">
        <v>114</v>
      </c>
      <c r="O1096" s="30" t="s">
        <v>115</v>
      </c>
      <c r="P1096" s="30" t="s">
        <v>112</v>
      </c>
      <c r="Q1096" s="30" t="s">
        <v>112</v>
      </c>
      <c r="R1096" s="30" t="s">
        <v>183</v>
      </c>
      <c r="S1096" s="81">
        <f>HLOOKUP(L1096,データについて!$J$6:$M$18,13,FALSE)</f>
        <v>2</v>
      </c>
      <c r="T1096" s="81">
        <f>HLOOKUP(M1096,データについて!$J$7:$M$18,12,FALSE)</f>
        <v>1</v>
      </c>
      <c r="U1096" s="81">
        <f>HLOOKUP(N1096,データについて!$J$8:$M$18,11,FALSE)</f>
        <v>1</v>
      </c>
      <c r="V1096" s="81">
        <f>HLOOKUP(O1096,データについて!$J$9:$M$18,10,FALSE)</f>
        <v>1</v>
      </c>
      <c r="W1096" s="81">
        <f>HLOOKUP(P1096,データについて!$J$10:$M$18,9,FALSE)</f>
        <v>1</v>
      </c>
      <c r="X1096" s="81">
        <f>HLOOKUP(Q1096,データについて!$J$11:$M$18,8,FALSE)</f>
        <v>1</v>
      </c>
      <c r="Y1096" s="81">
        <f>HLOOKUP(R1096,データについて!$J$12:$M$18,7,FALSE)</f>
        <v>1</v>
      </c>
      <c r="Z1096" s="81">
        <f>HLOOKUP(I1096,データについて!$J$3:$M$18,16,FALSE)</f>
        <v>2</v>
      </c>
      <c r="AA1096" s="81" t="str">
        <f>IFERROR(HLOOKUP(J1096,データについて!$J$4:$AH$19,16,FALSE),"")</f>
        <v/>
      </c>
      <c r="AB1096" s="81">
        <f>IFERROR(HLOOKUP(K1096,データについて!$J$5:$AH$20,14,FALSE),"")</f>
        <v>4</v>
      </c>
      <c r="AC1096" s="81">
        <f>IF(X1096=1,HLOOKUP(R1096,データについて!$J$12:$M$18,7,FALSE),"*")</f>
        <v>1</v>
      </c>
      <c r="AD1096" s="81" t="str">
        <f>IF(X1096=2,HLOOKUP(R1096,データについて!$J$12:$M$18,7,FALSE),"*")</f>
        <v>*</v>
      </c>
    </row>
    <row r="1097" spans="1:30">
      <c r="A1097" s="30">
        <v>4095</v>
      </c>
      <c r="B1097" s="30" t="s">
        <v>3646</v>
      </c>
      <c r="C1097" s="30" t="s">
        <v>3647</v>
      </c>
      <c r="D1097" s="30" t="s">
        <v>106</v>
      </c>
      <c r="E1097" s="30"/>
      <c r="F1097" s="30" t="s">
        <v>107</v>
      </c>
      <c r="G1097" s="30" t="s">
        <v>106</v>
      </c>
      <c r="H1097" s="30"/>
      <c r="I1097" s="30" t="s">
        <v>191</v>
      </c>
      <c r="J1097" s="30"/>
      <c r="K1097" s="30" t="s">
        <v>2463</v>
      </c>
      <c r="L1097" s="30" t="s">
        <v>108</v>
      </c>
      <c r="M1097" s="30" t="s">
        <v>109</v>
      </c>
      <c r="N1097" s="30" t="s">
        <v>110</v>
      </c>
      <c r="O1097" s="30" t="s">
        <v>116</v>
      </c>
      <c r="P1097" s="30" t="s">
        <v>118</v>
      </c>
      <c r="Q1097" s="30" t="s">
        <v>118</v>
      </c>
      <c r="R1097" s="30" t="s">
        <v>189</v>
      </c>
      <c r="S1097" s="81">
        <f>HLOOKUP(L1097,データについて!$J$6:$M$18,13,FALSE)</f>
        <v>1</v>
      </c>
      <c r="T1097" s="81">
        <f>HLOOKUP(M1097,データについて!$J$7:$M$18,12,FALSE)</f>
        <v>2</v>
      </c>
      <c r="U1097" s="81">
        <f>HLOOKUP(N1097,データについて!$J$8:$M$18,11,FALSE)</f>
        <v>2</v>
      </c>
      <c r="V1097" s="81">
        <f>HLOOKUP(O1097,データについて!$J$9:$M$18,10,FALSE)</f>
        <v>2</v>
      </c>
      <c r="W1097" s="81">
        <f>HLOOKUP(P1097,データについて!$J$10:$M$18,9,FALSE)</f>
        <v>2</v>
      </c>
      <c r="X1097" s="81">
        <f>HLOOKUP(Q1097,データについて!$J$11:$M$18,8,FALSE)</f>
        <v>2</v>
      </c>
      <c r="Y1097" s="81">
        <f>HLOOKUP(R1097,データについて!$J$12:$M$18,7,FALSE)</f>
        <v>4</v>
      </c>
      <c r="Z1097" s="81">
        <f>HLOOKUP(I1097,データについて!$J$3:$M$18,16,FALSE)</f>
        <v>2</v>
      </c>
      <c r="AA1097" s="81" t="str">
        <f>IFERROR(HLOOKUP(J1097,データについて!$J$4:$AH$19,16,FALSE),"")</f>
        <v/>
      </c>
      <c r="AB1097" s="81">
        <f>IFERROR(HLOOKUP(K1097,データについて!$J$5:$AH$20,14,FALSE),"")</f>
        <v>4</v>
      </c>
      <c r="AC1097" s="81" t="str">
        <f>IF(X1097=1,HLOOKUP(R1097,データについて!$J$12:$M$18,7,FALSE),"*")</f>
        <v>*</v>
      </c>
      <c r="AD1097" s="81">
        <f>IF(X1097=2,HLOOKUP(R1097,データについて!$J$12:$M$18,7,FALSE),"*")</f>
        <v>4</v>
      </c>
    </row>
    <row r="1098" spans="1:30">
      <c r="A1098" s="30">
        <v>4094</v>
      </c>
      <c r="B1098" s="30" t="s">
        <v>3648</v>
      </c>
      <c r="C1098" s="30" t="s">
        <v>3649</v>
      </c>
      <c r="D1098" s="30" t="s">
        <v>106</v>
      </c>
      <c r="E1098" s="30"/>
      <c r="F1098" s="30" t="s">
        <v>107</v>
      </c>
      <c r="G1098" s="30" t="s">
        <v>106</v>
      </c>
      <c r="H1098" s="30"/>
      <c r="I1098" s="30" t="s">
        <v>191</v>
      </c>
      <c r="J1098" s="30"/>
      <c r="K1098" s="30" t="s">
        <v>2463</v>
      </c>
      <c r="L1098" s="30" t="s">
        <v>117</v>
      </c>
      <c r="M1098" s="30" t="s">
        <v>109</v>
      </c>
      <c r="N1098" s="30" t="s">
        <v>114</v>
      </c>
      <c r="O1098" s="30" t="s">
        <v>115</v>
      </c>
      <c r="P1098" s="30" t="s">
        <v>112</v>
      </c>
      <c r="Q1098" s="30" t="s">
        <v>112</v>
      </c>
      <c r="R1098" s="30" t="s">
        <v>185</v>
      </c>
      <c r="S1098" s="81">
        <f>HLOOKUP(L1098,データについて!$J$6:$M$18,13,FALSE)</f>
        <v>2</v>
      </c>
      <c r="T1098" s="81">
        <f>HLOOKUP(M1098,データについて!$J$7:$M$18,12,FALSE)</f>
        <v>2</v>
      </c>
      <c r="U1098" s="81">
        <f>HLOOKUP(N1098,データについて!$J$8:$M$18,11,FALSE)</f>
        <v>1</v>
      </c>
      <c r="V1098" s="81">
        <f>HLOOKUP(O1098,データについて!$J$9:$M$18,10,FALSE)</f>
        <v>1</v>
      </c>
      <c r="W1098" s="81">
        <f>HLOOKUP(P1098,データについて!$J$10:$M$18,9,FALSE)</f>
        <v>1</v>
      </c>
      <c r="X1098" s="81">
        <f>HLOOKUP(Q1098,データについて!$J$11:$M$18,8,FALSE)</f>
        <v>1</v>
      </c>
      <c r="Y1098" s="81">
        <f>HLOOKUP(R1098,データについて!$J$12:$M$18,7,FALSE)</f>
        <v>2</v>
      </c>
      <c r="Z1098" s="81">
        <f>HLOOKUP(I1098,データについて!$J$3:$M$18,16,FALSE)</f>
        <v>2</v>
      </c>
      <c r="AA1098" s="81" t="str">
        <f>IFERROR(HLOOKUP(J1098,データについて!$J$4:$AH$19,16,FALSE),"")</f>
        <v/>
      </c>
      <c r="AB1098" s="81">
        <f>IFERROR(HLOOKUP(K1098,データについて!$J$5:$AH$20,14,FALSE),"")</f>
        <v>4</v>
      </c>
      <c r="AC1098" s="81">
        <f>IF(X1098=1,HLOOKUP(R1098,データについて!$J$12:$M$18,7,FALSE),"*")</f>
        <v>2</v>
      </c>
      <c r="AD1098" s="81" t="str">
        <f>IF(X1098=2,HLOOKUP(R1098,データについて!$J$12:$M$18,7,FALSE),"*")</f>
        <v>*</v>
      </c>
    </row>
    <row r="1099" spans="1:30">
      <c r="A1099" s="30">
        <v>4093</v>
      </c>
      <c r="B1099" s="30" t="s">
        <v>3650</v>
      </c>
      <c r="C1099" s="30" t="s">
        <v>3651</v>
      </c>
      <c r="D1099" s="30" t="s">
        <v>106</v>
      </c>
      <c r="E1099" s="30"/>
      <c r="F1099" s="30" t="s">
        <v>107</v>
      </c>
      <c r="G1099" s="30" t="s">
        <v>106</v>
      </c>
      <c r="H1099" s="30"/>
      <c r="I1099" s="30" t="s">
        <v>191</v>
      </c>
      <c r="J1099" s="30"/>
      <c r="K1099" s="30" t="s">
        <v>2463</v>
      </c>
      <c r="L1099" s="30" t="s">
        <v>108</v>
      </c>
      <c r="M1099" s="30" t="s">
        <v>109</v>
      </c>
      <c r="N1099" s="30" t="s">
        <v>119</v>
      </c>
      <c r="O1099" s="30" t="s">
        <v>123</v>
      </c>
      <c r="P1099" s="30" t="s">
        <v>118</v>
      </c>
      <c r="Q1099" s="30" t="s">
        <v>118</v>
      </c>
      <c r="R1099" s="30" t="s">
        <v>185</v>
      </c>
      <c r="S1099" s="81">
        <f>HLOOKUP(L1099,データについて!$J$6:$M$18,13,FALSE)</f>
        <v>1</v>
      </c>
      <c r="T1099" s="81">
        <f>HLOOKUP(M1099,データについて!$J$7:$M$18,12,FALSE)</f>
        <v>2</v>
      </c>
      <c r="U1099" s="81">
        <f>HLOOKUP(N1099,データについて!$J$8:$M$18,11,FALSE)</f>
        <v>4</v>
      </c>
      <c r="V1099" s="81">
        <f>HLOOKUP(O1099,データについて!$J$9:$M$18,10,FALSE)</f>
        <v>4</v>
      </c>
      <c r="W1099" s="81">
        <f>HLOOKUP(P1099,データについて!$J$10:$M$18,9,FALSE)</f>
        <v>2</v>
      </c>
      <c r="X1099" s="81">
        <f>HLOOKUP(Q1099,データについて!$J$11:$M$18,8,FALSE)</f>
        <v>2</v>
      </c>
      <c r="Y1099" s="81">
        <f>HLOOKUP(R1099,データについて!$J$12:$M$18,7,FALSE)</f>
        <v>2</v>
      </c>
      <c r="Z1099" s="81">
        <f>HLOOKUP(I1099,データについて!$J$3:$M$18,16,FALSE)</f>
        <v>2</v>
      </c>
      <c r="AA1099" s="81" t="str">
        <f>IFERROR(HLOOKUP(J1099,データについて!$J$4:$AH$19,16,FALSE),"")</f>
        <v/>
      </c>
      <c r="AB1099" s="81">
        <f>IFERROR(HLOOKUP(K1099,データについて!$J$5:$AH$20,14,FALSE),"")</f>
        <v>4</v>
      </c>
      <c r="AC1099" s="81" t="str">
        <f>IF(X1099=1,HLOOKUP(R1099,データについて!$J$12:$M$18,7,FALSE),"*")</f>
        <v>*</v>
      </c>
      <c r="AD1099" s="81">
        <f>IF(X1099=2,HLOOKUP(R1099,データについて!$J$12:$M$18,7,FALSE),"*")</f>
        <v>2</v>
      </c>
    </row>
    <row r="1100" spans="1:30">
      <c r="A1100" s="30">
        <v>4092</v>
      </c>
      <c r="B1100" s="30" t="s">
        <v>3652</v>
      </c>
      <c r="C1100" s="30" t="s">
        <v>3653</v>
      </c>
      <c r="D1100" s="30" t="s">
        <v>106</v>
      </c>
      <c r="E1100" s="30"/>
      <c r="F1100" s="30" t="s">
        <v>107</v>
      </c>
      <c r="G1100" s="30" t="s">
        <v>106</v>
      </c>
      <c r="H1100" s="30"/>
      <c r="I1100" s="30" t="s">
        <v>191</v>
      </c>
      <c r="J1100" s="30"/>
      <c r="K1100" s="30" t="s">
        <v>2463</v>
      </c>
      <c r="L1100" s="30" t="s">
        <v>108</v>
      </c>
      <c r="M1100" s="30" t="s">
        <v>109</v>
      </c>
      <c r="N1100" s="30" t="s">
        <v>114</v>
      </c>
      <c r="O1100" s="30" t="s">
        <v>115</v>
      </c>
      <c r="P1100" s="30" t="s">
        <v>118</v>
      </c>
      <c r="Q1100" s="30" t="s">
        <v>112</v>
      </c>
      <c r="R1100" s="30" t="s">
        <v>185</v>
      </c>
      <c r="S1100" s="81">
        <f>HLOOKUP(L1100,データについて!$J$6:$M$18,13,FALSE)</f>
        <v>1</v>
      </c>
      <c r="T1100" s="81">
        <f>HLOOKUP(M1100,データについて!$J$7:$M$18,12,FALSE)</f>
        <v>2</v>
      </c>
      <c r="U1100" s="81">
        <f>HLOOKUP(N1100,データについて!$J$8:$M$18,11,FALSE)</f>
        <v>1</v>
      </c>
      <c r="V1100" s="81">
        <f>HLOOKUP(O1100,データについて!$J$9:$M$18,10,FALSE)</f>
        <v>1</v>
      </c>
      <c r="W1100" s="81">
        <f>HLOOKUP(P1100,データについて!$J$10:$M$18,9,FALSE)</f>
        <v>2</v>
      </c>
      <c r="X1100" s="81">
        <f>HLOOKUP(Q1100,データについて!$J$11:$M$18,8,FALSE)</f>
        <v>1</v>
      </c>
      <c r="Y1100" s="81">
        <f>HLOOKUP(R1100,データについて!$J$12:$M$18,7,FALSE)</f>
        <v>2</v>
      </c>
      <c r="Z1100" s="81">
        <f>HLOOKUP(I1100,データについて!$J$3:$M$18,16,FALSE)</f>
        <v>2</v>
      </c>
      <c r="AA1100" s="81" t="str">
        <f>IFERROR(HLOOKUP(J1100,データについて!$J$4:$AH$19,16,FALSE),"")</f>
        <v/>
      </c>
      <c r="AB1100" s="81">
        <f>IFERROR(HLOOKUP(K1100,データについて!$J$5:$AH$20,14,FALSE),"")</f>
        <v>4</v>
      </c>
      <c r="AC1100" s="81">
        <f>IF(X1100=1,HLOOKUP(R1100,データについて!$J$12:$M$18,7,FALSE),"*")</f>
        <v>2</v>
      </c>
      <c r="AD1100" s="81" t="str">
        <f>IF(X1100=2,HLOOKUP(R1100,データについて!$J$12:$M$18,7,FALSE),"*")</f>
        <v>*</v>
      </c>
    </row>
    <row r="1101" spans="1:30">
      <c r="A1101" s="30">
        <v>4091</v>
      </c>
      <c r="B1101" s="30" t="s">
        <v>3654</v>
      </c>
      <c r="C1101" s="30" t="s">
        <v>3655</v>
      </c>
      <c r="D1101" s="30" t="s">
        <v>106</v>
      </c>
      <c r="E1101" s="30"/>
      <c r="F1101" s="30" t="s">
        <v>107</v>
      </c>
      <c r="G1101" s="30" t="s">
        <v>106</v>
      </c>
      <c r="H1101" s="30"/>
      <c r="I1101" s="30" t="s">
        <v>191</v>
      </c>
      <c r="J1101" s="30"/>
      <c r="K1101" s="30" t="s">
        <v>2463</v>
      </c>
      <c r="L1101" s="30" t="s">
        <v>117</v>
      </c>
      <c r="M1101" s="30" t="s">
        <v>109</v>
      </c>
      <c r="N1101" s="30" t="s">
        <v>122</v>
      </c>
      <c r="O1101" s="30" t="s">
        <v>115</v>
      </c>
      <c r="P1101" s="30" t="s">
        <v>118</v>
      </c>
      <c r="Q1101" s="30" t="s">
        <v>112</v>
      </c>
      <c r="R1101" s="30" t="s">
        <v>189</v>
      </c>
      <c r="S1101" s="81">
        <f>HLOOKUP(L1101,データについて!$J$6:$M$18,13,FALSE)</f>
        <v>2</v>
      </c>
      <c r="T1101" s="81">
        <f>HLOOKUP(M1101,データについて!$J$7:$M$18,12,FALSE)</f>
        <v>2</v>
      </c>
      <c r="U1101" s="81">
        <f>HLOOKUP(N1101,データについて!$J$8:$M$18,11,FALSE)</f>
        <v>3</v>
      </c>
      <c r="V1101" s="81">
        <f>HLOOKUP(O1101,データについて!$J$9:$M$18,10,FALSE)</f>
        <v>1</v>
      </c>
      <c r="W1101" s="81">
        <f>HLOOKUP(P1101,データについて!$J$10:$M$18,9,FALSE)</f>
        <v>2</v>
      </c>
      <c r="X1101" s="81">
        <f>HLOOKUP(Q1101,データについて!$J$11:$M$18,8,FALSE)</f>
        <v>1</v>
      </c>
      <c r="Y1101" s="81">
        <f>HLOOKUP(R1101,データについて!$J$12:$M$18,7,FALSE)</f>
        <v>4</v>
      </c>
      <c r="Z1101" s="81">
        <f>HLOOKUP(I1101,データについて!$J$3:$M$18,16,FALSE)</f>
        <v>2</v>
      </c>
      <c r="AA1101" s="81" t="str">
        <f>IFERROR(HLOOKUP(J1101,データについて!$J$4:$AH$19,16,FALSE),"")</f>
        <v/>
      </c>
      <c r="AB1101" s="81">
        <f>IFERROR(HLOOKUP(K1101,データについて!$J$5:$AH$20,14,FALSE),"")</f>
        <v>4</v>
      </c>
      <c r="AC1101" s="81">
        <f>IF(X1101=1,HLOOKUP(R1101,データについて!$J$12:$M$18,7,FALSE),"*")</f>
        <v>4</v>
      </c>
      <c r="AD1101" s="81" t="str">
        <f>IF(X1101=2,HLOOKUP(R1101,データについて!$J$12:$M$18,7,FALSE),"*")</f>
        <v>*</v>
      </c>
    </row>
    <row r="1102" spans="1:30">
      <c r="A1102" s="30">
        <v>4090</v>
      </c>
      <c r="B1102" s="30" t="s">
        <v>3656</v>
      </c>
      <c r="C1102" s="30" t="s">
        <v>3657</v>
      </c>
      <c r="D1102" s="30" t="s">
        <v>106</v>
      </c>
      <c r="E1102" s="30"/>
      <c r="F1102" s="30" t="s">
        <v>107</v>
      </c>
      <c r="G1102" s="30" t="s">
        <v>106</v>
      </c>
      <c r="H1102" s="30"/>
      <c r="I1102" s="30" t="s">
        <v>191</v>
      </c>
      <c r="J1102" s="30"/>
      <c r="K1102" s="30" t="s">
        <v>2463</v>
      </c>
      <c r="L1102" s="30" t="s">
        <v>108</v>
      </c>
      <c r="M1102" s="30" t="s">
        <v>121</v>
      </c>
      <c r="N1102" s="30" t="s">
        <v>119</v>
      </c>
      <c r="O1102" s="30" t="s">
        <v>115</v>
      </c>
      <c r="P1102" s="30" t="s">
        <v>112</v>
      </c>
      <c r="Q1102" s="30" t="s">
        <v>112</v>
      </c>
      <c r="R1102" s="30" t="s">
        <v>183</v>
      </c>
      <c r="S1102" s="81">
        <f>HLOOKUP(L1102,データについて!$J$6:$M$18,13,FALSE)</f>
        <v>1</v>
      </c>
      <c r="T1102" s="81">
        <f>HLOOKUP(M1102,データについて!$J$7:$M$18,12,FALSE)</f>
        <v>4</v>
      </c>
      <c r="U1102" s="81">
        <f>HLOOKUP(N1102,データについて!$J$8:$M$18,11,FALSE)</f>
        <v>4</v>
      </c>
      <c r="V1102" s="81">
        <f>HLOOKUP(O1102,データについて!$J$9:$M$18,10,FALSE)</f>
        <v>1</v>
      </c>
      <c r="W1102" s="81">
        <f>HLOOKUP(P1102,データについて!$J$10:$M$18,9,FALSE)</f>
        <v>1</v>
      </c>
      <c r="X1102" s="81">
        <f>HLOOKUP(Q1102,データについて!$J$11:$M$18,8,FALSE)</f>
        <v>1</v>
      </c>
      <c r="Y1102" s="81">
        <f>HLOOKUP(R1102,データについて!$J$12:$M$18,7,FALSE)</f>
        <v>1</v>
      </c>
      <c r="Z1102" s="81">
        <f>HLOOKUP(I1102,データについて!$J$3:$M$18,16,FALSE)</f>
        <v>2</v>
      </c>
      <c r="AA1102" s="81" t="str">
        <f>IFERROR(HLOOKUP(J1102,データについて!$J$4:$AH$19,16,FALSE),"")</f>
        <v/>
      </c>
      <c r="AB1102" s="81">
        <f>IFERROR(HLOOKUP(K1102,データについて!$J$5:$AH$20,14,FALSE),"")</f>
        <v>4</v>
      </c>
      <c r="AC1102" s="81">
        <f>IF(X1102=1,HLOOKUP(R1102,データについて!$J$12:$M$18,7,FALSE),"*")</f>
        <v>1</v>
      </c>
      <c r="AD1102" s="81" t="str">
        <f>IF(X1102=2,HLOOKUP(R1102,データについて!$J$12:$M$18,7,FALSE),"*")</f>
        <v>*</v>
      </c>
    </row>
    <row r="1103" spans="1:30">
      <c r="A1103" s="30">
        <v>4089</v>
      </c>
      <c r="B1103" s="30" t="s">
        <v>3658</v>
      </c>
      <c r="C1103" s="30" t="s">
        <v>3659</v>
      </c>
      <c r="D1103" s="30" t="s">
        <v>106</v>
      </c>
      <c r="E1103" s="30"/>
      <c r="F1103" s="30" t="s">
        <v>107</v>
      </c>
      <c r="G1103" s="30" t="s">
        <v>106</v>
      </c>
      <c r="H1103" s="30"/>
      <c r="I1103" s="30" t="s">
        <v>191</v>
      </c>
      <c r="J1103" s="30"/>
      <c r="K1103" s="30" t="s">
        <v>2463</v>
      </c>
      <c r="L1103" s="30" t="s">
        <v>117</v>
      </c>
      <c r="M1103" s="30" t="s">
        <v>109</v>
      </c>
      <c r="N1103" s="30" t="s">
        <v>110</v>
      </c>
      <c r="O1103" s="30" t="s">
        <v>115</v>
      </c>
      <c r="P1103" s="30" t="s">
        <v>112</v>
      </c>
      <c r="Q1103" s="30" t="s">
        <v>112</v>
      </c>
      <c r="R1103" s="30" t="s">
        <v>185</v>
      </c>
      <c r="S1103" s="81">
        <f>HLOOKUP(L1103,データについて!$J$6:$M$18,13,FALSE)</f>
        <v>2</v>
      </c>
      <c r="T1103" s="81">
        <f>HLOOKUP(M1103,データについて!$J$7:$M$18,12,FALSE)</f>
        <v>2</v>
      </c>
      <c r="U1103" s="81">
        <f>HLOOKUP(N1103,データについて!$J$8:$M$18,11,FALSE)</f>
        <v>2</v>
      </c>
      <c r="V1103" s="81">
        <f>HLOOKUP(O1103,データについて!$J$9:$M$18,10,FALSE)</f>
        <v>1</v>
      </c>
      <c r="W1103" s="81">
        <f>HLOOKUP(P1103,データについて!$J$10:$M$18,9,FALSE)</f>
        <v>1</v>
      </c>
      <c r="X1103" s="81">
        <f>HLOOKUP(Q1103,データについて!$J$11:$M$18,8,FALSE)</f>
        <v>1</v>
      </c>
      <c r="Y1103" s="81">
        <f>HLOOKUP(R1103,データについて!$J$12:$M$18,7,FALSE)</f>
        <v>2</v>
      </c>
      <c r="Z1103" s="81">
        <f>HLOOKUP(I1103,データについて!$J$3:$M$18,16,FALSE)</f>
        <v>2</v>
      </c>
      <c r="AA1103" s="81" t="str">
        <f>IFERROR(HLOOKUP(J1103,データについて!$J$4:$AH$19,16,FALSE),"")</f>
        <v/>
      </c>
      <c r="AB1103" s="81">
        <f>IFERROR(HLOOKUP(K1103,データについて!$J$5:$AH$20,14,FALSE),"")</f>
        <v>4</v>
      </c>
      <c r="AC1103" s="81">
        <f>IF(X1103=1,HLOOKUP(R1103,データについて!$J$12:$M$18,7,FALSE),"*")</f>
        <v>2</v>
      </c>
      <c r="AD1103" s="81" t="str">
        <f>IF(X1103=2,HLOOKUP(R1103,データについて!$J$12:$M$18,7,FALSE),"*")</f>
        <v>*</v>
      </c>
    </row>
    <row r="1104" spans="1:30">
      <c r="A1104" s="30">
        <v>4088</v>
      </c>
      <c r="B1104" s="30" t="s">
        <v>3660</v>
      </c>
      <c r="C1104" s="30" t="s">
        <v>3661</v>
      </c>
      <c r="D1104" s="30" t="s">
        <v>106</v>
      </c>
      <c r="E1104" s="30"/>
      <c r="F1104" s="30" t="s">
        <v>107</v>
      </c>
      <c r="G1104" s="30" t="s">
        <v>106</v>
      </c>
      <c r="H1104" s="30"/>
      <c r="I1104" s="30" t="s">
        <v>191</v>
      </c>
      <c r="J1104" s="30"/>
      <c r="K1104" s="30" t="s">
        <v>2463</v>
      </c>
      <c r="L1104" s="30" t="s">
        <v>117</v>
      </c>
      <c r="M1104" s="30" t="s">
        <v>124</v>
      </c>
      <c r="N1104" s="30" t="s">
        <v>122</v>
      </c>
      <c r="O1104" s="30" t="s">
        <v>116</v>
      </c>
      <c r="P1104" s="30" t="s">
        <v>118</v>
      </c>
      <c r="Q1104" s="30" t="s">
        <v>118</v>
      </c>
      <c r="R1104" s="30" t="s">
        <v>189</v>
      </c>
      <c r="S1104" s="81">
        <f>HLOOKUP(L1104,データについて!$J$6:$M$18,13,FALSE)</f>
        <v>2</v>
      </c>
      <c r="T1104" s="81">
        <f>HLOOKUP(M1104,データについて!$J$7:$M$18,12,FALSE)</f>
        <v>3</v>
      </c>
      <c r="U1104" s="81">
        <f>HLOOKUP(N1104,データについて!$J$8:$M$18,11,FALSE)</f>
        <v>3</v>
      </c>
      <c r="V1104" s="81">
        <f>HLOOKUP(O1104,データについて!$J$9:$M$18,10,FALSE)</f>
        <v>2</v>
      </c>
      <c r="W1104" s="81">
        <f>HLOOKUP(P1104,データについて!$J$10:$M$18,9,FALSE)</f>
        <v>2</v>
      </c>
      <c r="X1104" s="81">
        <f>HLOOKUP(Q1104,データについて!$J$11:$M$18,8,FALSE)</f>
        <v>2</v>
      </c>
      <c r="Y1104" s="81">
        <f>HLOOKUP(R1104,データについて!$J$12:$M$18,7,FALSE)</f>
        <v>4</v>
      </c>
      <c r="Z1104" s="81">
        <f>HLOOKUP(I1104,データについて!$J$3:$M$18,16,FALSE)</f>
        <v>2</v>
      </c>
      <c r="AA1104" s="81" t="str">
        <f>IFERROR(HLOOKUP(J1104,データについて!$J$4:$AH$19,16,FALSE),"")</f>
        <v/>
      </c>
      <c r="AB1104" s="81">
        <f>IFERROR(HLOOKUP(K1104,データについて!$J$5:$AH$20,14,FALSE),"")</f>
        <v>4</v>
      </c>
      <c r="AC1104" s="81" t="str">
        <f>IF(X1104=1,HLOOKUP(R1104,データについて!$J$12:$M$18,7,FALSE),"*")</f>
        <v>*</v>
      </c>
      <c r="AD1104" s="81">
        <f>IF(X1104=2,HLOOKUP(R1104,データについて!$J$12:$M$18,7,FALSE),"*")</f>
        <v>4</v>
      </c>
    </row>
    <row r="1105" spans="1:30">
      <c r="A1105" s="30">
        <v>4087</v>
      </c>
      <c r="B1105" s="30" t="s">
        <v>3662</v>
      </c>
      <c r="C1105" s="30" t="s">
        <v>3663</v>
      </c>
      <c r="D1105" s="30" t="s">
        <v>106</v>
      </c>
      <c r="E1105" s="30"/>
      <c r="F1105" s="30" t="s">
        <v>107</v>
      </c>
      <c r="G1105" s="30" t="s">
        <v>106</v>
      </c>
      <c r="H1105" s="30"/>
      <c r="I1105" s="30" t="s">
        <v>191</v>
      </c>
      <c r="J1105" s="30"/>
      <c r="K1105" s="30" t="s">
        <v>2463</v>
      </c>
      <c r="L1105" s="30" t="s">
        <v>108</v>
      </c>
      <c r="M1105" s="30" t="s">
        <v>109</v>
      </c>
      <c r="N1105" s="30" t="s">
        <v>122</v>
      </c>
      <c r="O1105" s="30" t="s">
        <v>116</v>
      </c>
      <c r="P1105" s="30" t="s">
        <v>112</v>
      </c>
      <c r="Q1105" s="30" t="s">
        <v>112</v>
      </c>
      <c r="R1105" s="30" t="s">
        <v>185</v>
      </c>
      <c r="S1105" s="81">
        <f>HLOOKUP(L1105,データについて!$J$6:$M$18,13,FALSE)</f>
        <v>1</v>
      </c>
      <c r="T1105" s="81">
        <f>HLOOKUP(M1105,データについて!$J$7:$M$18,12,FALSE)</f>
        <v>2</v>
      </c>
      <c r="U1105" s="81">
        <f>HLOOKUP(N1105,データについて!$J$8:$M$18,11,FALSE)</f>
        <v>3</v>
      </c>
      <c r="V1105" s="81">
        <f>HLOOKUP(O1105,データについて!$J$9:$M$18,10,FALSE)</f>
        <v>2</v>
      </c>
      <c r="W1105" s="81">
        <f>HLOOKUP(P1105,データについて!$J$10:$M$18,9,FALSE)</f>
        <v>1</v>
      </c>
      <c r="X1105" s="81">
        <f>HLOOKUP(Q1105,データについて!$J$11:$M$18,8,FALSE)</f>
        <v>1</v>
      </c>
      <c r="Y1105" s="81">
        <f>HLOOKUP(R1105,データについて!$J$12:$M$18,7,FALSE)</f>
        <v>2</v>
      </c>
      <c r="Z1105" s="81">
        <f>HLOOKUP(I1105,データについて!$J$3:$M$18,16,FALSE)</f>
        <v>2</v>
      </c>
      <c r="AA1105" s="81" t="str">
        <f>IFERROR(HLOOKUP(J1105,データについて!$J$4:$AH$19,16,FALSE),"")</f>
        <v/>
      </c>
      <c r="AB1105" s="81">
        <f>IFERROR(HLOOKUP(K1105,データについて!$J$5:$AH$20,14,FALSE),"")</f>
        <v>4</v>
      </c>
      <c r="AC1105" s="81">
        <f>IF(X1105=1,HLOOKUP(R1105,データについて!$J$12:$M$18,7,FALSE),"*")</f>
        <v>2</v>
      </c>
      <c r="AD1105" s="81" t="str">
        <f>IF(X1105=2,HLOOKUP(R1105,データについて!$J$12:$M$18,7,FALSE),"*")</f>
        <v>*</v>
      </c>
    </row>
    <row r="1106" spans="1:30">
      <c r="A1106" s="30">
        <v>4086</v>
      </c>
      <c r="B1106" s="30" t="s">
        <v>3664</v>
      </c>
      <c r="C1106" s="30" t="s">
        <v>3665</v>
      </c>
      <c r="D1106" s="30" t="s">
        <v>106</v>
      </c>
      <c r="E1106" s="30"/>
      <c r="F1106" s="30" t="s">
        <v>107</v>
      </c>
      <c r="G1106" s="30" t="s">
        <v>106</v>
      </c>
      <c r="H1106" s="30"/>
      <c r="I1106" s="30" t="s">
        <v>191</v>
      </c>
      <c r="J1106" s="30"/>
      <c r="K1106" s="30" t="s">
        <v>2463</v>
      </c>
      <c r="L1106" s="30" t="s">
        <v>117</v>
      </c>
      <c r="M1106" s="30" t="s">
        <v>113</v>
      </c>
      <c r="N1106" s="30" t="s">
        <v>110</v>
      </c>
      <c r="O1106" s="30" t="s">
        <v>115</v>
      </c>
      <c r="P1106" s="30" t="s">
        <v>112</v>
      </c>
      <c r="Q1106" s="30" t="s">
        <v>112</v>
      </c>
      <c r="R1106" s="30" t="s">
        <v>187</v>
      </c>
      <c r="S1106" s="81">
        <f>HLOOKUP(L1106,データについて!$J$6:$M$18,13,FALSE)</f>
        <v>2</v>
      </c>
      <c r="T1106" s="81">
        <f>HLOOKUP(M1106,データについて!$J$7:$M$18,12,FALSE)</f>
        <v>1</v>
      </c>
      <c r="U1106" s="81">
        <f>HLOOKUP(N1106,データについて!$J$8:$M$18,11,FALSE)</f>
        <v>2</v>
      </c>
      <c r="V1106" s="81">
        <f>HLOOKUP(O1106,データについて!$J$9:$M$18,10,FALSE)</f>
        <v>1</v>
      </c>
      <c r="W1106" s="81">
        <f>HLOOKUP(P1106,データについて!$J$10:$M$18,9,FALSE)</f>
        <v>1</v>
      </c>
      <c r="X1106" s="81">
        <f>HLOOKUP(Q1106,データについて!$J$11:$M$18,8,FALSE)</f>
        <v>1</v>
      </c>
      <c r="Y1106" s="81">
        <f>HLOOKUP(R1106,データについて!$J$12:$M$18,7,FALSE)</f>
        <v>3</v>
      </c>
      <c r="Z1106" s="81">
        <f>HLOOKUP(I1106,データについて!$J$3:$M$18,16,FALSE)</f>
        <v>2</v>
      </c>
      <c r="AA1106" s="81" t="str">
        <f>IFERROR(HLOOKUP(J1106,データについて!$J$4:$AH$19,16,FALSE),"")</f>
        <v/>
      </c>
      <c r="AB1106" s="81">
        <f>IFERROR(HLOOKUP(K1106,データについて!$J$5:$AH$20,14,FALSE),"")</f>
        <v>4</v>
      </c>
      <c r="AC1106" s="81">
        <f>IF(X1106=1,HLOOKUP(R1106,データについて!$J$12:$M$18,7,FALSE),"*")</f>
        <v>3</v>
      </c>
      <c r="AD1106" s="81" t="str">
        <f>IF(X1106=2,HLOOKUP(R1106,データについて!$J$12:$M$18,7,FALSE),"*")</f>
        <v>*</v>
      </c>
    </row>
    <row r="1107" spans="1:30">
      <c r="A1107" s="30">
        <v>4085</v>
      </c>
      <c r="B1107" s="30" t="s">
        <v>3666</v>
      </c>
      <c r="C1107" s="30" t="s">
        <v>3667</v>
      </c>
      <c r="D1107" s="30" t="s">
        <v>106</v>
      </c>
      <c r="E1107" s="30"/>
      <c r="F1107" s="30" t="s">
        <v>107</v>
      </c>
      <c r="G1107" s="30" t="s">
        <v>106</v>
      </c>
      <c r="H1107" s="30"/>
      <c r="I1107" s="30" t="s">
        <v>191</v>
      </c>
      <c r="J1107" s="30"/>
      <c r="K1107" s="30" t="s">
        <v>2463</v>
      </c>
      <c r="L1107" s="30" t="s">
        <v>117</v>
      </c>
      <c r="M1107" s="30" t="s">
        <v>121</v>
      </c>
      <c r="N1107" s="30" t="s">
        <v>119</v>
      </c>
      <c r="O1107" s="30" t="s">
        <v>115</v>
      </c>
      <c r="P1107" s="30" t="s">
        <v>112</v>
      </c>
      <c r="Q1107" s="30" t="s">
        <v>112</v>
      </c>
      <c r="R1107" s="30" t="s">
        <v>189</v>
      </c>
      <c r="S1107" s="81">
        <f>HLOOKUP(L1107,データについて!$J$6:$M$18,13,FALSE)</f>
        <v>2</v>
      </c>
      <c r="T1107" s="81">
        <f>HLOOKUP(M1107,データについて!$J$7:$M$18,12,FALSE)</f>
        <v>4</v>
      </c>
      <c r="U1107" s="81">
        <f>HLOOKUP(N1107,データについて!$J$8:$M$18,11,FALSE)</f>
        <v>4</v>
      </c>
      <c r="V1107" s="81">
        <f>HLOOKUP(O1107,データについて!$J$9:$M$18,10,FALSE)</f>
        <v>1</v>
      </c>
      <c r="W1107" s="81">
        <f>HLOOKUP(P1107,データについて!$J$10:$M$18,9,FALSE)</f>
        <v>1</v>
      </c>
      <c r="X1107" s="81">
        <f>HLOOKUP(Q1107,データについて!$J$11:$M$18,8,FALSE)</f>
        <v>1</v>
      </c>
      <c r="Y1107" s="81">
        <f>HLOOKUP(R1107,データについて!$J$12:$M$18,7,FALSE)</f>
        <v>4</v>
      </c>
      <c r="Z1107" s="81">
        <f>HLOOKUP(I1107,データについて!$J$3:$M$18,16,FALSE)</f>
        <v>2</v>
      </c>
      <c r="AA1107" s="81" t="str">
        <f>IFERROR(HLOOKUP(J1107,データについて!$J$4:$AH$19,16,FALSE),"")</f>
        <v/>
      </c>
      <c r="AB1107" s="81">
        <f>IFERROR(HLOOKUP(K1107,データについて!$J$5:$AH$20,14,FALSE),"")</f>
        <v>4</v>
      </c>
      <c r="AC1107" s="81">
        <f>IF(X1107=1,HLOOKUP(R1107,データについて!$J$12:$M$18,7,FALSE),"*")</f>
        <v>4</v>
      </c>
      <c r="AD1107" s="81" t="str">
        <f>IF(X1107=2,HLOOKUP(R1107,データについて!$J$12:$M$18,7,FALSE),"*")</f>
        <v>*</v>
      </c>
    </row>
    <row r="1108" spans="1:30">
      <c r="A1108" s="30">
        <v>4084</v>
      </c>
      <c r="B1108" s="30" t="s">
        <v>3668</v>
      </c>
      <c r="C1108" s="30" t="s">
        <v>3669</v>
      </c>
      <c r="D1108" s="30" t="s">
        <v>106</v>
      </c>
      <c r="E1108" s="30"/>
      <c r="F1108" s="30" t="s">
        <v>107</v>
      </c>
      <c r="G1108" s="30" t="s">
        <v>106</v>
      </c>
      <c r="H1108" s="30"/>
      <c r="I1108" s="30" t="s">
        <v>191</v>
      </c>
      <c r="J1108" s="30"/>
      <c r="K1108" s="30" t="s">
        <v>2463</v>
      </c>
      <c r="L1108" s="30" t="s">
        <v>117</v>
      </c>
      <c r="M1108" s="30" t="s">
        <v>109</v>
      </c>
      <c r="N1108" s="30" t="s">
        <v>114</v>
      </c>
      <c r="O1108" s="30" t="s">
        <v>115</v>
      </c>
      <c r="P1108" s="30" t="s">
        <v>112</v>
      </c>
      <c r="Q1108" s="30" t="s">
        <v>112</v>
      </c>
      <c r="R1108" s="30" t="s">
        <v>185</v>
      </c>
      <c r="S1108" s="81">
        <f>HLOOKUP(L1108,データについて!$J$6:$M$18,13,FALSE)</f>
        <v>2</v>
      </c>
      <c r="T1108" s="81">
        <f>HLOOKUP(M1108,データについて!$J$7:$M$18,12,FALSE)</f>
        <v>2</v>
      </c>
      <c r="U1108" s="81">
        <f>HLOOKUP(N1108,データについて!$J$8:$M$18,11,FALSE)</f>
        <v>1</v>
      </c>
      <c r="V1108" s="81">
        <f>HLOOKUP(O1108,データについて!$J$9:$M$18,10,FALSE)</f>
        <v>1</v>
      </c>
      <c r="W1108" s="81">
        <f>HLOOKUP(P1108,データについて!$J$10:$M$18,9,FALSE)</f>
        <v>1</v>
      </c>
      <c r="X1108" s="81">
        <f>HLOOKUP(Q1108,データについて!$J$11:$M$18,8,FALSE)</f>
        <v>1</v>
      </c>
      <c r="Y1108" s="81">
        <f>HLOOKUP(R1108,データについて!$J$12:$M$18,7,FALSE)</f>
        <v>2</v>
      </c>
      <c r="Z1108" s="81">
        <f>HLOOKUP(I1108,データについて!$J$3:$M$18,16,FALSE)</f>
        <v>2</v>
      </c>
      <c r="AA1108" s="81" t="str">
        <f>IFERROR(HLOOKUP(J1108,データについて!$J$4:$AH$19,16,FALSE),"")</f>
        <v/>
      </c>
      <c r="AB1108" s="81">
        <f>IFERROR(HLOOKUP(K1108,データについて!$J$5:$AH$20,14,FALSE),"")</f>
        <v>4</v>
      </c>
      <c r="AC1108" s="81">
        <f>IF(X1108=1,HLOOKUP(R1108,データについて!$J$12:$M$18,7,FALSE),"*")</f>
        <v>2</v>
      </c>
      <c r="AD1108" s="81" t="str">
        <f>IF(X1108=2,HLOOKUP(R1108,データについて!$J$12:$M$18,7,FALSE),"*")</f>
        <v>*</v>
      </c>
    </row>
    <row r="1109" spans="1:30">
      <c r="A1109" s="30">
        <v>4083</v>
      </c>
      <c r="B1109" s="30" t="s">
        <v>3670</v>
      </c>
      <c r="C1109" s="30" t="s">
        <v>3671</v>
      </c>
      <c r="D1109" s="30" t="s">
        <v>106</v>
      </c>
      <c r="E1109" s="30"/>
      <c r="F1109" s="30" t="s">
        <v>107</v>
      </c>
      <c r="G1109" s="30" t="s">
        <v>106</v>
      </c>
      <c r="H1109" s="30"/>
      <c r="I1109" s="30" t="s">
        <v>191</v>
      </c>
      <c r="J1109" s="30"/>
      <c r="K1109" s="30" t="s">
        <v>2463</v>
      </c>
      <c r="L1109" s="30" t="s">
        <v>117</v>
      </c>
      <c r="M1109" s="30" t="s">
        <v>124</v>
      </c>
      <c r="N1109" s="30" t="s">
        <v>122</v>
      </c>
      <c r="O1109" s="30" t="s">
        <v>115</v>
      </c>
      <c r="P1109" s="30" t="s">
        <v>118</v>
      </c>
      <c r="Q1109" s="30" t="s">
        <v>112</v>
      </c>
      <c r="R1109" s="30" t="s">
        <v>185</v>
      </c>
      <c r="S1109" s="81">
        <f>HLOOKUP(L1109,データについて!$J$6:$M$18,13,FALSE)</f>
        <v>2</v>
      </c>
      <c r="T1109" s="81">
        <f>HLOOKUP(M1109,データについて!$J$7:$M$18,12,FALSE)</f>
        <v>3</v>
      </c>
      <c r="U1109" s="81">
        <f>HLOOKUP(N1109,データについて!$J$8:$M$18,11,FALSE)</f>
        <v>3</v>
      </c>
      <c r="V1109" s="81">
        <f>HLOOKUP(O1109,データについて!$J$9:$M$18,10,FALSE)</f>
        <v>1</v>
      </c>
      <c r="W1109" s="81">
        <f>HLOOKUP(P1109,データについて!$J$10:$M$18,9,FALSE)</f>
        <v>2</v>
      </c>
      <c r="X1109" s="81">
        <f>HLOOKUP(Q1109,データについて!$J$11:$M$18,8,FALSE)</f>
        <v>1</v>
      </c>
      <c r="Y1109" s="81">
        <f>HLOOKUP(R1109,データについて!$J$12:$M$18,7,FALSE)</f>
        <v>2</v>
      </c>
      <c r="Z1109" s="81">
        <f>HLOOKUP(I1109,データについて!$J$3:$M$18,16,FALSE)</f>
        <v>2</v>
      </c>
      <c r="AA1109" s="81" t="str">
        <f>IFERROR(HLOOKUP(J1109,データについて!$J$4:$AH$19,16,FALSE),"")</f>
        <v/>
      </c>
      <c r="AB1109" s="81">
        <f>IFERROR(HLOOKUP(K1109,データについて!$J$5:$AH$20,14,FALSE),"")</f>
        <v>4</v>
      </c>
      <c r="AC1109" s="81">
        <f>IF(X1109=1,HLOOKUP(R1109,データについて!$J$12:$M$18,7,FALSE),"*")</f>
        <v>2</v>
      </c>
      <c r="AD1109" s="81" t="str">
        <f>IF(X1109=2,HLOOKUP(R1109,データについて!$J$12:$M$18,7,FALSE),"*")</f>
        <v>*</v>
      </c>
    </row>
    <row r="1110" spans="1:30">
      <c r="A1110" s="30">
        <v>4082</v>
      </c>
      <c r="B1110" s="30" t="s">
        <v>3672</v>
      </c>
      <c r="C1110" s="30" t="s">
        <v>3673</v>
      </c>
      <c r="D1110" s="30" t="s">
        <v>106</v>
      </c>
      <c r="E1110" s="30"/>
      <c r="F1110" s="30" t="s">
        <v>107</v>
      </c>
      <c r="G1110" s="30" t="s">
        <v>106</v>
      </c>
      <c r="H1110" s="30"/>
      <c r="I1110" s="30" t="s">
        <v>191</v>
      </c>
      <c r="J1110" s="30"/>
      <c r="K1110" s="30" t="s">
        <v>2463</v>
      </c>
      <c r="L1110" s="30" t="s">
        <v>120</v>
      </c>
      <c r="M1110" s="30" t="s">
        <v>113</v>
      </c>
      <c r="N1110" s="30" t="s">
        <v>110</v>
      </c>
      <c r="O1110" s="30" t="s">
        <v>115</v>
      </c>
      <c r="P1110" s="30" t="s">
        <v>112</v>
      </c>
      <c r="Q1110" s="30" t="s">
        <v>112</v>
      </c>
      <c r="R1110" s="30" t="s">
        <v>183</v>
      </c>
      <c r="S1110" s="81">
        <f>HLOOKUP(L1110,データについて!$J$6:$M$18,13,FALSE)</f>
        <v>3</v>
      </c>
      <c r="T1110" s="81">
        <f>HLOOKUP(M1110,データについて!$J$7:$M$18,12,FALSE)</f>
        <v>1</v>
      </c>
      <c r="U1110" s="81">
        <f>HLOOKUP(N1110,データについて!$J$8:$M$18,11,FALSE)</f>
        <v>2</v>
      </c>
      <c r="V1110" s="81">
        <f>HLOOKUP(O1110,データについて!$J$9:$M$18,10,FALSE)</f>
        <v>1</v>
      </c>
      <c r="W1110" s="81">
        <f>HLOOKUP(P1110,データについて!$J$10:$M$18,9,FALSE)</f>
        <v>1</v>
      </c>
      <c r="X1110" s="81">
        <f>HLOOKUP(Q1110,データについて!$J$11:$M$18,8,FALSE)</f>
        <v>1</v>
      </c>
      <c r="Y1110" s="81">
        <f>HLOOKUP(R1110,データについて!$J$12:$M$18,7,FALSE)</f>
        <v>1</v>
      </c>
      <c r="Z1110" s="81">
        <f>HLOOKUP(I1110,データについて!$J$3:$M$18,16,FALSE)</f>
        <v>2</v>
      </c>
      <c r="AA1110" s="81" t="str">
        <f>IFERROR(HLOOKUP(J1110,データについて!$J$4:$AH$19,16,FALSE),"")</f>
        <v/>
      </c>
      <c r="AB1110" s="81">
        <f>IFERROR(HLOOKUP(K1110,データについて!$J$5:$AH$20,14,FALSE),"")</f>
        <v>4</v>
      </c>
      <c r="AC1110" s="81">
        <f>IF(X1110=1,HLOOKUP(R1110,データについて!$J$12:$M$18,7,FALSE),"*")</f>
        <v>1</v>
      </c>
      <c r="AD1110" s="81" t="str">
        <f>IF(X1110=2,HLOOKUP(R1110,データについて!$J$12:$M$18,7,FALSE),"*")</f>
        <v>*</v>
      </c>
    </row>
    <row r="1111" spans="1:30">
      <c r="A1111" s="30">
        <v>4081</v>
      </c>
      <c r="B1111" s="30" t="s">
        <v>3674</v>
      </c>
      <c r="C1111" s="30" t="s">
        <v>3675</v>
      </c>
      <c r="D1111" s="30" t="s">
        <v>106</v>
      </c>
      <c r="E1111" s="30"/>
      <c r="F1111" s="30" t="s">
        <v>107</v>
      </c>
      <c r="G1111" s="30" t="s">
        <v>106</v>
      </c>
      <c r="H1111" s="30"/>
      <c r="I1111" s="30" t="s">
        <v>191</v>
      </c>
      <c r="J1111" s="30"/>
      <c r="K1111" s="30" t="s">
        <v>2463</v>
      </c>
      <c r="L1111" s="30" t="s">
        <v>108</v>
      </c>
      <c r="M1111" s="30" t="s">
        <v>124</v>
      </c>
      <c r="N1111" s="30" t="s">
        <v>122</v>
      </c>
      <c r="O1111" s="30" t="s">
        <v>115</v>
      </c>
      <c r="P1111" s="30" t="s">
        <v>112</v>
      </c>
      <c r="Q1111" s="30" t="s">
        <v>112</v>
      </c>
      <c r="R1111" s="30" t="s">
        <v>187</v>
      </c>
      <c r="S1111" s="81">
        <f>HLOOKUP(L1111,データについて!$J$6:$M$18,13,FALSE)</f>
        <v>1</v>
      </c>
      <c r="T1111" s="81">
        <f>HLOOKUP(M1111,データについて!$J$7:$M$18,12,FALSE)</f>
        <v>3</v>
      </c>
      <c r="U1111" s="81">
        <f>HLOOKUP(N1111,データについて!$J$8:$M$18,11,FALSE)</f>
        <v>3</v>
      </c>
      <c r="V1111" s="81">
        <f>HLOOKUP(O1111,データについて!$J$9:$M$18,10,FALSE)</f>
        <v>1</v>
      </c>
      <c r="W1111" s="81">
        <f>HLOOKUP(P1111,データについて!$J$10:$M$18,9,FALSE)</f>
        <v>1</v>
      </c>
      <c r="X1111" s="81">
        <f>HLOOKUP(Q1111,データについて!$J$11:$M$18,8,FALSE)</f>
        <v>1</v>
      </c>
      <c r="Y1111" s="81">
        <f>HLOOKUP(R1111,データについて!$J$12:$M$18,7,FALSE)</f>
        <v>3</v>
      </c>
      <c r="Z1111" s="81">
        <f>HLOOKUP(I1111,データについて!$J$3:$M$18,16,FALSE)</f>
        <v>2</v>
      </c>
      <c r="AA1111" s="81" t="str">
        <f>IFERROR(HLOOKUP(J1111,データについて!$J$4:$AH$19,16,FALSE),"")</f>
        <v/>
      </c>
      <c r="AB1111" s="81">
        <f>IFERROR(HLOOKUP(K1111,データについて!$J$5:$AH$20,14,FALSE),"")</f>
        <v>4</v>
      </c>
      <c r="AC1111" s="81">
        <f>IF(X1111=1,HLOOKUP(R1111,データについて!$J$12:$M$18,7,FALSE),"*")</f>
        <v>3</v>
      </c>
      <c r="AD1111" s="81" t="str">
        <f>IF(X1111=2,HLOOKUP(R1111,データについて!$J$12:$M$18,7,FALSE),"*")</f>
        <v>*</v>
      </c>
    </row>
    <row r="1112" spans="1:30">
      <c r="A1112" s="30">
        <v>4080</v>
      </c>
      <c r="B1112" s="30" t="s">
        <v>3676</v>
      </c>
      <c r="C1112" s="30" t="s">
        <v>3677</v>
      </c>
      <c r="D1112" s="30" t="s">
        <v>106</v>
      </c>
      <c r="E1112" s="30"/>
      <c r="F1112" s="30" t="s">
        <v>107</v>
      </c>
      <c r="G1112" s="30" t="s">
        <v>106</v>
      </c>
      <c r="H1112" s="30"/>
      <c r="I1112" s="30" t="s">
        <v>191</v>
      </c>
      <c r="J1112" s="30"/>
      <c r="K1112" s="30" t="s">
        <v>2463</v>
      </c>
      <c r="L1112" s="30" t="s">
        <v>108</v>
      </c>
      <c r="M1112" s="30" t="s">
        <v>113</v>
      </c>
      <c r="N1112" s="30" t="s">
        <v>110</v>
      </c>
      <c r="O1112" s="30" t="s">
        <v>123</v>
      </c>
      <c r="P1112" s="30" t="s">
        <v>112</v>
      </c>
      <c r="Q1112" s="30" t="s">
        <v>112</v>
      </c>
      <c r="R1112" s="30" t="s">
        <v>183</v>
      </c>
      <c r="S1112" s="81">
        <f>HLOOKUP(L1112,データについて!$J$6:$M$18,13,FALSE)</f>
        <v>1</v>
      </c>
      <c r="T1112" s="81">
        <f>HLOOKUP(M1112,データについて!$J$7:$M$18,12,FALSE)</f>
        <v>1</v>
      </c>
      <c r="U1112" s="81">
        <f>HLOOKUP(N1112,データについて!$J$8:$M$18,11,FALSE)</f>
        <v>2</v>
      </c>
      <c r="V1112" s="81">
        <f>HLOOKUP(O1112,データについて!$J$9:$M$18,10,FALSE)</f>
        <v>4</v>
      </c>
      <c r="W1112" s="81">
        <f>HLOOKUP(P1112,データについて!$J$10:$M$18,9,FALSE)</f>
        <v>1</v>
      </c>
      <c r="X1112" s="81">
        <f>HLOOKUP(Q1112,データについて!$J$11:$M$18,8,FALSE)</f>
        <v>1</v>
      </c>
      <c r="Y1112" s="81">
        <f>HLOOKUP(R1112,データについて!$J$12:$M$18,7,FALSE)</f>
        <v>1</v>
      </c>
      <c r="Z1112" s="81">
        <f>HLOOKUP(I1112,データについて!$J$3:$M$18,16,FALSE)</f>
        <v>2</v>
      </c>
      <c r="AA1112" s="81" t="str">
        <f>IFERROR(HLOOKUP(J1112,データについて!$J$4:$AH$19,16,FALSE),"")</f>
        <v/>
      </c>
      <c r="AB1112" s="81">
        <f>IFERROR(HLOOKUP(K1112,データについて!$J$5:$AH$20,14,FALSE),"")</f>
        <v>4</v>
      </c>
      <c r="AC1112" s="81">
        <f>IF(X1112=1,HLOOKUP(R1112,データについて!$J$12:$M$18,7,FALSE),"*")</f>
        <v>1</v>
      </c>
      <c r="AD1112" s="81" t="str">
        <f>IF(X1112=2,HLOOKUP(R1112,データについて!$J$12:$M$18,7,FALSE),"*")</f>
        <v>*</v>
      </c>
    </row>
    <row r="1113" spans="1:30">
      <c r="A1113" s="30">
        <v>4079</v>
      </c>
      <c r="B1113" s="30" t="s">
        <v>3678</v>
      </c>
      <c r="C1113" s="30" t="s">
        <v>3679</v>
      </c>
      <c r="D1113" s="30" t="s">
        <v>106</v>
      </c>
      <c r="E1113" s="30"/>
      <c r="F1113" s="30" t="s">
        <v>107</v>
      </c>
      <c r="G1113" s="30" t="s">
        <v>106</v>
      </c>
      <c r="H1113" s="30"/>
      <c r="I1113" s="30" t="s">
        <v>191</v>
      </c>
      <c r="J1113" s="30"/>
      <c r="K1113" s="30" t="s">
        <v>2463</v>
      </c>
      <c r="L1113" s="30" t="s">
        <v>117</v>
      </c>
      <c r="M1113" s="30" t="s">
        <v>124</v>
      </c>
      <c r="N1113" s="30" t="s">
        <v>110</v>
      </c>
      <c r="O1113" s="30" t="s">
        <v>115</v>
      </c>
      <c r="P1113" s="30" t="s">
        <v>112</v>
      </c>
      <c r="Q1113" s="30" t="s">
        <v>112</v>
      </c>
      <c r="R1113" s="30" t="s">
        <v>187</v>
      </c>
      <c r="S1113" s="81">
        <f>HLOOKUP(L1113,データについて!$J$6:$M$18,13,FALSE)</f>
        <v>2</v>
      </c>
      <c r="T1113" s="81">
        <f>HLOOKUP(M1113,データについて!$J$7:$M$18,12,FALSE)</f>
        <v>3</v>
      </c>
      <c r="U1113" s="81">
        <f>HLOOKUP(N1113,データについて!$J$8:$M$18,11,FALSE)</f>
        <v>2</v>
      </c>
      <c r="V1113" s="81">
        <f>HLOOKUP(O1113,データについて!$J$9:$M$18,10,FALSE)</f>
        <v>1</v>
      </c>
      <c r="W1113" s="81">
        <f>HLOOKUP(P1113,データについて!$J$10:$M$18,9,FALSE)</f>
        <v>1</v>
      </c>
      <c r="X1113" s="81">
        <f>HLOOKUP(Q1113,データについて!$J$11:$M$18,8,FALSE)</f>
        <v>1</v>
      </c>
      <c r="Y1113" s="81">
        <f>HLOOKUP(R1113,データについて!$J$12:$M$18,7,FALSE)</f>
        <v>3</v>
      </c>
      <c r="Z1113" s="81">
        <f>HLOOKUP(I1113,データについて!$J$3:$M$18,16,FALSE)</f>
        <v>2</v>
      </c>
      <c r="AA1113" s="81" t="str">
        <f>IFERROR(HLOOKUP(J1113,データについて!$J$4:$AH$19,16,FALSE),"")</f>
        <v/>
      </c>
      <c r="AB1113" s="81">
        <f>IFERROR(HLOOKUP(K1113,データについて!$J$5:$AH$20,14,FALSE),"")</f>
        <v>4</v>
      </c>
      <c r="AC1113" s="81">
        <f>IF(X1113=1,HLOOKUP(R1113,データについて!$J$12:$M$18,7,FALSE),"*")</f>
        <v>3</v>
      </c>
      <c r="AD1113" s="81" t="str">
        <f>IF(X1113=2,HLOOKUP(R1113,データについて!$J$12:$M$18,7,FALSE),"*")</f>
        <v>*</v>
      </c>
    </row>
    <row r="1114" spans="1:30">
      <c r="A1114" s="30">
        <v>4078</v>
      </c>
      <c r="B1114" s="30" t="s">
        <v>3680</v>
      </c>
      <c r="C1114" s="30" t="s">
        <v>3681</v>
      </c>
      <c r="D1114" s="30" t="s">
        <v>106</v>
      </c>
      <c r="E1114" s="30"/>
      <c r="F1114" s="30" t="s">
        <v>107</v>
      </c>
      <c r="G1114" s="30" t="s">
        <v>106</v>
      </c>
      <c r="H1114" s="30"/>
      <c r="I1114" s="30" t="s">
        <v>191</v>
      </c>
      <c r="J1114" s="30"/>
      <c r="K1114" s="30" t="s">
        <v>2463</v>
      </c>
      <c r="L1114" s="30" t="s">
        <v>117</v>
      </c>
      <c r="M1114" s="30" t="s">
        <v>109</v>
      </c>
      <c r="N1114" s="30" t="s">
        <v>114</v>
      </c>
      <c r="O1114" s="30" t="s">
        <v>115</v>
      </c>
      <c r="P1114" s="30" t="s">
        <v>118</v>
      </c>
      <c r="Q1114" s="30" t="s">
        <v>112</v>
      </c>
      <c r="R1114" s="30" t="s">
        <v>185</v>
      </c>
      <c r="S1114" s="81">
        <f>HLOOKUP(L1114,データについて!$J$6:$M$18,13,FALSE)</f>
        <v>2</v>
      </c>
      <c r="T1114" s="81">
        <f>HLOOKUP(M1114,データについて!$J$7:$M$18,12,FALSE)</f>
        <v>2</v>
      </c>
      <c r="U1114" s="81">
        <f>HLOOKUP(N1114,データについて!$J$8:$M$18,11,FALSE)</f>
        <v>1</v>
      </c>
      <c r="V1114" s="81">
        <f>HLOOKUP(O1114,データについて!$J$9:$M$18,10,FALSE)</f>
        <v>1</v>
      </c>
      <c r="W1114" s="81">
        <f>HLOOKUP(P1114,データについて!$J$10:$M$18,9,FALSE)</f>
        <v>2</v>
      </c>
      <c r="X1114" s="81">
        <f>HLOOKUP(Q1114,データについて!$J$11:$M$18,8,FALSE)</f>
        <v>1</v>
      </c>
      <c r="Y1114" s="81">
        <f>HLOOKUP(R1114,データについて!$J$12:$M$18,7,FALSE)</f>
        <v>2</v>
      </c>
      <c r="Z1114" s="81">
        <f>HLOOKUP(I1114,データについて!$J$3:$M$18,16,FALSE)</f>
        <v>2</v>
      </c>
      <c r="AA1114" s="81" t="str">
        <f>IFERROR(HLOOKUP(J1114,データについて!$J$4:$AH$19,16,FALSE),"")</f>
        <v/>
      </c>
      <c r="AB1114" s="81">
        <f>IFERROR(HLOOKUP(K1114,データについて!$J$5:$AH$20,14,FALSE),"")</f>
        <v>4</v>
      </c>
      <c r="AC1114" s="81">
        <f>IF(X1114=1,HLOOKUP(R1114,データについて!$J$12:$M$18,7,FALSE),"*")</f>
        <v>2</v>
      </c>
      <c r="AD1114" s="81" t="str">
        <f>IF(X1114=2,HLOOKUP(R1114,データについて!$J$12:$M$18,7,FALSE),"*")</f>
        <v>*</v>
      </c>
    </row>
    <row r="1115" spans="1:30">
      <c r="A1115" s="30">
        <v>4077</v>
      </c>
      <c r="B1115" s="30" t="s">
        <v>3682</v>
      </c>
      <c r="C1115" s="30" t="s">
        <v>3683</v>
      </c>
      <c r="D1115" s="30" t="s">
        <v>106</v>
      </c>
      <c r="E1115" s="30"/>
      <c r="F1115" s="30" t="s">
        <v>107</v>
      </c>
      <c r="G1115" s="30" t="s">
        <v>106</v>
      </c>
      <c r="H1115" s="30"/>
      <c r="I1115" s="30" t="s">
        <v>191</v>
      </c>
      <c r="J1115" s="30"/>
      <c r="K1115" s="30" t="s">
        <v>2463</v>
      </c>
      <c r="L1115" s="30" t="s">
        <v>117</v>
      </c>
      <c r="M1115" s="30" t="s">
        <v>124</v>
      </c>
      <c r="N1115" s="30" t="s">
        <v>122</v>
      </c>
      <c r="O1115" s="30" t="s">
        <v>116</v>
      </c>
      <c r="P1115" s="30" t="s">
        <v>118</v>
      </c>
      <c r="Q1115" s="30" t="s">
        <v>118</v>
      </c>
      <c r="R1115" s="30" t="s">
        <v>189</v>
      </c>
      <c r="S1115" s="81">
        <f>HLOOKUP(L1115,データについて!$J$6:$M$18,13,FALSE)</f>
        <v>2</v>
      </c>
      <c r="T1115" s="81">
        <f>HLOOKUP(M1115,データについて!$J$7:$M$18,12,FALSE)</f>
        <v>3</v>
      </c>
      <c r="U1115" s="81">
        <f>HLOOKUP(N1115,データについて!$J$8:$M$18,11,FALSE)</f>
        <v>3</v>
      </c>
      <c r="V1115" s="81">
        <f>HLOOKUP(O1115,データについて!$J$9:$M$18,10,FALSE)</f>
        <v>2</v>
      </c>
      <c r="W1115" s="81">
        <f>HLOOKUP(P1115,データについて!$J$10:$M$18,9,FALSE)</f>
        <v>2</v>
      </c>
      <c r="X1115" s="81">
        <f>HLOOKUP(Q1115,データについて!$J$11:$M$18,8,FALSE)</f>
        <v>2</v>
      </c>
      <c r="Y1115" s="81">
        <f>HLOOKUP(R1115,データについて!$J$12:$M$18,7,FALSE)</f>
        <v>4</v>
      </c>
      <c r="Z1115" s="81">
        <f>HLOOKUP(I1115,データについて!$J$3:$M$18,16,FALSE)</f>
        <v>2</v>
      </c>
      <c r="AA1115" s="81" t="str">
        <f>IFERROR(HLOOKUP(J1115,データについて!$J$4:$AH$19,16,FALSE),"")</f>
        <v/>
      </c>
      <c r="AB1115" s="81">
        <f>IFERROR(HLOOKUP(K1115,データについて!$J$5:$AH$20,14,FALSE),"")</f>
        <v>4</v>
      </c>
      <c r="AC1115" s="81" t="str">
        <f>IF(X1115=1,HLOOKUP(R1115,データについて!$J$12:$M$18,7,FALSE),"*")</f>
        <v>*</v>
      </c>
      <c r="AD1115" s="81">
        <f>IF(X1115=2,HLOOKUP(R1115,データについて!$J$12:$M$18,7,FALSE),"*")</f>
        <v>4</v>
      </c>
    </row>
    <row r="1116" spans="1:30">
      <c r="A1116" s="30">
        <v>4076</v>
      </c>
      <c r="B1116" s="30" t="s">
        <v>3684</v>
      </c>
      <c r="C1116" s="30" t="s">
        <v>3685</v>
      </c>
      <c r="D1116" s="30" t="s">
        <v>106</v>
      </c>
      <c r="E1116" s="30"/>
      <c r="F1116" s="30" t="s">
        <v>107</v>
      </c>
      <c r="G1116" s="30" t="s">
        <v>106</v>
      </c>
      <c r="H1116" s="30"/>
      <c r="I1116" s="30" t="s">
        <v>191</v>
      </c>
      <c r="J1116" s="30"/>
      <c r="K1116" s="30" t="s">
        <v>2463</v>
      </c>
      <c r="L1116" s="30" t="s">
        <v>108</v>
      </c>
      <c r="M1116" s="30" t="s">
        <v>109</v>
      </c>
      <c r="N1116" s="30" t="s">
        <v>114</v>
      </c>
      <c r="O1116" s="30" t="s">
        <v>115</v>
      </c>
      <c r="P1116" s="30" t="s">
        <v>112</v>
      </c>
      <c r="Q1116" s="30" t="s">
        <v>112</v>
      </c>
      <c r="R1116" s="30" t="s">
        <v>189</v>
      </c>
      <c r="S1116" s="81">
        <f>HLOOKUP(L1116,データについて!$J$6:$M$18,13,FALSE)</f>
        <v>1</v>
      </c>
      <c r="T1116" s="81">
        <f>HLOOKUP(M1116,データについて!$J$7:$M$18,12,FALSE)</f>
        <v>2</v>
      </c>
      <c r="U1116" s="81">
        <f>HLOOKUP(N1116,データについて!$J$8:$M$18,11,FALSE)</f>
        <v>1</v>
      </c>
      <c r="V1116" s="81">
        <f>HLOOKUP(O1116,データについて!$J$9:$M$18,10,FALSE)</f>
        <v>1</v>
      </c>
      <c r="W1116" s="81">
        <f>HLOOKUP(P1116,データについて!$J$10:$M$18,9,FALSE)</f>
        <v>1</v>
      </c>
      <c r="X1116" s="81">
        <f>HLOOKUP(Q1116,データについて!$J$11:$M$18,8,FALSE)</f>
        <v>1</v>
      </c>
      <c r="Y1116" s="81">
        <f>HLOOKUP(R1116,データについて!$J$12:$M$18,7,FALSE)</f>
        <v>4</v>
      </c>
      <c r="Z1116" s="81">
        <f>HLOOKUP(I1116,データについて!$J$3:$M$18,16,FALSE)</f>
        <v>2</v>
      </c>
      <c r="AA1116" s="81" t="str">
        <f>IFERROR(HLOOKUP(J1116,データについて!$J$4:$AH$19,16,FALSE),"")</f>
        <v/>
      </c>
      <c r="AB1116" s="81">
        <f>IFERROR(HLOOKUP(K1116,データについて!$J$5:$AH$20,14,FALSE),"")</f>
        <v>4</v>
      </c>
      <c r="AC1116" s="81">
        <f>IF(X1116=1,HLOOKUP(R1116,データについて!$J$12:$M$18,7,FALSE),"*")</f>
        <v>4</v>
      </c>
      <c r="AD1116" s="81" t="str">
        <f>IF(X1116=2,HLOOKUP(R1116,データについて!$J$12:$M$18,7,FALSE),"*")</f>
        <v>*</v>
      </c>
    </row>
    <row r="1117" spans="1:30">
      <c r="A1117" s="30">
        <v>4075</v>
      </c>
      <c r="B1117" s="30" t="s">
        <v>3686</v>
      </c>
      <c r="C1117" s="30" t="s">
        <v>3687</v>
      </c>
      <c r="D1117" s="30" t="s">
        <v>106</v>
      </c>
      <c r="E1117" s="30"/>
      <c r="F1117" s="30" t="s">
        <v>107</v>
      </c>
      <c r="G1117" s="30" t="s">
        <v>106</v>
      </c>
      <c r="H1117" s="30"/>
      <c r="I1117" s="30" t="s">
        <v>191</v>
      </c>
      <c r="J1117" s="30"/>
      <c r="K1117" s="30" t="s">
        <v>2463</v>
      </c>
      <c r="L1117" s="30" t="s">
        <v>117</v>
      </c>
      <c r="M1117" s="30" t="s">
        <v>109</v>
      </c>
      <c r="N1117" s="30" t="s">
        <v>114</v>
      </c>
      <c r="O1117" s="30" t="s">
        <v>115</v>
      </c>
      <c r="P1117" s="30" t="s">
        <v>112</v>
      </c>
      <c r="Q1117" s="30" t="s">
        <v>112</v>
      </c>
      <c r="R1117" s="30" t="s">
        <v>187</v>
      </c>
      <c r="S1117" s="81">
        <f>HLOOKUP(L1117,データについて!$J$6:$M$18,13,FALSE)</f>
        <v>2</v>
      </c>
      <c r="T1117" s="81">
        <f>HLOOKUP(M1117,データについて!$J$7:$M$18,12,FALSE)</f>
        <v>2</v>
      </c>
      <c r="U1117" s="81">
        <f>HLOOKUP(N1117,データについて!$J$8:$M$18,11,FALSE)</f>
        <v>1</v>
      </c>
      <c r="V1117" s="81">
        <f>HLOOKUP(O1117,データについて!$J$9:$M$18,10,FALSE)</f>
        <v>1</v>
      </c>
      <c r="W1117" s="81">
        <f>HLOOKUP(P1117,データについて!$J$10:$M$18,9,FALSE)</f>
        <v>1</v>
      </c>
      <c r="X1117" s="81">
        <f>HLOOKUP(Q1117,データについて!$J$11:$M$18,8,FALSE)</f>
        <v>1</v>
      </c>
      <c r="Y1117" s="81">
        <f>HLOOKUP(R1117,データについて!$J$12:$M$18,7,FALSE)</f>
        <v>3</v>
      </c>
      <c r="Z1117" s="81">
        <f>HLOOKUP(I1117,データについて!$J$3:$M$18,16,FALSE)</f>
        <v>2</v>
      </c>
      <c r="AA1117" s="81" t="str">
        <f>IFERROR(HLOOKUP(J1117,データについて!$J$4:$AH$19,16,FALSE),"")</f>
        <v/>
      </c>
      <c r="AB1117" s="81">
        <f>IFERROR(HLOOKUP(K1117,データについて!$J$5:$AH$20,14,FALSE),"")</f>
        <v>4</v>
      </c>
      <c r="AC1117" s="81">
        <f>IF(X1117=1,HLOOKUP(R1117,データについて!$J$12:$M$18,7,FALSE),"*")</f>
        <v>3</v>
      </c>
      <c r="AD1117" s="81" t="str">
        <f>IF(X1117=2,HLOOKUP(R1117,データについて!$J$12:$M$18,7,FALSE),"*")</f>
        <v>*</v>
      </c>
    </row>
    <row r="1118" spans="1:30">
      <c r="A1118" s="30">
        <v>4074</v>
      </c>
      <c r="B1118" s="30" t="s">
        <v>3688</v>
      </c>
      <c r="C1118" s="30" t="s">
        <v>3689</v>
      </c>
      <c r="D1118" s="30" t="s">
        <v>106</v>
      </c>
      <c r="E1118" s="30"/>
      <c r="F1118" s="30" t="s">
        <v>107</v>
      </c>
      <c r="G1118" s="30" t="s">
        <v>106</v>
      </c>
      <c r="H1118" s="30"/>
      <c r="I1118" s="30" t="s">
        <v>191</v>
      </c>
      <c r="J1118" s="30"/>
      <c r="K1118" s="30" t="s">
        <v>2463</v>
      </c>
      <c r="L1118" s="30" t="s">
        <v>117</v>
      </c>
      <c r="M1118" s="30" t="s">
        <v>113</v>
      </c>
      <c r="N1118" s="30" t="s">
        <v>114</v>
      </c>
      <c r="O1118" s="30" t="s">
        <v>115</v>
      </c>
      <c r="P1118" s="30" t="s">
        <v>118</v>
      </c>
      <c r="Q1118" s="30" t="s">
        <v>112</v>
      </c>
      <c r="R1118" s="30" t="s">
        <v>183</v>
      </c>
      <c r="S1118" s="81">
        <f>HLOOKUP(L1118,データについて!$J$6:$M$18,13,FALSE)</f>
        <v>2</v>
      </c>
      <c r="T1118" s="81">
        <f>HLOOKUP(M1118,データについて!$J$7:$M$18,12,FALSE)</f>
        <v>1</v>
      </c>
      <c r="U1118" s="81">
        <f>HLOOKUP(N1118,データについて!$J$8:$M$18,11,FALSE)</f>
        <v>1</v>
      </c>
      <c r="V1118" s="81">
        <f>HLOOKUP(O1118,データについて!$J$9:$M$18,10,FALSE)</f>
        <v>1</v>
      </c>
      <c r="W1118" s="81">
        <f>HLOOKUP(P1118,データについて!$J$10:$M$18,9,FALSE)</f>
        <v>2</v>
      </c>
      <c r="X1118" s="81">
        <f>HLOOKUP(Q1118,データについて!$J$11:$M$18,8,FALSE)</f>
        <v>1</v>
      </c>
      <c r="Y1118" s="81">
        <f>HLOOKUP(R1118,データについて!$J$12:$M$18,7,FALSE)</f>
        <v>1</v>
      </c>
      <c r="Z1118" s="81">
        <f>HLOOKUP(I1118,データについて!$J$3:$M$18,16,FALSE)</f>
        <v>2</v>
      </c>
      <c r="AA1118" s="81" t="str">
        <f>IFERROR(HLOOKUP(J1118,データについて!$J$4:$AH$19,16,FALSE),"")</f>
        <v/>
      </c>
      <c r="AB1118" s="81">
        <f>IFERROR(HLOOKUP(K1118,データについて!$J$5:$AH$20,14,FALSE),"")</f>
        <v>4</v>
      </c>
      <c r="AC1118" s="81">
        <f>IF(X1118=1,HLOOKUP(R1118,データについて!$J$12:$M$18,7,FALSE),"*")</f>
        <v>1</v>
      </c>
      <c r="AD1118" s="81" t="str">
        <f>IF(X1118=2,HLOOKUP(R1118,データについて!$J$12:$M$18,7,FALSE),"*")</f>
        <v>*</v>
      </c>
    </row>
    <row r="1119" spans="1:30">
      <c r="A1119" s="30">
        <v>4073</v>
      </c>
      <c r="B1119" s="30" t="s">
        <v>3690</v>
      </c>
      <c r="C1119" s="30" t="s">
        <v>3691</v>
      </c>
      <c r="D1119" s="30" t="s">
        <v>106</v>
      </c>
      <c r="E1119" s="30"/>
      <c r="F1119" s="30" t="s">
        <v>107</v>
      </c>
      <c r="G1119" s="30" t="s">
        <v>106</v>
      </c>
      <c r="H1119" s="30"/>
      <c r="I1119" s="30" t="s">
        <v>191</v>
      </c>
      <c r="J1119" s="30"/>
      <c r="K1119" s="30" t="s">
        <v>2463</v>
      </c>
      <c r="L1119" s="30" t="s">
        <v>117</v>
      </c>
      <c r="M1119" s="30" t="s">
        <v>109</v>
      </c>
      <c r="N1119" s="30" t="s">
        <v>122</v>
      </c>
      <c r="O1119" s="30" t="s">
        <v>115</v>
      </c>
      <c r="P1119" s="30" t="s">
        <v>112</v>
      </c>
      <c r="Q1119" s="30" t="s">
        <v>112</v>
      </c>
      <c r="R1119" s="30" t="s">
        <v>187</v>
      </c>
      <c r="S1119" s="81">
        <f>HLOOKUP(L1119,データについて!$J$6:$M$18,13,FALSE)</f>
        <v>2</v>
      </c>
      <c r="T1119" s="81">
        <f>HLOOKUP(M1119,データについて!$J$7:$M$18,12,FALSE)</f>
        <v>2</v>
      </c>
      <c r="U1119" s="81">
        <f>HLOOKUP(N1119,データについて!$J$8:$M$18,11,FALSE)</f>
        <v>3</v>
      </c>
      <c r="V1119" s="81">
        <f>HLOOKUP(O1119,データについて!$J$9:$M$18,10,FALSE)</f>
        <v>1</v>
      </c>
      <c r="W1119" s="81">
        <f>HLOOKUP(P1119,データについて!$J$10:$M$18,9,FALSE)</f>
        <v>1</v>
      </c>
      <c r="X1119" s="81">
        <f>HLOOKUP(Q1119,データについて!$J$11:$M$18,8,FALSE)</f>
        <v>1</v>
      </c>
      <c r="Y1119" s="81">
        <f>HLOOKUP(R1119,データについて!$J$12:$M$18,7,FALSE)</f>
        <v>3</v>
      </c>
      <c r="Z1119" s="81">
        <f>HLOOKUP(I1119,データについて!$J$3:$M$18,16,FALSE)</f>
        <v>2</v>
      </c>
      <c r="AA1119" s="81" t="str">
        <f>IFERROR(HLOOKUP(J1119,データについて!$J$4:$AH$19,16,FALSE),"")</f>
        <v/>
      </c>
      <c r="AB1119" s="81">
        <f>IFERROR(HLOOKUP(K1119,データについて!$J$5:$AH$20,14,FALSE),"")</f>
        <v>4</v>
      </c>
      <c r="AC1119" s="81">
        <f>IF(X1119=1,HLOOKUP(R1119,データについて!$J$12:$M$18,7,FALSE),"*")</f>
        <v>3</v>
      </c>
      <c r="AD1119" s="81" t="str">
        <f>IF(X1119=2,HLOOKUP(R1119,データについて!$J$12:$M$18,7,FALSE),"*")</f>
        <v>*</v>
      </c>
    </row>
    <row r="1120" spans="1:30">
      <c r="A1120" s="30">
        <v>4072</v>
      </c>
      <c r="B1120" s="30" t="s">
        <v>3692</v>
      </c>
      <c r="C1120" s="30" t="s">
        <v>3693</v>
      </c>
      <c r="D1120" s="30" t="s">
        <v>106</v>
      </c>
      <c r="E1120" s="30"/>
      <c r="F1120" s="30" t="s">
        <v>107</v>
      </c>
      <c r="G1120" s="30" t="s">
        <v>106</v>
      </c>
      <c r="H1120" s="30"/>
      <c r="I1120" s="30" t="s">
        <v>191</v>
      </c>
      <c r="J1120" s="30"/>
      <c r="K1120" s="30" t="s">
        <v>2463</v>
      </c>
      <c r="L1120" s="30" t="s">
        <v>108</v>
      </c>
      <c r="M1120" s="30" t="s">
        <v>113</v>
      </c>
      <c r="N1120" s="30" t="s">
        <v>114</v>
      </c>
      <c r="O1120" s="30" t="s">
        <v>115</v>
      </c>
      <c r="P1120" s="30" t="s">
        <v>112</v>
      </c>
      <c r="Q1120" s="30" t="s">
        <v>112</v>
      </c>
      <c r="R1120" s="30" t="s">
        <v>183</v>
      </c>
      <c r="S1120" s="81">
        <f>HLOOKUP(L1120,データについて!$J$6:$M$18,13,FALSE)</f>
        <v>1</v>
      </c>
      <c r="T1120" s="81">
        <f>HLOOKUP(M1120,データについて!$J$7:$M$18,12,FALSE)</f>
        <v>1</v>
      </c>
      <c r="U1120" s="81">
        <f>HLOOKUP(N1120,データについて!$J$8:$M$18,11,FALSE)</f>
        <v>1</v>
      </c>
      <c r="V1120" s="81">
        <f>HLOOKUP(O1120,データについて!$J$9:$M$18,10,FALSE)</f>
        <v>1</v>
      </c>
      <c r="W1120" s="81">
        <f>HLOOKUP(P1120,データについて!$J$10:$M$18,9,FALSE)</f>
        <v>1</v>
      </c>
      <c r="X1120" s="81">
        <f>HLOOKUP(Q1120,データについて!$J$11:$M$18,8,FALSE)</f>
        <v>1</v>
      </c>
      <c r="Y1120" s="81">
        <f>HLOOKUP(R1120,データについて!$J$12:$M$18,7,FALSE)</f>
        <v>1</v>
      </c>
      <c r="Z1120" s="81">
        <f>HLOOKUP(I1120,データについて!$J$3:$M$18,16,FALSE)</f>
        <v>2</v>
      </c>
      <c r="AA1120" s="81" t="str">
        <f>IFERROR(HLOOKUP(J1120,データについて!$J$4:$AH$19,16,FALSE),"")</f>
        <v/>
      </c>
      <c r="AB1120" s="81">
        <f>IFERROR(HLOOKUP(K1120,データについて!$J$5:$AH$20,14,FALSE),"")</f>
        <v>4</v>
      </c>
      <c r="AC1120" s="81">
        <f>IF(X1120=1,HLOOKUP(R1120,データについて!$J$12:$M$18,7,FALSE),"*")</f>
        <v>1</v>
      </c>
      <c r="AD1120" s="81" t="str">
        <f>IF(X1120=2,HLOOKUP(R1120,データについて!$J$12:$M$18,7,FALSE),"*")</f>
        <v>*</v>
      </c>
    </row>
    <row r="1121" spans="1:30">
      <c r="A1121" s="30">
        <v>4071</v>
      </c>
      <c r="B1121" s="30" t="s">
        <v>3694</v>
      </c>
      <c r="C1121" s="30" t="s">
        <v>3695</v>
      </c>
      <c r="D1121" s="30" t="s">
        <v>106</v>
      </c>
      <c r="E1121" s="30"/>
      <c r="F1121" s="30" t="s">
        <v>107</v>
      </c>
      <c r="G1121" s="30" t="s">
        <v>106</v>
      </c>
      <c r="H1121" s="30"/>
      <c r="I1121" s="30" t="s">
        <v>191</v>
      </c>
      <c r="J1121" s="30"/>
      <c r="K1121" s="30" t="s">
        <v>2463</v>
      </c>
      <c r="L1121" s="30" t="s">
        <v>108</v>
      </c>
      <c r="M1121" s="30" t="s">
        <v>109</v>
      </c>
      <c r="N1121" s="30" t="s">
        <v>110</v>
      </c>
      <c r="O1121" s="30" t="s">
        <v>115</v>
      </c>
      <c r="P1121" s="30" t="s">
        <v>112</v>
      </c>
      <c r="Q1121" s="30" t="s">
        <v>112</v>
      </c>
      <c r="R1121" s="30" t="s">
        <v>185</v>
      </c>
      <c r="S1121" s="81">
        <f>HLOOKUP(L1121,データについて!$J$6:$M$18,13,FALSE)</f>
        <v>1</v>
      </c>
      <c r="T1121" s="81">
        <f>HLOOKUP(M1121,データについて!$J$7:$M$18,12,FALSE)</f>
        <v>2</v>
      </c>
      <c r="U1121" s="81">
        <f>HLOOKUP(N1121,データについて!$J$8:$M$18,11,FALSE)</f>
        <v>2</v>
      </c>
      <c r="V1121" s="81">
        <f>HLOOKUP(O1121,データについて!$J$9:$M$18,10,FALSE)</f>
        <v>1</v>
      </c>
      <c r="W1121" s="81">
        <f>HLOOKUP(P1121,データについて!$J$10:$M$18,9,FALSE)</f>
        <v>1</v>
      </c>
      <c r="X1121" s="81">
        <f>HLOOKUP(Q1121,データについて!$J$11:$M$18,8,FALSE)</f>
        <v>1</v>
      </c>
      <c r="Y1121" s="81">
        <f>HLOOKUP(R1121,データについて!$J$12:$M$18,7,FALSE)</f>
        <v>2</v>
      </c>
      <c r="Z1121" s="81">
        <f>HLOOKUP(I1121,データについて!$J$3:$M$18,16,FALSE)</f>
        <v>2</v>
      </c>
      <c r="AA1121" s="81" t="str">
        <f>IFERROR(HLOOKUP(J1121,データについて!$J$4:$AH$19,16,FALSE),"")</f>
        <v/>
      </c>
      <c r="AB1121" s="81">
        <f>IFERROR(HLOOKUP(K1121,データについて!$J$5:$AH$20,14,FALSE),"")</f>
        <v>4</v>
      </c>
      <c r="AC1121" s="81">
        <f>IF(X1121=1,HLOOKUP(R1121,データについて!$J$12:$M$18,7,FALSE),"*")</f>
        <v>2</v>
      </c>
      <c r="AD1121" s="81" t="str">
        <f>IF(X1121=2,HLOOKUP(R1121,データについて!$J$12:$M$18,7,FALSE),"*")</f>
        <v>*</v>
      </c>
    </row>
    <row r="1122" spans="1:30">
      <c r="A1122" s="30">
        <v>4070</v>
      </c>
      <c r="B1122" s="30" t="s">
        <v>3696</v>
      </c>
      <c r="C1122" s="30" t="s">
        <v>3697</v>
      </c>
      <c r="D1122" s="30" t="s">
        <v>106</v>
      </c>
      <c r="E1122" s="30"/>
      <c r="F1122" s="30" t="s">
        <v>107</v>
      </c>
      <c r="G1122" s="30" t="s">
        <v>106</v>
      </c>
      <c r="H1122" s="30"/>
      <c r="I1122" s="30" t="s">
        <v>191</v>
      </c>
      <c r="J1122" s="30"/>
      <c r="K1122" s="30" t="s">
        <v>2463</v>
      </c>
      <c r="L1122" s="30" t="s">
        <v>108</v>
      </c>
      <c r="M1122" s="30" t="s">
        <v>113</v>
      </c>
      <c r="N1122" s="30" t="s">
        <v>114</v>
      </c>
      <c r="O1122" s="30" t="s">
        <v>115</v>
      </c>
      <c r="P1122" s="30" t="s">
        <v>112</v>
      </c>
      <c r="Q1122" s="30" t="s">
        <v>112</v>
      </c>
      <c r="R1122" s="30" t="s">
        <v>183</v>
      </c>
      <c r="S1122" s="81">
        <f>HLOOKUP(L1122,データについて!$J$6:$M$18,13,FALSE)</f>
        <v>1</v>
      </c>
      <c r="T1122" s="81">
        <f>HLOOKUP(M1122,データについて!$J$7:$M$18,12,FALSE)</f>
        <v>1</v>
      </c>
      <c r="U1122" s="81">
        <f>HLOOKUP(N1122,データについて!$J$8:$M$18,11,FALSE)</f>
        <v>1</v>
      </c>
      <c r="V1122" s="81">
        <f>HLOOKUP(O1122,データについて!$J$9:$M$18,10,FALSE)</f>
        <v>1</v>
      </c>
      <c r="W1122" s="81">
        <f>HLOOKUP(P1122,データについて!$J$10:$M$18,9,FALSE)</f>
        <v>1</v>
      </c>
      <c r="X1122" s="81">
        <f>HLOOKUP(Q1122,データについて!$J$11:$M$18,8,FALSE)</f>
        <v>1</v>
      </c>
      <c r="Y1122" s="81">
        <f>HLOOKUP(R1122,データについて!$J$12:$M$18,7,FALSE)</f>
        <v>1</v>
      </c>
      <c r="Z1122" s="81">
        <f>HLOOKUP(I1122,データについて!$J$3:$M$18,16,FALSE)</f>
        <v>2</v>
      </c>
      <c r="AA1122" s="81" t="str">
        <f>IFERROR(HLOOKUP(J1122,データについて!$J$4:$AH$19,16,FALSE),"")</f>
        <v/>
      </c>
      <c r="AB1122" s="81">
        <f>IFERROR(HLOOKUP(K1122,データについて!$J$5:$AH$20,14,FALSE),"")</f>
        <v>4</v>
      </c>
      <c r="AC1122" s="81">
        <f>IF(X1122=1,HLOOKUP(R1122,データについて!$J$12:$M$18,7,FALSE),"*")</f>
        <v>1</v>
      </c>
      <c r="AD1122" s="81" t="str">
        <f>IF(X1122=2,HLOOKUP(R1122,データについて!$J$12:$M$18,7,FALSE),"*")</f>
        <v>*</v>
      </c>
    </row>
    <row r="1123" spans="1:30">
      <c r="A1123" s="30">
        <v>4069</v>
      </c>
      <c r="B1123" s="30" t="s">
        <v>3698</v>
      </c>
      <c r="C1123" s="30" t="s">
        <v>3699</v>
      </c>
      <c r="D1123" s="30" t="s">
        <v>106</v>
      </c>
      <c r="E1123" s="30"/>
      <c r="F1123" s="30" t="s">
        <v>107</v>
      </c>
      <c r="G1123" s="30" t="s">
        <v>106</v>
      </c>
      <c r="H1123" s="30"/>
      <c r="I1123" s="30" t="s">
        <v>191</v>
      </c>
      <c r="J1123" s="30"/>
      <c r="K1123" s="30" t="s">
        <v>2463</v>
      </c>
      <c r="L1123" s="30" t="s">
        <v>117</v>
      </c>
      <c r="M1123" s="30" t="s">
        <v>113</v>
      </c>
      <c r="N1123" s="30" t="s">
        <v>114</v>
      </c>
      <c r="O1123" s="30" t="s">
        <v>116</v>
      </c>
      <c r="P1123" s="30" t="s">
        <v>118</v>
      </c>
      <c r="Q1123" s="30" t="s">
        <v>112</v>
      </c>
      <c r="R1123" s="30" t="s">
        <v>183</v>
      </c>
      <c r="S1123" s="81">
        <f>HLOOKUP(L1123,データについて!$J$6:$M$18,13,FALSE)</f>
        <v>2</v>
      </c>
      <c r="T1123" s="81">
        <f>HLOOKUP(M1123,データについて!$J$7:$M$18,12,FALSE)</f>
        <v>1</v>
      </c>
      <c r="U1123" s="81">
        <f>HLOOKUP(N1123,データについて!$J$8:$M$18,11,FALSE)</f>
        <v>1</v>
      </c>
      <c r="V1123" s="81">
        <f>HLOOKUP(O1123,データについて!$J$9:$M$18,10,FALSE)</f>
        <v>2</v>
      </c>
      <c r="W1123" s="81">
        <f>HLOOKUP(P1123,データについて!$J$10:$M$18,9,FALSE)</f>
        <v>2</v>
      </c>
      <c r="X1123" s="81">
        <f>HLOOKUP(Q1123,データについて!$J$11:$M$18,8,FALSE)</f>
        <v>1</v>
      </c>
      <c r="Y1123" s="81">
        <f>HLOOKUP(R1123,データについて!$J$12:$M$18,7,FALSE)</f>
        <v>1</v>
      </c>
      <c r="Z1123" s="81">
        <f>HLOOKUP(I1123,データについて!$J$3:$M$18,16,FALSE)</f>
        <v>2</v>
      </c>
      <c r="AA1123" s="81" t="str">
        <f>IFERROR(HLOOKUP(J1123,データについて!$J$4:$AH$19,16,FALSE),"")</f>
        <v/>
      </c>
      <c r="AB1123" s="81">
        <f>IFERROR(HLOOKUP(K1123,データについて!$J$5:$AH$20,14,FALSE),"")</f>
        <v>4</v>
      </c>
      <c r="AC1123" s="81">
        <f>IF(X1123=1,HLOOKUP(R1123,データについて!$J$12:$M$18,7,FALSE),"*")</f>
        <v>1</v>
      </c>
      <c r="AD1123" s="81" t="str">
        <f>IF(X1123=2,HLOOKUP(R1123,データについて!$J$12:$M$18,7,FALSE),"*")</f>
        <v>*</v>
      </c>
    </row>
    <row r="1124" spans="1:30">
      <c r="A1124" s="30">
        <v>4068</v>
      </c>
      <c r="B1124" s="30" t="s">
        <v>3700</v>
      </c>
      <c r="C1124" s="30" t="s">
        <v>3701</v>
      </c>
      <c r="D1124" s="30" t="s">
        <v>106</v>
      </c>
      <c r="E1124" s="30"/>
      <c r="F1124" s="30" t="s">
        <v>107</v>
      </c>
      <c r="G1124" s="30" t="s">
        <v>106</v>
      </c>
      <c r="H1124" s="30"/>
      <c r="I1124" s="30" t="s">
        <v>191</v>
      </c>
      <c r="J1124" s="30"/>
      <c r="K1124" s="30" t="s">
        <v>2463</v>
      </c>
      <c r="L1124" s="30" t="s">
        <v>108</v>
      </c>
      <c r="M1124" s="30" t="s">
        <v>113</v>
      </c>
      <c r="N1124" s="30" t="s">
        <v>114</v>
      </c>
      <c r="O1124" s="30" t="s">
        <v>116</v>
      </c>
      <c r="P1124" s="30" t="s">
        <v>118</v>
      </c>
      <c r="Q1124" s="30" t="s">
        <v>112</v>
      </c>
      <c r="R1124" s="30" t="s">
        <v>189</v>
      </c>
      <c r="S1124" s="81">
        <f>HLOOKUP(L1124,データについて!$J$6:$M$18,13,FALSE)</f>
        <v>1</v>
      </c>
      <c r="T1124" s="81">
        <f>HLOOKUP(M1124,データについて!$J$7:$M$18,12,FALSE)</f>
        <v>1</v>
      </c>
      <c r="U1124" s="81">
        <f>HLOOKUP(N1124,データについて!$J$8:$M$18,11,FALSE)</f>
        <v>1</v>
      </c>
      <c r="V1124" s="81">
        <f>HLOOKUP(O1124,データについて!$J$9:$M$18,10,FALSE)</f>
        <v>2</v>
      </c>
      <c r="W1124" s="81">
        <f>HLOOKUP(P1124,データについて!$J$10:$M$18,9,FALSE)</f>
        <v>2</v>
      </c>
      <c r="X1124" s="81">
        <f>HLOOKUP(Q1124,データについて!$J$11:$M$18,8,FALSE)</f>
        <v>1</v>
      </c>
      <c r="Y1124" s="81">
        <f>HLOOKUP(R1124,データについて!$J$12:$M$18,7,FALSE)</f>
        <v>4</v>
      </c>
      <c r="Z1124" s="81">
        <f>HLOOKUP(I1124,データについて!$J$3:$M$18,16,FALSE)</f>
        <v>2</v>
      </c>
      <c r="AA1124" s="81" t="str">
        <f>IFERROR(HLOOKUP(J1124,データについて!$J$4:$AH$19,16,FALSE),"")</f>
        <v/>
      </c>
      <c r="AB1124" s="81">
        <f>IFERROR(HLOOKUP(K1124,データについて!$J$5:$AH$20,14,FALSE),"")</f>
        <v>4</v>
      </c>
      <c r="AC1124" s="81">
        <f>IF(X1124=1,HLOOKUP(R1124,データについて!$J$12:$M$18,7,FALSE),"*")</f>
        <v>4</v>
      </c>
      <c r="AD1124" s="81" t="str">
        <f>IF(X1124=2,HLOOKUP(R1124,データについて!$J$12:$M$18,7,FALSE),"*")</f>
        <v>*</v>
      </c>
    </row>
    <row r="1125" spans="1:30">
      <c r="A1125" s="30">
        <v>4067</v>
      </c>
      <c r="B1125" s="30" t="s">
        <v>3702</v>
      </c>
      <c r="C1125" s="30" t="s">
        <v>3703</v>
      </c>
      <c r="D1125" s="30" t="s">
        <v>106</v>
      </c>
      <c r="E1125" s="30"/>
      <c r="F1125" s="30" t="s">
        <v>107</v>
      </c>
      <c r="G1125" s="30" t="s">
        <v>106</v>
      </c>
      <c r="H1125" s="30"/>
      <c r="I1125" s="30" t="s">
        <v>191</v>
      </c>
      <c r="J1125" s="30"/>
      <c r="K1125" s="30" t="s">
        <v>126</v>
      </c>
      <c r="L1125" s="30" t="s">
        <v>120</v>
      </c>
      <c r="M1125" s="30" t="s">
        <v>124</v>
      </c>
      <c r="N1125" s="30" t="s">
        <v>119</v>
      </c>
      <c r="O1125" s="30" t="s">
        <v>123</v>
      </c>
      <c r="P1125" s="30" t="s">
        <v>112</v>
      </c>
      <c r="Q1125" s="30" t="s">
        <v>118</v>
      </c>
      <c r="R1125" s="30" t="s">
        <v>189</v>
      </c>
      <c r="S1125" s="81">
        <f>HLOOKUP(L1125,データについて!$J$6:$M$18,13,FALSE)</f>
        <v>3</v>
      </c>
      <c r="T1125" s="81">
        <f>HLOOKUP(M1125,データについて!$J$7:$M$18,12,FALSE)</f>
        <v>3</v>
      </c>
      <c r="U1125" s="81">
        <f>HLOOKUP(N1125,データについて!$J$8:$M$18,11,FALSE)</f>
        <v>4</v>
      </c>
      <c r="V1125" s="81">
        <f>HLOOKUP(O1125,データについて!$J$9:$M$18,10,FALSE)</f>
        <v>4</v>
      </c>
      <c r="W1125" s="81">
        <f>HLOOKUP(P1125,データについて!$J$10:$M$18,9,FALSE)</f>
        <v>1</v>
      </c>
      <c r="X1125" s="81">
        <f>HLOOKUP(Q1125,データについて!$J$11:$M$18,8,FALSE)</f>
        <v>2</v>
      </c>
      <c r="Y1125" s="81">
        <f>HLOOKUP(R1125,データについて!$J$12:$M$18,7,FALSE)</f>
        <v>4</v>
      </c>
      <c r="Z1125" s="81">
        <f>HLOOKUP(I1125,データについて!$J$3:$M$18,16,FALSE)</f>
        <v>2</v>
      </c>
      <c r="AA1125" s="81" t="str">
        <f>IFERROR(HLOOKUP(J1125,データについて!$J$4:$AH$19,16,FALSE),"")</f>
        <v/>
      </c>
      <c r="AB1125" s="81">
        <f>IFERROR(HLOOKUP(K1125,データについて!$J$5:$AH$20,14,FALSE),"")</f>
        <v>0</v>
      </c>
      <c r="AC1125" s="81" t="str">
        <f>IF(X1125=1,HLOOKUP(R1125,データについて!$J$12:$M$18,7,FALSE),"*")</f>
        <v>*</v>
      </c>
      <c r="AD1125" s="81">
        <f>IF(X1125=2,HLOOKUP(R1125,データについて!$J$12:$M$18,7,FALSE),"*")</f>
        <v>4</v>
      </c>
    </row>
    <row r="1126" spans="1:30">
      <c r="A1126" s="30">
        <v>4066</v>
      </c>
      <c r="B1126" s="30" t="s">
        <v>3704</v>
      </c>
      <c r="C1126" s="30" t="s">
        <v>3705</v>
      </c>
      <c r="D1126" s="30" t="s">
        <v>106</v>
      </c>
      <c r="E1126" s="30"/>
      <c r="F1126" s="30" t="s">
        <v>107</v>
      </c>
      <c r="G1126" s="30" t="s">
        <v>106</v>
      </c>
      <c r="H1126" s="30"/>
      <c r="I1126" s="30" t="s">
        <v>191</v>
      </c>
      <c r="J1126" s="30"/>
      <c r="K1126" s="30" t="s">
        <v>2463</v>
      </c>
      <c r="L1126" s="30" t="s">
        <v>117</v>
      </c>
      <c r="M1126" s="30" t="s">
        <v>124</v>
      </c>
      <c r="N1126" s="30" t="s">
        <v>122</v>
      </c>
      <c r="O1126" s="30" t="s">
        <v>115</v>
      </c>
      <c r="P1126" s="30" t="s">
        <v>118</v>
      </c>
      <c r="Q1126" s="30" t="s">
        <v>112</v>
      </c>
      <c r="R1126" s="30" t="s">
        <v>185</v>
      </c>
      <c r="S1126" s="81">
        <f>HLOOKUP(L1126,データについて!$J$6:$M$18,13,FALSE)</f>
        <v>2</v>
      </c>
      <c r="T1126" s="81">
        <f>HLOOKUP(M1126,データについて!$J$7:$M$18,12,FALSE)</f>
        <v>3</v>
      </c>
      <c r="U1126" s="81">
        <f>HLOOKUP(N1126,データについて!$J$8:$M$18,11,FALSE)</f>
        <v>3</v>
      </c>
      <c r="V1126" s="81">
        <f>HLOOKUP(O1126,データについて!$J$9:$M$18,10,FALSE)</f>
        <v>1</v>
      </c>
      <c r="W1126" s="81">
        <f>HLOOKUP(P1126,データについて!$J$10:$M$18,9,FALSE)</f>
        <v>2</v>
      </c>
      <c r="X1126" s="81">
        <f>HLOOKUP(Q1126,データについて!$J$11:$M$18,8,FALSE)</f>
        <v>1</v>
      </c>
      <c r="Y1126" s="81">
        <f>HLOOKUP(R1126,データについて!$J$12:$M$18,7,FALSE)</f>
        <v>2</v>
      </c>
      <c r="Z1126" s="81">
        <f>HLOOKUP(I1126,データについて!$J$3:$M$18,16,FALSE)</f>
        <v>2</v>
      </c>
      <c r="AA1126" s="81" t="str">
        <f>IFERROR(HLOOKUP(J1126,データについて!$J$4:$AH$19,16,FALSE),"")</f>
        <v/>
      </c>
      <c r="AB1126" s="81">
        <f>IFERROR(HLOOKUP(K1126,データについて!$J$5:$AH$20,14,FALSE),"")</f>
        <v>4</v>
      </c>
      <c r="AC1126" s="81">
        <f>IF(X1126=1,HLOOKUP(R1126,データについて!$J$12:$M$18,7,FALSE),"*")</f>
        <v>2</v>
      </c>
      <c r="AD1126" s="81" t="str">
        <f>IF(X1126=2,HLOOKUP(R1126,データについて!$J$12:$M$18,7,FALSE),"*")</f>
        <v>*</v>
      </c>
    </row>
    <row r="1127" spans="1:30">
      <c r="A1127" s="30">
        <v>4065</v>
      </c>
      <c r="B1127" s="30" t="s">
        <v>3706</v>
      </c>
      <c r="C1127" s="30" t="s">
        <v>3707</v>
      </c>
      <c r="D1127" s="30" t="s">
        <v>106</v>
      </c>
      <c r="E1127" s="30"/>
      <c r="F1127" s="30" t="s">
        <v>107</v>
      </c>
      <c r="G1127" s="30" t="s">
        <v>106</v>
      </c>
      <c r="H1127" s="30"/>
      <c r="I1127" s="30" t="s">
        <v>191</v>
      </c>
      <c r="J1127" s="30"/>
      <c r="K1127" s="30" t="s">
        <v>2463</v>
      </c>
      <c r="L1127" s="30" t="s">
        <v>108</v>
      </c>
      <c r="M1127" s="30" t="s">
        <v>113</v>
      </c>
      <c r="N1127" s="30" t="s">
        <v>114</v>
      </c>
      <c r="O1127" s="30" t="s">
        <v>115</v>
      </c>
      <c r="P1127" s="30" t="s">
        <v>112</v>
      </c>
      <c r="Q1127" s="30" t="s">
        <v>112</v>
      </c>
      <c r="R1127" s="30" t="s">
        <v>183</v>
      </c>
      <c r="S1127" s="81">
        <f>HLOOKUP(L1127,データについて!$J$6:$M$18,13,FALSE)</f>
        <v>1</v>
      </c>
      <c r="T1127" s="81">
        <f>HLOOKUP(M1127,データについて!$J$7:$M$18,12,FALSE)</f>
        <v>1</v>
      </c>
      <c r="U1127" s="81">
        <f>HLOOKUP(N1127,データについて!$J$8:$M$18,11,FALSE)</f>
        <v>1</v>
      </c>
      <c r="V1127" s="81">
        <f>HLOOKUP(O1127,データについて!$J$9:$M$18,10,FALSE)</f>
        <v>1</v>
      </c>
      <c r="W1127" s="81">
        <f>HLOOKUP(P1127,データについて!$J$10:$M$18,9,FALSE)</f>
        <v>1</v>
      </c>
      <c r="X1127" s="81">
        <f>HLOOKUP(Q1127,データについて!$J$11:$M$18,8,FALSE)</f>
        <v>1</v>
      </c>
      <c r="Y1127" s="81">
        <f>HLOOKUP(R1127,データについて!$J$12:$M$18,7,FALSE)</f>
        <v>1</v>
      </c>
      <c r="Z1127" s="81">
        <f>HLOOKUP(I1127,データについて!$J$3:$M$18,16,FALSE)</f>
        <v>2</v>
      </c>
      <c r="AA1127" s="81" t="str">
        <f>IFERROR(HLOOKUP(J1127,データについて!$J$4:$AH$19,16,FALSE),"")</f>
        <v/>
      </c>
      <c r="AB1127" s="81">
        <f>IFERROR(HLOOKUP(K1127,データについて!$J$5:$AH$20,14,FALSE),"")</f>
        <v>4</v>
      </c>
      <c r="AC1127" s="81">
        <f>IF(X1127=1,HLOOKUP(R1127,データについて!$J$12:$M$18,7,FALSE),"*")</f>
        <v>1</v>
      </c>
      <c r="AD1127" s="81" t="str">
        <f>IF(X1127=2,HLOOKUP(R1127,データについて!$J$12:$M$18,7,FALSE),"*")</f>
        <v>*</v>
      </c>
    </row>
    <row r="1128" spans="1:30">
      <c r="A1128" s="30">
        <v>4064</v>
      </c>
      <c r="B1128" s="30" t="s">
        <v>3708</v>
      </c>
      <c r="C1128" s="30" t="s">
        <v>3709</v>
      </c>
      <c r="D1128" s="30" t="s">
        <v>106</v>
      </c>
      <c r="E1128" s="30"/>
      <c r="F1128" s="30" t="s">
        <v>107</v>
      </c>
      <c r="G1128" s="30" t="s">
        <v>106</v>
      </c>
      <c r="H1128" s="30"/>
      <c r="I1128" s="30" t="s">
        <v>191</v>
      </c>
      <c r="J1128" s="30"/>
      <c r="K1128" s="30" t="s">
        <v>2463</v>
      </c>
      <c r="L1128" s="30" t="s">
        <v>108</v>
      </c>
      <c r="M1128" s="30" t="s">
        <v>113</v>
      </c>
      <c r="N1128" s="30" t="s">
        <v>119</v>
      </c>
      <c r="O1128" s="30" t="s">
        <v>116</v>
      </c>
      <c r="P1128" s="30" t="s">
        <v>112</v>
      </c>
      <c r="Q1128" s="30" t="s">
        <v>112</v>
      </c>
      <c r="R1128" s="30" t="s">
        <v>185</v>
      </c>
      <c r="S1128" s="81">
        <f>HLOOKUP(L1128,データについて!$J$6:$M$18,13,FALSE)</f>
        <v>1</v>
      </c>
      <c r="T1128" s="81">
        <f>HLOOKUP(M1128,データについて!$J$7:$M$18,12,FALSE)</f>
        <v>1</v>
      </c>
      <c r="U1128" s="81">
        <f>HLOOKUP(N1128,データについて!$J$8:$M$18,11,FALSE)</f>
        <v>4</v>
      </c>
      <c r="V1128" s="81">
        <f>HLOOKUP(O1128,データについて!$J$9:$M$18,10,FALSE)</f>
        <v>2</v>
      </c>
      <c r="W1128" s="81">
        <f>HLOOKUP(P1128,データについて!$J$10:$M$18,9,FALSE)</f>
        <v>1</v>
      </c>
      <c r="X1128" s="81">
        <f>HLOOKUP(Q1128,データについて!$J$11:$M$18,8,FALSE)</f>
        <v>1</v>
      </c>
      <c r="Y1128" s="81">
        <f>HLOOKUP(R1128,データについて!$J$12:$M$18,7,FALSE)</f>
        <v>2</v>
      </c>
      <c r="Z1128" s="81">
        <f>HLOOKUP(I1128,データについて!$J$3:$M$18,16,FALSE)</f>
        <v>2</v>
      </c>
      <c r="AA1128" s="81" t="str">
        <f>IFERROR(HLOOKUP(J1128,データについて!$J$4:$AH$19,16,FALSE),"")</f>
        <v/>
      </c>
      <c r="AB1128" s="81">
        <f>IFERROR(HLOOKUP(K1128,データについて!$J$5:$AH$20,14,FALSE),"")</f>
        <v>4</v>
      </c>
      <c r="AC1128" s="81">
        <f>IF(X1128=1,HLOOKUP(R1128,データについて!$J$12:$M$18,7,FALSE),"*")</f>
        <v>2</v>
      </c>
      <c r="AD1128" s="81" t="str">
        <f>IF(X1128=2,HLOOKUP(R1128,データについて!$J$12:$M$18,7,FALSE),"*")</f>
        <v>*</v>
      </c>
    </row>
    <row r="1129" spans="1:30">
      <c r="A1129" s="30">
        <v>4063</v>
      </c>
      <c r="B1129" s="30" t="s">
        <v>3710</v>
      </c>
      <c r="C1129" s="30" t="s">
        <v>3711</v>
      </c>
      <c r="D1129" s="30" t="s">
        <v>106</v>
      </c>
      <c r="E1129" s="30"/>
      <c r="F1129" s="30" t="s">
        <v>107</v>
      </c>
      <c r="G1129" s="30" t="s">
        <v>106</v>
      </c>
      <c r="H1129" s="30"/>
      <c r="I1129" s="30" t="s">
        <v>191</v>
      </c>
      <c r="J1129" s="30"/>
      <c r="K1129" s="30" t="s">
        <v>2463</v>
      </c>
      <c r="L1129" s="30" t="s">
        <v>108</v>
      </c>
      <c r="M1129" s="30" t="s">
        <v>124</v>
      </c>
      <c r="N1129" s="30" t="s">
        <v>110</v>
      </c>
      <c r="O1129" s="30" t="s">
        <v>115</v>
      </c>
      <c r="P1129" s="30" t="s">
        <v>118</v>
      </c>
      <c r="Q1129" s="30" t="s">
        <v>112</v>
      </c>
      <c r="R1129" s="30" t="s">
        <v>187</v>
      </c>
      <c r="S1129" s="81">
        <f>HLOOKUP(L1129,データについて!$J$6:$M$18,13,FALSE)</f>
        <v>1</v>
      </c>
      <c r="T1129" s="81">
        <f>HLOOKUP(M1129,データについて!$J$7:$M$18,12,FALSE)</f>
        <v>3</v>
      </c>
      <c r="U1129" s="81">
        <f>HLOOKUP(N1129,データについて!$J$8:$M$18,11,FALSE)</f>
        <v>2</v>
      </c>
      <c r="V1129" s="81">
        <f>HLOOKUP(O1129,データについて!$J$9:$M$18,10,FALSE)</f>
        <v>1</v>
      </c>
      <c r="W1129" s="81">
        <f>HLOOKUP(P1129,データについて!$J$10:$M$18,9,FALSE)</f>
        <v>2</v>
      </c>
      <c r="X1129" s="81">
        <f>HLOOKUP(Q1129,データについて!$J$11:$M$18,8,FALSE)</f>
        <v>1</v>
      </c>
      <c r="Y1129" s="81">
        <f>HLOOKUP(R1129,データについて!$J$12:$M$18,7,FALSE)</f>
        <v>3</v>
      </c>
      <c r="Z1129" s="81">
        <f>HLOOKUP(I1129,データについて!$J$3:$M$18,16,FALSE)</f>
        <v>2</v>
      </c>
      <c r="AA1129" s="81" t="str">
        <f>IFERROR(HLOOKUP(J1129,データについて!$J$4:$AH$19,16,FALSE),"")</f>
        <v/>
      </c>
      <c r="AB1129" s="81">
        <f>IFERROR(HLOOKUP(K1129,データについて!$J$5:$AH$20,14,FALSE),"")</f>
        <v>4</v>
      </c>
      <c r="AC1129" s="81">
        <f>IF(X1129=1,HLOOKUP(R1129,データについて!$J$12:$M$18,7,FALSE),"*")</f>
        <v>3</v>
      </c>
      <c r="AD1129" s="81" t="str">
        <f>IF(X1129=2,HLOOKUP(R1129,データについて!$J$12:$M$18,7,FALSE),"*")</f>
        <v>*</v>
      </c>
    </row>
    <row r="1130" spans="1:30">
      <c r="A1130" s="30">
        <v>4062</v>
      </c>
      <c r="B1130" s="30" t="s">
        <v>3712</v>
      </c>
      <c r="C1130" s="30" t="s">
        <v>3713</v>
      </c>
      <c r="D1130" s="30" t="s">
        <v>106</v>
      </c>
      <c r="E1130" s="30"/>
      <c r="F1130" s="30" t="s">
        <v>107</v>
      </c>
      <c r="G1130" s="30" t="s">
        <v>106</v>
      </c>
      <c r="H1130" s="30"/>
      <c r="I1130" s="30" t="s">
        <v>191</v>
      </c>
      <c r="J1130" s="30"/>
      <c r="K1130" s="30" t="s">
        <v>2463</v>
      </c>
      <c r="L1130" s="30" t="s">
        <v>117</v>
      </c>
      <c r="M1130" s="30" t="s">
        <v>109</v>
      </c>
      <c r="N1130" s="30" t="s">
        <v>122</v>
      </c>
      <c r="O1130" s="30" t="s">
        <v>115</v>
      </c>
      <c r="P1130" s="30" t="s">
        <v>112</v>
      </c>
      <c r="Q1130" s="30" t="s">
        <v>112</v>
      </c>
      <c r="R1130" s="30" t="s">
        <v>185</v>
      </c>
      <c r="S1130" s="81">
        <f>HLOOKUP(L1130,データについて!$J$6:$M$18,13,FALSE)</f>
        <v>2</v>
      </c>
      <c r="T1130" s="81">
        <f>HLOOKUP(M1130,データについて!$J$7:$M$18,12,FALSE)</f>
        <v>2</v>
      </c>
      <c r="U1130" s="81">
        <f>HLOOKUP(N1130,データについて!$J$8:$M$18,11,FALSE)</f>
        <v>3</v>
      </c>
      <c r="V1130" s="81">
        <f>HLOOKUP(O1130,データについて!$J$9:$M$18,10,FALSE)</f>
        <v>1</v>
      </c>
      <c r="W1130" s="81">
        <f>HLOOKUP(P1130,データについて!$J$10:$M$18,9,FALSE)</f>
        <v>1</v>
      </c>
      <c r="X1130" s="81">
        <f>HLOOKUP(Q1130,データについて!$J$11:$M$18,8,FALSE)</f>
        <v>1</v>
      </c>
      <c r="Y1130" s="81">
        <f>HLOOKUP(R1130,データについて!$J$12:$M$18,7,FALSE)</f>
        <v>2</v>
      </c>
      <c r="Z1130" s="81">
        <f>HLOOKUP(I1130,データについて!$J$3:$M$18,16,FALSE)</f>
        <v>2</v>
      </c>
      <c r="AA1130" s="81" t="str">
        <f>IFERROR(HLOOKUP(J1130,データについて!$J$4:$AH$19,16,FALSE),"")</f>
        <v/>
      </c>
      <c r="AB1130" s="81">
        <f>IFERROR(HLOOKUP(K1130,データについて!$J$5:$AH$20,14,FALSE),"")</f>
        <v>4</v>
      </c>
      <c r="AC1130" s="81">
        <f>IF(X1130=1,HLOOKUP(R1130,データについて!$J$12:$M$18,7,FALSE),"*")</f>
        <v>2</v>
      </c>
      <c r="AD1130" s="81" t="str">
        <f>IF(X1130=2,HLOOKUP(R1130,データについて!$J$12:$M$18,7,FALSE),"*")</f>
        <v>*</v>
      </c>
    </row>
    <row r="1131" spans="1:30">
      <c r="A1131" s="30">
        <v>4061</v>
      </c>
      <c r="B1131" s="30" t="s">
        <v>3714</v>
      </c>
      <c r="C1131" s="30" t="s">
        <v>3715</v>
      </c>
      <c r="D1131" s="30" t="s">
        <v>106</v>
      </c>
      <c r="E1131" s="30"/>
      <c r="F1131" s="30" t="s">
        <v>107</v>
      </c>
      <c r="G1131" s="30" t="s">
        <v>106</v>
      </c>
      <c r="H1131" s="30"/>
      <c r="I1131" s="30" t="s">
        <v>191</v>
      </c>
      <c r="J1131" s="30"/>
      <c r="K1131" s="30" t="s">
        <v>2463</v>
      </c>
      <c r="L1131" s="30" t="s">
        <v>117</v>
      </c>
      <c r="M1131" s="30" t="s">
        <v>109</v>
      </c>
      <c r="N1131" s="30" t="s">
        <v>122</v>
      </c>
      <c r="O1131" s="30" t="s">
        <v>116</v>
      </c>
      <c r="P1131" s="30" t="s">
        <v>112</v>
      </c>
      <c r="Q1131" s="30" t="s">
        <v>118</v>
      </c>
      <c r="R1131" s="30" t="s">
        <v>189</v>
      </c>
      <c r="S1131" s="81">
        <f>HLOOKUP(L1131,データについて!$J$6:$M$18,13,FALSE)</f>
        <v>2</v>
      </c>
      <c r="T1131" s="81">
        <f>HLOOKUP(M1131,データについて!$J$7:$M$18,12,FALSE)</f>
        <v>2</v>
      </c>
      <c r="U1131" s="81">
        <f>HLOOKUP(N1131,データについて!$J$8:$M$18,11,FALSE)</f>
        <v>3</v>
      </c>
      <c r="V1131" s="81">
        <f>HLOOKUP(O1131,データについて!$J$9:$M$18,10,FALSE)</f>
        <v>2</v>
      </c>
      <c r="W1131" s="81">
        <f>HLOOKUP(P1131,データについて!$J$10:$M$18,9,FALSE)</f>
        <v>1</v>
      </c>
      <c r="X1131" s="81">
        <f>HLOOKUP(Q1131,データについて!$J$11:$M$18,8,FALSE)</f>
        <v>2</v>
      </c>
      <c r="Y1131" s="81">
        <f>HLOOKUP(R1131,データについて!$J$12:$M$18,7,FALSE)</f>
        <v>4</v>
      </c>
      <c r="Z1131" s="81">
        <f>HLOOKUP(I1131,データについて!$J$3:$M$18,16,FALSE)</f>
        <v>2</v>
      </c>
      <c r="AA1131" s="81" t="str">
        <f>IFERROR(HLOOKUP(J1131,データについて!$J$4:$AH$19,16,FALSE),"")</f>
        <v/>
      </c>
      <c r="AB1131" s="81">
        <f>IFERROR(HLOOKUP(K1131,データについて!$J$5:$AH$20,14,FALSE),"")</f>
        <v>4</v>
      </c>
      <c r="AC1131" s="81" t="str">
        <f>IF(X1131=1,HLOOKUP(R1131,データについて!$J$12:$M$18,7,FALSE),"*")</f>
        <v>*</v>
      </c>
      <c r="AD1131" s="81">
        <f>IF(X1131=2,HLOOKUP(R1131,データについて!$J$12:$M$18,7,FALSE),"*")</f>
        <v>4</v>
      </c>
    </row>
    <row r="1132" spans="1:30">
      <c r="A1132" s="30">
        <v>4060</v>
      </c>
      <c r="B1132" s="30" t="s">
        <v>3716</v>
      </c>
      <c r="C1132" s="30" t="s">
        <v>3717</v>
      </c>
      <c r="D1132" s="30" t="s">
        <v>106</v>
      </c>
      <c r="E1132" s="30"/>
      <c r="F1132" s="30" t="s">
        <v>107</v>
      </c>
      <c r="G1132" s="30" t="s">
        <v>106</v>
      </c>
      <c r="H1132" s="30"/>
      <c r="I1132" s="30" t="s">
        <v>191</v>
      </c>
      <c r="J1132" s="30"/>
      <c r="K1132" s="30" t="s">
        <v>2463</v>
      </c>
      <c r="L1132" s="30" t="s">
        <v>117</v>
      </c>
      <c r="M1132" s="30" t="s">
        <v>113</v>
      </c>
      <c r="N1132" s="30" t="s">
        <v>114</v>
      </c>
      <c r="O1132" s="30" t="s">
        <v>115</v>
      </c>
      <c r="P1132" s="30" t="s">
        <v>112</v>
      </c>
      <c r="Q1132" s="30" t="s">
        <v>112</v>
      </c>
      <c r="R1132" s="30" t="s">
        <v>185</v>
      </c>
      <c r="S1132" s="81">
        <f>HLOOKUP(L1132,データについて!$J$6:$M$18,13,FALSE)</f>
        <v>2</v>
      </c>
      <c r="T1132" s="81">
        <f>HLOOKUP(M1132,データについて!$J$7:$M$18,12,FALSE)</f>
        <v>1</v>
      </c>
      <c r="U1132" s="81">
        <f>HLOOKUP(N1132,データについて!$J$8:$M$18,11,FALSE)</f>
        <v>1</v>
      </c>
      <c r="V1132" s="81">
        <f>HLOOKUP(O1132,データについて!$J$9:$M$18,10,FALSE)</f>
        <v>1</v>
      </c>
      <c r="W1132" s="81">
        <f>HLOOKUP(P1132,データについて!$J$10:$M$18,9,FALSE)</f>
        <v>1</v>
      </c>
      <c r="X1132" s="81">
        <f>HLOOKUP(Q1132,データについて!$J$11:$M$18,8,FALSE)</f>
        <v>1</v>
      </c>
      <c r="Y1132" s="81">
        <f>HLOOKUP(R1132,データについて!$J$12:$M$18,7,FALSE)</f>
        <v>2</v>
      </c>
      <c r="Z1132" s="81">
        <f>HLOOKUP(I1132,データについて!$J$3:$M$18,16,FALSE)</f>
        <v>2</v>
      </c>
      <c r="AA1132" s="81" t="str">
        <f>IFERROR(HLOOKUP(J1132,データについて!$J$4:$AH$19,16,FALSE),"")</f>
        <v/>
      </c>
      <c r="AB1132" s="81">
        <f>IFERROR(HLOOKUP(K1132,データについて!$J$5:$AH$20,14,FALSE),"")</f>
        <v>4</v>
      </c>
      <c r="AC1132" s="81">
        <f>IF(X1132=1,HLOOKUP(R1132,データについて!$J$12:$M$18,7,FALSE),"*")</f>
        <v>2</v>
      </c>
      <c r="AD1132" s="81" t="str">
        <f>IF(X1132=2,HLOOKUP(R1132,データについて!$J$12:$M$18,7,FALSE),"*")</f>
        <v>*</v>
      </c>
    </row>
    <row r="1133" spans="1:30">
      <c r="A1133" s="30">
        <v>4059</v>
      </c>
      <c r="B1133" s="30" t="s">
        <v>3718</v>
      </c>
      <c r="C1133" s="30" t="s">
        <v>3719</v>
      </c>
      <c r="D1133" s="30" t="s">
        <v>106</v>
      </c>
      <c r="E1133" s="30"/>
      <c r="F1133" s="30" t="s">
        <v>107</v>
      </c>
      <c r="G1133" s="30" t="s">
        <v>106</v>
      </c>
      <c r="H1133" s="30"/>
      <c r="I1133" s="30" t="s">
        <v>192</v>
      </c>
      <c r="J1133" s="30" t="s">
        <v>127</v>
      </c>
      <c r="K1133" s="30"/>
      <c r="L1133" s="30" t="s">
        <v>108</v>
      </c>
      <c r="M1133" s="30" t="s">
        <v>113</v>
      </c>
      <c r="N1133" s="30" t="s">
        <v>122</v>
      </c>
      <c r="O1133" s="30" t="s">
        <v>115</v>
      </c>
      <c r="P1133" s="30" t="s">
        <v>112</v>
      </c>
      <c r="Q1133" s="30" t="s">
        <v>112</v>
      </c>
      <c r="R1133" s="30" t="s">
        <v>185</v>
      </c>
      <c r="S1133" s="81">
        <f>HLOOKUP(L1133,データについて!$J$6:$M$18,13,FALSE)</f>
        <v>1</v>
      </c>
      <c r="T1133" s="81">
        <f>HLOOKUP(M1133,データについて!$J$7:$M$18,12,FALSE)</f>
        <v>1</v>
      </c>
      <c r="U1133" s="81">
        <f>HLOOKUP(N1133,データについて!$J$8:$M$18,11,FALSE)</f>
        <v>3</v>
      </c>
      <c r="V1133" s="81">
        <f>HLOOKUP(O1133,データについて!$J$9:$M$18,10,FALSE)</f>
        <v>1</v>
      </c>
      <c r="W1133" s="81">
        <f>HLOOKUP(P1133,データについて!$J$10:$M$18,9,FALSE)</f>
        <v>1</v>
      </c>
      <c r="X1133" s="81">
        <f>HLOOKUP(Q1133,データについて!$J$11:$M$18,8,FALSE)</f>
        <v>1</v>
      </c>
      <c r="Y1133" s="81">
        <f>HLOOKUP(R1133,データについて!$J$12:$M$18,7,FALSE)</f>
        <v>2</v>
      </c>
      <c r="Z1133" s="81">
        <f>HLOOKUP(I1133,データについて!$J$3:$M$18,16,FALSE)</f>
        <v>1</v>
      </c>
      <c r="AA1133" s="81">
        <f>IFERROR(HLOOKUP(J1133,データについて!$J$4:$AH$19,16,FALSE),"")</f>
        <v>14</v>
      </c>
      <c r="AB1133" s="81" t="str">
        <f>IFERROR(HLOOKUP(K1133,データについて!$J$5:$AH$20,14,FALSE),"")</f>
        <v/>
      </c>
      <c r="AC1133" s="81">
        <f>IF(X1133=1,HLOOKUP(R1133,データについて!$J$12:$M$18,7,FALSE),"*")</f>
        <v>2</v>
      </c>
      <c r="AD1133" s="81" t="str">
        <f>IF(X1133=2,HLOOKUP(R1133,データについて!$J$12:$M$18,7,FALSE),"*")</f>
        <v>*</v>
      </c>
    </row>
    <row r="1134" spans="1:30">
      <c r="A1134" s="30">
        <v>4058</v>
      </c>
      <c r="B1134" s="30" t="s">
        <v>3720</v>
      </c>
      <c r="C1134" s="30" t="s">
        <v>3721</v>
      </c>
      <c r="D1134" s="30" t="s">
        <v>106</v>
      </c>
      <c r="E1134" s="30"/>
      <c r="F1134" s="30" t="s">
        <v>107</v>
      </c>
      <c r="G1134" s="30" t="s">
        <v>106</v>
      </c>
      <c r="H1134" s="30"/>
      <c r="I1134" s="30" t="s">
        <v>192</v>
      </c>
      <c r="J1134" s="30" t="s">
        <v>546</v>
      </c>
      <c r="K1134" s="30"/>
      <c r="L1134" s="30" t="s">
        <v>117</v>
      </c>
      <c r="M1134" s="30" t="s">
        <v>113</v>
      </c>
      <c r="N1134" s="30" t="s">
        <v>110</v>
      </c>
      <c r="O1134" s="30" t="s">
        <v>115</v>
      </c>
      <c r="P1134" s="30" t="s">
        <v>112</v>
      </c>
      <c r="Q1134" s="30" t="s">
        <v>112</v>
      </c>
      <c r="R1134" s="30" t="s">
        <v>183</v>
      </c>
      <c r="S1134" s="81">
        <f>HLOOKUP(L1134,データについて!$J$6:$M$18,13,FALSE)</f>
        <v>2</v>
      </c>
      <c r="T1134" s="81">
        <f>HLOOKUP(M1134,データについて!$J$7:$M$18,12,FALSE)</f>
        <v>1</v>
      </c>
      <c r="U1134" s="81">
        <f>HLOOKUP(N1134,データについて!$J$8:$M$18,11,FALSE)</f>
        <v>2</v>
      </c>
      <c r="V1134" s="81">
        <f>HLOOKUP(O1134,データについて!$J$9:$M$18,10,FALSE)</f>
        <v>1</v>
      </c>
      <c r="W1134" s="81">
        <f>HLOOKUP(P1134,データについて!$J$10:$M$18,9,FALSE)</f>
        <v>1</v>
      </c>
      <c r="X1134" s="81">
        <f>HLOOKUP(Q1134,データについて!$J$11:$M$18,8,FALSE)</f>
        <v>1</v>
      </c>
      <c r="Y1134" s="81">
        <f>HLOOKUP(R1134,データについて!$J$12:$M$18,7,FALSE)</f>
        <v>1</v>
      </c>
      <c r="Z1134" s="81">
        <f>HLOOKUP(I1134,データについて!$J$3:$M$18,16,FALSE)</f>
        <v>1</v>
      </c>
      <c r="AA1134" s="81">
        <f>IFERROR(HLOOKUP(J1134,データについて!$J$4:$AH$19,16,FALSE),"")</f>
        <v>8</v>
      </c>
      <c r="AB1134" s="81" t="str">
        <f>IFERROR(HLOOKUP(K1134,データについて!$J$5:$AH$20,14,FALSE),"")</f>
        <v/>
      </c>
      <c r="AC1134" s="81">
        <f>IF(X1134=1,HLOOKUP(R1134,データについて!$J$12:$M$18,7,FALSE),"*")</f>
        <v>1</v>
      </c>
      <c r="AD1134" s="81" t="str">
        <f>IF(X1134=2,HLOOKUP(R1134,データについて!$J$12:$M$18,7,FALSE),"*")</f>
        <v>*</v>
      </c>
    </row>
    <row r="1135" spans="1:30">
      <c r="A1135" s="30">
        <v>4057</v>
      </c>
      <c r="B1135" s="30" t="s">
        <v>3722</v>
      </c>
      <c r="C1135" s="30" t="s">
        <v>3723</v>
      </c>
      <c r="D1135" s="30" t="s">
        <v>106</v>
      </c>
      <c r="E1135" s="30"/>
      <c r="F1135" s="30" t="s">
        <v>107</v>
      </c>
      <c r="G1135" s="30" t="s">
        <v>106</v>
      </c>
      <c r="H1135" s="30"/>
      <c r="I1135" s="30" t="s">
        <v>192</v>
      </c>
      <c r="J1135" s="30" t="s">
        <v>546</v>
      </c>
      <c r="K1135" s="30"/>
      <c r="L1135" s="30" t="s">
        <v>108</v>
      </c>
      <c r="M1135" s="30" t="s">
        <v>109</v>
      </c>
      <c r="N1135" s="30" t="s">
        <v>110</v>
      </c>
      <c r="O1135" s="30" t="s">
        <v>115</v>
      </c>
      <c r="P1135" s="30" t="s">
        <v>112</v>
      </c>
      <c r="Q1135" s="30" t="s">
        <v>118</v>
      </c>
      <c r="R1135" s="30" t="s">
        <v>187</v>
      </c>
      <c r="S1135" s="81">
        <f>HLOOKUP(L1135,データについて!$J$6:$M$18,13,FALSE)</f>
        <v>1</v>
      </c>
      <c r="T1135" s="81">
        <f>HLOOKUP(M1135,データについて!$J$7:$M$18,12,FALSE)</f>
        <v>2</v>
      </c>
      <c r="U1135" s="81">
        <f>HLOOKUP(N1135,データについて!$J$8:$M$18,11,FALSE)</f>
        <v>2</v>
      </c>
      <c r="V1135" s="81">
        <f>HLOOKUP(O1135,データについて!$J$9:$M$18,10,FALSE)</f>
        <v>1</v>
      </c>
      <c r="W1135" s="81">
        <f>HLOOKUP(P1135,データについて!$J$10:$M$18,9,FALSE)</f>
        <v>1</v>
      </c>
      <c r="X1135" s="81">
        <f>HLOOKUP(Q1135,データについて!$J$11:$M$18,8,FALSE)</f>
        <v>2</v>
      </c>
      <c r="Y1135" s="81">
        <f>HLOOKUP(R1135,データについて!$J$12:$M$18,7,FALSE)</f>
        <v>3</v>
      </c>
      <c r="Z1135" s="81">
        <f>HLOOKUP(I1135,データについて!$J$3:$M$18,16,FALSE)</f>
        <v>1</v>
      </c>
      <c r="AA1135" s="81">
        <f>IFERROR(HLOOKUP(J1135,データについて!$J$4:$AH$19,16,FALSE),"")</f>
        <v>8</v>
      </c>
      <c r="AB1135" s="81" t="str">
        <f>IFERROR(HLOOKUP(K1135,データについて!$J$5:$AH$20,14,FALSE),"")</f>
        <v/>
      </c>
      <c r="AC1135" s="81" t="str">
        <f>IF(X1135=1,HLOOKUP(R1135,データについて!$J$12:$M$18,7,FALSE),"*")</f>
        <v>*</v>
      </c>
      <c r="AD1135" s="81">
        <f>IF(X1135=2,HLOOKUP(R1135,データについて!$J$12:$M$18,7,FALSE),"*")</f>
        <v>3</v>
      </c>
    </row>
    <row r="1136" spans="1:30">
      <c r="A1136" s="30">
        <v>4056</v>
      </c>
      <c r="B1136" s="30" t="s">
        <v>3724</v>
      </c>
      <c r="C1136" s="30" t="s">
        <v>3725</v>
      </c>
      <c r="D1136" s="30" t="s">
        <v>106</v>
      </c>
      <c r="E1136" s="30"/>
      <c r="F1136" s="30" t="s">
        <v>107</v>
      </c>
      <c r="G1136" s="30" t="s">
        <v>106</v>
      </c>
      <c r="H1136" s="30"/>
      <c r="I1136" s="30" t="s">
        <v>192</v>
      </c>
      <c r="J1136" s="30" t="s">
        <v>546</v>
      </c>
      <c r="K1136" s="30"/>
      <c r="L1136" s="30" t="s">
        <v>108</v>
      </c>
      <c r="M1136" s="30" t="s">
        <v>113</v>
      </c>
      <c r="N1136" s="30" t="s">
        <v>114</v>
      </c>
      <c r="O1136" s="30" t="s">
        <v>123</v>
      </c>
      <c r="P1136" s="30" t="s">
        <v>112</v>
      </c>
      <c r="Q1136" s="30" t="s">
        <v>112</v>
      </c>
      <c r="R1136" s="30" t="s">
        <v>187</v>
      </c>
      <c r="S1136" s="81">
        <f>HLOOKUP(L1136,データについて!$J$6:$M$18,13,FALSE)</f>
        <v>1</v>
      </c>
      <c r="T1136" s="81">
        <f>HLOOKUP(M1136,データについて!$J$7:$M$18,12,FALSE)</f>
        <v>1</v>
      </c>
      <c r="U1136" s="81">
        <f>HLOOKUP(N1136,データについて!$J$8:$M$18,11,FALSE)</f>
        <v>1</v>
      </c>
      <c r="V1136" s="81">
        <f>HLOOKUP(O1136,データについて!$J$9:$M$18,10,FALSE)</f>
        <v>4</v>
      </c>
      <c r="W1136" s="81">
        <f>HLOOKUP(P1136,データについて!$J$10:$M$18,9,FALSE)</f>
        <v>1</v>
      </c>
      <c r="X1136" s="81">
        <f>HLOOKUP(Q1136,データについて!$J$11:$M$18,8,FALSE)</f>
        <v>1</v>
      </c>
      <c r="Y1136" s="81">
        <f>HLOOKUP(R1136,データについて!$J$12:$M$18,7,FALSE)</f>
        <v>3</v>
      </c>
      <c r="Z1136" s="81">
        <f>HLOOKUP(I1136,データについて!$J$3:$M$18,16,FALSE)</f>
        <v>1</v>
      </c>
      <c r="AA1136" s="81">
        <f>IFERROR(HLOOKUP(J1136,データについて!$J$4:$AH$19,16,FALSE),"")</f>
        <v>8</v>
      </c>
      <c r="AB1136" s="81" t="str">
        <f>IFERROR(HLOOKUP(K1136,データについて!$J$5:$AH$20,14,FALSE),"")</f>
        <v/>
      </c>
      <c r="AC1136" s="81">
        <f>IF(X1136=1,HLOOKUP(R1136,データについて!$J$12:$M$18,7,FALSE),"*")</f>
        <v>3</v>
      </c>
      <c r="AD1136" s="81" t="str">
        <f>IF(X1136=2,HLOOKUP(R1136,データについて!$J$12:$M$18,7,FALSE),"*")</f>
        <v>*</v>
      </c>
    </row>
    <row r="1137" spans="1:30">
      <c r="A1137" s="30">
        <v>4055</v>
      </c>
      <c r="B1137" s="30" t="s">
        <v>3726</v>
      </c>
      <c r="C1137" s="30" t="s">
        <v>3727</v>
      </c>
      <c r="D1137" s="30" t="s">
        <v>106</v>
      </c>
      <c r="E1137" s="30"/>
      <c r="F1137" s="30" t="s">
        <v>107</v>
      </c>
      <c r="G1137" s="30" t="s">
        <v>106</v>
      </c>
      <c r="H1137" s="30"/>
      <c r="I1137" s="30" t="s">
        <v>192</v>
      </c>
      <c r="J1137" s="30" t="s">
        <v>546</v>
      </c>
      <c r="K1137" s="30"/>
      <c r="L1137" s="30" t="s">
        <v>108</v>
      </c>
      <c r="M1137" s="30" t="s">
        <v>109</v>
      </c>
      <c r="N1137" s="30" t="s">
        <v>114</v>
      </c>
      <c r="O1137" s="30" t="s">
        <v>115</v>
      </c>
      <c r="P1137" s="30" t="s">
        <v>112</v>
      </c>
      <c r="Q1137" s="30" t="s">
        <v>112</v>
      </c>
      <c r="R1137" s="30" t="s">
        <v>185</v>
      </c>
      <c r="S1137" s="81">
        <f>HLOOKUP(L1137,データについて!$J$6:$M$18,13,FALSE)</f>
        <v>1</v>
      </c>
      <c r="T1137" s="81">
        <f>HLOOKUP(M1137,データについて!$J$7:$M$18,12,FALSE)</f>
        <v>2</v>
      </c>
      <c r="U1137" s="81">
        <f>HLOOKUP(N1137,データについて!$J$8:$M$18,11,FALSE)</f>
        <v>1</v>
      </c>
      <c r="V1137" s="81">
        <f>HLOOKUP(O1137,データについて!$J$9:$M$18,10,FALSE)</f>
        <v>1</v>
      </c>
      <c r="W1137" s="81">
        <f>HLOOKUP(P1137,データについて!$J$10:$M$18,9,FALSE)</f>
        <v>1</v>
      </c>
      <c r="X1137" s="81">
        <f>HLOOKUP(Q1137,データについて!$J$11:$M$18,8,FALSE)</f>
        <v>1</v>
      </c>
      <c r="Y1137" s="81">
        <f>HLOOKUP(R1137,データについて!$J$12:$M$18,7,FALSE)</f>
        <v>2</v>
      </c>
      <c r="Z1137" s="81">
        <f>HLOOKUP(I1137,データについて!$J$3:$M$18,16,FALSE)</f>
        <v>1</v>
      </c>
      <c r="AA1137" s="81">
        <f>IFERROR(HLOOKUP(J1137,データについて!$J$4:$AH$19,16,FALSE),"")</f>
        <v>8</v>
      </c>
      <c r="AB1137" s="81" t="str">
        <f>IFERROR(HLOOKUP(K1137,データについて!$J$5:$AH$20,14,FALSE),"")</f>
        <v/>
      </c>
      <c r="AC1137" s="81">
        <f>IF(X1137=1,HLOOKUP(R1137,データについて!$J$12:$M$18,7,FALSE),"*")</f>
        <v>2</v>
      </c>
      <c r="AD1137" s="81" t="str">
        <f>IF(X1137=2,HLOOKUP(R1137,データについて!$J$12:$M$18,7,FALSE),"*")</f>
        <v>*</v>
      </c>
    </row>
    <row r="1138" spans="1:30">
      <c r="A1138" s="30">
        <v>4054</v>
      </c>
      <c r="B1138" s="30" t="s">
        <v>3728</v>
      </c>
      <c r="C1138" s="30" t="s">
        <v>3729</v>
      </c>
      <c r="D1138" s="30" t="s">
        <v>106</v>
      </c>
      <c r="E1138" s="30"/>
      <c r="F1138" s="30" t="s">
        <v>107</v>
      </c>
      <c r="G1138" s="30" t="s">
        <v>106</v>
      </c>
      <c r="H1138" s="30"/>
      <c r="I1138" s="30" t="s">
        <v>192</v>
      </c>
      <c r="J1138" s="30" t="s">
        <v>546</v>
      </c>
      <c r="K1138" s="30"/>
      <c r="L1138" s="30" t="s">
        <v>117</v>
      </c>
      <c r="M1138" s="30" t="s">
        <v>109</v>
      </c>
      <c r="N1138" s="30" t="s">
        <v>110</v>
      </c>
      <c r="O1138" s="30" t="s">
        <v>115</v>
      </c>
      <c r="P1138" s="30" t="s">
        <v>112</v>
      </c>
      <c r="Q1138" s="30" t="s">
        <v>112</v>
      </c>
      <c r="R1138" s="30" t="s">
        <v>185</v>
      </c>
      <c r="S1138" s="81">
        <f>HLOOKUP(L1138,データについて!$J$6:$M$18,13,FALSE)</f>
        <v>2</v>
      </c>
      <c r="T1138" s="81">
        <f>HLOOKUP(M1138,データについて!$J$7:$M$18,12,FALSE)</f>
        <v>2</v>
      </c>
      <c r="U1138" s="81">
        <f>HLOOKUP(N1138,データについて!$J$8:$M$18,11,FALSE)</f>
        <v>2</v>
      </c>
      <c r="V1138" s="81">
        <f>HLOOKUP(O1138,データについて!$J$9:$M$18,10,FALSE)</f>
        <v>1</v>
      </c>
      <c r="W1138" s="81">
        <f>HLOOKUP(P1138,データについて!$J$10:$M$18,9,FALSE)</f>
        <v>1</v>
      </c>
      <c r="X1138" s="81">
        <f>HLOOKUP(Q1138,データについて!$J$11:$M$18,8,FALSE)</f>
        <v>1</v>
      </c>
      <c r="Y1138" s="81">
        <f>HLOOKUP(R1138,データについて!$J$12:$M$18,7,FALSE)</f>
        <v>2</v>
      </c>
      <c r="Z1138" s="81">
        <f>HLOOKUP(I1138,データについて!$J$3:$M$18,16,FALSE)</f>
        <v>1</v>
      </c>
      <c r="AA1138" s="81">
        <f>IFERROR(HLOOKUP(J1138,データについて!$J$4:$AH$19,16,FALSE),"")</f>
        <v>8</v>
      </c>
      <c r="AB1138" s="81" t="str">
        <f>IFERROR(HLOOKUP(K1138,データについて!$J$5:$AH$20,14,FALSE),"")</f>
        <v/>
      </c>
      <c r="AC1138" s="81">
        <f>IF(X1138=1,HLOOKUP(R1138,データについて!$J$12:$M$18,7,FALSE),"*")</f>
        <v>2</v>
      </c>
      <c r="AD1138" s="81" t="str">
        <f>IF(X1138=2,HLOOKUP(R1138,データについて!$J$12:$M$18,7,FALSE),"*")</f>
        <v>*</v>
      </c>
    </row>
    <row r="1139" spans="1:30">
      <c r="A1139" s="30">
        <v>4053</v>
      </c>
      <c r="B1139" s="30" t="s">
        <v>3730</v>
      </c>
      <c r="C1139" s="30" t="s">
        <v>3731</v>
      </c>
      <c r="D1139" s="30" t="s">
        <v>106</v>
      </c>
      <c r="E1139" s="30"/>
      <c r="F1139" s="30" t="s">
        <v>107</v>
      </c>
      <c r="G1139" s="30" t="s">
        <v>106</v>
      </c>
      <c r="H1139" s="30"/>
      <c r="I1139" s="30" t="s">
        <v>192</v>
      </c>
      <c r="J1139" s="30" t="s">
        <v>546</v>
      </c>
      <c r="K1139" s="30"/>
      <c r="L1139" s="30" t="s">
        <v>108</v>
      </c>
      <c r="M1139" s="30" t="s">
        <v>113</v>
      </c>
      <c r="N1139" s="30" t="s">
        <v>114</v>
      </c>
      <c r="O1139" s="30" t="s">
        <v>115</v>
      </c>
      <c r="P1139" s="30" t="s">
        <v>112</v>
      </c>
      <c r="Q1139" s="30" t="s">
        <v>118</v>
      </c>
      <c r="R1139" s="30" t="s">
        <v>185</v>
      </c>
      <c r="S1139" s="81">
        <f>HLOOKUP(L1139,データについて!$J$6:$M$18,13,FALSE)</f>
        <v>1</v>
      </c>
      <c r="T1139" s="81">
        <f>HLOOKUP(M1139,データについて!$J$7:$M$18,12,FALSE)</f>
        <v>1</v>
      </c>
      <c r="U1139" s="81">
        <f>HLOOKUP(N1139,データについて!$J$8:$M$18,11,FALSE)</f>
        <v>1</v>
      </c>
      <c r="V1139" s="81">
        <f>HLOOKUP(O1139,データについて!$J$9:$M$18,10,FALSE)</f>
        <v>1</v>
      </c>
      <c r="W1139" s="81">
        <f>HLOOKUP(P1139,データについて!$J$10:$M$18,9,FALSE)</f>
        <v>1</v>
      </c>
      <c r="X1139" s="81">
        <f>HLOOKUP(Q1139,データについて!$J$11:$M$18,8,FALSE)</f>
        <v>2</v>
      </c>
      <c r="Y1139" s="81">
        <f>HLOOKUP(R1139,データについて!$J$12:$M$18,7,FALSE)</f>
        <v>2</v>
      </c>
      <c r="Z1139" s="81">
        <f>HLOOKUP(I1139,データについて!$J$3:$M$18,16,FALSE)</f>
        <v>1</v>
      </c>
      <c r="AA1139" s="81">
        <f>IFERROR(HLOOKUP(J1139,データについて!$J$4:$AH$19,16,FALSE),"")</f>
        <v>8</v>
      </c>
      <c r="AB1139" s="81" t="str">
        <f>IFERROR(HLOOKUP(K1139,データについて!$J$5:$AH$20,14,FALSE),"")</f>
        <v/>
      </c>
      <c r="AC1139" s="81" t="str">
        <f>IF(X1139=1,HLOOKUP(R1139,データについて!$J$12:$M$18,7,FALSE),"*")</f>
        <v>*</v>
      </c>
      <c r="AD1139" s="81">
        <f>IF(X1139=2,HLOOKUP(R1139,データについて!$J$12:$M$18,7,FALSE),"*")</f>
        <v>2</v>
      </c>
    </row>
    <row r="1140" spans="1:30">
      <c r="A1140" s="30">
        <v>4052</v>
      </c>
      <c r="B1140" s="30" t="s">
        <v>3732</v>
      </c>
      <c r="C1140" s="30" t="s">
        <v>3733</v>
      </c>
      <c r="D1140" s="30" t="s">
        <v>106</v>
      </c>
      <c r="E1140" s="30"/>
      <c r="F1140" s="30" t="s">
        <v>107</v>
      </c>
      <c r="G1140" s="30" t="s">
        <v>106</v>
      </c>
      <c r="H1140" s="30"/>
      <c r="I1140" s="30" t="s">
        <v>192</v>
      </c>
      <c r="J1140" s="30" t="s">
        <v>546</v>
      </c>
      <c r="K1140" s="30"/>
      <c r="L1140" s="30" t="s">
        <v>117</v>
      </c>
      <c r="M1140" s="30" t="s">
        <v>113</v>
      </c>
      <c r="N1140" s="30" t="s">
        <v>114</v>
      </c>
      <c r="O1140" s="30" t="s">
        <v>115</v>
      </c>
      <c r="P1140" s="30" t="s">
        <v>112</v>
      </c>
      <c r="Q1140" s="30" t="s">
        <v>112</v>
      </c>
      <c r="R1140" s="30" t="s">
        <v>185</v>
      </c>
      <c r="S1140" s="81">
        <f>HLOOKUP(L1140,データについて!$J$6:$M$18,13,FALSE)</f>
        <v>2</v>
      </c>
      <c r="T1140" s="81">
        <f>HLOOKUP(M1140,データについて!$J$7:$M$18,12,FALSE)</f>
        <v>1</v>
      </c>
      <c r="U1140" s="81">
        <f>HLOOKUP(N1140,データについて!$J$8:$M$18,11,FALSE)</f>
        <v>1</v>
      </c>
      <c r="V1140" s="81">
        <f>HLOOKUP(O1140,データについて!$J$9:$M$18,10,FALSE)</f>
        <v>1</v>
      </c>
      <c r="W1140" s="81">
        <f>HLOOKUP(P1140,データについて!$J$10:$M$18,9,FALSE)</f>
        <v>1</v>
      </c>
      <c r="X1140" s="81">
        <f>HLOOKUP(Q1140,データについて!$J$11:$M$18,8,FALSE)</f>
        <v>1</v>
      </c>
      <c r="Y1140" s="81">
        <f>HLOOKUP(R1140,データについて!$J$12:$M$18,7,FALSE)</f>
        <v>2</v>
      </c>
      <c r="Z1140" s="81">
        <f>HLOOKUP(I1140,データについて!$J$3:$M$18,16,FALSE)</f>
        <v>1</v>
      </c>
      <c r="AA1140" s="81">
        <f>IFERROR(HLOOKUP(J1140,データについて!$J$4:$AH$19,16,FALSE),"")</f>
        <v>8</v>
      </c>
      <c r="AB1140" s="81" t="str">
        <f>IFERROR(HLOOKUP(K1140,データについて!$J$5:$AH$20,14,FALSE),"")</f>
        <v/>
      </c>
      <c r="AC1140" s="81">
        <f>IF(X1140=1,HLOOKUP(R1140,データについて!$J$12:$M$18,7,FALSE),"*")</f>
        <v>2</v>
      </c>
      <c r="AD1140" s="81" t="str">
        <f>IF(X1140=2,HLOOKUP(R1140,データについて!$J$12:$M$18,7,FALSE),"*")</f>
        <v>*</v>
      </c>
    </row>
    <row r="1141" spans="1:30">
      <c r="A1141" s="30">
        <v>4051</v>
      </c>
      <c r="B1141" s="30" t="s">
        <v>3734</v>
      </c>
      <c r="C1141" s="30" t="s">
        <v>3735</v>
      </c>
      <c r="D1141" s="30" t="s">
        <v>106</v>
      </c>
      <c r="E1141" s="30"/>
      <c r="F1141" s="30" t="s">
        <v>107</v>
      </c>
      <c r="G1141" s="30" t="s">
        <v>106</v>
      </c>
      <c r="H1141" s="30"/>
      <c r="I1141" s="30" t="s">
        <v>192</v>
      </c>
      <c r="J1141" s="30" t="s">
        <v>546</v>
      </c>
      <c r="K1141" s="30"/>
      <c r="L1141" s="30" t="s">
        <v>117</v>
      </c>
      <c r="M1141" s="30" t="s">
        <v>113</v>
      </c>
      <c r="N1141" s="30" t="s">
        <v>114</v>
      </c>
      <c r="O1141" s="30" t="s">
        <v>115</v>
      </c>
      <c r="P1141" s="30" t="s">
        <v>112</v>
      </c>
      <c r="Q1141" s="30" t="s">
        <v>112</v>
      </c>
      <c r="R1141" s="30" t="s">
        <v>185</v>
      </c>
      <c r="S1141" s="81">
        <f>HLOOKUP(L1141,データについて!$J$6:$M$18,13,FALSE)</f>
        <v>2</v>
      </c>
      <c r="T1141" s="81">
        <f>HLOOKUP(M1141,データについて!$J$7:$M$18,12,FALSE)</f>
        <v>1</v>
      </c>
      <c r="U1141" s="81">
        <f>HLOOKUP(N1141,データについて!$J$8:$M$18,11,FALSE)</f>
        <v>1</v>
      </c>
      <c r="V1141" s="81">
        <f>HLOOKUP(O1141,データについて!$J$9:$M$18,10,FALSE)</f>
        <v>1</v>
      </c>
      <c r="W1141" s="81">
        <f>HLOOKUP(P1141,データについて!$J$10:$M$18,9,FALSE)</f>
        <v>1</v>
      </c>
      <c r="X1141" s="81">
        <f>HLOOKUP(Q1141,データについて!$J$11:$M$18,8,FALSE)</f>
        <v>1</v>
      </c>
      <c r="Y1141" s="81">
        <f>HLOOKUP(R1141,データについて!$J$12:$M$18,7,FALSE)</f>
        <v>2</v>
      </c>
      <c r="Z1141" s="81">
        <f>HLOOKUP(I1141,データについて!$J$3:$M$18,16,FALSE)</f>
        <v>1</v>
      </c>
      <c r="AA1141" s="81">
        <f>IFERROR(HLOOKUP(J1141,データについて!$J$4:$AH$19,16,FALSE),"")</f>
        <v>8</v>
      </c>
      <c r="AB1141" s="81" t="str">
        <f>IFERROR(HLOOKUP(K1141,データについて!$J$5:$AH$20,14,FALSE),"")</f>
        <v/>
      </c>
      <c r="AC1141" s="81">
        <f>IF(X1141=1,HLOOKUP(R1141,データについて!$J$12:$M$18,7,FALSE),"*")</f>
        <v>2</v>
      </c>
      <c r="AD1141" s="81" t="str">
        <f>IF(X1141=2,HLOOKUP(R1141,データについて!$J$12:$M$18,7,FALSE),"*")</f>
        <v>*</v>
      </c>
    </row>
    <row r="1142" spans="1:30">
      <c r="A1142" s="30">
        <v>4050</v>
      </c>
      <c r="B1142" s="30" t="s">
        <v>3736</v>
      </c>
      <c r="C1142" s="30" t="s">
        <v>3737</v>
      </c>
      <c r="D1142" s="30" t="s">
        <v>106</v>
      </c>
      <c r="E1142" s="30"/>
      <c r="F1142" s="30" t="s">
        <v>107</v>
      </c>
      <c r="G1142" s="30" t="s">
        <v>106</v>
      </c>
      <c r="H1142" s="30"/>
      <c r="I1142" s="30" t="s">
        <v>192</v>
      </c>
      <c r="J1142" s="30" t="s">
        <v>546</v>
      </c>
      <c r="K1142" s="30"/>
      <c r="L1142" s="30" t="s">
        <v>117</v>
      </c>
      <c r="M1142" s="30" t="s">
        <v>113</v>
      </c>
      <c r="N1142" s="30" t="s">
        <v>110</v>
      </c>
      <c r="O1142" s="30" t="s">
        <v>115</v>
      </c>
      <c r="P1142" s="30" t="s">
        <v>112</v>
      </c>
      <c r="Q1142" s="30" t="s">
        <v>112</v>
      </c>
      <c r="R1142" s="30" t="s">
        <v>185</v>
      </c>
      <c r="S1142" s="81">
        <f>HLOOKUP(L1142,データについて!$J$6:$M$18,13,FALSE)</f>
        <v>2</v>
      </c>
      <c r="T1142" s="81">
        <f>HLOOKUP(M1142,データについて!$J$7:$M$18,12,FALSE)</f>
        <v>1</v>
      </c>
      <c r="U1142" s="81">
        <f>HLOOKUP(N1142,データについて!$J$8:$M$18,11,FALSE)</f>
        <v>2</v>
      </c>
      <c r="V1142" s="81">
        <f>HLOOKUP(O1142,データについて!$J$9:$M$18,10,FALSE)</f>
        <v>1</v>
      </c>
      <c r="W1142" s="81">
        <f>HLOOKUP(P1142,データについて!$J$10:$M$18,9,FALSE)</f>
        <v>1</v>
      </c>
      <c r="X1142" s="81">
        <f>HLOOKUP(Q1142,データについて!$J$11:$M$18,8,FALSE)</f>
        <v>1</v>
      </c>
      <c r="Y1142" s="81">
        <f>HLOOKUP(R1142,データについて!$J$12:$M$18,7,FALSE)</f>
        <v>2</v>
      </c>
      <c r="Z1142" s="81">
        <f>HLOOKUP(I1142,データについて!$J$3:$M$18,16,FALSE)</f>
        <v>1</v>
      </c>
      <c r="AA1142" s="81">
        <f>IFERROR(HLOOKUP(J1142,データについて!$J$4:$AH$19,16,FALSE),"")</f>
        <v>8</v>
      </c>
      <c r="AB1142" s="81" t="str">
        <f>IFERROR(HLOOKUP(K1142,データについて!$J$5:$AH$20,14,FALSE),"")</f>
        <v/>
      </c>
      <c r="AC1142" s="81">
        <f>IF(X1142=1,HLOOKUP(R1142,データについて!$J$12:$M$18,7,FALSE),"*")</f>
        <v>2</v>
      </c>
      <c r="AD1142" s="81" t="str">
        <f>IF(X1142=2,HLOOKUP(R1142,データについて!$J$12:$M$18,7,FALSE),"*")</f>
        <v>*</v>
      </c>
    </row>
    <row r="1143" spans="1:30">
      <c r="A1143" s="30">
        <v>4049</v>
      </c>
      <c r="B1143" s="30" t="s">
        <v>3738</v>
      </c>
      <c r="C1143" s="30" t="s">
        <v>3739</v>
      </c>
      <c r="D1143" s="30" t="s">
        <v>106</v>
      </c>
      <c r="E1143" s="30"/>
      <c r="F1143" s="30" t="s">
        <v>107</v>
      </c>
      <c r="G1143" s="30" t="s">
        <v>106</v>
      </c>
      <c r="H1143" s="30"/>
      <c r="I1143" s="30" t="s">
        <v>192</v>
      </c>
      <c r="J1143" s="30" t="s">
        <v>546</v>
      </c>
      <c r="K1143" s="30"/>
      <c r="L1143" s="30" t="s">
        <v>117</v>
      </c>
      <c r="M1143" s="30" t="s">
        <v>109</v>
      </c>
      <c r="N1143" s="30" t="s">
        <v>110</v>
      </c>
      <c r="O1143" s="30" t="s">
        <v>116</v>
      </c>
      <c r="P1143" s="30" t="s">
        <v>112</v>
      </c>
      <c r="Q1143" s="30" t="s">
        <v>112</v>
      </c>
      <c r="R1143" s="30" t="s">
        <v>185</v>
      </c>
      <c r="S1143" s="81">
        <f>HLOOKUP(L1143,データについて!$J$6:$M$18,13,FALSE)</f>
        <v>2</v>
      </c>
      <c r="T1143" s="81">
        <f>HLOOKUP(M1143,データについて!$J$7:$M$18,12,FALSE)</f>
        <v>2</v>
      </c>
      <c r="U1143" s="81">
        <f>HLOOKUP(N1143,データについて!$J$8:$M$18,11,FALSE)</f>
        <v>2</v>
      </c>
      <c r="V1143" s="81">
        <f>HLOOKUP(O1143,データについて!$J$9:$M$18,10,FALSE)</f>
        <v>2</v>
      </c>
      <c r="W1143" s="81">
        <f>HLOOKUP(P1143,データについて!$J$10:$M$18,9,FALSE)</f>
        <v>1</v>
      </c>
      <c r="X1143" s="81">
        <f>HLOOKUP(Q1143,データについて!$J$11:$M$18,8,FALSE)</f>
        <v>1</v>
      </c>
      <c r="Y1143" s="81">
        <f>HLOOKUP(R1143,データについて!$J$12:$M$18,7,FALSE)</f>
        <v>2</v>
      </c>
      <c r="Z1143" s="81">
        <f>HLOOKUP(I1143,データについて!$J$3:$M$18,16,FALSE)</f>
        <v>1</v>
      </c>
      <c r="AA1143" s="81">
        <f>IFERROR(HLOOKUP(J1143,データについて!$J$4:$AH$19,16,FALSE),"")</f>
        <v>8</v>
      </c>
      <c r="AB1143" s="81" t="str">
        <f>IFERROR(HLOOKUP(K1143,データについて!$J$5:$AH$20,14,FALSE),"")</f>
        <v/>
      </c>
      <c r="AC1143" s="81">
        <f>IF(X1143=1,HLOOKUP(R1143,データについて!$J$12:$M$18,7,FALSE),"*")</f>
        <v>2</v>
      </c>
      <c r="AD1143" s="81" t="str">
        <f>IF(X1143=2,HLOOKUP(R1143,データについて!$J$12:$M$18,7,FALSE),"*")</f>
        <v>*</v>
      </c>
    </row>
    <row r="1144" spans="1:30">
      <c r="A1144" s="30">
        <v>4048</v>
      </c>
      <c r="B1144" s="30" t="s">
        <v>3740</v>
      </c>
      <c r="C1144" s="30" t="s">
        <v>3741</v>
      </c>
      <c r="D1144" s="30" t="s">
        <v>106</v>
      </c>
      <c r="E1144" s="30"/>
      <c r="F1144" s="30" t="s">
        <v>107</v>
      </c>
      <c r="G1144" s="30" t="s">
        <v>106</v>
      </c>
      <c r="H1144" s="30"/>
      <c r="I1144" s="30" t="s">
        <v>192</v>
      </c>
      <c r="J1144" s="30" t="s">
        <v>546</v>
      </c>
      <c r="K1144" s="30"/>
      <c r="L1144" s="30" t="s">
        <v>117</v>
      </c>
      <c r="M1144" s="30" t="s">
        <v>113</v>
      </c>
      <c r="N1144" s="30" t="s">
        <v>122</v>
      </c>
      <c r="O1144" s="30" t="s">
        <v>115</v>
      </c>
      <c r="P1144" s="30" t="s">
        <v>112</v>
      </c>
      <c r="Q1144" s="30" t="s">
        <v>112</v>
      </c>
      <c r="R1144" s="30" t="s">
        <v>185</v>
      </c>
      <c r="S1144" s="81">
        <f>HLOOKUP(L1144,データについて!$J$6:$M$18,13,FALSE)</f>
        <v>2</v>
      </c>
      <c r="T1144" s="81">
        <f>HLOOKUP(M1144,データについて!$J$7:$M$18,12,FALSE)</f>
        <v>1</v>
      </c>
      <c r="U1144" s="81">
        <f>HLOOKUP(N1144,データについて!$J$8:$M$18,11,FALSE)</f>
        <v>3</v>
      </c>
      <c r="V1144" s="81">
        <f>HLOOKUP(O1144,データについて!$J$9:$M$18,10,FALSE)</f>
        <v>1</v>
      </c>
      <c r="W1144" s="81">
        <f>HLOOKUP(P1144,データについて!$J$10:$M$18,9,FALSE)</f>
        <v>1</v>
      </c>
      <c r="X1144" s="81">
        <f>HLOOKUP(Q1144,データについて!$J$11:$M$18,8,FALSE)</f>
        <v>1</v>
      </c>
      <c r="Y1144" s="81">
        <f>HLOOKUP(R1144,データについて!$J$12:$M$18,7,FALSE)</f>
        <v>2</v>
      </c>
      <c r="Z1144" s="81">
        <f>HLOOKUP(I1144,データについて!$J$3:$M$18,16,FALSE)</f>
        <v>1</v>
      </c>
      <c r="AA1144" s="81">
        <f>IFERROR(HLOOKUP(J1144,データについて!$J$4:$AH$19,16,FALSE),"")</f>
        <v>8</v>
      </c>
      <c r="AB1144" s="81" t="str">
        <f>IFERROR(HLOOKUP(K1144,データについて!$J$5:$AH$20,14,FALSE),"")</f>
        <v/>
      </c>
      <c r="AC1144" s="81">
        <f>IF(X1144=1,HLOOKUP(R1144,データについて!$J$12:$M$18,7,FALSE),"*")</f>
        <v>2</v>
      </c>
      <c r="AD1144" s="81" t="str">
        <f>IF(X1144=2,HLOOKUP(R1144,データについて!$J$12:$M$18,7,FALSE),"*")</f>
        <v>*</v>
      </c>
    </row>
    <row r="1145" spans="1:30">
      <c r="A1145" s="30">
        <v>4047</v>
      </c>
      <c r="B1145" s="30" t="s">
        <v>3742</v>
      </c>
      <c r="C1145" s="30" t="s">
        <v>3743</v>
      </c>
      <c r="D1145" s="30" t="s">
        <v>106</v>
      </c>
      <c r="E1145" s="30"/>
      <c r="F1145" s="30" t="s">
        <v>107</v>
      </c>
      <c r="G1145" s="30" t="s">
        <v>106</v>
      </c>
      <c r="H1145" s="30"/>
      <c r="I1145" s="30" t="s">
        <v>192</v>
      </c>
      <c r="J1145" s="30" t="s">
        <v>546</v>
      </c>
      <c r="K1145" s="30"/>
      <c r="L1145" s="30" t="s">
        <v>108</v>
      </c>
      <c r="M1145" s="30" t="s">
        <v>113</v>
      </c>
      <c r="N1145" s="30" t="s">
        <v>110</v>
      </c>
      <c r="O1145" s="30" t="s">
        <v>115</v>
      </c>
      <c r="P1145" s="30" t="s">
        <v>112</v>
      </c>
      <c r="Q1145" s="30" t="s">
        <v>112</v>
      </c>
      <c r="R1145" s="30" t="s">
        <v>185</v>
      </c>
      <c r="S1145" s="81">
        <f>HLOOKUP(L1145,データについて!$J$6:$M$18,13,FALSE)</f>
        <v>1</v>
      </c>
      <c r="T1145" s="81">
        <f>HLOOKUP(M1145,データについて!$J$7:$M$18,12,FALSE)</f>
        <v>1</v>
      </c>
      <c r="U1145" s="81">
        <f>HLOOKUP(N1145,データについて!$J$8:$M$18,11,FALSE)</f>
        <v>2</v>
      </c>
      <c r="V1145" s="81">
        <f>HLOOKUP(O1145,データについて!$J$9:$M$18,10,FALSE)</f>
        <v>1</v>
      </c>
      <c r="W1145" s="81">
        <f>HLOOKUP(P1145,データについて!$J$10:$M$18,9,FALSE)</f>
        <v>1</v>
      </c>
      <c r="X1145" s="81">
        <f>HLOOKUP(Q1145,データについて!$J$11:$M$18,8,FALSE)</f>
        <v>1</v>
      </c>
      <c r="Y1145" s="81">
        <f>HLOOKUP(R1145,データについて!$J$12:$M$18,7,FALSE)</f>
        <v>2</v>
      </c>
      <c r="Z1145" s="81">
        <f>HLOOKUP(I1145,データについて!$J$3:$M$18,16,FALSE)</f>
        <v>1</v>
      </c>
      <c r="AA1145" s="81">
        <f>IFERROR(HLOOKUP(J1145,データについて!$J$4:$AH$19,16,FALSE),"")</f>
        <v>8</v>
      </c>
      <c r="AB1145" s="81" t="str">
        <f>IFERROR(HLOOKUP(K1145,データについて!$J$5:$AH$20,14,FALSE),"")</f>
        <v/>
      </c>
      <c r="AC1145" s="81">
        <f>IF(X1145=1,HLOOKUP(R1145,データについて!$J$12:$M$18,7,FALSE),"*")</f>
        <v>2</v>
      </c>
      <c r="AD1145" s="81" t="str">
        <f>IF(X1145=2,HLOOKUP(R1145,データについて!$J$12:$M$18,7,FALSE),"*")</f>
        <v>*</v>
      </c>
    </row>
    <row r="1146" spans="1:30">
      <c r="A1146" s="30">
        <v>4046</v>
      </c>
      <c r="B1146" s="30" t="s">
        <v>3744</v>
      </c>
      <c r="C1146" s="30" t="s">
        <v>3745</v>
      </c>
      <c r="D1146" s="30" t="s">
        <v>106</v>
      </c>
      <c r="E1146" s="30"/>
      <c r="F1146" s="30" t="s">
        <v>107</v>
      </c>
      <c r="G1146" s="30" t="s">
        <v>106</v>
      </c>
      <c r="H1146" s="30"/>
      <c r="I1146" s="30" t="s">
        <v>192</v>
      </c>
      <c r="J1146" s="30" t="s">
        <v>546</v>
      </c>
      <c r="K1146" s="30"/>
      <c r="L1146" s="30" t="s">
        <v>108</v>
      </c>
      <c r="M1146" s="30" t="s">
        <v>113</v>
      </c>
      <c r="N1146" s="30" t="s">
        <v>114</v>
      </c>
      <c r="O1146" s="30" t="s">
        <v>115</v>
      </c>
      <c r="P1146" s="30" t="s">
        <v>112</v>
      </c>
      <c r="Q1146" s="30" t="s">
        <v>112</v>
      </c>
      <c r="R1146" s="30" t="s">
        <v>185</v>
      </c>
      <c r="S1146" s="81">
        <f>HLOOKUP(L1146,データについて!$J$6:$M$18,13,FALSE)</f>
        <v>1</v>
      </c>
      <c r="T1146" s="81">
        <f>HLOOKUP(M1146,データについて!$J$7:$M$18,12,FALSE)</f>
        <v>1</v>
      </c>
      <c r="U1146" s="81">
        <f>HLOOKUP(N1146,データについて!$J$8:$M$18,11,FALSE)</f>
        <v>1</v>
      </c>
      <c r="V1146" s="81">
        <f>HLOOKUP(O1146,データについて!$J$9:$M$18,10,FALSE)</f>
        <v>1</v>
      </c>
      <c r="W1146" s="81">
        <f>HLOOKUP(P1146,データについて!$J$10:$M$18,9,FALSE)</f>
        <v>1</v>
      </c>
      <c r="X1146" s="81">
        <f>HLOOKUP(Q1146,データについて!$J$11:$M$18,8,FALSE)</f>
        <v>1</v>
      </c>
      <c r="Y1146" s="81">
        <f>HLOOKUP(R1146,データについて!$J$12:$M$18,7,FALSE)</f>
        <v>2</v>
      </c>
      <c r="Z1146" s="81">
        <f>HLOOKUP(I1146,データについて!$J$3:$M$18,16,FALSE)</f>
        <v>1</v>
      </c>
      <c r="AA1146" s="81">
        <f>IFERROR(HLOOKUP(J1146,データについて!$J$4:$AH$19,16,FALSE),"")</f>
        <v>8</v>
      </c>
      <c r="AB1146" s="81" t="str">
        <f>IFERROR(HLOOKUP(K1146,データについて!$J$5:$AH$20,14,FALSE),"")</f>
        <v/>
      </c>
      <c r="AC1146" s="81">
        <f>IF(X1146=1,HLOOKUP(R1146,データについて!$J$12:$M$18,7,FALSE),"*")</f>
        <v>2</v>
      </c>
      <c r="AD1146" s="81" t="str">
        <f>IF(X1146=2,HLOOKUP(R1146,データについて!$J$12:$M$18,7,FALSE),"*")</f>
        <v>*</v>
      </c>
    </row>
    <row r="1147" spans="1:30">
      <c r="A1147" s="30">
        <v>4045</v>
      </c>
      <c r="B1147" s="30" t="s">
        <v>3746</v>
      </c>
      <c r="C1147" s="30" t="s">
        <v>3747</v>
      </c>
      <c r="D1147" s="30" t="s">
        <v>106</v>
      </c>
      <c r="E1147" s="30"/>
      <c r="F1147" s="30" t="s">
        <v>107</v>
      </c>
      <c r="G1147" s="30" t="s">
        <v>106</v>
      </c>
      <c r="H1147" s="30"/>
      <c r="I1147" s="30" t="s">
        <v>192</v>
      </c>
      <c r="J1147" s="30" t="s">
        <v>546</v>
      </c>
      <c r="K1147" s="30"/>
      <c r="L1147" s="30" t="s">
        <v>117</v>
      </c>
      <c r="M1147" s="30" t="s">
        <v>109</v>
      </c>
      <c r="N1147" s="30" t="s">
        <v>110</v>
      </c>
      <c r="O1147" s="30" t="s">
        <v>115</v>
      </c>
      <c r="P1147" s="30" t="s">
        <v>112</v>
      </c>
      <c r="Q1147" s="30" t="s">
        <v>112</v>
      </c>
      <c r="R1147" s="30" t="s">
        <v>185</v>
      </c>
      <c r="S1147" s="81">
        <f>HLOOKUP(L1147,データについて!$J$6:$M$18,13,FALSE)</f>
        <v>2</v>
      </c>
      <c r="T1147" s="81">
        <f>HLOOKUP(M1147,データについて!$J$7:$M$18,12,FALSE)</f>
        <v>2</v>
      </c>
      <c r="U1147" s="81">
        <f>HLOOKUP(N1147,データについて!$J$8:$M$18,11,FALSE)</f>
        <v>2</v>
      </c>
      <c r="V1147" s="81">
        <f>HLOOKUP(O1147,データについて!$J$9:$M$18,10,FALSE)</f>
        <v>1</v>
      </c>
      <c r="W1147" s="81">
        <f>HLOOKUP(P1147,データについて!$J$10:$M$18,9,FALSE)</f>
        <v>1</v>
      </c>
      <c r="X1147" s="81">
        <f>HLOOKUP(Q1147,データについて!$J$11:$M$18,8,FALSE)</f>
        <v>1</v>
      </c>
      <c r="Y1147" s="81">
        <f>HLOOKUP(R1147,データについて!$J$12:$M$18,7,FALSE)</f>
        <v>2</v>
      </c>
      <c r="Z1147" s="81">
        <f>HLOOKUP(I1147,データについて!$J$3:$M$18,16,FALSE)</f>
        <v>1</v>
      </c>
      <c r="AA1147" s="81">
        <f>IFERROR(HLOOKUP(J1147,データについて!$J$4:$AH$19,16,FALSE),"")</f>
        <v>8</v>
      </c>
      <c r="AB1147" s="81" t="str">
        <f>IFERROR(HLOOKUP(K1147,データについて!$J$5:$AH$20,14,FALSE),"")</f>
        <v/>
      </c>
      <c r="AC1147" s="81">
        <f>IF(X1147=1,HLOOKUP(R1147,データについて!$J$12:$M$18,7,FALSE),"*")</f>
        <v>2</v>
      </c>
      <c r="AD1147" s="81" t="str">
        <f>IF(X1147=2,HLOOKUP(R1147,データについて!$J$12:$M$18,7,FALSE),"*")</f>
        <v>*</v>
      </c>
    </row>
    <row r="1148" spans="1:30">
      <c r="A1148" s="30">
        <v>4044</v>
      </c>
      <c r="B1148" s="30" t="s">
        <v>3748</v>
      </c>
      <c r="C1148" s="30" t="s">
        <v>3749</v>
      </c>
      <c r="D1148" s="30" t="s">
        <v>106</v>
      </c>
      <c r="E1148" s="30"/>
      <c r="F1148" s="30" t="s">
        <v>107</v>
      </c>
      <c r="G1148" s="30" t="s">
        <v>106</v>
      </c>
      <c r="H1148" s="30"/>
      <c r="I1148" s="30" t="s">
        <v>192</v>
      </c>
      <c r="J1148" s="30" t="s">
        <v>546</v>
      </c>
      <c r="K1148" s="30"/>
      <c r="L1148" s="30" t="s">
        <v>108</v>
      </c>
      <c r="M1148" s="30" t="s">
        <v>113</v>
      </c>
      <c r="N1148" s="30" t="s">
        <v>110</v>
      </c>
      <c r="O1148" s="30" t="s">
        <v>115</v>
      </c>
      <c r="P1148" s="30" t="s">
        <v>112</v>
      </c>
      <c r="Q1148" s="30" t="s">
        <v>112</v>
      </c>
      <c r="R1148" s="30" t="s">
        <v>185</v>
      </c>
      <c r="S1148" s="81">
        <f>HLOOKUP(L1148,データについて!$J$6:$M$18,13,FALSE)</f>
        <v>1</v>
      </c>
      <c r="T1148" s="81">
        <f>HLOOKUP(M1148,データについて!$J$7:$M$18,12,FALSE)</f>
        <v>1</v>
      </c>
      <c r="U1148" s="81">
        <f>HLOOKUP(N1148,データについて!$J$8:$M$18,11,FALSE)</f>
        <v>2</v>
      </c>
      <c r="V1148" s="81">
        <f>HLOOKUP(O1148,データについて!$J$9:$M$18,10,FALSE)</f>
        <v>1</v>
      </c>
      <c r="W1148" s="81">
        <f>HLOOKUP(P1148,データについて!$J$10:$M$18,9,FALSE)</f>
        <v>1</v>
      </c>
      <c r="X1148" s="81">
        <f>HLOOKUP(Q1148,データについて!$J$11:$M$18,8,FALSE)</f>
        <v>1</v>
      </c>
      <c r="Y1148" s="81">
        <f>HLOOKUP(R1148,データについて!$J$12:$M$18,7,FALSE)</f>
        <v>2</v>
      </c>
      <c r="Z1148" s="81">
        <f>HLOOKUP(I1148,データについて!$J$3:$M$18,16,FALSE)</f>
        <v>1</v>
      </c>
      <c r="AA1148" s="81">
        <f>IFERROR(HLOOKUP(J1148,データについて!$J$4:$AH$19,16,FALSE),"")</f>
        <v>8</v>
      </c>
      <c r="AB1148" s="81" t="str">
        <f>IFERROR(HLOOKUP(K1148,データについて!$J$5:$AH$20,14,FALSE),"")</f>
        <v/>
      </c>
      <c r="AC1148" s="81">
        <f>IF(X1148=1,HLOOKUP(R1148,データについて!$J$12:$M$18,7,FALSE),"*")</f>
        <v>2</v>
      </c>
      <c r="AD1148" s="81" t="str">
        <f>IF(X1148=2,HLOOKUP(R1148,データについて!$J$12:$M$18,7,FALSE),"*")</f>
        <v>*</v>
      </c>
    </row>
    <row r="1149" spans="1:30">
      <c r="A1149" s="30">
        <v>4043</v>
      </c>
      <c r="B1149" s="30" t="s">
        <v>3750</v>
      </c>
      <c r="C1149" s="30" t="s">
        <v>3751</v>
      </c>
      <c r="D1149" s="30" t="s">
        <v>106</v>
      </c>
      <c r="E1149" s="30"/>
      <c r="F1149" s="30" t="s">
        <v>107</v>
      </c>
      <c r="G1149" s="30" t="s">
        <v>106</v>
      </c>
      <c r="H1149" s="30"/>
      <c r="I1149" s="30" t="s">
        <v>192</v>
      </c>
      <c r="J1149" s="30" t="s">
        <v>546</v>
      </c>
      <c r="K1149" s="30"/>
      <c r="L1149" s="30" t="s">
        <v>108</v>
      </c>
      <c r="M1149" s="30" t="s">
        <v>113</v>
      </c>
      <c r="N1149" s="30" t="s">
        <v>114</v>
      </c>
      <c r="O1149" s="30" t="s">
        <v>115</v>
      </c>
      <c r="P1149" s="30" t="s">
        <v>112</v>
      </c>
      <c r="Q1149" s="30" t="s">
        <v>112</v>
      </c>
      <c r="R1149" s="30" t="s">
        <v>183</v>
      </c>
      <c r="S1149" s="81">
        <f>HLOOKUP(L1149,データについて!$J$6:$M$18,13,FALSE)</f>
        <v>1</v>
      </c>
      <c r="T1149" s="81">
        <f>HLOOKUP(M1149,データについて!$J$7:$M$18,12,FALSE)</f>
        <v>1</v>
      </c>
      <c r="U1149" s="81">
        <f>HLOOKUP(N1149,データについて!$J$8:$M$18,11,FALSE)</f>
        <v>1</v>
      </c>
      <c r="V1149" s="81">
        <f>HLOOKUP(O1149,データについて!$J$9:$M$18,10,FALSE)</f>
        <v>1</v>
      </c>
      <c r="W1149" s="81">
        <f>HLOOKUP(P1149,データについて!$J$10:$M$18,9,FALSE)</f>
        <v>1</v>
      </c>
      <c r="X1149" s="81">
        <f>HLOOKUP(Q1149,データについて!$J$11:$M$18,8,FALSE)</f>
        <v>1</v>
      </c>
      <c r="Y1149" s="81">
        <f>HLOOKUP(R1149,データについて!$J$12:$M$18,7,FALSE)</f>
        <v>1</v>
      </c>
      <c r="Z1149" s="81">
        <f>HLOOKUP(I1149,データについて!$J$3:$M$18,16,FALSE)</f>
        <v>1</v>
      </c>
      <c r="AA1149" s="81">
        <f>IFERROR(HLOOKUP(J1149,データについて!$J$4:$AH$19,16,FALSE),"")</f>
        <v>8</v>
      </c>
      <c r="AB1149" s="81" t="str">
        <f>IFERROR(HLOOKUP(K1149,データについて!$J$5:$AH$20,14,FALSE),"")</f>
        <v/>
      </c>
      <c r="AC1149" s="81">
        <f>IF(X1149=1,HLOOKUP(R1149,データについて!$J$12:$M$18,7,FALSE),"*")</f>
        <v>1</v>
      </c>
      <c r="AD1149" s="81" t="str">
        <f>IF(X1149=2,HLOOKUP(R1149,データについて!$J$12:$M$18,7,FALSE),"*")</f>
        <v>*</v>
      </c>
    </row>
    <row r="1150" spans="1:30">
      <c r="A1150" s="30">
        <v>4042</v>
      </c>
      <c r="B1150" s="30" t="s">
        <v>3752</v>
      </c>
      <c r="C1150" s="30" t="s">
        <v>3753</v>
      </c>
      <c r="D1150" s="30" t="s">
        <v>106</v>
      </c>
      <c r="E1150" s="30"/>
      <c r="F1150" s="30" t="s">
        <v>107</v>
      </c>
      <c r="G1150" s="30" t="s">
        <v>106</v>
      </c>
      <c r="H1150" s="30"/>
      <c r="I1150" s="30" t="s">
        <v>192</v>
      </c>
      <c r="J1150" s="30" t="s">
        <v>546</v>
      </c>
      <c r="K1150" s="30"/>
      <c r="L1150" s="30" t="s">
        <v>117</v>
      </c>
      <c r="M1150" s="30" t="s">
        <v>113</v>
      </c>
      <c r="N1150" s="30" t="s">
        <v>114</v>
      </c>
      <c r="O1150" s="30" t="s">
        <v>115</v>
      </c>
      <c r="P1150" s="30" t="s">
        <v>112</v>
      </c>
      <c r="Q1150" s="30" t="s">
        <v>112</v>
      </c>
      <c r="R1150" s="30" t="s">
        <v>183</v>
      </c>
      <c r="S1150" s="81">
        <f>HLOOKUP(L1150,データについて!$J$6:$M$18,13,FALSE)</f>
        <v>2</v>
      </c>
      <c r="T1150" s="81">
        <f>HLOOKUP(M1150,データについて!$J$7:$M$18,12,FALSE)</f>
        <v>1</v>
      </c>
      <c r="U1150" s="81">
        <f>HLOOKUP(N1150,データについて!$J$8:$M$18,11,FALSE)</f>
        <v>1</v>
      </c>
      <c r="V1150" s="81">
        <f>HLOOKUP(O1150,データについて!$J$9:$M$18,10,FALSE)</f>
        <v>1</v>
      </c>
      <c r="W1150" s="81">
        <f>HLOOKUP(P1150,データについて!$J$10:$M$18,9,FALSE)</f>
        <v>1</v>
      </c>
      <c r="X1150" s="81">
        <f>HLOOKUP(Q1150,データについて!$J$11:$M$18,8,FALSE)</f>
        <v>1</v>
      </c>
      <c r="Y1150" s="81">
        <f>HLOOKUP(R1150,データについて!$J$12:$M$18,7,FALSE)</f>
        <v>1</v>
      </c>
      <c r="Z1150" s="81">
        <f>HLOOKUP(I1150,データについて!$J$3:$M$18,16,FALSE)</f>
        <v>1</v>
      </c>
      <c r="AA1150" s="81">
        <f>IFERROR(HLOOKUP(J1150,データについて!$J$4:$AH$19,16,FALSE),"")</f>
        <v>8</v>
      </c>
      <c r="AB1150" s="81" t="str">
        <f>IFERROR(HLOOKUP(K1150,データについて!$J$5:$AH$20,14,FALSE),"")</f>
        <v/>
      </c>
      <c r="AC1150" s="81">
        <f>IF(X1150=1,HLOOKUP(R1150,データについて!$J$12:$M$18,7,FALSE),"*")</f>
        <v>1</v>
      </c>
      <c r="AD1150" s="81" t="str">
        <f>IF(X1150=2,HLOOKUP(R1150,データについて!$J$12:$M$18,7,FALSE),"*")</f>
        <v>*</v>
      </c>
    </row>
    <row r="1151" spans="1:30">
      <c r="A1151" s="30">
        <v>4041</v>
      </c>
      <c r="B1151" s="30" t="s">
        <v>3754</v>
      </c>
      <c r="C1151" s="30" t="s">
        <v>3755</v>
      </c>
      <c r="D1151" s="30" t="s">
        <v>106</v>
      </c>
      <c r="E1151" s="30"/>
      <c r="F1151" s="30" t="s">
        <v>107</v>
      </c>
      <c r="G1151" s="30" t="s">
        <v>106</v>
      </c>
      <c r="H1151" s="30"/>
      <c r="I1151" s="30" t="s">
        <v>192</v>
      </c>
      <c r="J1151" s="30" t="s">
        <v>546</v>
      </c>
      <c r="K1151" s="30"/>
      <c r="L1151" s="30" t="s">
        <v>108</v>
      </c>
      <c r="M1151" s="30" t="s">
        <v>113</v>
      </c>
      <c r="N1151" s="30" t="s">
        <v>110</v>
      </c>
      <c r="O1151" s="30" t="s">
        <v>115</v>
      </c>
      <c r="P1151" s="30" t="s">
        <v>112</v>
      </c>
      <c r="Q1151" s="30" t="s">
        <v>112</v>
      </c>
      <c r="R1151" s="30" t="s">
        <v>183</v>
      </c>
      <c r="S1151" s="81">
        <f>HLOOKUP(L1151,データについて!$J$6:$M$18,13,FALSE)</f>
        <v>1</v>
      </c>
      <c r="T1151" s="81">
        <f>HLOOKUP(M1151,データについて!$J$7:$M$18,12,FALSE)</f>
        <v>1</v>
      </c>
      <c r="U1151" s="81">
        <f>HLOOKUP(N1151,データについて!$J$8:$M$18,11,FALSE)</f>
        <v>2</v>
      </c>
      <c r="V1151" s="81">
        <f>HLOOKUP(O1151,データについて!$J$9:$M$18,10,FALSE)</f>
        <v>1</v>
      </c>
      <c r="W1151" s="81">
        <f>HLOOKUP(P1151,データについて!$J$10:$M$18,9,FALSE)</f>
        <v>1</v>
      </c>
      <c r="X1151" s="81">
        <f>HLOOKUP(Q1151,データについて!$J$11:$M$18,8,FALSE)</f>
        <v>1</v>
      </c>
      <c r="Y1151" s="81">
        <f>HLOOKUP(R1151,データについて!$J$12:$M$18,7,FALSE)</f>
        <v>1</v>
      </c>
      <c r="Z1151" s="81">
        <f>HLOOKUP(I1151,データについて!$J$3:$M$18,16,FALSE)</f>
        <v>1</v>
      </c>
      <c r="AA1151" s="81">
        <f>IFERROR(HLOOKUP(J1151,データについて!$J$4:$AH$19,16,FALSE),"")</f>
        <v>8</v>
      </c>
      <c r="AB1151" s="81" t="str">
        <f>IFERROR(HLOOKUP(K1151,データについて!$J$5:$AH$20,14,FALSE),"")</f>
        <v/>
      </c>
      <c r="AC1151" s="81">
        <f>IF(X1151=1,HLOOKUP(R1151,データについて!$J$12:$M$18,7,FALSE),"*")</f>
        <v>1</v>
      </c>
      <c r="AD1151" s="81" t="str">
        <f>IF(X1151=2,HLOOKUP(R1151,データについて!$J$12:$M$18,7,FALSE),"*")</f>
        <v>*</v>
      </c>
    </row>
    <row r="1152" spans="1:30">
      <c r="A1152" s="30">
        <v>4040</v>
      </c>
      <c r="B1152" s="30" t="s">
        <v>3756</v>
      </c>
      <c r="C1152" s="30" t="s">
        <v>3757</v>
      </c>
      <c r="D1152" s="30" t="s">
        <v>106</v>
      </c>
      <c r="E1152" s="30"/>
      <c r="F1152" s="30" t="s">
        <v>107</v>
      </c>
      <c r="G1152" s="30" t="s">
        <v>106</v>
      </c>
      <c r="H1152" s="30"/>
      <c r="I1152" s="30" t="s">
        <v>192</v>
      </c>
      <c r="J1152" s="30" t="s">
        <v>546</v>
      </c>
      <c r="K1152" s="30"/>
      <c r="L1152" s="30" t="s">
        <v>117</v>
      </c>
      <c r="M1152" s="30" t="s">
        <v>113</v>
      </c>
      <c r="N1152" s="30" t="s">
        <v>122</v>
      </c>
      <c r="O1152" s="30" t="s">
        <v>115</v>
      </c>
      <c r="P1152" s="30" t="s">
        <v>112</v>
      </c>
      <c r="Q1152" s="30" t="s">
        <v>112</v>
      </c>
      <c r="R1152" s="30" t="s">
        <v>185</v>
      </c>
      <c r="S1152" s="81">
        <f>HLOOKUP(L1152,データについて!$J$6:$M$18,13,FALSE)</f>
        <v>2</v>
      </c>
      <c r="T1152" s="81">
        <f>HLOOKUP(M1152,データについて!$J$7:$M$18,12,FALSE)</f>
        <v>1</v>
      </c>
      <c r="U1152" s="81">
        <f>HLOOKUP(N1152,データについて!$J$8:$M$18,11,FALSE)</f>
        <v>3</v>
      </c>
      <c r="V1152" s="81">
        <f>HLOOKUP(O1152,データについて!$J$9:$M$18,10,FALSE)</f>
        <v>1</v>
      </c>
      <c r="W1152" s="81">
        <f>HLOOKUP(P1152,データについて!$J$10:$M$18,9,FALSE)</f>
        <v>1</v>
      </c>
      <c r="X1152" s="81">
        <f>HLOOKUP(Q1152,データについて!$J$11:$M$18,8,FALSE)</f>
        <v>1</v>
      </c>
      <c r="Y1152" s="81">
        <f>HLOOKUP(R1152,データについて!$J$12:$M$18,7,FALSE)</f>
        <v>2</v>
      </c>
      <c r="Z1152" s="81">
        <f>HLOOKUP(I1152,データについて!$J$3:$M$18,16,FALSE)</f>
        <v>1</v>
      </c>
      <c r="AA1152" s="81">
        <f>IFERROR(HLOOKUP(J1152,データについて!$J$4:$AH$19,16,FALSE),"")</f>
        <v>8</v>
      </c>
      <c r="AB1152" s="81" t="str">
        <f>IFERROR(HLOOKUP(K1152,データについて!$J$5:$AH$20,14,FALSE),"")</f>
        <v/>
      </c>
      <c r="AC1152" s="81">
        <f>IF(X1152=1,HLOOKUP(R1152,データについて!$J$12:$M$18,7,FALSE),"*")</f>
        <v>2</v>
      </c>
      <c r="AD1152" s="81" t="str">
        <f>IF(X1152=2,HLOOKUP(R1152,データについて!$J$12:$M$18,7,FALSE),"*")</f>
        <v>*</v>
      </c>
    </row>
    <row r="1153" spans="1:30">
      <c r="A1153" s="30">
        <v>4039</v>
      </c>
      <c r="B1153" s="30" t="s">
        <v>3758</v>
      </c>
      <c r="C1153" s="30" t="s">
        <v>3759</v>
      </c>
      <c r="D1153" s="30" t="s">
        <v>106</v>
      </c>
      <c r="E1153" s="30"/>
      <c r="F1153" s="30" t="s">
        <v>107</v>
      </c>
      <c r="G1153" s="30" t="s">
        <v>106</v>
      </c>
      <c r="H1153" s="30"/>
      <c r="I1153" s="30" t="s">
        <v>192</v>
      </c>
      <c r="J1153" s="30" t="s">
        <v>546</v>
      </c>
      <c r="K1153" s="30"/>
      <c r="L1153" s="30" t="s">
        <v>108</v>
      </c>
      <c r="M1153" s="30" t="s">
        <v>113</v>
      </c>
      <c r="N1153" s="30" t="s">
        <v>114</v>
      </c>
      <c r="O1153" s="30" t="s">
        <v>115</v>
      </c>
      <c r="P1153" s="30" t="s">
        <v>112</v>
      </c>
      <c r="Q1153" s="30" t="s">
        <v>112</v>
      </c>
      <c r="R1153" s="30" t="s">
        <v>183</v>
      </c>
      <c r="S1153" s="81">
        <f>HLOOKUP(L1153,データについて!$J$6:$M$18,13,FALSE)</f>
        <v>1</v>
      </c>
      <c r="T1153" s="81">
        <f>HLOOKUP(M1153,データについて!$J$7:$M$18,12,FALSE)</f>
        <v>1</v>
      </c>
      <c r="U1153" s="81">
        <f>HLOOKUP(N1153,データについて!$J$8:$M$18,11,FALSE)</f>
        <v>1</v>
      </c>
      <c r="V1153" s="81">
        <f>HLOOKUP(O1153,データについて!$J$9:$M$18,10,FALSE)</f>
        <v>1</v>
      </c>
      <c r="W1153" s="81">
        <f>HLOOKUP(P1153,データについて!$J$10:$M$18,9,FALSE)</f>
        <v>1</v>
      </c>
      <c r="X1153" s="81">
        <f>HLOOKUP(Q1153,データについて!$J$11:$M$18,8,FALSE)</f>
        <v>1</v>
      </c>
      <c r="Y1153" s="81">
        <f>HLOOKUP(R1153,データについて!$J$12:$M$18,7,FALSE)</f>
        <v>1</v>
      </c>
      <c r="Z1153" s="81">
        <f>HLOOKUP(I1153,データについて!$J$3:$M$18,16,FALSE)</f>
        <v>1</v>
      </c>
      <c r="AA1153" s="81">
        <f>IFERROR(HLOOKUP(J1153,データについて!$J$4:$AH$19,16,FALSE),"")</f>
        <v>8</v>
      </c>
      <c r="AB1153" s="81" t="str">
        <f>IFERROR(HLOOKUP(K1153,データについて!$J$5:$AH$20,14,FALSE),"")</f>
        <v/>
      </c>
      <c r="AC1153" s="81">
        <f>IF(X1153=1,HLOOKUP(R1153,データについて!$J$12:$M$18,7,FALSE),"*")</f>
        <v>1</v>
      </c>
      <c r="AD1153" s="81" t="str">
        <f>IF(X1153=2,HLOOKUP(R1153,データについて!$J$12:$M$18,7,FALSE),"*")</f>
        <v>*</v>
      </c>
    </row>
    <row r="1154" spans="1:30">
      <c r="A1154" s="30">
        <v>4038</v>
      </c>
      <c r="B1154" s="30" t="s">
        <v>3760</v>
      </c>
      <c r="C1154" s="30" t="s">
        <v>3759</v>
      </c>
      <c r="D1154" s="30" t="s">
        <v>106</v>
      </c>
      <c r="E1154" s="30"/>
      <c r="F1154" s="30" t="s">
        <v>107</v>
      </c>
      <c r="G1154" s="30" t="s">
        <v>106</v>
      </c>
      <c r="H1154" s="30"/>
      <c r="I1154" s="30" t="s">
        <v>192</v>
      </c>
      <c r="J1154" s="30" t="s">
        <v>546</v>
      </c>
      <c r="K1154" s="30"/>
      <c r="L1154" s="30" t="s">
        <v>117</v>
      </c>
      <c r="M1154" s="30" t="s">
        <v>113</v>
      </c>
      <c r="N1154" s="30" t="s">
        <v>114</v>
      </c>
      <c r="O1154" s="30" t="s">
        <v>115</v>
      </c>
      <c r="P1154" s="30" t="s">
        <v>112</v>
      </c>
      <c r="Q1154" s="30" t="s">
        <v>112</v>
      </c>
      <c r="R1154" s="30" t="s">
        <v>183</v>
      </c>
      <c r="S1154" s="81">
        <f>HLOOKUP(L1154,データについて!$J$6:$M$18,13,FALSE)</f>
        <v>2</v>
      </c>
      <c r="T1154" s="81">
        <f>HLOOKUP(M1154,データについて!$J$7:$M$18,12,FALSE)</f>
        <v>1</v>
      </c>
      <c r="U1154" s="81">
        <f>HLOOKUP(N1154,データについて!$J$8:$M$18,11,FALSE)</f>
        <v>1</v>
      </c>
      <c r="V1154" s="81">
        <f>HLOOKUP(O1154,データについて!$J$9:$M$18,10,FALSE)</f>
        <v>1</v>
      </c>
      <c r="W1154" s="81">
        <f>HLOOKUP(P1154,データについて!$J$10:$M$18,9,FALSE)</f>
        <v>1</v>
      </c>
      <c r="X1154" s="81">
        <f>HLOOKUP(Q1154,データについて!$J$11:$M$18,8,FALSE)</f>
        <v>1</v>
      </c>
      <c r="Y1154" s="81">
        <f>HLOOKUP(R1154,データについて!$J$12:$M$18,7,FALSE)</f>
        <v>1</v>
      </c>
      <c r="Z1154" s="81">
        <f>HLOOKUP(I1154,データについて!$J$3:$M$18,16,FALSE)</f>
        <v>1</v>
      </c>
      <c r="AA1154" s="81">
        <f>IFERROR(HLOOKUP(J1154,データについて!$J$4:$AH$19,16,FALSE),"")</f>
        <v>8</v>
      </c>
      <c r="AB1154" s="81" t="str">
        <f>IFERROR(HLOOKUP(K1154,データについて!$J$5:$AH$20,14,FALSE),"")</f>
        <v/>
      </c>
      <c r="AC1154" s="81">
        <f>IF(X1154=1,HLOOKUP(R1154,データについて!$J$12:$M$18,7,FALSE),"*")</f>
        <v>1</v>
      </c>
      <c r="AD1154" s="81" t="str">
        <f>IF(X1154=2,HLOOKUP(R1154,データについて!$J$12:$M$18,7,FALSE),"*")</f>
        <v>*</v>
      </c>
    </row>
    <row r="1155" spans="1:30">
      <c r="A1155" s="30">
        <v>4037</v>
      </c>
      <c r="B1155" s="30" t="s">
        <v>3761</v>
      </c>
      <c r="C1155" s="30" t="s">
        <v>3759</v>
      </c>
      <c r="D1155" s="30" t="s">
        <v>106</v>
      </c>
      <c r="E1155" s="30"/>
      <c r="F1155" s="30" t="s">
        <v>107</v>
      </c>
      <c r="G1155" s="30" t="s">
        <v>106</v>
      </c>
      <c r="H1155" s="30"/>
      <c r="I1155" s="30" t="s">
        <v>192</v>
      </c>
      <c r="J1155" s="30" t="s">
        <v>546</v>
      </c>
      <c r="K1155" s="30"/>
      <c r="L1155" s="30" t="s">
        <v>108</v>
      </c>
      <c r="M1155" s="30" t="s">
        <v>109</v>
      </c>
      <c r="N1155" s="30" t="s">
        <v>114</v>
      </c>
      <c r="O1155" s="30" t="s">
        <v>115</v>
      </c>
      <c r="P1155" s="30" t="s">
        <v>112</v>
      </c>
      <c r="Q1155" s="30" t="s">
        <v>112</v>
      </c>
      <c r="R1155" s="30" t="s">
        <v>185</v>
      </c>
      <c r="S1155" s="81">
        <f>HLOOKUP(L1155,データについて!$J$6:$M$18,13,FALSE)</f>
        <v>1</v>
      </c>
      <c r="T1155" s="81">
        <f>HLOOKUP(M1155,データについて!$J$7:$M$18,12,FALSE)</f>
        <v>2</v>
      </c>
      <c r="U1155" s="81">
        <f>HLOOKUP(N1155,データについて!$J$8:$M$18,11,FALSE)</f>
        <v>1</v>
      </c>
      <c r="V1155" s="81">
        <f>HLOOKUP(O1155,データについて!$J$9:$M$18,10,FALSE)</f>
        <v>1</v>
      </c>
      <c r="W1155" s="81">
        <f>HLOOKUP(P1155,データについて!$J$10:$M$18,9,FALSE)</f>
        <v>1</v>
      </c>
      <c r="X1155" s="81">
        <f>HLOOKUP(Q1155,データについて!$J$11:$M$18,8,FALSE)</f>
        <v>1</v>
      </c>
      <c r="Y1155" s="81">
        <f>HLOOKUP(R1155,データについて!$J$12:$M$18,7,FALSE)</f>
        <v>2</v>
      </c>
      <c r="Z1155" s="81">
        <f>HLOOKUP(I1155,データについて!$J$3:$M$18,16,FALSE)</f>
        <v>1</v>
      </c>
      <c r="AA1155" s="81">
        <f>IFERROR(HLOOKUP(J1155,データについて!$J$4:$AH$19,16,FALSE),"")</f>
        <v>8</v>
      </c>
      <c r="AB1155" s="81" t="str">
        <f>IFERROR(HLOOKUP(K1155,データについて!$J$5:$AH$20,14,FALSE),"")</f>
        <v/>
      </c>
      <c r="AC1155" s="81">
        <f>IF(X1155=1,HLOOKUP(R1155,データについて!$J$12:$M$18,7,FALSE),"*")</f>
        <v>2</v>
      </c>
      <c r="AD1155" s="81" t="str">
        <f>IF(X1155=2,HLOOKUP(R1155,データについて!$J$12:$M$18,7,FALSE),"*")</f>
        <v>*</v>
      </c>
    </row>
    <row r="1156" spans="1:30">
      <c r="A1156" s="30">
        <v>4036</v>
      </c>
      <c r="B1156" s="30" t="s">
        <v>3762</v>
      </c>
      <c r="C1156" s="30" t="s">
        <v>3759</v>
      </c>
      <c r="D1156" s="30" t="s">
        <v>106</v>
      </c>
      <c r="E1156" s="30"/>
      <c r="F1156" s="30" t="s">
        <v>107</v>
      </c>
      <c r="G1156" s="30" t="s">
        <v>106</v>
      </c>
      <c r="H1156" s="30"/>
      <c r="I1156" s="30" t="s">
        <v>192</v>
      </c>
      <c r="J1156" s="30" t="s">
        <v>546</v>
      </c>
      <c r="K1156" s="30"/>
      <c r="L1156" s="30" t="s">
        <v>108</v>
      </c>
      <c r="M1156" s="30" t="s">
        <v>109</v>
      </c>
      <c r="N1156" s="30" t="s">
        <v>110</v>
      </c>
      <c r="O1156" s="30" t="s">
        <v>115</v>
      </c>
      <c r="P1156" s="30" t="s">
        <v>112</v>
      </c>
      <c r="Q1156" s="30" t="s">
        <v>112</v>
      </c>
      <c r="R1156" s="30" t="s">
        <v>185</v>
      </c>
      <c r="S1156" s="81">
        <f>HLOOKUP(L1156,データについて!$J$6:$M$18,13,FALSE)</f>
        <v>1</v>
      </c>
      <c r="T1156" s="81">
        <f>HLOOKUP(M1156,データについて!$J$7:$M$18,12,FALSE)</f>
        <v>2</v>
      </c>
      <c r="U1156" s="81">
        <f>HLOOKUP(N1156,データについて!$J$8:$M$18,11,FALSE)</f>
        <v>2</v>
      </c>
      <c r="V1156" s="81">
        <f>HLOOKUP(O1156,データについて!$J$9:$M$18,10,FALSE)</f>
        <v>1</v>
      </c>
      <c r="W1156" s="81">
        <f>HLOOKUP(P1156,データについて!$J$10:$M$18,9,FALSE)</f>
        <v>1</v>
      </c>
      <c r="X1156" s="81">
        <f>HLOOKUP(Q1156,データについて!$J$11:$M$18,8,FALSE)</f>
        <v>1</v>
      </c>
      <c r="Y1156" s="81">
        <f>HLOOKUP(R1156,データについて!$J$12:$M$18,7,FALSE)</f>
        <v>2</v>
      </c>
      <c r="Z1156" s="81">
        <f>HLOOKUP(I1156,データについて!$J$3:$M$18,16,FALSE)</f>
        <v>1</v>
      </c>
      <c r="AA1156" s="81">
        <f>IFERROR(HLOOKUP(J1156,データについて!$J$4:$AH$19,16,FALSE),"")</f>
        <v>8</v>
      </c>
      <c r="AB1156" s="81" t="str">
        <f>IFERROR(HLOOKUP(K1156,データについて!$J$5:$AH$20,14,FALSE),"")</f>
        <v/>
      </c>
      <c r="AC1156" s="81">
        <f>IF(X1156=1,HLOOKUP(R1156,データについて!$J$12:$M$18,7,FALSE),"*")</f>
        <v>2</v>
      </c>
      <c r="AD1156" s="81" t="str">
        <f>IF(X1156=2,HLOOKUP(R1156,データについて!$J$12:$M$18,7,FALSE),"*")</f>
        <v>*</v>
      </c>
    </row>
    <row r="1157" spans="1:30">
      <c r="A1157" s="30">
        <v>4035</v>
      </c>
      <c r="B1157" s="30" t="s">
        <v>3763</v>
      </c>
      <c r="C1157" s="30" t="s">
        <v>3764</v>
      </c>
      <c r="D1157" s="30" t="s">
        <v>106</v>
      </c>
      <c r="E1157" s="30"/>
      <c r="F1157" s="30" t="s">
        <v>107</v>
      </c>
      <c r="G1157" s="30" t="s">
        <v>106</v>
      </c>
      <c r="H1157" s="30"/>
      <c r="I1157" s="30" t="s">
        <v>192</v>
      </c>
      <c r="J1157" s="30" t="s">
        <v>546</v>
      </c>
      <c r="K1157" s="30"/>
      <c r="L1157" s="30" t="s">
        <v>117</v>
      </c>
      <c r="M1157" s="30" t="s">
        <v>113</v>
      </c>
      <c r="N1157" s="30" t="s">
        <v>110</v>
      </c>
      <c r="O1157" s="30" t="s">
        <v>115</v>
      </c>
      <c r="P1157" s="30" t="s">
        <v>112</v>
      </c>
      <c r="Q1157" s="30" t="s">
        <v>112</v>
      </c>
      <c r="R1157" s="30" t="s">
        <v>185</v>
      </c>
      <c r="S1157" s="81">
        <f>HLOOKUP(L1157,データについて!$J$6:$M$18,13,FALSE)</f>
        <v>2</v>
      </c>
      <c r="T1157" s="81">
        <f>HLOOKUP(M1157,データについて!$J$7:$M$18,12,FALSE)</f>
        <v>1</v>
      </c>
      <c r="U1157" s="81">
        <f>HLOOKUP(N1157,データについて!$J$8:$M$18,11,FALSE)</f>
        <v>2</v>
      </c>
      <c r="V1157" s="81">
        <f>HLOOKUP(O1157,データについて!$J$9:$M$18,10,FALSE)</f>
        <v>1</v>
      </c>
      <c r="W1157" s="81">
        <f>HLOOKUP(P1157,データについて!$J$10:$M$18,9,FALSE)</f>
        <v>1</v>
      </c>
      <c r="X1157" s="81">
        <f>HLOOKUP(Q1157,データについて!$J$11:$M$18,8,FALSE)</f>
        <v>1</v>
      </c>
      <c r="Y1157" s="81">
        <f>HLOOKUP(R1157,データについて!$J$12:$M$18,7,FALSE)</f>
        <v>2</v>
      </c>
      <c r="Z1157" s="81">
        <f>HLOOKUP(I1157,データについて!$J$3:$M$18,16,FALSE)</f>
        <v>1</v>
      </c>
      <c r="AA1157" s="81">
        <f>IFERROR(HLOOKUP(J1157,データについて!$J$4:$AH$19,16,FALSE),"")</f>
        <v>8</v>
      </c>
      <c r="AB1157" s="81" t="str">
        <f>IFERROR(HLOOKUP(K1157,データについて!$J$5:$AH$20,14,FALSE),"")</f>
        <v/>
      </c>
      <c r="AC1157" s="81">
        <f>IF(X1157=1,HLOOKUP(R1157,データについて!$J$12:$M$18,7,FALSE),"*")</f>
        <v>2</v>
      </c>
      <c r="AD1157" s="81" t="str">
        <f>IF(X1157=2,HLOOKUP(R1157,データについて!$J$12:$M$18,7,FALSE),"*")</f>
        <v>*</v>
      </c>
    </row>
    <row r="1158" spans="1:30">
      <c r="A1158" s="30">
        <v>4034</v>
      </c>
      <c r="B1158" s="30" t="s">
        <v>3765</v>
      </c>
      <c r="C1158" s="30" t="s">
        <v>3766</v>
      </c>
      <c r="D1158" s="30" t="s">
        <v>106</v>
      </c>
      <c r="E1158" s="30"/>
      <c r="F1158" s="30" t="s">
        <v>107</v>
      </c>
      <c r="G1158" s="30" t="s">
        <v>106</v>
      </c>
      <c r="H1158" s="30"/>
      <c r="I1158" s="30" t="s">
        <v>192</v>
      </c>
      <c r="J1158" s="30" t="s">
        <v>546</v>
      </c>
      <c r="K1158" s="30"/>
      <c r="L1158" s="30" t="s">
        <v>117</v>
      </c>
      <c r="M1158" s="30" t="s">
        <v>109</v>
      </c>
      <c r="N1158" s="30" t="s">
        <v>110</v>
      </c>
      <c r="O1158" s="30" t="s">
        <v>115</v>
      </c>
      <c r="P1158" s="30" t="s">
        <v>112</v>
      </c>
      <c r="Q1158" s="30" t="s">
        <v>112</v>
      </c>
      <c r="R1158" s="30" t="s">
        <v>185</v>
      </c>
      <c r="S1158" s="81">
        <f>HLOOKUP(L1158,データについて!$J$6:$M$18,13,FALSE)</f>
        <v>2</v>
      </c>
      <c r="T1158" s="81">
        <f>HLOOKUP(M1158,データについて!$J$7:$M$18,12,FALSE)</f>
        <v>2</v>
      </c>
      <c r="U1158" s="81">
        <f>HLOOKUP(N1158,データについて!$J$8:$M$18,11,FALSE)</f>
        <v>2</v>
      </c>
      <c r="V1158" s="81">
        <f>HLOOKUP(O1158,データについて!$J$9:$M$18,10,FALSE)</f>
        <v>1</v>
      </c>
      <c r="W1158" s="81">
        <f>HLOOKUP(P1158,データについて!$J$10:$M$18,9,FALSE)</f>
        <v>1</v>
      </c>
      <c r="X1158" s="81">
        <f>HLOOKUP(Q1158,データについて!$J$11:$M$18,8,FALSE)</f>
        <v>1</v>
      </c>
      <c r="Y1158" s="81">
        <f>HLOOKUP(R1158,データについて!$J$12:$M$18,7,FALSE)</f>
        <v>2</v>
      </c>
      <c r="Z1158" s="81">
        <f>HLOOKUP(I1158,データについて!$J$3:$M$18,16,FALSE)</f>
        <v>1</v>
      </c>
      <c r="AA1158" s="81">
        <f>IFERROR(HLOOKUP(J1158,データについて!$J$4:$AH$19,16,FALSE),"")</f>
        <v>8</v>
      </c>
      <c r="AB1158" s="81" t="str">
        <f>IFERROR(HLOOKUP(K1158,データについて!$J$5:$AH$20,14,FALSE),"")</f>
        <v/>
      </c>
      <c r="AC1158" s="81">
        <f>IF(X1158=1,HLOOKUP(R1158,データについて!$J$12:$M$18,7,FALSE),"*")</f>
        <v>2</v>
      </c>
      <c r="AD1158" s="81" t="str">
        <f>IF(X1158=2,HLOOKUP(R1158,データについて!$J$12:$M$18,7,FALSE),"*")</f>
        <v>*</v>
      </c>
    </row>
    <row r="1159" spans="1:30">
      <c r="A1159" s="30">
        <v>4033</v>
      </c>
      <c r="B1159" s="30" t="s">
        <v>3767</v>
      </c>
      <c r="C1159" s="30" t="s">
        <v>3766</v>
      </c>
      <c r="D1159" s="30" t="s">
        <v>106</v>
      </c>
      <c r="E1159" s="30"/>
      <c r="F1159" s="30" t="s">
        <v>107</v>
      </c>
      <c r="G1159" s="30" t="s">
        <v>106</v>
      </c>
      <c r="H1159" s="30"/>
      <c r="I1159" s="30" t="s">
        <v>192</v>
      </c>
      <c r="J1159" s="30" t="s">
        <v>546</v>
      </c>
      <c r="K1159" s="30"/>
      <c r="L1159" s="30" t="s">
        <v>117</v>
      </c>
      <c r="M1159" s="30" t="s">
        <v>113</v>
      </c>
      <c r="N1159" s="30" t="s">
        <v>110</v>
      </c>
      <c r="O1159" s="30" t="s">
        <v>115</v>
      </c>
      <c r="P1159" s="30" t="s">
        <v>112</v>
      </c>
      <c r="Q1159" s="30" t="s">
        <v>112</v>
      </c>
      <c r="R1159" s="30" t="s">
        <v>187</v>
      </c>
      <c r="S1159" s="81">
        <f>HLOOKUP(L1159,データについて!$J$6:$M$18,13,FALSE)</f>
        <v>2</v>
      </c>
      <c r="T1159" s="81">
        <f>HLOOKUP(M1159,データについて!$J$7:$M$18,12,FALSE)</f>
        <v>1</v>
      </c>
      <c r="U1159" s="81">
        <f>HLOOKUP(N1159,データについて!$J$8:$M$18,11,FALSE)</f>
        <v>2</v>
      </c>
      <c r="V1159" s="81">
        <f>HLOOKUP(O1159,データについて!$J$9:$M$18,10,FALSE)</f>
        <v>1</v>
      </c>
      <c r="W1159" s="81">
        <f>HLOOKUP(P1159,データについて!$J$10:$M$18,9,FALSE)</f>
        <v>1</v>
      </c>
      <c r="X1159" s="81">
        <f>HLOOKUP(Q1159,データについて!$J$11:$M$18,8,FALSE)</f>
        <v>1</v>
      </c>
      <c r="Y1159" s="81">
        <f>HLOOKUP(R1159,データについて!$J$12:$M$18,7,FALSE)</f>
        <v>3</v>
      </c>
      <c r="Z1159" s="81">
        <f>HLOOKUP(I1159,データについて!$J$3:$M$18,16,FALSE)</f>
        <v>1</v>
      </c>
      <c r="AA1159" s="81">
        <f>IFERROR(HLOOKUP(J1159,データについて!$J$4:$AH$19,16,FALSE),"")</f>
        <v>8</v>
      </c>
      <c r="AB1159" s="81" t="str">
        <f>IFERROR(HLOOKUP(K1159,データについて!$J$5:$AH$20,14,FALSE),"")</f>
        <v/>
      </c>
      <c r="AC1159" s="81">
        <f>IF(X1159=1,HLOOKUP(R1159,データについて!$J$12:$M$18,7,FALSE),"*")</f>
        <v>3</v>
      </c>
      <c r="AD1159" s="81" t="str">
        <f>IF(X1159=2,HLOOKUP(R1159,データについて!$J$12:$M$18,7,FALSE),"*")</f>
        <v>*</v>
      </c>
    </row>
    <row r="1160" spans="1:30">
      <c r="A1160" s="30">
        <v>4032</v>
      </c>
      <c r="B1160" s="30" t="s">
        <v>3768</v>
      </c>
      <c r="C1160" s="30" t="s">
        <v>3769</v>
      </c>
      <c r="D1160" s="30" t="s">
        <v>106</v>
      </c>
      <c r="E1160" s="30"/>
      <c r="F1160" s="30" t="s">
        <v>107</v>
      </c>
      <c r="G1160" s="30" t="s">
        <v>106</v>
      </c>
      <c r="H1160" s="30"/>
      <c r="I1160" s="30" t="s">
        <v>192</v>
      </c>
      <c r="J1160" s="30" t="s">
        <v>546</v>
      </c>
      <c r="K1160" s="30"/>
      <c r="L1160" s="30" t="s">
        <v>117</v>
      </c>
      <c r="M1160" s="30" t="s">
        <v>113</v>
      </c>
      <c r="N1160" s="30" t="s">
        <v>114</v>
      </c>
      <c r="O1160" s="30" t="s">
        <v>115</v>
      </c>
      <c r="P1160" s="30" t="s">
        <v>112</v>
      </c>
      <c r="Q1160" s="30" t="s">
        <v>112</v>
      </c>
      <c r="R1160" s="30" t="s">
        <v>183</v>
      </c>
      <c r="S1160" s="81">
        <f>HLOOKUP(L1160,データについて!$J$6:$M$18,13,FALSE)</f>
        <v>2</v>
      </c>
      <c r="T1160" s="81">
        <f>HLOOKUP(M1160,データについて!$J$7:$M$18,12,FALSE)</f>
        <v>1</v>
      </c>
      <c r="U1160" s="81">
        <f>HLOOKUP(N1160,データについて!$J$8:$M$18,11,FALSE)</f>
        <v>1</v>
      </c>
      <c r="V1160" s="81">
        <f>HLOOKUP(O1160,データについて!$J$9:$M$18,10,FALSE)</f>
        <v>1</v>
      </c>
      <c r="W1160" s="81">
        <f>HLOOKUP(P1160,データについて!$J$10:$M$18,9,FALSE)</f>
        <v>1</v>
      </c>
      <c r="X1160" s="81">
        <f>HLOOKUP(Q1160,データについて!$J$11:$M$18,8,FALSE)</f>
        <v>1</v>
      </c>
      <c r="Y1160" s="81">
        <f>HLOOKUP(R1160,データについて!$J$12:$M$18,7,FALSE)</f>
        <v>1</v>
      </c>
      <c r="Z1160" s="81">
        <f>HLOOKUP(I1160,データについて!$J$3:$M$18,16,FALSE)</f>
        <v>1</v>
      </c>
      <c r="AA1160" s="81">
        <f>IFERROR(HLOOKUP(J1160,データについて!$J$4:$AH$19,16,FALSE),"")</f>
        <v>8</v>
      </c>
      <c r="AB1160" s="81" t="str">
        <f>IFERROR(HLOOKUP(K1160,データについて!$J$5:$AH$20,14,FALSE),"")</f>
        <v/>
      </c>
      <c r="AC1160" s="81">
        <f>IF(X1160=1,HLOOKUP(R1160,データについて!$J$12:$M$18,7,FALSE),"*")</f>
        <v>1</v>
      </c>
      <c r="AD1160" s="81" t="str">
        <f>IF(X1160=2,HLOOKUP(R1160,データについて!$J$12:$M$18,7,FALSE),"*")</f>
        <v>*</v>
      </c>
    </row>
    <row r="1161" spans="1:30">
      <c r="A1161" s="30">
        <v>4031</v>
      </c>
      <c r="B1161" s="30" t="s">
        <v>3770</v>
      </c>
      <c r="C1161" s="30" t="s">
        <v>3769</v>
      </c>
      <c r="D1161" s="30" t="s">
        <v>106</v>
      </c>
      <c r="E1161" s="30"/>
      <c r="F1161" s="30" t="s">
        <v>107</v>
      </c>
      <c r="G1161" s="30" t="s">
        <v>106</v>
      </c>
      <c r="H1161" s="30"/>
      <c r="I1161" s="30" t="s">
        <v>192</v>
      </c>
      <c r="J1161" s="30" t="s">
        <v>546</v>
      </c>
      <c r="K1161" s="30"/>
      <c r="L1161" s="30" t="s">
        <v>117</v>
      </c>
      <c r="M1161" s="30" t="s">
        <v>113</v>
      </c>
      <c r="N1161" s="30" t="s">
        <v>114</v>
      </c>
      <c r="O1161" s="30" t="s">
        <v>115</v>
      </c>
      <c r="P1161" s="30" t="s">
        <v>112</v>
      </c>
      <c r="Q1161" s="30" t="s">
        <v>112</v>
      </c>
      <c r="R1161" s="30" t="s">
        <v>183</v>
      </c>
      <c r="S1161" s="81">
        <f>HLOOKUP(L1161,データについて!$J$6:$M$18,13,FALSE)</f>
        <v>2</v>
      </c>
      <c r="T1161" s="81">
        <f>HLOOKUP(M1161,データについて!$J$7:$M$18,12,FALSE)</f>
        <v>1</v>
      </c>
      <c r="U1161" s="81">
        <f>HLOOKUP(N1161,データについて!$J$8:$M$18,11,FALSE)</f>
        <v>1</v>
      </c>
      <c r="V1161" s="81">
        <f>HLOOKUP(O1161,データについて!$J$9:$M$18,10,FALSE)</f>
        <v>1</v>
      </c>
      <c r="W1161" s="81">
        <f>HLOOKUP(P1161,データについて!$J$10:$M$18,9,FALSE)</f>
        <v>1</v>
      </c>
      <c r="X1161" s="81">
        <f>HLOOKUP(Q1161,データについて!$J$11:$M$18,8,FALSE)</f>
        <v>1</v>
      </c>
      <c r="Y1161" s="81">
        <f>HLOOKUP(R1161,データについて!$J$12:$M$18,7,FALSE)</f>
        <v>1</v>
      </c>
      <c r="Z1161" s="81">
        <f>HLOOKUP(I1161,データについて!$J$3:$M$18,16,FALSE)</f>
        <v>1</v>
      </c>
      <c r="AA1161" s="81">
        <f>IFERROR(HLOOKUP(J1161,データについて!$J$4:$AH$19,16,FALSE),"")</f>
        <v>8</v>
      </c>
      <c r="AB1161" s="81" t="str">
        <f>IFERROR(HLOOKUP(K1161,データについて!$J$5:$AH$20,14,FALSE),"")</f>
        <v/>
      </c>
      <c r="AC1161" s="81">
        <f>IF(X1161=1,HLOOKUP(R1161,データについて!$J$12:$M$18,7,FALSE),"*")</f>
        <v>1</v>
      </c>
      <c r="AD1161" s="81" t="str">
        <f>IF(X1161=2,HLOOKUP(R1161,データについて!$J$12:$M$18,7,FALSE),"*")</f>
        <v>*</v>
      </c>
    </row>
    <row r="1162" spans="1:30">
      <c r="A1162" s="30">
        <v>4030</v>
      </c>
      <c r="B1162" s="30" t="s">
        <v>3771</v>
      </c>
      <c r="C1162" s="30" t="s">
        <v>3772</v>
      </c>
      <c r="D1162" s="30" t="s">
        <v>106</v>
      </c>
      <c r="E1162" s="30"/>
      <c r="F1162" s="30" t="s">
        <v>107</v>
      </c>
      <c r="G1162" s="30" t="s">
        <v>106</v>
      </c>
      <c r="H1162" s="30"/>
      <c r="I1162" s="30" t="s">
        <v>192</v>
      </c>
      <c r="J1162" s="30" t="s">
        <v>546</v>
      </c>
      <c r="K1162" s="30"/>
      <c r="L1162" s="30" t="s">
        <v>108</v>
      </c>
      <c r="M1162" s="30" t="s">
        <v>113</v>
      </c>
      <c r="N1162" s="30" t="s">
        <v>114</v>
      </c>
      <c r="O1162" s="30" t="s">
        <v>115</v>
      </c>
      <c r="P1162" s="30" t="s">
        <v>112</v>
      </c>
      <c r="Q1162" s="30" t="s">
        <v>112</v>
      </c>
      <c r="R1162" s="30" t="s">
        <v>185</v>
      </c>
      <c r="S1162" s="81">
        <f>HLOOKUP(L1162,データについて!$J$6:$M$18,13,FALSE)</f>
        <v>1</v>
      </c>
      <c r="T1162" s="81">
        <f>HLOOKUP(M1162,データについて!$J$7:$M$18,12,FALSE)</f>
        <v>1</v>
      </c>
      <c r="U1162" s="81">
        <f>HLOOKUP(N1162,データについて!$J$8:$M$18,11,FALSE)</f>
        <v>1</v>
      </c>
      <c r="V1162" s="81">
        <f>HLOOKUP(O1162,データについて!$J$9:$M$18,10,FALSE)</f>
        <v>1</v>
      </c>
      <c r="W1162" s="81">
        <f>HLOOKUP(P1162,データについて!$J$10:$M$18,9,FALSE)</f>
        <v>1</v>
      </c>
      <c r="X1162" s="81">
        <f>HLOOKUP(Q1162,データについて!$J$11:$M$18,8,FALSE)</f>
        <v>1</v>
      </c>
      <c r="Y1162" s="81">
        <f>HLOOKUP(R1162,データについて!$J$12:$M$18,7,FALSE)</f>
        <v>2</v>
      </c>
      <c r="Z1162" s="81">
        <f>HLOOKUP(I1162,データについて!$J$3:$M$18,16,FALSE)</f>
        <v>1</v>
      </c>
      <c r="AA1162" s="81">
        <f>IFERROR(HLOOKUP(J1162,データについて!$J$4:$AH$19,16,FALSE),"")</f>
        <v>8</v>
      </c>
      <c r="AB1162" s="81" t="str">
        <f>IFERROR(HLOOKUP(K1162,データについて!$J$5:$AH$20,14,FALSE),"")</f>
        <v/>
      </c>
      <c r="AC1162" s="81">
        <f>IF(X1162=1,HLOOKUP(R1162,データについて!$J$12:$M$18,7,FALSE),"*")</f>
        <v>2</v>
      </c>
      <c r="AD1162" s="81" t="str">
        <f>IF(X1162=2,HLOOKUP(R1162,データについて!$J$12:$M$18,7,FALSE),"*")</f>
        <v>*</v>
      </c>
    </row>
    <row r="1163" spans="1:30">
      <c r="A1163" s="30">
        <v>4029</v>
      </c>
      <c r="B1163" s="30" t="s">
        <v>3773</v>
      </c>
      <c r="C1163" s="30" t="s">
        <v>3774</v>
      </c>
      <c r="D1163" s="30" t="s">
        <v>106</v>
      </c>
      <c r="E1163" s="30"/>
      <c r="F1163" s="30" t="s">
        <v>107</v>
      </c>
      <c r="G1163" s="30" t="s">
        <v>106</v>
      </c>
      <c r="H1163" s="30"/>
      <c r="I1163" s="30" t="s">
        <v>192</v>
      </c>
      <c r="J1163" s="30" t="s">
        <v>630</v>
      </c>
      <c r="K1163" s="30"/>
      <c r="L1163" s="30" t="s">
        <v>108</v>
      </c>
      <c r="M1163" s="30" t="s">
        <v>113</v>
      </c>
      <c r="N1163" s="30" t="s">
        <v>114</v>
      </c>
      <c r="O1163" s="30" t="s">
        <v>115</v>
      </c>
      <c r="P1163" s="30" t="s">
        <v>112</v>
      </c>
      <c r="Q1163" s="30" t="s">
        <v>118</v>
      </c>
      <c r="R1163" s="30" t="s">
        <v>183</v>
      </c>
      <c r="S1163" s="81">
        <f>HLOOKUP(L1163,データについて!$J$6:$M$18,13,FALSE)</f>
        <v>1</v>
      </c>
      <c r="T1163" s="81">
        <f>HLOOKUP(M1163,データについて!$J$7:$M$18,12,FALSE)</f>
        <v>1</v>
      </c>
      <c r="U1163" s="81">
        <f>HLOOKUP(N1163,データについて!$J$8:$M$18,11,FALSE)</f>
        <v>1</v>
      </c>
      <c r="V1163" s="81">
        <f>HLOOKUP(O1163,データについて!$J$9:$M$18,10,FALSE)</f>
        <v>1</v>
      </c>
      <c r="W1163" s="81">
        <f>HLOOKUP(P1163,データについて!$J$10:$M$18,9,FALSE)</f>
        <v>1</v>
      </c>
      <c r="X1163" s="81">
        <f>HLOOKUP(Q1163,データについて!$J$11:$M$18,8,FALSE)</f>
        <v>2</v>
      </c>
      <c r="Y1163" s="81">
        <f>HLOOKUP(R1163,データについて!$J$12:$M$18,7,FALSE)</f>
        <v>1</v>
      </c>
      <c r="Z1163" s="81">
        <f>HLOOKUP(I1163,データについて!$J$3:$M$18,16,FALSE)</f>
        <v>1</v>
      </c>
      <c r="AA1163" s="81">
        <f>IFERROR(HLOOKUP(J1163,データについて!$J$4:$AH$19,16,FALSE),"")</f>
        <v>4</v>
      </c>
      <c r="AB1163" s="81" t="str">
        <f>IFERROR(HLOOKUP(K1163,データについて!$J$5:$AH$20,14,FALSE),"")</f>
        <v/>
      </c>
      <c r="AC1163" s="81" t="str">
        <f>IF(X1163=1,HLOOKUP(R1163,データについて!$J$12:$M$18,7,FALSE),"*")</f>
        <v>*</v>
      </c>
      <c r="AD1163" s="81">
        <f>IF(X1163=2,HLOOKUP(R1163,データについて!$J$12:$M$18,7,FALSE),"*")</f>
        <v>1</v>
      </c>
    </row>
    <row r="1164" spans="1:30">
      <c r="A1164" s="30">
        <v>4028</v>
      </c>
      <c r="B1164" s="30" t="s">
        <v>3775</v>
      </c>
      <c r="C1164" s="30" t="s">
        <v>3776</v>
      </c>
      <c r="D1164" s="30" t="s">
        <v>106</v>
      </c>
      <c r="E1164" s="30"/>
      <c r="F1164" s="30" t="s">
        <v>107</v>
      </c>
      <c r="G1164" s="30" t="s">
        <v>106</v>
      </c>
      <c r="H1164" s="30"/>
      <c r="I1164" s="30" t="s">
        <v>192</v>
      </c>
      <c r="J1164" s="30" t="s">
        <v>546</v>
      </c>
      <c r="K1164" s="30"/>
      <c r="L1164" s="30" t="s">
        <v>108</v>
      </c>
      <c r="M1164" s="30" t="s">
        <v>113</v>
      </c>
      <c r="N1164" s="30" t="s">
        <v>110</v>
      </c>
      <c r="O1164" s="30" t="s">
        <v>115</v>
      </c>
      <c r="P1164" s="30" t="s">
        <v>112</v>
      </c>
      <c r="Q1164" s="30" t="s">
        <v>112</v>
      </c>
      <c r="R1164" s="30" t="s">
        <v>189</v>
      </c>
      <c r="S1164" s="81">
        <f>HLOOKUP(L1164,データについて!$J$6:$M$18,13,FALSE)</f>
        <v>1</v>
      </c>
      <c r="T1164" s="81">
        <f>HLOOKUP(M1164,データについて!$J$7:$M$18,12,FALSE)</f>
        <v>1</v>
      </c>
      <c r="U1164" s="81">
        <f>HLOOKUP(N1164,データについて!$J$8:$M$18,11,FALSE)</f>
        <v>2</v>
      </c>
      <c r="V1164" s="81">
        <f>HLOOKUP(O1164,データについて!$J$9:$M$18,10,FALSE)</f>
        <v>1</v>
      </c>
      <c r="W1164" s="81">
        <f>HLOOKUP(P1164,データについて!$J$10:$M$18,9,FALSE)</f>
        <v>1</v>
      </c>
      <c r="X1164" s="81">
        <f>HLOOKUP(Q1164,データについて!$J$11:$M$18,8,FALSE)</f>
        <v>1</v>
      </c>
      <c r="Y1164" s="81">
        <f>HLOOKUP(R1164,データについて!$J$12:$M$18,7,FALSE)</f>
        <v>4</v>
      </c>
      <c r="Z1164" s="81">
        <f>HLOOKUP(I1164,データについて!$J$3:$M$18,16,FALSE)</f>
        <v>1</v>
      </c>
      <c r="AA1164" s="81">
        <f>IFERROR(HLOOKUP(J1164,データについて!$J$4:$AH$19,16,FALSE),"")</f>
        <v>8</v>
      </c>
      <c r="AB1164" s="81" t="str">
        <f>IFERROR(HLOOKUP(K1164,データについて!$J$5:$AH$20,14,FALSE),"")</f>
        <v/>
      </c>
      <c r="AC1164" s="81">
        <f>IF(X1164=1,HLOOKUP(R1164,データについて!$J$12:$M$18,7,FALSE),"*")</f>
        <v>4</v>
      </c>
      <c r="AD1164" s="81" t="str">
        <f>IF(X1164=2,HLOOKUP(R1164,データについて!$J$12:$M$18,7,FALSE),"*")</f>
        <v>*</v>
      </c>
    </row>
    <row r="1165" spans="1:30">
      <c r="A1165" s="30">
        <v>4027</v>
      </c>
      <c r="B1165" s="30" t="s">
        <v>3777</v>
      </c>
      <c r="C1165" s="30" t="s">
        <v>3778</v>
      </c>
      <c r="D1165" s="30" t="s">
        <v>106</v>
      </c>
      <c r="E1165" s="30"/>
      <c r="F1165" s="30" t="s">
        <v>107</v>
      </c>
      <c r="G1165" s="30" t="s">
        <v>106</v>
      </c>
      <c r="H1165" s="30"/>
      <c r="I1165" s="30" t="s">
        <v>192</v>
      </c>
      <c r="J1165" s="30" t="s">
        <v>546</v>
      </c>
      <c r="K1165" s="30"/>
      <c r="L1165" s="30" t="s">
        <v>117</v>
      </c>
      <c r="M1165" s="30" t="s">
        <v>109</v>
      </c>
      <c r="N1165" s="30" t="s">
        <v>110</v>
      </c>
      <c r="O1165" s="30" t="s">
        <v>115</v>
      </c>
      <c r="P1165" s="30" t="s">
        <v>112</v>
      </c>
      <c r="Q1165" s="30" t="s">
        <v>118</v>
      </c>
      <c r="R1165" s="30" t="s">
        <v>185</v>
      </c>
      <c r="S1165" s="81">
        <f>HLOOKUP(L1165,データについて!$J$6:$M$18,13,FALSE)</f>
        <v>2</v>
      </c>
      <c r="T1165" s="81">
        <f>HLOOKUP(M1165,データについて!$J$7:$M$18,12,FALSE)</f>
        <v>2</v>
      </c>
      <c r="U1165" s="81">
        <f>HLOOKUP(N1165,データについて!$J$8:$M$18,11,FALSE)</f>
        <v>2</v>
      </c>
      <c r="V1165" s="81">
        <f>HLOOKUP(O1165,データについて!$J$9:$M$18,10,FALSE)</f>
        <v>1</v>
      </c>
      <c r="W1165" s="81">
        <f>HLOOKUP(P1165,データについて!$J$10:$M$18,9,FALSE)</f>
        <v>1</v>
      </c>
      <c r="X1165" s="81">
        <f>HLOOKUP(Q1165,データについて!$J$11:$M$18,8,FALSE)</f>
        <v>2</v>
      </c>
      <c r="Y1165" s="81">
        <f>HLOOKUP(R1165,データについて!$J$12:$M$18,7,FALSE)</f>
        <v>2</v>
      </c>
      <c r="Z1165" s="81">
        <f>HLOOKUP(I1165,データについて!$J$3:$M$18,16,FALSE)</f>
        <v>1</v>
      </c>
      <c r="AA1165" s="81">
        <f>IFERROR(HLOOKUP(J1165,データについて!$J$4:$AH$19,16,FALSE),"")</f>
        <v>8</v>
      </c>
      <c r="AB1165" s="81" t="str">
        <f>IFERROR(HLOOKUP(K1165,データについて!$J$5:$AH$20,14,FALSE),"")</f>
        <v/>
      </c>
      <c r="AC1165" s="81" t="str">
        <f>IF(X1165=1,HLOOKUP(R1165,データについて!$J$12:$M$18,7,FALSE),"*")</f>
        <v>*</v>
      </c>
      <c r="AD1165" s="81">
        <f>IF(X1165=2,HLOOKUP(R1165,データについて!$J$12:$M$18,7,FALSE),"*")</f>
        <v>2</v>
      </c>
    </row>
    <row r="1166" spans="1:30">
      <c r="A1166" s="30">
        <v>4026</v>
      </c>
      <c r="B1166" s="30" t="s">
        <v>3779</v>
      </c>
      <c r="C1166" s="30" t="s">
        <v>3780</v>
      </c>
      <c r="D1166" s="30" t="s">
        <v>106</v>
      </c>
      <c r="E1166" s="30"/>
      <c r="F1166" s="30" t="s">
        <v>107</v>
      </c>
      <c r="G1166" s="30" t="s">
        <v>106</v>
      </c>
      <c r="H1166" s="30"/>
      <c r="I1166" s="30" t="s">
        <v>192</v>
      </c>
      <c r="J1166" s="30" t="s">
        <v>546</v>
      </c>
      <c r="K1166" s="30"/>
      <c r="L1166" s="30" t="s">
        <v>108</v>
      </c>
      <c r="M1166" s="30" t="s">
        <v>113</v>
      </c>
      <c r="N1166" s="30" t="s">
        <v>114</v>
      </c>
      <c r="O1166" s="30" t="s">
        <v>111</v>
      </c>
      <c r="P1166" s="30" t="s">
        <v>118</v>
      </c>
      <c r="Q1166" s="30" t="s">
        <v>118</v>
      </c>
      <c r="R1166" s="30" t="s">
        <v>185</v>
      </c>
      <c r="S1166" s="81">
        <f>HLOOKUP(L1166,データについて!$J$6:$M$18,13,FALSE)</f>
        <v>1</v>
      </c>
      <c r="T1166" s="81">
        <f>HLOOKUP(M1166,データについて!$J$7:$M$18,12,FALSE)</f>
        <v>1</v>
      </c>
      <c r="U1166" s="81">
        <f>HLOOKUP(N1166,データについて!$J$8:$M$18,11,FALSE)</f>
        <v>1</v>
      </c>
      <c r="V1166" s="81">
        <f>HLOOKUP(O1166,データについて!$J$9:$M$18,10,FALSE)</f>
        <v>3</v>
      </c>
      <c r="W1166" s="81">
        <f>HLOOKUP(P1166,データについて!$J$10:$M$18,9,FALSE)</f>
        <v>2</v>
      </c>
      <c r="X1166" s="81">
        <f>HLOOKUP(Q1166,データについて!$J$11:$M$18,8,FALSE)</f>
        <v>2</v>
      </c>
      <c r="Y1166" s="81">
        <f>HLOOKUP(R1166,データについて!$J$12:$M$18,7,FALSE)</f>
        <v>2</v>
      </c>
      <c r="Z1166" s="81">
        <f>HLOOKUP(I1166,データについて!$J$3:$M$18,16,FALSE)</f>
        <v>1</v>
      </c>
      <c r="AA1166" s="81">
        <f>IFERROR(HLOOKUP(J1166,データについて!$J$4:$AH$19,16,FALSE),"")</f>
        <v>8</v>
      </c>
      <c r="AB1166" s="81" t="str">
        <f>IFERROR(HLOOKUP(K1166,データについて!$J$5:$AH$20,14,FALSE),"")</f>
        <v/>
      </c>
      <c r="AC1166" s="81" t="str">
        <f>IF(X1166=1,HLOOKUP(R1166,データについて!$J$12:$M$18,7,FALSE),"*")</f>
        <v>*</v>
      </c>
      <c r="AD1166" s="81">
        <f>IF(X1166=2,HLOOKUP(R1166,データについて!$J$12:$M$18,7,FALSE),"*")</f>
        <v>2</v>
      </c>
    </row>
    <row r="1167" spans="1:30">
      <c r="A1167" s="30">
        <v>4025</v>
      </c>
      <c r="B1167" s="30" t="s">
        <v>3781</v>
      </c>
      <c r="C1167" s="30" t="s">
        <v>3782</v>
      </c>
      <c r="D1167" s="30" t="s">
        <v>106</v>
      </c>
      <c r="E1167" s="30"/>
      <c r="F1167" s="30" t="s">
        <v>107</v>
      </c>
      <c r="G1167" s="30" t="s">
        <v>106</v>
      </c>
      <c r="H1167" s="30"/>
      <c r="I1167" s="30" t="s">
        <v>192</v>
      </c>
      <c r="J1167" s="30" t="s">
        <v>546</v>
      </c>
      <c r="K1167" s="30"/>
      <c r="L1167" s="30" t="s">
        <v>108</v>
      </c>
      <c r="M1167" s="30" t="s">
        <v>113</v>
      </c>
      <c r="N1167" s="30" t="s">
        <v>114</v>
      </c>
      <c r="O1167" s="30" t="s">
        <v>115</v>
      </c>
      <c r="P1167" s="30" t="s">
        <v>112</v>
      </c>
      <c r="Q1167" s="30" t="s">
        <v>118</v>
      </c>
      <c r="R1167" s="30" t="s">
        <v>185</v>
      </c>
      <c r="S1167" s="81">
        <f>HLOOKUP(L1167,データについて!$J$6:$M$18,13,FALSE)</f>
        <v>1</v>
      </c>
      <c r="T1167" s="81">
        <f>HLOOKUP(M1167,データについて!$J$7:$M$18,12,FALSE)</f>
        <v>1</v>
      </c>
      <c r="U1167" s="81">
        <f>HLOOKUP(N1167,データについて!$J$8:$M$18,11,FALSE)</f>
        <v>1</v>
      </c>
      <c r="V1167" s="81">
        <f>HLOOKUP(O1167,データについて!$J$9:$M$18,10,FALSE)</f>
        <v>1</v>
      </c>
      <c r="W1167" s="81">
        <f>HLOOKUP(P1167,データについて!$J$10:$M$18,9,FALSE)</f>
        <v>1</v>
      </c>
      <c r="X1167" s="81">
        <f>HLOOKUP(Q1167,データについて!$J$11:$M$18,8,FALSE)</f>
        <v>2</v>
      </c>
      <c r="Y1167" s="81">
        <f>HLOOKUP(R1167,データについて!$J$12:$M$18,7,FALSE)</f>
        <v>2</v>
      </c>
      <c r="Z1167" s="81">
        <f>HLOOKUP(I1167,データについて!$J$3:$M$18,16,FALSE)</f>
        <v>1</v>
      </c>
      <c r="AA1167" s="81">
        <f>IFERROR(HLOOKUP(J1167,データについて!$J$4:$AH$19,16,FALSE),"")</f>
        <v>8</v>
      </c>
      <c r="AB1167" s="81" t="str">
        <f>IFERROR(HLOOKUP(K1167,データについて!$J$5:$AH$20,14,FALSE),"")</f>
        <v/>
      </c>
      <c r="AC1167" s="81" t="str">
        <f>IF(X1167=1,HLOOKUP(R1167,データについて!$J$12:$M$18,7,FALSE),"*")</f>
        <v>*</v>
      </c>
      <c r="AD1167" s="81">
        <f>IF(X1167=2,HLOOKUP(R1167,データについて!$J$12:$M$18,7,FALSE),"*")</f>
        <v>2</v>
      </c>
    </row>
    <row r="1168" spans="1:30">
      <c r="A1168" s="30">
        <v>4024</v>
      </c>
      <c r="B1168" s="30" t="s">
        <v>3783</v>
      </c>
      <c r="C1168" s="30" t="s">
        <v>3784</v>
      </c>
      <c r="D1168" s="30" t="s">
        <v>106</v>
      </c>
      <c r="E1168" s="30"/>
      <c r="F1168" s="30" t="s">
        <v>107</v>
      </c>
      <c r="G1168" s="30" t="s">
        <v>106</v>
      </c>
      <c r="H1168" s="30"/>
      <c r="I1168" s="30" t="s">
        <v>192</v>
      </c>
      <c r="J1168" s="30" t="s">
        <v>546</v>
      </c>
      <c r="K1168" s="30"/>
      <c r="L1168" s="30" t="s">
        <v>117</v>
      </c>
      <c r="M1168" s="30" t="s">
        <v>109</v>
      </c>
      <c r="N1168" s="30" t="s">
        <v>110</v>
      </c>
      <c r="O1168" s="30" t="s">
        <v>115</v>
      </c>
      <c r="P1168" s="30" t="s">
        <v>112</v>
      </c>
      <c r="Q1168" s="30" t="s">
        <v>112</v>
      </c>
      <c r="R1168" s="30" t="s">
        <v>185</v>
      </c>
      <c r="S1168" s="81">
        <f>HLOOKUP(L1168,データについて!$J$6:$M$18,13,FALSE)</f>
        <v>2</v>
      </c>
      <c r="T1168" s="81">
        <f>HLOOKUP(M1168,データについて!$J$7:$M$18,12,FALSE)</f>
        <v>2</v>
      </c>
      <c r="U1168" s="81">
        <f>HLOOKUP(N1168,データについて!$J$8:$M$18,11,FALSE)</f>
        <v>2</v>
      </c>
      <c r="V1168" s="81">
        <f>HLOOKUP(O1168,データについて!$J$9:$M$18,10,FALSE)</f>
        <v>1</v>
      </c>
      <c r="W1168" s="81">
        <f>HLOOKUP(P1168,データについて!$J$10:$M$18,9,FALSE)</f>
        <v>1</v>
      </c>
      <c r="X1168" s="81">
        <f>HLOOKUP(Q1168,データについて!$J$11:$M$18,8,FALSE)</f>
        <v>1</v>
      </c>
      <c r="Y1168" s="81">
        <f>HLOOKUP(R1168,データについて!$J$12:$M$18,7,FALSE)</f>
        <v>2</v>
      </c>
      <c r="Z1168" s="81">
        <f>HLOOKUP(I1168,データについて!$J$3:$M$18,16,FALSE)</f>
        <v>1</v>
      </c>
      <c r="AA1168" s="81">
        <f>IFERROR(HLOOKUP(J1168,データについて!$J$4:$AH$19,16,FALSE),"")</f>
        <v>8</v>
      </c>
      <c r="AB1168" s="81" t="str">
        <f>IFERROR(HLOOKUP(K1168,データについて!$J$5:$AH$20,14,FALSE),"")</f>
        <v/>
      </c>
      <c r="AC1168" s="81">
        <f>IF(X1168=1,HLOOKUP(R1168,データについて!$J$12:$M$18,7,FALSE),"*")</f>
        <v>2</v>
      </c>
      <c r="AD1168" s="81" t="str">
        <f>IF(X1168=2,HLOOKUP(R1168,データについて!$J$12:$M$18,7,FALSE),"*")</f>
        <v>*</v>
      </c>
    </row>
    <row r="1169" spans="1:30">
      <c r="A1169" s="30">
        <v>4023</v>
      </c>
      <c r="B1169" s="30" t="s">
        <v>3785</v>
      </c>
      <c r="C1169" s="30" t="s">
        <v>3786</v>
      </c>
      <c r="D1169" s="30" t="s">
        <v>106</v>
      </c>
      <c r="E1169" s="30"/>
      <c r="F1169" s="30" t="s">
        <v>107</v>
      </c>
      <c r="G1169" s="30" t="s">
        <v>106</v>
      </c>
      <c r="H1169" s="30"/>
      <c r="I1169" s="30" t="s">
        <v>192</v>
      </c>
      <c r="J1169" s="30" t="s">
        <v>546</v>
      </c>
      <c r="K1169" s="30"/>
      <c r="L1169" s="30" t="s">
        <v>117</v>
      </c>
      <c r="M1169" s="30" t="s">
        <v>109</v>
      </c>
      <c r="N1169" s="30" t="s">
        <v>110</v>
      </c>
      <c r="O1169" s="30" t="s">
        <v>115</v>
      </c>
      <c r="P1169" s="30" t="s">
        <v>112</v>
      </c>
      <c r="Q1169" s="30" t="s">
        <v>112</v>
      </c>
      <c r="R1169" s="30" t="s">
        <v>187</v>
      </c>
      <c r="S1169" s="81">
        <f>HLOOKUP(L1169,データについて!$J$6:$M$18,13,FALSE)</f>
        <v>2</v>
      </c>
      <c r="T1169" s="81">
        <f>HLOOKUP(M1169,データについて!$J$7:$M$18,12,FALSE)</f>
        <v>2</v>
      </c>
      <c r="U1169" s="81">
        <f>HLOOKUP(N1169,データについて!$J$8:$M$18,11,FALSE)</f>
        <v>2</v>
      </c>
      <c r="V1169" s="81">
        <f>HLOOKUP(O1169,データについて!$J$9:$M$18,10,FALSE)</f>
        <v>1</v>
      </c>
      <c r="W1169" s="81">
        <f>HLOOKUP(P1169,データについて!$J$10:$M$18,9,FALSE)</f>
        <v>1</v>
      </c>
      <c r="X1169" s="81">
        <f>HLOOKUP(Q1169,データについて!$J$11:$M$18,8,FALSE)</f>
        <v>1</v>
      </c>
      <c r="Y1169" s="81">
        <f>HLOOKUP(R1169,データについて!$J$12:$M$18,7,FALSE)</f>
        <v>3</v>
      </c>
      <c r="Z1169" s="81">
        <f>HLOOKUP(I1169,データについて!$J$3:$M$18,16,FALSE)</f>
        <v>1</v>
      </c>
      <c r="AA1169" s="81">
        <f>IFERROR(HLOOKUP(J1169,データについて!$J$4:$AH$19,16,FALSE),"")</f>
        <v>8</v>
      </c>
      <c r="AB1169" s="81" t="str">
        <f>IFERROR(HLOOKUP(K1169,データについて!$J$5:$AH$20,14,FALSE),"")</f>
        <v/>
      </c>
      <c r="AC1169" s="81">
        <f>IF(X1169=1,HLOOKUP(R1169,データについて!$J$12:$M$18,7,FALSE),"*")</f>
        <v>3</v>
      </c>
      <c r="AD1169" s="81" t="str">
        <f>IF(X1169=2,HLOOKUP(R1169,データについて!$J$12:$M$18,7,FALSE),"*")</f>
        <v>*</v>
      </c>
    </row>
    <row r="1170" spans="1:30">
      <c r="A1170" s="30">
        <v>4022</v>
      </c>
      <c r="B1170" s="30" t="s">
        <v>3787</v>
      </c>
      <c r="C1170" s="30" t="s">
        <v>3788</v>
      </c>
      <c r="D1170" s="30" t="s">
        <v>106</v>
      </c>
      <c r="E1170" s="30"/>
      <c r="F1170" s="30" t="s">
        <v>107</v>
      </c>
      <c r="G1170" s="30" t="s">
        <v>106</v>
      </c>
      <c r="H1170" s="30"/>
      <c r="I1170" s="30" t="s">
        <v>192</v>
      </c>
      <c r="J1170" s="30" t="s">
        <v>546</v>
      </c>
      <c r="K1170" s="30"/>
      <c r="L1170" s="30" t="s">
        <v>108</v>
      </c>
      <c r="M1170" s="30" t="s">
        <v>113</v>
      </c>
      <c r="N1170" s="30" t="s">
        <v>114</v>
      </c>
      <c r="O1170" s="30" t="s">
        <v>115</v>
      </c>
      <c r="P1170" s="30" t="s">
        <v>112</v>
      </c>
      <c r="Q1170" s="30" t="s">
        <v>112</v>
      </c>
      <c r="R1170" s="30" t="s">
        <v>183</v>
      </c>
      <c r="S1170" s="81">
        <f>HLOOKUP(L1170,データについて!$J$6:$M$18,13,FALSE)</f>
        <v>1</v>
      </c>
      <c r="T1170" s="81">
        <f>HLOOKUP(M1170,データについて!$J$7:$M$18,12,FALSE)</f>
        <v>1</v>
      </c>
      <c r="U1170" s="81">
        <f>HLOOKUP(N1170,データについて!$J$8:$M$18,11,FALSE)</f>
        <v>1</v>
      </c>
      <c r="V1170" s="81">
        <f>HLOOKUP(O1170,データについて!$J$9:$M$18,10,FALSE)</f>
        <v>1</v>
      </c>
      <c r="W1170" s="81">
        <f>HLOOKUP(P1170,データについて!$J$10:$M$18,9,FALSE)</f>
        <v>1</v>
      </c>
      <c r="X1170" s="81">
        <f>HLOOKUP(Q1170,データについて!$J$11:$M$18,8,FALSE)</f>
        <v>1</v>
      </c>
      <c r="Y1170" s="81">
        <f>HLOOKUP(R1170,データについて!$J$12:$M$18,7,FALSE)</f>
        <v>1</v>
      </c>
      <c r="Z1170" s="81">
        <f>HLOOKUP(I1170,データについて!$J$3:$M$18,16,FALSE)</f>
        <v>1</v>
      </c>
      <c r="AA1170" s="81">
        <f>IFERROR(HLOOKUP(J1170,データについて!$J$4:$AH$19,16,FALSE),"")</f>
        <v>8</v>
      </c>
      <c r="AB1170" s="81" t="str">
        <f>IFERROR(HLOOKUP(K1170,データについて!$J$5:$AH$20,14,FALSE),"")</f>
        <v/>
      </c>
      <c r="AC1170" s="81">
        <f>IF(X1170=1,HLOOKUP(R1170,データについて!$J$12:$M$18,7,FALSE),"*")</f>
        <v>1</v>
      </c>
      <c r="AD1170" s="81" t="str">
        <f>IF(X1170=2,HLOOKUP(R1170,データについて!$J$12:$M$18,7,FALSE),"*")</f>
        <v>*</v>
      </c>
    </row>
    <row r="1171" spans="1:30">
      <c r="A1171" s="30">
        <v>4021</v>
      </c>
      <c r="B1171" s="30" t="s">
        <v>3789</v>
      </c>
      <c r="C1171" s="30" t="s">
        <v>3790</v>
      </c>
      <c r="D1171" s="30" t="s">
        <v>106</v>
      </c>
      <c r="E1171" s="30"/>
      <c r="F1171" s="30" t="s">
        <v>107</v>
      </c>
      <c r="G1171" s="30" t="s">
        <v>106</v>
      </c>
      <c r="H1171" s="30"/>
      <c r="I1171" s="30" t="s">
        <v>192</v>
      </c>
      <c r="J1171" s="30" t="s">
        <v>546</v>
      </c>
      <c r="K1171" s="30"/>
      <c r="L1171" s="30" t="s">
        <v>117</v>
      </c>
      <c r="M1171" s="30" t="s">
        <v>113</v>
      </c>
      <c r="N1171" s="30" t="s">
        <v>110</v>
      </c>
      <c r="O1171" s="30" t="s">
        <v>115</v>
      </c>
      <c r="P1171" s="30" t="s">
        <v>112</v>
      </c>
      <c r="Q1171" s="30" t="s">
        <v>112</v>
      </c>
      <c r="R1171" s="30" t="s">
        <v>185</v>
      </c>
      <c r="S1171" s="81">
        <f>HLOOKUP(L1171,データについて!$J$6:$M$18,13,FALSE)</f>
        <v>2</v>
      </c>
      <c r="T1171" s="81">
        <f>HLOOKUP(M1171,データについて!$J$7:$M$18,12,FALSE)</f>
        <v>1</v>
      </c>
      <c r="U1171" s="81">
        <f>HLOOKUP(N1171,データについて!$J$8:$M$18,11,FALSE)</f>
        <v>2</v>
      </c>
      <c r="V1171" s="81">
        <f>HLOOKUP(O1171,データについて!$J$9:$M$18,10,FALSE)</f>
        <v>1</v>
      </c>
      <c r="W1171" s="81">
        <f>HLOOKUP(P1171,データについて!$J$10:$M$18,9,FALSE)</f>
        <v>1</v>
      </c>
      <c r="X1171" s="81">
        <f>HLOOKUP(Q1171,データについて!$J$11:$M$18,8,FALSE)</f>
        <v>1</v>
      </c>
      <c r="Y1171" s="81">
        <f>HLOOKUP(R1171,データについて!$J$12:$M$18,7,FALSE)</f>
        <v>2</v>
      </c>
      <c r="Z1171" s="81">
        <f>HLOOKUP(I1171,データについて!$J$3:$M$18,16,FALSE)</f>
        <v>1</v>
      </c>
      <c r="AA1171" s="81">
        <f>IFERROR(HLOOKUP(J1171,データについて!$J$4:$AH$19,16,FALSE),"")</f>
        <v>8</v>
      </c>
      <c r="AB1171" s="81" t="str">
        <f>IFERROR(HLOOKUP(K1171,データについて!$J$5:$AH$20,14,FALSE),"")</f>
        <v/>
      </c>
      <c r="AC1171" s="81">
        <f>IF(X1171=1,HLOOKUP(R1171,データについて!$J$12:$M$18,7,FALSE),"*")</f>
        <v>2</v>
      </c>
      <c r="AD1171" s="81" t="str">
        <f>IF(X1171=2,HLOOKUP(R1171,データについて!$J$12:$M$18,7,FALSE),"*")</f>
        <v>*</v>
      </c>
    </row>
    <row r="1172" spans="1:30">
      <c r="A1172" s="30">
        <v>4020</v>
      </c>
      <c r="B1172" s="30" t="s">
        <v>3791</v>
      </c>
      <c r="C1172" s="30" t="s">
        <v>3792</v>
      </c>
      <c r="D1172" s="30" t="s">
        <v>106</v>
      </c>
      <c r="E1172" s="30"/>
      <c r="F1172" s="30" t="s">
        <v>107</v>
      </c>
      <c r="G1172" s="30" t="s">
        <v>106</v>
      </c>
      <c r="H1172" s="30"/>
      <c r="I1172" s="30" t="s">
        <v>192</v>
      </c>
      <c r="J1172" s="30" t="s">
        <v>125</v>
      </c>
      <c r="K1172" s="30"/>
      <c r="L1172" s="30" t="s">
        <v>117</v>
      </c>
      <c r="M1172" s="30" t="s">
        <v>109</v>
      </c>
      <c r="N1172" s="30" t="s">
        <v>110</v>
      </c>
      <c r="O1172" s="30" t="s">
        <v>115</v>
      </c>
      <c r="P1172" s="30" t="s">
        <v>112</v>
      </c>
      <c r="Q1172" s="30" t="s">
        <v>112</v>
      </c>
      <c r="R1172" s="30" t="s">
        <v>185</v>
      </c>
      <c r="S1172" s="81">
        <f>HLOOKUP(L1172,データについて!$J$6:$M$18,13,FALSE)</f>
        <v>2</v>
      </c>
      <c r="T1172" s="81">
        <f>HLOOKUP(M1172,データについて!$J$7:$M$18,12,FALSE)</f>
        <v>2</v>
      </c>
      <c r="U1172" s="81">
        <f>HLOOKUP(N1172,データについて!$J$8:$M$18,11,FALSE)</f>
        <v>2</v>
      </c>
      <c r="V1172" s="81">
        <f>HLOOKUP(O1172,データについて!$J$9:$M$18,10,FALSE)</f>
        <v>1</v>
      </c>
      <c r="W1172" s="81">
        <f>HLOOKUP(P1172,データについて!$J$10:$M$18,9,FALSE)</f>
        <v>1</v>
      </c>
      <c r="X1172" s="81">
        <f>HLOOKUP(Q1172,データについて!$J$11:$M$18,8,FALSE)</f>
        <v>1</v>
      </c>
      <c r="Y1172" s="81">
        <f>HLOOKUP(R1172,データについて!$J$12:$M$18,7,FALSE)</f>
        <v>2</v>
      </c>
      <c r="Z1172" s="81">
        <f>HLOOKUP(I1172,データについて!$J$3:$M$18,16,FALSE)</f>
        <v>1</v>
      </c>
      <c r="AA1172" s="81">
        <f>IFERROR(HLOOKUP(J1172,データについて!$J$4:$AH$19,16,FALSE),"")</f>
        <v>6</v>
      </c>
      <c r="AB1172" s="81" t="str">
        <f>IFERROR(HLOOKUP(K1172,データについて!$J$5:$AH$20,14,FALSE),"")</f>
        <v/>
      </c>
      <c r="AC1172" s="81">
        <f>IF(X1172=1,HLOOKUP(R1172,データについて!$J$12:$M$18,7,FALSE),"*")</f>
        <v>2</v>
      </c>
      <c r="AD1172" s="81" t="str">
        <f>IF(X1172=2,HLOOKUP(R1172,データについて!$J$12:$M$18,7,FALSE),"*")</f>
        <v>*</v>
      </c>
    </row>
    <row r="1173" spans="1:30">
      <c r="A1173" s="30">
        <v>4019</v>
      </c>
      <c r="B1173" s="30" t="s">
        <v>3793</v>
      </c>
      <c r="C1173" s="30" t="s">
        <v>3794</v>
      </c>
      <c r="D1173" s="30" t="s">
        <v>106</v>
      </c>
      <c r="E1173" s="30"/>
      <c r="F1173" s="30" t="s">
        <v>107</v>
      </c>
      <c r="G1173" s="30" t="s">
        <v>106</v>
      </c>
      <c r="H1173" s="30"/>
      <c r="I1173" s="30" t="s">
        <v>192</v>
      </c>
      <c r="J1173" s="30" t="s">
        <v>546</v>
      </c>
      <c r="K1173" s="30"/>
      <c r="L1173" s="30" t="s">
        <v>117</v>
      </c>
      <c r="M1173" s="30" t="s">
        <v>113</v>
      </c>
      <c r="N1173" s="30" t="s">
        <v>114</v>
      </c>
      <c r="O1173" s="30" t="s">
        <v>115</v>
      </c>
      <c r="P1173" s="30" t="s">
        <v>112</v>
      </c>
      <c r="Q1173" s="30" t="s">
        <v>112</v>
      </c>
      <c r="R1173" s="30" t="s">
        <v>183</v>
      </c>
      <c r="S1173" s="81">
        <f>HLOOKUP(L1173,データについて!$J$6:$M$18,13,FALSE)</f>
        <v>2</v>
      </c>
      <c r="T1173" s="81">
        <f>HLOOKUP(M1173,データについて!$J$7:$M$18,12,FALSE)</f>
        <v>1</v>
      </c>
      <c r="U1173" s="81">
        <f>HLOOKUP(N1173,データについて!$J$8:$M$18,11,FALSE)</f>
        <v>1</v>
      </c>
      <c r="V1173" s="81">
        <f>HLOOKUP(O1173,データについて!$J$9:$M$18,10,FALSE)</f>
        <v>1</v>
      </c>
      <c r="W1173" s="81">
        <f>HLOOKUP(P1173,データについて!$J$10:$M$18,9,FALSE)</f>
        <v>1</v>
      </c>
      <c r="X1173" s="81">
        <f>HLOOKUP(Q1173,データについて!$J$11:$M$18,8,FALSE)</f>
        <v>1</v>
      </c>
      <c r="Y1173" s="81">
        <f>HLOOKUP(R1173,データについて!$J$12:$M$18,7,FALSE)</f>
        <v>1</v>
      </c>
      <c r="Z1173" s="81">
        <f>HLOOKUP(I1173,データについて!$J$3:$M$18,16,FALSE)</f>
        <v>1</v>
      </c>
      <c r="AA1173" s="81">
        <f>IFERROR(HLOOKUP(J1173,データについて!$J$4:$AH$19,16,FALSE),"")</f>
        <v>8</v>
      </c>
      <c r="AB1173" s="81" t="str">
        <f>IFERROR(HLOOKUP(K1173,データについて!$J$5:$AH$20,14,FALSE),"")</f>
        <v/>
      </c>
      <c r="AC1173" s="81">
        <f>IF(X1173=1,HLOOKUP(R1173,データについて!$J$12:$M$18,7,FALSE),"*")</f>
        <v>1</v>
      </c>
      <c r="AD1173" s="81" t="str">
        <f>IF(X1173=2,HLOOKUP(R1173,データについて!$J$12:$M$18,7,FALSE),"*")</f>
        <v>*</v>
      </c>
    </row>
    <row r="1174" spans="1:30">
      <c r="A1174" s="30">
        <v>4018</v>
      </c>
      <c r="B1174" s="30" t="s">
        <v>3795</v>
      </c>
      <c r="C1174" s="30" t="s">
        <v>3796</v>
      </c>
      <c r="D1174" s="30" t="s">
        <v>106</v>
      </c>
      <c r="E1174" s="30"/>
      <c r="F1174" s="30" t="s">
        <v>107</v>
      </c>
      <c r="G1174" s="30" t="s">
        <v>106</v>
      </c>
      <c r="H1174" s="30"/>
      <c r="I1174" s="30" t="s">
        <v>192</v>
      </c>
      <c r="J1174" s="30" t="s">
        <v>546</v>
      </c>
      <c r="K1174" s="30"/>
      <c r="L1174" s="30" t="s">
        <v>108</v>
      </c>
      <c r="M1174" s="30" t="s">
        <v>113</v>
      </c>
      <c r="N1174" s="30" t="s">
        <v>114</v>
      </c>
      <c r="O1174" s="30" t="s">
        <v>115</v>
      </c>
      <c r="P1174" s="30" t="s">
        <v>112</v>
      </c>
      <c r="Q1174" s="30" t="s">
        <v>112</v>
      </c>
      <c r="R1174" s="30" t="s">
        <v>185</v>
      </c>
      <c r="S1174" s="81">
        <f>HLOOKUP(L1174,データについて!$J$6:$M$18,13,FALSE)</f>
        <v>1</v>
      </c>
      <c r="T1174" s="81">
        <f>HLOOKUP(M1174,データについて!$J$7:$M$18,12,FALSE)</f>
        <v>1</v>
      </c>
      <c r="U1174" s="81">
        <f>HLOOKUP(N1174,データについて!$J$8:$M$18,11,FALSE)</f>
        <v>1</v>
      </c>
      <c r="V1174" s="81">
        <f>HLOOKUP(O1174,データについて!$J$9:$M$18,10,FALSE)</f>
        <v>1</v>
      </c>
      <c r="W1174" s="81">
        <f>HLOOKUP(P1174,データについて!$J$10:$M$18,9,FALSE)</f>
        <v>1</v>
      </c>
      <c r="X1174" s="81">
        <f>HLOOKUP(Q1174,データについて!$J$11:$M$18,8,FALSE)</f>
        <v>1</v>
      </c>
      <c r="Y1174" s="81">
        <f>HLOOKUP(R1174,データについて!$J$12:$M$18,7,FALSE)</f>
        <v>2</v>
      </c>
      <c r="Z1174" s="81">
        <f>HLOOKUP(I1174,データについて!$J$3:$M$18,16,FALSE)</f>
        <v>1</v>
      </c>
      <c r="AA1174" s="81">
        <f>IFERROR(HLOOKUP(J1174,データについて!$J$4:$AH$19,16,FALSE),"")</f>
        <v>8</v>
      </c>
      <c r="AB1174" s="81" t="str">
        <f>IFERROR(HLOOKUP(K1174,データについて!$J$5:$AH$20,14,FALSE),"")</f>
        <v/>
      </c>
      <c r="AC1174" s="81">
        <f>IF(X1174=1,HLOOKUP(R1174,データについて!$J$12:$M$18,7,FALSE),"*")</f>
        <v>2</v>
      </c>
      <c r="AD1174" s="81" t="str">
        <f>IF(X1174=2,HLOOKUP(R1174,データについて!$J$12:$M$18,7,FALSE),"*")</f>
        <v>*</v>
      </c>
    </row>
    <row r="1175" spans="1:30">
      <c r="A1175" s="30">
        <v>4017</v>
      </c>
      <c r="B1175" s="30" t="s">
        <v>3797</v>
      </c>
      <c r="C1175" s="30" t="s">
        <v>3798</v>
      </c>
      <c r="D1175" s="30" t="s">
        <v>106</v>
      </c>
      <c r="E1175" s="30"/>
      <c r="F1175" s="30" t="s">
        <v>107</v>
      </c>
      <c r="G1175" s="30" t="s">
        <v>106</v>
      </c>
      <c r="H1175" s="30"/>
      <c r="I1175" s="30" t="s">
        <v>192</v>
      </c>
      <c r="J1175" s="30" t="s">
        <v>546</v>
      </c>
      <c r="K1175" s="30"/>
      <c r="L1175" s="30" t="s">
        <v>108</v>
      </c>
      <c r="M1175" s="30" t="s">
        <v>113</v>
      </c>
      <c r="N1175" s="30" t="s">
        <v>114</v>
      </c>
      <c r="O1175" s="30" t="s">
        <v>115</v>
      </c>
      <c r="P1175" s="30" t="s">
        <v>112</v>
      </c>
      <c r="Q1175" s="30" t="s">
        <v>112</v>
      </c>
      <c r="R1175" s="30" t="s">
        <v>187</v>
      </c>
      <c r="S1175" s="81">
        <f>HLOOKUP(L1175,データについて!$J$6:$M$18,13,FALSE)</f>
        <v>1</v>
      </c>
      <c r="T1175" s="81">
        <f>HLOOKUP(M1175,データについて!$J$7:$M$18,12,FALSE)</f>
        <v>1</v>
      </c>
      <c r="U1175" s="81">
        <f>HLOOKUP(N1175,データについて!$J$8:$M$18,11,FALSE)</f>
        <v>1</v>
      </c>
      <c r="V1175" s="81">
        <f>HLOOKUP(O1175,データについて!$J$9:$M$18,10,FALSE)</f>
        <v>1</v>
      </c>
      <c r="W1175" s="81">
        <f>HLOOKUP(P1175,データについて!$J$10:$M$18,9,FALSE)</f>
        <v>1</v>
      </c>
      <c r="X1175" s="81">
        <f>HLOOKUP(Q1175,データについて!$J$11:$M$18,8,FALSE)</f>
        <v>1</v>
      </c>
      <c r="Y1175" s="81">
        <f>HLOOKUP(R1175,データについて!$J$12:$M$18,7,FALSE)</f>
        <v>3</v>
      </c>
      <c r="Z1175" s="81">
        <f>HLOOKUP(I1175,データについて!$J$3:$M$18,16,FALSE)</f>
        <v>1</v>
      </c>
      <c r="AA1175" s="81">
        <f>IFERROR(HLOOKUP(J1175,データについて!$J$4:$AH$19,16,FALSE),"")</f>
        <v>8</v>
      </c>
      <c r="AB1175" s="81" t="str">
        <f>IFERROR(HLOOKUP(K1175,データについて!$J$5:$AH$20,14,FALSE),"")</f>
        <v/>
      </c>
      <c r="AC1175" s="81">
        <f>IF(X1175=1,HLOOKUP(R1175,データについて!$J$12:$M$18,7,FALSE),"*")</f>
        <v>3</v>
      </c>
      <c r="AD1175" s="81" t="str">
        <f>IF(X1175=2,HLOOKUP(R1175,データについて!$J$12:$M$18,7,FALSE),"*")</f>
        <v>*</v>
      </c>
    </row>
    <row r="1176" spans="1:30">
      <c r="A1176" s="30">
        <v>4016</v>
      </c>
      <c r="B1176" s="30" t="s">
        <v>3799</v>
      </c>
      <c r="C1176" s="30" t="s">
        <v>3800</v>
      </c>
      <c r="D1176" s="30" t="s">
        <v>106</v>
      </c>
      <c r="E1176" s="30"/>
      <c r="F1176" s="30" t="s">
        <v>107</v>
      </c>
      <c r="G1176" s="30" t="s">
        <v>106</v>
      </c>
      <c r="H1176" s="30"/>
      <c r="I1176" s="30" t="s">
        <v>192</v>
      </c>
      <c r="J1176" s="30" t="s">
        <v>546</v>
      </c>
      <c r="K1176" s="30"/>
      <c r="L1176" s="30" t="s">
        <v>108</v>
      </c>
      <c r="M1176" s="30" t="s">
        <v>113</v>
      </c>
      <c r="N1176" s="30" t="s">
        <v>114</v>
      </c>
      <c r="O1176" s="30" t="s">
        <v>115</v>
      </c>
      <c r="P1176" s="30" t="s">
        <v>112</v>
      </c>
      <c r="Q1176" s="30" t="s">
        <v>112</v>
      </c>
      <c r="R1176" s="30" t="s">
        <v>183</v>
      </c>
      <c r="S1176" s="81">
        <f>HLOOKUP(L1176,データについて!$J$6:$M$18,13,FALSE)</f>
        <v>1</v>
      </c>
      <c r="T1176" s="81">
        <f>HLOOKUP(M1176,データについて!$J$7:$M$18,12,FALSE)</f>
        <v>1</v>
      </c>
      <c r="U1176" s="81">
        <f>HLOOKUP(N1176,データについて!$J$8:$M$18,11,FALSE)</f>
        <v>1</v>
      </c>
      <c r="V1176" s="81">
        <f>HLOOKUP(O1176,データについて!$J$9:$M$18,10,FALSE)</f>
        <v>1</v>
      </c>
      <c r="W1176" s="81">
        <f>HLOOKUP(P1176,データについて!$J$10:$M$18,9,FALSE)</f>
        <v>1</v>
      </c>
      <c r="X1176" s="81">
        <f>HLOOKUP(Q1176,データについて!$J$11:$M$18,8,FALSE)</f>
        <v>1</v>
      </c>
      <c r="Y1176" s="81">
        <f>HLOOKUP(R1176,データについて!$J$12:$M$18,7,FALSE)</f>
        <v>1</v>
      </c>
      <c r="Z1176" s="81">
        <f>HLOOKUP(I1176,データについて!$J$3:$M$18,16,FALSE)</f>
        <v>1</v>
      </c>
      <c r="AA1176" s="81">
        <f>IFERROR(HLOOKUP(J1176,データについて!$J$4:$AH$19,16,FALSE),"")</f>
        <v>8</v>
      </c>
      <c r="AB1176" s="81" t="str">
        <f>IFERROR(HLOOKUP(K1176,データについて!$J$5:$AH$20,14,FALSE),"")</f>
        <v/>
      </c>
      <c r="AC1176" s="81">
        <f>IF(X1176=1,HLOOKUP(R1176,データについて!$J$12:$M$18,7,FALSE),"*")</f>
        <v>1</v>
      </c>
      <c r="AD1176" s="81" t="str">
        <f>IF(X1176=2,HLOOKUP(R1176,データについて!$J$12:$M$18,7,FALSE),"*")</f>
        <v>*</v>
      </c>
    </row>
    <row r="1177" spans="1:30">
      <c r="A1177" s="30">
        <v>4015</v>
      </c>
      <c r="B1177" s="30" t="s">
        <v>3801</v>
      </c>
      <c r="C1177" s="30" t="s">
        <v>3802</v>
      </c>
      <c r="D1177" s="30" t="s">
        <v>106</v>
      </c>
      <c r="E1177" s="30"/>
      <c r="F1177" s="30" t="s">
        <v>107</v>
      </c>
      <c r="G1177" s="30" t="s">
        <v>106</v>
      </c>
      <c r="H1177" s="30"/>
      <c r="I1177" s="30" t="s">
        <v>192</v>
      </c>
      <c r="J1177" s="30" t="s">
        <v>546</v>
      </c>
      <c r="K1177" s="30"/>
      <c r="L1177" s="30" t="s">
        <v>108</v>
      </c>
      <c r="M1177" s="30" t="s">
        <v>113</v>
      </c>
      <c r="N1177" s="30" t="s">
        <v>114</v>
      </c>
      <c r="O1177" s="30" t="s">
        <v>115</v>
      </c>
      <c r="P1177" s="30" t="s">
        <v>112</v>
      </c>
      <c r="Q1177" s="30" t="s">
        <v>118</v>
      </c>
      <c r="R1177" s="30" t="s">
        <v>189</v>
      </c>
      <c r="S1177" s="81">
        <f>HLOOKUP(L1177,データについて!$J$6:$M$18,13,FALSE)</f>
        <v>1</v>
      </c>
      <c r="T1177" s="81">
        <f>HLOOKUP(M1177,データについて!$J$7:$M$18,12,FALSE)</f>
        <v>1</v>
      </c>
      <c r="U1177" s="81">
        <f>HLOOKUP(N1177,データについて!$J$8:$M$18,11,FALSE)</f>
        <v>1</v>
      </c>
      <c r="V1177" s="81">
        <f>HLOOKUP(O1177,データについて!$J$9:$M$18,10,FALSE)</f>
        <v>1</v>
      </c>
      <c r="W1177" s="81">
        <f>HLOOKUP(P1177,データについて!$J$10:$M$18,9,FALSE)</f>
        <v>1</v>
      </c>
      <c r="X1177" s="81">
        <f>HLOOKUP(Q1177,データについて!$J$11:$M$18,8,FALSE)</f>
        <v>2</v>
      </c>
      <c r="Y1177" s="81">
        <f>HLOOKUP(R1177,データについて!$J$12:$M$18,7,FALSE)</f>
        <v>4</v>
      </c>
      <c r="Z1177" s="81">
        <f>HLOOKUP(I1177,データについて!$J$3:$M$18,16,FALSE)</f>
        <v>1</v>
      </c>
      <c r="AA1177" s="81">
        <f>IFERROR(HLOOKUP(J1177,データについて!$J$4:$AH$19,16,FALSE),"")</f>
        <v>8</v>
      </c>
      <c r="AB1177" s="81" t="str">
        <f>IFERROR(HLOOKUP(K1177,データについて!$J$5:$AH$20,14,FALSE),"")</f>
        <v/>
      </c>
      <c r="AC1177" s="81" t="str">
        <f>IF(X1177=1,HLOOKUP(R1177,データについて!$J$12:$M$18,7,FALSE),"*")</f>
        <v>*</v>
      </c>
      <c r="AD1177" s="81">
        <f>IF(X1177=2,HLOOKUP(R1177,データについて!$J$12:$M$18,7,FALSE),"*")</f>
        <v>4</v>
      </c>
    </row>
    <row r="1178" spans="1:30">
      <c r="A1178" s="30">
        <v>4014</v>
      </c>
      <c r="B1178" s="30" t="s">
        <v>3803</v>
      </c>
      <c r="C1178" s="30" t="s">
        <v>3804</v>
      </c>
      <c r="D1178" s="30" t="s">
        <v>106</v>
      </c>
      <c r="E1178" s="30"/>
      <c r="F1178" s="30" t="s">
        <v>107</v>
      </c>
      <c r="G1178" s="30" t="s">
        <v>106</v>
      </c>
      <c r="H1178" s="30"/>
      <c r="I1178" s="30" t="s">
        <v>192</v>
      </c>
      <c r="J1178" s="30" t="s">
        <v>546</v>
      </c>
      <c r="K1178" s="30"/>
      <c r="L1178" s="30" t="s">
        <v>117</v>
      </c>
      <c r="M1178" s="30" t="s">
        <v>113</v>
      </c>
      <c r="N1178" s="30" t="s">
        <v>122</v>
      </c>
      <c r="O1178" s="30" t="s">
        <v>115</v>
      </c>
      <c r="P1178" s="30" t="s">
        <v>112</v>
      </c>
      <c r="Q1178" s="30" t="s">
        <v>112</v>
      </c>
      <c r="R1178" s="30" t="s">
        <v>185</v>
      </c>
      <c r="S1178" s="81">
        <f>HLOOKUP(L1178,データについて!$J$6:$M$18,13,FALSE)</f>
        <v>2</v>
      </c>
      <c r="T1178" s="81">
        <f>HLOOKUP(M1178,データについて!$J$7:$M$18,12,FALSE)</f>
        <v>1</v>
      </c>
      <c r="U1178" s="81">
        <f>HLOOKUP(N1178,データについて!$J$8:$M$18,11,FALSE)</f>
        <v>3</v>
      </c>
      <c r="V1178" s="81">
        <f>HLOOKUP(O1178,データについて!$J$9:$M$18,10,FALSE)</f>
        <v>1</v>
      </c>
      <c r="W1178" s="81">
        <f>HLOOKUP(P1178,データについて!$J$10:$M$18,9,FALSE)</f>
        <v>1</v>
      </c>
      <c r="X1178" s="81">
        <f>HLOOKUP(Q1178,データについて!$J$11:$M$18,8,FALSE)</f>
        <v>1</v>
      </c>
      <c r="Y1178" s="81">
        <f>HLOOKUP(R1178,データについて!$J$12:$M$18,7,FALSE)</f>
        <v>2</v>
      </c>
      <c r="Z1178" s="81">
        <f>HLOOKUP(I1178,データについて!$J$3:$M$18,16,FALSE)</f>
        <v>1</v>
      </c>
      <c r="AA1178" s="81">
        <f>IFERROR(HLOOKUP(J1178,データについて!$J$4:$AH$19,16,FALSE),"")</f>
        <v>8</v>
      </c>
      <c r="AB1178" s="81" t="str">
        <f>IFERROR(HLOOKUP(K1178,データについて!$J$5:$AH$20,14,FALSE),"")</f>
        <v/>
      </c>
      <c r="AC1178" s="81">
        <f>IF(X1178=1,HLOOKUP(R1178,データについて!$J$12:$M$18,7,FALSE),"*")</f>
        <v>2</v>
      </c>
      <c r="AD1178" s="81" t="str">
        <f>IF(X1178=2,HLOOKUP(R1178,データについて!$J$12:$M$18,7,FALSE),"*")</f>
        <v>*</v>
      </c>
    </row>
    <row r="1179" spans="1:30">
      <c r="A1179" s="30">
        <v>4013</v>
      </c>
      <c r="B1179" s="30" t="s">
        <v>3805</v>
      </c>
      <c r="C1179" s="30" t="s">
        <v>3806</v>
      </c>
      <c r="D1179" s="30" t="s">
        <v>106</v>
      </c>
      <c r="E1179" s="30"/>
      <c r="F1179" s="30" t="s">
        <v>107</v>
      </c>
      <c r="G1179" s="30" t="s">
        <v>106</v>
      </c>
      <c r="H1179" s="30"/>
      <c r="I1179" s="30" t="s">
        <v>192</v>
      </c>
      <c r="J1179" s="30" t="s">
        <v>546</v>
      </c>
      <c r="K1179" s="30"/>
      <c r="L1179" s="30" t="s">
        <v>108</v>
      </c>
      <c r="M1179" s="30" t="s">
        <v>113</v>
      </c>
      <c r="N1179" s="30" t="s">
        <v>114</v>
      </c>
      <c r="O1179" s="30" t="s">
        <v>115</v>
      </c>
      <c r="P1179" s="30" t="s">
        <v>112</v>
      </c>
      <c r="Q1179" s="30" t="s">
        <v>118</v>
      </c>
      <c r="R1179" s="30" t="s">
        <v>187</v>
      </c>
      <c r="S1179" s="81">
        <f>HLOOKUP(L1179,データについて!$J$6:$M$18,13,FALSE)</f>
        <v>1</v>
      </c>
      <c r="T1179" s="81">
        <f>HLOOKUP(M1179,データについて!$J$7:$M$18,12,FALSE)</f>
        <v>1</v>
      </c>
      <c r="U1179" s="81">
        <f>HLOOKUP(N1179,データについて!$J$8:$M$18,11,FALSE)</f>
        <v>1</v>
      </c>
      <c r="V1179" s="81">
        <f>HLOOKUP(O1179,データについて!$J$9:$M$18,10,FALSE)</f>
        <v>1</v>
      </c>
      <c r="W1179" s="81">
        <f>HLOOKUP(P1179,データについて!$J$10:$M$18,9,FALSE)</f>
        <v>1</v>
      </c>
      <c r="X1179" s="81">
        <f>HLOOKUP(Q1179,データについて!$J$11:$M$18,8,FALSE)</f>
        <v>2</v>
      </c>
      <c r="Y1179" s="81">
        <f>HLOOKUP(R1179,データについて!$J$12:$M$18,7,FALSE)</f>
        <v>3</v>
      </c>
      <c r="Z1179" s="81">
        <f>HLOOKUP(I1179,データについて!$J$3:$M$18,16,FALSE)</f>
        <v>1</v>
      </c>
      <c r="AA1179" s="81">
        <f>IFERROR(HLOOKUP(J1179,データについて!$J$4:$AH$19,16,FALSE),"")</f>
        <v>8</v>
      </c>
      <c r="AB1179" s="81" t="str">
        <f>IFERROR(HLOOKUP(K1179,データについて!$J$5:$AH$20,14,FALSE),"")</f>
        <v/>
      </c>
      <c r="AC1179" s="81" t="str">
        <f>IF(X1179=1,HLOOKUP(R1179,データについて!$J$12:$M$18,7,FALSE),"*")</f>
        <v>*</v>
      </c>
      <c r="AD1179" s="81">
        <f>IF(X1179=2,HLOOKUP(R1179,データについて!$J$12:$M$18,7,FALSE),"*")</f>
        <v>3</v>
      </c>
    </row>
    <row r="1180" spans="1:30">
      <c r="A1180" s="30">
        <v>4012</v>
      </c>
      <c r="B1180" s="30" t="s">
        <v>3807</v>
      </c>
      <c r="C1180" s="30" t="s">
        <v>3808</v>
      </c>
      <c r="D1180" s="30" t="s">
        <v>106</v>
      </c>
      <c r="E1180" s="30"/>
      <c r="F1180" s="30" t="s">
        <v>107</v>
      </c>
      <c r="G1180" s="30" t="s">
        <v>106</v>
      </c>
      <c r="H1180" s="30"/>
      <c r="I1180" s="30" t="s">
        <v>192</v>
      </c>
      <c r="J1180" s="30" t="s">
        <v>546</v>
      </c>
      <c r="K1180" s="30"/>
      <c r="L1180" s="30" t="s">
        <v>108</v>
      </c>
      <c r="M1180" s="30" t="s">
        <v>109</v>
      </c>
      <c r="N1180" s="30" t="s">
        <v>114</v>
      </c>
      <c r="O1180" s="30" t="s">
        <v>115</v>
      </c>
      <c r="P1180" s="30" t="s">
        <v>118</v>
      </c>
      <c r="Q1180" s="30" t="s">
        <v>118</v>
      </c>
      <c r="R1180" s="30" t="s">
        <v>189</v>
      </c>
      <c r="S1180" s="81">
        <f>HLOOKUP(L1180,データについて!$J$6:$M$18,13,FALSE)</f>
        <v>1</v>
      </c>
      <c r="T1180" s="81">
        <f>HLOOKUP(M1180,データについて!$J$7:$M$18,12,FALSE)</f>
        <v>2</v>
      </c>
      <c r="U1180" s="81">
        <f>HLOOKUP(N1180,データについて!$J$8:$M$18,11,FALSE)</f>
        <v>1</v>
      </c>
      <c r="V1180" s="81">
        <f>HLOOKUP(O1180,データについて!$J$9:$M$18,10,FALSE)</f>
        <v>1</v>
      </c>
      <c r="W1180" s="81">
        <f>HLOOKUP(P1180,データについて!$J$10:$M$18,9,FALSE)</f>
        <v>2</v>
      </c>
      <c r="X1180" s="81">
        <f>HLOOKUP(Q1180,データについて!$J$11:$M$18,8,FALSE)</f>
        <v>2</v>
      </c>
      <c r="Y1180" s="81">
        <f>HLOOKUP(R1180,データについて!$J$12:$M$18,7,FALSE)</f>
        <v>4</v>
      </c>
      <c r="Z1180" s="81">
        <f>HLOOKUP(I1180,データについて!$J$3:$M$18,16,FALSE)</f>
        <v>1</v>
      </c>
      <c r="AA1180" s="81">
        <f>IFERROR(HLOOKUP(J1180,データについて!$J$4:$AH$19,16,FALSE),"")</f>
        <v>8</v>
      </c>
      <c r="AB1180" s="81" t="str">
        <f>IFERROR(HLOOKUP(K1180,データについて!$J$5:$AH$20,14,FALSE),"")</f>
        <v/>
      </c>
      <c r="AC1180" s="81" t="str">
        <f>IF(X1180=1,HLOOKUP(R1180,データについて!$J$12:$M$18,7,FALSE),"*")</f>
        <v>*</v>
      </c>
      <c r="AD1180" s="81">
        <f>IF(X1180=2,HLOOKUP(R1180,データについて!$J$12:$M$18,7,FALSE),"*")</f>
        <v>4</v>
      </c>
    </row>
    <row r="1181" spans="1:30">
      <c r="A1181" s="30">
        <v>4011</v>
      </c>
      <c r="B1181" s="30" t="s">
        <v>3809</v>
      </c>
      <c r="C1181" s="30" t="s">
        <v>3810</v>
      </c>
      <c r="D1181" s="30" t="s">
        <v>106</v>
      </c>
      <c r="E1181" s="30"/>
      <c r="F1181" s="30" t="s">
        <v>107</v>
      </c>
      <c r="G1181" s="30" t="s">
        <v>106</v>
      </c>
      <c r="H1181" s="30"/>
      <c r="I1181" s="30" t="s">
        <v>192</v>
      </c>
      <c r="J1181" s="30" t="s">
        <v>546</v>
      </c>
      <c r="K1181" s="30"/>
      <c r="L1181" s="30" t="s">
        <v>117</v>
      </c>
      <c r="M1181" s="30" t="s">
        <v>113</v>
      </c>
      <c r="N1181" s="30" t="s">
        <v>114</v>
      </c>
      <c r="O1181" s="30" t="s">
        <v>115</v>
      </c>
      <c r="P1181" s="30" t="s">
        <v>112</v>
      </c>
      <c r="Q1181" s="30" t="s">
        <v>112</v>
      </c>
      <c r="R1181" s="30" t="s">
        <v>183</v>
      </c>
      <c r="S1181" s="81">
        <f>HLOOKUP(L1181,データについて!$J$6:$M$18,13,FALSE)</f>
        <v>2</v>
      </c>
      <c r="T1181" s="81">
        <f>HLOOKUP(M1181,データについて!$J$7:$M$18,12,FALSE)</f>
        <v>1</v>
      </c>
      <c r="U1181" s="81">
        <f>HLOOKUP(N1181,データについて!$J$8:$M$18,11,FALSE)</f>
        <v>1</v>
      </c>
      <c r="V1181" s="81">
        <f>HLOOKUP(O1181,データについて!$J$9:$M$18,10,FALSE)</f>
        <v>1</v>
      </c>
      <c r="W1181" s="81">
        <f>HLOOKUP(P1181,データについて!$J$10:$M$18,9,FALSE)</f>
        <v>1</v>
      </c>
      <c r="X1181" s="81">
        <f>HLOOKUP(Q1181,データについて!$J$11:$M$18,8,FALSE)</f>
        <v>1</v>
      </c>
      <c r="Y1181" s="81">
        <f>HLOOKUP(R1181,データについて!$J$12:$M$18,7,FALSE)</f>
        <v>1</v>
      </c>
      <c r="Z1181" s="81">
        <f>HLOOKUP(I1181,データについて!$J$3:$M$18,16,FALSE)</f>
        <v>1</v>
      </c>
      <c r="AA1181" s="81">
        <f>IFERROR(HLOOKUP(J1181,データについて!$J$4:$AH$19,16,FALSE),"")</f>
        <v>8</v>
      </c>
      <c r="AB1181" s="81" t="str">
        <f>IFERROR(HLOOKUP(K1181,データについて!$J$5:$AH$20,14,FALSE),"")</f>
        <v/>
      </c>
      <c r="AC1181" s="81">
        <f>IF(X1181=1,HLOOKUP(R1181,データについて!$J$12:$M$18,7,FALSE),"*")</f>
        <v>1</v>
      </c>
      <c r="AD1181" s="81" t="str">
        <f>IF(X1181=2,HLOOKUP(R1181,データについて!$J$12:$M$18,7,FALSE),"*")</f>
        <v>*</v>
      </c>
    </row>
    <row r="1182" spans="1:30">
      <c r="A1182" s="30">
        <v>4010</v>
      </c>
      <c r="B1182" s="30" t="s">
        <v>3811</v>
      </c>
      <c r="C1182" s="30" t="s">
        <v>3812</v>
      </c>
      <c r="D1182" s="30" t="s">
        <v>106</v>
      </c>
      <c r="E1182" s="30"/>
      <c r="F1182" s="30" t="s">
        <v>107</v>
      </c>
      <c r="G1182" s="30" t="s">
        <v>106</v>
      </c>
      <c r="H1182" s="30"/>
      <c r="I1182" s="30" t="s">
        <v>192</v>
      </c>
      <c r="J1182" s="30" t="s">
        <v>546</v>
      </c>
      <c r="K1182" s="30"/>
      <c r="L1182" s="30" t="s">
        <v>108</v>
      </c>
      <c r="M1182" s="30" t="s">
        <v>109</v>
      </c>
      <c r="N1182" s="30" t="s">
        <v>122</v>
      </c>
      <c r="O1182" s="30" t="s">
        <v>115</v>
      </c>
      <c r="P1182" s="30" t="s">
        <v>112</v>
      </c>
      <c r="Q1182" s="30" t="s">
        <v>118</v>
      </c>
      <c r="R1182" s="30" t="s">
        <v>185</v>
      </c>
      <c r="S1182" s="81">
        <f>HLOOKUP(L1182,データについて!$J$6:$M$18,13,FALSE)</f>
        <v>1</v>
      </c>
      <c r="T1182" s="81">
        <f>HLOOKUP(M1182,データについて!$J$7:$M$18,12,FALSE)</f>
        <v>2</v>
      </c>
      <c r="U1182" s="81">
        <f>HLOOKUP(N1182,データについて!$J$8:$M$18,11,FALSE)</f>
        <v>3</v>
      </c>
      <c r="V1182" s="81">
        <f>HLOOKUP(O1182,データについて!$J$9:$M$18,10,FALSE)</f>
        <v>1</v>
      </c>
      <c r="W1182" s="81">
        <f>HLOOKUP(P1182,データについて!$J$10:$M$18,9,FALSE)</f>
        <v>1</v>
      </c>
      <c r="X1182" s="81">
        <f>HLOOKUP(Q1182,データについて!$J$11:$M$18,8,FALSE)</f>
        <v>2</v>
      </c>
      <c r="Y1182" s="81">
        <f>HLOOKUP(R1182,データについて!$J$12:$M$18,7,FALSE)</f>
        <v>2</v>
      </c>
      <c r="Z1182" s="81">
        <f>HLOOKUP(I1182,データについて!$J$3:$M$18,16,FALSE)</f>
        <v>1</v>
      </c>
      <c r="AA1182" s="81">
        <f>IFERROR(HLOOKUP(J1182,データについて!$J$4:$AH$19,16,FALSE),"")</f>
        <v>8</v>
      </c>
      <c r="AB1182" s="81" t="str">
        <f>IFERROR(HLOOKUP(K1182,データについて!$J$5:$AH$20,14,FALSE),"")</f>
        <v/>
      </c>
      <c r="AC1182" s="81" t="str">
        <f>IF(X1182=1,HLOOKUP(R1182,データについて!$J$12:$M$18,7,FALSE),"*")</f>
        <v>*</v>
      </c>
      <c r="AD1182" s="81">
        <f>IF(X1182=2,HLOOKUP(R1182,データについて!$J$12:$M$18,7,FALSE),"*")</f>
        <v>2</v>
      </c>
    </row>
    <row r="1183" spans="1:30">
      <c r="A1183" s="30">
        <v>4009</v>
      </c>
      <c r="B1183" s="30" t="s">
        <v>3813</v>
      </c>
      <c r="C1183" s="30" t="s">
        <v>3814</v>
      </c>
      <c r="D1183" s="30" t="s">
        <v>106</v>
      </c>
      <c r="E1183" s="30"/>
      <c r="F1183" s="30" t="s">
        <v>107</v>
      </c>
      <c r="G1183" s="30" t="s">
        <v>106</v>
      </c>
      <c r="H1183" s="30"/>
      <c r="I1183" s="30" t="s">
        <v>192</v>
      </c>
      <c r="J1183" s="30" t="s">
        <v>546</v>
      </c>
      <c r="K1183" s="30"/>
      <c r="L1183" s="30" t="s">
        <v>117</v>
      </c>
      <c r="M1183" s="30" t="s">
        <v>113</v>
      </c>
      <c r="N1183" s="30" t="s">
        <v>114</v>
      </c>
      <c r="O1183" s="30" t="s">
        <v>115</v>
      </c>
      <c r="P1183" s="30" t="s">
        <v>112</v>
      </c>
      <c r="Q1183" s="30" t="s">
        <v>112</v>
      </c>
      <c r="R1183" s="30" t="s">
        <v>189</v>
      </c>
      <c r="S1183" s="81">
        <f>HLOOKUP(L1183,データについて!$J$6:$M$18,13,FALSE)</f>
        <v>2</v>
      </c>
      <c r="T1183" s="81">
        <f>HLOOKUP(M1183,データについて!$J$7:$M$18,12,FALSE)</f>
        <v>1</v>
      </c>
      <c r="U1183" s="81">
        <f>HLOOKUP(N1183,データについて!$J$8:$M$18,11,FALSE)</f>
        <v>1</v>
      </c>
      <c r="V1183" s="81">
        <f>HLOOKUP(O1183,データについて!$J$9:$M$18,10,FALSE)</f>
        <v>1</v>
      </c>
      <c r="W1183" s="81">
        <f>HLOOKUP(P1183,データについて!$J$10:$M$18,9,FALSE)</f>
        <v>1</v>
      </c>
      <c r="X1183" s="81">
        <f>HLOOKUP(Q1183,データについて!$J$11:$M$18,8,FALSE)</f>
        <v>1</v>
      </c>
      <c r="Y1183" s="81">
        <f>HLOOKUP(R1183,データについて!$J$12:$M$18,7,FALSE)</f>
        <v>4</v>
      </c>
      <c r="Z1183" s="81">
        <f>HLOOKUP(I1183,データについて!$J$3:$M$18,16,FALSE)</f>
        <v>1</v>
      </c>
      <c r="AA1183" s="81">
        <f>IFERROR(HLOOKUP(J1183,データについて!$J$4:$AH$19,16,FALSE),"")</f>
        <v>8</v>
      </c>
      <c r="AB1183" s="81" t="str">
        <f>IFERROR(HLOOKUP(K1183,データについて!$J$5:$AH$20,14,FALSE),"")</f>
        <v/>
      </c>
      <c r="AC1183" s="81">
        <f>IF(X1183=1,HLOOKUP(R1183,データについて!$J$12:$M$18,7,FALSE),"*")</f>
        <v>4</v>
      </c>
      <c r="AD1183" s="81" t="str">
        <f>IF(X1183=2,HLOOKUP(R1183,データについて!$J$12:$M$18,7,FALSE),"*")</f>
        <v>*</v>
      </c>
    </row>
    <row r="1184" spans="1:30">
      <c r="A1184" s="30">
        <v>4008</v>
      </c>
      <c r="B1184" s="30" t="s">
        <v>3815</v>
      </c>
      <c r="C1184" s="30" t="s">
        <v>3816</v>
      </c>
      <c r="D1184" s="30" t="s">
        <v>106</v>
      </c>
      <c r="E1184" s="30"/>
      <c r="F1184" s="30" t="s">
        <v>107</v>
      </c>
      <c r="G1184" s="30" t="s">
        <v>106</v>
      </c>
      <c r="H1184" s="30"/>
      <c r="I1184" s="30" t="s">
        <v>192</v>
      </c>
      <c r="J1184" s="30" t="s">
        <v>546</v>
      </c>
      <c r="K1184" s="30"/>
      <c r="L1184" s="30" t="s">
        <v>117</v>
      </c>
      <c r="M1184" s="30" t="s">
        <v>113</v>
      </c>
      <c r="N1184" s="30" t="s">
        <v>110</v>
      </c>
      <c r="O1184" s="30" t="s">
        <v>115</v>
      </c>
      <c r="P1184" s="30" t="s">
        <v>112</v>
      </c>
      <c r="Q1184" s="30" t="s">
        <v>112</v>
      </c>
      <c r="R1184" s="30" t="s">
        <v>185</v>
      </c>
      <c r="S1184" s="81">
        <f>HLOOKUP(L1184,データについて!$J$6:$M$18,13,FALSE)</f>
        <v>2</v>
      </c>
      <c r="T1184" s="81">
        <f>HLOOKUP(M1184,データについて!$J$7:$M$18,12,FALSE)</f>
        <v>1</v>
      </c>
      <c r="U1184" s="81">
        <f>HLOOKUP(N1184,データについて!$J$8:$M$18,11,FALSE)</f>
        <v>2</v>
      </c>
      <c r="V1184" s="81">
        <f>HLOOKUP(O1184,データについて!$J$9:$M$18,10,FALSE)</f>
        <v>1</v>
      </c>
      <c r="W1184" s="81">
        <f>HLOOKUP(P1184,データについて!$J$10:$M$18,9,FALSE)</f>
        <v>1</v>
      </c>
      <c r="X1184" s="81">
        <f>HLOOKUP(Q1184,データについて!$J$11:$M$18,8,FALSE)</f>
        <v>1</v>
      </c>
      <c r="Y1184" s="81">
        <f>HLOOKUP(R1184,データについて!$J$12:$M$18,7,FALSE)</f>
        <v>2</v>
      </c>
      <c r="Z1184" s="81">
        <f>HLOOKUP(I1184,データについて!$J$3:$M$18,16,FALSE)</f>
        <v>1</v>
      </c>
      <c r="AA1184" s="81">
        <f>IFERROR(HLOOKUP(J1184,データについて!$J$4:$AH$19,16,FALSE),"")</f>
        <v>8</v>
      </c>
      <c r="AB1184" s="81" t="str">
        <f>IFERROR(HLOOKUP(K1184,データについて!$J$5:$AH$20,14,FALSE),"")</f>
        <v/>
      </c>
      <c r="AC1184" s="81">
        <f>IF(X1184=1,HLOOKUP(R1184,データについて!$J$12:$M$18,7,FALSE),"*")</f>
        <v>2</v>
      </c>
      <c r="AD1184" s="81" t="str">
        <f>IF(X1184=2,HLOOKUP(R1184,データについて!$J$12:$M$18,7,FALSE),"*")</f>
        <v>*</v>
      </c>
    </row>
    <row r="1185" spans="1:30">
      <c r="A1185" s="30">
        <v>4007</v>
      </c>
      <c r="B1185" s="30" t="s">
        <v>3817</v>
      </c>
      <c r="C1185" s="30" t="s">
        <v>3818</v>
      </c>
      <c r="D1185" s="30" t="s">
        <v>106</v>
      </c>
      <c r="E1185" s="30"/>
      <c r="F1185" s="30" t="s">
        <v>107</v>
      </c>
      <c r="G1185" s="30" t="s">
        <v>106</v>
      </c>
      <c r="H1185" s="30"/>
      <c r="I1185" s="30" t="s">
        <v>192</v>
      </c>
      <c r="J1185" s="30" t="s">
        <v>546</v>
      </c>
      <c r="K1185" s="30"/>
      <c r="L1185" s="30" t="s">
        <v>108</v>
      </c>
      <c r="M1185" s="30" t="s">
        <v>113</v>
      </c>
      <c r="N1185" s="30" t="s">
        <v>114</v>
      </c>
      <c r="O1185" s="30" t="s">
        <v>115</v>
      </c>
      <c r="P1185" s="30" t="s">
        <v>112</v>
      </c>
      <c r="Q1185" s="30" t="s">
        <v>112</v>
      </c>
      <c r="R1185" s="30" t="s">
        <v>183</v>
      </c>
      <c r="S1185" s="81">
        <f>HLOOKUP(L1185,データについて!$J$6:$M$18,13,FALSE)</f>
        <v>1</v>
      </c>
      <c r="T1185" s="81">
        <f>HLOOKUP(M1185,データについて!$J$7:$M$18,12,FALSE)</f>
        <v>1</v>
      </c>
      <c r="U1185" s="81">
        <f>HLOOKUP(N1185,データについて!$J$8:$M$18,11,FALSE)</f>
        <v>1</v>
      </c>
      <c r="V1185" s="81">
        <f>HLOOKUP(O1185,データについて!$J$9:$M$18,10,FALSE)</f>
        <v>1</v>
      </c>
      <c r="W1185" s="81">
        <f>HLOOKUP(P1185,データについて!$J$10:$M$18,9,FALSE)</f>
        <v>1</v>
      </c>
      <c r="X1185" s="81">
        <f>HLOOKUP(Q1185,データについて!$J$11:$M$18,8,FALSE)</f>
        <v>1</v>
      </c>
      <c r="Y1185" s="81">
        <f>HLOOKUP(R1185,データについて!$J$12:$M$18,7,FALSE)</f>
        <v>1</v>
      </c>
      <c r="Z1185" s="81">
        <f>HLOOKUP(I1185,データについて!$J$3:$M$18,16,FALSE)</f>
        <v>1</v>
      </c>
      <c r="AA1185" s="81">
        <f>IFERROR(HLOOKUP(J1185,データについて!$J$4:$AH$19,16,FALSE),"")</f>
        <v>8</v>
      </c>
      <c r="AB1185" s="81" t="str">
        <f>IFERROR(HLOOKUP(K1185,データについて!$J$5:$AH$20,14,FALSE),"")</f>
        <v/>
      </c>
      <c r="AC1185" s="81">
        <f>IF(X1185=1,HLOOKUP(R1185,データについて!$J$12:$M$18,7,FALSE),"*")</f>
        <v>1</v>
      </c>
      <c r="AD1185" s="81" t="str">
        <f>IF(X1185=2,HLOOKUP(R1185,データについて!$J$12:$M$18,7,FALSE),"*")</f>
        <v>*</v>
      </c>
    </row>
    <row r="1186" spans="1:30">
      <c r="A1186" s="30">
        <v>4006</v>
      </c>
      <c r="B1186" s="30" t="s">
        <v>3819</v>
      </c>
      <c r="C1186" s="30" t="s">
        <v>3820</v>
      </c>
      <c r="D1186" s="30" t="s">
        <v>106</v>
      </c>
      <c r="E1186" s="30"/>
      <c r="F1186" s="30" t="s">
        <v>107</v>
      </c>
      <c r="G1186" s="30" t="s">
        <v>106</v>
      </c>
      <c r="H1186" s="30"/>
      <c r="I1186" s="30" t="s">
        <v>192</v>
      </c>
      <c r="J1186" s="30" t="s">
        <v>546</v>
      </c>
      <c r="K1186" s="30"/>
      <c r="L1186" s="30" t="s">
        <v>117</v>
      </c>
      <c r="M1186" s="30" t="s">
        <v>113</v>
      </c>
      <c r="N1186" s="30" t="s">
        <v>114</v>
      </c>
      <c r="O1186" s="30" t="s">
        <v>115</v>
      </c>
      <c r="P1186" s="30" t="s">
        <v>112</v>
      </c>
      <c r="Q1186" s="30" t="s">
        <v>112</v>
      </c>
      <c r="R1186" s="30" t="s">
        <v>185</v>
      </c>
      <c r="S1186" s="81">
        <f>HLOOKUP(L1186,データについて!$J$6:$M$18,13,FALSE)</f>
        <v>2</v>
      </c>
      <c r="T1186" s="81">
        <f>HLOOKUP(M1186,データについて!$J$7:$M$18,12,FALSE)</f>
        <v>1</v>
      </c>
      <c r="U1186" s="81">
        <f>HLOOKUP(N1186,データについて!$J$8:$M$18,11,FALSE)</f>
        <v>1</v>
      </c>
      <c r="V1186" s="81">
        <f>HLOOKUP(O1186,データについて!$J$9:$M$18,10,FALSE)</f>
        <v>1</v>
      </c>
      <c r="W1186" s="81">
        <f>HLOOKUP(P1186,データについて!$J$10:$M$18,9,FALSE)</f>
        <v>1</v>
      </c>
      <c r="X1186" s="81">
        <f>HLOOKUP(Q1186,データについて!$J$11:$M$18,8,FALSE)</f>
        <v>1</v>
      </c>
      <c r="Y1186" s="81">
        <f>HLOOKUP(R1186,データについて!$J$12:$M$18,7,FALSE)</f>
        <v>2</v>
      </c>
      <c r="Z1186" s="81">
        <f>HLOOKUP(I1186,データについて!$J$3:$M$18,16,FALSE)</f>
        <v>1</v>
      </c>
      <c r="AA1186" s="81">
        <f>IFERROR(HLOOKUP(J1186,データについて!$J$4:$AH$19,16,FALSE),"")</f>
        <v>8</v>
      </c>
      <c r="AB1186" s="81" t="str">
        <f>IFERROR(HLOOKUP(K1186,データについて!$J$5:$AH$20,14,FALSE),"")</f>
        <v/>
      </c>
      <c r="AC1186" s="81">
        <f>IF(X1186=1,HLOOKUP(R1186,データについて!$J$12:$M$18,7,FALSE),"*")</f>
        <v>2</v>
      </c>
      <c r="AD1186" s="81" t="str">
        <f>IF(X1186=2,HLOOKUP(R1186,データについて!$J$12:$M$18,7,FALSE),"*")</f>
        <v>*</v>
      </c>
    </row>
    <row r="1187" spans="1:30">
      <c r="A1187" s="30">
        <v>4005</v>
      </c>
      <c r="B1187" s="30" t="s">
        <v>3821</v>
      </c>
      <c r="C1187" s="30" t="s">
        <v>3822</v>
      </c>
      <c r="D1187" s="30" t="s">
        <v>106</v>
      </c>
      <c r="E1187" s="30"/>
      <c r="F1187" s="30" t="s">
        <v>107</v>
      </c>
      <c r="G1187" s="30" t="s">
        <v>106</v>
      </c>
      <c r="H1187" s="30"/>
      <c r="I1187" s="30" t="s">
        <v>192</v>
      </c>
      <c r="J1187" s="30" t="s">
        <v>546</v>
      </c>
      <c r="K1187" s="30"/>
      <c r="L1187" s="30" t="s">
        <v>117</v>
      </c>
      <c r="M1187" s="30" t="s">
        <v>109</v>
      </c>
      <c r="N1187" s="30" t="s">
        <v>110</v>
      </c>
      <c r="O1187" s="30" t="s">
        <v>115</v>
      </c>
      <c r="P1187" s="30" t="s">
        <v>112</v>
      </c>
      <c r="Q1187" s="30" t="s">
        <v>112</v>
      </c>
      <c r="R1187" s="30" t="s">
        <v>185</v>
      </c>
      <c r="S1187" s="81">
        <f>HLOOKUP(L1187,データについて!$J$6:$M$18,13,FALSE)</f>
        <v>2</v>
      </c>
      <c r="T1187" s="81">
        <f>HLOOKUP(M1187,データについて!$J$7:$M$18,12,FALSE)</f>
        <v>2</v>
      </c>
      <c r="U1187" s="81">
        <f>HLOOKUP(N1187,データについて!$J$8:$M$18,11,FALSE)</f>
        <v>2</v>
      </c>
      <c r="V1187" s="81">
        <f>HLOOKUP(O1187,データについて!$J$9:$M$18,10,FALSE)</f>
        <v>1</v>
      </c>
      <c r="W1187" s="81">
        <f>HLOOKUP(P1187,データについて!$J$10:$M$18,9,FALSE)</f>
        <v>1</v>
      </c>
      <c r="X1187" s="81">
        <f>HLOOKUP(Q1187,データについて!$J$11:$M$18,8,FALSE)</f>
        <v>1</v>
      </c>
      <c r="Y1187" s="81">
        <f>HLOOKUP(R1187,データについて!$J$12:$M$18,7,FALSE)</f>
        <v>2</v>
      </c>
      <c r="Z1187" s="81">
        <f>HLOOKUP(I1187,データについて!$J$3:$M$18,16,FALSE)</f>
        <v>1</v>
      </c>
      <c r="AA1187" s="81">
        <f>IFERROR(HLOOKUP(J1187,データについて!$J$4:$AH$19,16,FALSE),"")</f>
        <v>8</v>
      </c>
      <c r="AB1187" s="81" t="str">
        <f>IFERROR(HLOOKUP(K1187,データについて!$J$5:$AH$20,14,FALSE),"")</f>
        <v/>
      </c>
      <c r="AC1187" s="81">
        <f>IF(X1187=1,HLOOKUP(R1187,データについて!$J$12:$M$18,7,FALSE),"*")</f>
        <v>2</v>
      </c>
      <c r="AD1187" s="81" t="str">
        <f>IF(X1187=2,HLOOKUP(R1187,データについて!$J$12:$M$18,7,FALSE),"*")</f>
        <v>*</v>
      </c>
    </row>
    <row r="1188" spans="1:30">
      <c r="A1188" s="30">
        <v>4004</v>
      </c>
      <c r="B1188" s="30" t="s">
        <v>3823</v>
      </c>
      <c r="C1188" s="30" t="s">
        <v>3824</v>
      </c>
      <c r="D1188" s="30" t="s">
        <v>106</v>
      </c>
      <c r="E1188" s="30"/>
      <c r="F1188" s="30" t="s">
        <v>107</v>
      </c>
      <c r="G1188" s="30" t="s">
        <v>106</v>
      </c>
      <c r="H1188" s="30"/>
      <c r="I1188" s="30" t="s">
        <v>192</v>
      </c>
      <c r="J1188" s="30" t="s">
        <v>546</v>
      </c>
      <c r="K1188" s="30"/>
      <c r="L1188" s="30" t="s">
        <v>117</v>
      </c>
      <c r="M1188" s="30" t="s">
        <v>113</v>
      </c>
      <c r="N1188" s="30" t="s">
        <v>110</v>
      </c>
      <c r="O1188" s="30" t="s">
        <v>115</v>
      </c>
      <c r="P1188" s="30" t="s">
        <v>112</v>
      </c>
      <c r="Q1188" s="30" t="s">
        <v>112</v>
      </c>
      <c r="R1188" s="30" t="s">
        <v>189</v>
      </c>
      <c r="S1188" s="81">
        <f>HLOOKUP(L1188,データについて!$J$6:$M$18,13,FALSE)</f>
        <v>2</v>
      </c>
      <c r="T1188" s="81">
        <f>HLOOKUP(M1188,データについて!$J$7:$M$18,12,FALSE)</f>
        <v>1</v>
      </c>
      <c r="U1188" s="81">
        <f>HLOOKUP(N1188,データについて!$J$8:$M$18,11,FALSE)</f>
        <v>2</v>
      </c>
      <c r="V1188" s="81">
        <f>HLOOKUP(O1188,データについて!$J$9:$M$18,10,FALSE)</f>
        <v>1</v>
      </c>
      <c r="W1188" s="81">
        <f>HLOOKUP(P1188,データについて!$J$10:$M$18,9,FALSE)</f>
        <v>1</v>
      </c>
      <c r="X1188" s="81">
        <f>HLOOKUP(Q1188,データについて!$J$11:$M$18,8,FALSE)</f>
        <v>1</v>
      </c>
      <c r="Y1188" s="81">
        <f>HLOOKUP(R1188,データについて!$J$12:$M$18,7,FALSE)</f>
        <v>4</v>
      </c>
      <c r="Z1188" s="81">
        <f>HLOOKUP(I1188,データについて!$J$3:$M$18,16,FALSE)</f>
        <v>1</v>
      </c>
      <c r="AA1188" s="81">
        <f>IFERROR(HLOOKUP(J1188,データについて!$J$4:$AH$19,16,FALSE),"")</f>
        <v>8</v>
      </c>
      <c r="AB1188" s="81" t="str">
        <f>IFERROR(HLOOKUP(K1188,データについて!$J$5:$AH$20,14,FALSE),"")</f>
        <v/>
      </c>
      <c r="AC1188" s="81">
        <f>IF(X1188=1,HLOOKUP(R1188,データについて!$J$12:$M$18,7,FALSE),"*")</f>
        <v>4</v>
      </c>
      <c r="AD1188" s="81" t="str">
        <f>IF(X1188=2,HLOOKUP(R1188,データについて!$J$12:$M$18,7,FALSE),"*")</f>
        <v>*</v>
      </c>
    </row>
    <row r="1189" spans="1:30">
      <c r="A1189" s="30">
        <v>4003</v>
      </c>
      <c r="B1189" s="30" t="s">
        <v>3825</v>
      </c>
      <c r="C1189" s="30" t="s">
        <v>3824</v>
      </c>
      <c r="D1189" s="30" t="s">
        <v>106</v>
      </c>
      <c r="E1189" s="30"/>
      <c r="F1189" s="30" t="s">
        <v>107</v>
      </c>
      <c r="G1189" s="30" t="s">
        <v>106</v>
      </c>
      <c r="H1189" s="30"/>
      <c r="I1189" s="30" t="s">
        <v>192</v>
      </c>
      <c r="J1189" s="30" t="s">
        <v>546</v>
      </c>
      <c r="K1189" s="30"/>
      <c r="L1189" s="30" t="s">
        <v>108</v>
      </c>
      <c r="M1189" s="30" t="s">
        <v>113</v>
      </c>
      <c r="N1189" s="30" t="s">
        <v>114</v>
      </c>
      <c r="O1189" s="30" t="s">
        <v>115</v>
      </c>
      <c r="P1189" s="30" t="s">
        <v>112</v>
      </c>
      <c r="Q1189" s="30" t="s">
        <v>112</v>
      </c>
      <c r="R1189" s="30" t="s">
        <v>183</v>
      </c>
      <c r="S1189" s="81">
        <f>HLOOKUP(L1189,データについて!$J$6:$M$18,13,FALSE)</f>
        <v>1</v>
      </c>
      <c r="T1189" s="81">
        <f>HLOOKUP(M1189,データについて!$J$7:$M$18,12,FALSE)</f>
        <v>1</v>
      </c>
      <c r="U1189" s="81">
        <f>HLOOKUP(N1189,データについて!$J$8:$M$18,11,FALSE)</f>
        <v>1</v>
      </c>
      <c r="V1189" s="81">
        <f>HLOOKUP(O1189,データについて!$J$9:$M$18,10,FALSE)</f>
        <v>1</v>
      </c>
      <c r="W1189" s="81">
        <f>HLOOKUP(P1189,データについて!$J$10:$M$18,9,FALSE)</f>
        <v>1</v>
      </c>
      <c r="X1189" s="81">
        <f>HLOOKUP(Q1189,データについて!$J$11:$M$18,8,FALSE)</f>
        <v>1</v>
      </c>
      <c r="Y1189" s="81">
        <f>HLOOKUP(R1189,データについて!$J$12:$M$18,7,FALSE)</f>
        <v>1</v>
      </c>
      <c r="Z1189" s="81">
        <f>HLOOKUP(I1189,データについて!$J$3:$M$18,16,FALSE)</f>
        <v>1</v>
      </c>
      <c r="AA1189" s="81">
        <f>IFERROR(HLOOKUP(J1189,データについて!$J$4:$AH$19,16,FALSE),"")</f>
        <v>8</v>
      </c>
      <c r="AB1189" s="81" t="str">
        <f>IFERROR(HLOOKUP(K1189,データについて!$J$5:$AH$20,14,FALSE),"")</f>
        <v/>
      </c>
      <c r="AC1189" s="81">
        <f>IF(X1189=1,HLOOKUP(R1189,データについて!$J$12:$M$18,7,FALSE),"*")</f>
        <v>1</v>
      </c>
      <c r="AD1189" s="81" t="str">
        <f>IF(X1189=2,HLOOKUP(R1189,データについて!$J$12:$M$18,7,FALSE),"*")</f>
        <v>*</v>
      </c>
    </row>
    <row r="1190" spans="1:30">
      <c r="A1190" s="30">
        <v>4002</v>
      </c>
      <c r="B1190" s="30" t="s">
        <v>3826</v>
      </c>
      <c r="C1190" s="30" t="s">
        <v>3827</v>
      </c>
      <c r="D1190" s="30" t="s">
        <v>106</v>
      </c>
      <c r="E1190" s="30"/>
      <c r="F1190" s="30" t="s">
        <v>107</v>
      </c>
      <c r="G1190" s="30" t="s">
        <v>106</v>
      </c>
      <c r="H1190" s="30"/>
      <c r="I1190" s="30" t="s">
        <v>192</v>
      </c>
      <c r="J1190" s="30" t="s">
        <v>546</v>
      </c>
      <c r="K1190" s="30"/>
      <c r="L1190" s="30" t="s">
        <v>108</v>
      </c>
      <c r="M1190" s="30" t="s">
        <v>109</v>
      </c>
      <c r="N1190" s="30" t="s">
        <v>122</v>
      </c>
      <c r="O1190" s="30" t="s">
        <v>115</v>
      </c>
      <c r="P1190" s="30" t="s">
        <v>112</v>
      </c>
      <c r="Q1190" s="30" t="s">
        <v>112</v>
      </c>
      <c r="R1190" s="30" t="s">
        <v>187</v>
      </c>
      <c r="S1190" s="81">
        <f>HLOOKUP(L1190,データについて!$J$6:$M$18,13,FALSE)</f>
        <v>1</v>
      </c>
      <c r="T1190" s="81">
        <f>HLOOKUP(M1190,データについて!$J$7:$M$18,12,FALSE)</f>
        <v>2</v>
      </c>
      <c r="U1190" s="81">
        <f>HLOOKUP(N1190,データについて!$J$8:$M$18,11,FALSE)</f>
        <v>3</v>
      </c>
      <c r="V1190" s="81">
        <f>HLOOKUP(O1190,データについて!$J$9:$M$18,10,FALSE)</f>
        <v>1</v>
      </c>
      <c r="W1190" s="81">
        <f>HLOOKUP(P1190,データについて!$J$10:$M$18,9,FALSE)</f>
        <v>1</v>
      </c>
      <c r="X1190" s="81">
        <f>HLOOKUP(Q1190,データについて!$J$11:$M$18,8,FALSE)</f>
        <v>1</v>
      </c>
      <c r="Y1190" s="81">
        <f>HLOOKUP(R1190,データについて!$J$12:$M$18,7,FALSE)</f>
        <v>3</v>
      </c>
      <c r="Z1190" s="81">
        <f>HLOOKUP(I1190,データについて!$J$3:$M$18,16,FALSE)</f>
        <v>1</v>
      </c>
      <c r="AA1190" s="81">
        <f>IFERROR(HLOOKUP(J1190,データについて!$J$4:$AH$19,16,FALSE),"")</f>
        <v>8</v>
      </c>
      <c r="AB1190" s="81" t="str">
        <f>IFERROR(HLOOKUP(K1190,データについて!$J$5:$AH$20,14,FALSE),"")</f>
        <v/>
      </c>
      <c r="AC1190" s="81">
        <f>IF(X1190=1,HLOOKUP(R1190,データについて!$J$12:$M$18,7,FALSE),"*")</f>
        <v>3</v>
      </c>
      <c r="AD1190" s="81" t="str">
        <f>IF(X1190=2,HLOOKUP(R1190,データについて!$J$12:$M$18,7,FALSE),"*")</f>
        <v>*</v>
      </c>
    </row>
    <row r="1191" spans="1:30">
      <c r="A1191" s="30">
        <v>4001</v>
      </c>
      <c r="B1191" s="30" t="s">
        <v>3828</v>
      </c>
      <c r="C1191" s="30" t="s">
        <v>3829</v>
      </c>
      <c r="D1191" s="30" t="s">
        <v>106</v>
      </c>
      <c r="E1191" s="30"/>
      <c r="F1191" s="30" t="s">
        <v>107</v>
      </c>
      <c r="G1191" s="30" t="s">
        <v>106</v>
      </c>
      <c r="H1191" s="30"/>
      <c r="I1191" s="30" t="s">
        <v>192</v>
      </c>
      <c r="J1191" s="30" t="s">
        <v>546</v>
      </c>
      <c r="K1191" s="30"/>
      <c r="L1191" s="30" t="s">
        <v>117</v>
      </c>
      <c r="M1191" s="30" t="s">
        <v>113</v>
      </c>
      <c r="N1191" s="30" t="s">
        <v>114</v>
      </c>
      <c r="O1191" s="30" t="s">
        <v>115</v>
      </c>
      <c r="P1191" s="30" t="s">
        <v>112</v>
      </c>
      <c r="Q1191" s="30" t="s">
        <v>112</v>
      </c>
      <c r="R1191" s="30" t="s">
        <v>185</v>
      </c>
      <c r="S1191" s="81">
        <f>HLOOKUP(L1191,データについて!$J$6:$M$18,13,FALSE)</f>
        <v>2</v>
      </c>
      <c r="T1191" s="81">
        <f>HLOOKUP(M1191,データについて!$J$7:$M$18,12,FALSE)</f>
        <v>1</v>
      </c>
      <c r="U1191" s="81">
        <f>HLOOKUP(N1191,データについて!$J$8:$M$18,11,FALSE)</f>
        <v>1</v>
      </c>
      <c r="V1191" s="81">
        <f>HLOOKUP(O1191,データについて!$J$9:$M$18,10,FALSE)</f>
        <v>1</v>
      </c>
      <c r="W1191" s="81">
        <f>HLOOKUP(P1191,データについて!$J$10:$M$18,9,FALSE)</f>
        <v>1</v>
      </c>
      <c r="X1191" s="81">
        <f>HLOOKUP(Q1191,データについて!$J$11:$M$18,8,FALSE)</f>
        <v>1</v>
      </c>
      <c r="Y1191" s="81">
        <f>HLOOKUP(R1191,データについて!$J$12:$M$18,7,FALSE)</f>
        <v>2</v>
      </c>
      <c r="Z1191" s="81">
        <f>HLOOKUP(I1191,データについて!$J$3:$M$18,16,FALSE)</f>
        <v>1</v>
      </c>
      <c r="AA1191" s="81">
        <f>IFERROR(HLOOKUP(J1191,データについて!$J$4:$AH$19,16,FALSE),"")</f>
        <v>8</v>
      </c>
      <c r="AB1191" s="81" t="str">
        <f>IFERROR(HLOOKUP(K1191,データについて!$J$5:$AH$20,14,FALSE),"")</f>
        <v/>
      </c>
      <c r="AC1191" s="81">
        <f>IF(X1191=1,HLOOKUP(R1191,データについて!$J$12:$M$18,7,FALSE),"*")</f>
        <v>2</v>
      </c>
      <c r="AD1191" s="81" t="str">
        <f>IF(X1191=2,HLOOKUP(R1191,データについて!$J$12:$M$18,7,FALSE),"*")</f>
        <v>*</v>
      </c>
    </row>
    <row r="1192" spans="1:30">
      <c r="A1192" s="30">
        <v>4000</v>
      </c>
      <c r="B1192" s="30" t="s">
        <v>3830</v>
      </c>
      <c r="C1192" s="30" t="s">
        <v>3831</v>
      </c>
      <c r="D1192" s="30" t="s">
        <v>106</v>
      </c>
      <c r="E1192" s="30"/>
      <c r="F1192" s="30" t="s">
        <v>107</v>
      </c>
      <c r="G1192" s="30" t="s">
        <v>106</v>
      </c>
      <c r="H1192" s="30"/>
      <c r="I1192" s="30" t="s">
        <v>192</v>
      </c>
      <c r="J1192" s="30" t="s">
        <v>546</v>
      </c>
      <c r="K1192" s="30"/>
      <c r="L1192" s="30" t="s">
        <v>108</v>
      </c>
      <c r="M1192" s="30" t="s">
        <v>113</v>
      </c>
      <c r="N1192" s="30" t="s">
        <v>114</v>
      </c>
      <c r="O1192" s="30" t="s">
        <v>115</v>
      </c>
      <c r="P1192" s="30" t="s">
        <v>112</v>
      </c>
      <c r="Q1192" s="30" t="s">
        <v>112</v>
      </c>
      <c r="R1192" s="30" t="s">
        <v>183</v>
      </c>
      <c r="S1192" s="81">
        <f>HLOOKUP(L1192,データについて!$J$6:$M$18,13,FALSE)</f>
        <v>1</v>
      </c>
      <c r="T1192" s="81">
        <f>HLOOKUP(M1192,データについて!$J$7:$M$18,12,FALSE)</f>
        <v>1</v>
      </c>
      <c r="U1192" s="81">
        <f>HLOOKUP(N1192,データについて!$J$8:$M$18,11,FALSE)</f>
        <v>1</v>
      </c>
      <c r="V1192" s="81">
        <f>HLOOKUP(O1192,データについて!$J$9:$M$18,10,FALSE)</f>
        <v>1</v>
      </c>
      <c r="W1192" s="81">
        <f>HLOOKUP(P1192,データについて!$J$10:$M$18,9,FALSE)</f>
        <v>1</v>
      </c>
      <c r="X1192" s="81">
        <f>HLOOKUP(Q1192,データについて!$J$11:$M$18,8,FALSE)</f>
        <v>1</v>
      </c>
      <c r="Y1192" s="81">
        <f>HLOOKUP(R1192,データについて!$J$12:$M$18,7,FALSE)</f>
        <v>1</v>
      </c>
      <c r="Z1192" s="81">
        <f>HLOOKUP(I1192,データについて!$J$3:$M$18,16,FALSE)</f>
        <v>1</v>
      </c>
      <c r="AA1192" s="81">
        <f>IFERROR(HLOOKUP(J1192,データについて!$J$4:$AH$19,16,FALSE),"")</f>
        <v>8</v>
      </c>
      <c r="AB1192" s="81" t="str">
        <f>IFERROR(HLOOKUP(K1192,データについて!$J$5:$AH$20,14,FALSE),"")</f>
        <v/>
      </c>
      <c r="AC1192" s="81">
        <f>IF(X1192=1,HLOOKUP(R1192,データについて!$J$12:$M$18,7,FALSE),"*")</f>
        <v>1</v>
      </c>
      <c r="AD1192" s="81" t="str">
        <f>IF(X1192=2,HLOOKUP(R1192,データについて!$J$12:$M$18,7,FALSE),"*")</f>
        <v>*</v>
      </c>
    </row>
    <row r="1193" spans="1:30">
      <c r="A1193" s="30">
        <v>3999</v>
      </c>
      <c r="B1193" s="30" t="s">
        <v>3832</v>
      </c>
      <c r="C1193" s="30" t="s">
        <v>3833</v>
      </c>
      <c r="D1193" s="30" t="s">
        <v>106</v>
      </c>
      <c r="E1193" s="30"/>
      <c r="F1193" s="30" t="s">
        <v>107</v>
      </c>
      <c r="G1193" s="30" t="s">
        <v>106</v>
      </c>
      <c r="H1193" s="30"/>
      <c r="I1193" s="30" t="s">
        <v>192</v>
      </c>
      <c r="J1193" s="30" t="s">
        <v>546</v>
      </c>
      <c r="K1193" s="30"/>
      <c r="L1193" s="30" t="s">
        <v>108</v>
      </c>
      <c r="M1193" s="30" t="s">
        <v>121</v>
      </c>
      <c r="N1193" s="30" t="s">
        <v>114</v>
      </c>
      <c r="O1193" s="30" t="s">
        <v>115</v>
      </c>
      <c r="P1193" s="30" t="s">
        <v>112</v>
      </c>
      <c r="Q1193" s="30" t="s">
        <v>112</v>
      </c>
      <c r="R1193" s="30" t="s">
        <v>189</v>
      </c>
      <c r="S1193" s="81">
        <f>HLOOKUP(L1193,データについて!$J$6:$M$18,13,FALSE)</f>
        <v>1</v>
      </c>
      <c r="T1193" s="81">
        <f>HLOOKUP(M1193,データについて!$J$7:$M$18,12,FALSE)</f>
        <v>4</v>
      </c>
      <c r="U1193" s="81">
        <f>HLOOKUP(N1193,データについて!$J$8:$M$18,11,FALSE)</f>
        <v>1</v>
      </c>
      <c r="V1193" s="81">
        <f>HLOOKUP(O1193,データについて!$J$9:$M$18,10,FALSE)</f>
        <v>1</v>
      </c>
      <c r="W1193" s="81">
        <f>HLOOKUP(P1193,データについて!$J$10:$M$18,9,FALSE)</f>
        <v>1</v>
      </c>
      <c r="X1193" s="81">
        <f>HLOOKUP(Q1193,データについて!$J$11:$M$18,8,FALSE)</f>
        <v>1</v>
      </c>
      <c r="Y1193" s="81">
        <f>HLOOKUP(R1193,データについて!$J$12:$M$18,7,FALSE)</f>
        <v>4</v>
      </c>
      <c r="Z1193" s="81">
        <f>HLOOKUP(I1193,データについて!$J$3:$M$18,16,FALSE)</f>
        <v>1</v>
      </c>
      <c r="AA1193" s="81">
        <f>IFERROR(HLOOKUP(J1193,データについて!$J$4:$AH$19,16,FALSE),"")</f>
        <v>8</v>
      </c>
      <c r="AB1193" s="81" t="str">
        <f>IFERROR(HLOOKUP(K1193,データについて!$J$5:$AH$20,14,FALSE),"")</f>
        <v/>
      </c>
      <c r="AC1193" s="81">
        <f>IF(X1193=1,HLOOKUP(R1193,データについて!$J$12:$M$18,7,FALSE),"*")</f>
        <v>4</v>
      </c>
      <c r="AD1193" s="81" t="str">
        <f>IF(X1193=2,HLOOKUP(R1193,データについて!$J$12:$M$18,7,FALSE),"*")</f>
        <v>*</v>
      </c>
    </row>
    <row r="1194" spans="1:30">
      <c r="A1194" s="30">
        <v>3998</v>
      </c>
      <c r="B1194" s="30" t="s">
        <v>3834</v>
      </c>
      <c r="C1194" s="30" t="s">
        <v>3835</v>
      </c>
      <c r="D1194" s="30" t="s">
        <v>106</v>
      </c>
      <c r="E1194" s="30"/>
      <c r="F1194" s="30" t="s">
        <v>107</v>
      </c>
      <c r="G1194" s="30" t="s">
        <v>106</v>
      </c>
      <c r="H1194" s="30"/>
      <c r="I1194" s="30" t="s">
        <v>192</v>
      </c>
      <c r="J1194" s="30" t="s">
        <v>546</v>
      </c>
      <c r="K1194" s="30"/>
      <c r="L1194" s="30" t="s">
        <v>108</v>
      </c>
      <c r="M1194" s="30" t="s">
        <v>113</v>
      </c>
      <c r="N1194" s="30" t="s">
        <v>114</v>
      </c>
      <c r="O1194" s="30" t="s">
        <v>115</v>
      </c>
      <c r="P1194" s="30" t="s">
        <v>112</v>
      </c>
      <c r="Q1194" s="30" t="s">
        <v>112</v>
      </c>
      <c r="R1194" s="30" t="s">
        <v>185</v>
      </c>
      <c r="S1194" s="81">
        <f>HLOOKUP(L1194,データについて!$J$6:$M$18,13,FALSE)</f>
        <v>1</v>
      </c>
      <c r="T1194" s="81">
        <f>HLOOKUP(M1194,データについて!$J$7:$M$18,12,FALSE)</f>
        <v>1</v>
      </c>
      <c r="U1194" s="81">
        <f>HLOOKUP(N1194,データについて!$J$8:$M$18,11,FALSE)</f>
        <v>1</v>
      </c>
      <c r="V1194" s="81">
        <f>HLOOKUP(O1194,データについて!$J$9:$M$18,10,FALSE)</f>
        <v>1</v>
      </c>
      <c r="W1194" s="81">
        <f>HLOOKUP(P1194,データについて!$J$10:$M$18,9,FALSE)</f>
        <v>1</v>
      </c>
      <c r="X1194" s="81">
        <f>HLOOKUP(Q1194,データについて!$J$11:$M$18,8,FALSE)</f>
        <v>1</v>
      </c>
      <c r="Y1194" s="81">
        <f>HLOOKUP(R1194,データについて!$J$12:$M$18,7,FALSE)</f>
        <v>2</v>
      </c>
      <c r="Z1194" s="81">
        <f>HLOOKUP(I1194,データについて!$J$3:$M$18,16,FALSE)</f>
        <v>1</v>
      </c>
      <c r="AA1194" s="81">
        <f>IFERROR(HLOOKUP(J1194,データについて!$J$4:$AH$19,16,FALSE),"")</f>
        <v>8</v>
      </c>
      <c r="AB1194" s="81" t="str">
        <f>IFERROR(HLOOKUP(K1194,データについて!$J$5:$AH$20,14,FALSE),"")</f>
        <v/>
      </c>
      <c r="AC1194" s="81">
        <f>IF(X1194=1,HLOOKUP(R1194,データについて!$J$12:$M$18,7,FALSE),"*")</f>
        <v>2</v>
      </c>
      <c r="AD1194" s="81" t="str">
        <f>IF(X1194=2,HLOOKUP(R1194,データについて!$J$12:$M$18,7,FALSE),"*")</f>
        <v>*</v>
      </c>
    </row>
    <row r="1195" spans="1:30">
      <c r="A1195" s="30">
        <v>3997</v>
      </c>
      <c r="B1195" s="30" t="s">
        <v>3836</v>
      </c>
      <c r="C1195" s="30" t="s">
        <v>3837</v>
      </c>
      <c r="D1195" s="30" t="s">
        <v>106</v>
      </c>
      <c r="E1195" s="30"/>
      <c r="F1195" s="30" t="s">
        <v>107</v>
      </c>
      <c r="G1195" s="30" t="s">
        <v>106</v>
      </c>
      <c r="H1195" s="30"/>
      <c r="I1195" s="30" t="s">
        <v>192</v>
      </c>
      <c r="J1195" s="30" t="s">
        <v>546</v>
      </c>
      <c r="K1195" s="30"/>
      <c r="L1195" s="30" t="s">
        <v>117</v>
      </c>
      <c r="M1195" s="30" t="s">
        <v>113</v>
      </c>
      <c r="N1195" s="30" t="s">
        <v>114</v>
      </c>
      <c r="O1195" s="30" t="s">
        <v>115</v>
      </c>
      <c r="P1195" s="30" t="s">
        <v>118</v>
      </c>
      <c r="Q1195" s="30" t="s">
        <v>112</v>
      </c>
      <c r="R1195" s="30" t="s">
        <v>185</v>
      </c>
      <c r="S1195" s="81">
        <f>HLOOKUP(L1195,データについて!$J$6:$M$18,13,FALSE)</f>
        <v>2</v>
      </c>
      <c r="T1195" s="81">
        <f>HLOOKUP(M1195,データについて!$J$7:$M$18,12,FALSE)</f>
        <v>1</v>
      </c>
      <c r="U1195" s="81">
        <f>HLOOKUP(N1195,データについて!$J$8:$M$18,11,FALSE)</f>
        <v>1</v>
      </c>
      <c r="V1195" s="81">
        <f>HLOOKUP(O1195,データについて!$J$9:$M$18,10,FALSE)</f>
        <v>1</v>
      </c>
      <c r="W1195" s="81">
        <f>HLOOKUP(P1195,データについて!$J$10:$M$18,9,FALSE)</f>
        <v>2</v>
      </c>
      <c r="X1195" s="81">
        <f>HLOOKUP(Q1195,データについて!$J$11:$M$18,8,FALSE)</f>
        <v>1</v>
      </c>
      <c r="Y1195" s="81">
        <f>HLOOKUP(R1195,データについて!$J$12:$M$18,7,FALSE)</f>
        <v>2</v>
      </c>
      <c r="Z1195" s="81">
        <f>HLOOKUP(I1195,データについて!$J$3:$M$18,16,FALSE)</f>
        <v>1</v>
      </c>
      <c r="AA1195" s="81">
        <f>IFERROR(HLOOKUP(J1195,データについて!$J$4:$AH$19,16,FALSE),"")</f>
        <v>8</v>
      </c>
      <c r="AB1195" s="81" t="str">
        <f>IFERROR(HLOOKUP(K1195,データについて!$J$5:$AH$20,14,FALSE),"")</f>
        <v/>
      </c>
      <c r="AC1195" s="81">
        <f>IF(X1195=1,HLOOKUP(R1195,データについて!$J$12:$M$18,7,FALSE),"*")</f>
        <v>2</v>
      </c>
      <c r="AD1195" s="81" t="str">
        <f>IF(X1195=2,HLOOKUP(R1195,データについて!$J$12:$M$18,7,FALSE),"*")</f>
        <v>*</v>
      </c>
    </row>
    <row r="1196" spans="1:30">
      <c r="A1196" s="30">
        <v>3996</v>
      </c>
      <c r="B1196" s="30" t="s">
        <v>544</v>
      </c>
      <c r="C1196" s="30" t="s">
        <v>545</v>
      </c>
      <c r="D1196" s="30" t="s">
        <v>106</v>
      </c>
      <c r="E1196" s="30"/>
      <c r="F1196" s="30" t="s">
        <v>107</v>
      </c>
      <c r="G1196" s="30" t="s">
        <v>106</v>
      </c>
      <c r="H1196" s="30"/>
      <c r="I1196" s="30" t="s">
        <v>192</v>
      </c>
      <c r="J1196" s="30" t="s">
        <v>546</v>
      </c>
      <c r="K1196" s="30"/>
      <c r="L1196" s="30" t="s">
        <v>108</v>
      </c>
      <c r="M1196" s="30" t="s">
        <v>109</v>
      </c>
      <c r="N1196" s="30" t="s">
        <v>119</v>
      </c>
      <c r="O1196" s="30" t="s">
        <v>115</v>
      </c>
      <c r="P1196" s="30" t="s">
        <v>118</v>
      </c>
      <c r="Q1196" s="30" t="s">
        <v>112</v>
      </c>
      <c r="R1196" s="30" t="s">
        <v>185</v>
      </c>
      <c r="S1196" s="81">
        <f>HLOOKUP(L1196,データについて!$J$6:$M$18,13,FALSE)</f>
        <v>1</v>
      </c>
      <c r="T1196" s="81">
        <f>HLOOKUP(M1196,データについて!$J$7:$M$18,12,FALSE)</f>
        <v>2</v>
      </c>
      <c r="U1196" s="81">
        <f>HLOOKUP(N1196,データについて!$J$8:$M$18,11,FALSE)</f>
        <v>4</v>
      </c>
      <c r="V1196" s="81">
        <f>HLOOKUP(O1196,データについて!$J$9:$M$18,10,FALSE)</f>
        <v>1</v>
      </c>
      <c r="W1196" s="81">
        <f>HLOOKUP(P1196,データについて!$J$10:$M$18,9,FALSE)</f>
        <v>2</v>
      </c>
      <c r="X1196" s="81">
        <f>HLOOKUP(Q1196,データについて!$J$11:$M$18,8,FALSE)</f>
        <v>1</v>
      </c>
      <c r="Y1196" s="81">
        <f>HLOOKUP(R1196,データについて!$J$12:$M$18,7,FALSE)</f>
        <v>2</v>
      </c>
      <c r="Z1196" s="81">
        <f>HLOOKUP(I1196,データについて!$J$3:$M$18,16,FALSE)</f>
        <v>1</v>
      </c>
      <c r="AA1196" s="81">
        <f>IFERROR(HLOOKUP(J1196,データについて!$J$4:$AH$19,16,FALSE),"")</f>
        <v>8</v>
      </c>
      <c r="AB1196" s="81" t="str">
        <f>IFERROR(HLOOKUP(K1196,データについて!$J$5:$AH$20,14,FALSE),"")</f>
        <v/>
      </c>
      <c r="AC1196" s="81">
        <f>IF(X1196=1,HLOOKUP(R1196,データについて!$J$12:$M$18,7,FALSE),"*")</f>
        <v>2</v>
      </c>
      <c r="AD1196" s="81" t="str">
        <f>IF(X1196=2,HLOOKUP(R1196,データについて!$J$12:$M$18,7,FALSE),"*")</f>
        <v>*</v>
      </c>
    </row>
    <row r="1197" spans="1:30">
      <c r="A1197" s="30">
        <v>3995</v>
      </c>
      <c r="B1197" s="30" t="s">
        <v>547</v>
      </c>
      <c r="C1197" s="30" t="s">
        <v>548</v>
      </c>
      <c r="D1197" s="30" t="s">
        <v>106</v>
      </c>
      <c r="E1197" s="30"/>
      <c r="F1197" s="30" t="s">
        <v>107</v>
      </c>
      <c r="G1197" s="30" t="s">
        <v>106</v>
      </c>
      <c r="H1197" s="30"/>
      <c r="I1197" s="30" t="s">
        <v>192</v>
      </c>
      <c r="J1197" s="30" t="s">
        <v>546</v>
      </c>
      <c r="K1197" s="30"/>
      <c r="L1197" s="30" t="s">
        <v>108</v>
      </c>
      <c r="M1197" s="30" t="s">
        <v>113</v>
      </c>
      <c r="N1197" s="30" t="s">
        <v>114</v>
      </c>
      <c r="O1197" s="30" t="s">
        <v>115</v>
      </c>
      <c r="P1197" s="30" t="s">
        <v>112</v>
      </c>
      <c r="Q1197" s="30" t="s">
        <v>112</v>
      </c>
      <c r="R1197" s="30" t="s">
        <v>185</v>
      </c>
      <c r="S1197" s="81">
        <f>HLOOKUP(L1197,データについて!$J$6:$M$18,13,FALSE)</f>
        <v>1</v>
      </c>
      <c r="T1197" s="81">
        <f>HLOOKUP(M1197,データについて!$J$7:$M$18,12,FALSE)</f>
        <v>1</v>
      </c>
      <c r="U1197" s="81">
        <f>HLOOKUP(N1197,データについて!$J$8:$M$18,11,FALSE)</f>
        <v>1</v>
      </c>
      <c r="V1197" s="81">
        <f>HLOOKUP(O1197,データについて!$J$9:$M$18,10,FALSE)</f>
        <v>1</v>
      </c>
      <c r="W1197" s="81">
        <f>HLOOKUP(P1197,データについて!$J$10:$M$18,9,FALSE)</f>
        <v>1</v>
      </c>
      <c r="X1197" s="81">
        <f>HLOOKUP(Q1197,データについて!$J$11:$M$18,8,FALSE)</f>
        <v>1</v>
      </c>
      <c r="Y1197" s="81">
        <f>HLOOKUP(R1197,データについて!$J$12:$M$18,7,FALSE)</f>
        <v>2</v>
      </c>
      <c r="Z1197" s="81">
        <f>HLOOKUP(I1197,データについて!$J$3:$M$18,16,FALSE)</f>
        <v>1</v>
      </c>
      <c r="AA1197" s="81">
        <f>IFERROR(HLOOKUP(J1197,データについて!$J$4:$AH$19,16,FALSE),"")</f>
        <v>8</v>
      </c>
      <c r="AB1197" s="81" t="str">
        <f>IFERROR(HLOOKUP(K1197,データについて!$J$5:$AH$20,14,FALSE),"")</f>
        <v/>
      </c>
      <c r="AC1197" s="81">
        <f>IF(X1197=1,HLOOKUP(R1197,データについて!$J$12:$M$18,7,FALSE),"*")</f>
        <v>2</v>
      </c>
      <c r="AD1197" s="81" t="str">
        <f>IF(X1197=2,HLOOKUP(R1197,データについて!$J$12:$M$18,7,FALSE),"*")</f>
        <v>*</v>
      </c>
    </row>
    <row r="1198" spans="1:30">
      <c r="A1198" s="30">
        <v>3994</v>
      </c>
      <c r="B1198" s="30" t="s">
        <v>549</v>
      </c>
      <c r="C1198" s="30" t="s">
        <v>550</v>
      </c>
      <c r="D1198" s="30" t="s">
        <v>106</v>
      </c>
      <c r="E1198" s="30"/>
      <c r="F1198" s="30" t="s">
        <v>107</v>
      </c>
      <c r="G1198" s="30" t="s">
        <v>106</v>
      </c>
      <c r="H1198" s="30"/>
      <c r="I1198" s="30" t="s">
        <v>192</v>
      </c>
      <c r="J1198" s="30" t="s">
        <v>546</v>
      </c>
      <c r="K1198" s="30"/>
      <c r="L1198" s="30" t="s">
        <v>108</v>
      </c>
      <c r="M1198" s="30" t="s">
        <v>113</v>
      </c>
      <c r="N1198" s="30" t="s">
        <v>114</v>
      </c>
      <c r="O1198" s="30" t="s">
        <v>115</v>
      </c>
      <c r="P1198" s="30" t="s">
        <v>112</v>
      </c>
      <c r="Q1198" s="30" t="s">
        <v>112</v>
      </c>
      <c r="R1198" s="30" t="s">
        <v>183</v>
      </c>
      <c r="S1198" s="81">
        <f>HLOOKUP(L1198,データについて!$J$6:$M$18,13,FALSE)</f>
        <v>1</v>
      </c>
      <c r="T1198" s="81">
        <f>HLOOKUP(M1198,データについて!$J$7:$M$18,12,FALSE)</f>
        <v>1</v>
      </c>
      <c r="U1198" s="81">
        <f>HLOOKUP(N1198,データについて!$J$8:$M$18,11,FALSE)</f>
        <v>1</v>
      </c>
      <c r="V1198" s="81">
        <f>HLOOKUP(O1198,データについて!$J$9:$M$18,10,FALSE)</f>
        <v>1</v>
      </c>
      <c r="W1198" s="81">
        <f>HLOOKUP(P1198,データについて!$J$10:$M$18,9,FALSE)</f>
        <v>1</v>
      </c>
      <c r="X1198" s="81">
        <f>HLOOKUP(Q1198,データについて!$J$11:$M$18,8,FALSE)</f>
        <v>1</v>
      </c>
      <c r="Y1198" s="81">
        <f>HLOOKUP(R1198,データについて!$J$12:$M$18,7,FALSE)</f>
        <v>1</v>
      </c>
      <c r="Z1198" s="81">
        <f>HLOOKUP(I1198,データについて!$J$3:$M$18,16,FALSE)</f>
        <v>1</v>
      </c>
      <c r="AA1198" s="81">
        <f>IFERROR(HLOOKUP(J1198,データについて!$J$4:$AH$19,16,FALSE),"")</f>
        <v>8</v>
      </c>
      <c r="AB1198" s="81" t="str">
        <f>IFERROR(HLOOKUP(K1198,データについて!$J$5:$AH$20,14,FALSE),"")</f>
        <v/>
      </c>
      <c r="AC1198" s="81">
        <f>IF(X1198=1,HLOOKUP(R1198,データについて!$J$12:$M$18,7,FALSE),"*")</f>
        <v>1</v>
      </c>
      <c r="AD1198" s="81" t="str">
        <f>IF(X1198=2,HLOOKUP(R1198,データについて!$J$12:$M$18,7,FALSE),"*")</f>
        <v>*</v>
      </c>
    </row>
    <row r="1199" spans="1:30">
      <c r="A1199" s="30">
        <v>3993</v>
      </c>
      <c r="B1199" s="30" t="s">
        <v>551</v>
      </c>
      <c r="C1199" s="30" t="s">
        <v>552</v>
      </c>
      <c r="D1199" s="30" t="s">
        <v>106</v>
      </c>
      <c r="E1199" s="30"/>
      <c r="F1199" s="30" t="s">
        <v>107</v>
      </c>
      <c r="G1199" s="30" t="s">
        <v>106</v>
      </c>
      <c r="H1199" s="30"/>
      <c r="I1199" s="30" t="s">
        <v>192</v>
      </c>
      <c r="J1199" s="30" t="s">
        <v>125</v>
      </c>
      <c r="K1199" s="30"/>
      <c r="L1199" s="30" t="s">
        <v>117</v>
      </c>
      <c r="M1199" s="30" t="s">
        <v>113</v>
      </c>
      <c r="N1199" s="30" t="s">
        <v>114</v>
      </c>
      <c r="O1199" s="30" t="s">
        <v>115</v>
      </c>
      <c r="P1199" s="30" t="s">
        <v>112</v>
      </c>
      <c r="Q1199" s="30" t="s">
        <v>112</v>
      </c>
      <c r="R1199" s="30" t="s">
        <v>185</v>
      </c>
      <c r="S1199" s="81">
        <f>HLOOKUP(L1199,データについて!$J$6:$M$18,13,FALSE)</f>
        <v>2</v>
      </c>
      <c r="T1199" s="81">
        <f>HLOOKUP(M1199,データについて!$J$7:$M$18,12,FALSE)</f>
        <v>1</v>
      </c>
      <c r="U1199" s="81">
        <f>HLOOKUP(N1199,データについて!$J$8:$M$18,11,FALSE)</f>
        <v>1</v>
      </c>
      <c r="V1199" s="81">
        <f>HLOOKUP(O1199,データについて!$J$9:$M$18,10,FALSE)</f>
        <v>1</v>
      </c>
      <c r="W1199" s="81">
        <f>HLOOKUP(P1199,データについて!$J$10:$M$18,9,FALSE)</f>
        <v>1</v>
      </c>
      <c r="X1199" s="81">
        <f>HLOOKUP(Q1199,データについて!$J$11:$M$18,8,FALSE)</f>
        <v>1</v>
      </c>
      <c r="Y1199" s="81">
        <f>HLOOKUP(R1199,データについて!$J$12:$M$18,7,FALSE)</f>
        <v>2</v>
      </c>
      <c r="Z1199" s="81">
        <f>HLOOKUP(I1199,データについて!$J$3:$M$18,16,FALSE)</f>
        <v>1</v>
      </c>
      <c r="AA1199" s="81">
        <f>IFERROR(HLOOKUP(J1199,データについて!$J$4:$AH$19,16,FALSE),"")</f>
        <v>6</v>
      </c>
      <c r="AB1199" s="81" t="str">
        <f>IFERROR(HLOOKUP(K1199,データについて!$J$5:$AH$20,14,FALSE),"")</f>
        <v/>
      </c>
      <c r="AC1199" s="81">
        <f>IF(X1199=1,HLOOKUP(R1199,データについて!$J$12:$M$18,7,FALSE),"*")</f>
        <v>2</v>
      </c>
      <c r="AD1199" s="81" t="str">
        <f>IF(X1199=2,HLOOKUP(R1199,データについて!$J$12:$M$18,7,FALSE),"*")</f>
        <v>*</v>
      </c>
    </row>
    <row r="1200" spans="1:30">
      <c r="A1200" s="30">
        <v>3992</v>
      </c>
      <c r="B1200" s="30" t="s">
        <v>553</v>
      </c>
      <c r="C1200" s="30" t="s">
        <v>554</v>
      </c>
      <c r="D1200" s="30" t="s">
        <v>106</v>
      </c>
      <c r="E1200" s="30"/>
      <c r="F1200" s="30" t="s">
        <v>107</v>
      </c>
      <c r="G1200" s="30" t="s">
        <v>106</v>
      </c>
      <c r="H1200" s="30"/>
      <c r="I1200" s="30" t="s">
        <v>192</v>
      </c>
      <c r="J1200" s="30" t="s">
        <v>546</v>
      </c>
      <c r="K1200" s="30"/>
      <c r="L1200" s="30" t="s">
        <v>117</v>
      </c>
      <c r="M1200" s="30" t="s">
        <v>109</v>
      </c>
      <c r="N1200" s="30" t="s">
        <v>114</v>
      </c>
      <c r="O1200" s="30" t="s">
        <v>115</v>
      </c>
      <c r="P1200" s="30" t="s">
        <v>112</v>
      </c>
      <c r="Q1200" s="30" t="s">
        <v>112</v>
      </c>
      <c r="R1200" s="30" t="s">
        <v>185</v>
      </c>
      <c r="S1200" s="81">
        <f>HLOOKUP(L1200,データについて!$J$6:$M$18,13,FALSE)</f>
        <v>2</v>
      </c>
      <c r="T1200" s="81">
        <f>HLOOKUP(M1200,データについて!$J$7:$M$18,12,FALSE)</f>
        <v>2</v>
      </c>
      <c r="U1200" s="81">
        <f>HLOOKUP(N1200,データについて!$J$8:$M$18,11,FALSE)</f>
        <v>1</v>
      </c>
      <c r="V1200" s="81">
        <f>HLOOKUP(O1200,データについて!$J$9:$M$18,10,FALSE)</f>
        <v>1</v>
      </c>
      <c r="W1200" s="81">
        <f>HLOOKUP(P1200,データについて!$J$10:$M$18,9,FALSE)</f>
        <v>1</v>
      </c>
      <c r="X1200" s="81">
        <f>HLOOKUP(Q1200,データについて!$J$11:$M$18,8,FALSE)</f>
        <v>1</v>
      </c>
      <c r="Y1200" s="81">
        <f>HLOOKUP(R1200,データについて!$J$12:$M$18,7,FALSE)</f>
        <v>2</v>
      </c>
      <c r="Z1200" s="81">
        <f>HLOOKUP(I1200,データについて!$J$3:$M$18,16,FALSE)</f>
        <v>1</v>
      </c>
      <c r="AA1200" s="81">
        <f>IFERROR(HLOOKUP(J1200,データについて!$J$4:$AH$19,16,FALSE),"")</f>
        <v>8</v>
      </c>
      <c r="AB1200" s="81" t="str">
        <f>IFERROR(HLOOKUP(K1200,データについて!$J$5:$AH$20,14,FALSE),"")</f>
        <v/>
      </c>
      <c r="AC1200" s="81">
        <f>IF(X1200=1,HLOOKUP(R1200,データについて!$J$12:$M$18,7,FALSE),"*")</f>
        <v>2</v>
      </c>
      <c r="AD1200" s="81" t="str">
        <f>IF(X1200=2,HLOOKUP(R1200,データについて!$J$12:$M$18,7,FALSE),"*")</f>
        <v>*</v>
      </c>
    </row>
    <row r="1201" spans="1:30">
      <c r="A1201" s="30">
        <v>3991</v>
      </c>
      <c r="B1201" s="30" t="s">
        <v>555</v>
      </c>
      <c r="C1201" s="30" t="s">
        <v>556</v>
      </c>
      <c r="D1201" s="30" t="s">
        <v>106</v>
      </c>
      <c r="E1201" s="30"/>
      <c r="F1201" s="30" t="s">
        <v>107</v>
      </c>
      <c r="G1201" s="30" t="s">
        <v>106</v>
      </c>
      <c r="H1201" s="30"/>
      <c r="I1201" s="30" t="s">
        <v>192</v>
      </c>
      <c r="J1201" s="30" t="s">
        <v>546</v>
      </c>
      <c r="K1201" s="30"/>
      <c r="L1201" s="30" t="s">
        <v>117</v>
      </c>
      <c r="M1201" s="30" t="s">
        <v>113</v>
      </c>
      <c r="N1201" s="30" t="s">
        <v>114</v>
      </c>
      <c r="O1201" s="30" t="s">
        <v>115</v>
      </c>
      <c r="P1201" s="30" t="s">
        <v>112</v>
      </c>
      <c r="Q1201" s="30" t="s">
        <v>112</v>
      </c>
      <c r="R1201" s="30" t="s">
        <v>185</v>
      </c>
      <c r="S1201" s="81">
        <f>HLOOKUP(L1201,データについて!$J$6:$M$18,13,FALSE)</f>
        <v>2</v>
      </c>
      <c r="T1201" s="81">
        <f>HLOOKUP(M1201,データについて!$J$7:$M$18,12,FALSE)</f>
        <v>1</v>
      </c>
      <c r="U1201" s="81">
        <f>HLOOKUP(N1201,データについて!$J$8:$M$18,11,FALSE)</f>
        <v>1</v>
      </c>
      <c r="V1201" s="81">
        <f>HLOOKUP(O1201,データについて!$J$9:$M$18,10,FALSE)</f>
        <v>1</v>
      </c>
      <c r="W1201" s="81">
        <f>HLOOKUP(P1201,データについて!$J$10:$M$18,9,FALSE)</f>
        <v>1</v>
      </c>
      <c r="X1201" s="81">
        <f>HLOOKUP(Q1201,データについて!$J$11:$M$18,8,FALSE)</f>
        <v>1</v>
      </c>
      <c r="Y1201" s="81">
        <f>HLOOKUP(R1201,データについて!$J$12:$M$18,7,FALSE)</f>
        <v>2</v>
      </c>
      <c r="Z1201" s="81">
        <f>HLOOKUP(I1201,データについて!$J$3:$M$18,16,FALSE)</f>
        <v>1</v>
      </c>
      <c r="AA1201" s="81">
        <f>IFERROR(HLOOKUP(J1201,データについて!$J$4:$AH$19,16,FALSE),"")</f>
        <v>8</v>
      </c>
      <c r="AB1201" s="81" t="str">
        <f>IFERROR(HLOOKUP(K1201,データについて!$J$5:$AH$20,14,FALSE),"")</f>
        <v/>
      </c>
      <c r="AC1201" s="81">
        <f>IF(X1201=1,HLOOKUP(R1201,データについて!$J$12:$M$18,7,FALSE),"*")</f>
        <v>2</v>
      </c>
      <c r="AD1201" s="81" t="str">
        <f>IF(X1201=2,HLOOKUP(R1201,データについて!$J$12:$M$18,7,FALSE),"*")</f>
        <v>*</v>
      </c>
    </row>
    <row r="1202" spans="1:30">
      <c r="A1202" s="30">
        <v>3990</v>
      </c>
      <c r="B1202" s="30" t="s">
        <v>557</v>
      </c>
      <c r="C1202" s="30" t="s">
        <v>558</v>
      </c>
      <c r="D1202" s="30" t="s">
        <v>106</v>
      </c>
      <c r="E1202" s="30"/>
      <c r="F1202" s="30" t="s">
        <v>107</v>
      </c>
      <c r="G1202" s="30" t="s">
        <v>106</v>
      </c>
      <c r="H1202" s="30"/>
      <c r="I1202" s="30" t="s">
        <v>192</v>
      </c>
      <c r="J1202" s="30" t="s">
        <v>546</v>
      </c>
      <c r="K1202" s="30"/>
      <c r="L1202" s="30" t="s">
        <v>117</v>
      </c>
      <c r="M1202" s="30" t="s">
        <v>109</v>
      </c>
      <c r="N1202" s="30" t="s">
        <v>110</v>
      </c>
      <c r="O1202" s="30" t="s">
        <v>115</v>
      </c>
      <c r="P1202" s="30" t="s">
        <v>112</v>
      </c>
      <c r="Q1202" s="30" t="s">
        <v>112</v>
      </c>
      <c r="R1202" s="30" t="s">
        <v>187</v>
      </c>
      <c r="S1202" s="81">
        <f>HLOOKUP(L1202,データについて!$J$6:$M$18,13,FALSE)</f>
        <v>2</v>
      </c>
      <c r="T1202" s="81">
        <f>HLOOKUP(M1202,データについて!$J$7:$M$18,12,FALSE)</f>
        <v>2</v>
      </c>
      <c r="U1202" s="81">
        <f>HLOOKUP(N1202,データについて!$J$8:$M$18,11,FALSE)</f>
        <v>2</v>
      </c>
      <c r="V1202" s="81">
        <f>HLOOKUP(O1202,データについて!$J$9:$M$18,10,FALSE)</f>
        <v>1</v>
      </c>
      <c r="W1202" s="81">
        <f>HLOOKUP(P1202,データについて!$J$10:$M$18,9,FALSE)</f>
        <v>1</v>
      </c>
      <c r="X1202" s="81">
        <f>HLOOKUP(Q1202,データについて!$J$11:$M$18,8,FALSE)</f>
        <v>1</v>
      </c>
      <c r="Y1202" s="81">
        <f>HLOOKUP(R1202,データについて!$J$12:$M$18,7,FALSE)</f>
        <v>3</v>
      </c>
      <c r="Z1202" s="81">
        <f>HLOOKUP(I1202,データについて!$J$3:$M$18,16,FALSE)</f>
        <v>1</v>
      </c>
      <c r="AA1202" s="81">
        <f>IFERROR(HLOOKUP(J1202,データについて!$J$4:$AH$19,16,FALSE),"")</f>
        <v>8</v>
      </c>
      <c r="AB1202" s="81" t="str">
        <f>IFERROR(HLOOKUP(K1202,データについて!$J$5:$AH$20,14,FALSE),"")</f>
        <v/>
      </c>
      <c r="AC1202" s="81">
        <f>IF(X1202=1,HLOOKUP(R1202,データについて!$J$12:$M$18,7,FALSE),"*")</f>
        <v>3</v>
      </c>
      <c r="AD1202" s="81" t="str">
        <f>IF(X1202=2,HLOOKUP(R1202,データについて!$J$12:$M$18,7,FALSE),"*")</f>
        <v>*</v>
      </c>
    </row>
    <row r="1203" spans="1:30">
      <c r="A1203" s="30">
        <v>3989</v>
      </c>
      <c r="B1203" s="30" t="s">
        <v>559</v>
      </c>
      <c r="C1203" s="30" t="s">
        <v>560</v>
      </c>
      <c r="D1203" s="30" t="s">
        <v>106</v>
      </c>
      <c r="E1203" s="30"/>
      <c r="F1203" s="30" t="s">
        <v>107</v>
      </c>
      <c r="G1203" s="30" t="s">
        <v>106</v>
      </c>
      <c r="H1203" s="30"/>
      <c r="I1203" s="30" t="s">
        <v>192</v>
      </c>
      <c r="J1203" s="30" t="s">
        <v>546</v>
      </c>
      <c r="K1203" s="30"/>
      <c r="L1203" s="30" t="s">
        <v>108</v>
      </c>
      <c r="M1203" s="30" t="s">
        <v>109</v>
      </c>
      <c r="N1203" s="30" t="s">
        <v>110</v>
      </c>
      <c r="O1203" s="30" t="s">
        <v>115</v>
      </c>
      <c r="P1203" s="30" t="s">
        <v>112</v>
      </c>
      <c r="Q1203" s="30" t="s">
        <v>112</v>
      </c>
      <c r="R1203" s="30" t="s">
        <v>183</v>
      </c>
      <c r="S1203" s="81">
        <f>HLOOKUP(L1203,データについて!$J$6:$M$18,13,FALSE)</f>
        <v>1</v>
      </c>
      <c r="T1203" s="81">
        <f>HLOOKUP(M1203,データについて!$J$7:$M$18,12,FALSE)</f>
        <v>2</v>
      </c>
      <c r="U1203" s="81">
        <f>HLOOKUP(N1203,データについて!$J$8:$M$18,11,FALSE)</f>
        <v>2</v>
      </c>
      <c r="V1203" s="81">
        <f>HLOOKUP(O1203,データについて!$J$9:$M$18,10,FALSE)</f>
        <v>1</v>
      </c>
      <c r="W1203" s="81">
        <f>HLOOKUP(P1203,データについて!$J$10:$M$18,9,FALSE)</f>
        <v>1</v>
      </c>
      <c r="X1203" s="81">
        <f>HLOOKUP(Q1203,データについて!$J$11:$M$18,8,FALSE)</f>
        <v>1</v>
      </c>
      <c r="Y1203" s="81">
        <f>HLOOKUP(R1203,データについて!$J$12:$M$18,7,FALSE)</f>
        <v>1</v>
      </c>
      <c r="Z1203" s="81">
        <f>HLOOKUP(I1203,データについて!$J$3:$M$18,16,FALSE)</f>
        <v>1</v>
      </c>
      <c r="AA1203" s="81">
        <f>IFERROR(HLOOKUP(J1203,データについて!$J$4:$AH$19,16,FALSE),"")</f>
        <v>8</v>
      </c>
      <c r="AB1203" s="81" t="str">
        <f>IFERROR(HLOOKUP(K1203,データについて!$J$5:$AH$20,14,FALSE),"")</f>
        <v/>
      </c>
      <c r="AC1203" s="81">
        <f>IF(X1203=1,HLOOKUP(R1203,データについて!$J$12:$M$18,7,FALSE),"*")</f>
        <v>1</v>
      </c>
      <c r="AD1203" s="81" t="str">
        <f>IF(X1203=2,HLOOKUP(R1203,データについて!$J$12:$M$18,7,FALSE),"*")</f>
        <v>*</v>
      </c>
    </row>
    <row r="1204" spans="1:30">
      <c r="A1204" s="30">
        <v>3988</v>
      </c>
      <c r="B1204" s="30" t="s">
        <v>561</v>
      </c>
      <c r="C1204" s="30" t="s">
        <v>562</v>
      </c>
      <c r="D1204" s="30" t="s">
        <v>106</v>
      </c>
      <c r="E1204" s="30"/>
      <c r="F1204" s="30" t="s">
        <v>107</v>
      </c>
      <c r="G1204" s="30" t="s">
        <v>106</v>
      </c>
      <c r="H1204" s="30"/>
      <c r="I1204" s="30" t="s">
        <v>192</v>
      </c>
      <c r="J1204" s="30" t="s">
        <v>546</v>
      </c>
      <c r="K1204" s="30"/>
      <c r="L1204" s="30" t="s">
        <v>117</v>
      </c>
      <c r="M1204" s="30" t="s">
        <v>113</v>
      </c>
      <c r="N1204" s="30" t="s">
        <v>110</v>
      </c>
      <c r="O1204" s="30" t="s">
        <v>115</v>
      </c>
      <c r="P1204" s="30" t="s">
        <v>112</v>
      </c>
      <c r="Q1204" s="30" t="s">
        <v>112</v>
      </c>
      <c r="R1204" s="30" t="s">
        <v>185</v>
      </c>
      <c r="S1204" s="81">
        <f>HLOOKUP(L1204,データについて!$J$6:$M$18,13,FALSE)</f>
        <v>2</v>
      </c>
      <c r="T1204" s="81">
        <f>HLOOKUP(M1204,データについて!$J$7:$M$18,12,FALSE)</f>
        <v>1</v>
      </c>
      <c r="U1204" s="81">
        <f>HLOOKUP(N1204,データについて!$J$8:$M$18,11,FALSE)</f>
        <v>2</v>
      </c>
      <c r="V1204" s="81">
        <f>HLOOKUP(O1204,データについて!$J$9:$M$18,10,FALSE)</f>
        <v>1</v>
      </c>
      <c r="W1204" s="81">
        <f>HLOOKUP(P1204,データについて!$J$10:$M$18,9,FALSE)</f>
        <v>1</v>
      </c>
      <c r="X1204" s="81">
        <f>HLOOKUP(Q1204,データについて!$J$11:$M$18,8,FALSE)</f>
        <v>1</v>
      </c>
      <c r="Y1204" s="81">
        <f>HLOOKUP(R1204,データについて!$J$12:$M$18,7,FALSE)</f>
        <v>2</v>
      </c>
      <c r="Z1204" s="81">
        <f>HLOOKUP(I1204,データについて!$J$3:$M$18,16,FALSE)</f>
        <v>1</v>
      </c>
      <c r="AA1204" s="81">
        <f>IFERROR(HLOOKUP(J1204,データについて!$J$4:$AH$19,16,FALSE),"")</f>
        <v>8</v>
      </c>
      <c r="AB1204" s="81" t="str">
        <f>IFERROR(HLOOKUP(K1204,データについて!$J$5:$AH$20,14,FALSE),"")</f>
        <v/>
      </c>
      <c r="AC1204" s="81">
        <f>IF(X1204=1,HLOOKUP(R1204,データについて!$J$12:$M$18,7,FALSE),"*")</f>
        <v>2</v>
      </c>
      <c r="AD1204" s="81" t="str">
        <f>IF(X1204=2,HLOOKUP(R1204,データについて!$J$12:$M$18,7,FALSE),"*")</f>
        <v>*</v>
      </c>
    </row>
    <row r="1205" spans="1:30">
      <c r="A1205" s="30">
        <v>3987</v>
      </c>
      <c r="B1205" s="30" t="s">
        <v>563</v>
      </c>
      <c r="C1205" s="30" t="s">
        <v>564</v>
      </c>
      <c r="D1205" s="30" t="s">
        <v>106</v>
      </c>
      <c r="E1205" s="30"/>
      <c r="F1205" s="30" t="s">
        <v>107</v>
      </c>
      <c r="G1205" s="30" t="s">
        <v>106</v>
      </c>
      <c r="H1205" s="30"/>
      <c r="I1205" s="30" t="s">
        <v>192</v>
      </c>
      <c r="J1205" s="30" t="s">
        <v>546</v>
      </c>
      <c r="K1205" s="30"/>
      <c r="L1205" s="30" t="s">
        <v>117</v>
      </c>
      <c r="M1205" s="30" t="s">
        <v>113</v>
      </c>
      <c r="N1205" s="30" t="s">
        <v>114</v>
      </c>
      <c r="O1205" s="30" t="s">
        <v>115</v>
      </c>
      <c r="P1205" s="30" t="s">
        <v>112</v>
      </c>
      <c r="Q1205" s="30" t="s">
        <v>112</v>
      </c>
      <c r="R1205" s="30" t="s">
        <v>185</v>
      </c>
      <c r="S1205" s="81">
        <f>HLOOKUP(L1205,データについて!$J$6:$M$18,13,FALSE)</f>
        <v>2</v>
      </c>
      <c r="T1205" s="81">
        <f>HLOOKUP(M1205,データについて!$J$7:$M$18,12,FALSE)</f>
        <v>1</v>
      </c>
      <c r="U1205" s="81">
        <f>HLOOKUP(N1205,データについて!$J$8:$M$18,11,FALSE)</f>
        <v>1</v>
      </c>
      <c r="V1205" s="81">
        <f>HLOOKUP(O1205,データについて!$J$9:$M$18,10,FALSE)</f>
        <v>1</v>
      </c>
      <c r="W1205" s="81">
        <f>HLOOKUP(P1205,データについて!$J$10:$M$18,9,FALSE)</f>
        <v>1</v>
      </c>
      <c r="X1205" s="81">
        <f>HLOOKUP(Q1205,データについて!$J$11:$M$18,8,FALSE)</f>
        <v>1</v>
      </c>
      <c r="Y1205" s="81">
        <f>HLOOKUP(R1205,データについて!$J$12:$M$18,7,FALSE)</f>
        <v>2</v>
      </c>
      <c r="Z1205" s="81">
        <f>HLOOKUP(I1205,データについて!$J$3:$M$18,16,FALSE)</f>
        <v>1</v>
      </c>
      <c r="AA1205" s="81">
        <f>IFERROR(HLOOKUP(J1205,データについて!$J$4:$AH$19,16,FALSE),"")</f>
        <v>8</v>
      </c>
      <c r="AB1205" s="81" t="str">
        <f>IFERROR(HLOOKUP(K1205,データについて!$J$5:$AH$20,14,FALSE),"")</f>
        <v/>
      </c>
      <c r="AC1205" s="81">
        <f>IF(X1205=1,HLOOKUP(R1205,データについて!$J$12:$M$18,7,FALSE),"*")</f>
        <v>2</v>
      </c>
      <c r="AD1205" s="81" t="str">
        <f>IF(X1205=2,HLOOKUP(R1205,データについて!$J$12:$M$18,7,FALSE),"*")</f>
        <v>*</v>
      </c>
    </row>
    <row r="1206" spans="1:30">
      <c r="A1206" s="30">
        <v>3986</v>
      </c>
      <c r="B1206" s="30" t="s">
        <v>565</v>
      </c>
      <c r="C1206" s="30" t="s">
        <v>566</v>
      </c>
      <c r="D1206" s="30" t="s">
        <v>106</v>
      </c>
      <c r="E1206" s="30"/>
      <c r="F1206" s="30" t="s">
        <v>107</v>
      </c>
      <c r="G1206" s="30" t="s">
        <v>106</v>
      </c>
      <c r="H1206" s="30"/>
      <c r="I1206" s="30" t="s">
        <v>192</v>
      </c>
      <c r="J1206" s="30" t="s">
        <v>546</v>
      </c>
      <c r="K1206" s="30"/>
      <c r="L1206" s="30" t="s">
        <v>108</v>
      </c>
      <c r="M1206" s="30" t="s">
        <v>109</v>
      </c>
      <c r="N1206" s="30" t="s">
        <v>110</v>
      </c>
      <c r="O1206" s="30" t="s">
        <v>115</v>
      </c>
      <c r="P1206" s="30" t="s">
        <v>112</v>
      </c>
      <c r="Q1206" s="30" t="s">
        <v>112</v>
      </c>
      <c r="R1206" s="30" t="s">
        <v>189</v>
      </c>
      <c r="S1206" s="81">
        <f>HLOOKUP(L1206,データについて!$J$6:$M$18,13,FALSE)</f>
        <v>1</v>
      </c>
      <c r="T1206" s="81">
        <f>HLOOKUP(M1206,データについて!$J$7:$M$18,12,FALSE)</f>
        <v>2</v>
      </c>
      <c r="U1206" s="81">
        <f>HLOOKUP(N1206,データについて!$J$8:$M$18,11,FALSE)</f>
        <v>2</v>
      </c>
      <c r="V1206" s="81">
        <f>HLOOKUP(O1206,データについて!$J$9:$M$18,10,FALSE)</f>
        <v>1</v>
      </c>
      <c r="W1206" s="81">
        <f>HLOOKUP(P1206,データについて!$J$10:$M$18,9,FALSE)</f>
        <v>1</v>
      </c>
      <c r="X1206" s="81">
        <f>HLOOKUP(Q1206,データについて!$J$11:$M$18,8,FALSE)</f>
        <v>1</v>
      </c>
      <c r="Y1206" s="81">
        <f>HLOOKUP(R1206,データについて!$J$12:$M$18,7,FALSE)</f>
        <v>4</v>
      </c>
      <c r="Z1206" s="81">
        <f>HLOOKUP(I1206,データについて!$J$3:$M$18,16,FALSE)</f>
        <v>1</v>
      </c>
      <c r="AA1206" s="81">
        <f>IFERROR(HLOOKUP(J1206,データについて!$J$4:$AH$19,16,FALSE),"")</f>
        <v>8</v>
      </c>
      <c r="AB1206" s="81" t="str">
        <f>IFERROR(HLOOKUP(K1206,データについて!$J$5:$AH$20,14,FALSE),"")</f>
        <v/>
      </c>
      <c r="AC1206" s="81">
        <f>IF(X1206=1,HLOOKUP(R1206,データについて!$J$12:$M$18,7,FALSE),"*")</f>
        <v>4</v>
      </c>
      <c r="AD1206" s="81" t="str">
        <f>IF(X1206=2,HLOOKUP(R1206,データについて!$J$12:$M$18,7,FALSE),"*")</f>
        <v>*</v>
      </c>
    </row>
    <row r="1207" spans="1:30">
      <c r="A1207" s="30">
        <v>3985</v>
      </c>
      <c r="B1207" s="30" t="s">
        <v>567</v>
      </c>
      <c r="C1207" s="30" t="s">
        <v>568</v>
      </c>
      <c r="D1207" s="30" t="s">
        <v>106</v>
      </c>
      <c r="E1207" s="30"/>
      <c r="F1207" s="30" t="s">
        <v>107</v>
      </c>
      <c r="G1207" s="30" t="s">
        <v>106</v>
      </c>
      <c r="H1207" s="30"/>
      <c r="I1207" s="30" t="s">
        <v>192</v>
      </c>
      <c r="J1207" s="30" t="s">
        <v>546</v>
      </c>
      <c r="K1207" s="30"/>
      <c r="L1207" s="30" t="s">
        <v>108</v>
      </c>
      <c r="M1207" s="30" t="s">
        <v>109</v>
      </c>
      <c r="N1207" s="30" t="s">
        <v>114</v>
      </c>
      <c r="O1207" s="30" t="s">
        <v>115</v>
      </c>
      <c r="P1207" s="30" t="s">
        <v>112</v>
      </c>
      <c r="Q1207" s="30" t="s">
        <v>112</v>
      </c>
      <c r="R1207" s="30" t="s">
        <v>187</v>
      </c>
      <c r="S1207" s="81">
        <f>HLOOKUP(L1207,データについて!$J$6:$M$18,13,FALSE)</f>
        <v>1</v>
      </c>
      <c r="T1207" s="81">
        <f>HLOOKUP(M1207,データについて!$J$7:$M$18,12,FALSE)</f>
        <v>2</v>
      </c>
      <c r="U1207" s="81">
        <f>HLOOKUP(N1207,データについて!$J$8:$M$18,11,FALSE)</f>
        <v>1</v>
      </c>
      <c r="V1207" s="81">
        <f>HLOOKUP(O1207,データについて!$J$9:$M$18,10,FALSE)</f>
        <v>1</v>
      </c>
      <c r="W1207" s="81">
        <f>HLOOKUP(P1207,データについて!$J$10:$M$18,9,FALSE)</f>
        <v>1</v>
      </c>
      <c r="X1207" s="81">
        <f>HLOOKUP(Q1207,データについて!$J$11:$M$18,8,FALSE)</f>
        <v>1</v>
      </c>
      <c r="Y1207" s="81">
        <f>HLOOKUP(R1207,データについて!$J$12:$M$18,7,FALSE)</f>
        <v>3</v>
      </c>
      <c r="Z1207" s="81">
        <f>HLOOKUP(I1207,データについて!$J$3:$M$18,16,FALSE)</f>
        <v>1</v>
      </c>
      <c r="AA1207" s="81">
        <f>IFERROR(HLOOKUP(J1207,データについて!$J$4:$AH$19,16,FALSE),"")</f>
        <v>8</v>
      </c>
      <c r="AB1207" s="81" t="str">
        <f>IFERROR(HLOOKUP(K1207,データについて!$J$5:$AH$20,14,FALSE),"")</f>
        <v/>
      </c>
      <c r="AC1207" s="81">
        <f>IF(X1207=1,HLOOKUP(R1207,データについて!$J$12:$M$18,7,FALSE),"*")</f>
        <v>3</v>
      </c>
      <c r="AD1207" s="81" t="str">
        <f>IF(X1207=2,HLOOKUP(R1207,データについて!$J$12:$M$18,7,FALSE),"*")</f>
        <v>*</v>
      </c>
    </row>
    <row r="1208" spans="1:30">
      <c r="A1208" s="30">
        <v>3984</v>
      </c>
      <c r="B1208" s="30" t="s">
        <v>569</v>
      </c>
      <c r="C1208" s="30" t="s">
        <v>570</v>
      </c>
      <c r="D1208" s="30" t="s">
        <v>106</v>
      </c>
      <c r="E1208" s="30"/>
      <c r="F1208" s="30" t="s">
        <v>107</v>
      </c>
      <c r="G1208" s="30" t="s">
        <v>106</v>
      </c>
      <c r="H1208" s="30"/>
      <c r="I1208" s="30" t="s">
        <v>192</v>
      </c>
      <c r="J1208" s="30" t="s">
        <v>546</v>
      </c>
      <c r="K1208" s="30"/>
      <c r="L1208" s="30" t="s">
        <v>108</v>
      </c>
      <c r="M1208" s="30" t="s">
        <v>109</v>
      </c>
      <c r="N1208" s="30" t="s">
        <v>110</v>
      </c>
      <c r="O1208" s="30" t="s">
        <v>115</v>
      </c>
      <c r="P1208" s="30" t="s">
        <v>112</v>
      </c>
      <c r="Q1208" s="30" t="s">
        <v>112</v>
      </c>
      <c r="R1208" s="30" t="s">
        <v>183</v>
      </c>
      <c r="S1208" s="81">
        <f>HLOOKUP(L1208,データについて!$J$6:$M$18,13,FALSE)</f>
        <v>1</v>
      </c>
      <c r="T1208" s="81">
        <f>HLOOKUP(M1208,データについて!$J$7:$M$18,12,FALSE)</f>
        <v>2</v>
      </c>
      <c r="U1208" s="81">
        <f>HLOOKUP(N1208,データについて!$J$8:$M$18,11,FALSE)</f>
        <v>2</v>
      </c>
      <c r="V1208" s="81">
        <f>HLOOKUP(O1208,データについて!$J$9:$M$18,10,FALSE)</f>
        <v>1</v>
      </c>
      <c r="W1208" s="81">
        <f>HLOOKUP(P1208,データについて!$J$10:$M$18,9,FALSE)</f>
        <v>1</v>
      </c>
      <c r="X1208" s="81">
        <f>HLOOKUP(Q1208,データについて!$J$11:$M$18,8,FALSE)</f>
        <v>1</v>
      </c>
      <c r="Y1208" s="81">
        <f>HLOOKUP(R1208,データについて!$J$12:$M$18,7,FALSE)</f>
        <v>1</v>
      </c>
      <c r="Z1208" s="81">
        <f>HLOOKUP(I1208,データについて!$J$3:$M$18,16,FALSE)</f>
        <v>1</v>
      </c>
      <c r="AA1208" s="81">
        <f>IFERROR(HLOOKUP(J1208,データについて!$J$4:$AH$19,16,FALSE),"")</f>
        <v>8</v>
      </c>
      <c r="AB1208" s="81" t="str">
        <f>IFERROR(HLOOKUP(K1208,データについて!$J$5:$AH$20,14,FALSE),"")</f>
        <v/>
      </c>
      <c r="AC1208" s="81">
        <f>IF(X1208=1,HLOOKUP(R1208,データについて!$J$12:$M$18,7,FALSE),"*")</f>
        <v>1</v>
      </c>
      <c r="AD1208" s="81" t="str">
        <f>IF(X1208=2,HLOOKUP(R1208,データについて!$J$12:$M$18,7,FALSE),"*")</f>
        <v>*</v>
      </c>
    </row>
    <row r="1209" spans="1:30">
      <c r="A1209" s="30">
        <v>3983</v>
      </c>
      <c r="B1209" s="30" t="s">
        <v>571</v>
      </c>
      <c r="C1209" s="30" t="s">
        <v>572</v>
      </c>
      <c r="D1209" s="30" t="s">
        <v>106</v>
      </c>
      <c r="E1209" s="30"/>
      <c r="F1209" s="30" t="s">
        <v>107</v>
      </c>
      <c r="G1209" s="30" t="s">
        <v>106</v>
      </c>
      <c r="H1209" s="30"/>
      <c r="I1209" s="30" t="s">
        <v>192</v>
      </c>
      <c r="J1209" s="30" t="s">
        <v>546</v>
      </c>
      <c r="K1209" s="30"/>
      <c r="L1209" s="30" t="s">
        <v>117</v>
      </c>
      <c r="M1209" s="30" t="s">
        <v>113</v>
      </c>
      <c r="N1209" s="30" t="s">
        <v>110</v>
      </c>
      <c r="O1209" s="30" t="s">
        <v>115</v>
      </c>
      <c r="P1209" s="30" t="s">
        <v>112</v>
      </c>
      <c r="Q1209" s="30" t="s">
        <v>112</v>
      </c>
      <c r="R1209" s="30" t="s">
        <v>185</v>
      </c>
      <c r="S1209" s="81">
        <f>HLOOKUP(L1209,データについて!$J$6:$M$18,13,FALSE)</f>
        <v>2</v>
      </c>
      <c r="T1209" s="81">
        <f>HLOOKUP(M1209,データについて!$J$7:$M$18,12,FALSE)</f>
        <v>1</v>
      </c>
      <c r="U1209" s="81">
        <f>HLOOKUP(N1209,データについて!$J$8:$M$18,11,FALSE)</f>
        <v>2</v>
      </c>
      <c r="V1209" s="81">
        <f>HLOOKUP(O1209,データについて!$J$9:$M$18,10,FALSE)</f>
        <v>1</v>
      </c>
      <c r="W1209" s="81">
        <f>HLOOKUP(P1209,データについて!$J$10:$M$18,9,FALSE)</f>
        <v>1</v>
      </c>
      <c r="X1209" s="81">
        <f>HLOOKUP(Q1209,データについて!$J$11:$M$18,8,FALSE)</f>
        <v>1</v>
      </c>
      <c r="Y1209" s="81">
        <f>HLOOKUP(R1209,データについて!$J$12:$M$18,7,FALSE)</f>
        <v>2</v>
      </c>
      <c r="Z1209" s="81">
        <f>HLOOKUP(I1209,データについて!$J$3:$M$18,16,FALSE)</f>
        <v>1</v>
      </c>
      <c r="AA1209" s="81">
        <f>IFERROR(HLOOKUP(J1209,データについて!$J$4:$AH$19,16,FALSE),"")</f>
        <v>8</v>
      </c>
      <c r="AB1209" s="81" t="str">
        <f>IFERROR(HLOOKUP(K1209,データについて!$J$5:$AH$20,14,FALSE),"")</f>
        <v/>
      </c>
      <c r="AC1209" s="81">
        <f>IF(X1209=1,HLOOKUP(R1209,データについて!$J$12:$M$18,7,FALSE),"*")</f>
        <v>2</v>
      </c>
      <c r="AD1209" s="81" t="str">
        <f>IF(X1209=2,HLOOKUP(R1209,データについて!$J$12:$M$18,7,FALSE),"*")</f>
        <v>*</v>
      </c>
    </row>
    <row r="1210" spans="1:30">
      <c r="A1210" s="30">
        <v>3982</v>
      </c>
      <c r="B1210" s="30" t="s">
        <v>573</v>
      </c>
      <c r="C1210" s="30" t="s">
        <v>574</v>
      </c>
      <c r="D1210" s="30" t="s">
        <v>106</v>
      </c>
      <c r="E1210" s="30"/>
      <c r="F1210" s="30" t="s">
        <v>107</v>
      </c>
      <c r="G1210" s="30" t="s">
        <v>106</v>
      </c>
      <c r="H1210" s="30"/>
      <c r="I1210" s="30" t="s">
        <v>192</v>
      </c>
      <c r="J1210" s="30" t="s">
        <v>546</v>
      </c>
      <c r="K1210" s="30"/>
      <c r="L1210" s="30" t="s">
        <v>117</v>
      </c>
      <c r="M1210" s="30" t="s">
        <v>109</v>
      </c>
      <c r="N1210" s="30" t="s">
        <v>110</v>
      </c>
      <c r="O1210" s="30" t="s">
        <v>115</v>
      </c>
      <c r="P1210" s="30" t="s">
        <v>112</v>
      </c>
      <c r="Q1210" s="30" t="s">
        <v>112</v>
      </c>
      <c r="R1210" s="30" t="s">
        <v>187</v>
      </c>
      <c r="S1210" s="81">
        <f>HLOOKUP(L1210,データについて!$J$6:$M$18,13,FALSE)</f>
        <v>2</v>
      </c>
      <c r="T1210" s="81">
        <f>HLOOKUP(M1210,データについて!$J$7:$M$18,12,FALSE)</f>
        <v>2</v>
      </c>
      <c r="U1210" s="81">
        <f>HLOOKUP(N1210,データについて!$J$8:$M$18,11,FALSE)</f>
        <v>2</v>
      </c>
      <c r="V1210" s="81">
        <f>HLOOKUP(O1210,データについて!$J$9:$M$18,10,FALSE)</f>
        <v>1</v>
      </c>
      <c r="W1210" s="81">
        <f>HLOOKUP(P1210,データについて!$J$10:$M$18,9,FALSE)</f>
        <v>1</v>
      </c>
      <c r="X1210" s="81">
        <f>HLOOKUP(Q1210,データについて!$J$11:$M$18,8,FALSE)</f>
        <v>1</v>
      </c>
      <c r="Y1210" s="81">
        <f>HLOOKUP(R1210,データについて!$J$12:$M$18,7,FALSE)</f>
        <v>3</v>
      </c>
      <c r="Z1210" s="81">
        <f>HLOOKUP(I1210,データについて!$J$3:$M$18,16,FALSE)</f>
        <v>1</v>
      </c>
      <c r="AA1210" s="81">
        <f>IFERROR(HLOOKUP(J1210,データについて!$J$4:$AH$19,16,FALSE),"")</f>
        <v>8</v>
      </c>
      <c r="AB1210" s="81" t="str">
        <f>IFERROR(HLOOKUP(K1210,データについて!$J$5:$AH$20,14,FALSE),"")</f>
        <v/>
      </c>
      <c r="AC1210" s="81">
        <f>IF(X1210=1,HLOOKUP(R1210,データについて!$J$12:$M$18,7,FALSE),"*")</f>
        <v>3</v>
      </c>
      <c r="AD1210" s="81" t="str">
        <f>IF(X1210=2,HLOOKUP(R1210,データについて!$J$12:$M$18,7,FALSE),"*")</f>
        <v>*</v>
      </c>
    </row>
    <row r="1211" spans="1:30">
      <c r="A1211" s="30">
        <v>3981</v>
      </c>
      <c r="B1211" s="30" t="s">
        <v>575</v>
      </c>
      <c r="C1211" s="30" t="s">
        <v>574</v>
      </c>
      <c r="D1211" s="30" t="s">
        <v>106</v>
      </c>
      <c r="E1211" s="30"/>
      <c r="F1211" s="30" t="s">
        <v>107</v>
      </c>
      <c r="G1211" s="30" t="s">
        <v>106</v>
      </c>
      <c r="H1211" s="30"/>
      <c r="I1211" s="30" t="s">
        <v>192</v>
      </c>
      <c r="J1211" s="30" t="s">
        <v>546</v>
      </c>
      <c r="K1211" s="30"/>
      <c r="L1211" s="30" t="s">
        <v>117</v>
      </c>
      <c r="M1211" s="30" t="s">
        <v>109</v>
      </c>
      <c r="N1211" s="30" t="s">
        <v>122</v>
      </c>
      <c r="O1211" s="30" t="s">
        <v>115</v>
      </c>
      <c r="P1211" s="30" t="s">
        <v>112</v>
      </c>
      <c r="Q1211" s="30" t="s">
        <v>118</v>
      </c>
      <c r="R1211" s="30" t="s">
        <v>187</v>
      </c>
      <c r="S1211" s="81">
        <f>HLOOKUP(L1211,データについて!$J$6:$M$18,13,FALSE)</f>
        <v>2</v>
      </c>
      <c r="T1211" s="81">
        <f>HLOOKUP(M1211,データについて!$J$7:$M$18,12,FALSE)</f>
        <v>2</v>
      </c>
      <c r="U1211" s="81">
        <f>HLOOKUP(N1211,データについて!$J$8:$M$18,11,FALSE)</f>
        <v>3</v>
      </c>
      <c r="V1211" s="81">
        <f>HLOOKUP(O1211,データについて!$J$9:$M$18,10,FALSE)</f>
        <v>1</v>
      </c>
      <c r="W1211" s="81">
        <f>HLOOKUP(P1211,データについて!$J$10:$M$18,9,FALSE)</f>
        <v>1</v>
      </c>
      <c r="X1211" s="81">
        <f>HLOOKUP(Q1211,データについて!$J$11:$M$18,8,FALSE)</f>
        <v>2</v>
      </c>
      <c r="Y1211" s="81">
        <f>HLOOKUP(R1211,データについて!$J$12:$M$18,7,FALSE)</f>
        <v>3</v>
      </c>
      <c r="Z1211" s="81">
        <f>HLOOKUP(I1211,データについて!$J$3:$M$18,16,FALSE)</f>
        <v>1</v>
      </c>
      <c r="AA1211" s="81">
        <f>IFERROR(HLOOKUP(J1211,データについて!$J$4:$AH$19,16,FALSE),"")</f>
        <v>8</v>
      </c>
      <c r="AB1211" s="81" t="str">
        <f>IFERROR(HLOOKUP(K1211,データについて!$J$5:$AH$20,14,FALSE),"")</f>
        <v/>
      </c>
      <c r="AC1211" s="81" t="str">
        <f>IF(X1211=1,HLOOKUP(R1211,データについて!$J$12:$M$18,7,FALSE),"*")</f>
        <v>*</v>
      </c>
      <c r="AD1211" s="81">
        <f>IF(X1211=2,HLOOKUP(R1211,データについて!$J$12:$M$18,7,FALSE),"*")</f>
        <v>3</v>
      </c>
    </row>
    <row r="1212" spans="1:30">
      <c r="A1212" s="30">
        <v>3980</v>
      </c>
      <c r="B1212" s="30" t="s">
        <v>576</v>
      </c>
      <c r="C1212" s="30" t="s">
        <v>577</v>
      </c>
      <c r="D1212" s="30" t="s">
        <v>106</v>
      </c>
      <c r="E1212" s="30"/>
      <c r="F1212" s="30" t="s">
        <v>107</v>
      </c>
      <c r="G1212" s="30" t="s">
        <v>106</v>
      </c>
      <c r="H1212" s="30"/>
      <c r="I1212" s="30" t="s">
        <v>192</v>
      </c>
      <c r="J1212" s="30" t="s">
        <v>546</v>
      </c>
      <c r="K1212" s="30"/>
      <c r="L1212" s="30" t="s">
        <v>117</v>
      </c>
      <c r="M1212" s="30" t="s">
        <v>113</v>
      </c>
      <c r="N1212" s="30" t="s">
        <v>110</v>
      </c>
      <c r="O1212" s="30" t="s">
        <v>115</v>
      </c>
      <c r="P1212" s="30" t="s">
        <v>112</v>
      </c>
      <c r="Q1212" s="30" t="s">
        <v>112</v>
      </c>
      <c r="R1212" s="30" t="s">
        <v>185</v>
      </c>
      <c r="S1212" s="81">
        <f>HLOOKUP(L1212,データについて!$J$6:$M$18,13,FALSE)</f>
        <v>2</v>
      </c>
      <c r="T1212" s="81">
        <f>HLOOKUP(M1212,データについて!$J$7:$M$18,12,FALSE)</f>
        <v>1</v>
      </c>
      <c r="U1212" s="81">
        <f>HLOOKUP(N1212,データについて!$J$8:$M$18,11,FALSE)</f>
        <v>2</v>
      </c>
      <c r="V1212" s="81">
        <f>HLOOKUP(O1212,データについて!$J$9:$M$18,10,FALSE)</f>
        <v>1</v>
      </c>
      <c r="W1212" s="81">
        <f>HLOOKUP(P1212,データについて!$J$10:$M$18,9,FALSE)</f>
        <v>1</v>
      </c>
      <c r="X1212" s="81">
        <f>HLOOKUP(Q1212,データについて!$J$11:$M$18,8,FALSE)</f>
        <v>1</v>
      </c>
      <c r="Y1212" s="81">
        <f>HLOOKUP(R1212,データについて!$J$12:$M$18,7,FALSE)</f>
        <v>2</v>
      </c>
      <c r="Z1212" s="81">
        <f>HLOOKUP(I1212,データについて!$J$3:$M$18,16,FALSE)</f>
        <v>1</v>
      </c>
      <c r="AA1212" s="81">
        <f>IFERROR(HLOOKUP(J1212,データについて!$J$4:$AH$19,16,FALSE),"")</f>
        <v>8</v>
      </c>
      <c r="AB1212" s="81" t="str">
        <f>IFERROR(HLOOKUP(K1212,データについて!$J$5:$AH$20,14,FALSE),"")</f>
        <v/>
      </c>
      <c r="AC1212" s="81">
        <f>IF(X1212=1,HLOOKUP(R1212,データについて!$J$12:$M$18,7,FALSE),"*")</f>
        <v>2</v>
      </c>
      <c r="AD1212" s="81" t="str">
        <f>IF(X1212=2,HLOOKUP(R1212,データについて!$J$12:$M$18,7,FALSE),"*")</f>
        <v>*</v>
      </c>
    </row>
    <row r="1213" spans="1:30">
      <c r="A1213" s="30">
        <v>3979</v>
      </c>
      <c r="B1213" s="30" t="s">
        <v>578</v>
      </c>
      <c r="C1213" s="30" t="s">
        <v>579</v>
      </c>
      <c r="D1213" s="30" t="s">
        <v>106</v>
      </c>
      <c r="E1213" s="30"/>
      <c r="F1213" s="30" t="s">
        <v>107</v>
      </c>
      <c r="G1213" s="30" t="s">
        <v>106</v>
      </c>
      <c r="H1213" s="30"/>
      <c r="I1213" s="30" t="s">
        <v>192</v>
      </c>
      <c r="J1213" s="30" t="s">
        <v>546</v>
      </c>
      <c r="K1213" s="30"/>
      <c r="L1213" s="30" t="s">
        <v>117</v>
      </c>
      <c r="M1213" s="30" t="s">
        <v>109</v>
      </c>
      <c r="N1213" s="30" t="s">
        <v>110</v>
      </c>
      <c r="O1213" s="30" t="s">
        <v>116</v>
      </c>
      <c r="P1213" s="30" t="s">
        <v>112</v>
      </c>
      <c r="Q1213" s="30" t="s">
        <v>112</v>
      </c>
      <c r="R1213" s="30" t="s">
        <v>185</v>
      </c>
      <c r="S1213" s="81">
        <f>HLOOKUP(L1213,データについて!$J$6:$M$18,13,FALSE)</f>
        <v>2</v>
      </c>
      <c r="T1213" s="81">
        <f>HLOOKUP(M1213,データについて!$J$7:$M$18,12,FALSE)</f>
        <v>2</v>
      </c>
      <c r="U1213" s="81">
        <f>HLOOKUP(N1213,データについて!$J$8:$M$18,11,FALSE)</f>
        <v>2</v>
      </c>
      <c r="V1213" s="81">
        <f>HLOOKUP(O1213,データについて!$J$9:$M$18,10,FALSE)</f>
        <v>2</v>
      </c>
      <c r="W1213" s="81">
        <f>HLOOKUP(P1213,データについて!$J$10:$M$18,9,FALSE)</f>
        <v>1</v>
      </c>
      <c r="X1213" s="81">
        <f>HLOOKUP(Q1213,データについて!$J$11:$M$18,8,FALSE)</f>
        <v>1</v>
      </c>
      <c r="Y1213" s="81">
        <f>HLOOKUP(R1213,データについて!$J$12:$M$18,7,FALSE)</f>
        <v>2</v>
      </c>
      <c r="Z1213" s="81">
        <f>HLOOKUP(I1213,データについて!$J$3:$M$18,16,FALSE)</f>
        <v>1</v>
      </c>
      <c r="AA1213" s="81">
        <f>IFERROR(HLOOKUP(J1213,データについて!$J$4:$AH$19,16,FALSE),"")</f>
        <v>8</v>
      </c>
      <c r="AB1213" s="81" t="str">
        <f>IFERROR(HLOOKUP(K1213,データについて!$J$5:$AH$20,14,FALSE),"")</f>
        <v/>
      </c>
      <c r="AC1213" s="81">
        <f>IF(X1213=1,HLOOKUP(R1213,データについて!$J$12:$M$18,7,FALSE),"*")</f>
        <v>2</v>
      </c>
      <c r="AD1213" s="81" t="str">
        <f>IF(X1213=2,HLOOKUP(R1213,データについて!$J$12:$M$18,7,FALSE),"*")</f>
        <v>*</v>
      </c>
    </row>
    <row r="1214" spans="1:30">
      <c r="A1214" s="30">
        <v>3978</v>
      </c>
      <c r="B1214" s="30" t="s">
        <v>580</v>
      </c>
      <c r="C1214" s="30" t="s">
        <v>579</v>
      </c>
      <c r="D1214" s="30" t="s">
        <v>106</v>
      </c>
      <c r="E1214" s="30"/>
      <c r="F1214" s="30" t="s">
        <v>107</v>
      </c>
      <c r="G1214" s="30" t="s">
        <v>106</v>
      </c>
      <c r="H1214" s="30"/>
      <c r="I1214" s="30" t="s">
        <v>192</v>
      </c>
      <c r="J1214" s="30" t="s">
        <v>546</v>
      </c>
      <c r="K1214" s="30"/>
      <c r="L1214" s="30" t="s">
        <v>117</v>
      </c>
      <c r="M1214" s="30" t="s">
        <v>109</v>
      </c>
      <c r="N1214" s="30" t="s">
        <v>110</v>
      </c>
      <c r="O1214" s="30" t="s">
        <v>115</v>
      </c>
      <c r="P1214" s="30" t="s">
        <v>112</v>
      </c>
      <c r="Q1214" s="30" t="s">
        <v>112</v>
      </c>
      <c r="R1214" s="30" t="s">
        <v>183</v>
      </c>
      <c r="S1214" s="81">
        <f>HLOOKUP(L1214,データについて!$J$6:$M$18,13,FALSE)</f>
        <v>2</v>
      </c>
      <c r="T1214" s="81">
        <f>HLOOKUP(M1214,データについて!$J$7:$M$18,12,FALSE)</f>
        <v>2</v>
      </c>
      <c r="U1214" s="81">
        <f>HLOOKUP(N1214,データについて!$J$8:$M$18,11,FALSE)</f>
        <v>2</v>
      </c>
      <c r="V1214" s="81">
        <f>HLOOKUP(O1214,データについて!$J$9:$M$18,10,FALSE)</f>
        <v>1</v>
      </c>
      <c r="W1214" s="81">
        <f>HLOOKUP(P1214,データについて!$J$10:$M$18,9,FALSE)</f>
        <v>1</v>
      </c>
      <c r="X1214" s="81">
        <f>HLOOKUP(Q1214,データについて!$J$11:$M$18,8,FALSE)</f>
        <v>1</v>
      </c>
      <c r="Y1214" s="81">
        <f>HLOOKUP(R1214,データについて!$J$12:$M$18,7,FALSE)</f>
        <v>1</v>
      </c>
      <c r="Z1214" s="81">
        <f>HLOOKUP(I1214,データについて!$J$3:$M$18,16,FALSE)</f>
        <v>1</v>
      </c>
      <c r="AA1214" s="81">
        <f>IFERROR(HLOOKUP(J1214,データについて!$J$4:$AH$19,16,FALSE),"")</f>
        <v>8</v>
      </c>
      <c r="AB1214" s="81" t="str">
        <f>IFERROR(HLOOKUP(K1214,データについて!$J$5:$AH$20,14,FALSE),"")</f>
        <v/>
      </c>
      <c r="AC1214" s="81">
        <f>IF(X1214=1,HLOOKUP(R1214,データについて!$J$12:$M$18,7,FALSE),"*")</f>
        <v>1</v>
      </c>
      <c r="AD1214" s="81" t="str">
        <f>IF(X1214=2,HLOOKUP(R1214,データについて!$J$12:$M$18,7,FALSE),"*")</f>
        <v>*</v>
      </c>
    </row>
    <row r="1215" spans="1:30">
      <c r="A1215" s="30">
        <v>3977</v>
      </c>
      <c r="B1215" s="30" t="s">
        <v>581</v>
      </c>
      <c r="C1215" s="30" t="s">
        <v>582</v>
      </c>
      <c r="D1215" s="30" t="s">
        <v>106</v>
      </c>
      <c r="E1215" s="30"/>
      <c r="F1215" s="30" t="s">
        <v>107</v>
      </c>
      <c r="G1215" s="30" t="s">
        <v>106</v>
      </c>
      <c r="H1215" s="30"/>
      <c r="I1215" s="30" t="s">
        <v>192</v>
      </c>
      <c r="J1215" s="30" t="s">
        <v>546</v>
      </c>
      <c r="K1215" s="30"/>
      <c r="L1215" s="30" t="s">
        <v>117</v>
      </c>
      <c r="M1215" s="30" t="s">
        <v>113</v>
      </c>
      <c r="N1215" s="30" t="s">
        <v>114</v>
      </c>
      <c r="O1215" s="30" t="s">
        <v>115</v>
      </c>
      <c r="P1215" s="30" t="s">
        <v>112</v>
      </c>
      <c r="Q1215" s="30" t="s">
        <v>112</v>
      </c>
      <c r="R1215" s="30" t="s">
        <v>183</v>
      </c>
      <c r="S1215" s="81">
        <f>HLOOKUP(L1215,データについて!$J$6:$M$18,13,FALSE)</f>
        <v>2</v>
      </c>
      <c r="T1215" s="81">
        <f>HLOOKUP(M1215,データについて!$J$7:$M$18,12,FALSE)</f>
        <v>1</v>
      </c>
      <c r="U1215" s="81">
        <f>HLOOKUP(N1215,データについて!$J$8:$M$18,11,FALSE)</f>
        <v>1</v>
      </c>
      <c r="V1215" s="81">
        <f>HLOOKUP(O1215,データについて!$J$9:$M$18,10,FALSE)</f>
        <v>1</v>
      </c>
      <c r="W1215" s="81">
        <f>HLOOKUP(P1215,データについて!$J$10:$M$18,9,FALSE)</f>
        <v>1</v>
      </c>
      <c r="X1215" s="81">
        <f>HLOOKUP(Q1215,データについて!$J$11:$M$18,8,FALSE)</f>
        <v>1</v>
      </c>
      <c r="Y1215" s="81">
        <f>HLOOKUP(R1215,データについて!$J$12:$M$18,7,FALSE)</f>
        <v>1</v>
      </c>
      <c r="Z1215" s="81">
        <f>HLOOKUP(I1215,データについて!$J$3:$M$18,16,FALSE)</f>
        <v>1</v>
      </c>
      <c r="AA1215" s="81">
        <f>IFERROR(HLOOKUP(J1215,データについて!$J$4:$AH$19,16,FALSE),"")</f>
        <v>8</v>
      </c>
      <c r="AB1215" s="81" t="str">
        <f>IFERROR(HLOOKUP(K1215,データについて!$J$5:$AH$20,14,FALSE),"")</f>
        <v/>
      </c>
      <c r="AC1215" s="81">
        <f>IF(X1215=1,HLOOKUP(R1215,データについて!$J$12:$M$18,7,FALSE),"*")</f>
        <v>1</v>
      </c>
      <c r="AD1215" s="81" t="str">
        <f>IF(X1215=2,HLOOKUP(R1215,データについて!$J$12:$M$18,7,FALSE),"*")</f>
        <v>*</v>
      </c>
    </row>
    <row r="1216" spans="1:30">
      <c r="A1216" s="30">
        <v>3976</v>
      </c>
      <c r="B1216" s="30" t="s">
        <v>583</v>
      </c>
      <c r="C1216" s="30" t="s">
        <v>584</v>
      </c>
      <c r="D1216" s="30" t="s">
        <v>106</v>
      </c>
      <c r="E1216" s="30"/>
      <c r="F1216" s="30" t="s">
        <v>107</v>
      </c>
      <c r="G1216" s="30" t="s">
        <v>106</v>
      </c>
      <c r="H1216" s="30"/>
      <c r="I1216" s="30" t="s">
        <v>192</v>
      </c>
      <c r="J1216" s="30" t="s">
        <v>546</v>
      </c>
      <c r="K1216" s="30"/>
      <c r="L1216" s="30" t="s">
        <v>108</v>
      </c>
      <c r="M1216" s="30" t="s">
        <v>113</v>
      </c>
      <c r="N1216" s="30" t="s">
        <v>114</v>
      </c>
      <c r="O1216" s="30" t="s">
        <v>115</v>
      </c>
      <c r="P1216" s="30" t="s">
        <v>112</v>
      </c>
      <c r="Q1216" s="30" t="s">
        <v>112</v>
      </c>
      <c r="R1216" s="30" t="s">
        <v>183</v>
      </c>
      <c r="S1216" s="81">
        <f>HLOOKUP(L1216,データについて!$J$6:$M$18,13,FALSE)</f>
        <v>1</v>
      </c>
      <c r="T1216" s="81">
        <f>HLOOKUP(M1216,データについて!$J$7:$M$18,12,FALSE)</f>
        <v>1</v>
      </c>
      <c r="U1216" s="81">
        <f>HLOOKUP(N1216,データについて!$J$8:$M$18,11,FALSE)</f>
        <v>1</v>
      </c>
      <c r="V1216" s="81">
        <f>HLOOKUP(O1216,データについて!$J$9:$M$18,10,FALSE)</f>
        <v>1</v>
      </c>
      <c r="W1216" s="81">
        <f>HLOOKUP(P1216,データについて!$J$10:$M$18,9,FALSE)</f>
        <v>1</v>
      </c>
      <c r="X1216" s="81">
        <f>HLOOKUP(Q1216,データについて!$J$11:$M$18,8,FALSE)</f>
        <v>1</v>
      </c>
      <c r="Y1216" s="81">
        <f>HLOOKUP(R1216,データについて!$J$12:$M$18,7,FALSE)</f>
        <v>1</v>
      </c>
      <c r="Z1216" s="81">
        <f>HLOOKUP(I1216,データについて!$J$3:$M$18,16,FALSE)</f>
        <v>1</v>
      </c>
      <c r="AA1216" s="81">
        <f>IFERROR(HLOOKUP(J1216,データについて!$J$4:$AH$19,16,FALSE),"")</f>
        <v>8</v>
      </c>
      <c r="AB1216" s="81" t="str">
        <f>IFERROR(HLOOKUP(K1216,データについて!$J$5:$AH$20,14,FALSE),"")</f>
        <v/>
      </c>
      <c r="AC1216" s="81">
        <f>IF(X1216=1,HLOOKUP(R1216,データについて!$J$12:$M$18,7,FALSE),"*")</f>
        <v>1</v>
      </c>
      <c r="AD1216" s="81" t="str">
        <f>IF(X1216=2,HLOOKUP(R1216,データについて!$J$12:$M$18,7,FALSE),"*")</f>
        <v>*</v>
      </c>
    </row>
    <row r="1217" spans="1:30">
      <c r="A1217" s="30">
        <v>3975</v>
      </c>
      <c r="B1217" s="30" t="s">
        <v>585</v>
      </c>
      <c r="C1217" s="30" t="s">
        <v>586</v>
      </c>
      <c r="D1217" s="30" t="s">
        <v>106</v>
      </c>
      <c r="E1217" s="30"/>
      <c r="F1217" s="30" t="s">
        <v>107</v>
      </c>
      <c r="G1217" s="30" t="s">
        <v>106</v>
      </c>
      <c r="H1217" s="30"/>
      <c r="I1217" s="30" t="s">
        <v>192</v>
      </c>
      <c r="J1217" s="30" t="s">
        <v>546</v>
      </c>
      <c r="K1217" s="30"/>
      <c r="L1217" s="30" t="s">
        <v>108</v>
      </c>
      <c r="M1217" s="30" t="s">
        <v>109</v>
      </c>
      <c r="N1217" s="30" t="s">
        <v>114</v>
      </c>
      <c r="O1217" s="30" t="s">
        <v>111</v>
      </c>
      <c r="P1217" s="30" t="s">
        <v>112</v>
      </c>
      <c r="Q1217" s="30" t="s">
        <v>112</v>
      </c>
      <c r="R1217" s="30" t="s">
        <v>185</v>
      </c>
      <c r="S1217" s="81">
        <f>HLOOKUP(L1217,データについて!$J$6:$M$18,13,FALSE)</f>
        <v>1</v>
      </c>
      <c r="T1217" s="81">
        <f>HLOOKUP(M1217,データについて!$J$7:$M$18,12,FALSE)</f>
        <v>2</v>
      </c>
      <c r="U1217" s="81">
        <f>HLOOKUP(N1217,データについて!$J$8:$M$18,11,FALSE)</f>
        <v>1</v>
      </c>
      <c r="V1217" s="81">
        <f>HLOOKUP(O1217,データについて!$J$9:$M$18,10,FALSE)</f>
        <v>3</v>
      </c>
      <c r="W1217" s="81">
        <f>HLOOKUP(P1217,データについて!$J$10:$M$18,9,FALSE)</f>
        <v>1</v>
      </c>
      <c r="X1217" s="81">
        <f>HLOOKUP(Q1217,データについて!$J$11:$M$18,8,FALSE)</f>
        <v>1</v>
      </c>
      <c r="Y1217" s="81">
        <f>HLOOKUP(R1217,データについて!$J$12:$M$18,7,FALSE)</f>
        <v>2</v>
      </c>
      <c r="Z1217" s="81">
        <f>HLOOKUP(I1217,データについて!$J$3:$M$18,16,FALSE)</f>
        <v>1</v>
      </c>
      <c r="AA1217" s="81">
        <f>IFERROR(HLOOKUP(J1217,データについて!$J$4:$AH$19,16,FALSE),"")</f>
        <v>8</v>
      </c>
      <c r="AB1217" s="81" t="str">
        <f>IFERROR(HLOOKUP(K1217,データについて!$J$5:$AH$20,14,FALSE),"")</f>
        <v/>
      </c>
      <c r="AC1217" s="81">
        <f>IF(X1217=1,HLOOKUP(R1217,データについて!$J$12:$M$18,7,FALSE),"*")</f>
        <v>2</v>
      </c>
      <c r="AD1217" s="81" t="str">
        <f>IF(X1217=2,HLOOKUP(R1217,データについて!$J$12:$M$18,7,FALSE),"*")</f>
        <v>*</v>
      </c>
    </row>
    <row r="1218" spans="1:30">
      <c r="A1218" s="30">
        <v>3974</v>
      </c>
      <c r="B1218" s="30" t="s">
        <v>587</v>
      </c>
      <c r="C1218" s="30" t="s">
        <v>588</v>
      </c>
      <c r="D1218" s="30" t="s">
        <v>106</v>
      </c>
      <c r="E1218" s="30"/>
      <c r="F1218" s="30" t="s">
        <v>107</v>
      </c>
      <c r="G1218" s="30" t="s">
        <v>106</v>
      </c>
      <c r="H1218" s="30"/>
      <c r="I1218" s="30" t="s">
        <v>192</v>
      </c>
      <c r="J1218" s="30" t="s">
        <v>546</v>
      </c>
      <c r="K1218" s="30"/>
      <c r="L1218" s="30" t="s">
        <v>117</v>
      </c>
      <c r="M1218" s="30" t="s">
        <v>109</v>
      </c>
      <c r="N1218" s="30" t="s">
        <v>114</v>
      </c>
      <c r="O1218" s="30" t="s">
        <v>116</v>
      </c>
      <c r="P1218" s="30" t="s">
        <v>112</v>
      </c>
      <c r="Q1218" s="30" t="s">
        <v>112</v>
      </c>
      <c r="R1218" s="30" t="s">
        <v>185</v>
      </c>
      <c r="S1218" s="81">
        <f>HLOOKUP(L1218,データについて!$J$6:$M$18,13,FALSE)</f>
        <v>2</v>
      </c>
      <c r="T1218" s="81">
        <f>HLOOKUP(M1218,データについて!$J$7:$M$18,12,FALSE)</f>
        <v>2</v>
      </c>
      <c r="U1218" s="81">
        <f>HLOOKUP(N1218,データについて!$J$8:$M$18,11,FALSE)</f>
        <v>1</v>
      </c>
      <c r="V1218" s="81">
        <f>HLOOKUP(O1218,データについて!$J$9:$M$18,10,FALSE)</f>
        <v>2</v>
      </c>
      <c r="W1218" s="81">
        <f>HLOOKUP(P1218,データについて!$J$10:$M$18,9,FALSE)</f>
        <v>1</v>
      </c>
      <c r="X1218" s="81">
        <f>HLOOKUP(Q1218,データについて!$J$11:$M$18,8,FALSE)</f>
        <v>1</v>
      </c>
      <c r="Y1218" s="81">
        <f>HLOOKUP(R1218,データについて!$J$12:$M$18,7,FALSE)</f>
        <v>2</v>
      </c>
      <c r="Z1218" s="81">
        <f>HLOOKUP(I1218,データについて!$J$3:$M$18,16,FALSE)</f>
        <v>1</v>
      </c>
      <c r="AA1218" s="81">
        <f>IFERROR(HLOOKUP(J1218,データについて!$J$4:$AH$19,16,FALSE),"")</f>
        <v>8</v>
      </c>
      <c r="AB1218" s="81" t="str">
        <f>IFERROR(HLOOKUP(K1218,データについて!$J$5:$AH$20,14,FALSE),"")</f>
        <v/>
      </c>
      <c r="AC1218" s="81">
        <f>IF(X1218=1,HLOOKUP(R1218,データについて!$J$12:$M$18,7,FALSE),"*")</f>
        <v>2</v>
      </c>
      <c r="AD1218" s="81" t="str">
        <f>IF(X1218=2,HLOOKUP(R1218,データについて!$J$12:$M$18,7,FALSE),"*")</f>
        <v>*</v>
      </c>
    </row>
    <row r="1219" spans="1:30">
      <c r="A1219" s="30">
        <v>3973</v>
      </c>
      <c r="B1219" s="30" t="s">
        <v>589</v>
      </c>
      <c r="C1219" s="30" t="s">
        <v>590</v>
      </c>
      <c r="D1219" s="30" t="s">
        <v>106</v>
      </c>
      <c r="E1219" s="30"/>
      <c r="F1219" s="30" t="s">
        <v>107</v>
      </c>
      <c r="G1219" s="30" t="s">
        <v>106</v>
      </c>
      <c r="H1219" s="30"/>
      <c r="I1219" s="30" t="s">
        <v>192</v>
      </c>
      <c r="J1219" s="30" t="s">
        <v>546</v>
      </c>
      <c r="K1219" s="30"/>
      <c r="L1219" s="30" t="s">
        <v>108</v>
      </c>
      <c r="M1219" s="30" t="s">
        <v>109</v>
      </c>
      <c r="N1219" s="30" t="s">
        <v>110</v>
      </c>
      <c r="O1219" s="30" t="s">
        <v>115</v>
      </c>
      <c r="P1219" s="30" t="s">
        <v>112</v>
      </c>
      <c r="Q1219" s="30" t="s">
        <v>112</v>
      </c>
      <c r="R1219" s="30" t="s">
        <v>187</v>
      </c>
      <c r="S1219" s="81">
        <f>HLOOKUP(L1219,データについて!$J$6:$M$18,13,FALSE)</f>
        <v>1</v>
      </c>
      <c r="T1219" s="81">
        <f>HLOOKUP(M1219,データについて!$J$7:$M$18,12,FALSE)</f>
        <v>2</v>
      </c>
      <c r="U1219" s="81">
        <f>HLOOKUP(N1219,データについて!$J$8:$M$18,11,FALSE)</f>
        <v>2</v>
      </c>
      <c r="V1219" s="81">
        <f>HLOOKUP(O1219,データについて!$J$9:$M$18,10,FALSE)</f>
        <v>1</v>
      </c>
      <c r="W1219" s="81">
        <f>HLOOKUP(P1219,データについて!$J$10:$M$18,9,FALSE)</f>
        <v>1</v>
      </c>
      <c r="X1219" s="81">
        <f>HLOOKUP(Q1219,データについて!$J$11:$M$18,8,FALSE)</f>
        <v>1</v>
      </c>
      <c r="Y1219" s="81">
        <f>HLOOKUP(R1219,データについて!$J$12:$M$18,7,FALSE)</f>
        <v>3</v>
      </c>
      <c r="Z1219" s="81">
        <f>HLOOKUP(I1219,データについて!$J$3:$M$18,16,FALSE)</f>
        <v>1</v>
      </c>
      <c r="AA1219" s="81">
        <f>IFERROR(HLOOKUP(J1219,データについて!$J$4:$AH$19,16,FALSE),"")</f>
        <v>8</v>
      </c>
      <c r="AB1219" s="81" t="str">
        <f>IFERROR(HLOOKUP(K1219,データについて!$J$5:$AH$20,14,FALSE),"")</f>
        <v/>
      </c>
      <c r="AC1219" s="81">
        <f>IF(X1219=1,HLOOKUP(R1219,データについて!$J$12:$M$18,7,FALSE),"*")</f>
        <v>3</v>
      </c>
      <c r="AD1219" s="81" t="str">
        <f>IF(X1219=2,HLOOKUP(R1219,データについて!$J$12:$M$18,7,FALSE),"*")</f>
        <v>*</v>
      </c>
    </row>
    <row r="1220" spans="1:30">
      <c r="A1220" s="30">
        <v>3972</v>
      </c>
      <c r="B1220" s="30" t="s">
        <v>591</v>
      </c>
      <c r="C1220" s="30" t="s">
        <v>592</v>
      </c>
      <c r="D1220" s="30" t="s">
        <v>106</v>
      </c>
      <c r="E1220" s="30"/>
      <c r="F1220" s="30" t="s">
        <v>107</v>
      </c>
      <c r="G1220" s="30" t="s">
        <v>106</v>
      </c>
      <c r="H1220" s="30"/>
      <c r="I1220" s="30" t="s">
        <v>192</v>
      </c>
      <c r="J1220" s="30" t="s">
        <v>546</v>
      </c>
      <c r="K1220" s="30"/>
      <c r="L1220" s="30" t="s">
        <v>108</v>
      </c>
      <c r="M1220" s="30" t="s">
        <v>113</v>
      </c>
      <c r="N1220" s="30" t="s">
        <v>119</v>
      </c>
      <c r="O1220" s="30" t="s">
        <v>115</v>
      </c>
      <c r="P1220" s="30" t="s">
        <v>112</v>
      </c>
      <c r="Q1220" s="30" t="s">
        <v>112</v>
      </c>
      <c r="R1220" s="30" t="s">
        <v>183</v>
      </c>
      <c r="S1220" s="81">
        <f>HLOOKUP(L1220,データについて!$J$6:$M$18,13,FALSE)</f>
        <v>1</v>
      </c>
      <c r="T1220" s="81">
        <f>HLOOKUP(M1220,データについて!$J$7:$M$18,12,FALSE)</f>
        <v>1</v>
      </c>
      <c r="U1220" s="81">
        <f>HLOOKUP(N1220,データについて!$J$8:$M$18,11,FALSE)</f>
        <v>4</v>
      </c>
      <c r="V1220" s="81">
        <f>HLOOKUP(O1220,データについて!$J$9:$M$18,10,FALSE)</f>
        <v>1</v>
      </c>
      <c r="W1220" s="81">
        <f>HLOOKUP(P1220,データについて!$J$10:$M$18,9,FALSE)</f>
        <v>1</v>
      </c>
      <c r="X1220" s="81">
        <f>HLOOKUP(Q1220,データについて!$J$11:$M$18,8,FALSE)</f>
        <v>1</v>
      </c>
      <c r="Y1220" s="81">
        <f>HLOOKUP(R1220,データについて!$J$12:$M$18,7,FALSE)</f>
        <v>1</v>
      </c>
      <c r="Z1220" s="81">
        <f>HLOOKUP(I1220,データについて!$J$3:$M$18,16,FALSE)</f>
        <v>1</v>
      </c>
      <c r="AA1220" s="81">
        <f>IFERROR(HLOOKUP(J1220,データについて!$J$4:$AH$19,16,FALSE),"")</f>
        <v>8</v>
      </c>
      <c r="AB1220" s="81" t="str">
        <f>IFERROR(HLOOKUP(K1220,データについて!$J$5:$AH$20,14,FALSE),"")</f>
        <v/>
      </c>
      <c r="AC1220" s="81">
        <f>IF(X1220=1,HLOOKUP(R1220,データについて!$J$12:$M$18,7,FALSE),"*")</f>
        <v>1</v>
      </c>
      <c r="AD1220" s="81" t="str">
        <f>IF(X1220=2,HLOOKUP(R1220,データについて!$J$12:$M$18,7,FALSE),"*")</f>
        <v>*</v>
      </c>
    </row>
    <row r="1221" spans="1:30">
      <c r="A1221" s="30">
        <v>3971</v>
      </c>
      <c r="B1221" s="30" t="s">
        <v>593</v>
      </c>
      <c r="C1221" s="30" t="s">
        <v>594</v>
      </c>
      <c r="D1221" s="30" t="s">
        <v>106</v>
      </c>
      <c r="E1221" s="30"/>
      <c r="F1221" s="30" t="s">
        <v>107</v>
      </c>
      <c r="G1221" s="30" t="s">
        <v>106</v>
      </c>
      <c r="H1221" s="30"/>
      <c r="I1221" s="30" t="s">
        <v>192</v>
      </c>
      <c r="J1221" s="30" t="s">
        <v>546</v>
      </c>
      <c r="K1221" s="30"/>
      <c r="L1221" s="30" t="s">
        <v>108</v>
      </c>
      <c r="M1221" s="30" t="s">
        <v>109</v>
      </c>
      <c r="N1221" s="30" t="s">
        <v>110</v>
      </c>
      <c r="O1221" s="30" t="s">
        <v>115</v>
      </c>
      <c r="P1221" s="30" t="s">
        <v>112</v>
      </c>
      <c r="Q1221" s="30" t="s">
        <v>118</v>
      </c>
      <c r="R1221" s="30" t="s">
        <v>189</v>
      </c>
      <c r="S1221" s="81">
        <f>HLOOKUP(L1221,データについて!$J$6:$M$18,13,FALSE)</f>
        <v>1</v>
      </c>
      <c r="T1221" s="81">
        <f>HLOOKUP(M1221,データについて!$J$7:$M$18,12,FALSE)</f>
        <v>2</v>
      </c>
      <c r="U1221" s="81">
        <f>HLOOKUP(N1221,データについて!$J$8:$M$18,11,FALSE)</f>
        <v>2</v>
      </c>
      <c r="V1221" s="81">
        <f>HLOOKUP(O1221,データについて!$J$9:$M$18,10,FALSE)</f>
        <v>1</v>
      </c>
      <c r="W1221" s="81">
        <f>HLOOKUP(P1221,データについて!$J$10:$M$18,9,FALSE)</f>
        <v>1</v>
      </c>
      <c r="X1221" s="81">
        <f>HLOOKUP(Q1221,データについて!$J$11:$M$18,8,FALSE)</f>
        <v>2</v>
      </c>
      <c r="Y1221" s="81">
        <f>HLOOKUP(R1221,データについて!$J$12:$M$18,7,FALSE)</f>
        <v>4</v>
      </c>
      <c r="Z1221" s="81">
        <f>HLOOKUP(I1221,データについて!$J$3:$M$18,16,FALSE)</f>
        <v>1</v>
      </c>
      <c r="AA1221" s="81">
        <f>IFERROR(HLOOKUP(J1221,データについて!$J$4:$AH$19,16,FALSE),"")</f>
        <v>8</v>
      </c>
      <c r="AB1221" s="81" t="str">
        <f>IFERROR(HLOOKUP(K1221,データについて!$J$5:$AH$20,14,FALSE),"")</f>
        <v/>
      </c>
      <c r="AC1221" s="81" t="str">
        <f>IF(X1221=1,HLOOKUP(R1221,データについて!$J$12:$M$18,7,FALSE),"*")</f>
        <v>*</v>
      </c>
      <c r="AD1221" s="81">
        <f>IF(X1221=2,HLOOKUP(R1221,データについて!$J$12:$M$18,7,FALSE),"*")</f>
        <v>4</v>
      </c>
    </row>
    <row r="1222" spans="1:30">
      <c r="A1222" s="30">
        <v>3970</v>
      </c>
      <c r="B1222" s="30" t="s">
        <v>595</v>
      </c>
      <c r="C1222" s="30" t="s">
        <v>596</v>
      </c>
      <c r="D1222" s="30" t="s">
        <v>106</v>
      </c>
      <c r="E1222" s="30"/>
      <c r="F1222" s="30" t="s">
        <v>107</v>
      </c>
      <c r="G1222" s="30" t="s">
        <v>106</v>
      </c>
      <c r="H1222" s="30"/>
      <c r="I1222" s="30" t="s">
        <v>192</v>
      </c>
      <c r="J1222" s="30" t="s">
        <v>546</v>
      </c>
      <c r="K1222" s="30"/>
      <c r="L1222" s="30" t="s">
        <v>108</v>
      </c>
      <c r="M1222" s="30" t="s">
        <v>113</v>
      </c>
      <c r="N1222" s="30" t="s">
        <v>114</v>
      </c>
      <c r="O1222" s="30" t="s">
        <v>115</v>
      </c>
      <c r="P1222" s="30" t="s">
        <v>112</v>
      </c>
      <c r="Q1222" s="30" t="s">
        <v>118</v>
      </c>
      <c r="R1222" s="30" t="s">
        <v>189</v>
      </c>
      <c r="S1222" s="81">
        <f>HLOOKUP(L1222,データについて!$J$6:$M$18,13,FALSE)</f>
        <v>1</v>
      </c>
      <c r="T1222" s="81">
        <f>HLOOKUP(M1222,データについて!$J$7:$M$18,12,FALSE)</f>
        <v>1</v>
      </c>
      <c r="U1222" s="81">
        <f>HLOOKUP(N1222,データについて!$J$8:$M$18,11,FALSE)</f>
        <v>1</v>
      </c>
      <c r="V1222" s="81">
        <f>HLOOKUP(O1222,データについて!$J$9:$M$18,10,FALSE)</f>
        <v>1</v>
      </c>
      <c r="W1222" s="81">
        <f>HLOOKUP(P1222,データについて!$J$10:$M$18,9,FALSE)</f>
        <v>1</v>
      </c>
      <c r="X1222" s="81">
        <f>HLOOKUP(Q1222,データについて!$J$11:$M$18,8,FALSE)</f>
        <v>2</v>
      </c>
      <c r="Y1222" s="81">
        <f>HLOOKUP(R1222,データについて!$J$12:$M$18,7,FALSE)</f>
        <v>4</v>
      </c>
      <c r="Z1222" s="81">
        <f>HLOOKUP(I1222,データについて!$J$3:$M$18,16,FALSE)</f>
        <v>1</v>
      </c>
      <c r="AA1222" s="81">
        <f>IFERROR(HLOOKUP(J1222,データについて!$J$4:$AH$19,16,FALSE),"")</f>
        <v>8</v>
      </c>
      <c r="AB1222" s="81" t="str">
        <f>IFERROR(HLOOKUP(K1222,データについて!$J$5:$AH$20,14,FALSE),"")</f>
        <v/>
      </c>
      <c r="AC1222" s="81" t="str">
        <f>IF(X1222=1,HLOOKUP(R1222,データについて!$J$12:$M$18,7,FALSE),"*")</f>
        <v>*</v>
      </c>
      <c r="AD1222" s="81">
        <f>IF(X1222=2,HLOOKUP(R1222,データについて!$J$12:$M$18,7,FALSE),"*")</f>
        <v>4</v>
      </c>
    </row>
    <row r="1223" spans="1:30">
      <c r="A1223" s="30">
        <v>3969</v>
      </c>
      <c r="B1223" s="30" t="s">
        <v>597</v>
      </c>
      <c r="C1223" s="30" t="s">
        <v>598</v>
      </c>
      <c r="D1223" s="30" t="s">
        <v>106</v>
      </c>
      <c r="E1223" s="30"/>
      <c r="F1223" s="30" t="s">
        <v>107</v>
      </c>
      <c r="G1223" s="30" t="s">
        <v>106</v>
      </c>
      <c r="H1223" s="30"/>
      <c r="I1223" s="30" t="s">
        <v>192</v>
      </c>
      <c r="J1223" s="30" t="s">
        <v>546</v>
      </c>
      <c r="K1223" s="30"/>
      <c r="L1223" s="30" t="s">
        <v>108</v>
      </c>
      <c r="M1223" s="30" t="s">
        <v>113</v>
      </c>
      <c r="N1223" s="30" t="s">
        <v>114</v>
      </c>
      <c r="O1223" s="30" t="s">
        <v>115</v>
      </c>
      <c r="P1223" s="30" t="s">
        <v>112</v>
      </c>
      <c r="Q1223" s="30" t="s">
        <v>112</v>
      </c>
      <c r="R1223" s="30" t="s">
        <v>185</v>
      </c>
      <c r="S1223" s="81">
        <f>HLOOKUP(L1223,データについて!$J$6:$M$18,13,FALSE)</f>
        <v>1</v>
      </c>
      <c r="T1223" s="81">
        <f>HLOOKUP(M1223,データについて!$J$7:$M$18,12,FALSE)</f>
        <v>1</v>
      </c>
      <c r="U1223" s="81">
        <f>HLOOKUP(N1223,データについて!$J$8:$M$18,11,FALSE)</f>
        <v>1</v>
      </c>
      <c r="V1223" s="81">
        <f>HLOOKUP(O1223,データについて!$J$9:$M$18,10,FALSE)</f>
        <v>1</v>
      </c>
      <c r="W1223" s="81">
        <f>HLOOKUP(P1223,データについて!$J$10:$M$18,9,FALSE)</f>
        <v>1</v>
      </c>
      <c r="X1223" s="81">
        <f>HLOOKUP(Q1223,データについて!$J$11:$M$18,8,FALSE)</f>
        <v>1</v>
      </c>
      <c r="Y1223" s="81">
        <f>HLOOKUP(R1223,データについて!$J$12:$M$18,7,FALSE)</f>
        <v>2</v>
      </c>
      <c r="Z1223" s="81">
        <f>HLOOKUP(I1223,データについて!$J$3:$M$18,16,FALSE)</f>
        <v>1</v>
      </c>
      <c r="AA1223" s="81">
        <f>IFERROR(HLOOKUP(J1223,データについて!$J$4:$AH$19,16,FALSE),"")</f>
        <v>8</v>
      </c>
      <c r="AB1223" s="81" t="str">
        <f>IFERROR(HLOOKUP(K1223,データについて!$J$5:$AH$20,14,FALSE),"")</f>
        <v/>
      </c>
      <c r="AC1223" s="81">
        <f>IF(X1223=1,HLOOKUP(R1223,データについて!$J$12:$M$18,7,FALSE),"*")</f>
        <v>2</v>
      </c>
      <c r="AD1223" s="81" t="str">
        <f>IF(X1223=2,HLOOKUP(R1223,データについて!$J$12:$M$18,7,FALSE),"*")</f>
        <v>*</v>
      </c>
    </row>
    <row r="1224" spans="1:30">
      <c r="A1224" s="30">
        <v>3968</v>
      </c>
      <c r="B1224" s="30" t="s">
        <v>599</v>
      </c>
      <c r="C1224" s="30" t="s">
        <v>600</v>
      </c>
      <c r="D1224" s="30" t="s">
        <v>106</v>
      </c>
      <c r="E1224" s="30"/>
      <c r="F1224" s="30" t="s">
        <v>107</v>
      </c>
      <c r="G1224" s="30" t="s">
        <v>106</v>
      </c>
      <c r="H1224" s="30"/>
      <c r="I1224" s="30" t="s">
        <v>192</v>
      </c>
      <c r="J1224" s="30" t="s">
        <v>546</v>
      </c>
      <c r="K1224" s="30"/>
      <c r="L1224" s="30" t="s">
        <v>117</v>
      </c>
      <c r="M1224" s="30" t="s">
        <v>109</v>
      </c>
      <c r="N1224" s="30" t="s">
        <v>114</v>
      </c>
      <c r="O1224" s="30" t="s">
        <v>115</v>
      </c>
      <c r="P1224" s="30" t="s">
        <v>112</v>
      </c>
      <c r="Q1224" s="30" t="s">
        <v>112</v>
      </c>
      <c r="R1224" s="30" t="s">
        <v>187</v>
      </c>
      <c r="S1224" s="81">
        <f>HLOOKUP(L1224,データについて!$J$6:$M$18,13,FALSE)</f>
        <v>2</v>
      </c>
      <c r="T1224" s="81">
        <f>HLOOKUP(M1224,データについて!$J$7:$M$18,12,FALSE)</f>
        <v>2</v>
      </c>
      <c r="U1224" s="81">
        <f>HLOOKUP(N1224,データについて!$J$8:$M$18,11,FALSE)</f>
        <v>1</v>
      </c>
      <c r="V1224" s="81">
        <f>HLOOKUP(O1224,データについて!$J$9:$M$18,10,FALSE)</f>
        <v>1</v>
      </c>
      <c r="W1224" s="81">
        <f>HLOOKUP(P1224,データについて!$J$10:$M$18,9,FALSE)</f>
        <v>1</v>
      </c>
      <c r="X1224" s="81">
        <f>HLOOKUP(Q1224,データについて!$J$11:$M$18,8,FALSE)</f>
        <v>1</v>
      </c>
      <c r="Y1224" s="81">
        <f>HLOOKUP(R1224,データについて!$J$12:$M$18,7,FALSE)</f>
        <v>3</v>
      </c>
      <c r="Z1224" s="81">
        <f>HLOOKUP(I1224,データについて!$J$3:$M$18,16,FALSE)</f>
        <v>1</v>
      </c>
      <c r="AA1224" s="81">
        <f>IFERROR(HLOOKUP(J1224,データについて!$J$4:$AH$19,16,FALSE),"")</f>
        <v>8</v>
      </c>
      <c r="AB1224" s="81" t="str">
        <f>IFERROR(HLOOKUP(K1224,データについて!$J$5:$AH$20,14,FALSE),"")</f>
        <v/>
      </c>
      <c r="AC1224" s="81">
        <f>IF(X1224=1,HLOOKUP(R1224,データについて!$J$12:$M$18,7,FALSE),"*")</f>
        <v>3</v>
      </c>
      <c r="AD1224" s="81" t="str">
        <f>IF(X1224=2,HLOOKUP(R1224,データについて!$J$12:$M$18,7,FALSE),"*")</f>
        <v>*</v>
      </c>
    </row>
    <row r="1225" spans="1:30">
      <c r="A1225" s="30">
        <v>3967</v>
      </c>
      <c r="B1225" s="30" t="s">
        <v>601</v>
      </c>
      <c r="C1225" s="30" t="s">
        <v>602</v>
      </c>
      <c r="D1225" s="30" t="s">
        <v>106</v>
      </c>
      <c r="E1225" s="30"/>
      <c r="F1225" s="30" t="s">
        <v>107</v>
      </c>
      <c r="G1225" s="30" t="s">
        <v>106</v>
      </c>
      <c r="H1225" s="30"/>
      <c r="I1225" s="30" t="s">
        <v>192</v>
      </c>
      <c r="J1225" s="30" t="s">
        <v>546</v>
      </c>
      <c r="K1225" s="30"/>
      <c r="L1225" s="30" t="s">
        <v>108</v>
      </c>
      <c r="M1225" s="30" t="s">
        <v>113</v>
      </c>
      <c r="N1225" s="30" t="s">
        <v>122</v>
      </c>
      <c r="O1225" s="30" t="s">
        <v>115</v>
      </c>
      <c r="P1225" s="30" t="s">
        <v>112</v>
      </c>
      <c r="Q1225" s="30" t="s">
        <v>112</v>
      </c>
      <c r="R1225" s="30" t="s">
        <v>183</v>
      </c>
      <c r="S1225" s="81">
        <f>HLOOKUP(L1225,データについて!$J$6:$M$18,13,FALSE)</f>
        <v>1</v>
      </c>
      <c r="T1225" s="81">
        <f>HLOOKUP(M1225,データについて!$J$7:$M$18,12,FALSE)</f>
        <v>1</v>
      </c>
      <c r="U1225" s="81">
        <f>HLOOKUP(N1225,データについて!$J$8:$M$18,11,FALSE)</f>
        <v>3</v>
      </c>
      <c r="V1225" s="81">
        <f>HLOOKUP(O1225,データについて!$J$9:$M$18,10,FALSE)</f>
        <v>1</v>
      </c>
      <c r="W1225" s="81">
        <f>HLOOKUP(P1225,データについて!$J$10:$M$18,9,FALSE)</f>
        <v>1</v>
      </c>
      <c r="X1225" s="81">
        <f>HLOOKUP(Q1225,データについて!$J$11:$M$18,8,FALSE)</f>
        <v>1</v>
      </c>
      <c r="Y1225" s="81">
        <f>HLOOKUP(R1225,データについて!$J$12:$M$18,7,FALSE)</f>
        <v>1</v>
      </c>
      <c r="Z1225" s="81">
        <f>HLOOKUP(I1225,データについて!$J$3:$M$18,16,FALSE)</f>
        <v>1</v>
      </c>
      <c r="AA1225" s="81">
        <f>IFERROR(HLOOKUP(J1225,データについて!$J$4:$AH$19,16,FALSE),"")</f>
        <v>8</v>
      </c>
      <c r="AB1225" s="81" t="str">
        <f>IFERROR(HLOOKUP(K1225,データについて!$J$5:$AH$20,14,FALSE),"")</f>
        <v/>
      </c>
      <c r="AC1225" s="81">
        <f>IF(X1225=1,HLOOKUP(R1225,データについて!$J$12:$M$18,7,FALSE),"*")</f>
        <v>1</v>
      </c>
      <c r="AD1225" s="81" t="str">
        <f>IF(X1225=2,HLOOKUP(R1225,データについて!$J$12:$M$18,7,FALSE),"*")</f>
        <v>*</v>
      </c>
    </row>
    <row r="1226" spans="1:30">
      <c r="A1226" s="30">
        <v>3966</v>
      </c>
      <c r="B1226" s="30" t="s">
        <v>603</v>
      </c>
      <c r="C1226" s="30" t="s">
        <v>604</v>
      </c>
      <c r="D1226" s="30" t="s">
        <v>106</v>
      </c>
      <c r="E1226" s="30"/>
      <c r="F1226" s="30" t="s">
        <v>107</v>
      </c>
      <c r="G1226" s="30" t="s">
        <v>106</v>
      </c>
      <c r="H1226" s="30"/>
      <c r="I1226" s="30" t="s">
        <v>192</v>
      </c>
      <c r="J1226" s="30" t="s">
        <v>546</v>
      </c>
      <c r="K1226" s="30"/>
      <c r="L1226" s="30" t="s">
        <v>117</v>
      </c>
      <c r="M1226" s="30" t="s">
        <v>113</v>
      </c>
      <c r="N1226" s="30" t="s">
        <v>110</v>
      </c>
      <c r="O1226" s="30" t="s">
        <v>115</v>
      </c>
      <c r="P1226" s="30" t="s">
        <v>112</v>
      </c>
      <c r="Q1226" s="30" t="s">
        <v>112</v>
      </c>
      <c r="R1226" s="30" t="s">
        <v>185</v>
      </c>
      <c r="S1226" s="81">
        <f>HLOOKUP(L1226,データについて!$J$6:$M$18,13,FALSE)</f>
        <v>2</v>
      </c>
      <c r="T1226" s="81">
        <f>HLOOKUP(M1226,データについて!$J$7:$M$18,12,FALSE)</f>
        <v>1</v>
      </c>
      <c r="U1226" s="81">
        <f>HLOOKUP(N1226,データについて!$J$8:$M$18,11,FALSE)</f>
        <v>2</v>
      </c>
      <c r="V1226" s="81">
        <f>HLOOKUP(O1226,データについて!$J$9:$M$18,10,FALSE)</f>
        <v>1</v>
      </c>
      <c r="W1226" s="81">
        <f>HLOOKUP(P1226,データについて!$J$10:$M$18,9,FALSE)</f>
        <v>1</v>
      </c>
      <c r="X1226" s="81">
        <f>HLOOKUP(Q1226,データについて!$J$11:$M$18,8,FALSE)</f>
        <v>1</v>
      </c>
      <c r="Y1226" s="81">
        <f>HLOOKUP(R1226,データについて!$J$12:$M$18,7,FALSE)</f>
        <v>2</v>
      </c>
      <c r="Z1226" s="81">
        <f>HLOOKUP(I1226,データについて!$J$3:$M$18,16,FALSE)</f>
        <v>1</v>
      </c>
      <c r="AA1226" s="81">
        <f>IFERROR(HLOOKUP(J1226,データについて!$J$4:$AH$19,16,FALSE),"")</f>
        <v>8</v>
      </c>
      <c r="AB1226" s="81" t="str">
        <f>IFERROR(HLOOKUP(K1226,データについて!$J$5:$AH$20,14,FALSE),"")</f>
        <v/>
      </c>
      <c r="AC1226" s="81">
        <f>IF(X1226=1,HLOOKUP(R1226,データについて!$J$12:$M$18,7,FALSE),"*")</f>
        <v>2</v>
      </c>
      <c r="AD1226" s="81" t="str">
        <f>IF(X1226=2,HLOOKUP(R1226,データについて!$J$12:$M$18,7,FALSE),"*")</f>
        <v>*</v>
      </c>
    </row>
    <row r="1227" spans="1:30">
      <c r="A1227" s="30">
        <v>3965</v>
      </c>
      <c r="B1227" s="30" t="s">
        <v>605</v>
      </c>
      <c r="C1227" s="30" t="s">
        <v>606</v>
      </c>
      <c r="D1227" s="30" t="s">
        <v>106</v>
      </c>
      <c r="E1227" s="30"/>
      <c r="F1227" s="30" t="s">
        <v>107</v>
      </c>
      <c r="G1227" s="30" t="s">
        <v>106</v>
      </c>
      <c r="H1227" s="30"/>
      <c r="I1227" s="30" t="s">
        <v>192</v>
      </c>
      <c r="J1227" s="30" t="s">
        <v>546</v>
      </c>
      <c r="K1227" s="30"/>
      <c r="L1227" s="30" t="s">
        <v>108</v>
      </c>
      <c r="M1227" s="30" t="s">
        <v>113</v>
      </c>
      <c r="N1227" s="30" t="s">
        <v>114</v>
      </c>
      <c r="O1227" s="30" t="s">
        <v>115</v>
      </c>
      <c r="P1227" s="30" t="s">
        <v>112</v>
      </c>
      <c r="Q1227" s="30" t="s">
        <v>112</v>
      </c>
      <c r="R1227" s="30" t="s">
        <v>183</v>
      </c>
      <c r="S1227" s="81">
        <f>HLOOKUP(L1227,データについて!$J$6:$M$18,13,FALSE)</f>
        <v>1</v>
      </c>
      <c r="T1227" s="81">
        <f>HLOOKUP(M1227,データについて!$J$7:$M$18,12,FALSE)</f>
        <v>1</v>
      </c>
      <c r="U1227" s="81">
        <f>HLOOKUP(N1227,データについて!$J$8:$M$18,11,FALSE)</f>
        <v>1</v>
      </c>
      <c r="V1227" s="81">
        <f>HLOOKUP(O1227,データについて!$J$9:$M$18,10,FALSE)</f>
        <v>1</v>
      </c>
      <c r="W1227" s="81">
        <f>HLOOKUP(P1227,データについて!$J$10:$M$18,9,FALSE)</f>
        <v>1</v>
      </c>
      <c r="X1227" s="81">
        <f>HLOOKUP(Q1227,データについて!$J$11:$M$18,8,FALSE)</f>
        <v>1</v>
      </c>
      <c r="Y1227" s="81">
        <f>HLOOKUP(R1227,データについて!$J$12:$M$18,7,FALSE)</f>
        <v>1</v>
      </c>
      <c r="Z1227" s="81">
        <f>HLOOKUP(I1227,データについて!$J$3:$M$18,16,FALSE)</f>
        <v>1</v>
      </c>
      <c r="AA1227" s="81">
        <f>IFERROR(HLOOKUP(J1227,データについて!$J$4:$AH$19,16,FALSE),"")</f>
        <v>8</v>
      </c>
      <c r="AB1227" s="81" t="str">
        <f>IFERROR(HLOOKUP(K1227,データについて!$J$5:$AH$20,14,FALSE),"")</f>
        <v/>
      </c>
      <c r="AC1227" s="81">
        <f>IF(X1227=1,HLOOKUP(R1227,データについて!$J$12:$M$18,7,FALSE),"*")</f>
        <v>1</v>
      </c>
      <c r="AD1227" s="81" t="str">
        <f>IF(X1227=2,HLOOKUP(R1227,データについて!$J$12:$M$18,7,FALSE),"*")</f>
        <v>*</v>
      </c>
    </row>
    <row r="1228" spans="1:30">
      <c r="A1228" s="30">
        <v>3964</v>
      </c>
      <c r="B1228" s="30" t="s">
        <v>607</v>
      </c>
      <c r="C1228" s="30" t="s">
        <v>608</v>
      </c>
      <c r="D1228" s="30" t="s">
        <v>106</v>
      </c>
      <c r="E1228" s="30"/>
      <c r="F1228" s="30" t="s">
        <v>107</v>
      </c>
      <c r="G1228" s="30" t="s">
        <v>106</v>
      </c>
      <c r="H1228" s="30"/>
      <c r="I1228" s="30" t="s">
        <v>192</v>
      </c>
      <c r="J1228" s="30" t="s">
        <v>546</v>
      </c>
      <c r="K1228" s="30"/>
      <c r="L1228" s="30" t="s">
        <v>108</v>
      </c>
      <c r="M1228" s="30" t="s">
        <v>109</v>
      </c>
      <c r="N1228" s="30" t="s">
        <v>110</v>
      </c>
      <c r="O1228" s="30" t="s">
        <v>115</v>
      </c>
      <c r="P1228" s="30" t="s">
        <v>112</v>
      </c>
      <c r="Q1228" s="30" t="s">
        <v>118</v>
      </c>
      <c r="R1228" s="30" t="s">
        <v>189</v>
      </c>
      <c r="S1228" s="81">
        <f>HLOOKUP(L1228,データについて!$J$6:$M$18,13,FALSE)</f>
        <v>1</v>
      </c>
      <c r="T1228" s="81">
        <f>HLOOKUP(M1228,データについて!$J$7:$M$18,12,FALSE)</f>
        <v>2</v>
      </c>
      <c r="U1228" s="81">
        <f>HLOOKUP(N1228,データについて!$J$8:$M$18,11,FALSE)</f>
        <v>2</v>
      </c>
      <c r="V1228" s="81">
        <f>HLOOKUP(O1228,データについて!$J$9:$M$18,10,FALSE)</f>
        <v>1</v>
      </c>
      <c r="W1228" s="81">
        <f>HLOOKUP(P1228,データについて!$J$10:$M$18,9,FALSE)</f>
        <v>1</v>
      </c>
      <c r="X1228" s="81">
        <f>HLOOKUP(Q1228,データについて!$J$11:$M$18,8,FALSE)</f>
        <v>2</v>
      </c>
      <c r="Y1228" s="81">
        <f>HLOOKUP(R1228,データについて!$J$12:$M$18,7,FALSE)</f>
        <v>4</v>
      </c>
      <c r="Z1228" s="81">
        <f>HLOOKUP(I1228,データについて!$J$3:$M$18,16,FALSE)</f>
        <v>1</v>
      </c>
      <c r="AA1228" s="81">
        <f>IFERROR(HLOOKUP(J1228,データについて!$J$4:$AH$19,16,FALSE),"")</f>
        <v>8</v>
      </c>
      <c r="AB1228" s="81" t="str">
        <f>IFERROR(HLOOKUP(K1228,データについて!$J$5:$AH$20,14,FALSE),"")</f>
        <v/>
      </c>
      <c r="AC1228" s="81" t="str">
        <f>IF(X1228=1,HLOOKUP(R1228,データについて!$J$12:$M$18,7,FALSE),"*")</f>
        <v>*</v>
      </c>
      <c r="AD1228" s="81">
        <f>IF(X1228=2,HLOOKUP(R1228,データについて!$J$12:$M$18,7,FALSE),"*")</f>
        <v>4</v>
      </c>
    </row>
    <row r="1229" spans="1:30">
      <c r="A1229" s="30">
        <v>3963</v>
      </c>
      <c r="B1229" s="30" t="s">
        <v>609</v>
      </c>
      <c r="C1229" s="30" t="s">
        <v>610</v>
      </c>
      <c r="D1229" s="30" t="s">
        <v>106</v>
      </c>
      <c r="E1229" s="30"/>
      <c r="F1229" s="30" t="s">
        <v>107</v>
      </c>
      <c r="G1229" s="30" t="s">
        <v>106</v>
      </c>
      <c r="H1229" s="30"/>
      <c r="I1229" s="30" t="s">
        <v>192</v>
      </c>
      <c r="J1229" s="30" t="s">
        <v>611</v>
      </c>
      <c r="K1229" s="30"/>
      <c r="L1229" s="30" t="s">
        <v>108</v>
      </c>
      <c r="M1229" s="30" t="s">
        <v>113</v>
      </c>
      <c r="N1229" s="30" t="s">
        <v>110</v>
      </c>
      <c r="O1229" s="30" t="s">
        <v>115</v>
      </c>
      <c r="P1229" s="30" t="s">
        <v>112</v>
      </c>
      <c r="Q1229" s="30" t="s">
        <v>112</v>
      </c>
      <c r="R1229" s="30" t="s">
        <v>185</v>
      </c>
      <c r="S1229" s="81">
        <f>HLOOKUP(L1229,データについて!$J$6:$M$18,13,FALSE)</f>
        <v>1</v>
      </c>
      <c r="T1229" s="81">
        <f>HLOOKUP(M1229,データについて!$J$7:$M$18,12,FALSE)</f>
        <v>1</v>
      </c>
      <c r="U1229" s="81">
        <f>HLOOKUP(N1229,データについて!$J$8:$M$18,11,FALSE)</f>
        <v>2</v>
      </c>
      <c r="V1229" s="81">
        <f>HLOOKUP(O1229,データについて!$J$9:$M$18,10,FALSE)</f>
        <v>1</v>
      </c>
      <c r="W1229" s="81">
        <f>HLOOKUP(P1229,データについて!$J$10:$M$18,9,FALSE)</f>
        <v>1</v>
      </c>
      <c r="X1229" s="81">
        <f>HLOOKUP(Q1229,データについて!$J$11:$M$18,8,FALSE)</f>
        <v>1</v>
      </c>
      <c r="Y1229" s="81">
        <f>HLOOKUP(R1229,データについて!$J$12:$M$18,7,FALSE)</f>
        <v>2</v>
      </c>
      <c r="Z1229" s="81">
        <f>HLOOKUP(I1229,データについて!$J$3:$M$18,16,FALSE)</f>
        <v>1</v>
      </c>
      <c r="AA1229" s="81">
        <f>IFERROR(HLOOKUP(J1229,データについて!$J$4:$AH$19,16,FALSE),"")</f>
        <v>15</v>
      </c>
      <c r="AB1229" s="81" t="str">
        <f>IFERROR(HLOOKUP(K1229,データについて!$J$5:$AH$20,14,FALSE),"")</f>
        <v/>
      </c>
      <c r="AC1229" s="81">
        <f>IF(X1229=1,HLOOKUP(R1229,データについて!$J$12:$M$18,7,FALSE),"*")</f>
        <v>2</v>
      </c>
      <c r="AD1229" s="81" t="str">
        <f>IF(X1229=2,HLOOKUP(R1229,データについて!$J$12:$M$18,7,FALSE),"*")</f>
        <v>*</v>
      </c>
    </row>
    <row r="1230" spans="1:30">
      <c r="A1230" s="30">
        <v>3962</v>
      </c>
      <c r="B1230" s="30" t="s">
        <v>612</v>
      </c>
      <c r="C1230" s="30" t="s">
        <v>613</v>
      </c>
      <c r="D1230" s="30" t="s">
        <v>106</v>
      </c>
      <c r="E1230" s="30"/>
      <c r="F1230" s="30" t="s">
        <v>107</v>
      </c>
      <c r="G1230" s="30" t="s">
        <v>106</v>
      </c>
      <c r="H1230" s="30"/>
      <c r="I1230" s="30" t="s">
        <v>192</v>
      </c>
      <c r="J1230" s="30" t="s">
        <v>611</v>
      </c>
      <c r="K1230" s="30"/>
      <c r="L1230" s="30" t="s">
        <v>108</v>
      </c>
      <c r="M1230" s="30" t="s">
        <v>109</v>
      </c>
      <c r="N1230" s="30" t="s">
        <v>114</v>
      </c>
      <c r="O1230" s="30" t="s">
        <v>123</v>
      </c>
      <c r="P1230" s="30" t="s">
        <v>112</v>
      </c>
      <c r="Q1230" s="30" t="s">
        <v>112</v>
      </c>
      <c r="R1230" s="30" t="s">
        <v>189</v>
      </c>
      <c r="S1230" s="81">
        <f>HLOOKUP(L1230,データについて!$J$6:$M$18,13,FALSE)</f>
        <v>1</v>
      </c>
      <c r="T1230" s="81">
        <f>HLOOKUP(M1230,データについて!$J$7:$M$18,12,FALSE)</f>
        <v>2</v>
      </c>
      <c r="U1230" s="81">
        <f>HLOOKUP(N1230,データについて!$J$8:$M$18,11,FALSE)</f>
        <v>1</v>
      </c>
      <c r="V1230" s="81">
        <f>HLOOKUP(O1230,データについて!$J$9:$M$18,10,FALSE)</f>
        <v>4</v>
      </c>
      <c r="W1230" s="81">
        <f>HLOOKUP(P1230,データについて!$J$10:$M$18,9,FALSE)</f>
        <v>1</v>
      </c>
      <c r="X1230" s="81">
        <f>HLOOKUP(Q1230,データについて!$J$11:$M$18,8,FALSE)</f>
        <v>1</v>
      </c>
      <c r="Y1230" s="81">
        <f>HLOOKUP(R1230,データについて!$J$12:$M$18,7,FALSE)</f>
        <v>4</v>
      </c>
      <c r="Z1230" s="81">
        <f>HLOOKUP(I1230,データについて!$J$3:$M$18,16,FALSE)</f>
        <v>1</v>
      </c>
      <c r="AA1230" s="81">
        <f>IFERROR(HLOOKUP(J1230,データについて!$J$4:$AH$19,16,FALSE),"")</f>
        <v>15</v>
      </c>
      <c r="AB1230" s="81" t="str">
        <f>IFERROR(HLOOKUP(K1230,データについて!$J$5:$AH$20,14,FALSE),"")</f>
        <v/>
      </c>
      <c r="AC1230" s="81">
        <f>IF(X1230=1,HLOOKUP(R1230,データについて!$J$12:$M$18,7,FALSE),"*")</f>
        <v>4</v>
      </c>
      <c r="AD1230" s="81" t="str">
        <f>IF(X1230=2,HLOOKUP(R1230,データについて!$J$12:$M$18,7,FALSE),"*")</f>
        <v>*</v>
      </c>
    </row>
    <row r="1231" spans="1:30">
      <c r="A1231" s="30">
        <v>3961</v>
      </c>
      <c r="B1231" s="30" t="s">
        <v>614</v>
      </c>
      <c r="C1231" s="30" t="s">
        <v>615</v>
      </c>
      <c r="D1231" s="30" t="s">
        <v>106</v>
      </c>
      <c r="E1231" s="30"/>
      <c r="F1231" s="30" t="s">
        <v>107</v>
      </c>
      <c r="G1231" s="30" t="s">
        <v>106</v>
      </c>
      <c r="H1231" s="30"/>
      <c r="I1231" s="30" t="s">
        <v>191</v>
      </c>
      <c r="J1231" s="30"/>
      <c r="K1231" s="30" t="s">
        <v>616</v>
      </c>
      <c r="L1231" s="30" t="s">
        <v>117</v>
      </c>
      <c r="M1231" s="30" t="s">
        <v>113</v>
      </c>
      <c r="N1231" s="30" t="s">
        <v>110</v>
      </c>
      <c r="O1231" s="30" t="s">
        <v>115</v>
      </c>
      <c r="P1231" s="30" t="s">
        <v>118</v>
      </c>
      <c r="Q1231" s="30" t="s">
        <v>112</v>
      </c>
      <c r="R1231" s="30" t="s">
        <v>185</v>
      </c>
      <c r="S1231" s="81">
        <f>HLOOKUP(L1231,データについて!$J$6:$M$18,13,FALSE)</f>
        <v>2</v>
      </c>
      <c r="T1231" s="81">
        <f>HLOOKUP(M1231,データについて!$J$7:$M$18,12,FALSE)</f>
        <v>1</v>
      </c>
      <c r="U1231" s="81">
        <f>HLOOKUP(N1231,データについて!$J$8:$M$18,11,FALSE)</f>
        <v>2</v>
      </c>
      <c r="V1231" s="81">
        <f>HLOOKUP(O1231,データについて!$J$9:$M$18,10,FALSE)</f>
        <v>1</v>
      </c>
      <c r="W1231" s="81">
        <f>HLOOKUP(P1231,データについて!$J$10:$M$18,9,FALSE)</f>
        <v>2</v>
      </c>
      <c r="X1231" s="81">
        <f>HLOOKUP(Q1231,データについて!$J$11:$M$18,8,FALSE)</f>
        <v>1</v>
      </c>
      <c r="Y1231" s="81">
        <f>HLOOKUP(R1231,データについて!$J$12:$M$18,7,FALSE)</f>
        <v>2</v>
      </c>
      <c r="Z1231" s="81">
        <f>HLOOKUP(I1231,データについて!$J$3:$M$18,16,FALSE)</f>
        <v>2</v>
      </c>
      <c r="AA1231" s="81" t="str">
        <f>IFERROR(HLOOKUP(J1231,データについて!$J$4:$AH$19,16,FALSE),"")</f>
        <v/>
      </c>
      <c r="AB1231" s="81">
        <f>IFERROR(HLOOKUP(K1231,データについて!$J$5:$AH$20,14,FALSE),"")</f>
        <v>0</v>
      </c>
      <c r="AC1231" s="81">
        <f>IF(X1231=1,HLOOKUP(R1231,データについて!$J$12:$M$18,7,FALSE),"*")</f>
        <v>2</v>
      </c>
      <c r="AD1231" s="81" t="str">
        <f>IF(X1231=2,HLOOKUP(R1231,データについて!$J$12:$M$18,7,FALSE),"*")</f>
        <v>*</v>
      </c>
    </row>
    <row r="1232" spans="1:30">
      <c r="A1232" s="30">
        <v>3960</v>
      </c>
      <c r="B1232" s="30" t="s">
        <v>617</v>
      </c>
      <c r="C1232" s="30" t="s">
        <v>618</v>
      </c>
      <c r="D1232" s="30" t="s">
        <v>106</v>
      </c>
      <c r="E1232" s="30"/>
      <c r="F1232" s="30" t="s">
        <v>107</v>
      </c>
      <c r="G1232" s="30" t="s">
        <v>106</v>
      </c>
      <c r="H1232" s="30"/>
      <c r="I1232" s="30" t="s">
        <v>192</v>
      </c>
      <c r="J1232" s="30" t="s">
        <v>619</v>
      </c>
      <c r="K1232" s="30"/>
      <c r="L1232" s="30" t="s">
        <v>117</v>
      </c>
      <c r="M1232" s="30" t="s">
        <v>124</v>
      </c>
      <c r="N1232" s="30" t="s">
        <v>119</v>
      </c>
      <c r="O1232" s="30" t="s">
        <v>115</v>
      </c>
      <c r="P1232" s="30" t="s">
        <v>112</v>
      </c>
      <c r="Q1232" s="30" t="s">
        <v>118</v>
      </c>
      <c r="R1232" s="30" t="s">
        <v>187</v>
      </c>
      <c r="S1232" s="81">
        <f>HLOOKUP(L1232,データについて!$J$6:$M$18,13,FALSE)</f>
        <v>2</v>
      </c>
      <c r="T1232" s="81">
        <f>HLOOKUP(M1232,データについて!$J$7:$M$18,12,FALSE)</f>
        <v>3</v>
      </c>
      <c r="U1232" s="81">
        <f>HLOOKUP(N1232,データについて!$J$8:$M$18,11,FALSE)</f>
        <v>4</v>
      </c>
      <c r="V1232" s="81">
        <f>HLOOKUP(O1232,データについて!$J$9:$M$18,10,FALSE)</f>
        <v>1</v>
      </c>
      <c r="W1232" s="81">
        <f>HLOOKUP(P1232,データについて!$J$10:$M$18,9,FALSE)</f>
        <v>1</v>
      </c>
      <c r="X1232" s="81">
        <f>HLOOKUP(Q1232,データについて!$J$11:$M$18,8,FALSE)</f>
        <v>2</v>
      </c>
      <c r="Y1232" s="81">
        <f>HLOOKUP(R1232,データについて!$J$12:$M$18,7,FALSE)</f>
        <v>3</v>
      </c>
      <c r="Z1232" s="81">
        <f>HLOOKUP(I1232,データについて!$J$3:$M$18,16,FALSE)</f>
        <v>1</v>
      </c>
      <c r="AA1232" s="81">
        <f>IFERROR(HLOOKUP(J1232,データについて!$J$4:$AH$19,16,FALSE),"")</f>
        <v>11</v>
      </c>
      <c r="AB1232" s="81" t="str">
        <f>IFERROR(HLOOKUP(K1232,データについて!$J$5:$AH$20,14,FALSE),"")</f>
        <v/>
      </c>
      <c r="AC1232" s="81" t="str">
        <f>IF(X1232=1,HLOOKUP(R1232,データについて!$J$12:$M$18,7,FALSE),"*")</f>
        <v>*</v>
      </c>
      <c r="AD1232" s="81">
        <f>IF(X1232=2,HLOOKUP(R1232,データについて!$J$12:$M$18,7,FALSE),"*")</f>
        <v>3</v>
      </c>
    </row>
    <row r="1233" spans="1:30">
      <c r="A1233" s="30">
        <v>3959</v>
      </c>
      <c r="B1233" s="30" t="s">
        <v>620</v>
      </c>
      <c r="C1233" s="30" t="s">
        <v>621</v>
      </c>
      <c r="D1233" s="30" t="s">
        <v>106</v>
      </c>
      <c r="E1233" s="30"/>
      <c r="F1233" s="30" t="s">
        <v>107</v>
      </c>
      <c r="G1233" s="30" t="s">
        <v>106</v>
      </c>
      <c r="H1233" s="30"/>
      <c r="I1233" s="30" t="s">
        <v>192</v>
      </c>
      <c r="J1233" s="30" t="s">
        <v>619</v>
      </c>
      <c r="K1233" s="30"/>
      <c r="L1233" s="30" t="s">
        <v>117</v>
      </c>
      <c r="M1233" s="30" t="s">
        <v>113</v>
      </c>
      <c r="N1233" s="30" t="s">
        <v>114</v>
      </c>
      <c r="O1233" s="30" t="s">
        <v>115</v>
      </c>
      <c r="P1233" s="30" t="s">
        <v>112</v>
      </c>
      <c r="Q1233" s="30" t="s">
        <v>112</v>
      </c>
      <c r="R1233" s="30" t="s">
        <v>183</v>
      </c>
      <c r="S1233" s="81">
        <f>HLOOKUP(L1233,データについて!$J$6:$M$18,13,FALSE)</f>
        <v>2</v>
      </c>
      <c r="T1233" s="81">
        <f>HLOOKUP(M1233,データについて!$J$7:$M$18,12,FALSE)</f>
        <v>1</v>
      </c>
      <c r="U1233" s="81">
        <f>HLOOKUP(N1233,データについて!$J$8:$M$18,11,FALSE)</f>
        <v>1</v>
      </c>
      <c r="V1233" s="81">
        <f>HLOOKUP(O1233,データについて!$J$9:$M$18,10,FALSE)</f>
        <v>1</v>
      </c>
      <c r="W1233" s="81">
        <f>HLOOKUP(P1233,データについて!$J$10:$M$18,9,FALSE)</f>
        <v>1</v>
      </c>
      <c r="X1233" s="81">
        <f>HLOOKUP(Q1233,データについて!$J$11:$M$18,8,FALSE)</f>
        <v>1</v>
      </c>
      <c r="Y1233" s="81">
        <f>HLOOKUP(R1233,データについて!$J$12:$M$18,7,FALSE)</f>
        <v>1</v>
      </c>
      <c r="Z1233" s="81">
        <f>HLOOKUP(I1233,データについて!$J$3:$M$18,16,FALSE)</f>
        <v>1</v>
      </c>
      <c r="AA1233" s="81">
        <f>IFERROR(HLOOKUP(J1233,データについて!$J$4:$AH$19,16,FALSE),"")</f>
        <v>11</v>
      </c>
      <c r="AB1233" s="81" t="str">
        <f>IFERROR(HLOOKUP(K1233,データについて!$J$5:$AH$20,14,FALSE),"")</f>
        <v/>
      </c>
      <c r="AC1233" s="81">
        <f>IF(X1233=1,HLOOKUP(R1233,データについて!$J$12:$M$18,7,FALSE),"*")</f>
        <v>1</v>
      </c>
      <c r="AD1233" s="81" t="str">
        <f>IF(X1233=2,HLOOKUP(R1233,データについて!$J$12:$M$18,7,FALSE),"*")</f>
        <v>*</v>
      </c>
    </row>
    <row r="1234" spans="1:30">
      <c r="A1234" s="30">
        <v>3958</v>
      </c>
      <c r="B1234" s="30" t="s">
        <v>622</v>
      </c>
      <c r="C1234" s="30" t="s">
        <v>623</v>
      </c>
      <c r="D1234" s="30" t="s">
        <v>106</v>
      </c>
      <c r="E1234" s="30"/>
      <c r="F1234" s="30" t="s">
        <v>107</v>
      </c>
      <c r="G1234" s="30" t="s">
        <v>106</v>
      </c>
      <c r="H1234" s="30"/>
      <c r="I1234" s="30" t="s">
        <v>191</v>
      </c>
      <c r="J1234" s="30"/>
      <c r="K1234" s="30" t="s">
        <v>616</v>
      </c>
      <c r="L1234" s="30" t="s">
        <v>117</v>
      </c>
      <c r="M1234" s="30" t="s">
        <v>113</v>
      </c>
      <c r="N1234" s="30" t="s">
        <v>114</v>
      </c>
      <c r="O1234" s="30" t="s">
        <v>115</v>
      </c>
      <c r="P1234" s="30" t="s">
        <v>118</v>
      </c>
      <c r="Q1234" s="30" t="s">
        <v>112</v>
      </c>
      <c r="R1234" s="30" t="s">
        <v>185</v>
      </c>
      <c r="S1234" s="81">
        <f>HLOOKUP(L1234,データについて!$J$6:$M$18,13,FALSE)</f>
        <v>2</v>
      </c>
      <c r="T1234" s="81">
        <f>HLOOKUP(M1234,データについて!$J$7:$M$18,12,FALSE)</f>
        <v>1</v>
      </c>
      <c r="U1234" s="81">
        <f>HLOOKUP(N1234,データについて!$J$8:$M$18,11,FALSE)</f>
        <v>1</v>
      </c>
      <c r="V1234" s="81">
        <f>HLOOKUP(O1234,データについて!$J$9:$M$18,10,FALSE)</f>
        <v>1</v>
      </c>
      <c r="W1234" s="81">
        <f>HLOOKUP(P1234,データについて!$J$10:$M$18,9,FALSE)</f>
        <v>2</v>
      </c>
      <c r="X1234" s="81">
        <f>HLOOKUP(Q1234,データについて!$J$11:$M$18,8,FALSE)</f>
        <v>1</v>
      </c>
      <c r="Y1234" s="81">
        <f>HLOOKUP(R1234,データについて!$J$12:$M$18,7,FALSE)</f>
        <v>2</v>
      </c>
      <c r="Z1234" s="81">
        <f>HLOOKUP(I1234,データについて!$J$3:$M$18,16,FALSE)</f>
        <v>2</v>
      </c>
      <c r="AA1234" s="81" t="str">
        <f>IFERROR(HLOOKUP(J1234,データについて!$J$4:$AH$19,16,FALSE),"")</f>
        <v/>
      </c>
      <c r="AB1234" s="81">
        <f>IFERROR(HLOOKUP(K1234,データについて!$J$5:$AH$20,14,FALSE),"")</f>
        <v>0</v>
      </c>
      <c r="AC1234" s="81">
        <f>IF(X1234=1,HLOOKUP(R1234,データについて!$J$12:$M$18,7,FALSE),"*")</f>
        <v>2</v>
      </c>
      <c r="AD1234" s="81" t="str">
        <f>IF(X1234=2,HLOOKUP(R1234,データについて!$J$12:$M$18,7,FALSE),"*")</f>
        <v>*</v>
      </c>
    </row>
    <row r="1235" spans="1:30">
      <c r="A1235" s="30">
        <v>3957</v>
      </c>
      <c r="B1235" s="30" t="s">
        <v>624</v>
      </c>
      <c r="C1235" s="30" t="s">
        <v>625</v>
      </c>
      <c r="D1235" s="30" t="s">
        <v>106</v>
      </c>
      <c r="E1235" s="30"/>
      <c r="F1235" s="30" t="s">
        <v>107</v>
      </c>
      <c r="G1235" s="30" t="s">
        <v>106</v>
      </c>
      <c r="H1235" s="30"/>
      <c r="I1235" s="30" t="s">
        <v>192</v>
      </c>
      <c r="J1235" s="30" t="s">
        <v>619</v>
      </c>
      <c r="K1235" s="30"/>
      <c r="L1235" s="30" t="s">
        <v>108</v>
      </c>
      <c r="M1235" s="30" t="s">
        <v>109</v>
      </c>
      <c r="N1235" s="30" t="s">
        <v>110</v>
      </c>
      <c r="O1235" s="30" t="s">
        <v>123</v>
      </c>
      <c r="P1235" s="30" t="s">
        <v>112</v>
      </c>
      <c r="Q1235" s="30" t="s">
        <v>112</v>
      </c>
      <c r="R1235" s="30" t="s">
        <v>189</v>
      </c>
      <c r="S1235" s="81">
        <f>HLOOKUP(L1235,データについて!$J$6:$M$18,13,FALSE)</f>
        <v>1</v>
      </c>
      <c r="T1235" s="81">
        <f>HLOOKUP(M1235,データについて!$J$7:$M$18,12,FALSE)</f>
        <v>2</v>
      </c>
      <c r="U1235" s="81">
        <f>HLOOKUP(N1235,データについて!$J$8:$M$18,11,FALSE)</f>
        <v>2</v>
      </c>
      <c r="V1235" s="81">
        <f>HLOOKUP(O1235,データについて!$J$9:$M$18,10,FALSE)</f>
        <v>4</v>
      </c>
      <c r="W1235" s="81">
        <f>HLOOKUP(P1235,データについて!$J$10:$M$18,9,FALSE)</f>
        <v>1</v>
      </c>
      <c r="X1235" s="81">
        <f>HLOOKUP(Q1235,データについて!$J$11:$M$18,8,FALSE)</f>
        <v>1</v>
      </c>
      <c r="Y1235" s="81">
        <f>HLOOKUP(R1235,データについて!$J$12:$M$18,7,FALSE)</f>
        <v>4</v>
      </c>
      <c r="Z1235" s="81">
        <f>HLOOKUP(I1235,データについて!$J$3:$M$18,16,FALSE)</f>
        <v>1</v>
      </c>
      <c r="AA1235" s="81">
        <f>IFERROR(HLOOKUP(J1235,データについて!$J$4:$AH$19,16,FALSE),"")</f>
        <v>11</v>
      </c>
      <c r="AB1235" s="81" t="str">
        <f>IFERROR(HLOOKUP(K1235,データについて!$J$5:$AH$20,14,FALSE),"")</f>
        <v/>
      </c>
      <c r="AC1235" s="81">
        <f>IF(X1235=1,HLOOKUP(R1235,データについて!$J$12:$M$18,7,FALSE),"*")</f>
        <v>4</v>
      </c>
      <c r="AD1235" s="81" t="str">
        <f>IF(X1235=2,HLOOKUP(R1235,データについて!$J$12:$M$18,7,FALSE),"*")</f>
        <v>*</v>
      </c>
    </row>
    <row r="1236" spans="1:30">
      <c r="A1236" s="30">
        <v>3956</v>
      </c>
      <c r="B1236" s="30" t="s">
        <v>626</v>
      </c>
      <c r="C1236" s="30" t="s">
        <v>627</v>
      </c>
      <c r="D1236" s="30" t="s">
        <v>106</v>
      </c>
      <c r="E1236" s="30"/>
      <c r="F1236" s="30" t="s">
        <v>107</v>
      </c>
      <c r="G1236" s="30" t="s">
        <v>106</v>
      </c>
      <c r="H1236" s="30"/>
      <c r="I1236" s="30" t="s">
        <v>192</v>
      </c>
      <c r="J1236" s="30" t="s">
        <v>619</v>
      </c>
      <c r="K1236" s="30"/>
      <c r="L1236" s="30" t="s">
        <v>117</v>
      </c>
      <c r="M1236" s="30" t="s">
        <v>113</v>
      </c>
      <c r="N1236" s="30" t="s">
        <v>114</v>
      </c>
      <c r="O1236" s="30" t="s">
        <v>115</v>
      </c>
      <c r="P1236" s="30" t="s">
        <v>112</v>
      </c>
      <c r="Q1236" s="30" t="s">
        <v>112</v>
      </c>
      <c r="R1236" s="30" t="s">
        <v>183</v>
      </c>
      <c r="S1236" s="81">
        <f>HLOOKUP(L1236,データについて!$J$6:$M$18,13,FALSE)</f>
        <v>2</v>
      </c>
      <c r="T1236" s="81">
        <f>HLOOKUP(M1236,データについて!$J$7:$M$18,12,FALSE)</f>
        <v>1</v>
      </c>
      <c r="U1236" s="81">
        <f>HLOOKUP(N1236,データについて!$J$8:$M$18,11,FALSE)</f>
        <v>1</v>
      </c>
      <c r="V1236" s="81">
        <f>HLOOKUP(O1236,データについて!$J$9:$M$18,10,FALSE)</f>
        <v>1</v>
      </c>
      <c r="W1236" s="81">
        <f>HLOOKUP(P1236,データについて!$J$10:$M$18,9,FALSE)</f>
        <v>1</v>
      </c>
      <c r="X1236" s="81">
        <f>HLOOKUP(Q1236,データについて!$J$11:$M$18,8,FALSE)</f>
        <v>1</v>
      </c>
      <c r="Y1236" s="81">
        <f>HLOOKUP(R1236,データについて!$J$12:$M$18,7,FALSE)</f>
        <v>1</v>
      </c>
      <c r="Z1236" s="81">
        <f>HLOOKUP(I1236,データについて!$J$3:$M$18,16,FALSE)</f>
        <v>1</v>
      </c>
      <c r="AA1236" s="81">
        <f>IFERROR(HLOOKUP(J1236,データについて!$J$4:$AH$19,16,FALSE),"")</f>
        <v>11</v>
      </c>
      <c r="AB1236" s="81" t="str">
        <f>IFERROR(HLOOKUP(K1236,データについて!$J$5:$AH$20,14,FALSE),"")</f>
        <v/>
      </c>
      <c r="AC1236" s="81">
        <f>IF(X1236=1,HLOOKUP(R1236,データについて!$J$12:$M$18,7,FALSE),"*")</f>
        <v>1</v>
      </c>
      <c r="AD1236" s="81" t="str">
        <f>IF(X1236=2,HLOOKUP(R1236,データについて!$J$12:$M$18,7,FALSE),"*")</f>
        <v>*</v>
      </c>
    </row>
    <row r="1237" spans="1:30">
      <c r="A1237" s="30">
        <v>3955</v>
      </c>
      <c r="B1237" s="30" t="s">
        <v>628</v>
      </c>
      <c r="C1237" s="30" t="s">
        <v>629</v>
      </c>
      <c r="D1237" s="30" t="s">
        <v>106</v>
      </c>
      <c r="E1237" s="30"/>
      <c r="F1237" s="30" t="s">
        <v>107</v>
      </c>
      <c r="G1237" s="30" t="s">
        <v>106</v>
      </c>
      <c r="H1237" s="30"/>
      <c r="I1237" s="30" t="s">
        <v>192</v>
      </c>
      <c r="J1237" s="30" t="s">
        <v>630</v>
      </c>
      <c r="K1237" s="30"/>
      <c r="L1237" s="30" t="s">
        <v>108</v>
      </c>
      <c r="M1237" s="30" t="s">
        <v>113</v>
      </c>
      <c r="N1237" s="30" t="s">
        <v>114</v>
      </c>
      <c r="O1237" s="30" t="s">
        <v>115</v>
      </c>
      <c r="P1237" s="30" t="s">
        <v>112</v>
      </c>
      <c r="Q1237" s="30" t="s">
        <v>112</v>
      </c>
      <c r="R1237" s="30" t="s">
        <v>183</v>
      </c>
      <c r="S1237" s="81">
        <f>HLOOKUP(L1237,データについて!$J$6:$M$18,13,FALSE)</f>
        <v>1</v>
      </c>
      <c r="T1237" s="81">
        <f>HLOOKUP(M1237,データについて!$J$7:$M$18,12,FALSE)</f>
        <v>1</v>
      </c>
      <c r="U1237" s="81">
        <f>HLOOKUP(N1237,データについて!$J$8:$M$18,11,FALSE)</f>
        <v>1</v>
      </c>
      <c r="V1237" s="81">
        <f>HLOOKUP(O1237,データについて!$J$9:$M$18,10,FALSE)</f>
        <v>1</v>
      </c>
      <c r="W1237" s="81">
        <f>HLOOKUP(P1237,データについて!$J$10:$M$18,9,FALSE)</f>
        <v>1</v>
      </c>
      <c r="X1237" s="81">
        <f>HLOOKUP(Q1237,データについて!$J$11:$M$18,8,FALSE)</f>
        <v>1</v>
      </c>
      <c r="Y1237" s="81">
        <f>HLOOKUP(R1237,データについて!$J$12:$M$18,7,FALSE)</f>
        <v>1</v>
      </c>
      <c r="Z1237" s="81">
        <f>HLOOKUP(I1237,データについて!$J$3:$M$18,16,FALSE)</f>
        <v>1</v>
      </c>
      <c r="AA1237" s="81">
        <f>IFERROR(HLOOKUP(J1237,データについて!$J$4:$AH$19,16,FALSE),"")</f>
        <v>4</v>
      </c>
      <c r="AB1237" s="81" t="str">
        <f>IFERROR(HLOOKUP(K1237,データについて!$J$5:$AH$20,14,FALSE),"")</f>
        <v/>
      </c>
      <c r="AC1237" s="81">
        <f>IF(X1237=1,HLOOKUP(R1237,データについて!$J$12:$M$18,7,FALSE),"*")</f>
        <v>1</v>
      </c>
      <c r="AD1237" s="81" t="str">
        <f>IF(X1237=2,HLOOKUP(R1237,データについて!$J$12:$M$18,7,FALSE),"*")</f>
        <v>*</v>
      </c>
    </row>
    <row r="1238" spans="1:30">
      <c r="A1238" s="30">
        <v>3954</v>
      </c>
      <c r="B1238" s="30" t="s">
        <v>631</v>
      </c>
      <c r="C1238" s="30" t="s">
        <v>632</v>
      </c>
      <c r="D1238" s="30" t="s">
        <v>106</v>
      </c>
      <c r="E1238" s="30"/>
      <c r="F1238" s="30" t="s">
        <v>107</v>
      </c>
      <c r="G1238" s="30" t="s">
        <v>106</v>
      </c>
      <c r="H1238" s="30"/>
      <c r="I1238" s="30" t="s">
        <v>191</v>
      </c>
      <c r="J1238" s="30"/>
      <c r="K1238" s="30" t="s">
        <v>616</v>
      </c>
      <c r="L1238" s="30" t="s">
        <v>108</v>
      </c>
      <c r="M1238" s="30" t="s">
        <v>113</v>
      </c>
      <c r="N1238" s="30" t="s">
        <v>114</v>
      </c>
      <c r="O1238" s="30" t="s">
        <v>115</v>
      </c>
      <c r="P1238" s="30" t="s">
        <v>112</v>
      </c>
      <c r="Q1238" s="30" t="s">
        <v>112</v>
      </c>
      <c r="R1238" s="30" t="s">
        <v>185</v>
      </c>
      <c r="S1238" s="81">
        <f>HLOOKUP(L1238,データについて!$J$6:$M$18,13,FALSE)</f>
        <v>1</v>
      </c>
      <c r="T1238" s="81">
        <f>HLOOKUP(M1238,データについて!$J$7:$M$18,12,FALSE)</f>
        <v>1</v>
      </c>
      <c r="U1238" s="81">
        <f>HLOOKUP(N1238,データについて!$J$8:$M$18,11,FALSE)</f>
        <v>1</v>
      </c>
      <c r="V1238" s="81">
        <f>HLOOKUP(O1238,データについて!$J$9:$M$18,10,FALSE)</f>
        <v>1</v>
      </c>
      <c r="W1238" s="81">
        <f>HLOOKUP(P1238,データについて!$J$10:$M$18,9,FALSE)</f>
        <v>1</v>
      </c>
      <c r="X1238" s="81">
        <f>HLOOKUP(Q1238,データについて!$J$11:$M$18,8,FALSE)</f>
        <v>1</v>
      </c>
      <c r="Y1238" s="81">
        <f>HLOOKUP(R1238,データについて!$J$12:$M$18,7,FALSE)</f>
        <v>2</v>
      </c>
      <c r="Z1238" s="81">
        <f>HLOOKUP(I1238,データについて!$J$3:$M$18,16,FALSE)</f>
        <v>2</v>
      </c>
      <c r="AA1238" s="81" t="str">
        <f>IFERROR(HLOOKUP(J1238,データについて!$J$4:$AH$19,16,FALSE),"")</f>
        <v/>
      </c>
      <c r="AB1238" s="81">
        <f>IFERROR(HLOOKUP(K1238,データについて!$J$5:$AH$20,14,FALSE),"")</f>
        <v>0</v>
      </c>
      <c r="AC1238" s="81">
        <f>IF(X1238=1,HLOOKUP(R1238,データについて!$J$12:$M$18,7,FALSE),"*")</f>
        <v>2</v>
      </c>
      <c r="AD1238" s="81" t="str">
        <f>IF(X1238=2,HLOOKUP(R1238,データについて!$J$12:$M$18,7,FALSE),"*")</f>
        <v>*</v>
      </c>
    </row>
    <row r="1239" spans="1:30">
      <c r="A1239" s="30">
        <v>3953</v>
      </c>
      <c r="B1239" s="30" t="s">
        <v>633</v>
      </c>
      <c r="C1239" s="30" t="s">
        <v>634</v>
      </c>
      <c r="D1239" s="30" t="s">
        <v>106</v>
      </c>
      <c r="E1239" s="30"/>
      <c r="F1239" s="30" t="s">
        <v>107</v>
      </c>
      <c r="G1239" s="30" t="s">
        <v>106</v>
      </c>
      <c r="H1239" s="30"/>
      <c r="I1239" s="30" t="s">
        <v>192</v>
      </c>
      <c r="J1239" s="30" t="s">
        <v>635</v>
      </c>
      <c r="K1239" s="30"/>
      <c r="L1239" s="30" t="s">
        <v>108</v>
      </c>
      <c r="M1239" s="30" t="s">
        <v>113</v>
      </c>
      <c r="N1239" s="30" t="s">
        <v>122</v>
      </c>
      <c r="O1239" s="30" t="s">
        <v>115</v>
      </c>
      <c r="P1239" s="30" t="s">
        <v>112</v>
      </c>
      <c r="Q1239" s="30" t="s">
        <v>112</v>
      </c>
      <c r="R1239" s="30" t="s">
        <v>187</v>
      </c>
      <c r="S1239" s="81">
        <f>HLOOKUP(L1239,データについて!$J$6:$M$18,13,FALSE)</f>
        <v>1</v>
      </c>
      <c r="T1239" s="81">
        <f>HLOOKUP(M1239,データについて!$J$7:$M$18,12,FALSE)</f>
        <v>1</v>
      </c>
      <c r="U1239" s="81">
        <f>HLOOKUP(N1239,データについて!$J$8:$M$18,11,FALSE)</f>
        <v>3</v>
      </c>
      <c r="V1239" s="81">
        <f>HLOOKUP(O1239,データについて!$J$9:$M$18,10,FALSE)</f>
        <v>1</v>
      </c>
      <c r="W1239" s="81">
        <f>HLOOKUP(P1239,データについて!$J$10:$M$18,9,FALSE)</f>
        <v>1</v>
      </c>
      <c r="X1239" s="81">
        <f>HLOOKUP(Q1239,データについて!$J$11:$M$18,8,FALSE)</f>
        <v>1</v>
      </c>
      <c r="Y1239" s="81">
        <f>HLOOKUP(R1239,データについて!$J$12:$M$18,7,FALSE)</f>
        <v>3</v>
      </c>
      <c r="Z1239" s="81">
        <f>HLOOKUP(I1239,データについて!$J$3:$M$18,16,FALSE)</f>
        <v>1</v>
      </c>
      <c r="AA1239" s="81">
        <f>IFERROR(HLOOKUP(J1239,データについて!$J$4:$AH$19,16,FALSE),"")</f>
        <v>9</v>
      </c>
      <c r="AB1239" s="81" t="str">
        <f>IFERROR(HLOOKUP(K1239,データについて!$J$5:$AH$20,14,FALSE),"")</f>
        <v/>
      </c>
      <c r="AC1239" s="81">
        <f>IF(X1239=1,HLOOKUP(R1239,データについて!$J$12:$M$18,7,FALSE),"*")</f>
        <v>3</v>
      </c>
      <c r="AD1239" s="81" t="str">
        <f>IF(X1239=2,HLOOKUP(R1239,データについて!$J$12:$M$18,7,FALSE),"*")</f>
        <v>*</v>
      </c>
    </row>
    <row r="1240" spans="1:30">
      <c r="A1240" s="30">
        <v>3952</v>
      </c>
      <c r="B1240" s="30" t="s">
        <v>636</v>
      </c>
      <c r="C1240" s="30" t="s">
        <v>637</v>
      </c>
      <c r="D1240" s="30" t="s">
        <v>106</v>
      </c>
      <c r="E1240" s="30"/>
      <c r="F1240" s="30" t="s">
        <v>107</v>
      </c>
      <c r="G1240" s="30" t="s">
        <v>106</v>
      </c>
      <c r="H1240" s="30"/>
      <c r="I1240" s="30" t="s">
        <v>192</v>
      </c>
      <c r="J1240" s="30" t="s">
        <v>619</v>
      </c>
      <c r="K1240" s="30"/>
      <c r="L1240" s="30" t="s">
        <v>117</v>
      </c>
      <c r="M1240" s="30" t="s">
        <v>109</v>
      </c>
      <c r="N1240" s="30" t="s">
        <v>114</v>
      </c>
      <c r="O1240" s="30" t="s">
        <v>111</v>
      </c>
      <c r="P1240" s="30" t="s">
        <v>112</v>
      </c>
      <c r="Q1240" s="30" t="s">
        <v>112</v>
      </c>
      <c r="R1240" s="30" t="s">
        <v>185</v>
      </c>
      <c r="S1240" s="81">
        <f>HLOOKUP(L1240,データについて!$J$6:$M$18,13,FALSE)</f>
        <v>2</v>
      </c>
      <c r="T1240" s="81">
        <f>HLOOKUP(M1240,データについて!$J$7:$M$18,12,FALSE)</f>
        <v>2</v>
      </c>
      <c r="U1240" s="81">
        <f>HLOOKUP(N1240,データについて!$J$8:$M$18,11,FALSE)</f>
        <v>1</v>
      </c>
      <c r="V1240" s="81">
        <f>HLOOKUP(O1240,データについて!$J$9:$M$18,10,FALSE)</f>
        <v>3</v>
      </c>
      <c r="W1240" s="81">
        <f>HLOOKUP(P1240,データについて!$J$10:$M$18,9,FALSE)</f>
        <v>1</v>
      </c>
      <c r="X1240" s="81">
        <f>HLOOKUP(Q1240,データについて!$J$11:$M$18,8,FALSE)</f>
        <v>1</v>
      </c>
      <c r="Y1240" s="81">
        <f>HLOOKUP(R1240,データについて!$J$12:$M$18,7,FALSE)</f>
        <v>2</v>
      </c>
      <c r="Z1240" s="81">
        <f>HLOOKUP(I1240,データについて!$J$3:$M$18,16,FALSE)</f>
        <v>1</v>
      </c>
      <c r="AA1240" s="81">
        <f>IFERROR(HLOOKUP(J1240,データについて!$J$4:$AH$19,16,FALSE),"")</f>
        <v>11</v>
      </c>
      <c r="AB1240" s="81" t="str">
        <f>IFERROR(HLOOKUP(K1240,データについて!$J$5:$AH$20,14,FALSE),"")</f>
        <v/>
      </c>
      <c r="AC1240" s="81">
        <f>IF(X1240=1,HLOOKUP(R1240,データについて!$J$12:$M$18,7,FALSE),"*")</f>
        <v>2</v>
      </c>
      <c r="AD1240" s="81" t="str">
        <f>IF(X1240=2,HLOOKUP(R1240,データについて!$J$12:$M$18,7,FALSE),"*")</f>
        <v>*</v>
      </c>
    </row>
    <row r="1241" spans="1:30">
      <c r="A1241" s="30">
        <v>3951</v>
      </c>
      <c r="B1241" s="30" t="s">
        <v>638</v>
      </c>
      <c r="C1241" s="30" t="s">
        <v>639</v>
      </c>
      <c r="D1241" s="30" t="s">
        <v>106</v>
      </c>
      <c r="E1241" s="30"/>
      <c r="F1241" s="30" t="s">
        <v>107</v>
      </c>
      <c r="G1241" s="30" t="s">
        <v>106</v>
      </c>
      <c r="H1241" s="30"/>
      <c r="I1241" s="30" t="s">
        <v>192</v>
      </c>
      <c r="J1241" s="30" t="s">
        <v>619</v>
      </c>
      <c r="K1241" s="30"/>
      <c r="L1241" s="30" t="s">
        <v>117</v>
      </c>
      <c r="M1241" s="30" t="s">
        <v>113</v>
      </c>
      <c r="N1241" s="30" t="s">
        <v>114</v>
      </c>
      <c r="O1241" s="30" t="s">
        <v>115</v>
      </c>
      <c r="P1241" s="30" t="s">
        <v>112</v>
      </c>
      <c r="Q1241" s="30" t="s">
        <v>112</v>
      </c>
      <c r="R1241" s="30" t="s">
        <v>185</v>
      </c>
      <c r="S1241" s="81">
        <f>HLOOKUP(L1241,データについて!$J$6:$M$18,13,FALSE)</f>
        <v>2</v>
      </c>
      <c r="T1241" s="81">
        <f>HLOOKUP(M1241,データについて!$J$7:$M$18,12,FALSE)</f>
        <v>1</v>
      </c>
      <c r="U1241" s="81">
        <f>HLOOKUP(N1241,データについて!$J$8:$M$18,11,FALSE)</f>
        <v>1</v>
      </c>
      <c r="V1241" s="81">
        <f>HLOOKUP(O1241,データについて!$J$9:$M$18,10,FALSE)</f>
        <v>1</v>
      </c>
      <c r="W1241" s="81">
        <f>HLOOKUP(P1241,データについて!$J$10:$M$18,9,FALSE)</f>
        <v>1</v>
      </c>
      <c r="X1241" s="81">
        <f>HLOOKUP(Q1241,データについて!$J$11:$M$18,8,FALSE)</f>
        <v>1</v>
      </c>
      <c r="Y1241" s="81">
        <f>HLOOKUP(R1241,データについて!$J$12:$M$18,7,FALSE)</f>
        <v>2</v>
      </c>
      <c r="Z1241" s="81">
        <f>HLOOKUP(I1241,データについて!$J$3:$M$18,16,FALSE)</f>
        <v>1</v>
      </c>
      <c r="AA1241" s="81">
        <f>IFERROR(HLOOKUP(J1241,データについて!$J$4:$AH$19,16,FALSE),"")</f>
        <v>11</v>
      </c>
      <c r="AB1241" s="81" t="str">
        <f>IFERROR(HLOOKUP(K1241,データについて!$J$5:$AH$20,14,FALSE),"")</f>
        <v/>
      </c>
      <c r="AC1241" s="81">
        <f>IF(X1241=1,HLOOKUP(R1241,データについて!$J$12:$M$18,7,FALSE),"*")</f>
        <v>2</v>
      </c>
      <c r="AD1241" s="81" t="str">
        <f>IF(X1241=2,HLOOKUP(R1241,データについて!$J$12:$M$18,7,FALSE),"*")</f>
        <v>*</v>
      </c>
    </row>
    <row r="1242" spans="1:30">
      <c r="A1242" s="30">
        <v>3950</v>
      </c>
      <c r="B1242" s="30" t="s">
        <v>640</v>
      </c>
      <c r="C1242" s="30" t="s">
        <v>641</v>
      </c>
      <c r="D1242" s="30" t="s">
        <v>106</v>
      </c>
      <c r="E1242" s="30"/>
      <c r="F1242" s="30" t="s">
        <v>107</v>
      </c>
      <c r="G1242" s="30" t="s">
        <v>106</v>
      </c>
      <c r="H1242" s="30"/>
      <c r="I1242" s="30" t="s">
        <v>192</v>
      </c>
      <c r="J1242" s="30" t="s">
        <v>619</v>
      </c>
      <c r="K1242" s="30"/>
      <c r="L1242" s="30" t="s">
        <v>117</v>
      </c>
      <c r="M1242" s="30" t="s">
        <v>109</v>
      </c>
      <c r="N1242" s="30" t="s">
        <v>110</v>
      </c>
      <c r="O1242" s="30" t="s">
        <v>115</v>
      </c>
      <c r="P1242" s="30" t="s">
        <v>112</v>
      </c>
      <c r="Q1242" s="30" t="s">
        <v>112</v>
      </c>
      <c r="R1242" s="30" t="s">
        <v>183</v>
      </c>
      <c r="S1242" s="81">
        <f>HLOOKUP(L1242,データについて!$J$6:$M$18,13,FALSE)</f>
        <v>2</v>
      </c>
      <c r="T1242" s="81">
        <f>HLOOKUP(M1242,データについて!$J$7:$M$18,12,FALSE)</f>
        <v>2</v>
      </c>
      <c r="U1242" s="81">
        <f>HLOOKUP(N1242,データについて!$J$8:$M$18,11,FALSE)</f>
        <v>2</v>
      </c>
      <c r="V1242" s="81">
        <f>HLOOKUP(O1242,データについて!$J$9:$M$18,10,FALSE)</f>
        <v>1</v>
      </c>
      <c r="W1242" s="81">
        <f>HLOOKUP(P1242,データについて!$J$10:$M$18,9,FALSE)</f>
        <v>1</v>
      </c>
      <c r="X1242" s="81">
        <f>HLOOKUP(Q1242,データについて!$J$11:$M$18,8,FALSE)</f>
        <v>1</v>
      </c>
      <c r="Y1242" s="81">
        <f>HLOOKUP(R1242,データについて!$J$12:$M$18,7,FALSE)</f>
        <v>1</v>
      </c>
      <c r="Z1242" s="81">
        <f>HLOOKUP(I1242,データについて!$J$3:$M$18,16,FALSE)</f>
        <v>1</v>
      </c>
      <c r="AA1242" s="81">
        <f>IFERROR(HLOOKUP(J1242,データについて!$J$4:$AH$19,16,FALSE),"")</f>
        <v>11</v>
      </c>
      <c r="AB1242" s="81" t="str">
        <f>IFERROR(HLOOKUP(K1242,データについて!$J$5:$AH$20,14,FALSE),"")</f>
        <v/>
      </c>
      <c r="AC1242" s="81">
        <f>IF(X1242=1,HLOOKUP(R1242,データについて!$J$12:$M$18,7,FALSE),"*")</f>
        <v>1</v>
      </c>
      <c r="AD1242" s="81" t="str">
        <f>IF(X1242=2,HLOOKUP(R1242,データについて!$J$12:$M$18,7,FALSE),"*")</f>
        <v>*</v>
      </c>
    </row>
    <row r="1243" spans="1:30">
      <c r="A1243" s="30">
        <v>3949</v>
      </c>
      <c r="B1243" s="30" t="s">
        <v>642</v>
      </c>
      <c r="C1243" s="30" t="s">
        <v>643</v>
      </c>
      <c r="D1243" s="30" t="s">
        <v>106</v>
      </c>
      <c r="E1243" s="30"/>
      <c r="F1243" s="30" t="s">
        <v>107</v>
      </c>
      <c r="G1243" s="30" t="s">
        <v>106</v>
      </c>
      <c r="H1243" s="30"/>
      <c r="I1243" s="30" t="s">
        <v>192</v>
      </c>
      <c r="J1243" s="30" t="s">
        <v>619</v>
      </c>
      <c r="K1243" s="30"/>
      <c r="L1243" s="30" t="s">
        <v>108</v>
      </c>
      <c r="M1243" s="30" t="s">
        <v>113</v>
      </c>
      <c r="N1243" s="30" t="s">
        <v>114</v>
      </c>
      <c r="O1243" s="30" t="s">
        <v>115</v>
      </c>
      <c r="P1243" s="30" t="s">
        <v>112</v>
      </c>
      <c r="Q1243" s="30" t="s">
        <v>112</v>
      </c>
      <c r="R1243" s="30" t="s">
        <v>187</v>
      </c>
      <c r="S1243" s="81">
        <f>HLOOKUP(L1243,データについて!$J$6:$M$18,13,FALSE)</f>
        <v>1</v>
      </c>
      <c r="T1243" s="81">
        <f>HLOOKUP(M1243,データについて!$J$7:$M$18,12,FALSE)</f>
        <v>1</v>
      </c>
      <c r="U1243" s="81">
        <f>HLOOKUP(N1243,データについて!$J$8:$M$18,11,FALSE)</f>
        <v>1</v>
      </c>
      <c r="V1243" s="81">
        <f>HLOOKUP(O1243,データについて!$J$9:$M$18,10,FALSE)</f>
        <v>1</v>
      </c>
      <c r="W1243" s="81">
        <f>HLOOKUP(P1243,データについて!$J$10:$M$18,9,FALSE)</f>
        <v>1</v>
      </c>
      <c r="X1243" s="81">
        <f>HLOOKUP(Q1243,データについて!$J$11:$M$18,8,FALSE)</f>
        <v>1</v>
      </c>
      <c r="Y1243" s="81">
        <f>HLOOKUP(R1243,データについて!$J$12:$M$18,7,FALSE)</f>
        <v>3</v>
      </c>
      <c r="Z1243" s="81">
        <f>HLOOKUP(I1243,データについて!$J$3:$M$18,16,FALSE)</f>
        <v>1</v>
      </c>
      <c r="AA1243" s="81">
        <f>IFERROR(HLOOKUP(J1243,データについて!$J$4:$AH$19,16,FALSE),"")</f>
        <v>11</v>
      </c>
      <c r="AB1243" s="81" t="str">
        <f>IFERROR(HLOOKUP(K1243,データについて!$J$5:$AH$20,14,FALSE),"")</f>
        <v/>
      </c>
      <c r="AC1243" s="81">
        <f>IF(X1243=1,HLOOKUP(R1243,データについて!$J$12:$M$18,7,FALSE),"*")</f>
        <v>3</v>
      </c>
      <c r="AD1243" s="81" t="str">
        <f>IF(X1243=2,HLOOKUP(R1243,データについて!$J$12:$M$18,7,FALSE),"*")</f>
        <v>*</v>
      </c>
    </row>
    <row r="1244" spans="1:30">
      <c r="A1244" s="30">
        <v>3948</v>
      </c>
      <c r="B1244" s="30" t="s">
        <v>644</v>
      </c>
      <c r="C1244" s="30" t="s">
        <v>645</v>
      </c>
      <c r="D1244" s="30" t="s">
        <v>106</v>
      </c>
      <c r="E1244" s="30"/>
      <c r="F1244" s="30" t="s">
        <v>107</v>
      </c>
      <c r="G1244" s="30" t="s">
        <v>106</v>
      </c>
      <c r="H1244" s="30"/>
      <c r="I1244" s="30" t="s">
        <v>191</v>
      </c>
      <c r="J1244" s="30"/>
      <c r="K1244" s="30" t="s">
        <v>616</v>
      </c>
      <c r="L1244" s="30" t="s">
        <v>117</v>
      </c>
      <c r="M1244" s="30" t="s">
        <v>109</v>
      </c>
      <c r="N1244" s="30" t="s">
        <v>122</v>
      </c>
      <c r="O1244" s="30" t="s">
        <v>116</v>
      </c>
      <c r="P1244" s="30" t="s">
        <v>118</v>
      </c>
      <c r="Q1244" s="30" t="s">
        <v>118</v>
      </c>
      <c r="R1244" s="30" t="s">
        <v>185</v>
      </c>
      <c r="S1244" s="81">
        <f>HLOOKUP(L1244,データについて!$J$6:$M$18,13,FALSE)</f>
        <v>2</v>
      </c>
      <c r="T1244" s="81">
        <f>HLOOKUP(M1244,データについて!$J$7:$M$18,12,FALSE)</f>
        <v>2</v>
      </c>
      <c r="U1244" s="81">
        <f>HLOOKUP(N1244,データについて!$J$8:$M$18,11,FALSE)</f>
        <v>3</v>
      </c>
      <c r="V1244" s="81">
        <f>HLOOKUP(O1244,データについて!$J$9:$M$18,10,FALSE)</f>
        <v>2</v>
      </c>
      <c r="W1244" s="81">
        <f>HLOOKUP(P1244,データについて!$J$10:$M$18,9,FALSE)</f>
        <v>2</v>
      </c>
      <c r="X1244" s="81">
        <f>HLOOKUP(Q1244,データについて!$J$11:$M$18,8,FALSE)</f>
        <v>2</v>
      </c>
      <c r="Y1244" s="81">
        <f>HLOOKUP(R1244,データについて!$J$12:$M$18,7,FALSE)</f>
        <v>2</v>
      </c>
      <c r="Z1244" s="81">
        <f>HLOOKUP(I1244,データについて!$J$3:$M$18,16,FALSE)</f>
        <v>2</v>
      </c>
      <c r="AA1244" s="81" t="str">
        <f>IFERROR(HLOOKUP(J1244,データについて!$J$4:$AH$19,16,FALSE),"")</f>
        <v/>
      </c>
      <c r="AB1244" s="81">
        <f>IFERROR(HLOOKUP(K1244,データについて!$J$5:$AH$20,14,FALSE),"")</f>
        <v>0</v>
      </c>
      <c r="AC1244" s="81" t="str">
        <f>IF(X1244=1,HLOOKUP(R1244,データについて!$J$12:$M$18,7,FALSE),"*")</f>
        <v>*</v>
      </c>
      <c r="AD1244" s="81">
        <f>IF(X1244=2,HLOOKUP(R1244,データについて!$J$12:$M$18,7,FALSE),"*")</f>
        <v>2</v>
      </c>
    </row>
    <row r="1245" spans="1:30">
      <c r="A1245" s="30">
        <v>3947</v>
      </c>
      <c r="B1245" s="30" t="s">
        <v>646</v>
      </c>
      <c r="C1245" s="30" t="s">
        <v>647</v>
      </c>
      <c r="D1245" s="30" t="s">
        <v>106</v>
      </c>
      <c r="E1245" s="30"/>
      <c r="F1245" s="30" t="s">
        <v>107</v>
      </c>
      <c r="G1245" s="30" t="s">
        <v>106</v>
      </c>
      <c r="H1245" s="30"/>
      <c r="I1245" s="30" t="s">
        <v>191</v>
      </c>
      <c r="J1245" s="30"/>
      <c r="K1245" s="30" t="s">
        <v>648</v>
      </c>
      <c r="L1245" s="30" t="s">
        <v>108</v>
      </c>
      <c r="M1245" s="30" t="s">
        <v>109</v>
      </c>
      <c r="N1245" s="30" t="s">
        <v>114</v>
      </c>
      <c r="O1245" s="30" t="s">
        <v>111</v>
      </c>
      <c r="P1245" s="30" t="s">
        <v>112</v>
      </c>
      <c r="Q1245" s="30" t="s">
        <v>118</v>
      </c>
      <c r="R1245" s="30" t="s">
        <v>187</v>
      </c>
      <c r="S1245" s="81">
        <f>HLOOKUP(L1245,データについて!$J$6:$M$18,13,FALSE)</f>
        <v>1</v>
      </c>
      <c r="T1245" s="81">
        <f>HLOOKUP(M1245,データについて!$J$7:$M$18,12,FALSE)</f>
        <v>2</v>
      </c>
      <c r="U1245" s="81">
        <f>HLOOKUP(N1245,データについて!$J$8:$M$18,11,FALSE)</f>
        <v>1</v>
      </c>
      <c r="V1245" s="81">
        <f>HLOOKUP(O1245,データについて!$J$9:$M$18,10,FALSE)</f>
        <v>3</v>
      </c>
      <c r="W1245" s="81">
        <f>HLOOKUP(P1245,データについて!$J$10:$M$18,9,FALSE)</f>
        <v>1</v>
      </c>
      <c r="X1245" s="81">
        <f>HLOOKUP(Q1245,データについて!$J$11:$M$18,8,FALSE)</f>
        <v>2</v>
      </c>
      <c r="Y1245" s="81">
        <f>HLOOKUP(R1245,データについて!$J$12:$M$18,7,FALSE)</f>
        <v>3</v>
      </c>
      <c r="Z1245" s="81">
        <f>HLOOKUP(I1245,データについて!$J$3:$M$18,16,FALSE)</f>
        <v>2</v>
      </c>
      <c r="AA1245" s="81" t="str">
        <f>IFERROR(HLOOKUP(J1245,データについて!$J$4:$AH$19,16,FALSE),"")</f>
        <v/>
      </c>
      <c r="AB1245" s="81">
        <f>IFERROR(HLOOKUP(K1245,データについて!$J$5:$AH$20,14,FALSE),"")</f>
        <v>0</v>
      </c>
      <c r="AC1245" s="81" t="str">
        <f>IF(X1245=1,HLOOKUP(R1245,データについて!$J$12:$M$18,7,FALSE),"*")</f>
        <v>*</v>
      </c>
      <c r="AD1245" s="81">
        <f>IF(X1245=2,HLOOKUP(R1245,データについて!$J$12:$M$18,7,FALSE),"*")</f>
        <v>3</v>
      </c>
    </row>
    <row r="1246" spans="1:30">
      <c r="A1246" s="30">
        <v>3946</v>
      </c>
      <c r="B1246" s="30" t="s">
        <v>649</v>
      </c>
      <c r="C1246" s="30" t="s">
        <v>650</v>
      </c>
      <c r="D1246" s="30" t="s">
        <v>106</v>
      </c>
      <c r="E1246" s="30"/>
      <c r="F1246" s="30" t="s">
        <v>107</v>
      </c>
      <c r="G1246" s="30" t="s">
        <v>106</v>
      </c>
      <c r="H1246" s="30"/>
      <c r="I1246" s="30" t="s">
        <v>191</v>
      </c>
      <c r="J1246" s="30"/>
      <c r="K1246" s="30" t="s">
        <v>616</v>
      </c>
      <c r="L1246" s="30" t="s">
        <v>117</v>
      </c>
      <c r="M1246" s="30" t="s">
        <v>113</v>
      </c>
      <c r="N1246" s="30" t="s">
        <v>110</v>
      </c>
      <c r="O1246" s="30" t="s">
        <v>115</v>
      </c>
      <c r="P1246" s="30" t="s">
        <v>118</v>
      </c>
      <c r="Q1246" s="30" t="s">
        <v>112</v>
      </c>
      <c r="R1246" s="30" t="s">
        <v>185</v>
      </c>
      <c r="S1246" s="81">
        <f>HLOOKUP(L1246,データについて!$J$6:$M$18,13,FALSE)</f>
        <v>2</v>
      </c>
      <c r="T1246" s="81">
        <f>HLOOKUP(M1246,データについて!$J$7:$M$18,12,FALSE)</f>
        <v>1</v>
      </c>
      <c r="U1246" s="81">
        <f>HLOOKUP(N1246,データについて!$J$8:$M$18,11,FALSE)</f>
        <v>2</v>
      </c>
      <c r="V1246" s="81">
        <f>HLOOKUP(O1246,データについて!$J$9:$M$18,10,FALSE)</f>
        <v>1</v>
      </c>
      <c r="W1246" s="81">
        <f>HLOOKUP(P1246,データについて!$J$10:$M$18,9,FALSE)</f>
        <v>2</v>
      </c>
      <c r="X1246" s="81">
        <f>HLOOKUP(Q1246,データについて!$J$11:$M$18,8,FALSE)</f>
        <v>1</v>
      </c>
      <c r="Y1246" s="81">
        <f>HLOOKUP(R1246,データについて!$J$12:$M$18,7,FALSE)</f>
        <v>2</v>
      </c>
      <c r="Z1246" s="81">
        <f>HLOOKUP(I1246,データについて!$J$3:$M$18,16,FALSE)</f>
        <v>2</v>
      </c>
      <c r="AA1246" s="81" t="str">
        <f>IFERROR(HLOOKUP(J1246,データについて!$J$4:$AH$19,16,FALSE),"")</f>
        <v/>
      </c>
      <c r="AB1246" s="81">
        <f>IFERROR(HLOOKUP(K1246,データについて!$J$5:$AH$20,14,FALSE),"")</f>
        <v>0</v>
      </c>
      <c r="AC1246" s="81">
        <f>IF(X1246=1,HLOOKUP(R1246,データについて!$J$12:$M$18,7,FALSE),"*")</f>
        <v>2</v>
      </c>
      <c r="AD1246" s="81" t="str">
        <f>IF(X1246=2,HLOOKUP(R1246,データについて!$J$12:$M$18,7,FALSE),"*")</f>
        <v>*</v>
      </c>
    </row>
    <row r="1247" spans="1:30">
      <c r="A1247" s="30">
        <v>3945</v>
      </c>
      <c r="B1247" s="30" t="s">
        <v>651</v>
      </c>
      <c r="C1247" s="30" t="s">
        <v>652</v>
      </c>
      <c r="D1247" s="30" t="s">
        <v>106</v>
      </c>
      <c r="E1247" s="30"/>
      <c r="F1247" s="30" t="s">
        <v>107</v>
      </c>
      <c r="G1247" s="30" t="s">
        <v>106</v>
      </c>
      <c r="H1247" s="30"/>
      <c r="I1247" s="30" t="s">
        <v>192</v>
      </c>
      <c r="J1247" s="30" t="s">
        <v>619</v>
      </c>
      <c r="K1247" s="30"/>
      <c r="L1247" s="30" t="s">
        <v>108</v>
      </c>
      <c r="M1247" s="30" t="s">
        <v>109</v>
      </c>
      <c r="N1247" s="30" t="s">
        <v>114</v>
      </c>
      <c r="O1247" s="30" t="s">
        <v>123</v>
      </c>
      <c r="P1247" s="30" t="s">
        <v>112</v>
      </c>
      <c r="Q1247" s="30" t="s">
        <v>118</v>
      </c>
      <c r="R1247" s="30" t="s">
        <v>183</v>
      </c>
      <c r="S1247" s="81">
        <f>HLOOKUP(L1247,データについて!$J$6:$M$18,13,FALSE)</f>
        <v>1</v>
      </c>
      <c r="T1247" s="81">
        <f>HLOOKUP(M1247,データについて!$J$7:$M$18,12,FALSE)</f>
        <v>2</v>
      </c>
      <c r="U1247" s="81">
        <f>HLOOKUP(N1247,データについて!$J$8:$M$18,11,FALSE)</f>
        <v>1</v>
      </c>
      <c r="V1247" s="81">
        <f>HLOOKUP(O1247,データについて!$J$9:$M$18,10,FALSE)</f>
        <v>4</v>
      </c>
      <c r="W1247" s="81">
        <f>HLOOKUP(P1247,データについて!$J$10:$M$18,9,FALSE)</f>
        <v>1</v>
      </c>
      <c r="X1247" s="81">
        <f>HLOOKUP(Q1247,データについて!$J$11:$M$18,8,FALSE)</f>
        <v>2</v>
      </c>
      <c r="Y1247" s="81">
        <f>HLOOKUP(R1247,データについて!$J$12:$M$18,7,FALSE)</f>
        <v>1</v>
      </c>
      <c r="Z1247" s="81">
        <f>HLOOKUP(I1247,データについて!$J$3:$M$18,16,FALSE)</f>
        <v>1</v>
      </c>
      <c r="AA1247" s="81">
        <f>IFERROR(HLOOKUP(J1247,データについて!$J$4:$AH$19,16,FALSE),"")</f>
        <v>11</v>
      </c>
      <c r="AB1247" s="81" t="str">
        <f>IFERROR(HLOOKUP(K1247,データについて!$J$5:$AH$20,14,FALSE),"")</f>
        <v/>
      </c>
      <c r="AC1247" s="81" t="str">
        <f>IF(X1247=1,HLOOKUP(R1247,データについて!$J$12:$M$18,7,FALSE),"*")</f>
        <v>*</v>
      </c>
      <c r="AD1247" s="81">
        <f>IF(X1247=2,HLOOKUP(R1247,データについて!$J$12:$M$18,7,FALSE),"*")</f>
        <v>1</v>
      </c>
    </row>
    <row r="1248" spans="1:30">
      <c r="A1248" s="30">
        <v>3944</v>
      </c>
      <c r="B1248" s="30" t="s">
        <v>653</v>
      </c>
      <c r="C1248" s="30" t="s">
        <v>654</v>
      </c>
      <c r="D1248" s="30" t="s">
        <v>106</v>
      </c>
      <c r="E1248" s="30"/>
      <c r="F1248" s="30" t="s">
        <v>107</v>
      </c>
      <c r="G1248" s="30" t="s">
        <v>106</v>
      </c>
      <c r="H1248" s="30"/>
      <c r="I1248" s="30" t="s">
        <v>191</v>
      </c>
      <c r="J1248" s="30"/>
      <c r="K1248" s="30" t="s">
        <v>616</v>
      </c>
      <c r="L1248" s="30" t="s">
        <v>117</v>
      </c>
      <c r="M1248" s="30" t="s">
        <v>109</v>
      </c>
      <c r="N1248" s="30" t="s">
        <v>110</v>
      </c>
      <c r="O1248" s="30" t="s">
        <v>115</v>
      </c>
      <c r="P1248" s="30" t="s">
        <v>112</v>
      </c>
      <c r="Q1248" s="30" t="s">
        <v>112</v>
      </c>
      <c r="R1248" s="30" t="s">
        <v>189</v>
      </c>
      <c r="S1248" s="81">
        <f>HLOOKUP(L1248,データについて!$J$6:$M$18,13,FALSE)</f>
        <v>2</v>
      </c>
      <c r="T1248" s="81">
        <f>HLOOKUP(M1248,データについて!$J$7:$M$18,12,FALSE)</f>
        <v>2</v>
      </c>
      <c r="U1248" s="81">
        <f>HLOOKUP(N1248,データについて!$J$8:$M$18,11,FALSE)</f>
        <v>2</v>
      </c>
      <c r="V1248" s="81">
        <f>HLOOKUP(O1248,データについて!$J$9:$M$18,10,FALSE)</f>
        <v>1</v>
      </c>
      <c r="W1248" s="81">
        <f>HLOOKUP(P1248,データについて!$J$10:$M$18,9,FALSE)</f>
        <v>1</v>
      </c>
      <c r="X1248" s="81">
        <f>HLOOKUP(Q1248,データについて!$J$11:$M$18,8,FALSE)</f>
        <v>1</v>
      </c>
      <c r="Y1248" s="81">
        <f>HLOOKUP(R1248,データについて!$J$12:$M$18,7,FALSE)</f>
        <v>4</v>
      </c>
      <c r="Z1248" s="81">
        <f>HLOOKUP(I1248,データについて!$J$3:$M$18,16,FALSE)</f>
        <v>2</v>
      </c>
      <c r="AA1248" s="81" t="str">
        <f>IFERROR(HLOOKUP(J1248,データについて!$J$4:$AH$19,16,FALSE),"")</f>
        <v/>
      </c>
      <c r="AB1248" s="81">
        <f>IFERROR(HLOOKUP(K1248,データについて!$J$5:$AH$20,14,FALSE),"")</f>
        <v>0</v>
      </c>
      <c r="AC1248" s="81">
        <f>IF(X1248=1,HLOOKUP(R1248,データについて!$J$12:$M$18,7,FALSE),"*")</f>
        <v>4</v>
      </c>
      <c r="AD1248" s="81" t="str">
        <f>IF(X1248=2,HLOOKUP(R1248,データについて!$J$12:$M$18,7,FALSE),"*")</f>
        <v>*</v>
      </c>
    </row>
    <row r="1249" spans="1:30">
      <c r="A1249" s="30">
        <v>3943</v>
      </c>
      <c r="B1249" s="30" t="s">
        <v>655</v>
      </c>
      <c r="C1249" s="30" t="s">
        <v>656</v>
      </c>
      <c r="D1249" s="30" t="s">
        <v>106</v>
      </c>
      <c r="E1249" s="30"/>
      <c r="F1249" s="30" t="s">
        <v>107</v>
      </c>
      <c r="G1249" s="30" t="s">
        <v>106</v>
      </c>
      <c r="H1249" s="30"/>
      <c r="I1249" s="30" t="s">
        <v>191</v>
      </c>
      <c r="J1249" s="30"/>
      <c r="K1249" s="30" t="s">
        <v>616</v>
      </c>
      <c r="L1249" s="30" t="s">
        <v>117</v>
      </c>
      <c r="M1249" s="30" t="s">
        <v>109</v>
      </c>
      <c r="N1249" s="30" t="s">
        <v>122</v>
      </c>
      <c r="O1249" s="30" t="s">
        <v>115</v>
      </c>
      <c r="P1249" s="30" t="s">
        <v>112</v>
      </c>
      <c r="Q1249" s="30" t="s">
        <v>112</v>
      </c>
      <c r="R1249" s="30" t="s">
        <v>185</v>
      </c>
      <c r="S1249" s="81">
        <f>HLOOKUP(L1249,データについて!$J$6:$M$18,13,FALSE)</f>
        <v>2</v>
      </c>
      <c r="T1249" s="81">
        <f>HLOOKUP(M1249,データについて!$J$7:$M$18,12,FALSE)</f>
        <v>2</v>
      </c>
      <c r="U1249" s="81">
        <f>HLOOKUP(N1249,データについて!$J$8:$M$18,11,FALSE)</f>
        <v>3</v>
      </c>
      <c r="V1249" s="81">
        <f>HLOOKUP(O1249,データについて!$J$9:$M$18,10,FALSE)</f>
        <v>1</v>
      </c>
      <c r="W1249" s="81">
        <f>HLOOKUP(P1249,データについて!$J$10:$M$18,9,FALSE)</f>
        <v>1</v>
      </c>
      <c r="X1249" s="81">
        <f>HLOOKUP(Q1249,データについて!$J$11:$M$18,8,FALSE)</f>
        <v>1</v>
      </c>
      <c r="Y1249" s="81">
        <f>HLOOKUP(R1249,データについて!$J$12:$M$18,7,FALSE)</f>
        <v>2</v>
      </c>
      <c r="Z1249" s="81">
        <f>HLOOKUP(I1249,データについて!$J$3:$M$18,16,FALSE)</f>
        <v>2</v>
      </c>
      <c r="AA1249" s="81" t="str">
        <f>IFERROR(HLOOKUP(J1249,データについて!$J$4:$AH$19,16,FALSE),"")</f>
        <v/>
      </c>
      <c r="AB1249" s="81">
        <f>IFERROR(HLOOKUP(K1249,データについて!$J$5:$AH$20,14,FALSE),"")</f>
        <v>0</v>
      </c>
      <c r="AC1249" s="81">
        <f>IF(X1249=1,HLOOKUP(R1249,データについて!$J$12:$M$18,7,FALSE),"*")</f>
        <v>2</v>
      </c>
      <c r="AD1249" s="81" t="str">
        <f>IF(X1249=2,HLOOKUP(R1249,データについて!$J$12:$M$18,7,FALSE),"*")</f>
        <v>*</v>
      </c>
    </row>
    <row r="1250" spans="1:30">
      <c r="A1250" s="30">
        <v>3942</v>
      </c>
      <c r="B1250" s="30" t="s">
        <v>657</v>
      </c>
      <c r="C1250" s="30" t="s">
        <v>658</v>
      </c>
      <c r="D1250" s="30" t="s">
        <v>106</v>
      </c>
      <c r="E1250" s="30"/>
      <c r="F1250" s="30" t="s">
        <v>107</v>
      </c>
      <c r="G1250" s="30" t="s">
        <v>106</v>
      </c>
      <c r="H1250" s="30"/>
      <c r="I1250" s="30" t="s">
        <v>191</v>
      </c>
      <c r="J1250" s="30"/>
      <c r="K1250" s="30" t="s">
        <v>648</v>
      </c>
      <c r="L1250" s="30" t="s">
        <v>108</v>
      </c>
      <c r="M1250" s="30" t="s">
        <v>124</v>
      </c>
      <c r="N1250" s="30" t="s">
        <v>110</v>
      </c>
      <c r="O1250" s="30" t="s">
        <v>115</v>
      </c>
      <c r="P1250" s="30" t="s">
        <v>118</v>
      </c>
      <c r="Q1250" s="30" t="s">
        <v>112</v>
      </c>
      <c r="R1250" s="30" t="s">
        <v>187</v>
      </c>
      <c r="S1250" s="81">
        <f>HLOOKUP(L1250,データについて!$J$6:$M$18,13,FALSE)</f>
        <v>1</v>
      </c>
      <c r="T1250" s="81">
        <f>HLOOKUP(M1250,データについて!$J$7:$M$18,12,FALSE)</f>
        <v>3</v>
      </c>
      <c r="U1250" s="81">
        <f>HLOOKUP(N1250,データについて!$J$8:$M$18,11,FALSE)</f>
        <v>2</v>
      </c>
      <c r="V1250" s="81">
        <f>HLOOKUP(O1250,データについて!$J$9:$M$18,10,FALSE)</f>
        <v>1</v>
      </c>
      <c r="W1250" s="81">
        <f>HLOOKUP(P1250,データについて!$J$10:$M$18,9,FALSE)</f>
        <v>2</v>
      </c>
      <c r="X1250" s="81">
        <f>HLOOKUP(Q1250,データについて!$J$11:$M$18,8,FALSE)</f>
        <v>1</v>
      </c>
      <c r="Y1250" s="81">
        <f>HLOOKUP(R1250,データについて!$J$12:$M$18,7,FALSE)</f>
        <v>3</v>
      </c>
      <c r="Z1250" s="81">
        <f>HLOOKUP(I1250,データについて!$J$3:$M$18,16,FALSE)</f>
        <v>2</v>
      </c>
      <c r="AA1250" s="81" t="str">
        <f>IFERROR(HLOOKUP(J1250,データについて!$J$4:$AH$19,16,FALSE),"")</f>
        <v/>
      </c>
      <c r="AB1250" s="81">
        <f>IFERROR(HLOOKUP(K1250,データについて!$J$5:$AH$20,14,FALSE),"")</f>
        <v>0</v>
      </c>
      <c r="AC1250" s="81">
        <f>IF(X1250=1,HLOOKUP(R1250,データについて!$J$12:$M$18,7,FALSE),"*")</f>
        <v>3</v>
      </c>
      <c r="AD1250" s="81" t="str">
        <f>IF(X1250=2,HLOOKUP(R1250,データについて!$J$12:$M$18,7,FALSE),"*")</f>
        <v>*</v>
      </c>
    </row>
    <row r="1251" spans="1:30">
      <c r="A1251" s="30">
        <v>3941</v>
      </c>
      <c r="B1251" s="30" t="s">
        <v>659</v>
      </c>
      <c r="C1251" s="30" t="s">
        <v>660</v>
      </c>
      <c r="D1251" s="30" t="s">
        <v>106</v>
      </c>
      <c r="E1251" s="30"/>
      <c r="F1251" s="30" t="s">
        <v>107</v>
      </c>
      <c r="G1251" s="30" t="s">
        <v>106</v>
      </c>
      <c r="H1251" s="30"/>
      <c r="I1251" s="30" t="s">
        <v>191</v>
      </c>
      <c r="J1251" s="30"/>
      <c r="K1251" s="30" t="s">
        <v>648</v>
      </c>
      <c r="L1251" s="30" t="s">
        <v>108</v>
      </c>
      <c r="M1251" s="30" t="s">
        <v>124</v>
      </c>
      <c r="N1251" s="30" t="s">
        <v>110</v>
      </c>
      <c r="O1251" s="30" t="s">
        <v>115</v>
      </c>
      <c r="P1251" s="30" t="s">
        <v>118</v>
      </c>
      <c r="Q1251" s="30" t="s">
        <v>112</v>
      </c>
      <c r="R1251" s="30" t="s">
        <v>187</v>
      </c>
      <c r="S1251" s="81">
        <f>HLOOKUP(L1251,データについて!$J$6:$M$18,13,FALSE)</f>
        <v>1</v>
      </c>
      <c r="T1251" s="81">
        <f>HLOOKUP(M1251,データについて!$J$7:$M$18,12,FALSE)</f>
        <v>3</v>
      </c>
      <c r="U1251" s="81">
        <f>HLOOKUP(N1251,データについて!$J$8:$M$18,11,FALSE)</f>
        <v>2</v>
      </c>
      <c r="V1251" s="81">
        <f>HLOOKUP(O1251,データについて!$J$9:$M$18,10,FALSE)</f>
        <v>1</v>
      </c>
      <c r="W1251" s="81">
        <f>HLOOKUP(P1251,データについて!$J$10:$M$18,9,FALSE)</f>
        <v>2</v>
      </c>
      <c r="X1251" s="81">
        <f>HLOOKUP(Q1251,データについて!$J$11:$M$18,8,FALSE)</f>
        <v>1</v>
      </c>
      <c r="Y1251" s="81">
        <f>HLOOKUP(R1251,データについて!$J$12:$M$18,7,FALSE)</f>
        <v>3</v>
      </c>
      <c r="Z1251" s="81">
        <f>HLOOKUP(I1251,データについて!$J$3:$M$18,16,FALSE)</f>
        <v>2</v>
      </c>
      <c r="AA1251" s="81" t="str">
        <f>IFERROR(HLOOKUP(J1251,データについて!$J$4:$AH$19,16,FALSE),"")</f>
        <v/>
      </c>
      <c r="AB1251" s="81">
        <f>IFERROR(HLOOKUP(K1251,データについて!$J$5:$AH$20,14,FALSE),"")</f>
        <v>0</v>
      </c>
      <c r="AC1251" s="81">
        <f>IF(X1251=1,HLOOKUP(R1251,データについて!$J$12:$M$18,7,FALSE),"*")</f>
        <v>3</v>
      </c>
      <c r="AD1251" s="81" t="str">
        <f>IF(X1251=2,HLOOKUP(R1251,データについて!$J$12:$M$18,7,FALSE),"*")</f>
        <v>*</v>
      </c>
    </row>
    <row r="1252" spans="1:30">
      <c r="A1252" s="30">
        <v>3940</v>
      </c>
      <c r="B1252" s="30" t="s">
        <v>661</v>
      </c>
      <c r="C1252" s="30" t="s">
        <v>662</v>
      </c>
      <c r="D1252" s="30" t="s">
        <v>106</v>
      </c>
      <c r="E1252" s="30"/>
      <c r="F1252" s="30" t="s">
        <v>107</v>
      </c>
      <c r="G1252" s="30" t="s">
        <v>106</v>
      </c>
      <c r="H1252" s="30"/>
      <c r="I1252" s="30" t="s">
        <v>191</v>
      </c>
      <c r="J1252" s="30"/>
      <c r="K1252" s="30" t="s">
        <v>616</v>
      </c>
      <c r="L1252" s="30" t="s">
        <v>117</v>
      </c>
      <c r="M1252" s="30" t="s">
        <v>113</v>
      </c>
      <c r="N1252" s="30" t="s">
        <v>114</v>
      </c>
      <c r="O1252" s="30" t="s">
        <v>115</v>
      </c>
      <c r="P1252" s="30" t="s">
        <v>118</v>
      </c>
      <c r="Q1252" s="30" t="s">
        <v>112</v>
      </c>
      <c r="R1252" s="30" t="s">
        <v>185</v>
      </c>
      <c r="S1252" s="81">
        <f>HLOOKUP(L1252,データについて!$J$6:$M$18,13,FALSE)</f>
        <v>2</v>
      </c>
      <c r="T1252" s="81">
        <f>HLOOKUP(M1252,データについて!$J$7:$M$18,12,FALSE)</f>
        <v>1</v>
      </c>
      <c r="U1252" s="81">
        <f>HLOOKUP(N1252,データについて!$J$8:$M$18,11,FALSE)</f>
        <v>1</v>
      </c>
      <c r="V1252" s="81">
        <f>HLOOKUP(O1252,データについて!$J$9:$M$18,10,FALSE)</f>
        <v>1</v>
      </c>
      <c r="W1252" s="81">
        <f>HLOOKUP(P1252,データについて!$J$10:$M$18,9,FALSE)</f>
        <v>2</v>
      </c>
      <c r="X1252" s="81">
        <f>HLOOKUP(Q1252,データについて!$J$11:$M$18,8,FALSE)</f>
        <v>1</v>
      </c>
      <c r="Y1252" s="81">
        <f>HLOOKUP(R1252,データについて!$J$12:$M$18,7,FALSE)</f>
        <v>2</v>
      </c>
      <c r="Z1252" s="81">
        <f>HLOOKUP(I1252,データについて!$J$3:$M$18,16,FALSE)</f>
        <v>2</v>
      </c>
      <c r="AA1252" s="81" t="str">
        <f>IFERROR(HLOOKUP(J1252,データについて!$J$4:$AH$19,16,FALSE),"")</f>
        <v/>
      </c>
      <c r="AB1252" s="81">
        <f>IFERROR(HLOOKUP(K1252,データについて!$J$5:$AH$20,14,FALSE),"")</f>
        <v>0</v>
      </c>
      <c r="AC1252" s="81">
        <f>IF(X1252=1,HLOOKUP(R1252,データについて!$J$12:$M$18,7,FALSE),"*")</f>
        <v>2</v>
      </c>
      <c r="AD1252" s="81" t="str">
        <f>IF(X1252=2,HLOOKUP(R1252,データについて!$J$12:$M$18,7,FALSE),"*")</f>
        <v>*</v>
      </c>
    </row>
    <row r="1253" spans="1:30">
      <c r="A1253" s="30">
        <v>3939</v>
      </c>
      <c r="B1253" s="30" t="s">
        <v>663</v>
      </c>
      <c r="C1253" s="30" t="s">
        <v>664</v>
      </c>
      <c r="D1253" s="30" t="s">
        <v>106</v>
      </c>
      <c r="E1253" s="30"/>
      <c r="F1253" s="30" t="s">
        <v>107</v>
      </c>
      <c r="G1253" s="30" t="s">
        <v>106</v>
      </c>
      <c r="H1253" s="30"/>
      <c r="I1253" s="30" t="s">
        <v>191</v>
      </c>
      <c r="J1253" s="30"/>
      <c r="K1253" s="30" t="s">
        <v>616</v>
      </c>
      <c r="L1253" s="30" t="s">
        <v>108</v>
      </c>
      <c r="M1253" s="30" t="s">
        <v>113</v>
      </c>
      <c r="N1253" s="30" t="s">
        <v>114</v>
      </c>
      <c r="O1253" s="30" t="s">
        <v>111</v>
      </c>
      <c r="P1253" s="30" t="s">
        <v>118</v>
      </c>
      <c r="Q1253" s="30" t="s">
        <v>112</v>
      </c>
      <c r="R1253" s="30" t="s">
        <v>183</v>
      </c>
      <c r="S1253" s="81">
        <f>HLOOKUP(L1253,データについて!$J$6:$M$18,13,FALSE)</f>
        <v>1</v>
      </c>
      <c r="T1253" s="81">
        <f>HLOOKUP(M1253,データについて!$J$7:$M$18,12,FALSE)</f>
        <v>1</v>
      </c>
      <c r="U1253" s="81">
        <f>HLOOKUP(N1253,データについて!$J$8:$M$18,11,FALSE)</f>
        <v>1</v>
      </c>
      <c r="V1253" s="81">
        <f>HLOOKUP(O1253,データについて!$J$9:$M$18,10,FALSE)</f>
        <v>3</v>
      </c>
      <c r="W1253" s="81">
        <f>HLOOKUP(P1253,データについて!$J$10:$M$18,9,FALSE)</f>
        <v>2</v>
      </c>
      <c r="X1253" s="81">
        <f>HLOOKUP(Q1253,データについて!$J$11:$M$18,8,FALSE)</f>
        <v>1</v>
      </c>
      <c r="Y1253" s="81">
        <f>HLOOKUP(R1253,データについて!$J$12:$M$18,7,FALSE)</f>
        <v>1</v>
      </c>
      <c r="Z1253" s="81">
        <f>HLOOKUP(I1253,データについて!$J$3:$M$18,16,FALSE)</f>
        <v>2</v>
      </c>
      <c r="AA1253" s="81" t="str">
        <f>IFERROR(HLOOKUP(J1253,データについて!$J$4:$AH$19,16,FALSE),"")</f>
        <v/>
      </c>
      <c r="AB1253" s="81">
        <f>IFERROR(HLOOKUP(K1253,データについて!$J$5:$AH$20,14,FALSE),"")</f>
        <v>0</v>
      </c>
      <c r="AC1253" s="81">
        <f>IF(X1253=1,HLOOKUP(R1253,データについて!$J$12:$M$18,7,FALSE),"*")</f>
        <v>1</v>
      </c>
      <c r="AD1253" s="81" t="str">
        <f>IF(X1253=2,HLOOKUP(R1253,データについて!$J$12:$M$18,7,FALSE),"*")</f>
        <v>*</v>
      </c>
    </row>
    <row r="1254" spans="1:30">
      <c r="A1254" s="30">
        <v>3938</v>
      </c>
      <c r="B1254" s="30" t="s">
        <v>665</v>
      </c>
      <c r="C1254" s="30" t="s">
        <v>666</v>
      </c>
      <c r="D1254" s="30" t="s">
        <v>106</v>
      </c>
      <c r="E1254" s="30"/>
      <c r="F1254" s="30" t="s">
        <v>107</v>
      </c>
      <c r="G1254" s="30" t="s">
        <v>106</v>
      </c>
      <c r="H1254" s="30"/>
      <c r="I1254" s="30" t="s">
        <v>191</v>
      </c>
      <c r="J1254" s="30"/>
      <c r="K1254" s="30" t="s">
        <v>648</v>
      </c>
      <c r="L1254" s="30" t="s">
        <v>108</v>
      </c>
      <c r="M1254" s="30" t="s">
        <v>109</v>
      </c>
      <c r="N1254" s="30" t="s">
        <v>122</v>
      </c>
      <c r="O1254" s="30" t="s">
        <v>115</v>
      </c>
      <c r="P1254" s="30" t="s">
        <v>112</v>
      </c>
      <c r="Q1254" s="30" t="s">
        <v>112</v>
      </c>
      <c r="R1254" s="30" t="s">
        <v>185</v>
      </c>
      <c r="S1254" s="81">
        <f>HLOOKUP(L1254,データについて!$J$6:$M$18,13,FALSE)</f>
        <v>1</v>
      </c>
      <c r="T1254" s="81">
        <f>HLOOKUP(M1254,データについて!$J$7:$M$18,12,FALSE)</f>
        <v>2</v>
      </c>
      <c r="U1254" s="81">
        <f>HLOOKUP(N1254,データについて!$J$8:$M$18,11,FALSE)</f>
        <v>3</v>
      </c>
      <c r="V1254" s="81">
        <f>HLOOKUP(O1254,データについて!$J$9:$M$18,10,FALSE)</f>
        <v>1</v>
      </c>
      <c r="W1254" s="81">
        <f>HLOOKUP(P1254,データについて!$J$10:$M$18,9,FALSE)</f>
        <v>1</v>
      </c>
      <c r="X1254" s="81">
        <f>HLOOKUP(Q1254,データについて!$J$11:$M$18,8,FALSE)</f>
        <v>1</v>
      </c>
      <c r="Y1254" s="81">
        <f>HLOOKUP(R1254,データについて!$J$12:$M$18,7,FALSE)</f>
        <v>2</v>
      </c>
      <c r="Z1254" s="81">
        <f>HLOOKUP(I1254,データについて!$J$3:$M$18,16,FALSE)</f>
        <v>2</v>
      </c>
      <c r="AA1254" s="81" t="str">
        <f>IFERROR(HLOOKUP(J1254,データについて!$J$4:$AH$19,16,FALSE),"")</f>
        <v/>
      </c>
      <c r="AB1254" s="81">
        <f>IFERROR(HLOOKUP(K1254,データについて!$J$5:$AH$20,14,FALSE),"")</f>
        <v>0</v>
      </c>
      <c r="AC1254" s="81">
        <f>IF(X1254=1,HLOOKUP(R1254,データについて!$J$12:$M$18,7,FALSE),"*")</f>
        <v>2</v>
      </c>
      <c r="AD1254" s="81" t="str">
        <f>IF(X1254=2,HLOOKUP(R1254,データについて!$J$12:$M$18,7,FALSE),"*")</f>
        <v>*</v>
      </c>
    </row>
    <row r="1255" spans="1:30">
      <c r="A1255" s="30">
        <v>3937</v>
      </c>
      <c r="B1255" s="30" t="s">
        <v>667</v>
      </c>
      <c r="C1255" s="30" t="s">
        <v>668</v>
      </c>
      <c r="D1255" s="30" t="s">
        <v>106</v>
      </c>
      <c r="E1255" s="30"/>
      <c r="F1255" s="30" t="s">
        <v>107</v>
      </c>
      <c r="G1255" s="30" t="s">
        <v>106</v>
      </c>
      <c r="H1255" s="30"/>
      <c r="I1255" s="30" t="s">
        <v>192</v>
      </c>
      <c r="J1255" s="30" t="s">
        <v>619</v>
      </c>
      <c r="K1255" s="30"/>
      <c r="L1255" s="30" t="s">
        <v>117</v>
      </c>
      <c r="M1255" s="30" t="s">
        <v>109</v>
      </c>
      <c r="N1255" s="30" t="s">
        <v>114</v>
      </c>
      <c r="O1255" s="30" t="s">
        <v>115</v>
      </c>
      <c r="P1255" s="30" t="s">
        <v>112</v>
      </c>
      <c r="Q1255" s="30" t="s">
        <v>112</v>
      </c>
      <c r="R1255" s="30" t="s">
        <v>187</v>
      </c>
      <c r="S1255" s="81">
        <f>HLOOKUP(L1255,データについて!$J$6:$M$18,13,FALSE)</f>
        <v>2</v>
      </c>
      <c r="T1255" s="81">
        <f>HLOOKUP(M1255,データについて!$J$7:$M$18,12,FALSE)</f>
        <v>2</v>
      </c>
      <c r="U1255" s="81">
        <f>HLOOKUP(N1255,データについて!$J$8:$M$18,11,FALSE)</f>
        <v>1</v>
      </c>
      <c r="V1255" s="81">
        <f>HLOOKUP(O1255,データについて!$J$9:$M$18,10,FALSE)</f>
        <v>1</v>
      </c>
      <c r="W1255" s="81">
        <f>HLOOKUP(P1255,データについて!$J$10:$M$18,9,FALSE)</f>
        <v>1</v>
      </c>
      <c r="X1255" s="81">
        <f>HLOOKUP(Q1255,データについて!$J$11:$M$18,8,FALSE)</f>
        <v>1</v>
      </c>
      <c r="Y1255" s="81">
        <f>HLOOKUP(R1255,データについて!$J$12:$M$18,7,FALSE)</f>
        <v>3</v>
      </c>
      <c r="Z1255" s="81">
        <f>HLOOKUP(I1255,データについて!$J$3:$M$18,16,FALSE)</f>
        <v>1</v>
      </c>
      <c r="AA1255" s="81">
        <f>IFERROR(HLOOKUP(J1255,データについて!$J$4:$AH$19,16,FALSE),"")</f>
        <v>11</v>
      </c>
      <c r="AB1255" s="81" t="str">
        <f>IFERROR(HLOOKUP(K1255,データについて!$J$5:$AH$20,14,FALSE),"")</f>
        <v/>
      </c>
      <c r="AC1255" s="81">
        <f>IF(X1255=1,HLOOKUP(R1255,データについて!$J$12:$M$18,7,FALSE),"*")</f>
        <v>3</v>
      </c>
      <c r="AD1255" s="81" t="str">
        <f>IF(X1255=2,HLOOKUP(R1255,データについて!$J$12:$M$18,7,FALSE),"*")</f>
        <v>*</v>
      </c>
    </row>
    <row r="1256" spans="1:30">
      <c r="A1256" s="30">
        <v>3936</v>
      </c>
      <c r="B1256" s="30" t="s">
        <v>669</v>
      </c>
      <c r="C1256" s="30" t="s">
        <v>670</v>
      </c>
      <c r="D1256" s="30" t="s">
        <v>106</v>
      </c>
      <c r="E1256" s="30"/>
      <c r="F1256" s="30" t="s">
        <v>107</v>
      </c>
      <c r="G1256" s="30" t="s">
        <v>106</v>
      </c>
      <c r="H1256" s="30"/>
      <c r="I1256" s="30" t="s">
        <v>192</v>
      </c>
      <c r="J1256" s="30" t="s">
        <v>619</v>
      </c>
      <c r="K1256" s="30"/>
      <c r="L1256" s="30" t="s">
        <v>108</v>
      </c>
      <c r="M1256" s="30" t="s">
        <v>109</v>
      </c>
      <c r="N1256" s="30" t="s">
        <v>110</v>
      </c>
      <c r="O1256" s="30" t="s">
        <v>115</v>
      </c>
      <c r="P1256" s="30" t="s">
        <v>112</v>
      </c>
      <c r="Q1256" s="30" t="s">
        <v>112</v>
      </c>
      <c r="R1256" s="30" t="s">
        <v>185</v>
      </c>
      <c r="S1256" s="81">
        <f>HLOOKUP(L1256,データについて!$J$6:$M$18,13,FALSE)</f>
        <v>1</v>
      </c>
      <c r="T1256" s="81">
        <f>HLOOKUP(M1256,データについて!$J$7:$M$18,12,FALSE)</f>
        <v>2</v>
      </c>
      <c r="U1256" s="81">
        <f>HLOOKUP(N1256,データについて!$J$8:$M$18,11,FALSE)</f>
        <v>2</v>
      </c>
      <c r="V1256" s="81">
        <f>HLOOKUP(O1256,データについて!$J$9:$M$18,10,FALSE)</f>
        <v>1</v>
      </c>
      <c r="W1256" s="81">
        <f>HLOOKUP(P1256,データについて!$J$10:$M$18,9,FALSE)</f>
        <v>1</v>
      </c>
      <c r="X1256" s="81">
        <f>HLOOKUP(Q1256,データについて!$J$11:$M$18,8,FALSE)</f>
        <v>1</v>
      </c>
      <c r="Y1256" s="81">
        <f>HLOOKUP(R1256,データについて!$J$12:$M$18,7,FALSE)</f>
        <v>2</v>
      </c>
      <c r="Z1256" s="81">
        <f>HLOOKUP(I1256,データについて!$J$3:$M$18,16,FALSE)</f>
        <v>1</v>
      </c>
      <c r="AA1256" s="81">
        <f>IFERROR(HLOOKUP(J1256,データについて!$J$4:$AH$19,16,FALSE),"")</f>
        <v>11</v>
      </c>
      <c r="AB1256" s="81" t="str">
        <f>IFERROR(HLOOKUP(K1256,データについて!$J$5:$AH$20,14,FALSE),"")</f>
        <v/>
      </c>
      <c r="AC1256" s="81">
        <f>IF(X1256=1,HLOOKUP(R1256,データについて!$J$12:$M$18,7,FALSE),"*")</f>
        <v>2</v>
      </c>
      <c r="AD1256" s="81" t="str">
        <f>IF(X1256=2,HLOOKUP(R1256,データについて!$J$12:$M$18,7,FALSE),"*")</f>
        <v>*</v>
      </c>
    </row>
    <row r="1257" spans="1:30">
      <c r="A1257" s="30">
        <v>3935</v>
      </c>
      <c r="B1257" s="30" t="s">
        <v>671</v>
      </c>
      <c r="C1257" s="30" t="s">
        <v>672</v>
      </c>
      <c r="D1257" s="30" t="s">
        <v>106</v>
      </c>
      <c r="E1257" s="30"/>
      <c r="F1257" s="30" t="s">
        <v>107</v>
      </c>
      <c r="G1257" s="30" t="s">
        <v>106</v>
      </c>
      <c r="H1257" s="30"/>
      <c r="I1257" s="30" t="s">
        <v>192</v>
      </c>
      <c r="J1257" s="30" t="s">
        <v>619</v>
      </c>
      <c r="K1257" s="30"/>
      <c r="L1257" s="30" t="s">
        <v>108</v>
      </c>
      <c r="M1257" s="30" t="s">
        <v>109</v>
      </c>
      <c r="N1257" s="30" t="s">
        <v>110</v>
      </c>
      <c r="O1257" s="30" t="s">
        <v>115</v>
      </c>
      <c r="P1257" s="30" t="s">
        <v>112</v>
      </c>
      <c r="Q1257" s="30" t="s">
        <v>112</v>
      </c>
      <c r="R1257" s="30" t="s">
        <v>185</v>
      </c>
      <c r="S1257" s="81">
        <f>HLOOKUP(L1257,データについて!$J$6:$M$18,13,FALSE)</f>
        <v>1</v>
      </c>
      <c r="T1257" s="81">
        <f>HLOOKUP(M1257,データについて!$J$7:$M$18,12,FALSE)</f>
        <v>2</v>
      </c>
      <c r="U1257" s="81">
        <f>HLOOKUP(N1257,データについて!$J$8:$M$18,11,FALSE)</f>
        <v>2</v>
      </c>
      <c r="V1257" s="81">
        <f>HLOOKUP(O1257,データについて!$J$9:$M$18,10,FALSE)</f>
        <v>1</v>
      </c>
      <c r="W1257" s="81">
        <f>HLOOKUP(P1257,データについて!$J$10:$M$18,9,FALSE)</f>
        <v>1</v>
      </c>
      <c r="X1257" s="81">
        <f>HLOOKUP(Q1257,データについて!$J$11:$M$18,8,FALSE)</f>
        <v>1</v>
      </c>
      <c r="Y1257" s="81">
        <f>HLOOKUP(R1257,データについて!$J$12:$M$18,7,FALSE)</f>
        <v>2</v>
      </c>
      <c r="Z1257" s="81">
        <f>HLOOKUP(I1257,データについて!$J$3:$M$18,16,FALSE)</f>
        <v>1</v>
      </c>
      <c r="AA1257" s="81">
        <f>IFERROR(HLOOKUP(J1257,データについて!$J$4:$AH$19,16,FALSE),"")</f>
        <v>11</v>
      </c>
      <c r="AB1257" s="81" t="str">
        <f>IFERROR(HLOOKUP(K1257,データについて!$J$5:$AH$20,14,FALSE),"")</f>
        <v/>
      </c>
      <c r="AC1257" s="81">
        <f>IF(X1257=1,HLOOKUP(R1257,データについて!$J$12:$M$18,7,FALSE),"*")</f>
        <v>2</v>
      </c>
      <c r="AD1257" s="81" t="str">
        <f>IF(X1257=2,HLOOKUP(R1257,データについて!$J$12:$M$18,7,FALSE),"*")</f>
        <v>*</v>
      </c>
    </row>
    <row r="1258" spans="1:30">
      <c r="A1258" s="30">
        <v>3934</v>
      </c>
      <c r="B1258" s="30" t="s">
        <v>673</v>
      </c>
      <c r="C1258" s="30" t="s">
        <v>674</v>
      </c>
      <c r="D1258" s="30" t="s">
        <v>106</v>
      </c>
      <c r="E1258" s="30"/>
      <c r="F1258" s="30" t="s">
        <v>107</v>
      </c>
      <c r="G1258" s="30" t="s">
        <v>106</v>
      </c>
      <c r="H1258" s="30"/>
      <c r="I1258" s="30" t="s">
        <v>191</v>
      </c>
      <c r="J1258" s="30"/>
      <c r="K1258" s="30" t="s">
        <v>648</v>
      </c>
      <c r="L1258" s="30" t="s">
        <v>108</v>
      </c>
      <c r="M1258" s="30" t="s">
        <v>113</v>
      </c>
      <c r="N1258" s="30" t="s">
        <v>114</v>
      </c>
      <c r="O1258" s="30" t="s">
        <v>115</v>
      </c>
      <c r="P1258" s="30" t="s">
        <v>112</v>
      </c>
      <c r="Q1258" s="30" t="s">
        <v>112</v>
      </c>
      <c r="R1258" s="30" t="s">
        <v>187</v>
      </c>
      <c r="S1258" s="81">
        <f>HLOOKUP(L1258,データについて!$J$6:$M$18,13,FALSE)</f>
        <v>1</v>
      </c>
      <c r="T1258" s="81">
        <f>HLOOKUP(M1258,データについて!$J$7:$M$18,12,FALSE)</f>
        <v>1</v>
      </c>
      <c r="U1258" s="81">
        <f>HLOOKUP(N1258,データについて!$J$8:$M$18,11,FALSE)</f>
        <v>1</v>
      </c>
      <c r="V1258" s="81">
        <f>HLOOKUP(O1258,データについて!$J$9:$M$18,10,FALSE)</f>
        <v>1</v>
      </c>
      <c r="W1258" s="81">
        <f>HLOOKUP(P1258,データについて!$J$10:$M$18,9,FALSE)</f>
        <v>1</v>
      </c>
      <c r="X1258" s="81">
        <f>HLOOKUP(Q1258,データについて!$J$11:$M$18,8,FALSE)</f>
        <v>1</v>
      </c>
      <c r="Y1258" s="81">
        <f>HLOOKUP(R1258,データについて!$J$12:$M$18,7,FALSE)</f>
        <v>3</v>
      </c>
      <c r="Z1258" s="81">
        <f>HLOOKUP(I1258,データについて!$J$3:$M$18,16,FALSE)</f>
        <v>2</v>
      </c>
      <c r="AA1258" s="81" t="str">
        <f>IFERROR(HLOOKUP(J1258,データについて!$J$4:$AH$19,16,FALSE),"")</f>
        <v/>
      </c>
      <c r="AB1258" s="81">
        <f>IFERROR(HLOOKUP(K1258,データについて!$J$5:$AH$20,14,FALSE),"")</f>
        <v>0</v>
      </c>
      <c r="AC1258" s="81">
        <f>IF(X1258=1,HLOOKUP(R1258,データについて!$J$12:$M$18,7,FALSE),"*")</f>
        <v>3</v>
      </c>
      <c r="AD1258" s="81" t="str">
        <f>IF(X1258=2,HLOOKUP(R1258,データについて!$J$12:$M$18,7,FALSE),"*")</f>
        <v>*</v>
      </c>
    </row>
    <row r="1259" spans="1:30">
      <c r="A1259" s="30">
        <v>3933</v>
      </c>
      <c r="B1259" s="30" t="s">
        <v>675</v>
      </c>
      <c r="C1259" s="30" t="s">
        <v>676</v>
      </c>
      <c r="D1259" s="30" t="s">
        <v>106</v>
      </c>
      <c r="E1259" s="30"/>
      <c r="F1259" s="30" t="s">
        <v>107</v>
      </c>
      <c r="G1259" s="30" t="s">
        <v>106</v>
      </c>
      <c r="H1259" s="30"/>
      <c r="I1259" s="30" t="s">
        <v>191</v>
      </c>
      <c r="J1259" s="30"/>
      <c r="K1259" s="30" t="s">
        <v>648</v>
      </c>
      <c r="L1259" s="30" t="s">
        <v>108</v>
      </c>
      <c r="M1259" s="30" t="s">
        <v>109</v>
      </c>
      <c r="N1259" s="30" t="s">
        <v>110</v>
      </c>
      <c r="O1259" s="30" t="s">
        <v>115</v>
      </c>
      <c r="P1259" s="30" t="s">
        <v>118</v>
      </c>
      <c r="Q1259" s="30" t="s">
        <v>112</v>
      </c>
      <c r="R1259" s="30" t="s">
        <v>185</v>
      </c>
      <c r="S1259" s="81">
        <f>HLOOKUP(L1259,データについて!$J$6:$M$18,13,FALSE)</f>
        <v>1</v>
      </c>
      <c r="T1259" s="81">
        <f>HLOOKUP(M1259,データについて!$J$7:$M$18,12,FALSE)</f>
        <v>2</v>
      </c>
      <c r="U1259" s="81">
        <f>HLOOKUP(N1259,データについて!$J$8:$M$18,11,FALSE)</f>
        <v>2</v>
      </c>
      <c r="V1259" s="81">
        <f>HLOOKUP(O1259,データについて!$J$9:$M$18,10,FALSE)</f>
        <v>1</v>
      </c>
      <c r="W1259" s="81">
        <f>HLOOKUP(P1259,データについて!$J$10:$M$18,9,FALSE)</f>
        <v>2</v>
      </c>
      <c r="X1259" s="81">
        <f>HLOOKUP(Q1259,データについて!$J$11:$M$18,8,FALSE)</f>
        <v>1</v>
      </c>
      <c r="Y1259" s="81">
        <f>HLOOKUP(R1259,データについて!$J$12:$M$18,7,FALSE)</f>
        <v>2</v>
      </c>
      <c r="Z1259" s="81">
        <f>HLOOKUP(I1259,データについて!$J$3:$M$18,16,FALSE)</f>
        <v>2</v>
      </c>
      <c r="AA1259" s="81" t="str">
        <f>IFERROR(HLOOKUP(J1259,データについて!$J$4:$AH$19,16,FALSE),"")</f>
        <v/>
      </c>
      <c r="AB1259" s="81">
        <f>IFERROR(HLOOKUP(K1259,データについて!$J$5:$AH$20,14,FALSE),"")</f>
        <v>0</v>
      </c>
      <c r="AC1259" s="81">
        <f>IF(X1259=1,HLOOKUP(R1259,データについて!$J$12:$M$18,7,FALSE),"*")</f>
        <v>2</v>
      </c>
      <c r="AD1259" s="81" t="str">
        <f>IF(X1259=2,HLOOKUP(R1259,データについて!$J$12:$M$18,7,FALSE),"*")</f>
        <v>*</v>
      </c>
    </row>
    <row r="1260" spans="1:30">
      <c r="A1260" s="30">
        <v>3932</v>
      </c>
      <c r="B1260" s="30" t="s">
        <v>677</v>
      </c>
      <c r="C1260" s="30" t="s">
        <v>678</v>
      </c>
      <c r="D1260" s="30" t="s">
        <v>106</v>
      </c>
      <c r="E1260" s="30"/>
      <c r="F1260" s="30" t="s">
        <v>107</v>
      </c>
      <c r="G1260" s="30" t="s">
        <v>106</v>
      </c>
      <c r="H1260" s="30"/>
      <c r="I1260" s="30" t="s">
        <v>191</v>
      </c>
      <c r="J1260" s="30"/>
      <c r="K1260" s="30" t="s">
        <v>648</v>
      </c>
      <c r="L1260" s="30" t="s">
        <v>108</v>
      </c>
      <c r="M1260" s="30" t="s">
        <v>109</v>
      </c>
      <c r="N1260" s="30" t="s">
        <v>110</v>
      </c>
      <c r="O1260" s="30" t="s">
        <v>116</v>
      </c>
      <c r="P1260" s="30" t="s">
        <v>112</v>
      </c>
      <c r="Q1260" s="30" t="s">
        <v>112</v>
      </c>
      <c r="R1260" s="30" t="s">
        <v>185</v>
      </c>
      <c r="S1260" s="81">
        <f>HLOOKUP(L1260,データについて!$J$6:$M$18,13,FALSE)</f>
        <v>1</v>
      </c>
      <c r="T1260" s="81">
        <f>HLOOKUP(M1260,データについて!$J$7:$M$18,12,FALSE)</f>
        <v>2</v>
      </c>
      <c r="U1260" s="81">
        <f>HLOOKUP(N1260,データについて!$J$8:$M$18,11,FALSE)</f>
        <v>2</v>
      </c>
      <c r="V1260" s="81">
        <f>HLOOKUP(O1260,データについて!$J$9:$M$18,10,FALSE)</f>
        <v>2</v>
      </c>
      <c r="W1260" s="81">
        <f>HLOOKUP(P1260,データについて!$J$10:$M$18,9,FALSE)</f>
        <v>1</v>
      </c>
      <c r="X1260" s="81">
        <f>HLOOKUP(Q1260,データについて!$J$11:$M$18,8,FALSE)</f>
        <v>1</v>
      </c>
      <c r="Y1260" s="81">
        <f>HLOOKUP(R1260,データについて!$J$12:$M$18,7,FALSE)</f>
        <v>2</v>
      </c>
      <c r="Z1260" s="81">
        <f>HLOOKUP(I1260,データについて!$J$3:$M$18,16,FALSE)</f>
        <v>2</v>
      </c>
      <c r="AA1260" s="81" t="str">
        <f>IFERROR(HLOOKUP(J1260,データについて!$J$4:$AH$19,16,FALSE),"")</f>
        <v/>
      </c>
      <c r="AB1260" s="81">
        <f>IFERROR(HLOOKUP(K1260,データについて!$J$5:$AH$20,14,FALSE),"")</f>
        <v>0</v>
      </c>
      <c r="AC1260" s="81">
        <f>IF(X1260=1,HLOOKUP(R1260,データについて!$J$12:$M$18,7,FALSE),"*")</f>
        <v>2</v>
      </c>
      <c r="AD1260" s="81" t="str">
        <f>IF(X1260=2,HLOOKUP(R1260,データについて!$J$12:$M$18,7,FALSE),"*")</f>
        <v>*</v>
      </c>
    </row>
    <row r="1261" spans="1:30">
      <c r="A1261" s="30">
        <v>3931</v>
      </c>
      <c r="B1261" s="30" t="s">
        <v>679</v>
      </c>
      <c r="C1261" s="30" t="s">
        <v>680</v>
      </c>
      <c r="D1261" s="30" t="s">
        <v>106</v>
      </c>
      <c r="E1261" s="30"/>
      <c r="F1261" s="30" t="s">
        <v>107</v>
      </c>
      <c r="G1261" s="30" t="s">
        <v>106</v>
      </c>
      <c r="H1261" s="30"/>
      <c r="I1261" s="30" t="s">
        <v>191</v>
      </c>
      <c r="J1261" s="30"/>
      <c r="K1261" s="30" t="s">
        <v>648</v>
      </c>
      <c r="L1261" s="30" t="s">
        <v>108</v>
      </c>
      <c r="M1261" s="30" t="s">
        <v>109</v>
      </c>
      <c r="N1261" s="30" t="s">
        <v>110</v>
      </c>
      <c r="O1261" s="30" t="s">
        <v>115</v>
      </c>
      <c r="P1261" s="30" t="s">
        <v>112</v>
      </c>
      <c r="Q1261" s="30" t="s">
        <v>112</v>
      </c>
      <c r="R1261" s="30" t="s">
        <v>185</v>
      </c>
      <c r="S1261" s="81">
        <f>HLOOKUP(L1261,データについて!$J$6:$M$18,13,FALSE)</f>
        <v>1</v>
      </c>
      <c r="T1261" s="81">
        <f>HLOOKUP(M1261,データについて!$J$7:$M$18,12,FALSE)</f>
        <v>2</v>
      </c>
      <c r="U1261" s="81">
        <f>HLOOKUP(N1261,データについて!$J$8:$M$18,11,FALSE)</f>
        <v>2</v>
      </c>
      <c r="V1261" s="81">
        <f>HLOOKUP(O1261,データについて!$J$9:$M$18,10,FALSE)</f>
        <v>1</v>
      </c>
      <c r="W1261" s="81">
        <f>HLOOKUP(P1261,データについて!$J$10:$M$18,9,FALSE)</f>
        <v>1</v>
      </c>
      <c r="X1261" s="81">
        <f>HLOOKUP(Q1261,データについて!$J$11:$M$18,8,FALSE)</f>
        <v>1</v>
      </c>
      <c r="Y1261" s="81">
        <f>HLOOKUP(R1261,データについて!$J$12:$M$18,7,FALSE)</f>
        <v>2</v>
      </c>
      <c r="Z1261" s="81">
        <f>HLOOKUP(I1261,データについて!$J$3:$M$18,16,FALSE)</f>
        <v>2</v>
      </c>
      <c r="AA1261" s="81" t="str">
        <f>IFERROR(HLOOKUP(J1261,データについて!$J$4:$AH$19,16,FALSE),"")</f>
        <v/>
      </c>
      <c r="AB1261" s="81">
        <f>IFERROR(HLOOKUP(K1261,データについて!$J$5:$AH$20,14,FALSE),"")</f>
        <v>0</v>
      </c>
      <c r="AC1261" s="81">
        <f>IF(X1261=1,HLOOKUP(R1261,データについて!$J$12:$M$18,7,FALSE),"*")</f>
        <v>2</v>
      </c>
      <c r="AD1261" s="81" t="str">
        <f>IF(X1261=2,HLOOKUP(R1261,データについて!$J$12:$M$18,7,FALSE),"*")</f>
        <v>*</v>
      </c>
    </row>
    <row r="1262" spans="1:30">
      <c r="A1262" s="30">
        <v>3930</v>
      </c>
      <c r="B1262" s="30" t="s">
        <v>681</v>
      </c>
      <c r="C1262" s="30" t="s">
        <v>682</v>
      </c>
      <c r="D1262" s="30" t="s">
        <v>106</v>
      </c>
      <c r="E1262" s="30"/>
      <c r="F1262" s="30" t="s">
        <v>107</v>
      </c>
      <c r="G1262" s="30" t="s">
        <v>106</v>
      </c>
      <c r="H1262" s="30"/>
      <c r="I1262" s="30" t="s">
        <v>191</v>
      </c>
      <c r="J1262" s="30"/>
      <c r="K1262" s="30" t="s">
        <v>616</v>
      </c>
      <c r="L1262" s="30" t="s">
        <v>117</v>
      </c>
      <c r="M1262" s="30" t="s">
        <v>109</v>
      </c>
      <c r="N1262" s="30" t="s">
        <v>114</v>
      </c>
      <c r="O1262" s="30" t="s">
        <v>115</v>
      </c>
      <c r="P1262" s="30" t="s">
        <v>112</v>
      </c>
      <c r="Q1262" s="30" t="s">
        <v>112</v>
      </c>
      <c r="R1262" s="30" t="s">
        <v>185</v>
      </c>
      <c r="S1262" s="81">
        <f>HLOOKUP(L1262,データについて!$J$6:$M$18,13,FALSE)</f>
        <v>2</v>
      </c>
      <c r="T1262" s="81">
        <f>HLOOKUP(M1262,データについて!$J$7:$M$18,12,FALSE)</f>
        <v>2</v>
      </c>
      <c r="U1262" s="81">
        <f>HLOOKUP(N1262,データについて!$J$8:$M$18,11,FALSE)</f>
        <v>1</v>
      </c>
      <c r="V1262" s="81">
        <f>HLOOKUP(O1262,データについて!$J$9:$M$18,10,FALSE)</f>
        <v>1</v>
      </c>
      <c r="W1262" s="81">
        <f>HLOOKUP(P1262,データについて!$J$10:$M$18,9,FALSE)</f>
        <v>1</v>
      </c>
      <c r="X1262" s="81">
        <f>HLOOKUP(Q1262,データについて!$J$11:$M$18,8,FALSE)</f>
        <v>1</v>
      </c>
      <c r="Y1262" s="81">
        <f>HLOOKUP(R1262,データについて!$J$12:$M$18,7,FALSE)</f>
        <v>2</v>
      </c>
      <c r="Z1262" s="81">
        <f>HLOOKUP(I1262,データについて!$J$3:$M$18,16,FALSE)</f>
        <v>2</v>
      </c>
      <c r="AA1262" s="81" t="str">
        <f>IFERROR(HLOOKUP(J1262,データについて!$J$4:$AH$19,16,FALSE),"")</f>
        <v/>
      </c>
      <c r="AB1262" s="81">
        <f>IFERROR(HLOOKUP(K1262,データについて!$J$5:$AH$20,14,FALSE),"")</f>
        <v>0</v>
      </c>
      <c r="AC1262" s="81">
        <f>IF(X1262=1,HLOOKUP(R1262,データについて!$J$12:$M$18,7,FALSE),"*")</f>
        <v>2</v>
      </c>
      <c r="AD1262" s="81" t="str">
        <f>IF(X1262=2,HLOOKUP(R1262,データについて!$J$12:$M$18,7,FALSE),"*")</f>
        <v>*</v>
      </c>
    </row>
    <row r="1263" spans="1:30">
      <c r="A1263" s="30">
        <v>3929</v>
      </c>
      <c r="B1263" s="30" t="s">
        <v>683</v>
      </c>
      <c r="C1263" s="30" t="s">
        <v>684</v>
      </c>
      <c r="D1263" s="30" t="s">
        <v>106</v>
      </c>
      <c r="E1263" s="30"/>
      <c r="F1263" s="30" t="s">
        <v>107</v>
      </c>
      <c r="G1263" s="30" t="s">
        <v>106</v>
      </c>
      <c r="H1263" s="30"/>
      <c r="I1263" s="30" t="s">
        <v>191</v>
      </c>
      <c r="J1263" s="30"/>
      <c r="K1263" s="30" t="s">
        <v>648</v>
      </c>
      <c r="L1263" s="30" t="s">
        <v>108</v>
      </c>
      <c r="M1263" s="30" t="s">
        <v>109</v>
      </c>
      <c r="N1263" s="30" t="s">
        <v>114</v>
      </c>
      <c r="O1263" s="30" t="s">
        <v>115</v>
      </c>
      <c r="P1263" s="30" t="s">
        <v>112</v>
      </c>
      <c r="Q1263" s="30" t="s">
        <v>112</v>
      </c>
      <c r="R1263" s="30" t="s">
        <v>185</v>
      </c>
      <c r="S1263" s="81">
        <f>HLOOKUP(L1263,データについて!$J$6:$M$18,13,FALSE)</f>
        <v>1</v>
      </c>
      <c r="T1263" s="81">
        <f>HLOOKUP(M1263,データについて!$J$7:$M$18,12,FALSE)</f>
        <v>2</v>
      </c>
      <c r="U1263" s="81">
        <f>HLOOKUP(N1263,データについて!$J$8:$M$18,11,FALSE)</f>
        <v>1</v>
      </c>
      <c r="V1263" s="81">
        <f>HLOOKUP(O1263,データについて!$J$9:$M$18,10,FALSE)</f>
        <v>1</v>
      </c>
      <c r="W1263" s="81">
        <f>HLOOKUP(P1263,データについて!$J$10:$M$18,9,FALSE)</f>
        <v>1</v>
      </c>
      <c r="X1263" s="81">
        <f>HLOOKUP(Q1263,データについて!$J$11:$M$18,8,FALSE)</f>
        <v>1</v>
      </c>
      <c r="Y1263" s="81">
        <f>HLOOKUP(R1263,データについて!$J$12:$M$18,7,FALSE)</f>
        <v>2</v>
      </c>
      <c r="Z1263" s="81">
        <f>HLOOKUP(I1263,データについて!$J$3:$M$18,16,FALSE)</f>
        <v>2</v>
      </c>
      <c r="AA1263" s="81" t="str">
        <f>IFERROR(HLOOKUP(J1263,データについて!$J$4:$AH$19,16,FALSE),"")</f>
        <v/>
      </c>
      <c r="AB1263" s="81">
        <f>IFERROR(HLOOKUP(K1263,データについて!$J$5:$AH$20,14,FALSE),"")</f>
        <v>0</v>
      </c>
      <c r="AC1263" s="81">
        <f>IF(X1263=1,HLOOKUP(R1263,データについて!$J$12:$M$18,7,FALSE),"*")</f>
        <v>2</v>
      </c>
      <c r="AD1263" s="81" t="str">
        <f>IF(X1263=2,HLOOKUP(R1263,データについて!$J$12:$M$18,7,FALSE),"*")</f>
        <v>*</v>
      </c>
    </row>
    <row r="1264" spans="1:30">
      <c r="A1264" s="30">
        <v>3928</v>
      </c>
      <c r="B1264" s="30" t="s">
        <v>685</v>
      </c>
      <c r="C1264" s="30" t="s">
        <v>686</v>
      </c>
      <c r="D1264" s="30" t="s">
        <v>106</v>
      </c>
      <c r="E1264" s="30"/>
      <c r="F1264" s="30" t="s">
        <v>107</v>
      </c>
      <c r="G1264" s="30" t="s">
        <v>106</v>
      </c>
      <c r="H1264" s="30"/>
      <c r="I1264" s="30" t="s">
        <v>191</v>
      </c>
      <c r="J1264" s="30"/>
      <c r="K1264" s="30" t="s">
        <v>616</v>
      </c>
      <c r="L1264" s="30" t="s">
        <v>108</v>
      </c>
      <c r="M1264" s="30" t="s">
        <v>113</v>
      </c>
      <c r="N1264" s="30" t="s">
        <v>114</v>
      </c>
      <c r="O1264" s="30" t="s">
        <v>115</v>
      </c>
      <c r="P1264" s="30" t="s">
        <v>112</v>
      </c>
      <c r="Q1264" s="30" t="s">
        <v>118</v>
      </c>
      <c r="R1264" s="30" t="s">
        <v>183</v>
      </c>
      <c r="S1264" s="81">
        <f>HLOOKUP(L1264,データについて!$J$6:$M$18,13,FALSE)</f>
        <v>1</v>
      </c>
      <c r="T1264" s="81">
        <f>HLOOKUP(M1264,データについて!$J$7:$M$18,12,FALSE)</f>
        <v>1</v>
      </c>
      <c r="U1264" s="81">
        <f>HLOOKUP(N1264,データについて!$J$8:$M$18,11,FALSE)</f>
        <v>1</v>
      </c>
      <c r="V1264" s="81">
        <f>HLOOKUP(O1264,データについて!$J$9:$M$18,10,FALSE)</f>
        <v>1</v>
      </c>
      <c r="W1264" s="81">
        <f>HLOOKUP(P1264,データについて!$J$10:$M$18,9,FALSE)</f>
        <v>1</v>
      </c>
      <c r="X1264" s="81">
        <f>HLOOKUP(Q1264,データについて!$J$11:$M$18,8,FALSE)</f>
        <v>2</v>
      </c>
      <c r="Y1264" s="81">
        <f>HLOOKUP(R1264,データについて!$J$12:$M$18,7,FALSE)</f>
        <v>1</v>
      </c>
      <c r="Z1264" s="81">
        <f>HLOOKUP(I1264,データについて!$J$3:$M$18,16,FALSE)</f>
        <v>2</v>
      </c>
      <c r="AA1264" s="81" t="str">
        <f>IFERROR(HLOOKUP(J1264,データについて!$J$4:$AH$19,16,FALSE),"")</f>
        <v/>
      </c>
      <c r="AB1264" s="81">
        <f>IFERROR(HLOOKUP(K1264,データについて!$J$5:$AH$20,14,FALSE),"")</f>
        <v>0</v>
      </c>
      <c r="AC1264" s="81" t="str">
        <f>IF(X1264=1,HLOOKUP(R1264,データについて!$J$12:$M$18,7,FALSE),"*")</f>
        <v>*</v>
      </c>
      <c r="AD1264" s="81">
        <f>IF(X1264=2,HLOOKUP(R1264,データについて!$J$12:$M$18,7,FALSE),"*")</f>
        <v>1</v>
      </c>
    </row>
    <row r="1265" spans="1:30">
      <c r="A1265" s="30">
        <v>3927</v>
      </c>
      <c r="B1265" s="30" t="s">
        <v>687</v>
      </c>
      <c r="C1265" s="30" t="s">
        <v>688</v>
      </c>
      <c r="D1265" s="30" t="s">
        <v>106</v>
      </c>
      <c r="E1265" s="30"/>
      <c r="F1265" s="30" t="s">
        <v>107</v>
      </c>
      <c r="G1265" s="30" t="s">
        <v>106</v>
      </c>
      <c r="H1265" s="30"/>
      <c r="I1265" s="30" t="s">
        <v>191</v>
      </c>
      <c r="J1265" s="30"/>
      <c r="K1265" s="30" t="s">
        <v>616</v>
      </c>
      <c r="L1265" s="30" t="s">
        <v>117</v>
      </c>
      <c r="M1265" s="30" t="s">
        <v>109</v>
      </c>
      <c r="N1265" s="30" t="s">
        <v>110</v>
      </c>
      <c r="O1265" s="30" t="s">
        <v>115</v>
      </c>
      <c r="P1265" s="30" t="s">
        <v>118</v>
      </c>
      <c r="Q1265" s="30" t="s">
        <v>112</v>
      </c>
      <c r="R1265" s="30" t="s">
        <v>189</v>
      </c>
      <c r="S1265" s="81">
        <f>HLOOKUP(L1265,データについて!$J$6:$M$18,13,FALSE)</f>
        <v>2</v>
      </c>
      <c r="T1265" s="81">
        <f>HLOOKUP(M1265,データについて!$J$7:$M$18,12,FALSE)</f>
        <v>2</v>
      </c>
      <c r="U1265" s="81">
        <f>HLOOKUP(N1265,データについて!$J$8:$M$18,11,FALSE)</f>
        <v>2</v>
      </c>
      <c r="V1265" s="81">
        <f>HLOOKUP(O1265,データについて!$J$9:$M$18,10,FALSE)</f>
        <v>1</v>
      </c>
      <c r="W1265" s="81">
        <f>HLOOKUP(P1265,データについて!$J$10:$M$18,9,FALSE)</f>
        <v>2</v>
      </c>
      <c r="X1265" s="81">
        <f>HLOOKUP(Q1265,データについて!$J$11:$M$18,8,FALSE)</f>
        <v>1</v>
      </c>
      <c r="Y1265" s="81">
        <f>HLOOKUP(R1265,データについて!$J$12:$M$18,7,FALSE)</f>
        <v>4</v>
      </c>
      <c r="Z1265" s="81">
        <f>HLOOKUP(I1265,データについて!$J$3:$M$18,16,FALSE)</f>
        <v>2</v>
      </c>
      <c r="AA1265" s="81" t="str">
        <f>IFERROR(HLOOKUP(J1265,データについて!$J$4:$AH$19,16,FALSE),"")</f>
        <v/>
      </c>
      <c r="AB1265" s="81">
        <f>IFERROR(HLOOKUP(K1265,データについて!$J$5:$AH$20,14,FALSE),"")</f>
        <v>0</v>
      </c>
      <c r="AC1265" s="81">
        <f>IF(X1265=1,HLOOKUP(R1265,データについて!$J$12:$M$18,7,FALSE),"*")</f>
        <v>4</v>
      </c>
      <c r="AD1265" s="81" t="str">
        <f>IF(X1265=2,HLOOKUP(R1265,データについて!$J$12:$M$18,7,FALSE),"*")</f>
        <v>*</v>
      </c>
    </row>
    <row r="1266" spans="1:30">
      <c r="A1266" s="30">
        <v>3926</v>
      </c>
      <c r="B1266" s="30" t="s">
        <v>689</v>
      </c>
      <c r="C1266" s="30" t="s">
        <v>690</v>
      </c>
      <c r="D1266" s="30" t="s">
        <v>106</v>
      </c>
      <c r="E1266" s="30"/>
      <c r="F1266" s="30" t="s">
        <v>107</v>
      </c>
      <c r="G1266" s="30" t="s">
        <v>106</v>
      </c>
      <c r="H1266" s="30"/>
      <c r="I1266" s="30" t="s">
        <v>191</v>
      </c>
      <c r="J1266" s="30"/>
      <c r="K1266" s="30" t="s">
        <v>648</v>
      </c>
      <c r="L1266" s="30" t="s">
        <v>117</v>
      </c>
      <c r="M1266" s="30" t="s">
        <v>113</v>
      </c>
      <c r="N1266" s="30" t="s">
        <v>114</v>
      </c>
      <c r="O1266" s="30" t="s">
        <v>115</v>
      </c>
      <c r="P1266" s="30" t="s">
        <v>118</v>
      </c>
      <c r="Q1266" s="30" t="s">
        <v>112</v>
      </c>
      <c r="R1266" s="30" t="s">
        <v>187</v>
      </c>
      <c r="S1266" s="81">
        <f>HLOOKUP(L1266,データについて!$J$6:$M$18,13,FALSE)</f>
        <v>2</v>
      </c>
      <c r="T1266" s="81">
        <f>HLOOKUP(M1266,データについて!$J$7:$M$18,12,FALSE)</f>
        <v>1</v>
      </c>
      <c r="U1266" s="81">
        <f>HLOOKUP(N1266,データについて!$J$8:$M$18,11,FALSE)</f>
        <v>1</v>
      </c>
      <c r="V1266" s="81">
        <f>HLOOKUP(O1266,データについて!$J$9:$M$18,10,FALSE)</f>
        <v>1</v>
      </c>
      <c r="W1266" s="81">
        <f>HLOOKUP(P1266,データについて!$J$10:$M$18,9,FALSE)</f>
        <v>2</v>
      </c>
      <c r="X1266" s="81">
        <f>HLOOKUP(Q1266,データについて!$J$11:$M$18,8,FALSE)</f>
        <v>1</v>
      </c>
      <c r="Y1266" s="81">
        <f>HLOOKUP(R1266,データについて!$J$12:$M$18,7,FALSE)</f>
        <v>3</v>
      </c>
      <c r="Z1266" s="81">
        <f>HLOOKUP(I1266,データについて!$J$3:$M$18,16,FALSE)</f>
        <v>2</v>
      </c>
      <c r="AA1266" s="81" t="str">
        <f>IFERROR(HLOOKUP(J1266,データについて!$J$4:$AH$19,16,FALSE),"")</f>
        <v/>
      </c>
      <c r="AB1266" s="81">
        <f>IFERROR(HLOOKUP(K1266,データについて!$J$5:$AH$20,14,FALSE),"")</f>
        <v>0</v>
      </c>
      <c r="AC1266" s="81">
        <f>IF(X1266=1,HLOOKUP(R1266,データについて!$J$12:$M$18,7,FALSE),"*")</f>
        <v>3</v>
      </c>
      <c r="AD1266" s="81" t="str">
        <f>IF(X1266=2,HLOOKUP(R1266,データについて!$J$12:$M$18,7,FALSE),"*")</f>
        <v>*</v>
      </c>
    </row>
    <row r="1267" spans="1:30">
      <c r="A1267" s="30">
        <v>3925</v>
      </c>
      <c r="B1267" s="30" t="s">
        <v>691</v>
      </c>
      <c r="C1267" s="30" t="s">
        <v>692</v>
      </c>
      <c r="D1267" s="30" t="s">
        <v>106</v>
      </c>
      <c r="E1267" s="30"/>
      <c r="F1267" s="30" t="s">
        <v>107</v>
      </c>
      <c r="G1267" s="30" t="s">
        <v>106</v>
      </c>
      <c r="H1267" s="30"/>
      <c r="I1267" s="30" t="s">
        <v>191</v>
      </c>
      <c r="J1267" s="30"/>
      <c r="K1267" s="30" t="s">
        <v>616</v>
      </c>
      <c r="L1267" s="30" t="s">
        <v>117</v>
      </c>
      <c r="M1267" s="30" t="s">
        <v>113</v>
      </c>
      <c r="N1267" s="30" t="s">
        <v>114</v>
      </c>
      <c r="O1267" s="30" t="s">
        <v>115</v>
      </c>
      <c r="P1267" s="30" t="s">
        <v>118</v>
      </c>
      <c r="Q1267" s="30" t="s">
        <v>112</v>
      </c>
      <c r="R1267" s="30" t="s">
        <v>185</v>
      </c>
      <c r="S1267" s="81">
        <f>HLOOKUP(L1267,データについて!$J$6:$M$18,13,FALSE)</f>
        <v>2</v>
      </c>
      <c r="T1267" s="81">
        <f>HLOOKUP(M1267,データについて!$J$7:$M$18,12,FALSE)</f>
        <v>1</v>
      </c>
      <c r="U1267" s="81">
        <f>HLOOKUP(N1267,データについて!$J$8:$M$18,11,FALSE)</f>
        <v>1</v>
      </c>
      <c r="V1267" s="81">
        <f>HLOOKUP(O1267,データについて!$J$9:$M$18,10,FALSE)</f>
        <v>1</v>
      </c>
      <c r="W1267" s="81">
        <f>HLOOKUP(P1267,データについて!$J$10:$M$18,9,FALSE)</f>
        <v>2</v>
      </c>
      <c r="X1267" s="81">
        <f>HLOOKUP(Q1267,データについて!$J$11:$M$18,8,FALSE)</f>
        <v>1</v>
      </c>
      <c r="Y1267" s="81">
        <f>HLOOKUP(R1267,データについて!$J$12:$M$18,7,FALSE)</f>
        <v>2</v>
      </c>
      <c r="Z1267" s="81">
        <f>HLOOKUP(I1267,データについて!$J$3:$M$18,16,FALSE)</f>
        <v>2</v>
      </c>
      <c r="AA1267" s="81" t="str">
        <f>IFERROR(HLOOKUP(J1267,データについて!$J$4:$AH$19,16,FALSE),"")</f>
        <v/>
      </c>
      <c r="AB1267" s="81">
        <f>IFERROR(HLOOKUP(K1267,データについて!$J$5:$AH$20,14,FALSE),"")</f>
        <v>0</v>
      </c>
      <c r="AC1267" s="81">
        <f>IF(X1267=1,HLOOKUP(R1267,データについて!$J$12:$M$18,7,FALSE),"*")</f>
        <v>2</v>
      </c>
      <c r="AD1267" s="81" t="str">
        <f>IF(X1267=2,HLOOKUP(R1267,データについて!$J$12:$M$18,7,FALSE),"*")</f>
        <v>*</v>
      </c>
    </row>
    <row r="1268" spans="1:30">
      <c r="A1268" s="30">
        <v>3924</v>
      </c>
      <c r="B1268" s="30" t="s">
        <v>693</v>
      </c>
      <c r="C1268" s="30" t="s">
        <v>694</v>
      </c>
      <c r="D1268" s="30" t="s">
        <v>106</v>
      </c>
      <c r="E1268" s="30"/>
      <c r="F1268" s="30" t="s">
        <v>107</v>
      </c>
      <c r="G1268" s="30" t="s">
        <v>106</v>
      </c>
      <c r="H1268" s="30"/>
      <c r="I1268" s="30" t="s">
        <v>191</v>
      </c>
      <c r="J1268" s="30"/>
      <c r="K1268" s="30" t="s">
        <v>648</v>
      </c>
      <c r="L1268" s="30" t="s">
        <v>108</v>
      </c>
      <c r="M1268" s="30" t="s">
        <v>109</v>
      </c>
      <c r="N1268" s="30" t="s">
        <v>110</v>
      </c>
      <c r="O1268" s="30" t="s">
        <v>115</v>
      </c>
      <c r="P1268" s="30" t="s">
        <v>118</v>
      </c>
      <c r="Q1268" s="30" t="s">
        <v>118</v>
      </c>
      <c r="R1268" s="30" t="s">
        <v>185</v>
      </c>
      <c r="S1268" s="81">
        <f>HLOOKUP(L1268,データについて!$J$6:$M$18,13,FALSE)</f>
        <v>1</v>
      </c>
      <c r="T1268" s="81">
        <f>HLOOKUP(M1268,データについて!$J$7:$M$18,12,FALSE)</f>
        <v>2</v>
      </c>
      <c r="U1268" s="81">
        <f>HLOOKUP(N1268,データについて!$J$8:$M$18,11,FALSE)</f>
        <v>2</v>
      </c>
      <c r="V1268" s="81">
        <f>HLOOKUP(O1268,データについて!$J$9:$M$18,10,FALSE)</f>
        <v>1</v>
      </c>
      <c r="W1268" s="81">
        <f>HLOOKUP(P1268,データについて!$J$10:$M$18,9,FALSE)</f>
        <v>2</v>
      </c>
      <c r="X1268" s="81">
        <f>HLOOKUP(Q1268,データについて!$J$11:$M$18,8,FALSE)</f>
        <v>2</v>
      </c>
      <c r="Y1268" s="81">
        <f>HLOOKUP(R1268,データについて!$J$12:$M$18,7,FALSE)</f>
        <v>2</v>
      </c>
      <c r="Z1268" s="81">
        <f>HLOOKUP(I1268,データについて!$J$3:$M$18,16,FALSE)</f>
        <v>2</v>
      </c>
      <c r="AA1268" s="81" t="str">
        <f>IFERROR(HLOOKUP(J1268,データについて!$J$4:$AH$19,16,FALSE),"")</f>
        <v/>
      </c>
      <c r="AB1268" s="81">
        <f>IFERROR(HLOOKUP(K1268,データについて!$J$5:$AH$20,14,FALSE),"")</f>
        <v>0</v>
      </c>
      <c r="AC1268" s="81" t="str">
        <f>IF(X1268=1,HLOOKUP(R1268,データについて!$J$12:$M$18,7,FALSE),"*")</f>
        <v>*</v>
      </c>
      <c r="AD1268" s="81">
        <f>IF(X1268=2,HLOOKUP(R1268,データについて!$J$12:$M$18,7,FALSE),"*")</f>
        <v>2</v>
      </c>
    </row>
    <row r="1269" spans="1:30">
      <c r="A1269" s="30">
        <v>3923</v>
      </c>
      <c r="B1269" s="30" t="s">
        <v>695</v>
      </c>
      <c r="C1269" s="30" t="s">
        <v>696</v>
      </c>
      <c r="D1269" s="30" t="s">
        <v>106</v>
      </c>
      <c r="E1269" s="30"/>
      <c r="F1269" s="30" t="s">
        <v>107</v>
      </c>
      <c r="G1269" s="30" t="s">
        <v>106</v>
      </c>
      <c r="H1269" s="30"/>
      <c r="I1269" s="30" t="s">
        <v>191</v>
      </c>
      <c r="J1269" s="30"/>
      <c r="K1269" s="30" t="s">
        <v>648</v>
      </c>
      <c r="L1269" s="30" t="s">
        <v>117</v>
      </c>
      <c r="M1269" s="30" t="s">
        <v>124</v>
      </c>
      <c r="N1269" s="30" t="s">
        <v>110</v>
      </c>
      <c r="O1269" s="30" t="s">
        <v>115</v>
      </c>
      <c r="P1269" s="30" t="s">
        <v>118</v>
      </c>
      <c r="Q1269" s="30" t="s">
        <v>112</v>
      </c>
      <c r="R1269" s="30" t="s">
        <v>189</v>
      </c>
      <c r="S1269" s="81">
        <f>HLOOKUP(L1269,データについて!$J$6:$M$18,13,FALSE)</f>
        <v>2</v>
      </c>
      <c r="T1269" s="81">
        <f>HLOOKUP(M1269,データについて!$J$7:$M$18,12,FALSE)</f>
        <v>3</v>
      </c>
      <c r="U1269" s="81">
        <f>HLOOKUP(N1269,データについて!$J$8:$M$18,11,FALSE)</f>
        <v>2</v>
      </c>
      <c r="V1269" s="81">
        <f>HLOOKUP(O1269,データについて!$J$9:$M$18,10,FALSE)</f>
        <v>1</v>
      </c>
      <c r="W1269" s="81">
        <f>HLOOKUP(P1269,データについて!$J$10:$M$18,9,FALSE)</f>
        <v>2</v>
      </c>
      <c r="X1269" s="81">
        <f>HLOOKUP(Q1269,データについて!$J$11:$M$18,8,FALSE)</f>
        <v>1</v>
      </c>
      <c r="Y1269" s="81">
        <f>HLOOKUP(R1269,データについて!$J$12:$M$18,7,FALSE)</f>
        <v>4</v>
      </c>
      <c r="Z1269" s="81">
        <f>HLOOKUP(I1269,データについて!$J$3:$M$18,16,FALSE)</f>
        <v>2</v>
      </c>
      <c r="AA1269" s="81" t="str">
        <f>IFERROR(HLOOKUP(J1269,データについて!$J$4:$AH$19,16,FALSE),"")</f>
        <v/>
      </c>
      <c r="AB1269" s="81">
        <f>IFERROR(HLOOKUP(K1269,データについて!$J$5:$AH$20,14,FALSE),"")</f>
        <v>0</v>
      </c>
      <c r="AC1269" s="81">
        <f>IF(X1269=1,HLOOKUP(R1269,データについて!$J$12:$M$18,7,FALSE),"*")</f>
        <v>4</v>
      </c>
      <c r="AD1269" s="81" t="str">
        <f>IF(X1269=2,HLOOKUP(R1269,データについて!$J$12:$M$18,7,FALSE),"*")</f>
        <v>*</v>
      </c>
    </row>
    <row r="1270" spans="1:30">
      <c r="A1270" s="30">
        <v>3922</v>
      </c>
      <c r="B1270" s="30" t="s">
        <v>697</v>
      </c>
      <c r="C1270" s="30" t="s">
        <v>698</v>
      </c>
      <c r="D1270" s="30" t="s">
        <v>106</v>
      </c>
      <c r="E1270" s="30"/>
      <c r="F1270" s="30" t="s">
        <v>107</v>
      </c>
      <c r="G1270" s="30" t="s">
        <v>106</v>
      </c>
      <c r="H1270" s="30"/>
      <c r="I1270" s="30" t="s">
        <v>191</v>
      </c>
      <c r="J1270" s="30"/>
      <c r="K1270" s="30" t="s">
        <v>616</v>
      </c>
      <c r="L1270" s="30" t="s">
        <v>117</v>
      </c>
      <c r="M1270" s="30" t="s">
        <v>113</v>
      </c>
      <c r="N1270" s="30" t="s">
        <v>114</v>
      </c>
      <c r="O1270" s="30" t="s">
        <v>115</v>
      </c>
      <c r="P1270" s="30" t="s">
        <v>112</v>
      </c>
      <c r="Q1270" s="30" t="s">
        <v>112</v>
      </c>
      <c r="R1270" s="30" t="s">
        <v>187</v>
      </c>
      <c r="S1270" s="81">
        <f>HLOOKUP(L1270,データについて!$J$6:$M$18,13,FALSE)</f>
        <v>2</v>
      </c>
      <c r="T1270" s="81">
        <f>HLOOKUP(M1270,データについて!$J$7:$M$18,12,FALSE)</f>
        <v>1</v>
      </c>
      <c r="U1270" s="81">
        <f>HLOOKUP(N1270,データについて!$J$8:$M$18,11,FALSE)</f>
        <v>1</v>
      </c>
      <c r="V1270" s="81">
        <f>HLOOKUP(O1270,データについて!$J$9:$M$18,10,FALSE)</f>
        <v>1</v>
      </c>
      <c r="W1270" s="81">
        <f>HLOOKUP(P1270,データについて!$J$10:$M$18,9,FALSE)</f>
        <v>1</v>
      </c>
      <c r="X1270" s="81">
        <f>HLOOKUP(Q1270,データについて!$J$11:$M$18,8,FALSE)</f>
        <v>1</v>
      </c>
      <c r="Y1270" s="81">
        <f>HLOOKUP(R1270,データについて!$J$12:$M$18,7,FALSE)</f>
        <v>3</v>
      </c>
      <c r="Z1270" s="81">
        <f>HLOOKUP(I1270,データについて!$J$3:$M$18,16,FALSE)</f>
        <v>2</v>
      </c>
      <c r="AA1270" s="81" t="str">
        <f>IFERROR(HLOOKUP(J1270,データについて!$J$4:$AH$19,16,FALSE),"")</f>
        <v/>
      </c>
      <c r="AB1270" s="81">
        <f>IFERROR(HLOOKUP(K1270,データについて!$J$5:$AH$20,14,FALSE),"")</f>
        <v>0</v>
      </c>
      <c r="AC1270" s="81">
        <f>IF(X1270=1,HLOOKUP(R1270,データについて!$J$12:$M$18,7,FALSE),"*")</f>
        <v>3</v>
      </c>
      <c r="AD1270" s="81" t="str">
        <f>IF(X1270=2,HLOOKUP(R1270,データについて!$J$12:$M$18,7,FALSE),"*")</f>
        <v>*</v>
      </c>
    </row>
    <row r="1271" spans="1:30">
      <c r="A1271" s="30">
        <v>3921</v>
      </c>
      <c r="B1271" s="30" t="s">
        <v>699</v>
      </c>
      <c r="C1271" s="30" t="s">
        <v>700</v>
      </c>
      <c r="D1271" s="30" t="s">
        <v>106</v>
      </c>
      <c r="E1271" s="30"/>
      <c r="F1271" s="30" t="s">
        <v>107</v>
      </c>
      <c r="G1271" s="30" t="s">
        <v>106</v>
      </c>
      <c r="H1271" s="30"/>
      <c r="I1271" s="30" t="s">
        <v>191</v>
      </c>
      <c r="J1271" s="30"/>
      <c r="K1271" s="30" t="s">
        <v>648</v>
      </c>
      <c r="L1271" s="30" t="s">
        <v>117</v>
      </c>
      <c r="M1271" s="30" t="s">
        <v>113</v>
      </c>
      <c r="N1271" s="30" t="s">
        <v>114</v>
      </c>
      <c r="O1271" s="30" t="s">
        <v>115</v>
      </c>
      <c r="P1271" s="30" t="s">
        <v>112</v>
      </c>
      <c r="Q1271" s="30" t="s">
        <v>112</v>
      </c>
      <c r="R1271" s="30" t="s">
        <v>183</v>
      </c>
      <c r="S1271" s="81">
        <f>HLOOKUP(L1271,データについて!$J$6:$M$18,13,FALSE)</f>
        <v>2</v>
      </c>
      <c r="T1271" s="81">
        <f>HLOOKUP(M1271,データについて!$J$7:$M$18,12,FALSE)</f>
        <v>1</v>
      </c>
      <c r="U1271" s="81">
        <f>HLOOKUP(N1271,データについて!$J$8:$M$18,11,FALSE)</f>
        <v>1</v>
      </c>
      <c r="V1271" s="81">
        <f>HLOOKUP(O1271,データについて!$J$9:$M$18,10,FALSE)</f>
        <v>1</v>
      </c>
      <c r="W1271" s="81">
        <f>HLOOKUP(P1271,データについて!$J$10:$M$18,9,FALSE)</f>
        <v>1</v>
      </c>
      <c r="X1271" s="81">
        <f>HLOOKUP(Q1271,データについて!$J$11:$M$18,8,FALSE)</f>
        <v>1</v>
      </c>
      <c r="Y1271" s="81">
        <f>HLOOKUP(R1271,データについて!$J$12:$M$18,7,FALSE)</f>
        <v>1</v>
      </c>
      <c r="Z1271" s="81">
        <f>HLOOKUP(I1271,データについて!$J$3:$M$18,16,FALSE)</f>
        <v>2</v>
      </c>
      <c r="AA1271" s="81" t="str">
        <f>IFERROR(HLOOKUP(J1271,データについて!$J$4:$AH$19,16,FALSE),"")</f>
        <v/>
      </c>
      <c r="AB1271" s="81">
        <f>IFERROR(HLOOKUP(K1271,データについて!$J$5:$AH$20,14,FALSE),"")</f>
        <v>0</v>
      </c>
      <c r="AC1271" s="81">
        <f>IF(X1271=1,HLOOKUP(R1271,データについて!$J$12:$M$18,7,FALSE),"*")</f>
        <v>1</v>
      </c>
      <c r="AD1271" s="81" t="str">
        <f>IF(X1271=2,HLOOKUP(R1271,データについて!$J$12:$M$18,7,FALSE),"*")</f>
        <v>*</v>
      </c>
    </row>
    <row r="1272" spans="1:30">
      <c r="A1272" s="30">
        <v>3920</v>
      </c>
      <c r="B1272" s="30" t="s">
        <v>701</v>
      </c>
      <c r="C1272" s="30" t="s">
        <v>700</v>
      </c>
      <c r="D1272" s="30" t="s">
        <v>106</v>
      </c>
      <c r="E1272" s="30"/>
      <c r="F1272" s="30" t="s">
        <v>107</v>
      </c>
      <c r="G1272" s="30" t="s">
        <v>106</v>
      </c>
      <c r="H1272" s="30"/>
      <c r="I1272" s="30" t="s">
        <v>191</v>
      </c>
      <c r="J1272" s="30"/>
      <c r="K1272" s="30" t="s">
        <v>648</v>
      </c>
      <c r="L1272" s="30" t="s">
        <v>117</v>
      </c>
      <c r="M1272" s="30" t="s">
        <v>109</v>
      </c>
      <c r="N1272" s="30" t="s">
        <v>110</v>
      </c>
      <c r="O1272" s="30" t="s">
        <v>116</v>
      </c>
      <c r="P1272" s="30" t="s">
        <v>112</v>
      </c>
      <c r="Q1272" s="30" t="s">
        <v>112</v>
      </c>
      <c r="R1272" s="30" t="s">
        <v>189</v>
      </c>
      <c r="S1272" s="81">
        <f>HLOOKUP(L1272,データについて!$J$6:$M$18,13,FALSE)</f>
        <v>2</v>
      </c>
      <c r="T1272" s="81">
        <f>HLOOKUP(M1272,データについて!$J$7:$M$18,12,FALSE)</f>
        <v>2</v>
      </c>
      <c r="U1272" s="81">
        <f>HLOOKUP(N1272,データについて!$J$8:$M$18,11,FALSE)</f>
        <v>2</v>
      </c>
      <c r="V1272" s="81">
        <f>HLOOKUP(O1272,データについて!$J$9:$M$18,10,FALSE)</f>
        <v>2</v>
      </c>
      <c r="W1272" s="81">
        <f>HLOOKUP(P1272,データについて!$J$10:$M$18,9,FALSE)</f>
        <v>1</v>
      </c>
      <c r="X1272" s="81">
        <f>HLOOKUP(Q1272,データについて!$J$11:$M$18,8,FALSE)</f>
        <v>1</v>
      </c>
      <c r="Y1272" s="81">
        <f>HLOOKUP(R1272,データについて!$J$12:$M$18,7,FALSE)</f>
        <v>4</v>
      </c>
      <c r="Z1272" s="81">
        <f>HLOOKUP(I1272,データについて!$J$3:$M$18,16,FALSE)</f>
        <v>2</v>
      </c>
      <c r="AA1272" s="81" t="str">
        <f>IFERROR(HLOOKUP(J1272,データについて!$J$4:$AH$19,16,FALSE),"")</f>
        <v/>
      </c>
      <c r="AB1272" s="81">
        <f>IFERROR(HLOOKUP(K1272,データについて!$J$5:$AH$20,14,FALSE),"")</f>
        <v>0</v>
      </c>
      <c r="AC1272" s="81">
        <f>IF(X1272=1,HLOOKUP(R1272,データについて!$J$12:$M$18,7,FALSE),"*")</f>
        <v>4</v>
      </c>
      <c r="AD1272" s="81" t="str">
        <f>IF(X1272=2,HLOOKUP(R1272,データについて!$J$12:$M$18,7,FALSE),"*")</f>
        <v>*</v>
      </c>
    </row>
    <row r="1273" spans="1:30">
      <c r="A1273" s="30">
        <v>3919</v>
      </c>
      <c r="B1273" s="30" t="s">
        <v>702</v>
      </c>
      <c r="C1273" s="30" t="s">
        <v>703</v>
      </c>
      <c r="D1273" s="30" t="s">
        <v>106</v>
      </c>
      <c r="E1273" s="30"/>
      <c r="F1273" s="30" t="s">
        <v>107</v>
      </c>
      <c r="G1273" s="30" t="s">
        <v>106</v>
      </c>
      <c r="H1273" s="30"/>
      <c r="I1273" s="30" t="s">
        <v>191</v>
      </c>
      <c r="J1273" s="30"/>
      <c r="K1273" s="30" t="s">
        <v>648</v>
      </c>
      <c r="L1273" s="30" t="s">
        <v>108</v>
      </c>
      <c r="M1273" s="30" t="s">
        <v>109</v>
      </c>
      <c r="N1273" s="30" t="s">
        <v>114</v>
      </c>
      <c r="O1273" s="30" t="s">
        <v>115</v>
      </c>
      <c r="P1273" s="30" t="s">
        <v>118</v>
      </c>
      <c r="Q1273" s="30" t="s">
        <v>112</v>
      </c>
      <c r="R1273" s="30" t="s">
        <v>185</v>
      </c>
      <c r="S1273" s="81">
        <f>HLOOKUP(L1273,データについて!$J$6:$M$18,13,FALSE)</f>
        <v>1</v>
      </c>
      <c r="T1273" s="81">
        <f>HLOOKUP(M1273,データについて!$J$7:$M$18,12,FALSE)</f>
        <v>2</v>
      </c>
      <c r="U1273" s="81">
        <f>HLOOKUP(N1273,データについて!$J$8:$M$18,11,FALSE)</f>
        <v>1</v>
      </c>
      <c r="V1273" s="81">
        <f>HLOOKUP(O1273,データについて!$J$9:$M$18,10,FALSE)</f>
        <v>1</v>
      </c>
      <c r="W1273" s="81">
        <f>HLOOKUP(P1273,データについて!$J$10:$M$18,9,FALSE)</f>
        <v>2</v>
      </c>
      <c r="X1273" s="81">
        <f>HLOOKUP(Q1273,データについて!$J$11:$M$18,8,FALSE)</f>
        <v>1</v>
      </c>
      <c r="Y1273" s="81">
        <f>HLOOKUP(R1273,データについて!$J$12:$M$18,7,FALSE)</f>
        <v>2</v>
      </c>
      <c r="Z1273" s="81">
        <f>HLOOKUP(I1273,データについて!$J$3:$M$18,16,FALSE)</f>
        <v>2</v>
      </c>
      <c r="AA1273" s="81" t="str">
        <f>IFERROR(HLOOKUP(J1273,データについて!$J$4:$AH$19,16,FALSE),"")</f>
        <v/>
      </c>
      <c r="AB1273" s="81">
        <f>IFERROR(HLOOKUP(K1273,データについて!$J$5:$AH$20,14,FALSE),"")</f>
        <v>0</v>
      </c>
      <c r="AC1273" s="81">
        <f>IF(X1273=1,HLOOKUP(R1273,データについて!$J$12:$M$18,7,FALSE),"*")</f>
        <v>2</v>
      </c>
      <c r="AD1273" s="81" t="str">
        <f>IF(X1273=2,HLOOKUP(R1273,データについて!$J$12:$M$18,7,FALSE),"*")</f>
        <v>*</v>
      </c>
    </row>
    <row r="1274" spans="1:30">
      <c r="A1274" s="30">
        <v>3918</v>
      </c>
      <c r="B1274" s="30" t="s">
        <v>704</v>
      </c>
      <c r="C1274" s="30" t="s">
        <v>705</v>
      </c>
      <c r="D1274" s="30" t="s">
        <v>106</v>
      </c>
      <c r="E1274" s="30"/>
      <c r="F1274" s="30" t="s">
        <v>107</v>
      </c>
      <c r="G1274" s="30" t="s">
        <v>106</v>
      </c>
      <c r="H1274" s="30"/>
      <c r="I1274" s="30" t="s">
        <v>191</v>
      </c>
      <c r="J1274" s="30"/>
      <c r="K1274" s="30" t="s">
        <v>648</v>
      </c>
      <c r="L1274" s="30" t="s">
        <v>117</v>
      </c>
      <c r="M1274" s="30" t="s">
        <v>124</v>
      </c>
      <c r="N1274" s="30" t="s">
        <v>122</v>
      </c>
      <c r="O1274" s="30" t="s">
        <v>115</v>
      </c>
      <c r="P1274" s="30" t="s">
        <v>112</v>
      </c>
      <c r="Q1274" s="30" t="s">
        <v>112</v>
      </c>
      <c r="R1274" s="30" t="s">
        <v>187</v>
      </c>
      <c r="S1274" s="81">
        <f>HLOOKUP(L1274,データについて!$J$6:$M$18,13,FALSE)</f>
        <v>2</v>
      </c>
      <c r="T1274" s="81">
        <f>HLOOKUP(M1274,データについて!$J$7:$M$18,12,FALSE)</f>
        <v>3</v>
      </c>
      <c r="U1274" s="81">
        <f>HLOOKUP(N1274,データについて!$J$8:$M$18,11,FALSE)</f>
        <v>3</v>
      </c>
      <c r="V1274" s="81">
        <f>HLOOKUP(O1274,データについて!$J$9:$M$18,10,FALSE)</f>
        <v>1</v>
      </c>
      <c r="W1274" s="81">
        <f>HLOOKUP(P1274,データについて!$J$10:$M$18,9,FALSE)</f>
        <v>1</v>
      </c>
      <c r="X1274" s="81">
        <f>HLOOKUP(Q1274,データについて!$J$11:$M$18,8,FALSE)</f>
        <v>1</v>
      </c>
      <c r="Y1274" s="81">
        <f>HLOOKUP(R1274,データについて!$J$12:$M$18,7,FALSE)</f>
        <v>3</v>
      </c>
      <c r="Z1274" s="81">
        <f>HLOOKUP(I1274,データについて!$J$3:$M$18,16,FALSE)</f>
        <v>2</v>
      </c>
      <c r="AA1274" s="81" t="str">
        <f>IFERROR(HLOOKUP(J1274,データについて!$J$4:$AH$19,16,FALSE),"")</f>
        <v/>
      </c>
      <c r="AB1274" s="81">
        <f>IFERROR(HLOOKUP(K1274,データについて!$J$5:$AH$20,14,FALSE),"")</f>
        <v>0</v>
      </c>
      <c r="AC1274" s="81">
        <f>IF(X1274=1,HLOOKUP(R1274,データについて!$J$12:$M$18,7,FALSE),"*")</f>
        <v>3</v>
      </c>
      <c r="AD1274" s="81" t="str">
        <f>IF(X1274=2,HLOOKUP(R1274,データについて!$J$12:$M$18,7,FALSE),"*")</f>
        <v>*</v>
      </c>
    </row>
    <row r="1275" spans="1:30">
      <c r="A1275" s="30">
        <v>3917</v>
      </c>
      <c r="B1275" s="30" t="s">
        <v>706</v>
      </c>
      <c r="C1275" s="30" t="s">
        <v>707</v>
      </c>
      <c r="D1275" s="30" t="s">
        <v>106</v>
      </c>
      <c r="E1275" s="30"/>
      <c r="F1275" s="30" t="s">
        <v>107</v>
      </c>
      <c r="G1275" s="30" t="s">
        <v>106</v>
      </c>
      <c r="H1275" s="30"/>
      <c r="I1275" s="30" t="s">
        <v>191</v>
      </c>
      <c r="J1275" s="30"/>
      <c r="K1275" s="30" t="s">
        <v>648</v>
      </c>
      <c r="L1275" s="30" t="s">
        <v>108</v>
      </c>
      <c r="M1275" s="30" t="s">
        <v>109</v>
      </c>
      <c r="N1275" s="30" t="s">
        <v>122</v>
      </c>
      <c r="O1275" s="30" t="s">
        <v>115</v>
      </c>
      <c r="P1275" s="30" t="s">
        <v>118</v>
      </c>
      <c r="Q1275" s="30" t="s">
        <v>112</v>
      </c>
      <c r="R1275" s="30" t="s">
        <v>187</v>
      </c>
      <c r="S1275" s="81">
        <f>HLOOKUP(L1275,データについて!$J$6:$M$18,13,FALSE)</f>
        <v>1</v>
      </c>
      <c r="T1275" s="81">
        <f>HLOOKUP(M1275,データについて!$J$7:$M$18,12,FALSE)</f>
        <v>2</v>
      </c>
      <c r="U1275" s="81">
        <f>HLOOKUP(N1275,データについて!$J$8:$M$18,11,FALSE)</f>
        <v>3</v>
      </c>
      <c r="V1275" s="81">
        <f>HLOOKUP(O1275,データについて!$J$9:$M$18,10,FALSE)</f>
        <v>1</v>
      </c>
      <c r="W1275" s="81">
        <f>HLOOKUP(P1275,データについて!$J$10:$M$18,9,FALSE)</f>
        <v>2</v>
      </c>
      <c r="X1275" s="81">
        <f>HLOOKUP(Q1275,データについて!$J$11:$M$18,8,FALSE)</f>
        <v>1</v>
      </c>
      <c r="Y1275" s="81">
        <f>HLOOKUP(R1275,データについて!$J$12:$M$18,7,FALSE)</f>
        <v>3</v>
      </c>
      <c r="Z1275" s="81">
        <f>HLOOKUP(I1275,データについて!$J$3:$M$18,16,FALSE)</f>
        <v>2</v>
      </c>
      <c r="AA1275" s="81" t="str">
        <f>IFERROR(HLOOKUP(J1275,データについて!$J$4:$AH$19,16,FALSE),"")</f>
        <v/>
      </c>
      <c r="AB1275" s="81">
        <f>IFERROR(HLOOKUP(K1275,データについて!$J$5:$AH$20,14,FALSE),"")</f>
        <v>0</v>
      </c>
      <c r="AC1275" s="81">
        <f>IF(X1275=1,HLOOKUP(R1275,データについて!$J$12:$M$18,7,FALSE),"*")</f>
        <v>3</v>
      </c>
      <c r="AD1275" s="81" t="str">
        <f>IF(X1275=2,HLOOKUP(R1275,データについて!$J$12:$M$18,7,FALSE),"*")</f>
        <v>*</v>
      </c>
    </row>
    <row r="1276" spans="1:30">
      <c r="A1276" s="30">
        <v>3916</v>
      </c>
      <c r="B1276" s="30" t="s">
        <v>708</v>
      </c>
      <c r="C1276" s="30" t="s">
        <v>709</v>
      </c>
      <c r="D1276" s="30" t="s">
        <v>106</v>
      </c>
      <c r="E1276" s="30"/>
      <c r="F1276" s="30" t="s">
        <v>107</v>
      </c>
      <c r="G1276" s="30" t="s">
        <v>106</v>
      </c>
      <c r="H1276" s="30"/>
      <c r="I1276" s="30" t="s">
        <v>191</v>
      </c>
      <c r="J1276" s="30"/>
      <c r="K1276" s="30" t="s">
        <v>648</v>
      </c>
      <c r="L1276" s="30" t="s">
        <v>117</v>
      </c>
      <c r="M1276" s="30" t="s">
        <v>109</v>
      </c>
      <c r="N1276" s="30" t="s">
        <v>114</v>
      </c>
      <c r="O1276" s="30" t="s">
        <v>123</v>
      </c>
      <c r="P1276" s="30" t="s">
        <v>118</v>
      </c>
      <c r="Q1276" s="30" t="s">
        <v>112</v>
      </c>
      <c r="R1276" s="30" t="s">
        <v>185</v>
      </c>
      <c r="S1276" s="81">
        <f>HLOOKUP(L1276,データについて!$J$6:$M$18,13,FALSE)</f>
        <v>2</v>
      </c>
      <c r="T1276" s="81">
        <f>HLOOKUP(M1276,データについて!$J$7:$M$18,12,FALSE)</f>
        <v>2</v>
      </c>
      <c r="U1276" s="81">
        <f>HLOOKUP(N1276,データについて!$J$8:$M$18,11,FALSE)</f>
        <v>1</v>
      </c>
      <c r="V1276" s="81">
        <f>HLOOKUP(O1276,データについて!$J$9:$M$18,10,FALSE)</f>
        <v>4</v>
      </c>
      <c r="W1276" s="81">
        <f>HLOOKUP(P1276,データについて!$J$10:$M$18,9,FALSE)</f>
        <v>2</v>
      </c>
      <c r="X1276" s="81">
        <f>HLOOKUP(Q1276,データについて!$J$11:$M$18,8,FALSE)</f>
        <v>1</v>
      </c>
      <c r="Y1276" s="81">
        <f>HLOOKUP(R1276,データについて!$J$12:$M$18,7,FALSE)</f>
        <v>2</v>
      </c>
      <c r="Z1276" s="81">
        <f>HLOOKUP(I1276,データについて!$J$3:$M$18,16,FALSE)</f>
        <v>2</v>
      </c>
      <c r="AA1276" s="81" t="str">
        <f>IFERROR(HLOOKUP(J1276,データについて!$J$4:$AH$19,16,FALSE),"")</f>
        <v/>
      </c>
      <c r="AB1276" s="81">
        <f>IFERROR(HLOOKUP(K1276,データについて!$J$5:$AH$20,14,FALSE),"")</f>
        <v>0</v>
      </c>
      <c r="AC1276" s="81">
        <f>IF(X1276=1,HLOOKUP(R1276,データについて!$J$12:$M$18,7,FALSE),"*")</f>
        <v>2</v>
      </c>
      <c r="AD1276" s="81" t="str">
        <f>IF(X1276=2,HLOOKUP(R1276,データについて!$J$12:$M$18,7,FALSE),"*")</f>
        <v>*</v>
      </c>
    </row>
    <row r="1277" spans="1:30">
      <c r="A1277" s="30">
        <v>3915</v>
      </c>
      <c r="B1277" s="30" t="s">
        <v>710</v>
      </c>
      <c r="C1277" s="30" t="s">
        <v>711</v>
      </c>
      <c r="D1277" s="30" t="s">
        <v>106</v>
      </c>
      <c r="E1277" s="30"/>
      <c r="F1277" s="30" t="s">
        <v>107</v>
      </c>
      <c r="G1277" s="30" t="s">
        <v>106</v>
      </c>
      <c r="H1277" s="30"/>
      <c r="I1277" s="30" t="s">
        <v>191</v>
      </c>
      <c r="J1277" s="30"/>
      <c r="K1277" s="30" t="s">
        <v>616</v>
      </c>
      <c r="L1277" s="30" t="s">
        <v>117</v>
      </c>
      <c r="M1277" s="30" t="s">
        <v>109</v>
      </c>
      <c r="N1277" s="30" t="s">
        <v>110</v>
      </c>
      <c r="O1277" s="30" t="s">
        <v>115</v>
      </c>
      <c r="P1277" s="30" t="s">
        <v>118</v>
      </c>
      <c r="Q1277" s="30" t="s">
        <v>112</v>
      </c>
      <c r="R1277" s="30" t="s">
        <v>187</v>
      </c>
      <c r="S1277" s="81">
        <f>HLOOKUP(L1277,データについて!$J$6:$M$18,13,FALSE)</f>
        <v>2</v>
      </c>
      <c r="T1277" s="81">
        <f>HLOOKUP(M1277,データについて!$J$7:$M$18,12,FALSE)</f>
        <v>2</v>
      </c>
      <c r="U1277" s="81">
        <f>HLOOKUP(N1277,データについて!$J$8:$M$18,11,FALSE)</f>
        <v>2</v>
      </c>
      <c r="V1277" s="81">
        <f>HLOOKUP(O1277,データについて!$J$9:$M$18,10,FALSE)</f>
        <v>1</v>
      </c>
      <c r="W1277" s="81">
        <f>HLOOKUP(P1277,データについて!$J$10:$M$18,9,FALSE)</f>
        <v>2</v>
      </c>
      <c r="X1277" s="81">
        <f>HLOOKUP(Q1277,データについて!$J$11:$M$18,8,FALSE)</f>
        <v>1</v>
      </c>
      <c r="Y1277" s="81">
        <f>HLOOKUP(R1277,データについて!$J$12:$M$18,7,FALSE)</f>
        <v>3</v>
      </c>
      <c r="Z1277" s="81">
        <f>HLOOKUP(I1277,データについて!$J$3:$M$18,16,FALSE)</f>
        <v>2</v>
      </c>
      <c r="AA1277" s="81" t="str">
        <f>IFERROR(HLOOKUP(J1277,データについて!$J$4:$AH$19,16,FALSE),"")</f>
        <v/>
      </c>
      <c r="AB1277" s="81">
        <f>IFERROR(HLOOKUP(K1277,データについて!$J$5:$AH$20,14,FALSE),"")</f>
        <v>0</v>
      </c>
      <c r="AC1277" s="81">
        <f>IF(X1277=1,HLOOKUP(R1277,データについて!$J$12:$M$18,7,FALSE),"*")</f>
        <v>3</v>
      </c>
      <c r="AD1277" s="81" t="str">
        <f>IF(X1277=2,HLOOKUP(R1277,データについて!$J$12:$M$18,7,FALSE),"*")</f>
        <v>*</v>
      </c>
    </row>
    <row r="1278" spans="1:30">
      <c r="A1278" s="30">
        <v>3914</v>
      </c>
      <c r="B1278" s="30" t="s">
        <v>712</v>
      </c>
      <c r="C1278" s="30" t="s">
        <v>713</v>
      </c>
      <c r="D1278" s="30" t="s">
        <v>106</v>
      </c>
      <c r="E1278" s="30"/>
      <c r="F1278" s="30" t="s">
        <v>107</v>
      </c>
      <c r="G1278" s="30" t="s">
        <v>106</v>
      </c>
      <c r="H1278" s="30"/>
      <c r="I1278" s="30" t="s">
        <v>191</v>
      </c>
      <c r="J1278" s="30"/>
      <c r="K1278" s="30" t="s">
        <v>648</v>
      </c>
      <c r="L1278" s="30" t="s">
        <v>108</v>
      </c>
      <c r="M1278" s="30" t="s">
        <v>109</v>
      </c>
      <c r="N1278" s="30" t="s">
        <v>110</v>
      </c>
      <c r="O1278" s="30" t="s">
        <v>115</v>
      </c>
      <c r="P1278" s="30" t="s">
        <v>112</v>
      </c>
      <c r="Q1278" s="30" t="s">
        <v>112</v>
      </c>
      <c r="R1278" s="30" t="s">
        <v>185</v>
      </c>
      <c r="S1278" s="81">
        <f>HLOOKUP(L1278,データについて!$J$6:$M$18,13,FALSE)</f>
        <v>1</v>
      </c>
      <c r="T1278" s="81">
        <f>HLOOKUP(M1278,データについて!$J$7:$M$18,12,FALSE)</f>
        <v>2</v>
      </c>
      <c r="U1278" s="81">
        <f>HLOOKUP(N1278,データについて!$J$8:$M$18,11,FALSE)</f>
        <v>2</v>
      </c>
      <c r="V1278" s="81">
        <f>HLOOKUP(O1278,データについて!$J$9:$M$18,10,FALSE)</f>
        <v>1</v>
      </c>
      <c r="W1278" s="81">
        <f>HLOOKUP(P1278,データについて!$J$10:$M$18,9,FALSE)</f>
        <v>1</v>
      </c>
      <c r="X1278" s="81">
        <f>HLOOKUP(Q1278,データについて!$J$11:$M$18,8,FALSE)</f>
        <v>1</v>
      </c>
      <c r="Y1278" s="81">
        <f>HLOOKUP(R1278,データについて!$J$12:$M$18,7,FALSE)</f>
        <v>2</v>
      </c>
      <c r="Z1278" s="81">
        <f>HLOOKUP(I1278,データについて!$J$3:$M$18,16,FALSE)</f>
        <v>2</v>
      </c>
      <c r="AA1278" s="81" t="str">
        <f>IFERROR(HLOOKUP(J1278,データについて!$J$4:$AH$19,16,FALSE),"")</f>
        <v/>
      </c>
      <c r="AB1278" s="81">
        <f>IFERROR(HLOOKUP(K1278,データについて!$J$5:$AH$20,14,FALSE),"")</f>
        <v>0</v>
      </c>
      <c r="AC1278" s="81">
        <f>IF(X1278=1,HLOOKUP(R1278,データについて!$J$12:$M$18,7,FALSE),"*")</f>
        <v>2</v>
      </c>
      <c r="AD1278" s="81" t="str">
        <f>IF(X1278=2,HLOOKUP(R1278,データについて!$J$12:$M$18,7,FALSE),"*")</f>
        <v>*</v>
      </c>
    </row>
    <row r="1279" spans="1:30">
      <c r="A1279" s="30">
        <v>3913</v>
      </c>
      <c r="B1279" s="30" t="s">
        <v>714</v>
      </c>
      <c r="C1279" s="30" t="s">
        <v>715</v>
      </c>
      <c r="D1279" s="30" t="s">
        <v>106</v>
      </c>
      <c r="E1279" s="30"/>
      <c r="F1279" s="30" t="s">
        <v>107</v>
      </c>
      <c r="G1279" s="30" t="s">
        <v>106</v>
      </c>
      <c r="H1279" s="30"/>
      <c r="I1279" s="30" t="s">
        <v>191</v>
      </c>
      <c r="J1279" s="30"/>
      <c r="K1279" s="30" t="s">
        <v>616</v>
      </c>
      <c r="L1279" s="30" t="s">
        <v>108</v>
      </c>
      <c r="M1279" s="30" t="s">
        <v>109</v>
      </c>
      <c r="N1279" s="30" t="s">
        <v>110</v>
      </c>
      <c r="O1279" s="30" t="s">
        <v>116</v>
      </c>
      <c r="P1279" s="30" t="s">
        <v>112</v>
      </c>
      <c r="Q1279" s="30" t="s">
        <v>118</v>
      </c>
      <c r="R1279" s="30" t="s">
        <v>185</v>
      </c>
      <c r="S1279" s="81">
        <f>HLOOKUP(L1279,データについて!$J$6:$M$18,13,FALSE)</f>
        <v>1</v>
      </c>
      <c r="T1279" s="81">
        <f>HLOOKUP(M1279,データについて!$J$7:$M$18,12,FALSE)</f>
        <v>2</v>
      </c>
      <c r="U1279" s="81">
        <f>HLOOKUP(N1279,データについて!$J$8:$M$18,11,FALSE)</f>
        <v>2</v>
      </c>
      <c r="V1279" s="81">
        <f>HLOOKUP(O1279,データについて!$J$9:$M$18,10,FALSE)</f>
        <v>2</v>
      </c>
      <c r="W1279" s="81">
        <f>HLOOKUP(P1279,データについて!$J$10:$M$18,9,FALSE)</f>
        <v>1</v>
      </c>
      <c r="X1279" s="81">
        <f>HLOOKUP(Q1279,データについて!$J$11:$M$18,8,FALSE)</f>
        <v>2</v>
      </c>
      <c r="Y1279" s="81">
        <f>HLOOKUP(R1279,データについて!$J$12:$M$18,7,FALSE)</f>
        <v>2</v>
      </c>
      <c r="Z1279" s="81">
        <f>HLOOKUP(I1279,データについて!$J$3:$M$18,16,FALSE)</f>
        <v>2</v>
      </c>
      <c r="AA1279" s="81" t="str">
        <f>IFERROR(HLOOKUP(J1279,データについて!$J$4:$AH$19,16,FALSE),"")</f>
        <v/>
      </c>
      <c r="AB1279" s="81">
        <f>IFERROR(HLOOKUP(K1279,データについて!$J$5:$AH$20,14,FALSE),"")</f>
        <v>0</v>
      </c>
      <c r="AC1279" s="81" t="str">
        <f>IF(X1279=1,HLOOKUP(R1279,データについて!$J$12:$M$18,7,FALSE),"*")</f>
        <v>*</v>
      </c>
      <c r="AD1279" s="81">
        <f>IF(X1279=2,HLOOKUP(R1279,データについて!$J$12:$M$18,7,FALSE),"*")</f>
        <v>2</v>
      </c>
    </row>
    <row r="1280" spans="1:30">
      <c r="A1280" s="30">
        <v>3912</v>
      </c>
      <c r="B1280" s="30" t="s">
        <v>716</v>
      </c>
      <c r="C1280" s="30" t="s">
        <v>717</v>
      </c>
      <c r="D1280" s="30" t="s">
        <v>106</v>
      </c>
      <c r="E1280" s="30"/>
      <c r="F1280" s="30" t="s">
        <v>107</v>
      </c>
      <c r="G1280" s="30" t="s">
        <v>106</v>
      </c>
      <c r="H1280" s="30"/>
      <c r="I1280" s="30" t="s">
        <v>191</v>
      </c>
      <c r="J1280" s="30"/>
      <c r="K1280" s="30" t="s">
        <v>616</v>
      </c>
      <c r="L1280" s="30" t="s">
        <v>108</v>
      </c>
      <c r="M1280" s="30" t="s">
        <v>113</v>
      </c>
      <c r="N1280" s="30" t="s">
        <v>114</v>
      </c>
      <c r="O1280" s="30" t="s">
        <v>115</v>
      </c>
      <c r="P1280" s="30" t="s">
        <v>112</v>
      </c>
      <c r="Q1280" s="30" t="s">
        <v>112</v>
      </c>
      <c r="R1280" s="30" t="s">
        <v>185</v>
      </c>
      <c r="S1280" s="81">
        <f>HLOOKUP(L1280,データについて!$J$6:$M$18,13,FALSE)</f>
        <v>1</v>
      </c>
      <c r="T1280" s="81">
        <f>HLOOKUP(M1280,データについて!$J$7:$M$18,12,FALSE)</f>
        <v>1</v>
      </c>
      <c r="U1280" s="81">
        <f>HLOOKUP(N1280,データについて!$J$8:$M$18,11,FALSE)</f>
        <v>1</v>
      </c>
      <c r="V1280" s="81">
        <f>HLOOKUP(O1280,データについて!$J$9:$M$18,10,FALSE)</f>
        <v>1</v>
      </c>
      <c r="W1280" s="81">
        <f>HLOOKUP(P1280,データについて!$J$10:$M$18,9,FALSE)</f>
        <v>1</v>
      </c>
      <c r="X1280" s="81">
        <f>HLOOKUP(Q1280,データについて!$J$11:$M$18,8,FALSE)</f>
        <v>1</v>
      </c>
      <c r="Y1280" s="81">
        <f>HLOOKUP(R1280,データについて!$J$12:$M$18,7,FALSE)</f>
        <v>2</v>
      </c>
      <c r="Z1280" s="81">
        <f>HLOOKUP(I1280,データについて!$J$3:$M$18,16,FALSE)</f>
        <v>2</v>
      </c>
      <c r="AA1280" s="81" t="str">
        <f>IFERROR(HLOOKUP(J1280,データについて!$J$4:$AH$19,16,FALSE),"")</f>
        <v/>
      </c>
      <c r="AB1280" s="81">
        <f>IFERROR(HLOOKUP(K1280,データについて!$J$5:$AH$20,14,FALSE),"")</f>
        <v>0</v>
      </c>
      <c r="AC1280" s="81">
        <f>IF(X1280=1,HLOOKUP(R1280,データについて!$J$12:$M$18,7,FALSE),"*")</f>
        <v>2</v>
      </c>
      <c r="AD1280" s="81" t="str">
        <f>IF(X1280=2,HLOOKUP(R1280,データについて!$J$12:$M$18,7,FALSE),"*")</f>
        <v>*</v>
      </c>
    </row>
    <row r="1281" spans="1:30">
      <c r="A1281" s="30">
        <v>3911</v>
      </c>
      <c r="B1281" s="30" t="s">
        <v>718</v>
      </c>
      <c r="C1281" s="30" t="s">
        <v>719</v>
      </c>
      <c r="D1281" s="30" t="s">
        <v>106</v>
      </c>
      <c r="E1281" s="30"/>
      <c r="F1281" s="30" t="s">
        <v>107</v>
      </c>
      <c r="G1281" s="30" t="s">
        <v>106</v>
      </c>
      <c r="H1281" s="30"/>
      <c r="I1281" s="30" t="s">
        <v>191</v>
      </c>
      <c r="J1281" s="30"/>
      <c r="K1281" s="30" t="s">
        <v>648</v>
      </c>
      <c r="L1281" s="30" t="s">
        <v>108</v>
      </c>
      <c r="M1281" s="30" t="s">
        <v>124</v>
      </c>
      <c r="N1281" s="30" t="s">
        <v>110</v>
      </c>
      <c r="O1281" s="30" t="s">
        <v>115</v>
      </c>
      <c r="P1281" s="30" t="s">
        <v>118</v>
      </c>
      <c r="Q1281" s="30" t="s">
        <v>118</v>
      </c>
      <c r="R1281" s="30" t="s">
        <v>189</v>
      </c>
      <c r="S1281" s="81">
        <f>HLOOKUP(L1281,データについて!$J$6:$M$18,13,FALSE)</f>
        <v>1</v>
      </c>
      <c r="T1281" s="81">
        <f>HLOOKUP(M1281,データについて!$J$7:$M$18,12,FALSE)</f>
        <v>3</v>
      </c>
      <c r="U1281" s="81">
        <f>HLOOKUP(N1281,データについて!$J$8:$M$18,11,FALSE)</f>
        <v>2</v>
      </c>
      <c r="V1281" s="81">
        <f>HLOOKUP(O1281,データについて!$J$9:$M$18,10,FALSE)</f>
        <v>1</v>
      </c>
      <c r="W1281" s="81">
        <f>HLOOKUP(P1281,データについて!$J$10:$M$18,9,FALSE)</f>
        <v>2</v>
      </c>
      <c r="X1281" s="81">
        <f>HLOOKUP(Q1281,データについて!$J$11:$M$18,8,FALSE)</f>
        <v>2</v>
      </c>
      <c r="Y1281" s="81">
        <f>HLOOKUP(R1281,データについて!$J$12:$M$18,7,FALSE)</f>
        <v>4</v>
      </c>
      <c r="Z1281" s="81">
        <f>HLOOKUP(I1281,データについて!$J$3:$M$18,16,FALSE)</f>
        <v>2</v>
      </c>
      <c r="AA1281" s="81" t="str">
        <f>IFERROR(HLOOKUP(J1281,データについて!$J$4:$AH$19,16,FALSE),"")</f>
        <v/>
      </c>
      <c r="AB1281" s="81">
        <f>IFERROR(HLOOKUP(K1281,データについて!$J$5:$AH$20,14,FALSE),"")</f>
        <v>0</v>
      </c>
      <c r="AC1281" s="81" t="str">
        <f>IF(X1281=1,HLOOKUP(R1281,データについて!$J$12:$M$18,7,FALSE),"*")</f>
        <v>*</v>
      </c>
      <c r="AD1281" s="81">
        <f>IF(X1281=2,HLOOKUP(R1281,データについて!$J$12:$M$18,7,FALSE),"*")</f>
        <v>4</v>
      </c>
    </row>
    <row r="1282" spans="1:30">
      <c r="A1282" s="30">
        <v>3910</v>
      </c>
      <c r="B1282" s="30" t="s">
        <v>720</v>
      </c>
      <c r="C1282" s="30" t="s">
        <v>721</v>
      </c>
      <c r="D1282" s="30" t="s">
        <v>106</v>
      </c>
      <c r="E1282" s="30"/>
      <c r="F1282" s="30" t="s">
        <v>107</v>
      </c>
      <c r="G1282" s="30" t="s">
        <v>106</v>
      </c>
      <c r="H1282" s="30"/>
      <c r="I1282" s="30" t="s">
        <v>191</v>
      </c>
      <c r="J1282" s="30"/>
      <c r="K1282" s="30" t="s">
        <v>648</v>
      </c>
      <c r="L1282" s="30" t="s">
        <v>108</v>
      </c>
      <c r="M1282" s="30" t="s">
        <v>109</v>
      </c>
      <c r="N1282" s="30" t="s">
        <v>114</v>
      </c>
      <c r="O1282" s="30" t="s">
        <v>115</v>
      </c>
      <c r="P1282" s="30" t="s">
        <v>112</v>
      </c>
      <c r="Q1282" s="30" t="s">
        <v>112</v>
      </c>
      <c r="R1282" s="30" t="s">
        <v>185</v>
      </c>
      <c r="S1282" s="81">
        <f>HLOOKUP(L1282,データについて!$J$6:$M$18,13,FALSE)</f>
        <v>1</v>
      </c>
      <c r="T1282" s="81">
        <f>HLOOKUP(M1282,データについて!$J$7:$M$18,12,FALSE)</f>
        <v>2</v>
      </c>
      <c r="U1282" s="81">
        <f>HLOOKUP(N1282,データについて!$J$8:$M$18,11,FALSE)</f>
        <v>1</v>
      </c>
      <c r="V1282" s="81">
        <f>HLOOKUP(O1282,データについて!$J$9:$M$18,10,FALSE)</f>
        <v>1</v>
      </c>
      <c r="W1282" s="81">
        <f>HLOOKUP(P1282,データについて!$J$10:$M$18,9,FALSE)</f>
        <v>1</v>
      </c>
      <c r="X1282" s="81">
        <f>HLOOKUP(Q1282,データについて!$J$11:$M$18,8,FALSE)</f>
        <v>1</v>
      </c>
      <c r="Y1282" s="81">
        <f>HLOOKUP(R1282,データについて!$J$12:$M$18,7,FALSE)</f>
        <v>2</v>
      </c>
      <c r="Z1282" s="81">
        <f>HLOOKUP(I1282,データについて!$J$3:$M$18,16,FALSE)</f>
        <v>2</v>
      </c>
      <c r="AA1282" s="81" t="str">
        <f>IFERROR(HLOOKUP(J1282,データについて!$J$4:$AH$19,16,FALSE),"")</f>
        <v/>
      </c>
      <c r="AB1282" s="81">
        <f>IFERROR(HLOOKUP(K1282,データについて!$J$5:$AH$20,14,FALSE),"")</f>
        <v>0</v>
      </c>
      <c r="AC1282" s="81">
        <f>IF(X1282=1,HLOOKUP(R1282,データについて!$J$12:$M$18,7,FALSE),"*")</f>
        <v>2</v>
      </c>
      <c r="AD1282" s="81" t="str">
        <f>IF(X1282=2,HLOOKUP(R1282,データについて!$J$12:$M$18,7,FALSE),"*")</f>
        <v>*</v>
      </c>
    </row>
    <row r="1283" spans="1:30">
      <c r="A1283" s="30">
        <v>3909</v>
      </c>
      <c r="B1283" s="30" t="s">
        <v>722</v>
      </c>
      <c r="C1283" s="30" t="s">
        <v>723</v>
      </c>
      <c r="D1283" s="30" t="s">
        <v>106</v>
      </c>
      <c r="E1283" s="30"/>
      <c r="F1283" s="30" t="s">
        <v>107</v>
      </c>
      <c r="G1283" s="30" t="s">
        <v>106</v>
      </c>
      <c r="H1283" s="30"/>
      <c r="I1283" s="30" t="s">
        <v>192</v>
      </c>
      <c r="J1283" s="30" t="s">
        <v>619</v>
      </c>
      <c r="K1283" s="30"/>
      <c r="L1283" s="30" t="s">
        <v>117</v>
      </c>
      <c r="M1283" s="30" t="s">
        <v>109</v>
      </c>
      <c r="N1283" s="30" t="s">
        <v>114</v>
      </c>
      <c r="O1283" s="30" t="s">
        <v>115</v>
      </c>
      <c r="P1283" s="30" t="s">
        <v>112</v>
      </c>
      <c r="Q1283" s="30" t="s">
        <v>112</v>
      </c>
      <c r="R1283" s="30" t="s">
        <v>183</v>
      </c>
      <c r="S1283" s="81">
        <f>HLOOKUP(L1283,データについて!$J$6:$M$18,13,FALSE)</f>
        <v>2</v>
      </c>
      <c r="T1283" s="81">
        <f>HLOOKUP(M1283,データについて!$J$7:$M$18,12,FALSE)</f>
        <v>2</v>
      </c>
      <c r="U1283" s="81">
        <f>HLOOKUP(N1283,データについて!$J$8:$M$18,11,FALSE)</f>
        <v>1</v>
      </c>
      <c r="V1283" s="81">
        <f>HLOOKUP(O1283,データについて!$J$9:$M$18,10,FALSE)</f>
        <v>1</v>
      </c>
      <c r="W1283" s="81">
        <f>HLOOKUP(P1283,データについて!$J$10:$M$18,9,FALSE)</f>
        <v>1</v>
      </c>
      <c r="X1283" s="81">
        <f>HLOOKUP(Q1283,データについて!$J$11:$M$18,8,FALSE)</f>
        <v>1</v>
      </c>
      <c r="Y1283" s="81">
        <f>HLOOKUP(R1283,データについて!$J$12:$M$18,7,FALSE)</f>
        <v>1</v>
      </c>
      <c r="Z1283" s="81">
        <f>HLOOKUP(I1283,データについて!$J$3:$M$18,16,FALSE)</f>
        <v>1</v>
      </c>
      <c r="AA1283" s="81">
        <f>IFERROR(HLOOKUP(J1283,データについて!$J$4:$AH$19,16,FALSE),"")</f>
        <v>11</v>
      </c>
      <c r="AB1283" s="81" t="str">
        <f>IFERROR(HLOOKUP(K1283,データについて!$J$5:$AH$20,14,FALSE),"")</f>
        <v/>
      </c>
      <c r="AC1283" s="81">
        <f>IF(X1283=1,HLOOKUP(R1283,データについて!$J$12:$M$18,7,FALSE),"*")</f>
        <v>1</v>
      </c>
      <c r="AD1283" s="81" t="str">
        <f>IF(X1283=2,HLOOKUP(R1283,データについて!$J$12:$M$18,7,FALSE),"*")</f>
        <v>*</v>
      </c>
    </row>
    <row r="1284" spans="1:30">
      <c r="A1284" s="30">
        <v>3908</v>
      </c>
      <c r="B1284" s="30" t="s">
        <v>724</v>
      </c>
      <c r="C1284" s="30" t="s">
        <v>723</v>
      </c>
      <c r="D1284" s="30" t="s">
        <v>106</v>
      </c>
      <c r="E1284" s="30"/>
      <c r="F1284" s="30" t="s">
        <v>107</v>
      </c>
      <c r="G1284" s="30" t="s">
        <v>106</v>
      </c>
      <c r="H1284" s="30"/>
      <c r="I1284" s="30" t="s">
        <v>191</v>
      </c>
      <c r="J1284" s="30"/>
      <c r="K1284" s="30" t="s">
        <v>648</v>
      </c>
      <c r="L1284" s="30" t="s">
        <v>117</v>
      </c>
      <c r="M1284" s="30" t="s">
        <v>109</v>
      </c>
      <c r="N1284" s="30" t="s">
        <v>110</v>
      </c>
      <c r="O1284" s="30" t="s">
        <v>115</v>
      </c>
      <c r="P1284" s="30" t="s">
        <v>112</v>
      </c>
      <c r="Q1284" s="30" t="s">
        <v>112</v>
      </c>
      <c r="R1284" s="30" t="s">
        <v>187</v>
      </c>
      <c r="S1284" s="81">
        <f>HLOOKUP(L1284,データについて!$J$6:$M$18,13,FALSE)</f>
        <v>2</v>
      </c>
      <c r="T1284" s="81">
        <f>HLOOKUP(M1284,データについて!$J$7:$M$18,12,FALSE)</f>
        <v>2</v>
      </c>
      <c r="U1284" s="81">
        <f>HLOOKUP(N1284,データについて!$J$8:$M$18,11,FALSE)</f>
        <v>2</v>
      </c>
      <c r="V1284" s="81">
        <f>HLOOKUP(O1284,データについて!$J$9:$M$18,10,FALSE)</f>
        <v>1</v>
      </c>
      <c r="W1284" s="81">
        <f>HLOOKUP(P1284,データについて!$J$10:$M$18,9,FALSE)</f>
        <v>1</v>
      </c>
      <c r="X1284" s="81">
        <f>HLOOKUP(Q1284,データについて!$J$11:$M$18,8,FALSE)</f>
        <v>1</v>
      </c>
      <c r="Y1284" s="81">
        <f>HLOOKUP(R1284,データについて!$J$12:$M$18,7,FALSE)</f>
        <v>3</v>
      </c>
      <c r="Z1284" s="81">
        <f>HLOOKUP(I1284,データについて!$J$3:$M$18,16,FALSE)</f>
        <v>2</v>
      </c>
      <c r="AA1284" s="81" t="str">
        <f>IFERROR(HLOOKUP(J1284,データについて!$J$4:$AH$19,16,FALSE),"")</f>
        <v/>
      </c>
      <c r="AB1284" s="81">
        <f>IFERROR(HLOOKUP(K1284,データについて!$J$5:$AH$20,14,FALSE),"")</f>
        <v>0</v>
      </c>
      <c r="AC1284" s="81">
        <f>IF(X1284=1,HLOOKUP(R1284,データについて!$J$12:$M$18,7,FALSE),"*")</f>
        <v>3</v>
      </c>
      <c r="AD1284" s="81" t="str">
        <f>IF(X1284=2,HLOOKUP(R1284,データについて!$J$12:$M$18,7,FALSE),"*")</f>
        <v>*</v>
      </c>
    </row>
    <row r="1285" spans="1:30">
      <c r="A1285" s="30">
        <v>3907</v>
      </c>
      <c r="B1285" s="30" t="s">
        <v>725</v>
      </c>
      <c r="C1285" s="30" t="s">
        <v>726</v>
      </c>
      <c r="D1285" s="30" t="s">
        <v>106</v>
      </c>
      <c r="E1285" s="30"/>
      <c r="F1285" s="30" t="s">
        <v>107</v>
      </c>
      <c r="G1285" s="30" t="s">
        <v>106</v>
      </c>
      <c r="H1285" s="30"/>
      <c r="I1285" s="30" t="s">
        <v>191</v>
      </c>
      <c r="J1285" s="30"/>
      <c r="K1285" s="30" t="s">
        <v>648</v>
      </c>
      <c r="L1285" s="30" t="s">
        <v>117</v>
      </c>
      <c r="M1285" s="30" t="s">
        <v>109</v>
      </c>
      <c r="N1285" s="30" t="s">
        <v>110</v>
      </c>
      <c r="O1285" s="30" t="s">
        <v>115</v>
      </c>
      <c r="P1285" s="30" t="s">
        <v>112</v>
      </c>
      <c r="Q1285" s="30" t="s">
        <v>118</v>
      </c>
      <c r="R1285" s="30" t="s">
        <v>187</v>
      </c>
      <c r="S1285" s="81">
        <f>HLOOKUP(L1285,データについて!$J$6:$M$18,13,FALSE)</f>
        <v>2</v>
      </c>
      <c r="T1285" s="81">
        <f>HLOOKUP(M1285,データについて!$J$7:$M$18,12,FALSE)</f>
        <v>2</v>
      </c>
      <c r="U1285" s="81">
        <f>HLOOKUP(N1285,データについて!$J$8:$M$18,11,FALSE)</f>
        <v>2</v>
      </c>
      <c r="V1285" s="81">
        <f>HLOOKUP(O1285,データについて!$J$9:$M$18,10,FALSE)</f>
        <v>1</v>
      </c>
      <c r="W1285" s="81">
        <f>HLOOKUP(P1285,データについて!$J$10:$M$18,9,FALSE)</f>
        <v>1</v>
      </c>
      <c r="X1285" s="81">
        <f>HLOOKUP(Q1285,データについて!$J$11:$M$18,8,FALSE)</f>
        <v>2</v>
      </c>
      <c r="Y1285" s="81">
        <f>HLOOKUP(R1285,データについて!$J$12:$M$18,7,FALSE)</f>
        <v>3</v>
      </c>
      <c r="Z1285" s="81">
        <f>HLOOKUP(I1285,データについて!$J$3:$M$18,16,FALSE)</f>
        <v>2</v>
      </c>
      <c r="AA1285" s="81" t="str">
        <f>IFERROR(HLOOKUP(J1285,データについて!$J$4:$AH$19,16,FALSE),"")</f>
        <v/>
      </c>
      <c r="AB1285" s="81">
        <f>IFERROR(HLOOKUP(K1285,データについて!$J$5:$AH$20,14,FALSE),"")</f>
        <v>0</v>
      </c>
      <c r="AC1285" s="81" t="str">
        <f>IF(X1285=1,HLOOKUP(R1285,データについて!$J$12:$M$18,7,FALSE),"*")</f>
        <v>*</v>
      </c>
      <c r="AD1285" s="81">
        <f>IF(X1285=2,HLOOKUP(R1285,データについて!$J$12:$M$18,7,FALSE),"*")</f>
        <v>3</v>
      </c>
    </row>
    <row r="1286" spans="1:30">
      <c r="A1286" s="30">
        <v>3906</v>
      </c>
      <c r="B1286" s="30" t="s">
        <v>727</v>
      </c>
      <c r="C1286" s="30" t="s">
        <v>726</v>
      </c>
      <c r="D1286" s="30" t="s">
        <v>106</v>
      </c>
      <c r="E1286" s="30"/>
      <c r="F1286" s="30" t="s">
        <v>107</v>
      </c>
      <c r="G1286" s="30" t="s">
        <v>106</v>
      </c>
      <c r="H1286" s="30"/>
      <c r="I1286" s="30" t="s">
        <v>191</v>
      </c>
      <c r="J1286" s="30"/>
      <c r="K1286" s="30" t="s">
        <v>616</v>
      </c>
      <c r="L1286" s="30" t="s">
        <v>108</v>
      </c>
      <c r="M1286" s="30" t="s">
        <v>113</v>
      </c>
      <c r="N1286" s="30" t="s">
        <v>114</v>
      </c>
      <c r="O1286" s="30" t="s">
        <v>115</v>
      </c>
      <c r="P1286" s="30" t="s">
        <v>118</v>
      </c>
      <c r="Q1286" s="30" t="s">
        <v>112</v>
      </c>
      <c r="R1286" s="30" t="s">
        <v>185</v>
      </c>
      <c r="S1286" s="81">
        <f>HLOOKUP(L1286,データについて!$J$6:$M$18,13,FALSE)</f>
        <v>1</v>
      </c>
      <c r="T1286" s="81">
        <f>HLOOKUP(M1286,データについて!$J$7:$M$18,12,FALSE)</f>
        <v>1</v>
      </c>
      <c r="U1286" s="81">
        <f>HLOOKUP(N1286,データについて!$J$8:$M$18,11,FALSE)</f>
        <v>1</v>
      </c>
      <c r="V1286" s="81">
        <f>HLOOKUP(O1286,データについて!$J$9:$M$18,10,FALSE)</f>
        <v>1</v>
      </c>
      <c r="W1286" s="81">
        <f>HLOOKUP(P1286,データについて!$J$10:$M$18,9,FALSE)</f>
        <v>2</v>
      </c>
      <c r="X1286" s="81">
        <f>HLOOKUP(Q1286,データについて!$J$11:$M$18,8,FALSE)</f>
        <v>1</v>
      </c>
      <c r="Y1286" s="81">
        <f>HLOOKUP(R1286,データについて!$J$12:$M$18,7,FALSE)</f>
        <v>2</v>
      </c>
      <c r="Z1286" s="81">
        <f>HLOOKUP(I1286,データについて!$J$3:$M$18,16,FALSE)</f>
        <v>2</v>
      </c>
      <c r="AA1286" s="81" t="str">
        <f>IFERROR(HLOOKUP(J1286,データについて!$J$4:$AH$19,16,FALSE),"")</f>
        <v/>
      </c>
      <c r="AB1286" s="81">
        <f>IFERROR(HLOOKUP(K1286,データについて!$J$5:$AH$20,14,FALSE),"")</f>
        <v>0</v>
      </c>
      <c r="AC1286" s="81">
        <f>IF(X1286=1,HLOOKUP(R1286,データについて!$J$12:$M$18,7,FALSE),"*")</f>
        <v>2</v>
      </c>
      <c r="AD1286" s="81" t="str">
        <f>IF(X1286=2,HLOOKUP(R1286,データについて!$J$12:$M$18,7,FALSE),"*")</f>
        <v>*</v>
      </c>
    </row>
    <row r="1287" spans="1:30">
      <c r="A1287" s="30">
        <v>3905</v>
      </c>
      <c r="B1287" s="30" t="s">
        <v>728</v>
      </c>
      <c r="C1287" s="30" t="s">
        <v>729</v>
      </c>
      <c r="D1287" s="30" t="s">
        <v>106</v>
      </c>
      <c r="E1287" s="30"/>
      <c r="F1287" s="30" t="s">
        <v>107</v>
      </c>
      <c r="G1287" s="30" t="s">
        <v>106</v>
      </c>
      <c r="H1287" s="30"/>
      <c r="I1287" s="30" t="s">
        <v>191</v>
      </c>
      <c r="J1287" s="30"/>
      <c r="K1287" s="30" t="s">
        <v>648</v>
      </c>
      <c r="L1287" s="30" t="s">
        <v>108</v>
      </c>
      <c r="M1287" s="30" t="s">
        <v>109</v>
      </c>
      <c r="N1287" s="30" t="s">
        <v>110</v>
      </c>
      <c r="O1287" s="30" t="s">
        <v>115</v>
      </c>
      <c r="P1287" s="30" t="s">
        <v>112</v>
      </c>
      <c r="Q1287" s="30" t="s">
        <v>112</v>
      </c>
      <c r="R1287" s="30" t="s">
        <v>185</v>
      </c>
      <c r="S1287" s="81">
        <f>HLOOKUP(L1287,データについて!$J$6:$M$18,13,FALSE)</f>
        <v>1</v>
      </c>
      <c r="T1287" s="81">
        <f>HLOOKUP(M1287,データについて!$J$7:$M$18,12,FALSE)</f>
        <v>2</v>
      </c>
      <c r="U1287" s="81">
        <f>HLOOKUP(N1287,データについて!$J$8:$M$18,11,FALSE)</f>
        <v>2</v>
      </c>
      <c r="V1287" s="81">
        <f>HLOOKUP(O1287,データについて!$J$9:$M$18,10,FALSE)</f>
        <v>1</v>
      </c>
      <c r="W1287" s="81">
        <f>HLOOKUP(P1287,データについて!$J$10:$M$18,9,FALSE)</f>
        <v>1</v>
      </c>
      <c r="X1287" s="81">
        <f>HLOOKUP(Q1287,データについて!$J$11:$M$18,8,FALSE)</f>
        <v>1</v>
      </c>
      <c r="Y1287" s="81">
        <f>HLOOKUP(R1287,データについて!$J$12:$M$18,7,FALSE)</f>
        <v>2</v>
      </c>
      <c r="Z1287" s="81">
        <f>HLOOKUP(I1287,データについて!$J$3:$M$18,16,FALSE)</f>
        <v>2</v>
      </c>
      <c r="AA1287" s="81" t="str">
        <f>IFERROR(HLOOKUP(J1287,データについて!$J$4:$AH$19,16,FALSE),"")</f>
        <v/>
      </c>
      <c r="AB1287" s="81">
        <f>IFERROR(HLOOKUP(K1287,データについて!$J$5:$AH$20,14,FALSE),"")</f>
        <v>0</v>
      </c>
      <c r="AC1287" s="81">
        <f>IF(X1287=1,HLOOKUP(R1287,データについて!$J$12:$M$18,7,FALSE),"*")</f>
        <v>2</v>
      </c>
      <c r="AD1287" s="81" t="str">
        <f>IF(X1287=2,HLOOKUP(R1287,データについて!$J$12:$M$18,7,FALSE),"*")</f>
        <v>*</v>
      </c>
    </row>
    <row r="1288" spans="1:30">
      <c r="A1288" s="30">
        <v>3904</v>
      </c>
      <c r="B1288" s="30" t="s">
        <v>730</v>
      </c>
      <c r="C1288" s="30" t="s">
        <v>729</v>
      </c>
      <c r="D1288" s="30" t="s">
        <v>106</v>
      </c>
      <c r="E1288" s="30"/>
      <c r="F1288" s="30" t="s">
        <v>107</v>
      </c>
      <c r="G1288" s="30" t="s">
        <v>106</v>
      </c>
      <c r="H1288" s="30"/>
      <c r="I1288" s="30" t="s">
        <v>191</v>
      </c>
      <c r="J1288" s="30"/>
      <c r="K1288" s="30" t="s">
        <v>648</v>
      </c>
      <c r="L1288" s="30" t="s">
        <v>108</v>
      </c>
      <c r="M1288" s="30" t="s">
        <v>113</v>
      </c>
      <c r="N1288" s="30" t="s">
        <v>114</v>
      </c>
      <c r="O1288" s="30" t="s">
        <v>115</v>
      </c>
      <c r="P1288" s="30" t="s">
        <v>118</v>
      </c>
      <c r="Q1288" s="30" t="s">
        <v>112</v>
      </c>
      <c r="R1288" s="30" t="s">
        <v>183</v>
      </c>
      <c r="S1288" s="81">
        <f>HLOOKUP(L1288,データについて!$J$6:$M$18,13,FALSE)</f>
        <v>1</v>
      </c>
      <c r="T1288" s="81">
        <f>HLOOKUP(M1288,データについて!$J$7:$M$18,12,FALSE)</f>
        <v>1</v>
      </c>
      <c r="U1288" s="81">
        <f>HLOOKUP(N1288,データについて!$J$8:$M$18,11,FALSE)</f>
        <v>1</v>
      </c>
      <c r="V1288" s="81">
        <f>HLOOKUP(O1288,データについて!$J$9:$M$18,10,FALSE)</f>
        <v>1</v>
      </c>
      <c r="W1288" s="81">
        <f>HLOOKUP(P1288,データについて!$J$10:$M$18,9,FALSE)</f>
        <v>2</v>
      </c>
      <c r="X1288" s="81">
        <f>HLOOKUP(Q1288,データについて!$J$11:$M$18,8,FALSE)</f>
        <v>1</v>
      </c>
      <c r="Y1288" s="81">
        <f>HLOOKUP(R1288,データについて!$J$12:$M$18,7,FALSE)</f>
        <v>1</v>
      </c>
      <c r="Z1288" s="81">
        <f>HLOOKUP(I1288,データについて!$J$3:$M$18,16,FALSE)</f>
        <v>2</v>
      </c>
      <c r="AA1288" s="81" t="str">
        <f>IFERROR(HLOOKUP(J1288,データについて!$J$4:$AH$19,16,FALSE),"")</f>
        <v/>
      </c>
      <c r="AB1288" s="81">
        <f>IFERROR(HLOOKUP(K1288,データについて!$J$5:$AH$20,14,FALSE),"")</f>
        <v>0</v>
      </c>
      <c r="AC1288" s="81">
        <f>IF(X1288=1,HLOOKUP(R1288,データについて!$J$12:$M$18,7,FALSE),"*")</f>
        <v>1</v>
      </c>
      <c r="AD1288" s="81" t="str">
        <f>IF(X1288=2,HLOOKUP(R1288,データについて!$J$12:$M$18,7,FALSE),"*")</f>
        <v>*</v>
      </c>
    </row>
    <row r="1289" spans="1:30">
      <c r="A1289" s="30">
        <v>3903</v>
      </c>
      <c r="B1289" s="30" t="s">
        <v>731</v>
      </c>
      <c r="C1289" s="30" t="s">
        <v>732</v>
      </c>
      <c r="D1289" s="30" t="s">
        <v>106</v>
      </c>
      <c r="E1289" s="30"/>
      <c r="F1289" s="30" t="s">
        <v>107</v>
      </c>
      <c r="G1289" s="30" t="s">
        <v>106</v>
      </c>
      <c r="H1289" s="30"/>
      <c r="I1289" s="30" t="s">
        <v>191</v>
      </c>
      <c r="J1289" s="30"/>
      <c r="K1289" s="30" t="s">
        <v>648</v>
      </c>
      <c r="L1289" s="30" t="s">
        <v>117</v>
      </c>
      <c r="M1289" s="30" t="s">
        <v>109</v>
      </c>
      <c r="N1289" s="30" t="s">
        <v>119</v>
      </c>
      <c r="O1289" s="30" t="s">
        <v>115</v>
      </c>
      <c r="P1289" s="30" t="s">
        <v>112</v>
      </c>
      <c r="Q1289" s="30" t="s">
        <v>112</v>
      </c>
      <c r="R1289" s="30" t="s">
        <v>187</v>
      </c>
      <c r="S1289" s="81">
        <f>HLOOKUP(L1289,データについて!$J$6:$M$18,13,FALSE)</f>
        <v>2</v>
      </c>
      <c r="T1289" s="81">
        <f>HLOOKUP(M1289,データについて!$J$7:$M$18,12,FALSE)</f>
        <v>2</v>
      </c>
      <c r="U1289" s="81">
        <f>HLOOKUP(N1289,データについて!$J$8:$M$18,11,FALSE)</f>
        <v>4</v>
      </c>
      <c r="V1289" s="81">
        <f>HLOOKUP(O1289,データについて!$J$9:$M$18,10,FALSE)</f>
        <v>1</v>
      </c>
      <c r="W1289" s="81">
        <f>HLOOKUP(P1289,データについて!$J$10:$M$18,9,FALSE)</f>
        <v>1</v>
      </c>
      <c r="X1289" s="81">
        <f>HLOOKUP(Q1289,データについて!$J$11:$M$18,8,FALSE)</f>
        <v>1</v>
      </c>
      <c r="Y1289" s="81">
        <f>HLOOKUP(R1289,データについて!$J$12:$M$18,7,FALSE)</f>
        <v>3</v>
      </c>
      <c r="Z1289" s="81">
        <f>HLOOKUP(I1289,データについて!$J$3:$M$18,16,FALSE)</f>
        <v>2</v>
      </c>
      <c r="AA1289" s="81" t="str">
        <f>IFERROR(HLOOKUP(J1289,データについて!$J$4:$AH$19,16,FALSE),"")</f>
        <v/>
      </c>
      <c r="AB1289" s="81">
        <f>IFERROR(HLOOKUP(K1289,データについて!$J$5:$AH$20,14,FALSE),"")</f>
        <v>0</v>
      </c>
      <c r="AC1289" s="81">
        <f>IF(X1289=1,HLOOKUP(R1289,データについて!$J$12:$M$18,7,FALSE),"*")</f>
        <v>3</v>
      </c>
      <c r="AD1289" s="81" t="str">
        <f>IF(X1289=2,HLOOKUP(R1289,データについて!$J$12:$M$18,7,FALSE),"*")</f>
        <v>*</v>
      </c>
    </row>
    <row r="1290" spans="1:30">
      <c r="A1290" s="30">
        <v>3902</v>
      </c>
      <c r="B1290" s="30" t="s">
        <v>733</v>
      </c>
      <c r="C1290" s="30" t="s">
        <v>732</v>
      </c>
      <c r="D1290" s="30" t="s">
        <v>106</v>
      </c>
      <c r="E1290" s="30"/>
      <c r="F1290" s="30" t="s">
        <v>107</v>
      </c>
      <c r="G1290" s="30" t="s">
        <v>106</v>
      </c>
      <c r="H1290" s="30"/>
      <c r="I1290" s="30" t="s">
        <v>191</v>
      </c>
      <c r="J1290" s="30"/>
      <c r="K1290" s="30" t="s">
        <v>616</v>
      </c>
      <c r="L1290" s="30" t="s">
        <v>117</v>
      </c>
      <c r="M1290" s="30" t="s">
        <v>109</v>
      </c>
      <c r="N1290" s="30" t="s">
        <v>110</v>
      </c>
      <c r="O1290" s="30" t="s">
        <v>116</v>
      </c>
      <c r="P1290" s="30" t="s">
        <v>112</v>
      </c>
      <c r="Q1290" s="30" t="s">
        <v>112</v>
      </c>
      <c r="R1290" s="30" t="s">
        <v>185</v>
      </c>
      <c r="S1290" s="81">
        <f>HLOOKUP(L1290,データについて!$J$6:$M$18,13,FALSE)</f>
        <v>2</v>
      </c>
      <c r="T1290" s="81">
        <f>HLOOKUP(M1290,データについて!$J$7:$M$18,12,FALSE)</f>
        <v>2</v>
      </c>
      <c r="U1290" s="81">
        <f>HLOOKUP(N1290,データについて!$J$8:$M$18,11,FALSE)</f>
        <v>2</v>
      </c>
      <c r="V1290" s="81">
        <f>HLOOKUP(O1290,データについて!$J$9:$M$18,10,FALSE)</f>
        <v>2</v>
      </c>
      <c r="W1290" s="81">
        <f>HLOOKUP(P1290,データについて!$J$10:$M$18,9,FALSE)</f>
        <v>1</v>
      </c>
      <c r="X1290" s="81">
        <f>HLOOKUP(Q1290,データについて!$J$11:$M$18,8,FALSE)</f>
        <v>1</v>
      </c>
      <c r="Y1290" s="81">
        <f>HLOOKUP(R1290,データについて!$J$12:$M$18,7,FALSE)</f>
        <v>2</v>
      </c>
      <c r="Z1290" s="81">
        <f>HLOOKUP(I1290,データについて!$J$3:$M$18,16,FALSE)</f>
        <v>2</v>
      </c>
      <c r="AA1290" s="81" t="str">
        <f>IFERROR(HLOOKUP(J1290,データについて!$J$4:$AH$19,16,FALSE),"")</f>
        <v/>
      </c>
      <c r="AB1290" s="81">
        <f>IFERROR(HLOOKUP(K1290,データについて!$J$5:$AH$20,14,FALSE),"")</f>
        <v>0</v>
      </c>
      <c r="AC1290" s="81">
        <f>IF(X1290=1,HLOOKUP(R1290,データについて!$J$12:$M$18,7,FALSE),"*")</f>
        <v>2</v>
      </c>
      <c r="AD1290" s="81" t="str">
        <f>IF(X1290=2,HLOOKUP(R1290,データについて!$J$12:$M$18,7,FALSE),"*")</f>
        <v>*</v>
      </c>
    </row>
    <row r="1291" spans="1:30">
      <c r="A1291" s="30">
        <v>3901</v>
      </c>
      <c r="B1291" s="30" t="s">
        <v>734</v>
      </c>
      <c r="C1291" s="30" t="s">
        <v>735</v>
      </c>
      <c r="D1291" s="30" t="s">
        <v>106</v>
      </c>
      <c r="E1291" s="30"/>
      <c r="F1291" s="30" t="s">
        <v>107</v>
      </c>
      <c r="G1291" s="30" t="s">
        <v>106</v>
      </c>
      <c r="H1291" s="30"/>
      <c r="I1291" s="30" t="s">
        <v>191</v>
      </c>
      <c r="J1291" s="30"/>
      <c r="K1291" s="30" t="s">
        <v>616</v>
      </c>
      <c r="L1291" s="30" t="s">
        <v>108</v>
      </c>
      <c r="M1291" s="30" t="s">
        <v>113</v>
      </c>
      <c r="N1291" s="30" t="s">
        <v>110</v>
      </c>
      <c r="O1291" s="30" t="s">
        <v>115</v>
      </c>
      <c r="P1291" s="30" t="s">
        <v>112</v>
      </c>
      <c r="Q1291" s="30" t="s">
        <v>112</v>
      </c>
      <c r="R1291" s="30" t="s">
        <v>185</v>
      </c>
      <c r="S1291" s="81">
        <f>HLOOKUP(L1291,データについて!$J$6:$M$18,13,FALSE)</f>
        <v>1</v>
      </c>
      <c r="T1291" s="81">
        <f>HLOOKUP(M1291,データについて!$J$7:$M$18,12,FALSE)</f>
        <v>1</v>
      </c>
      <c r="U1291" s="81">
        <f>HLOOKUP(N1291,データについて!$J$8:$M$18,11,FALSE)</f>
        <v>2</v>
      </c>
      <c r="V1291" s="81">
        <f>HLOOKUP(O1291,データについて!$J$9:$M$18,10,FALSE)</f>
        <v>1</v>
      </c>
      <c r="W1291" s="81">
        <f>HLOOKUP(P1291,データについて!$J$10:$M$18,9,FALSE)</f>
        <v>1</v>
      </c>
      <c r="X1291" s="81">
        <f>HLOOKUP(Q1291,データについて!$J$11:$M$18,8,FALSE)</f>
        <v>1</v>
      </c>
      <c r="Y1291" s="81">
        <f>HLOOKUP(R1291,データについて!$J$12:$M$18,7,FALSE)</f>
        <v>2</v>
      </c>
      <c r="Z1291" s="81">
        <f>HLOOKUP(I1291,データについて!$J$3:$M$18,16,FALSE)</f>
        <v>2</v>
      </c>
      <c r="AA1291" s="81" t="str">
        <f>IFERROR(HLOOKUP(J1291,データについて!$J$4:$AH$19,16,FALSE),"")</f>
        <v/>
      </c>
      <c r="AB1291" s="81">
        <f>IFERROR(HLOOKUP(K1291,データについて!$J$5:$AH$20,14,FALSE),"")</f>
        <v>0</v>
      </c>
      <c r="AC1291" s="81">
        <f>IF(X1291=1,HLOOKUP(R1291,データについて!$J$12:$M$18,7,FALSE),"*")</f>
        <v>2</v>
      </c>
      <c r="AD1291" s="81" t="str">
        <f>IF(X1291=2,HLOOKUP(R1291,データについて!$J$12:$M$18,7,FALSE),"*")</f>
        <v>*</v>
      </c>
    </row>
    <row r="1292" spans="1:30">
      <c r="A1292" s="30">
        <v>3900</v>
      </c>
      <c r="B1292" s="30" t="s">
        <v>736</v>
      </c>
      <c r="C1292" s="30" t="s">
        <v>737</v>
      </c>
      <c r="D1292" s="30" t="s">
        <v>106</v>
      </c>
      <c r="E1292" s="30"/>
      <c r="F1292" s="30" t="s">
        <v>107</v>
      </c>
      <c r="G1292" s="30" t="s">
        <v>106</v>
      </c>
      <c r="H1292" s="30"/>
      <c r="I1292" s="30" t="s">
        <v>191</v>
      </c>
      <c r="J1292" s="30"/>
      <c r="K1292" s="30" t="s">
        <v>648</v>
      </c>
      <c r="L1292" s="30" t="s">
        <v>117</v>
      </c>
      <c r="M1292" s="30" t="s">
        <v>109</v>
      </c>
      <c r="N1292" s="30" t="s">
        <v>114</v>
      </c>
      <c r="O1292" s="30" t="s">
        <v>115</v>
      </c>
      <c r="P1292" s="30" t="s">
        <v>112</v>
      </c>
      <c r="Q1292" s="30" t="s">
        <v>112</v>
      </c>
      <c r="R1292" s="30" t="s">
        <v>187</v>
      </c>
      <c r="S1292" s="81">
        <f>HLOOKUP(L1292,データについて!$J$6:$M$18,13,FALSE)</f>
        <v>2</v>
      </c>
      <c r="T1292" s="81">
        <f>HLOOKUP(M1292,データについて!$J$7:$M$18,12,FALSE)</f>
        <v>2</v>
      </c>
      <c r="U1292" s="81">
        <f>HLOOKUP(N1292,データについて!$J$8:$M$18,11,FALSE)</f>
        <v>1</v>
      </c>
      <c r="V1292" s="81">
        <f>HLOOKUP(O1292,データについて!$J$9:$M$18,10,FALSE)</f>
        <v>1</v>
      </c>
      <c r="W1292" s="81">
        <f>HLOOKUP(P1292,データについて!$J$10:$M$18,9,FALSE)</f>
        <v>1</v>
      </c>
      <c r="X1292" s="81">
        <f>HLOOKUP(Q1292,データについて!$J$11:$M$18,8,FALSE)</f>
        <v>1</v>
      </c>
      <c r="Y1292" s="81">
        <f>HLOOKUP(R1292,データについて!$J$12:$M$18,7,FALSE)</f>
        <v>3</v>
      </c>
      <c r="Z1292" s="81">
        <f>HLOOKUP(I1292,データについて!$J$3:$M$18,16,FALSE)</f>
        <v>2</v>
      </c>
      <c r="AA1292" s="81" t="str">
        <f>IFERROR(HLOOKUP(J1292,データについて!$J$4:$AH$19,16,FALSE),"")</f>
        <v/>
      </c>
      <c r="AB1292" s="81">
        <f>IFERROR(HLOOKUP(K1292,データについて!$J$5:$AH$20,14,FALSE),"")</f>
        <v>0</v>
      </c>
      <c r="AC1292" s="81">
        <f>IF(X1292=1,HLOOKUP(R1292,データについて!$J$12:$M$18,7,FALSE),"*")</f>
        <v>3</v>
      </c>
      <c r="AD1292" s="81" t="str">
        <f>IF(X1292=2,HLOOKUP(R1292,データについて!$J$12:$M$18,7,FALSE),"*")</f>
        <v>*</v>
      </c>
    </row>
    <row r="1293" spans="1:30">
      <c r="A1293" s="30">
        <v>3899</v>
      </c>
      <c r="B1293" s="30" t="s">
        <v>738</v>
      </c>
      <c r="C1293" s="30" t="s">
        <v>739</v>
      </c>
      <c r="D1293" s="30" t="s">
        <v>106</v>
      </c>
      <c r="E1293" s="30"/>
      <c r="F1293" s="30" t="s">
        <v>107</v>
      </c>
      <c r="G1293" s="30" t="s">
        <v>106</v>
      </c>
      <c r="H1293" s="30"/>
      <c r="I1293" s="30" t="s">
        <v>191</v>
      </c>
      <c r="J1293" s="30"/>
      <c r="K1293" s="30" t="s">
        <v>648</v>
      </c>
      <c r="L1293" s="30" t="s">
        <v>108</v>
      </c>
      <c r="M1293" s="30" t="s">
        <v>113</v>
      </c>
      <c r="N1293" s="30" t="s">
        <v>110</v>
      </c>
      <c r="O1293" s="30" t="s">
        <v>115</v>
      </c>
      <c r="P1293" s="30" t="s">
        <v>112</v>
      </c>
      <c r="Q1293" s="30" t="s">
        <v>112</v>
      </c>
      <c r="R1293" s="30" t="s">
        <v>185</v>
      </c>
      <c r="S1293" s="81">
        <f>HLOOKUP(L1293,データについて!$J$6:$M$18,13,FALSE)</f>
        <v>1</v>
      </c>
      <c r="T1293" s="81">
        <f>HLOOKUP(M1293,データについて!$J$7:$M$18,12,FALSE)</f>
        <v>1</v>
      </c>
      <c r="U1293" s="81">
        <f>HLOOKUP(N1293,データについて!$J$8:$M$18,11,FALSE)</f>
        <v>2</v>
      </c>
      <c r="V1293" s="81">
        <f>HLOOKUP(O1293,データについて!$J$9:$M$18,10,FALSE)</f>
        <v>1</v>
      </c>
      <c r="W1293" s="81">
        <f>HLOOKUP(P1293,データについて!$J$10:$M$18,9,FALSE)</f>
        <v>1</v>
      </c>
      <c r="X1293" s="81">
        <f>HLOOKUP(Q1293,データについて!$J$11:$M$18,8,FALSE)</f>
        <v>1</v>
      </c>
      <c r="Y1293" s="81">
        <f>HLOOKUP(R1293,データについて!$J$12:$M$18,7,FALSE)</f>
        <v>2</v>
      </c>
      <c r="Z1293" s="81">
        <f>HLOOKUP(I1293,データについて!$J$3:$M$18,16,FALSE)</f>
        <v>2</v>
      </c>
      <c r="AA1293" s="81" t="str">
        <f>IFERROR(HLOOKUP(J1293,データについて!$J$4:$AH$19,16,FALSE),"")</f>
        <v/>
      </c>
      <c r="AB1293" s="81">
        <f>IFERROR(HLOOKUP(K1293,データについて!$J$5:$AH$20,14,FALSE),"")</f>
        <v>0</v>
      </c>
      <c r="AC1293" s="81">
        <f>IF(X1293=1,HLOOKUP(R1293,データについて!$J$12:$M$18,7,FALSE),"*")</f>
        <v>2</v>
      </c>
      <c r="AD1293" s="81" t="str">
        <f>IF(X1293=2,HLOOKUP(R1293,データについて!$J$12:$M$18,7,FALSE),"*")</f>
        <v>*</v>
      </c>
    </row>
    <row r="1294" spans="1:30">
      <c r="A1294" s="30">
        <v>3898</v>
      </c>
      <c r="B1294" s="30" t="s">
        <v>740</v>
      </c>
      <c r="C1294" s="30" t="s">
        <v>741</v>
      </c>
      <c r="D1294" s="30" t="s">
        <v>106</v>
      </c>
      <c r="E1294" s="30"/>
      <c r="F1294" s="30" t="s">
        <v>107</v>
      </c>
      <c r="G1294" s="30" t="s">
        <v>106</v>
      </c>
      <c r="H1294" s="30"/>
      <c r="I1294" s="30" t="s">
        <v>191</v>
      </c>
      <c r="J1294" s="30"/>
      <c r="K1294" s="30" t="s">
        <v>648</v>
      </c>
      <c r="L1294" s="30" t="s">
        <v>108</v>
      </c>
      <c r="M1294" s="30" t="s">
        <v>109</v>
      </c>
      <c r="N1294" s="30" t="s">
        <v>114</v>
      </c>
      <c r="O1294" s="30" t="s">
        <v>115</v>
      </c>
      <c r="P1294" s="30" t="s">
        <v>112</v>
      </c>
      <c r="Q1294" s="30" t="s">
        <v>112</v>
      </c>
      <c r="R1294" s="30" t="s">
        <v>183</v>
      </c>
      <c r="S1294" s="81">
        <f>HLOOKUP(L1294,データについて!$J$6:$M$18,13,FALSE)</f>
        <v>1</v>
      </c>
      <c r="T1294" s="81">
        <f>HLOOKUP(M1294,データについて!$J$7:$M$18,12,FALSE)</f>
        <v>2</v>
      </c>
      <c r="U1294" s="81">
        <f>HLOOKUP(N1294,データについて!$J$8:$M$18,11,FALSE)</f>
        <v>1</v>
      </c>
      <c r="V1294" s="81">
        <f>HLOOKUP(O1294,データについて!$J$9:$M$18,10,FALSE)</f>
        <v>1</v>
      </c>
      <c r="W1294" s="81">
        <f>HLOOKUP(P1294,データについて!$J$10:$M$18,9,FALSE)</f>
        <v>1</v>
      </c>
      <c r="X1294" s="81">
        <f>HLOOKUP(Q1294,データについて!$J$11:$M$18,8,FALSE)</f>
        <v>1</v>
      </c>
      <c r="Y1294" s="81">
        <f>HLOOKUP(R1294,データについて!$J$12:$M$18,7,FALSE)</f>
        <v>1</v>
      </c>
      <c r="Z1294" s="81">
        <f>HLOOKUP(I1294,データについて!$J$3:$M$18,16,FALSE)</f>
        <v>2</v>
      </c>
      <c r="AA1294" s="81" t="str">
        <f>IFERROR(HLOOKUP(J1294,データについて!$J$4:$AH$19,16,FALSE),"")</f>
        <v/>
      </c>
      <c r="AB1294" s="81">
        <f>IFERROR(HLOOKUP(K1294,データについて!$J$5:$AH$20,14,FALSE),"")</f>
        <v>0</v>
      </c>
      <c r="AC1294" s="81">
        <f>IF(X1294=1,HLOOKUP(R1294,データについて!$J$12:$M$18,7,FALSE),"*")</f>
        <v>1</v>
      </c>
      <c r="AD1294" s="81" t="str">
        <f>IF(X1294=2,HLOOKUP(R1294,データについて!$J$12:$M$18,7,FALSE),"*")</f>
        <v>*</v>
      </c>
    </row>
    <row r="1295" spans="1:30">
      <c r="A1295" s="30">
        <v>3897</v>
      </c>
      <c r="B1295" s="30" t="s">
        <v>742</v>
      </c>
      <c r="C1295" s="30" t="s">
        <v>743</v>
      </c>
      <c r="D1295" s="30" t="s">
        <v>106</v>
      </c>
      <c r="E1295" s="30"/>
      <c r="F1295" s="30" t="s">
        <v>107</v>
      </c>
      <c r="G1295" s="30" t="s">
        <v>106</v>
      </c>
      <c r="H1295" s="30"/>
      <c r="I1295" s="30" t="s">
        <v>191</v>
      </c>
      <c r="J1295" s="30"/>
      <c r="K1295" s="30" t="s">
        <v>648</v>
      </c>
      <c r="L1295" s="30" t="s">
        <v>117</v>
      </c>
      <c r="M1295" s="30" t="s">
        <v>121</v>
      </c>
      <c r="N1295" s="30" t="s">
        <v>122</v>
      </c>
      <c r="O1295" s="30" t="s">
        <v>116</v>
      </c>
      <c r="P1295" s="30" t="s">
        <v>112</v>
      </c>
      <c r="Q1295" s="30" t="s">
        <v>118</v>
      </c>
      <c r="R1295" s="30" t="s">
        <v>189</v>
      </c>
      <c r="S1295" s="81">
        <f>HLOOKUP(L1295,データについて!$J$6:$M$18,13,FALSE)</f>
        <v>2</v>
      </c>
      <c r="T1295" s="81">
        <f>HLOOKUP(M1295,データについて!$J$7:$M$18,12,FALSE)</f>
        <v>4</v>
      </c>
      <c r="U1295" s="81">
        <f>HLOOKUP(N1295,データについて!$J$8:$M$18,11,FALSE)</f>
        <v>3</v>
      </c>
      <c r="V1295" s="81">
        <f>HLOOKUP(O1295,データについて!$J$9:$M$18,10,FALSE)</f>
        <v>2</v>
      </c>
      <c r="W1295" s="81">
        <f>HLOOKUP(P1295,データについて!$J$10:$M$18,9,FALSE)</f>
        <v>1</v>
      </c>
      <c r="X1295" s="81">
        <f>HLOOKUP(Q1295,データについて!$J$11:$M$18,8,FALSE)</f>
        <v>2</v>
      </c>
      <c r="Y1295" s="81">
        <f>HLOOKUP(R1295,データについて!$J$12:$M$18,7,FALSE)</f>
        <v>4</v>
      </c>
      <c r="Z1295" s="81">
        <f>HLOOKUP(I1295,データについて!$J$3:$M$18,16,FALSE)</f>
        <v>2</v>
      </c>
      <c r="AA1295" s="81" t="str">
        <f>IFERROR(HLOOKUP(J1295,データについて!$J$4:$AH$19,16,FALSE),"")</f>
        <v/>
      </c>
      <c r="AB1295" s="81">
        <f>IFERROR(HLOOKUP(K1295,データについて!$J$5:$AH$20,14,FALSE),"")</f>
        <v>0</v>
      </c>
      <c r="AC1295" s="81" t="str">
        <f>IF(X1295=1,HLOOKUP(R1295,データについて!$J$12:$M$18,7,FALSE),"*")</f>
        <v>*</v>
      </c>
      <c r="AD1295" s="81">
        <f>IF(X1295=2,HLOOKUP(R1295,データについて!$J$12:$M$18,7,FALSE),"*")</f>
        <v>4</v>
      </c>
    </row>
    <row r="1296" spans="1:30">
      <c r="A1296" s="30">
        <v>3896</v>
      </c>
      <c r="B1296" s="30" t="s">
        <v>744</v>
      </c>
      <c r="C1296" s="30" t="s">
        <v>745</v>
      </c>
      <c r="D1296" s="30" t="s">
        <v>106</v>
      </c>
      <c r="E1296" s="30"/>
      <c r="F1296" s="30" t="s">
        <v>107</v>
      </c>
      <c r="G1296" s="30" t="s">
        <v>106</v>
      </c>
      <c r="H1296" s="30"/>
      <c r="I1296" s="30" t="s">
        <v>191</v>
      </c>
      <c r="J1296" s="30"/>
      <c r="K1296" s="30" t="s">
        <v>648</v>
      </c>
      <c r="L1296" s="30" t="s">
        <v>117</v>
      </c>
      <c r="M1296" s="30" t="s">
        <v>109</v>
      </c>
      <c r="N1296" s="30" t="s">
        <v>110</v>
      </c>
      <c r="O1296" s="30" t="s">
        <v>115</v>
      </c>
      <c r="P1296" s="30" t="s">
        <v>112</v>
      </c>
      <c r="Q1296" s="30" t="s">
        <v>112</v>
      </c>
      <c r="R1296" s="30" t="s">
        <v>189</v>
      </c>
      <c r="S1296" s="81">
        <f>HLOOKUP(L1296,データについて!$J$6:$M$18,13,FALSE)</f>
        <v>2</v>
      </c>
      <c r="T1296" s="81">
        <f>HLOOKUP(M1296,データについて!$J$7:$M$18,12,FALSE)</f>
        <v>2</v>
      </c>
      <c r="U1296" s="81">
        <f>HLOOKUP(N1296,データについて!$J$8:$M$18,11,FALSE)</f>
        <v>2</v>
      </c>
      <c r="V1296" s="81">
        <f>HLOOKUP(O1296,データについて!$J$9:$M$18,10,FALSE)</f>
        <v>1</v>
      </c>
      <c r="W1296" s="81">
        <f>HLOOKUP(P1296,データについて!$J$10:$M$18,9,FALSE)</f>
        <v>1</v>
      </c>
      <c r="X1296" s="81">
        <f>HLOOKUP(Q1296,データについて!$J$11:$M$18,8,FALSE)</f>
        <v>1</v>
      </c>
      <c r="Y1296" s="81">
        <f>HLOOKUP(R1296,データについて!$J$12:$M$18,7,FALSE)</f>
        <v>4</v>
      </c>
      <c r="Z1296" s="81">
        <f>HLOOKUP(I1296,データについて!$J$3:$M$18,16,FALSE)</f>
        <v>2</v>
      </c>
      <c r="AA1296" s="81" t="str">
        <f>IFERROR(HLOOKUP(J1296,データについて!$J$4:$AH$19,16,FALSE),"")</f>
        <v/>
      </c>
      <c r="AB1296" s="81">
        <f>IFERROR(HLOOKUP(K1296,データについて!$J$5:$AH$20,14,FALSE),"")</f>
        <v>0</v>
      </c>
      <c r="AC1296" s="81">
        <f>IF(X1296=1,HLOOKUP(R1296,データについて!$J$12:$M$18,7,FALSE),"*")</f>
        <v>4</v>
      </c>
      <c r="AD1296" s="81" t="str">
        <f>IF(X1296=2,HLOOKUP(R1296,データについて!$J$12:$M$18,7,FALSE),"*")</f>
        <v>*</v>
      </c>
    </row>
    <row r="1297" spans="1:30">
      <c r="A1297" s="30">
        <v>3895</v>
      </c>
      <c r="B1297" s="30" t="s">
        <v>746</v>
      </c>
      <c r="C1297" s="30" t="s">
        <v>745</v>
      </c>
      <c r="D1297" s="30" t="s">
        <v>106</v>
      </c>
      <c r="E1297" s="30"/>
      <c r="F1297" s="30" t="s">
        <v>107</v>
      </c>
      <c r="G1297" s="30" t="s">
        <v>106</v>
      </c>
      <c r="H1297" s="30"/>
      <c r="I1297" s="30" t="s">
        <v>191</v>
      </c>
      <c r="J1297" s="30"/>
      <c r="K1297" s="30" t="s">
        <v>648</v>
      </c>
      <c r="L1297" s="30" t="s">
        <v>108</v>
      </c>
      <c r="M1297" s="30" t="s">
        <v>109</v>
      </c>
      <c r="N1297" s="30" t="s">
        <v>122</v>
      </c>
      <c r="O1297" s="30" t="s">
        <v>115</v>
      </c>
      <c r="P1297" s="30" t="s">
        <v>118</v>
      </c>
      <c r="Q1297" s="30" t="s">
        <v>112</v>
      </c>
      <c r="R1297" s="30" t="s">
        <v>187</v>
      </c>
      <c r="S1297" s="81">
        <f>HLOOKUP(L1297,データについて!$J$6:$M$18,13,FALSE)</f>
        <v>1</v>
      </c>
      <c r="T1297" s="81">
        <f>HLOOKUP(M1297,データについて!$J$7:$M$18,12,FALSE)</f>
        <v>2</v>
      </c>
      <c r="U1297" s="81">
        <f>HLOOKUP(N1297,データについて!$J$8:$M$18,11,FALSE)</f>
        <v>3</v>
      </c>
      <c r="V1297" s="81">
        <f>HLOOKUP(O1297,データについて!$J$9:$M$18,10,FALSE)</f>
        <v>1</v>
      </c>
      <c r="W1297" s="81">
        <f>HLOOKUP(P1297,データについて!$J$10:$M$18,9,FALSE)</f>
        <v>2</v>
      </c>
      <c r="X1297" s="81">
        <f>HLOOKUP(Q1297,データについて!$J$11:$M$18,8,FALSE)</f>
        <v>1</v>
      </c>
      <c r="Y1297" s="81">
        <f>HLOOKUP(R1297,データについて!$J$12:$M$18,7,FALSE)</f>
        <v>3</v>
      </c>
      <c r="Z1297" s="81">
        <f>HLOOKUP(I1297,データについて!$J$3:$M$18,16,FALSE)</f>
        <v>2</v>
      </c>
      <c r="AA1297" s="81" t="str">
        <f>IFERROR(HLOOKUP(J1297,データについて!$J$4:$AH$19,16,FALSE),"")</f>
        <v/>
      </c>
      <c r="AB1297" s="81">
        <f>IFERROR(HLOOKUP(K1297,データについて!$J$5:$AH$20,14,FALSE),"")</f>
        <v>0</v>
      </c>
      <c r="AC1297" s="81">
        <f>IF(X1297=1,HLOOKUP(R1297,データについて!$J$12:$M$18,7,FALSE),"*")</f>
        <v>3</v>
      </c>
      <c r="AD1297" s="81" t="str">
        <f>IF(X1297=2,HLOOKUP(R1297,データについて!$J$12:$M$18,7,FALSE),"*")</f>
        <v>*</v>
      </c>
    </row>
    <row r="1298" spans="1:30">
      <c r="A1298" s="30">
        <v>3894</v>
      </c>
      <c r="B1298" s="30" t="s">
        <v>747</v>
      </c>
      <c r="C1298" s="30" t="s">
        <v>748</v>
      </c>
      <c r="D1298" s="30" t="s">
        <v>106</v>
      </c>
      <c r="E1298" s="30"/>
      <c r="F1298" s="30" t="s">
        <v>107</v>
      </c>
      <c r="G1298" s="30" t="s">
        <v>106</v>
      </c>
      <c r="H1298" s="30"/>
      <c r="I1298" s="30" t="s">
        <v>192</v>
      </c>
      <c r="J1298" s="30" t="s">
        <v>619</v>
      </c>
      <c r="K1298" s="30"/>
      <c r="L1298" s="30" t="s">
        <v>117</v>
      </c>
      <c r="M1298" s="30" t="s">
        <v>121</v>
      </c>
      <c r="N1298" s="30" t="s">
        <v>119</v>
      </c>
      <c r="O1298" s="30" t="s">
        <v>115</v>
      </c>
      <c r="P1298" s="30" t="s">
        <v>112</v>
      </c>
      <c r="Q1298" s="30" t="s">
        <v>118</v>
      </c>
      <c r="R1298" s="30" t="s">
        <v>189</v>
      </c>
      <c r="S1298" s="81">
        <f>HLOOKUP(L1298,データについて!$J$6:$M$18,13,FALSE)</f>
        <v>2</v>
      </c>
      <c r="T1298" s="81">
        <f>HLOOKUP(M1298,データについて!$J$7:$M$18,12,FALSE)</f>
        <v>4</v>
      </c>
      <c r="U1298" s="81">
        <f>HLOOKUP(N1298,データについて!$J$8:$M$18,11,FALSE)</f>
        <v>4</v>
      </c>
      <c r="V1298" s="81">
        <f>HLOOKUP(O1298,データについて!$J$9:$M$18,10,FALSE)</f>
        <v>1</v>
      </c>
      <c r="W1298" s="81">
        <f>HLOOKUP(P1298,データについて!$J$10:$M$18,9,FALSE)</f>
        <v>1</v>
      </c>
      <c r="X1298" s="81">
        <f>HLOOKUP(Q1298,データについて!$J$11:$M$18,8,FALSE)</f>
        <v>2</v>
      </c>
      <c r="Y1298" s="81">
        <f>HLOOKUP(R1298,データについて!$J$12:$M$18,7,FALSE)</f>
        <v>4</v>
      </c>
      <c r="Z1298" s="81">
        <f>HLOOKUP(I1298,データについて!$J$3:$M$18,16,FALSE)</f>
        <v>1</v>
      </c>
      <c r="AA1298" s="81">
        <f>IFERROR(HLOOKUP(J1298,データについて!$J$4:$AH$19,16,FALSE),"")</f>
        <v>11</v>
      </c>
      <c r="AB1298" s="81" t="str">
        <f>IFERROR(HLOOKUP(K1298,データについて!$J$5:$AH$20,14,FALSE),"")</f>
        <v/>
      </c>
      <c r="AC1298" s="81" t="str">
        <f>IF(X1298=1,HLOOKUP(R1298,データについて!$J$12:$M$18,7,FALSE),"*")</f>
        <v>*</v>
      </c>
      <c r="AD1298" s="81">
        <f>IF(X1298=2,HLOOKUP(R1298,データについて!$J$12:$M$18,7,FALSE),"*")</f>
        <v>4</v>
      </c>
    </row>
    <row r="1299" spans="1:30">
      <c r="A1299" s="30">
        <v>3893</v>
      </c>
      <c r="B1299" s="30" t="s">
        <v>749</v>
      </c>
      <c r="C1299" s="30" t="s">
        <v>750</v>
      </c>
      <c r="D1299" s="30" t="s">
        <v>106</v>
      </c>
      <c r="E1299" s="30"/>
      <c r="F1299" s="30" t="s">
        <v>107</v>
      </c>
      <c r="G1299" s="30" t="s">
        <v>106</v>
      </c>
      <c r="H1299" s="30"/>
      <c r="I1299" s="30" t="s">
        <v>191</v>
      </c>
      <c r="J1299" s="30"/>
      <c r="K1299" s="30" t="s">
        <v>648</v>
      </c>
      <c r="L1299" s="30" t="s">
        <v>117</v>
      </c>
      <c r="M1299" s="30" t="s">
        <v>109</v>
      </c>
      <c r="N1299" s="30" t="s">
        <v>110</v>
      </c>
      <c r="O1299" s="30" t="s">
        <v>115</v>
      </c>
      <c r="P1299" s="30" t="s">
        <v>112</v>
      </c>
      <c r="Q1299" s="30" t="s">
        <v>112</v>
      </c>
      <c r="R1299" s="30" t="s">
        <v>185</v>
      </c>
      <c r="S1299" s="81">
        <f>HLOOKUP(L1299,データについて!$J$6:$M$18,13,FALSE)</f>
        <v>2</v>
      </c>
      <c r="T1299" s="81">
        <f>HLOOKUP(M1299,データについて!$J$7:$M$18,12,FALSE)</f>
        <v>2</v>
      </c>
      <c r="U1299" s="81">
        <f>HLOOKUP(N1299,データについて!$J$8:$M$18,11,FALSE)</f>
        <v>2</v>
      </c>
      <c r="V1299" s="81">
        <f>HLOOKUP(O1299,データについて!$J$9:$M$18,10,FALSE)</f>
        <v>1</v>
      </c>
      <c r="W1299" s="81">
        <f>HLOOKUP(P1299,データについて!$J$10:$M$18,9,FALSE)</f>
        <v>1</v>
      </c>
      <c r="X1299" s="81">
        <f>HLOOKUP(Q1299,データについて!$J$11:$M$18,8,FALSE)</f>
        <v>1</v>
      </c>
      <c r="Y1299" s="81">
        <f>HLOOKUP(R1299,データについて!$J$12:$M$18,7,FALSE)</f>
        <v>2</v>
      </c>
      <c r="Z1299" s="81">
        <f>HLOOKUP(I1299,データについて!$J$3:$M$18,16,FALSE)</f>
        <v>2</v>
      </c>
      <c r="AA1299" s="81" t="str">
        <f>IFERROR(HLOOKUP(J1299,データについて!$J$4:$AH$19,16,FALSE),"")</f>
        <v/>
      </c>
      <c r="AB1299" s="81">
        <f>IFERROR(HLOOKUP(K1299,データについて!$J$5:$AH$20,14,FALSE),"")</f>
        <v>0</v>
      </c>
      <c r="AC1299" s="81">
        <f>IF(X1299=1,HLOOKUP(R1299,データについて!$J$12:$M$18,7,FALSE),"*")</f>
        <v>2</v>
      </c>
      <c r="AD1299" s="81" t="str">
        <f>IF(X1299=2,HLOOKUP(R1299,データについて!$J$12:$M$18,7,FALSE),"*")</f>
        <v>*</v>
      </c>
    </row>
    <row r="1300" spans="1:30">
      <c r="A1300" s="30">
        <v>3892</v>
      </c>
      <c r="B1300" s="30" t="s">
        <v>751</v>
      </c>
      <c r="C1300" s="30" t="s">
        <v>752</v>
      </c>
      <c r="D1300" s="30" t="s">
        <v>106</v>
      </c>
      <c r="E1300" s="30"/>
      <c r="F1300" s="30" t="s">
        <v>107</v>
      </c>
      <c r="G1300" s="30" t="s">
        <v>106</v>
      </c>
      <c r="H1300" s="30"/>
      <c r="I1300" s="30" t="s">
        <v>191</v>
      </c>
      <c r="J1300" s="30"/>
      <c r="K1300" s="30" t="s">
        <v>616</v>
      </c>
      <c r="L1300" s="30" t="s">
        <v>117</v>
      </c>
      <c r="M1300" s="30" t="s">
        <v>113</v>
      </c>
      <c r="N1300" s="30" t="s">
        <v>110</v>
      </c>
      <c r="O1300" s="30" t="s">
        <v>116</v>
      </c>
      <c r="P1300" s="30" t="s">
        <v>112</v>
      </c>
      <c r="Q1300" s="30" t="s">
        <v>112</v>
      </c>
      <c r="R1300" s="30" t="s">
        <v>185</v>
      </c>
      <c r="S1300" s="81">
        <f>HLOOKUP(L1300,データについて!$J$6:$M$18,13,FALSE)</f>
        <v>2</v>
      </c>
      <c r="T1300" s="81">
        <f>HLOOKUP(M1300,データについて!$J$7:$M$18,12,FALSE)</f>
        <v>1</v>
      </c>
      <c r="U1300" s="81">
        <f>HLOOKUP(N1300,データについて!$J$8:$M$18,11,FALSE)</f>
        <v>2</v>
      </c>
      <c r="V1300" s="81">
        <f>HLOOKUP(O1300,データについて!$J$9:$M$18,10,FALSE)</f>
        <v>2</v>
      </c>
      <c r="W1300" s="81">
        <f>HLOOKUP(P1300,データについて!$J$10:$M$18,9,FALSE)</f>
        <v>1</v>
      </c>
      <c r="X1300" s="81">
        <f>HLOOKUP(Q1300,データについて!$J$11:$M$18,8,FALSE)</f>
        <v>1</v>
      </c>
      <c r="Y1300" s="81">
        <f>HLOOKUP(R1300,データについて!$J$12:$M$18,7,FALSE)</f>
        <v>2</v>
      </c>
      <c r="Z1300" s="81">
        <f>HLOOKUP(I1300,データについて!$J$3:$M$18,16,FALSE)</f>
        <v>2</v>
      </c>
      <c r="AA1300" s="81" t="str">
        <f>IFERROR(HLOOKUP(J1300,データについて!$J$4:$AH$19,16,FALSE),"")</f>
        <v/>
      </c>
      <c r="AB1300" s="81">
        <f>IFERROR(HLOOKUP(K1300,データについて!$J$5:$AH$20,14,FALSE),"")</f>
        <v>0</v>
      </c>
      <c r="AC1300" s="81">
        <f>IF(X1300=1,HLOOKUP(R1300,データについて!$J$12:$M$18,7,FALSE),"*")</f>
        <v>2</v>
      </c>
      <c r="AD1300" s="81" t="str">
        <f>IF(X1300=2,HLOOKUP(R1300,データについて!$J$12:$M$18,7,FALSE),"*")</f>
        <v>*</v>
      </c>
    </row>
    <row r="1301" spans="1:30">
      <c r="A1301" s="30">
        <v>3891</v>
      </c>
      <c r="B1301" s="30" t="s">
        <v>753</v>
      </c>
      <c r="C1301" s="30" t="s">
        <v>752</v>
      </c>
      <c r="D1301" s="30" t="s">
        <v>106</v>
      </c>
      <c r="E1301" s="30"/>
      <c r="F1301" s="30" t="s">
        <v>107</v>
      </c>
      <c r="G1301" s="30" t="s">
        <v>106</v>
      </c>
      <c r="H1301" s="30"/>
      <c r="I1301" s="30" t="s">
        <v>191</v>
      </c>
      <c r="J1301" s="30"/>
      <c r="K1301" s="30" t="s">
        <v>648</v>
      </c>
      <c r="L1301" s="30" t="s">
        <v>108</v>
      </c>
      <c r="M1301" s="30" t="s">
        <v>109</v>
      </c>
      <c r="N1301" s="30" t="s">
        <v>114</v>
      </c>
      <c r="O1301" s="30" t="s">
        <v>115</v>
      </c>
      <c r="P1301" s="30" t="s">
        <v>118</v>
      </c>
      <c r="Q1301" s="30" t="s">
        <v>112</v>
      </c>
      <c r="R1301" s="30" t="s">
        <v>185</v>
      </c>
      <c r="S1301" s="81">
        <f>HLOOKUP(L1301,データについて!$J$6:$M$18,13,FALSE)</f>
        <v>1</v>
      </c>
      <c r="T1301" s="81">
        <f>HLOOKUP(M1301,データについて!$J$7:$M$18,12,FALSE)</f>
        <v>2</v>
      </c>
      <c r="U1301" s="81">
        <f>HLOOKUP(N1301,データについて!$J$8:$M$18,11,FALSE)</f>
        <v>1</v>
      </c>
      <c r="V1301" s="81">
        <f>HLOOKUP(O1301,データについて!$J$9:$M$18,10,FALSE)</f>
        <v>1</v>
      </c>
      <c r="W1301" s="81">
        <f>HLOOKUP(P1301,データについて!$J$10:$M$18,9,FALSE)</f>
        <v>2</v>
      </c>
      <c r="X1301" s="81">
        <f>HLOOKUP(Q1301,データについて!$J$11:$M$18,8,FALSE)</f>
        <v>1</v>
      </c>
      <c r="Y1301" s="81">
        <f>HLOOKUP(R1301,データについて!$J$12:$M$18,7,FALSE)</f>
        <v>2</v>
      </c>
      <c r="Z1301" s="81">
        <f>HLOOKUP(I1301,データについて!$J$3:$M$18,16,FALSE)</f>
        <v>2</v>
      </c>
      <c r="AA1301" s="81" t="str">
        <f>IFERROR(HLOOKUP(J1301,データについて!$J$4:$AH$19,16,FALSE),"")</f>
        <v/>
      </c>
      <c r="AB1301" s="81">
        <f>IFERROR(HLOOKUP(K1301,データについて!$J$5:$AH$20,14,FALSE),"")</f>
        <v>0</v>
      </c>
      <c r="AC1301" s="81">
        <f>IF(X1301=1,HLOOKUP(R1301,データについて!$J$12:$M$18,7,FALSE),"*")</f>
        <v>2</v>
      </c>
      <c r="AD1301" s="81" t="str">
        <f>IF(X1301=2,HLOOKUP(R1301,データについて!$J$12:$M$18,7,FALSE),"*")</f>
        <v>*</v>
      </c>
    </row>
    <row r="1302" spans="1:30">
      <c r="A1302" s="30">
        <v>3890</v>
      </c>
      <c r="B1302" s="30" t="s">
        <v>754</v>
      </c>
      <c r="C1302" s="30" t="s">
        <v>755</v>
      </c>
      <c r="D1302" s="30" t="s">
        <v>106</v>
      </c>
      <c r="E1302" s="30"/>
      <c r="F1302" s="30" t="s">
        <v>107</v>
      </c>
      <c r="G1302" s="30" t="s">
        <v>106</v>
      </c>
      <c r="H1302" s="30"/>
      <c r="I1302" s="30" t="s">
        <v>191</v>
      </c>
      <c r="J1302" s="30"/>
      <c r="K1302" s="30" t="s">
        <v>648</v>
      </c>
      <c r="L1302" s="30" t="s">
        <v>108</v>
      </c>
      <c r="M1302" s="30" t="s">
        <v>109</v>
      </c>
      <c r="N1302" s="30" t="s">
        <v>114</v>
      </c>
      <c r="O1302" s="30" t="s">
        <v>115</v>
      </c>
      <c r="P1302" s="30" t="s">
        <v>112</v>
      </c>
      <c r="Q1302" s="30" t="s">
        <v>112</v>
      </c>
      <c r="R1302" s="30" t="s">
        <v>185</v>
      </c>
      <c r="S1302" s="81">
        <f>HLOOKUP(L1302,データについて!$J$6:$M$18,13,FALSE)</f>
        <v>1</v>
      </c>
      <c r="T1302" s="81">
        <f>HLOOKUP(M1302,データについて!$J$7:$M$18,12,FALSE)</f>
        <v>2</v>
      </c>
      <c r="U1302" s="81">
        <f>HLOOKUP(N1302,データについて!$J$8:$M$18,11,FALSE)</f>
        <v>1</v>
      </c>
      <c r="V1302" s="81">
        <f>HLOOKUP(O1302,データについて!$J$9:$M$18,10,FALSE)</f>
        <v>1</v>
      </c>
      <c r="W1302" s="81">
        <f>HLOOKUP(P1302,データについて!$J$10:$M$18,9,FALSE)</f>
        <v>1</v>
      </c>
      <c r="X1302" s="81">
        <f>HLOOKUP(Q1302,データについて!$J$11:$M$18,8,FALSE)</f>
        <v>1</v>
      </c>
      <c r="Y1302" s="81">
        <f>HLOOKUP(R1302,データについて!$J$12:$M$18,7,FALSE)</f>
        <v>2</v>
      </c>
      <c r="Z1302" s="81">
        <f>HLOOKUP(I1302,データについて!$J$3:$M$18,16,FALSE)</f>
        <v>2</v>
      </c>
      <c r="AA1302" s="81" t="str">
        <f>IFERROR(HLOOKUP(J1302,データについて!$J$4:$AH$19,16,FALSE),"")</f>
        <v/>
      </c>
      <c r="AB1302" s="81">
        <f>IFERROR(HLOOKUP(K1302,データについて!$J$5:$AH$20,14,FALSE),"")</f>
        <v>0</v>
      </c>
      <c r="AC1302" s="81">
        <f>IF(X1302=1,HLOOKUP(R1302,データについて!$J$12:$M$18,7,FALSE),"*")</f>
        <v>2</v>
      </c>
      <c r="AD1302" s="81" t="str">
        <f>IF(X1302=2,HLOOKUP(R1302,データについて!$J$12:$M$18,7,FALSE),"*")</f>
        <v>*</v>
      </c>
    </row>
    <row r="1303" spans="1:30">
      <c r="A1303" s="30">
        <v>3889</v>
      </c>
      <c r="B1303" s="30" t="s">
        <v>756</v>
      </c>
      <c r="C1303" s="30" t="s">
        <v>755</v>
      </c>
      <c r="D1303" s="30" t="s">
        <v>106</v>
      </c>
      <c r="E1303" s="30"/>
      <c r="F1303" s="30" t="s">
        <v>107</v>
      </c>
      <c r="G1303" s="30" t="s">
        <v>106</v>
      </c>
      <c r="H1303" s="30"/>
      <c r="I1303" s="30" t="s">
        <v>191</v>
      </c>
      <c r="J1303" s="30"/>
      <c r="K1303" s="30" t="s">
        <v>648</v>
      </c>
      <c r="L1303" s="30" t="s">
        <v>108</v>
      </c>
      <c r="M1303" s="30" t="s">
        <v>109</v>
      </c>
      <c r="N1303" s="30" t="s">
        <v>110</v>
      </c>
      <c r="O1303" s="30" t="s">
        <v>115</v>
      </c>
      <c r="P1303" s="30" t="s">
        <v>112</v>
      </c>
      <c r="Q1303" s="30" t="s">
        <v>112</v>
      </c>
      <c r="R1303" s="30" t="s">
        <v>185</v>
      </c>
      <c r="S1303" s="81">
        <f>HLOOKUP(L1303,データについて!$J$6:$M$18,13,FALSE)</f>
        <v>1</v>
      </c>
      <c r="T1303" s="81">
        <f>HLOOKUP(M1303,データについて!$J$7:$M$18,12,FALSE)</f>
        <v>2</v>
      </c>
      <c r="U1303" s="81">
        <f>HLOOKUP(N1303,データについて!$J$8:$M$18,11,FALSE)</f>
        <v>2</v>
      </c>
      <c r="V1303" s="81">
        <f>HLOOKUP(O1303,データについて!$J$9:$M$18,10,FALSE)</f>
        <v>1</v>
      </c>
      <c r="W1303" s="81">
        <f>HLOOKUP(P1303,データについて!$J$10:$M$18,9,FALSE)</f>
        <v>1</v>
      </c>
      <c r="X1303" s="81">
        <f>HLOOKUP(Q1303,データについて!$J$11:$M$18,8,FALSE)</f>
        <v>1</v>
      </c>
      <c r="Y1303" s="81">
        <f>HLOOKUP(R1303,データについて!$J$12:$M$18,7,FALSE)</f>
        <v>2</v>
      </c>
      <c r="Z1303" s="81">
        <f>HLOOKUP(I1303,データについて!$J$3:$M$18,16,FALSE)</f>
        <v>2</v>
      </c>
      <c r="AA1303" s="81" t="str">
        <f>IFERROR(HLOOKUP(J1303,データについて!$J$4:$AH$19,16,FALSE),"")</f>
        <v/>
      </c>
      <c r="AB1303" s="81">
        <f>IFERROR(HLOOKUP(K1303,データについて!$J$5:$AH$20,14,FALSE),"")</f>
        <v>0</v>
      </c>
      <c r="AC1303" s="81">
        <f>IF(X1303=1,HLOOKUP(R1303,データについて!$J$12:$M$18,7,FALSE),"*")</f>
        <v>2</v>
      </c>
      <c r="AD1303" s="81" t="str">
        <f>IF(X1303=2,HLOOKUP(R1303,データについて!$J$12:$M$18,7,FALSE),"*")</f>
        <v>*</v>
      </c>
    </row>
    <row r="1304" spans="1:30">
      <c r="A1304" s="30">
        <v>3888</v>
      </c>
      <c r="B1304" s="30" t="s">
        <v>757</v>
      </c>
      <c r="C1304" s="30" t="s">
        <v>758</v>
      </c>
      <c r="D1304" s="30" t="s">
        <v>106</v>
      </c>
      <c r="E1304" s="30"/>
      <c r="F1304" s="30" t="s">
        <v>107</v>
      </c>
      <c r="G1304" s="30" t="s">
        <v>106</v>
      </c>
      <c r="H1304" s="30"/>
      <c r="I1304" s="30" t="s">
        <v>191</v>
      </c>
      <c r="J1304" s="30"/>
      <c r="K1304" s="30" t="s">
        <v>648</v>
      </c>
      <c r="L1304" s="30" t="s">
        <v>108</v>
      </c>
      <c r="M1304" s="30" t="s">
        <v>113</v>
      </c>
      <c r="N1304" s="30" t="s">
        <v>114</v>
      </c>
      <c r="O1304" s="30" t="s">
        <v>115</v>
      </c>
      <c r="P1304" s="30" t="s">
        <v>112</v>
      </c>
      <c r="Q1304" s="30" t="s">
        <v>112</v>
      </c>
      <c r="R1304" s="30" t="s">
        <v>185</v>
      </c>
      <c r="S1304" s="81">
        <f>HLOOKUP(L1304,データについて!$J$6:$M$18,13,FALSE)</f>
        <v>1</v>
      </c>
      <c r="T1304" s="81">
        <f>HLOOKUP(M1304,データについて!$J$7:$M$18,12,FALSE)</f>
        <v>1</v>
      </c>
      <c r="U1304" s="81">
        <f>HLOOKUP(N1304,データについて!$J$8:$M$18,11,FALSE)</f>
        <v>1</v>
      </c>
      <c r="V1304" s="81">
        <f>HLOOKUP(O1304,データについて!$J$9:$M$18,10,FALSE)</f>
        <v>1</v>
      </c>
      <c r="W1304" s="81">
        <f>HLOOKUP(P1304,データについて!$J$10:$M$18,9,FALSE)</f>
        <v>1</v>
      </c>
      <c r="X1304" s="81">
        <f>HLOOKUP(Q1304,データについて!$J$11:$M$18,8,FALSE)</f>
        <v>1</v>
      </c>
      <c r="Y1304" s="81">
        <f>HLOOKUP(R1304,データについて!$J$12:$M$18,7,FALSE)</f>
        <v>2</v>
      </c>
      <c r="Z1304" s="81">
        <f>HLOOKUP(I1304,データについて!$J$3:$M$18,16,FALSE)</f>
        <v>2</v>
      </c>
      <c r="AA1304" s="81" t="str">
        <f>IFERROR(HLOOKUP(J1304,データについて!$J$4:$AH$19,16,FALSE),"")</f>
        <v/>
      </c>
      <c r="AB1304" s="81">
        <f>IFERROR(HLOOKUP(K1304,データについて!$J$5:$AH$20,14,FALSE),"")</f>
        <v>0</v>
      </c>
      <c r="AC1304" s="81">
        <f>IF(X1304=1,HLOOKUP(R1304,データについて!$J$12:$M$18,7,FALSE),"*")</f>
        <v>2</v>
      </c>
      <c r="AD1304" s="81" t="str">
        <f>IF(X1304=2,HLOOKUP(R1304,データについて!$J$12:$M$18,7,FALSE),"*")</f>
        <v>*</v>
      </c>
    </row>
    <row r="1305" spans="1:30">
      <c r="A1305" s="30">
        <v>3887</v>
      </c>
      <c r="B1305" s="30" t="s">
        <v>759</v>
      </c>
      <c r="C1305" s="30" t="s">
        <v>760</v>
      </c>
      <c r="D1305" s="30" t="s">
        <v>106</v>
      </c>
      <c r="E1305" s="30"/>
      <c r="F1305" s="30" t="s">
        <v>107</v>
      </c>
      <c r="G1305" s="30" t="s">
        <v>106</v>
      </c>
      <c r="H1305" s="30"/>
      <c r="I1305" s="30" t="s">
        <v>191</v>
      </c>
      <c r="J1305" s="30"/>
      <c r="K1305" s="30" t="s">
        <v>648</v>
      </c>
      <c r="L1305" s="30" t="s">
        <v>108</v>
      </c>
      <c r="M1305" s="30" t="s">
        <v>109</v>
      </c>
      <c r="N1305" s="30" t="s">
        <v>114</v>
      </c>
      <c r="O1305" s="30" t="s">
        <v>115</v>
      </c>
      <c r="P1305" s="30" t="s">
        <v>112</v>
      </c>
      <c r="Q1305" s="30" t="s">
        <v>112</v>
      </c>
      <c r="R1305" s="30" t="s">
        <v>185</v>
      </c>
      <c r="S1305" s="81">
        <f>HLOOKUP(L1305,データについて!$J$6:$M$18,13,FALSE)</f>
        <v>1</v>
      </c>
      <c r="T1305" s="81">
        <f>HLOOKUP(M1305,データについて!$J$7:$M$18,12,FALSE)</f>
        <v>2</v>
      </c>
      <c r="U1305" s="81">
        <f>HLOOKUP(N1305,データについて!$J$8:$M$18,11,FALSE)</f>
        <v>1</v>
      </c>
      <c r="V1305" s="81">
        <f>HLOOKUP(O1305,データについて!$J$9:$M$18,10,FALSE)</f>
        <v>1</v>
      </c>
      <c r="W1305" s="81">
        <f>HLOOKUP(P1305,データについて!$J$10:$M$18,9,FALSE)</f>
        <v>1</v>
      </c>
      <c r="X1305" s="81">
        <f>HLOOKUP(Q1305,データについて!$J$11:$M$18,8,FALSE)</f>
        <v>1</v>
      </c>
      <c r="Y1305" s="81">
        <f>HLOOKUP(R1305,データについて!$J$12:$M$18,7,FALSE)</f>
        <v>2</v>
      </c>
      <c r="Z1305" s="81">
        <f>HLOOKUP(I1305,データについて!$J$3:$M$18,16,FALSE)</f>
        <v>2</v>
      </c>
      <c r="AA1305" s="81" t="str">
        <f>IFERROR(HLOOKUP(J1305,データについて!$J$4:$AH$19,16,FALSE),"")</f>
        <v/>
      </c>
      <c r="AB1305" s="81">
        <f>IFERROR(HLOOKUP(K1305,データについて!$J$5:$AH$20,14,FALSE),"")</f>
        <v>0</v>
      </c>
      <c r="AC1305" s="81">
        <f>IF(X1305=1,HLOOKUP(R1305,データについて!$J$12:$M$18,7,FALSE),"*")</f>
        <v>2</v>
      </c>
      <c r="AD1305" s="81" t="str">
        <f>IF(X1305=2,HLOOKUP(R1305,データについて!$J$12:$M$18,7,FALSE),"*")</f>
        <v>*</v>
      </c>
    </row>
    <row r="1306" spans="1:30">
      <c r="A1306" s="30">
        <v>3886</v>
      </c>
      <c r="B1306" s="30" t="s">
        <v>761</v>
      </c>
      <c r="C1306" s="30" t="s">
        <v>762</v>
      </c>
      <c r="D1306" s="30" t="s">
        <v>106</v>
      </c>
      <c r="E1306" s="30"/>
      <c r="F1306" s="30" t="s">
        <v>107</v>
      </c>
      <c r="G1306" s="30" t="s">
        <v>106</v>
      </c>
      <c r="H1306" s="30"/>
      <c r="I1306" s="30" t="s">
        <v>191</v>
      </c>
      <c r="J1306" s="30"/>
      <c r="K1306" s="30" t="s">
        <v>648</v>
      </c>
      <c r="L1306" s="30" t="s">
        <v>117</v>
      </c>
      <c r="M1306" s="30" t="s">
        <v>113</v>
      </c>
      <c r="N1306" s="30" t="s">
        <v>114</v>
      </c>
      <c r="O1306" s="30" t="s">
        <v>115</v>
      </c>
      <c r="P1306" s="30" t="s">
        <v>118</v>
      </c>
      <c r="Q1306" s="30" t="s">
        <v>112</v>
      </c>
      <c r="R1306" s="30" t="s">
        <v>183</v>
      </c>
      <c r="S1306" s="81">
        <f>HLOOKUP(L1306,データについて!$J$6:$M$18,13,FALSE)</f>
        <v>2</v>
      </c>
      <c r="T1306" s="81">
        <f>HLOOKUP(M1306,データについて!$J$7:$M$18,12,FALSE)</f>
        <v>1</v>
      </c>
      <c r="U1306" s="81">
        <f>HLOOKUP(N1306,データについて!$J$8:$M$18,11,FALSE)</f>
        <v>1</v>
      </c>
      <c r="V1306" s="81">
        <f>HLOOKUP(O1306,データについて!$J$9:$M$18,10,FALSE)</f>
        <v>1</v>
      </c>
      <c r="W1306" s="81">
        <f>HLOOKUP(P1306,データについて!$J$10:$M$18,9,FALSE)</f>
        <v>2</v>
      </c>
      <c r="X1306" s="81">
        <f>HLOOKUP(Q1306,データについて!$J$11:$M$18,8,FALSE)</f>
        <v>1</v>
      </c>
      <c r="Y1306" s="81">
        <f>HLOOKUP(R1306,データについて!$J$12:$M$18,7,FALSE)</f>
        <v>1</v>
      </c>
      <c r="Z1306" s="81">
        <f>HLOOKUP(I1306,データについて!$J$3:$M$18,16,FALSE)</f>
        <v>2</v>
      </c>
      <c r="AA1306" s="81" t="str">
        <f>IFERROR(HLOOKUP(J1306,データについて!$J$4:$AH$19,16,FALSE),"")</f>
        <v/>
      </c>
      <c r="AB1306" s="81">
        <f>IFERROR(HLOOKUP(K1306,データについて!$J$5:$AH$20,14,FALSE),"")</f>
        <v>0</v>
      </c>
      <c r="AC1306" s="81">
        <f>IF(X1306=1,HLOOKUP(R1306,データについて!$J$12:$M$18,7,FALSE),"*")</f>
        <v>1</v>
      </c>
      <c r="AD1306" s="81" t="str">
        <f>IF(X1306=2,HLOOKUP(R1306,データについて!$J$12:$M$18,7,FALSE),"*")</f>
        <v>*</v>
      </c>
    </row>
    <row r="1307" spans="1:30">
      <c r="A1307" s="30">
        <v>3885</v>
      </c>
      <c r="B1307" s="30" t="s">
        <v>763</v>
      </c>
      <c r="C1307" s="30" t="s">
        <v>764</v>
      </c>
      <c r="D1307" s="30" t="s">
        <v>106</v>
      </c>
      <c r="E1307" s="30"/>
      <c r="F1307" s="30" t="s">
        <v>107</v>
      </c>
      <c r="G1307" s="30" t="s">
        <v>106</v>
      </c>
      <c r="H1307" s="30"/>
      <c r="I1307" s="30" t="s">
        <v>191</v>
      </c>
      <c r="J1307" s="30"/>
      <c r="K1307" s="30" t="s">
        <v>648</v>
      </c>
      <c r="L1307" s="30" t="s">
        <v>117</v>
      </c>
      <c r="M1307" s="30" t="s">
        <v>109</v>
      </c>
      <c r="N1307" s="30" t="s">
        <v>110</v>
      </c>
      <c r="O1307" s="30" t="s">
        <v>115</v>
      </c>
      <c r="P1307" s="30" t="s">
        <v>112</v>
      </c>
      <c r="Q1307" s="30" t="s">
        <v>112</v>
      </c>
      <c r="R1307" s="30" t="s">
        <v>189</v>
      </c>
      <c r="S1307" s="81">
        <f>HLOOKUP(L1307,データについて!$J$6:$M$18,13,FALSE)</f>
        <v>2</v>
      </c>
      <c r="T1307" s="81">
        <f>HLOOKUP(M1307,データについて!$J$7:$M$18,12,FALSE)</f>
        <v>2</v>
      </c>
      <c r="U1307" s="81">
        <f>HLOOKUP(N1307,データについて!$J$8:$M$18,11,FALSE)</f>
        <v>2</v>
      </c>
      <c r="V1307" s="81">
        <f>HLOOKUP(O1307,データについて!$J$9:$M$18,10,FALSE)</f>
        <v>1</v>
      </c>
      <c r="W1307" s="81">
        <f>HLOOKUP(P1307,データについて!$J$10:$M$18,9,FALSE)</f>
        <v>1</v>
      </c>
      <c r="X1307" s="81">
        <f>HLOOKUP(Q1307,データについて!$J$11:$M$18,8,FALSE)</f>
        <v>1</v>
      </c>
      <c r="Y1307" s="81">
        <f>HLOOKUP(R1307,データについて!$J$12:$M$18,7,FALSE)</f>
        <v>4</v>
      </c>
      <c r="Z1307" s="81">
        <f>HLOOKUP(I1307,データについて!$J$3:$M$18,16,FALSE)</f>
        <v>2</v>
      </c>
      <c r="AA1307" s="81" t="str">
        <f>IFERROR(HLOOKUP(J1307,データについて!$J$4:$AH$19,16,FALSE),"")</f>
        <v/>
      </c>
      <c r="AB1307" s="81">
        <f>IFERROR(HLOOKUP(K1307,データについて!$J$5:$AH$20,14,FALSE),"")</f>
        <v>0</v>
      </c>
      <c r="AC1307" s="81">
        <f>IF(X1307=1,HLOOKUP(R1307,データについて!$J$12:$M$18,7,FALSE),"*")</f>
        <v>4</v>
      </c>
      <c r="AD1307" s="81" t="str">
        <f>IF(X1307=2,HLOOKUP(R1307,データについて!$J$12:$M$18,7,FALSE),"*")</f>
        <v>*</v>
      </c>
    </row>
    <row r="1308" spans="1:30">
      <c r="A1308" s="30">
        <v>3884</v>
      </c>
      <c r="B1308" s="30" t="s">
        <v>765</v>
      </c>
      <c r="C1308" s="30" t="s">
        <v>764</v>
      </c>
      <c r="D1308" s="30" t="s">
        <v>106</v>
      </c>
      <c r="E1308" s="30"/>
      <c r="F1308" s="30" t="s">
        <v>107</v>
      </c>
      <c r="G1308" s="30" t="s">
        <v>106</v>
      </c>
      <c r="H1308" s="30"/>
      <c r="I1308" s="30" t="s">
        <v>191</v>
      </c>
      <c r="J1308" s="30"/>
      <c r="K1308" s="30" t="s">
        <v>616</v>
      </c>
      <c r="L1308" s="30" t="s">
        <v>108</v>
      </c>
      <c r="M1308" s="30" t="s">
        <v>121</v>
      </c>
      <c r="N1308" s="30" t="s">
        <v>119</v>
      </c>
      <c r="O1308" s="30" t="s">
        <v>115</v>
      </c>
      <c r="P1308" s="30" t="s">
        <v>112</v>
      </c>
      <c r="Q1308" s="30" t="s">
        <v>118</v>
      </c>
      <c r="R1308" s="30" t="s">
        <v>189</v>
      </c>
      <c r="S1308" s="81">
        <f>HLOOKUP(L1308,データについて!$J$6:$M$18,13,FALSE)</f>
        <v>1</v>
      </c>
      <c r="T1308" s="81">
        <f>HLOOKUP(M1308,データについて!$J$7:$M$18,12,FALSE)</f>
        <v>4</v>
      </c>
      <c r="U1308" s="81">
        <f>HLOOKUP(N1308,データについて!$J$8:$M$18,11,FALSE)</f>
        <v>4</v>
      </c>
      <c r="V1308" s="81">
        <f>HLOOKUP(O1308,データについて!$J$9:$M$18,10,FALSE)</f>
        <v>1</v>
      </c>
      <c r="W1308" s="81">
        <f>HLOOKUP(P1308,データについて!$J$10:$M$18,9,FALSE)</f>
        <v>1</v>
      </c>
      <c r="X1308" s="81">
        <f>HLOOKUP(Q1308,データについて!$J$11:$M$18,8,FALSE)</f>
        <v>2</v>
      </c>
      <c r="Y1308" s="81">
        <f>HLOOKUP(R1308,データについて!$J$12:$M$18,7,FALSE)</f>
        <v>4</v>
      </c>
      <c r="Z1308" s="81">
        <f>HLOOKUP(I1308,データについて!$J$3:$M$18,16,FALSE)</f>
        <v>2</v>
      </c>
      <c r="AA1308" s="81" t="str">
        <f>IFERROR(HLOOKUP(J1308,データについて!$J$4:$AH$19,16,FALSE),"")</f>
        <v/>
      </c>
      <c r="AB1308" s="81">
        <f>IFERROR(HLOOKUP(K1308,データについて!$J$5:$AH$20,14,FALSE),"")</f>
        <v>0</v>
      </c>
      <c r="AC1308" s="81" t="str">
        <f>IF(X1308=1,HLOOKUP(R1308,データについて!$J$12:$M$18,7,FALSE),"*")</f>
        <v>*</v>
      </c>
      <c r="AD1308" s="81">
        <f>IF(X1308=2,HLOOKUP(R1308,データについて!$J$12:$M$18,7,FALSE),"*")</f>
        <v>4</v>
      </c>
    </row>
    <row r="1309" spans="1:30">
      <c r="A1309" s="30">
        <v>3883</v>
      </c>
      <c r="B1309" s="30" t="s">
        <v>766</v>
      </c>
      <c r="C1309" s="30" t="s">
        <v>767</v>
      </c>
      <c r="D1309" s="30" t="s">
        <v>106</v>
      </c>
      <c r="E1309" s="30"/>
      <c r="F1309" s="30" t="s">
        <v>107</v>
      </c>
      <c r="G1309" s="30" t="s">
        <v>106</v>
      </c>
      <c r="H1309" s="30"/>
      <c r="I1309" s="30" t="s">
        <v>191</v>
      </c>
      <c r="J1309" s="30"/>
      <c r="K1309" s="30" t="s">
        <v>648</v>
      </c>
      <c r="L1309" s="30" t="s">
        <v>117</v>
      </c>
      <c r="M1309" s="30" t="s">
        <v>113</v>
      </c>
      <c r="N1309" s="30" t="s">
        <v>114</v>
      </c>
      <c r="O1309" s="30" t="s">
        <v>116</v>
      </c>
      <c r="P1309" s="30" t="s">
        <v>112</v>
      </c>
      <c r="Q1309" s="30" t="s">
        <v>112</v>
      </c>
      <c r="R1309" s="30" t="s">
        <v>187</v>
      </c>
      <c r="S1309" s="81">
        <f>HLOOKUP(L1309,データについて!$J$6:$M$18,13,FALSE)</f>
        <v>2</v>
      </c>
      <c r="T1309" s="81">
        <f>HLOOKUP(M1309,データについて!$J$7:$M$18,12,FALSE)</f>
        <v>1</v>
      </c>
      <c r="U1309" s="81">
        <f>HLOOKUP(N1309,データについて!$J$8:$M$18,11,FALSE)</f>
        <v>1</v>
      </c>
      <c r="V1309" s="81">
        <f>HLOOKUP(O1309,データについて!$J$9:$M$18,10,FALSE)</f>
        <v>2</v>
      </c>
      <c r="W1309" s="81">
        <f>HLOOKUP(P1309,データについて!$J$10:$M$18,9,FALSE)</f>
        <v>1</v>
      </c>
      <c r="X1309" s="81">
        <f>HLOOKUP(Q1309,データについて!$J$11:$M$18,8,FALSE)</f>
        <v>1</v>
      </c>
      <c r="Y1309" s="81">
        <f>HLOOKUP(R1309,データについて!$J$12:$M$18,7,FALSE)</f>
        <v>3</v>
      </c>
      <c r="Z1309" s="81">
        <f>HLOOKUP(I1309,データについて!$J$3:$M$18,16,FALSE)</f>
        <v>2</v>
      </c>
      <c r="AA1309" s="81" t="str">
        <f>IFERROR(HLOOKUP(J1309,データについて!$J$4:$AH$19,16,FALSE),"")</f>
        <v/>
      </c>
      <c r="AB1309" s="81">
        <f>IFERROR(HLOOKUP(K1309,データについて!$J$5:$AH$20,14,FALSE),"")</f>
        <v>0</v>
      </c>
      <c r="AC1309" s="81">
        <f>IF(X1309=1,HLOOKUP(R1309,データについて!$J$12:$M$18,7,FALSE),"*")</f>
        <v>3</v>
      </c>
      <c r="AD1309" s="81" t="str">
        <f>IF(X1309=2,HLOOKUP(R1309,データについて!$J$12:$M$18,7,FALSE),"*")</f>
        <v>*</v>
      </c>
    </row>
    <row r="1310" spans="1:30">
      <c r="A1310" s="30">
        <v>3882</v>
      </c>
      <c r="B1310" s="30" t="s">
        <v>768</v>
      </c>
      <c r="C1310" s="30" t="s">
        <v>769</v>
      </c>
      <c r="D1310" s="30" t="s">
        <v>106</v>
      </c>
      <c r="E1310" s="30"/>
      <c r="F1310" s="30" t="s">
        <v>107</v>
      </c>
      <c r="G1310" s="30" t="s">
        <v>106</v>
      </c>
      <c r="H1310" s="30"/>
      <c r="I1310" s="30" t="s">
        <v>191</v>
      </c>
      <c r="J1310" s="30"/>
      <c r="K1310" s="30" t="s">
        <v>648</v>
      </c>
      <c r="L1310" s="30" t="s">
        <v>108</v>
      </c>
      <c r="M1310" s="30" t="s">
        <v>109</v>
      </c>
      <c r="N1310" s="30" t="s">
        <v>110</v>
      </c>
      <c r="O1310" s="30" t="s">
        <v>115</v>
      </c>
      <c r="P1310" s="30" t="s">
        <v>112</v>
      </c>
      <c r="Q1310" s="30" t="s">
        <v>112</v>
      </c>
      <c r="R1310" s="30" t="s">
        <v>185</v>
      </c>
      <c r="S1310" s="81">
        <f>HLOOKUP(L1310,データについて!$J$6:$M$18,13,FALSE)</f>
        <v>1</v>
      </c>
      <c r="T1310" s="81">
        <f>HLOOKUP(M1310,データについて!$J$7:$M$18,12,FALSE)</f>
        <v>2</v>
      </c>
      <c r="U1310" s="81">
        <f>HLOOKUP(N1310,データについて!$J$8:$M$18,11,FALSE)</f>
        <v>2</v>
      </c>
      <c r="V1310" s="81">
        <f>HLOOKUP(O1310,データについて!$J$9:$M$18,10,FALSE)</f>
        <v>1</v>
      </c>
      <c r="W1310" s="81">
        <f>HLOOKUP(P1310,データについて!$J$10:$M$18,9,FALSE)</f>
        <v>1</v>
      </c>
      <c r="X1310" s="81">
        <f>HLOOKUP(Q1310,データについて!$J$11:$M$18,8,FALSE)</f>
        <v>1</v>
      </c>
      <c r="Y1310" s="81">
        <f>HLOOKUP(R1310,データについて!$J$12:$M$18,7,FALSE)</f>
        <v>2</v>
      </c>
      <c r="Z1310" s="81">
        <f>HLOOKUP(I1310,データについて!$J$3:$M$18,16,FALSE)</f>
        <v>2</v>
      </c>
      <c r="AA1310" s="81" t="str">
        <f>IFERROR(HLOOKUP(J1310,データについて!$J$4:$AH$19,16,FALSE),"")</f>
        <v/>
      </c>
      <c r="AB1310" s="81">
        <f>IFERROR(HLOOKUP(K1310,データについて!$J$5:$AH$20,14,FALSE),"")</f>
        <v>0</v>
      </c>
      <c r="AC1310" s="81">
        <f>IF(X1310=1,HLOOKUP(R1310,データについて!$J$12:$M$18,7,FALSE),"*")</f>
        <v>2</v>
      </c>
      <c r="AD1310" s="81" t="str">
        <f>IF(X1310=2,HLOOKUP(R1310,データについて!$J$12:$M$18,7,FALSE),"*")</f>
        <v>*</v>
      </c>
    </row>
    <row r="1311" spans="1:30">
      <c r="A1311" s="30">
        <v>3881</v>
      </c>
      <c r="B1311" s="30" t="s">
        <v>770</v>
      </c>
      <c r="C1311" s="30" t="s">
        <v>771</v>
      </c>
      <c r="D1311" s="30" t="s">
        <v>106</v>
      </c>
      <c r="E1311" s="30"/>
      <c r="F1311" s="30" t="s">
        <v>107</v>
      </c>
      <c r="G1311" s="30" t="s">
        <v>106</v>
      </c>
      <c r="H1311" s="30"/>
      <c r="I1311" s="30" t="s">
        <v>191</v>
      </c>
      <c r="J1311" s="30"/>
      <c r="K1311" s="30" t="s">
        <v>648</v>
      </c>
      <c r="L1311" s="30" t="s">
        <v>117</v>
      </c>
      <c r="M1311" s="30" t="s">
        <v>113</v>
      </c>
      <c r="N1311" s="30" t="s">
        <v>110</v>
      </c>
      <c r="O1311" s="30" t="s">
        <v>115</v>
      </c>
      <c r="P1311" s="30" t="s">
        <v>118</v>
      </c>
      <c r="Q1311" s="30" t="s">
        <v>112</v>
      </c>
      <c r="R1311" s="30" t="s">
        <v>187</v>
      </c>
      <c r="S1311" s="81">
        <f>HLOOKUP(L1311,データについて!$J$6:$M$18,13,FALSE)</f>
        <v>2</v>
      </c>
      <c r="T1311" s="81">
        <f>HLOOKUP(M1311,データについて!$J$7:$M$18,12,FALSE)</f>
        <v>1</v>
      </c>
      <c r="U1311" s="81">
        <f>HLOOKUP(N1311,データについて!$J$8:$M$18,11,FALSE)</f>
        <v>2</v>
      </c>
      <c r="V1311" s="81">
        <f>HLOOKUP(O1311,データについて!$J$9:$M$18,10,FALSE)</f>
        <v>1</v>
      </c>
      <c r="W1311" s="81">
        <f>HLOOKUP(P1311,データについて!$J$10:$M$18,9,FALSE)</f>
        <v>2</v>
      </c>
      <c r="X1311" s="81">
        <f>HLOOKUP(Q1311,データについて!$J$11:$M$18,8,FALSE)</f>
        <v>1</v>
      </c>
      <c r="Y1311" s="81">
        <f>HLOOKUP(R1311,データについて!$J$12:$M$18,7,FALSE)</f>
        <v>3</v>
      </c>
      <c r="Z1311" s="81">
        <f>HLOOKUP(I1311,データについて!$J$3:$M$18,16,FALSE)</f>
        <v>2</v>
      </c>
      <c r="AA1311" s="81" t="str">
        <f>IFERROR(HLOOKUP(J1311,データについて!$J$4:$AH$19,16,FALSE),"")</f>
        <v/>
      </c>
      <c r="AB1311" s="81">
        <f>IFERROR(HLOOKUP(K1311,データについて!$J$5:$AH$20,14,FALSE),"")</f>
        <v>0</v>
      </c>
      <c r="AC1311" s="81">
        <f>IF(X1311=1,HLOOKUP(R1311,データについて!$J$12:$M$18,7,FALSE),"*")</f>
        <v>3</v>
      </c>
      <c r="AD1311" s="81" t="str">
        <f>IF(X1311=2,HLOOKUP(R1311,データについて!$J$12:$M$18,7,FALSE),"*")</f>
        <v>*</v>
      </c>
    </row>
    <row r="1312" spans="1:30">
      <c r="A1312" s="30">
        <v>3880</v>
      </c>
      <c r="B1312" s="30" t="s">
        <v>772</v>
      </c>
      <c r="C1312" s="30" t="s">
        <v>773</v>
      </c>
      <c r="D1312" s="30" t="s">
        <v>106</v>
      </c>
      <c r="E1312" s="30"/>
      <c r="F1312" s="30" t="s">
        <v>107</v>
      </c>
      <c r="G1312" s="30" t="s">
        <v>106</v>
      </c>
      <c r="H1312" s="30"/>
      <c r="I1312" s="30" t="s">
        <v>191</v>
      </c>
      <c r="J1312" s="30"/>
      <c r="K1312" s="30" t="s">
        <v>616</v>
      </c>
      <c r="L1312" s="30" t="s">
        <v>117</v>
      </c>
      <c r="M1312" s="30" t="s">
        <v>109</v>
      </c>
      <c r="N1312" s="30" t="s">
        <v>114</v>
      </c>
      <c r="O1312" s="30" t="s">
        <v>115</v>
      </c>
      <c r="P1312" s="30" t="s">
        <v>118</v>
      </c>
      <c r="Q1312" s="30" t="s">
        <v>112</v>
      </c>
      <c r="R1312" s="30" t="s">
        <v>187</v>
      </c>
      <c r="S1312" s="81">
        <f>HLOOKUP(L1312,データについて!$J$6:$M$18,13,FALSE)</f>
        <v>2</v>
      </c>
      <c r="T1312" s="81">
        <f>HLOOKUP(M1312,データについて!$J$7:$M$18,12,FALSE)</f>
        <v>2</v>
      </c>
      <c r="U1312" s="81">
        <f>HLOOKUP(N1312,データについて!$J$8:$M$18,11,FALSE)</f>
        <v>1</v>
      </c>
      <c r="V1312" s="81">
        <f>HLOOKUP(O1312,データについて!$J$9:$M$18,10,FALSE)</f>
        <v>1</v>
      </c>
      <c r="W1312" s="81">
        <f>HLOOKUP(P1312,データについて!$J$10:$M$18,9,FALSE)</f>
        <v>2</v>
      </c>
      <c r="X1312" s="81">
        <f>HLOOKUP(Q1312,データについて!$J$11:$M$18,8,FALSE)</f>
        <v>1</v>
      </c>
      <c r="Y1312" s="81">
        <f>HLOOKUP(R1312,データについて!$J$12:$M$18,7,FALSE)</f>
        <v>3</v>
      </c>
      <c r="Z1312" s="81">
        <f>HLOOKUP(I1312,データについて!$J$3:$M$18,16,FALSE)</f>
        <v>2</v>
      </c>
      <c r="AA1312" s="81" t="str">
        <f>IFERROR(HLOOKUP(J1312,データについて!$J$4:$AH$19,16,FALSE),"")</f>
        <v/>
      </c>
      <c r="AB1312" s="81">
        <f>IFERROR(HLOOKUP(K1312,データについて!$J$5:$AH$20,14,FALSE),"")</f>
        <v>0</v>
      </c>
      <c r="AC1312" s="81">
        <f>IF(X1312=1,HLOOKUP(R1312,データについて!$J$12:$M$18,7,FALSE),"*")</f>
        <v>3</v>
      </c>
      <c r="AD1312" s="81" t="str">
        <f>IF(X1312=2,HLOOKUP(R1312,データについて!$J$12:$M$18,7,FALSE),"*")</f>
        <v>*</v>
      </c>
    </row>
    <row r="1313" spans="1:30">
      <c r="A1313" s="30">
        <v>3879</v>
      </c>
      <c r="B1313" s="30" t="s">
        <v>774</v>
      </c>
      <c r="C1313" s="30" t="s">
        <v>775</v>
      </c>
      <c r="D1313" s="30" t="s">
        <v>106</v>
      </c>
      <c r="E1313" s="30"/>
      <c r="F1313" s="30" t="s">
        <v>107</v>
      </c>
      <c r="G1313" s="30" t="s">
        <v>106</v>
      </c>
      <c r="H1313" s="30"/>
      <c r="I1313" s="30" t="s">
        <v>191</v>
      </c>
      <c r="J1313" s="30"/>
      <c r="K1313" s="30" t="s">
        <v>616</v>
      </c>
      <c r="L1313" s="30" t="s">
        <v>108</v>
      </c>
      <c r="M1313" s="30" t="s">
        <v>113</v>
      </c>
      <c r="N1313" s="30" t="s">
        <v>114</v>
      </c>
      <c r="O1313" s="30" t="s">
        <v>115</v>
      </c>
      <c r="P1313" s="30" t="s">
        <v>112</v>
      </c>
      <c r="Q1313" s="30" t="s">
        <v>112</v>
      </c>
      <c r="R1313" s="30" t="s">
        <v>185</v>
      </c>
      <c r="S1313" s="81">
        <f>HLOOKUP(L1313,データについて!$J$6:$M$18,13,FALSE)</f>
        <v>1</v>
      </c>
      <c r="T1313" s="81">
        <f>HLOOKUP(M1313,データについて!$J$7:$M$18,12,FALSE)</f>
        <v>1</v>
      </c>
      <c r="U1313" s="81">
        <f>HLOOKUP(N1313,データについて!$J$8:$M$18,11,FALSE)</f>
        <v>1</v>
      </c>
      <c r="V1313" s="81">
        <f>HLOOKUP(O1313,データについて!$J$9:$M$18,10,FALSE)</f>
        <v>1</v>
      </c>
      <c r="W1313" s="81">
        <f>HLOOKUP(P1313,データについて!$J$10:$M$18,9,FALSE)</f>
        <v>1</v>
      </c>
      <c r="X1313" s="81">
        <f>HLOOKUP(Q1313,データについて!$J$11:$M$18,8,FALSE)</f>
        <v>1</v>
      </c>
      <c r="Y1313" s="81">
        <f>HLOOKUP(R1313,データについて!$J$12:$M$18,7,FALSE)</f>
        <v>2</v>
      </c>
      <c r="Z1313" s="81">
        <f>HLOOKUP(I1313,データについて!$J$3:$M$18,16,FALSE)</f>
        <v>2</v>
      </c>
      <c r="AA1313" s="81" t="str">
        <f>IFERROR(HLOOKUP(J1313,データについて!$J$4:$AH$19,16,FALSE),"")</f>
        <v/>
      </c>
      <c r="AB1313" s="81">
        <f>IFERROR(HLOOKUP(K1313,データについて!$J$5:$AH$20,14,FALSE),"")</f>
        <v>0</v>
      </c>
      <c r="AC1313" s="81">
        <f>IF(X1313=1,HLOOKUP(R1313,データについて!$J$12:$M$18,7,FALSE),"*")</f>
        <v>2</v>
      </c>
      <c r="AD1313" s="81" t="str">
        <f>IF(X1313=2,HLOOKUP(R1313,データについて!$J$12:$M$18,7,FALSE),"*")</f>
        <v>*</v>
      </c>
    </row>
    <row r="1314" spans="1:30">
      <c r="A1314" s="30">
        <v>3878</v>
      </c>
      <c r="B1314" s="30" t="s">
        <v>776</v>
      </c>
      <c r="C1314" s="30" t="s">
        <v>777</v>
      </c>
      <c r="D1314" s="30" t="s">
        <v>106</v>
      </c>
      <c r="E1314" s="30"/>
      <c r="F1314" s="30" t="s">
        <v>107</v>
      </c>
      <c r="G1314" s="30" t="s">
        <v>106</v>
      </c>
      <c r="H1314" s="30"/>
      <c r="I1314" s="30" t="s">
        <v>191</v>
      </c>
      <c r="J1314" s="30"/>
      <c r="K1314" s="30" t="s">
        <v>616</v>
      </c>
      <c r="L1314" s="30" t="s">
        <v>108</v>
      </c>
      <c r="M1314" s="30" t="s">
        <v>113</v>
      </c>
      <c r="N1314" s="30" t="s">
        <v>114</v>
      </c>
      <c r="O1314" s="30" t="s">
        <v>115</v>
      </c>
      <c r="P1314" s="30" t="s">
        <v>112</v>
      </c>
      <c r="Q1314" s="30" t="s">
        <v>112</v>
      </c>
      <c r="R1314" s="30" t="s">
        <v>183</v>
      </c>
      <c r="S1314" s="81">
        <f>HLOOKUP(L1314,データについて!$J$6:$M$18,13,FALSE)</f>
        <v>1</v>
      </c>
      <c r="T1314" s="81">
        <f>HLOOKUP(M1314,データについて!$J$7:$M$18,12,FALSE)</f>
        <v>1</v>
      </c>
      <c r="U1314" s="81">
        <f>HLOOKUP(N1314,データについて!$J$8:$M$18,11,FALSE)</f>
        <v>1</v>
      </c>
      <c r="V1314" s="81">
        <f>HLOOKUP(O1314,データについて!$J$9:$M$18,10,FALSE)</f>
        <v>1</v>
      </c>
      <c r="W1314" s="81">
        <f>HLOOKUP(P1314,データについて!$J$10:$M$18,9,FALSE)</f>
        <v>1</v>
      </c>
      <c r="X1314" s="81">
        <f>HLOOKUP(Q1314,データについて!$J$11:$M$18,8,FALSE)</f>
        <v>1</v>
      </c>
      <c r="Y1314" s="81">
        <f>HLOOKUP(R1314,データについて!$J$12:$M$18,7,FALSE)</f>
        <v>1</v>
      </c>
      <c r="Z1314" s="81">
        <f>HLOOKUP(I1314,データについて!$J$3:$M$18,16,FALSE)</f>
        <v>2</v>
      </c>
      <c r="AA1314" s="81" t="str">
        <f>IFERROR(HLOOKUP(J1314,データについて!$J$4:$AH$19,16,FALSE),"")</f>
        <v/>
      </c>
      <c r="AB1314" s="81">
        <f>IFERROR(HLOOKUP(K1314,データについて!$J$5:$AH$20,14,FALSE),"")</f>
        <v>0</v>
      </c>
      <c r="AC1314" s="81">
        <f>IF(X1314=1,HLOOKUP(R1314,データについて!$J$12:$M$18,7,FALSE),"*")</f>
        <v>1</v>
      </c>
      <c r="AD1314" s="81" t="str">
        <f>IF(X1314=2,HLOOKUP(R1314,データについて!$J$12:$M$18,7,FALSE),"*")</f>
        <v>*</v>
      </c>
    </row>
    <row r="1315" spans="1:30">
      <c r="A1315" s="30">
        <v>3877</v>
      </c>
      <c r="B1315" s="30" t="s">
        <v>778</v>
      </c>
      <c r="C1315" s="30" t="s">
        <v>779</v>
      </c>
      <c r="D1315" s="30" t="s">
        <v>106</v>
      </c>
      <c r="E1315" s="30"/>
      <c r="F1315" s="30" t="s">
        <v>107</v>
      </c>
      <c r="G1315" s="30" t="s">
        <v>106</v>
      </c>
      <c r="H1315" s="30"/>
      <c r="I1315" s="30" t="s">
        <v>191</v>
      </c>
      <c r="J1315" s="30"/>
      <c r="K1315" s="30" t="s">
        <v>648</v>
      </c>
      <c r="L1315" s="30" t="s">
        <v>108</v>
      </c>
      <c r="M1315" s="30" t="s">
        <v>109</v>
      </c>
      <c r="N1315" s="30" t="s">
        <v>114</v>
      </c>
      <c r="O1315" s="30" t="s">
        <v>115</v>
      </c>
      <c r="P1315" s="30" t="s">
        <v>112</v>
      </c>
      <c r="Q1315" s="30" t="s">
        <v>118</v>
      </c>
      <c r="R1315" s="30" t="s">
        <v>189</v>
      </c>
      <c r="S1315" s="81">
        <f>HLOOKUP(L1315,データについて!$J$6:$M$18,13,FALSE)</f>
        <v>1</v>
      </c>
      <c r="T1315" s="81">
        <f>HLOOKUP(M1315,データについて!$J$7:$M$18,12,FALSE)</f>
        <v>2</v>
      </c>
      <c r="U1315" s="81">
        <f>HLOOKUP(N1315,データについて!$J$8:$M$18,11,FALSE)</f>
        <v>1</v>
      </c>
      <c r="V1315" s="81">
        <f>HLOOKUP(O1315,データについて!$J$9:$M$18,10,FALSE)</f>
        <v>1</v>
      </c>
      <c r="W1315" s="81">
        <f>HLOOKUP(P1315,データについて!$J$10:$M$18,9,FALSE)</f>
        <v>1</v>
      </c>
      <c r="X1315" s="81">
        <f>HLOOKUP(Q1315,データについて!$J$11:$M$18,8,FALSE)</f>
        <v>2</v>
      </c>
      <c r="Y1315" s="81">
        <f>HLOOKUP(R1315,データについて!$J$12:$M$18,7,FALSE)</f>
        <v>4</v>
      </c>
      <c r="Z1315" s="81">
        <f>HLOOKUP(I1315,データについて!$J$3:$M$18,16,FALSE)</f>
        <v>2</v>
      </c>
      <c r="AA1315" s="81" t="str">
        <f>IFERROR(HLOOKUP(J1315,データについて!$J$4:$AH$19,16,FALSE),"")</f>
        <v/>
      </c>
      <c r="AB1315" s="81">
        <f>IFERROR(HLOOKUP(K1315,データについて!$J$5:$AH$20,14,FALSE),"")</f>
        <v>0</v>
      </c>
      <c r="AC1315" s="81" t="str">
        <f>IF(X1315=1,HLOOKUP(R1315,データについて!$J$12:$M$18,7,FALSE),"*")</f>
        <v>*</v>
      </c>
      <c r="AD1315" s="81">
        <f>IF(X1315=2,HLOOKUP(R1315,データについて!$J$12:$M$18,7,FALSE),"*")</f>
        <v>4</v>
      </c>
    </row>
    <row r="1316" spans="1:30">
      <c r="A1316" s="30">
        <v>3876</v>
      </c>
      <c r="B1316" s="30" t="s">
        <v>780</v>
      </c>
      <c r="C1316" s="30" t="s">
        <v>779</v>
      </c>
      <c r="D1316" s="30" t="s">
        <v>106</v>
      </c>
      <c r="E1316" s="30"/>
      <c r="F1316" s="30" t="s">
        <v>107</v>
      </c>
      <c r="G1316" s="30" t="s">
        <v>106</v>
      </c>
      <c r="H1316" s="30"/>
      <c r="I1316" s="30" t="s">
        <v>191</v>
      </c>
      <c r="J1316" s="30"/>
      <c r="K1316" s="30" t="s">
        <v>616</v>
      </c>
      <c r="L1316" s="30" t="s">
        <v>117</v>
      </c>
      <c r="M1316" s="30" t="s">
        <v>113</v>
      </c>
      <c r="N1316" s="30" t="s">
        <v>110</v>
      </c>
      <c r="O1316" s="30" t="s">
        <v>115</v>
      </c>
      <c r="P1316" s="30" t="s">
        <v>112</v>
      </c>
      <c r="Q1316" s="30" t="s">
        <v>112</v>
      </c>
      <c r="R1316" s="30" t="s">
        <v>185</v>
      </c>
      <c r="S1316" s="81">
        <f>HLOOKUP(L1316,データについて!$J$6:$M$18,13,FALSE)</f>
        <v>2</v>
      </c>
      <c r="T1316" s="81">
        <f>HLOOKUP(M1316,データについて!$J$7:$M$18,12,FALSE)</f>
        <v>1</v>
      </c>
      <c r="U1316" s="81">
        <f>HLOOKUP(N1316,データについて!$J$8:$M$18,11,FALSE)</f>
        <v>2</v>
      </c>
      <c r="V1316" s="81">
        <f>HLOOKUP(O1316,データについて!$J$9:$M$18,10,FALSE)</f>
        <v>1</v>
      </c>
      <c r="W1316" s="81">
        <f>HLOOKUP(P1316,データについて!$J$10:$M$18,9,FALSE)</f>
        <v>1</v>
      </c>
      <c r="X1316" s="81">
        <f>HLOOKUP(Q1316,データについて!$J$11:$M$18,8,FALSE)</f>
        <v>1</v>
      </c>
      <c r="Y1316" s="81">
        <f>HLOOKUP(R1316,データについて!$J$12:$M$18,7,FALSE)</f>
        <v>2</v>
      </c>
      <c r="Z1316" s="81">
        <f>HLOOKUP(I1316,データについて!$J$3:$M$18,16,FALSE)</f>
        <v>2</v>
      </c>
      <c r="AA1316" s="81" t="str">
        <f>IFERROR(HLOOKUP(J1316,データについて!$J$4:$AH$19,16,FALSE),"")</f>
        <v/>
      </c>
      <c r="AB1316" s="81">
        <f>IFERROR(HLOOKUP(K1316,データについて!$J$5:$AH$20,14,FALSE),"")</f>
        <v>0</v>
      </c>
      <c r="AC1316" s="81">
        <f>IF(X1316=1,HLOOKUP(R1316,データについて!$J$12:$M$18,7,FALSE),"*")</f>
        <v>2</v>
      </c>
      <c r="AD1316" s="81" t="str">
        <f>IF(X1316=2,HLOOKUP(R1316,データについて!$J$12:$M$18,7,FALSE),"*")</f>
        <v>*</v>
      </c>
    </row>
    <row r="1317" spans="1:30">
      <c r="A1317" s="30">
        <v>3875</v>
      </c>
      <c r="B1317" s="30" t="s">
        <v>781</v>
      </c>
      <c r="C1317" s="30" t="s">
        <v>782</v>
      </c>
      <c r="D1317" s="30" t="s">
        <v>106</v>
      </c>
      <c r="E1317" s="30"/>
      <c r="F1317" s="30" t="s">
        <v>107</v>
      </c>
      <c r="G1317" s="30" t="s">
        <v>106</v>
      </c>
      <c r="H1317" s="30"/>
      <c r="I1317" s="30" t="s">
        <v>191</v>
      </c>
      <c r="J1317" s="30"/>
      <c r="K1317" s="30" t="s">
        <v>616</v>
      </c>
      <c r="L1317" s="30" t="s">
        <v>108</v>
      </c>
      <c r="M1317" s="30" t="s">
        <v>109</v>
      </c>
      <c r="N1317" s="30" t="s">
        <v>110</v>
      </c>
      <c r="O1317" s="30" t="s">
        <v>115</v>
      </c>
      <c r="P1317" s="30" t="s">
        <v>112</v>
      </c>
      <c r="Q1317" s="30" t="s">
        <v>112</v>
      </c>
      <c r="R1317" s="30" t="s">
        <v>183</v>
      </c>
      <c r="S1317" s="81">
        <f>HLOOKUP(L1317,データについて!$J$6:$M$18,13,FALSE)</f>
        <v>1</v>
      </c>
      <c r="T1317" s="81">
        <f>HLOOKUP(M1317,データについて!$J$7:$M$18,12,FALSE)</f>
        <v>2</v>
      </c>
      <c r="U1317" s="81">
        <f>HLOOKUP(N1317,データについて!$J$8:$M$18,11,FALSE)</f>
        <v>2</v>
      </c>
      <c r="V1317" s="81">
        <f>HLOOKUP(O1317,データについて!$J$9:$M$18,10,FALSE)</f>
        <v>1</v>
      </c>
      <c r="W1317" s="81">
        <f>HLOOKUP(P1317,データについて!$J$10:$M$18,9,FALSE)</f>
        <v>1</v>
      </c>
      <c r="X1317" s="81">
        <f>HLOOKUP(Q1317,データについて!$J$11:$M$18,8,FALSE)</f>
        <v>1</v>
      </c>
      <c r="Y1317" s="81">
        <f>HLOOKUP(R1317,データについて!$J$12:$M$18,7,FALSE)</f>
        <v>1</v>
      </c>
      <c r="Z1317" s="81">
        <f>HLOOKUP(I1317,データについて!$J$3:$M$18,16,FALSE)</f>
        <v>2</v>
      </c>
      <c r="AA1317" s="81" t="str">
        <f>IFERROR(HLOOKUP(J1317,データについて!$J$4:$AH$19,16,FALSE),"")</f>
        <v/>
      </c>
      <c r="AB1317" s="81">
        <f>IFERROR(HLOOKUP(K1317,データについて!$J$5:$AH$20,14,FALSE),"")</f>
        <v>0</v>
      </c>
      <c r="AC1317" s="81">
        <f>IF(X1317=1,HLOOKUP(R1317,データについて!$J$12:$M$18,7,FALSE),"*")</f>
        <v>1</v>
      </c>
      <c r="AD1317" s="81" t="str">
        <f>IF(X1317=2,HLOOKUP(R1317,データについて!$J$12:$M$18,7,FALSE),"*")</f>
        <v>*</v>
      </c>
    </row>
    <row r="1318" spans="1:30">
      <c r="A1318" s="30">
        <v>3874</v>
      </c>
      <c r="B1318" s="30" t="s">
        <v>783</v>
      </c>
      <c r="C1318" s="30" t="s">
        <v>784</v>
      </c>
      <c r="D1318" s="30" t="s">
        <v>106</v>
      </c>
      <c r="E1318" s="30"/>
      <c r="F1318" s="30" t="s">
        <v>107</v>
      </c>
      <c r="G1318" s="30" t="s">
        <v>106</v>
      </c>
      <c r="H1318" s="30"/>
      <c r="I1318" s="30" t="s">
        <v>191</v>
      </c>
      <c r="J1318" s="30"/>
      <c r="K1318" s="30" t="s">
        <v>648</v>
      </c>
      <c r="L1318" s="30" t="s">
        <v>117</v>
      </c>
      <c r="M1318" s="30" t="s">
        <v>113</v>
      </c>
      <c r="N1318" s="30" t="s">
        <v>110</v>
      </c>
      <c r="O1318" s="30" t="s">
        <v>115</v>
      </c>
      <c r="P1318" s="30" t="s">
        <v>112</v>
      </c>
      <c r="Q1318" s="30" t="s">
        <v>112</v>
      </c>
      <c r="R1318" s="30" t="s">
        <v>189</v>
      </c>
      <c r="S1318" s="81">
        <f>HLOOKUP(L1318,データについて!$J$6:$M$18,13,FALSE)</f>
        <v>2</v>
      </c>
      <c r="T1318" s="81">
        <f>HLOOKUP(M1318,データについて!$J$7:$M$18,12,FALSE)</f>
        <v>1</v>
      </c>
      <c r="U1318" s="81">
        <f>HLOOKUP(N1318,データについて!$J$8:$M$18,11,FALSE)</f>
        <v>2</v>
      </c>
      <c r="V1318" s="81">
        <f>HLOOKUP(O1318,データについて!$J$9:$M$18,10,FALSE)</f>
        <v>1</v>
      </c>
      <c r="W1318" s="81">
        <f>HLOOKUP(P1318,データについて!$J$10:$M$18,9,FALSE)</f>
        <v>1</v>
      </c>
      <c r="X1318" s="81">
        <f>HLOOKUP(Q1318,データについて!$J$11:$M$18,8,FALSE)</f>
        <v>1</v>
      </c>
      <c r="Y1318" s="81">
        <f>HLOOKUP(R1318,データについて!$J$12:$M$18,7,FALSE)</f>
        <v>4</v>
      </c>
      <c r="Z1318" s="81">
        <f>HLOOKUP(I1318,データについて!$J$3:$M$18,16,FALSE)</f>
        <v>2</v>
      </c>
      <c r="AA1318" s="81" t="str">
        <f>IFERROR(HLOOKUP(J1318,データについて!$J$4:$AH$19,16,FALSE),"")</f>
        <v/>
      </c>
      <c r="AB1318" s="81">
        <f>IFERROR(HLOOKUP(K1318,データについて!$J$5:$AH$20,14,FALSE),"")</f>
        <v>0</v>
      </c>
      <c r="AC1318" s="81">
        <f>IF(X1318=1,HLOOKUP(R1318,データについて!$J$12:$M$18,7,FALSE),"*")</f>
        <v>4</v>
      </c>
      <c r="AD1318" s="81" t="str">
        <f>IF(X1318=2,HLOOKUP(R1318,データについて!$J$12:$M$18,7,FALSE),"*")</f>
        <v>*</v>
      </c>
    </row>
    <row r="1319" spans="1:30">
      <c r="A1319" s="30">
        <v>3873</v>
      </c>
      <c r="B1319" s="30" t="s">
        <v>785</v>
      </c>
      <c r="C1319" s="30" t="s">
        <v>786</v>
      </c>
      <c r="D1319" s="30" t="s">
        <v>106</v>
      </c>
      <c r="E1319" s="30"/>
      <c r="F1319" s="30" t="s">
        <v>107</v>
      </c>
      <c r="G1319" s="30" t="s">
        <v>106</v>
      </c>
      <c r="H1319" s="30"/>
      <c r="I1319" s="30" t="s">
        <v>191</v>
      </c>
      <c r="J1319" s="30"/>
      <c r="K1319" s="30" t="s">
        <v>616</v>
      </c>
      <c r="L1319" s="30" t="s">
        <v>108</v>
      </c>
      <c r="M1319" s="30" t="s">
        <v>109</v>
      </c>
      <c r="N1319" s="30" t="s">
        <v>122</v>
      </c>
      <c r="O1319" s="30" t="s">
        <v>123</v>
      </c>
      <c r="P1319" s="30" t="s">
        <v>112</v>
      </c>
      <c r="Q1319" s="30" t="s">
        <v>112</v>
      </c>
      <c r="R1319" s="30" t="s">
        <v>185</v>
      </c>
      <c r="S1319" s="81">
        <f>HLOOKUP(L1319,データについて!$J$6:$M$18,13,FALSE)</f>
        <v>1</v>
      </c>
      <c r="T1319" s="81">
        <f>HLOOKUP(M1319,データについて!$J$7:$M$18,12,FALSE)</f>
        <v>2</v>
      </c>
      <c r="U1319" s="81">
        <f>HLOOKUP(N1319,データについて!$J$8:$M$18,11,FALSE)</f>
        <v>3</v>
      </c>
      <c r="V1319" s="81">
        <f>HLOOKUP(O1319,データについて!$J$9:$M$18,10,FALSE)</f>
        <v>4</v>
      </c>
      <c r="W1319" s="81">
        <f>HLOOKUP(P1319,データについて!$J$10:$M$18,9,FALSE)</f>
        <v>1</v>
      </c>
      <c r="X1319" s="81">
        <f>HLOOKUP(Q1319,データについて!$J$11:$M$18,8,FALSE)</f>
        <v>1</v>
      </c>
      <c r="Y1319" s="81">
        <f>HLOOKUP(R1319,データについて!$J$12:$M$18,7,FALSE)</f>
        <v>2</v>
      </c>
      <c r="Z1319" s="81">
        <f>HLOOKUP(I1319,データについて!$J$3:$M$18,16,FALSE)</f>
        <v>2</v>
      </c>
      <c r="AA1319" s="81" t="str">
        <f>IFERROR(HLOOKUP(J1319,データについて!$J$4:$AH$19,16,FALSE),"")</f>
        <v/>
      </c>
      <c r="AB1319" s="81">
        <f>IFERROR(HLOOKUP(K1319,データについて!$J$5:$AH$20,14,FALSE),"")</f>
        <v>0</v>
      </c>
      <c r="AC1319" s="81">
        <f>IF(X1319=1,HLOOKUP(R1319,データについて!$J$12:$M$18,7,FALSE),"*")</f>
        <v>2</v>
      </c>
      <c r="AD1319" s="81" t="str">
        <f>IF(X1319=2,HLOOKUP(R1319,データについて!$J$12:$M$18,7,FALSE),"*")</f>
        <v>*</v>
      </c>
    </row>
    <row r="1320" spans="1:30">
      <c r="A1320" s="30">
        <v>3872</v>
      </c>
      <c r="B1320" s="30" t="s">
        <v>787</v>
      </c>
      <c r="C1320" s="30" t="s">
        <v>788</v>
      </c>
      <c r="D1320" s="30" t="s">
        <v>106</v>
      </c>
      <c r="E1320" s="30"/>
      <c r="F1320" s="30" t="s">
        <v>107</v>
      </c>
      <c r="G1320" s="30" t="s">
        <v>106</v>
      </c>
      <c r="H1320" s="30"/>
      <c r="I1320" s="30" t="s">
        <v>191</v>
      </c>
      <c r="J1320" s="30"/>
      <c r="K1320" s="30" t="s">
        <v>648</v>
      </c>
      <c r="L1320" s="30" t="s">
        <v>117</v>
      </c>
      <c r="M1320" s="30" t="s">
        <v>113</v>
      </c>
      <c r="N1320" s="30" t="s">
        <v>110</v>
      </c>
      <c r="O1320" s="30" t="s">
        <v>115</v>
      </c>
      <c r="P1320" s="30" t="s">
        <v>112</v>
      </c>
      <c r="Q1320" s="30" t="s">
        <v>112</v>
      </c>
      <c r="R1320" s="30" t="s">
        <v>189</v>
      </c>
      <c r="S1320" s="81">
        <f>HLOOKUP(L1320,データについて!$J$6:$M$18,13,FALSE)</f>
        <v>2</v>
      </c>
      <c r="T1320" s="81">
        <f>HLOOKUP(M1320,データについて!$J$7:$M$18,12,FALSE)</f>
        <v>1</v>
      </c>
      <c r="U1320" s="81">
        <f>HLOOKUP(N1320,データについて!$J$8:$M$18,11,FALSE)</f>
        <v>2</v>
      </c>
      <c r="V1320" s="81">
        <f>HLOOKUP(O1320,データについて!$J$9:$M$18,10,FALSE)</f>
        <v>1</v>
      </c>
      <c r="W1320" s="81">
        <f>HLOOKUP(P1320,データについて!$J$10:$M$18,9,FALSE)</f>
        <v>1</v>
      </c>
      <c r="X1320" s="81">
        <f>HLOOKUP(Q1320,データについて!$J$11:$M$18,8,FALSE)</f>
        <v>1</v>
      </c>
      <c r="Y1320" s="81">
        <f>HLOOKUP(R1320,データについて!$J$12:$M$18,7,FALSE)</f>
        <v>4</v>
      </c>
      <c r="Z1320" s="81">
        <f>HLOOKUP(I1320,データについて!$J$3:$M$18,16,FALSE)</f>
        <v>2</v>
      </c>
      <c r="AA1320" s="81" t="str">
        <f>IFERROR(HLOOKUP(J1320,データについて!$J$4:$AH$19,16,FALSE),"")</f>
        <v/>
      </c>
      <c r="AB1320" s="81">
        <f>IFERROR(HLOOKUP(K1320,データについて!$J$5:$AH$20,14,FALSE),"")</f>
        <v>0</v>
      </c>
      <c r="AC1320" s="81">
        <f>IF(X1320=1,HLOOKUP(R1320,データについて!$J$12:$M$18,7,FALSE),"*")</f>
        <v>4</v>
      </c>
      <c r="AD1320" s="81" t="str">
        <f>IF(X1320=2,HLOOKUP(R1320,データについて!$J$12:$M$18,7,FALSE),"*")</f>
        <v>*</v>
      </c>
    </row>
    <row r="1321" spans="1:30">
      <c r="A1321" s="30">
        <v>3871</v>
      </c>
      <c r="B1321" s="30" t="s">
        <v>789</v>
      </c>
      <c r="C1321" s="30" t="s">
        <v>790</v>
      </c>
      <c r="D1321" s="30" t="s">
        <v>106</v>
      </c>
      <c r="E1321" s="30"/>
      <c r="F1321" s="30" t="s">
        <v>107</v>
      </c>
      <c r="G1321" s="30" t="s">
        <v>106</v>
      </c>
      <c r="H1321" s="30"/>
      <c r="I1321" s="30" t="s">
        <v>191</v>
      </c>
      <c r="J1321" s="30"/>
      <c r="K1321" s="30" t="s">
        <v>616</v>
      </c>
      <c r="L1321" s="30" t="s">
        <v>108</v>
      </c>
      <c r="M1321" s="30" t="s">
        <v>113</v>
      </c>
      <c r="N1321" s="30" t="s">
        <v>110</v>
      </c>
      <c r="O1321" s="30" t="s">
        <v>115</v>
      </c>
      <c r="P1321" s="30" t="s">
        <v>112</v>
      </c>
      <c r="Q1321" s="30" t="s">
        <v>112</v>
      </c>
      <c r="R1321" s="30" t="s">
        <v>185</v>
      </c>
      <c r="S1321" s="81">
        <f>HLOOKUP(L1321,データについて!$J$6:$M$18,13,FALSE)</f>
        <v>1</v>
      </c>
      <c r="T1321" s="81">
        <f>HLOOKUP(M1321,データについて!$J$7:$M$18,12,FALSE)</f>
        <v>1</v>
      </c>
      <c r="U1321" s="81">
        <f>HLOOKUP(N1321,データについて!$J$8:$M$18,11,FALSE)</f>
        <v>2</v>
      </c>
      <c r="V1321" s="81">
        <f>HLOOKUP(O1321,データについて!$J$9:$M$18,10,FALSE)</f>
        <v>1</v>
      </c>
      <c r="W1321" s="81">
        <f>HLOOKUP(P1321,データについて!$J$10:$M$18,9,FALSE)</f>
        <v>1</v>
      </c>
      <c r="X1321" s="81">
        <f>HLOOKUP(Q1321,データについて!$J$11:$M$18,8,FALSE)</f>
        <v>1</v>
      </c>
      <c r="Y1321" s="81">
        <f>HLOOKUP(R1321,データについて!$J$12:$M$18,7,FALSE)</f>
        <v>2</v>
      </c>
      <c r="Z1321" s="81">
        <f>HLOOKUP(I1321,データについて!$J$3:$M$18,16,FALSE)</f>
        <v>2</v>
      </c>
      <c r="AA1321" s="81" t="str">
        <f>IFERROR(HLOOKUP(J1321,データについて!$J$4:$AH$19,16,FALSE),"")</f>
        <v/>
      </c>
      <c r="AB1321" s="81">
        <f>IFERROR(HLOOKUP(K1321,データについて!$J$5:$AH$20,14,FALSE),"")</f>
        <v>0</v>
      </c>
      <c r="AC1321" s="81">
        <f>IF(X1321=1,HLOOKUP(R1321,データについて!$J$12:$M$18,7,FALSE),"*")</f>
        <v>2</v>
      </c>
      <c r="AD1321" s="81" t="str">
        <f>IF(X1321=2,HLOOKUP(R1321,データについて!$J$12:$M$18,7,FALSE),"*")</f>
        <v>*</v>
      </c>
    </row>
    <row r="1322" spans="1:30">
      <c r="A1322" s="30">
        <v>3870</v>
      </c>
      <c r="B1322" s="30" t="s">
        <v>791</v>
      </c>
      <c r="C1322" s="30" t="s">
        <v>792</v>
      </c>
      <c r="D1322" s="30" t="s">
        <v>106</v>
      </c>
      <c r="E1322" s="30"/>
      <c r="F1322" s="30" t="s">
        <v>107</v>
      </c>
      <c r="G1322" s="30" t="s">
        <v>106</v>
      </c>
      <c r="H1322" s="30"/>
      <c r="I1322" s="30" t="s">
        <v>191</v>
      </c>
      <c r="J1322" s="30"/>
      <c r="K1322" s="30" t="s">
        <v>616</v>
      </c>
      <c r="L1322" s="30" t="s">
        <v>108</v>
      </c>
      <c r="M1322" s="30" t="s">
        <v>113</v>
      </c>
      <c r="N1322" s="30" t="s">
        <v>114</v>
      </c>
      <c r="O1322" s="30" t="s">
        <v>115</v>
      </c>
      <c r="P1322" s="30" t="s">
        <v>118</v>
      </c>
      <c r="Q1322" s="30" t="s">
        <v>112</v>
      </c>
      <c r="R1322" s="30" t="s">
        <v>183</v>
      </c>
      <c r="S1322" s="81">
        <f>HLOOKUP(L1322,データについて!$J$6:$M$18,13,FALSE)</f>
        <v>1</v>
      </c>
      <c r="T1322" s="81">
        <f>HLOOKUP(M1322,データについて!$J$7:$M$18,12,FALSE)</f>
        <v>1</v>
      </c>
      <c r="U1322" s="81">
        <f>HLOOKUP(N1322,データについて!$J$8:$M$18,11,FALSE)</f>
        <v>1</v>
      </c>
      <c r="V1322" s="81">
        <f>HLOOKUP(O1322,データについて!$J$9:$M$18,10,FALSE)</f>
        <v>1</v>
      </c>
      <c r="W1322" s="81">
        <f>HLOOKUP(P1322,データについて!$J$10:$M$18,9,FALSE)</f>
        <v>2</v>
      </c>
      <c r="X1322" s="81">
        <f>HLOOKUP(Q1322,データについて!$J$11:$M$18,8,FALSE)</f>
        <v>1</v>
      </c>
      <c r="Y1322" s="81">
        <f>HLOOKUP(R1322,データについて!$J$12:$M$18,7,FALSE)</f>
        <v>1</v>
      </c>
      <c r="Z1322" s="81">
        <f>HLOOKUP(I1322,データについて!$J$3:$M$18,16,FALSE)</f>
        <v>2</v>
      </c>
      <c r="AA1322" s="81" t="str">
        <f>IFERROR(HLOOKUP(J1322,データについて!$J$4:$AH$19,16,FALSE),"")</f>
        <v/>
      </c>
      <c r="AB1322" s="81">
        <f>IFERROR(HLOOKUP(K1322,データについて!$J$5:$AH$20,14,FALSE),"")</f>
        <v>0</v>
      </c>
      <c r="AC1322" s="81">
        <f>IF(X1322=1,HLOOKUP(R1322,データについて!$J$12:$M$18,7,FALSE),"*")</f>
        <v>1</v>
      </c>
      <c r="AD1322" s="81" t="str">
        <f>IF(X1322=2,HLOOKUP(R1322,データについて!$J$12:$M$18,7,FALSE),"*")</f>
        <v>*</v>
      </c>
    </row>
    <row r="1323" spans="1:30">
      <c r="A1323" s="30">
        <v>3869</v>
      </c>
      <c r="B1323" s="30" t="s">
        <v>793</v>
      </c>
      <c r="C1323" s="30" t="s">
        <v>794</v>
      </c>
      <c r="D1323" s="30" t="s">
        <v>106</v>
      </c>
      <c r="E1323" s="30"/>
      <c r="F1323" s="30" t="s">
        <v>107</v>
      </c>
      <c r="G1323" s="30" t="s">
        <v>106</v>
      </c>
      <c r="H1323" s="30"/>
      <c r="I1323" s="30" t="s">
        <v>191</v>
      </c>
      <c r="J1323" s="30"/>
      <c r="K1323" s="30" t="s">
        <v>616</v>
      </c>
      <c r="L1323" s="30" t="s">
        <v>117</v>
      </c>
      <c r="M1323" s="30" t="s">
        <v>124</v>
      </c>
      <c r="N1323" s="30" t="s">
        <v>114</v>
      </c>
      <c r="O1323" s="30" t="s">
        <v>115</v>
      </c>
      <c r="P1323" s="30" t="s">
        <v>112</v>
      </c>
      <c r="Q1323" s="30" t="s">
        <v>112</v>
      </c>
      <c r="R1323" s="30" t="s">
        <v>187</v>
      </c>
      <c r="S1323" s="81">
        <f>HLOOKUP(L1323,データについて!$J$6:$M$18,13,FALSE)</f>
        <v>2</v>
      </c>
      <c r="T1323" s="81">
        <f>HLOOKUP(M1323,データについて!$J$7:$M$18,12,FALSE)</f>
        <v>3</v>
      </c>
      <c r="U1323" s="81">
        <f>HLOOKUP(N1323,データについて!$J$8:$M$18,11,FALSE)</f>
        <v>1</v>
      </c>
      <c r="V1323" s="81">
        <f>HLOOKUP(O1323,データについて!$J$9:$M$18,10,FALSE)</f>
        <v>1</v>
      </c>
      <c r="W1323" s="81">
        <f>HLOOKUP(P1323,データについて!$J$10:$M$18,9,FALSE)</f>
        <v>1</v>
      </c>
      <c r="X1323" s="81">
        <f>HLOOKUP(Q1323,データについて!$J$11:$M$18,8,FALSE)</f>
        <v>1</v>
      </c>
      <c r="Y1323" s="81">
        <f>HLOOKUP(R1323,データについて!$J$12:$M$18,7,FALSE)</f>
        <v>3</v>
      </c>
      <c r="Z1323" s="81">
        <f>HLOOKUP(I1323,データについて!$J$3:$M$18,16,FALSE)</f>
        <v>2</v>
      </c>
      <c r="AA1323" s="81" t="str">
        <f>IFERROR(HLOOKUP(J1323,データについて!$J$4:$AH$19,16,FALSE),"")</f>
        <v/>
      </c>
      <c r="AB1323" s="81">
        <f>IFERROR(HLOOKUP(K1323,データについて!$J$5:$AH$20,14,FALSE),"")</f>
        <v>0</v>
      </c>
      <c r="AC1323" s="81">
        <f>IF(X1323=1,HLOOKUP(R1323,データについて!$J$12:$M$18,7,FALSE),"*")</f>
        <v>3</v>
      </c>
      <c r="AD1323" s="81" t="str">
        <f>IF(X1323=2,HLOOKUP(R1323,データについて!$J$12:$M$18,7,FALSE),"*")</f>
        <v>*</v>
      </c>
    </row>
    <row r="1324" spans="1:30">
      <c r="A1324" s="30">
        <v>3868</v>
      </c>
      <c r="B1324" s="30" t="s">
        <v>795</v>
      </c>
      <c r="C1324" s="30" t="s">
        <v>796</v>
      </c>
      <c r="D1324" s="30" t="s">
        <v>106</v>
      </c>
      <c r="E1324" s="30"/>
      <c r="F1324" s="30" t="s">
        <v>107</v>
      </c>
      <c r="G1324" s="30" t="s">
        <v>106</v>
      </c>
      <c r="H1324" s="30"/>
      <c r="I1324" s="30" t="s">
        <v>191</v>
      </c>
      <c r="J1324" s="30"/>
      <c r="K1324" s="30" t="s">
        <v>616</v>
      </c>
      <c r="L1324" s="30" t="s">
        <v>117</v>
      </c>
      <c r="M1324" s="30" t="s">
        <v>109</v>
      </c>
      <c r="N1324" s="30" t="s">
        <v>110</v>
      </c>
      <c r="O1324" s="30" t="s">
        <v>115</v>
      </c>
      <c r="P1324" s="30" t="s">
        <v>112</v>
      </c>
      <c r="Q1324" s="30" t="s">
        <v>112</v>
      </c>
      <c r="R1324" s="30" t="s">
        <v>185</v>
      </c>
      <c r="S1324" s="81">
        <f>HLOOKUP(L1324,データについて!$J$6:$M$18,13,FALSE)</f>
        <v>2</v>
      </c>
      <c r="T1324" s="81">
        <f>HLOOKUP(M1324,データについて!$J$7:$M$18,12,FALSE)</f>
        <v>2</v>
      </c>
      <c r="U1324" s="81">
        <f>HLOOKUP(N1324,データについて!$J$8:$M$18,11,FALSE)</f>
        <v>2</v>
      </c>
      <c r="V1324" s="81">
        <f>HLOOKUP(O1324,データについて!$J$9:$M$18,10,FALSE)</f>
        <v>1</v>
      </c>
      <c r="W1324" s="81">
        <f>HLOOKUP(P1324,データについて!$J$10:$M$18,9,FALSE)</f>
        <v>1</v>
      </c>
      <c r="X1324" s="81">
        <f>HLOOKUP(Q1324,データについて!$J$11:$M$18,8,FALSE)</f>
        <v>1</v>
      </c>
      <c r="Y1324" s="81">
        <f>HLOOKUP(R1324,データについて!$J$12:$M$18,7,FALSE)</f>
        <v>2</v>
      </c>
      <c r="Z1324" s="81">
        <f>HLOOKUP(I1324,データについて!$J$3:$M$18,16,FALSE)</f>
        <v>2</v>
      </c>
      <c r="AA1324" s="81" t="str">
        <f>IFERROR(HLOOKUP(J1324,データについて!$J$4:$AH$19,16,FALSE),"")</f>
        <v/>
      </c>
      <c r="AB1324" s="81">
        <f>IFERROR(HLOOKUP(K1324,データについて!$J$5:$AH$20,14,FALSE),"")</f>
        <v>0</v>
      </c>
      <c r="AC1324" s="81">
        <f>IF(X1324=1,HLOOKUP(R1324,データについて!$J$12:$M$18,7,FALSE),"*")</f>
        <v>2</v>
      </c>
      <c r="AD1324" s="81" t="str">
        <f>IF(X1324=2,HLOOKUP(R1324,データについて!$J$12:$M$18,7,FALSE),"*")</f>
        <v>*</v>
      </c>
    </row>
    <row r="1325" spans="1:30">
      <c r="A1325" s="30">
        <v>3867</v>
      </c>
      <c r="B1325" s="30" t="s">
        <v>797</v>
      </c>
      <c r="C1325" s="30" t="s">
        <v>796</v>
      </c>
      <c r="D1325" s="30" t="s">
        <v>106</v>
      </c>
      <c r="E1325" s="30"/>
      <c r="F1325" s="30" t="s">
        <v>107</v>
      </c>
      <c r="G1325" s="30" t="s">
        <v>106</v>
      </c>
      <c r="H1325" s="30"/>
      <c r="I1325" s="30" t="s">
        <v>191</v>
      </c>
      <c r="J1325" s="30"/>
      <c r="K1325" s="30" t="s">
        <v>616</v>
      </c>
      <c r="L1325" s="30" t="s">
        <v>117</v>
      </c>
      <c r="M1325" s="30" t="s">
        <v>113</v>
      </c>
      <c r="N1325" s="30" t="s">
        <v>110</v>
      </c>
      <c r="O1325" s="30" t="s">
        <v>115</v>
      </c>
      <c r="P1325" s="30" t="s">
        <v>112</v>
      </c>
      <c r="Q1325" s="30" t="s">
        <v>112</v>
      </c>
      <c r="R1325" s="30" t="s">
        <v>185</v>
      </c>
      <c r="S1325" s="81">
        <f>HLOOKUP(L1325,データについて!$J$6:$M$18,13,FALSE)</f>
        <v>2</v>
      </c>
      <c r="T1325" s="81">
        <f>HLOOKUP(M1325,データについて!$J$7:$M$18,12,FALSE)</f>
        <v>1</v>
      </c>
      <c r="U1325" s="81">
        <f>HLOOKUP(N1325,データについて!$J$8:$M$18,11,FALSE)</f>
        <v>2</v>
      </c>
      <c r="V1325" s="81">
        <f>HLOOKUP(O1325,データについて!$J$9:$M$18,10,FALSE)</f>
        <v>1</v>
      </c>
      <c r="W1325" s="81">
        <f>HLOOKUP(P1325,データについて!$J$10:$M$18,9,FALSE)</f>
        <v>1</v>
      </c>
      <c r="X1325" s="81">
        <f>HLOOKUP(Q1325,データについて!$J$11:$M$18,8,FALSE)</f>
        <v>1</v>
      </c>
      <c r="Y1325" s="81">
        <f>HLOOKUP(R1325,データについて!$J$12:$M$18,7,FALSE)</f>
        <v>2</v>
      </c>
      <c r="Z1325" s="81">
        <f>HLOOKUP(I1325,データについて!$J$3:$M$18,16,FALSE)</f>
        <v>2</v>
      </c>
      <c r="AA1325" s="81" t="str">
        <f>IFERROR(HLOOKUP(J1325,データについて!$J$4:$AH$19,16,FALSE),"")</f>
        <v/>
      </c>
      <c r="AB1325" s="81">
        <f>IFERROR(HLOOKUP(K1325,データについて!$J$5:$AH$20,14,FALSE),"")</f>
        <v>0</v>
      </c>
      <c r="AC1325" s="81">
        <f>IF(X1325=1,HLOOKUP(R1325,データについて!$J$12:$M$18,7,FALSE),"*")</f>
        <v>2</v>
      </c>
      <c r="AD1325" s="81" t="str">
        <f>IF(X1325=2,HLOOKUP(R1325,データについて!$J$12:$M$18,7,FALSE),"*")</f>
        <v>*</v>
      </c>
    </row>
    <row r="1326" spans="1:30">
      <c r="A1326" s="30">
        <v>3866</v>
      </c>
      <c r="B1326" s="30" t="s">
        <v>798</v>
      </c>
      <c r="C1326" s="30" t="s">
        <v>799</v>
      </c>
      <c r="D1326" s="30" t="s">
        <v>106</v>
      </c>
      <c r="E1326" s="30"/>
      <c r="F1326" s="30" t="s">
        <v>107</v>
      </c>
      <c r="G1326" s="30" t="s">
        <v>106</v>
      </c>
      <c r="H1326" s="30"/>
      <c r="I1326" s="30" t="s">
        <v>191</v>
      </c>
      <c r="J1326" s="30"/>
      <c r="K1326" s="30" t="s">
        <v>616</v>
      </c>
      <c r="L1326" s="30" t="s">
        <v>108</v>
      </c>
      <c r="M1326" s="30" t="s">
        <v>113</v>
      </c>
      <c r="N1326" s="30" t="s">
        <v>110</v>
      </c>
      <c r="O1326" s="30" t="s">
        <v>115</v>
      </c>
      <c r="P1326" s="30" t="s">
        <v>112</v>
      </c>
      <c r="Q1326" s="30" t="s">
        <v>112</v>
      </c>
      <c r="R1326" s="30" t="s">
        <v>185</v>
      </c>
      <c r="S1326" s="81">
        <f>HLOOKUP(L1326,データについて!$J$6:$M$18,13,FALSE)</f>
        <v>1</v>
      </c>
      <c r="T1326" s="81">
        <f>HLOOKUP(M1326,データについて!$J$7:$M$18,12,FALSE)</f>
        <v>1</v>
      </c>
      <c r="U1326" s="81">
        <f>HLOOKUP(N1326,データについて!$J$8:$M$18,11,FALSE)</f>
        <v>2</v>
      </c>
      <c r="V1326" s="81">
        <f>HLOOKUP(O1326,データについて!$J$9:$M$18,10,FALSE)</f>
        <v>1</v>
      </c>
      <c r="W1326" s="81">
        <f>HLOOKUP(P1326,データについて!$J$10:$M$18,9,FALSE)</f>
        <v>1</v>
      </c>
      <c r="X1326" s="81">
        <f>HLOOKUP(Q1326,データについて!$J$11:$M$18,8,FALSE)</f>
        <v>1</v>
      </c>
      <c r="Y1326" s="81">
        <f>HLOOKUP(R1326,データについて!$J$12:$M$18,7,FALSE)</f>
        <v>2</v>
      </c>
      <c r="Z1326" s="81">
        <f>HLOOKUP(I1326,データについて!$J$3:$M$18,16,FALSE)</f>
        <v>2</v>
      </c>
      <c r="AA1326" s="81" t="str">
        <f>IFERROR(HLOOKUP(J1326,データについて!$J$4:$AH$19,16,FALSE),"")</f>
        <v/>
      </c>
      <c r="AB1326" s="81">
        <f>IFERROR(HLOOKUP(K1326,データについて!$J$5:$AH$20,14,FALSE),"")</f>
        <v>0</v>
      </c>
      <c r="AC1326" s="81">
        <f>IF(X1326=1,HLOOKUP(R1326,データについて!$J$12:$M$18,7,FALSE),"*")</f>
        <v>2</v>
      </c>
      <c r="AD1326" s="81" t="str">
        <f>IF(X1326=2,HLOOKUP(R1326,データについて!$J$12:$M$18,7,FALSE),"*")</f>
        <v>*</v>
      </c>
    </row>
    <row r="1327" spans="1:30">
      <c r="A1327" s="30">
        <v>3865</v>
      </c>
      <c r="B1327" s="30" t="s">
        <v>800</v>
      </c>
      <c r="C1327" s="30" t="s">
        <v>801</v>
      </c>
      <c r="D1327" s="30" t="s">
        <v>106</v>
      </c>
      <c r="E1327" s="30"/>
      <c r="F1327" s="30" t="s">
        <v>107</v>
      </c>
      <c r="G1327" s="30" t="s">
        <v>106</v>
      </c>
      <c r="H1327" s="30"/>
      <c r="I1327" s="30" t="s">
        <v>191</v>
      </c>
      <c r="J1327" s="30"/>
      <c r="K1327" s="30" t="s">
        <v>648</v>
      </c>
      <c r="L1327" s="30" t="s">
        <v>108</v>
      </c>
      <c r="M1327" s="30" t="s">
        <v>124</v>
      </c>
      <c r="N1327" s="30" t="s">
        <v>122</v>
      </c>
      <c r="O1327" s="30" t="s">
        <v>115</v>
      </c>
      <c r="P1327" s="30" t="s">
        <v>112</v>
      </c>
      <c r="Q1327" s="30" t="s">
        <v>112</v>
      </c>
      <c r="R1327" s="30" t="s">
        <v>187</v>
      </c>
      <c r="S1327" s="81">
        <f>HLOOKUP(L1327,データについて!$J$6:$M$18,13,FALSE)</f>
        <v>1</v>
      </c>
      <c r="T1327" s="81">
        <f>HLOOKUP(M1327,データについて!$J$7:$M$18,12,FALSE)</f>
        <v>3</v>
      </c>
      <c r="U1327" s="81">
        <f>HLOOKUP(N1327,データについて!$J$8:$M$18,11,FALSE)</f>
        <v>3</v>
      </c>
      <c r="V1327" s="81">
        <f>HLOOKUP(O1327,データについて!$J$9:$M$18,10,FALSE)</f>
        <v>1</v>
      </c>
      <c r="W1327" s="81">
        <f>HLOOKUP(P1327,データについて!$J$10:$M$18,9,FALSE)</f>
        <v>1</v>
      </c>
      <c r="X1327" s="81">
        <f>HLOOKUP(Q1327,データについて!$J$11:$M$18,8,FALSE)</f>
        <v>1</v>
      </c>
      <c r="Y1327" s="81">
        <f>HLOOKUP(R1327,データについて!$J$12:$M$18,7,FALSE)</f>
        <v>3</v>
      </c>
      <c r="Z1327" s="81">
        <f>HLOOKUP(I1327,データについて!$J$3:$M$18,16,FALSE)</f>
        <v>2</v>
      </c>
      <c r="AA1327" s="81" t="str">
        <f>IFERROR(HLOOKUP(J1327,データについて!$J$4:$AH$19,16,FALSE),"")</f>
        <v/>
      </c>
      <c r="AB1327" s="81">
        <f>IFERROR(HLOOKUP(K1327,データについて!$J$5:$AH$20,14,FALSE),"")</f>
        <v>0</v>
      </c>
      <c r="AC1327" s="81">
        <f>IF(X1327=1,HLOOKUP(R1327,データについて!$J$12:$M$18,7,FALSE),"*")</f>
        <v>3</v>
      </c>
      <c r="AD1327" s="81" t="str">
        <f>IF(X1327=2,HLOOKUP(R1327,データについて!$J$12:$M$18,7,FALSE),"*")</f>
        <v>*</v>
      </c>
    </row>
    <row r="1328" spans="1:30">
      <c r="A1328" s="30">
        <v>3864</v>
      </c>
      <c r="B1328" s="30" t="s">
        <v>802</v>
      </c>
      <c r="C1328" s="30" t="s">
        <v>803</v>
      </c>
      <c r="D1328" s="30" t="s">
        <v>106</v>
      </c>
      <c r="E1328" s="30"/>
      <c r="F1328" s="30" t="s">
        <v>107</v>
      </c>
      <c r="G1328" s="30" t="s">
        <v>106</v>
      </c>
      <c r="H1328" s="30"/>
      <c r="I1328" s="30" t="s">
        <v>191</v>
      </c>
      <c r="J1328" s="30"/>
      <c r="K1328" s="30" t="s">
        <v>616</v>
      </c>
      <c r="L1328" s="30" t="s">
        <v>108</v>
      </c>
      <c r="M1328" s="30" t="s">
        <v>109</v>
      </c>
      <c r="N1328" s="30" t="s">
        <v>110</v>
      </c>
      <c r="O1328" s="30" t="s">
        <v>116</v>
      </c>
      <c r="P1328" s="30" t="s">
        <v>112</v>
      </c>
      <c r="Q1328" s="30" t="s">
        <v>112</v>
      </c>
      <c r="R1328" s="30" t="s">
        <v>183</v>
      </c>
      <c r="S1328" s="81">
        <f>HLOOKUP(L1328,データについて!$J$6:$M$18,13,FALSE)</f>
        <v>1</v>
      </c>
      <c r="T1328" s="81">
        <f>HLOOKUP(M1328,データについて!$J$7:$M$18,12,FALSE)</f>
        <v>2</v>
      </c>
      <c r="U1328" s="81">
        <f>HLOOKUP(N1328,データについて!$J$8:$M$18,11,FALSE)</f>
        <v>2</v>
      </c>
      <c r="V1328" s="81">
        <f>HLOOKUP(O1328,データについて!$J$9:$M$18,10,FALSE)</f>
        <v>2</v>
      </c>
      <c r="W1328" s="81">
        <f>HLOOKUP(P1328,データについて!$J$10:$M$18,9,FALSE)</f>
        <v>1</v>
      </c>
      <c r="X1328" s="81">
        <f>HLOOKUP(Q1328,データについて!$J$11:$M$18,8,FALSE)</f>
        <v>1</v>
      </c>
      <c r="Y1328" s="81">
        <f>HLOOKUP(R1328,データについて!$J$12:$M$18,7,FALSE)</f>
        <v>1</v>
      </c>
      <c r="Z1328" s="81">
        <f>HLOOKUP(I1328,データについて!$J$3:$M$18,16,FALSE)</f>
        <v>2</v>
      </c>
      <c r="AA1328" s="81" t="str">
        <f>IFERROR(HLOOKUP(J1328,データについて!$J$4:$AH$19,16,FALSE),"")</f>
        <v/>
      </c>
      <c r="AB1328" s="81">
        <f>IFERROR(HLOOKUP(K1328,データについて!$J$5:$AH$20,14,FALSE),"")</f>
        <v>0</v>
      </c>
      <c r="AC1328" s="81">
        <f>IF(X1328=1,HLOOKUP(R1328,データについて!$J$12:$M$18,7,FALSE),"*")</f>
        <v>1</v>
      </c>
      <c r="AD1328" s="81" t="str">
        <f>IF(X1328=2,HLOOKUP(R1328,データについて!$J$12:$M$18,7,FALSE),"*")</f>
        <v>*</v>
      </c>
    </row>
    <row r="1329" spans="1:30">
      <c r="A1329" s="30">
        <v>3863</v>
      </c>
      <c r="B1329" s="30" t="s">
        <v>804</v>
      </c>
      <c r="C1329" s="30" t="s">
        <v>805</v>
      </c>
      <c r="D1329" s="30" t="s">
        <v>106</v>
      </c>
      <c r="E1329" s="30"/>
      <c r="F1329" s="30" t="s">
        <v>107</v>
      </c>
      <c r="G1329" s="30" t="s">
        <v>106</v>
      </c>
      <c r="H1329" s="30"/>
      <c r="I1329" s="30" t="s">
        <v>191</v>
      </c>
      <c r="J1329" s="30"/>
      <c r="K1329" s="30" t="s">
        <v>648</v>
      </c>
      <c r="L1329" s="30" t="s">
        <v>108</v>
      </c>
      <c r="M1329" s="30" t="s">
        <v>109</v>
      </c>
      <c r="N1329" s="30" t="s">
        <v>114</v>
      </c>
      <c r="O1329" s="30" t="s">
        <v>115</v>
      </c>
      <c r="P1329" s="30" t="s">
        <v>112</v>
      </c>
      <c r="Q1329" s="30" t="s">
        <v>112</v>
      </c>
      <c r="R1329" s="30" t="s">
        <v>185</v>
      </c>
      <c r="S1329" s="81">
        <f>HLOOKUP(L1329,データについて!$J$6:$M$18,13,FALSE)</f>
        <v>1</v>
      </c>
      <c r="T1329" s="81">
        <f>HLOOKUP(M1329,データについて!$J$7:$M$18,12,FALSE)</f>
        <v>2</v>
      </c>
      <c r="U1329" s="81">
        <f>HLOOKUP(N1329,データについて!$J$8:$M$18,11,FALSE)</f>
        <v>1</v>
      </c>
      <c r="V1329" s="81">
        <f>HLOOKUP(O1329,データについて!$J$9:$M$18,10,FALSE)</f>
        <v>1</v>
      </c>
      <c r="W1329" s="81">
        <f>HLOOKUP(P1329,データについて!$J$10:$M$18,9,FALSE)</f>
        <v>1</v>
      </c>
      <c r="X1329" s="81">
        <f>HLOOKUP(Q1329,データについて!$J$11:$M$18,8,FALSE)</f>
        <v>1</v>
      </c>
      <c r="Y1329" s="81">
        <f>HLOOKUP(R1329,データについて!$J$12:$M$18,7,FALSE)</f>
        <v>2</v>
      </c>
      <c r="Z1329" s="81">
        <f>HLOOKUP(I1329,データについて!$J$3:$M$18,16,FALSE)</f>
        <v>2</v>
      </c>
      <c r="AA1329" s="81" t="str">
        <f>IFERROR(HLOOKUP(J1329,データについて!$J$4:$AH$19,16,FALSE),"")</f>
        <v/>
      </c>
      <c r="AB1329" s="81">
        <f>IFERROR(HLOOKUP(K1329,データについて!$J$5:$AH$20,14,FALSE),"")</f>
        <v>0</v>
      </c>
      <c r="AC1329" s="81">
        <f>IF(X1329=1,HLOOKUP(R1329,データについて!$J$12:$M$18,7,FALSE),"*")</f>
        <v>2</v>
      </c>
      <c r="AD1329" s="81" t="str">
        <f>IF(X1329=2,HLOOKUP(R1329,データについて!$J$12:$M$18,7,FALSE),"*")</f>
        <v>*</v>
      </c>
    </row>
    <row r="1330" spans="1:30">
      <c r="A1330" s="30">
        <v>3862</v>
      </c>
      <c r="B1330" s="30" t="s">
        <v>806</v>
      </c>
      <c r="C1330" s="30" t="s">
        <v>807</v>
      </c>
      <c r="D1330" s="30" t="s">
        <v>106</v>
      </c>
      <c r="E1330" s="30"/>
      <c r="F1330" s="30" t="s">
        <v>107</v>
      </c>
      <c r="G1330" s="30" t="s">
        <v>106</v>
      </c>
      <c r="H1330" s="30"/>
      <c r="I1330" s="30" t="s">
        <v>191</v>
      </c>
      <c r="J1330" s="30"/>
      <c r="K1330" s="30" t="s">
        <v>648</v>
      </c>
      <c r="L1330" s="30" t="s">
        <v>108</v>
      </c>
      <c r="M1330" s="30" t="s">
        <v>109</v>
      </c>
      <c r="N1330" s="30" t="s">
        <v>110</v>
      </c>
      <c r="O1330" s="30" t="s">
        <v>115</v>
      </c>
      <c r="P1330" s="30" t="s">
        <v>118</v>
      </c>
      <c r="Q1330" s="30" t="s">
        <v>118</v>
      </c>
      <c r="R1330" s="30" t="s">
        <v>185</v>
      </c>
      <c r="S1330" s="81">
        <f>HLOOKUP(L1330,データについて!$J$6:$M$18,13,FALSE)</f>
        <v>1</v>
      </c>
      <c r="T1330" s="81">
        <f>HLOOKUP(M1330,データについて!$J$7:$M$18,12,FALSE)</f>
        <v>2</v>
      </c>
      <c r="U1330" s="81">
        <f>HLOOKUP(N1330,データについて!$J$8:$M$18,11,FALSE)</f>
        <v>2</v>
      </c>
      <c r="V1330" s="81">
        <f>HLOOKUP(O1330,データについて!$J$9:$M$18,10,FALSE)</f>
        <v>1</v>
      </c>
      <c r="W1330" s="81">
        <f>HLOOKUP(P1330,データについて!$J$10:$M$18,9,FALSE)</f>
        <v>2</v>
      </c>
      <c r="X1330" s="81">
        <f>HLOOKUP(Q1330,データについて!$J$11:$M$18,8,FALSE)</f>
        <v>2</v>
      </c>
      <c r="Y1330" s="81">
        <f>HLOOKUP(R1330,データについて!$J$12:$M$18,7,FALSE)</f>
        <v>2</v>
      </c>
      <c r="Z1330" s="81">
        <f>HLOOKUP(I1330,データについて!$J$3:$M$18,16,FALSE)</f>
        <v>2</v>
      </c>
      <c r="AA1330" s="81" t="str">
        <f>IFERROR(HLOOKUP(J1330,データについて!$J$4:$AH$19,16,FALSE),"")</f>
        <v/>
      </c>
      <c r="AB1330" s="81">
        <f>IFERROR(HLOOKUP(K1330,データについて!$J$5:$AH$20,14,FALSE),"")</f>
        <v>0</v>
      </c>
      <c r="AC1330" s="81" t="str">
        <f>IF(X1330=1,HLOOKUP(R1330,データについて!$J$12:$M$18,7,FALSE),"*")</f>
        <v>*</v>
      </c>
      <c r="AD1330" s="81">
        <f>IF(X1330=2,HLOOKUP(R1330,データについて!$J$12:$M$18,7,FALSE),"*")</f>
        <v>2</v>
      </c>
    </row>
    <row r="1331" spans="1:30">
      <c r="A1331" s="30">
        <v>3861</v>
      </c>
      <c r="B1331" s="30" t="s">
        <v>808</v>
      </c>
      <c r="C1331" s="30" t="s">
        <v>809</v>
      </c>
      <c r="D1331" s="30" t="s">
        <v>106</v>
      </c>
      <c r="E1331" s="30"/>
      <c r="F1331" s="30" t="s">
        <v>107</v>
      </c>
      <c r="G1331" s="30" t="s">
        <v>106</v>
      </c>
      <c r="H1331" s="30"/>
      <c r="I1331" s="30" t="s">
        <v>192</v>
      </c>
      <c r="J1331" s="30" t="s">
        <v>619</v>
      </c>
      <c r="K1331" s="30"/>
      <c r="L1331" s="30" t="s">
        <v>108</v>
      </c>
      <c r="M1331" s="30" t="s">
        <v>109</v>
      </c>
      <c r="N1331" s="30" t="s">
        <v>114</v>
      </c>
      <c r="O1331" s="30" t="s">
        <v>115</v>
      </c>
      <c r="P1331" s="30" t="s">
        <v>112</v>
      </c>
      <c r="Q1331" s="30" t="s">
        <v>118</v>
      </c>
      <c r="R1331" s="30" t="s">
        <v>189</v>
      </c>
      <c r="S1331" s="81">
        <f>HLOOKUP(L1331,データについて!$J$6:$M$18,13,FALSE)</f>
        <v>1</v>
      </c>
      <c r="T1331" s="81">
        <f>HLOOKUP(M1331,データについて!$J$7:$M$18,12,FALSE)</f>
        <v>2</v>
      </c>
      <c r="U1331" s="81">
        <f>HLOOKUP(N1331,データについて!$J$8:$M$18,11,FALSE)</f>
        <v>1</v>
      </c>
      <c r="V1331" s="81">
        <f>HLOOKUP(O1331,データについて!$J$9:$M$18,10,FALSE)</f>
        <v>1</v>
      </c>
      <c r="W1331" s="81">
        <f>HLOOKUP(P1331,データについて!$J$10:$M$18,9,FALSE)</f>
        <v>1</v>
      </c>
      <c r="X1331" s="81">
        <f>HLOOKUP(Q1331,データについて!$J$11:$M$18,8,FALSE)</f>
        <v>2</v>
      </c>
      <c r="Y1331" s="81">
        <f>HLOOKUP(R1331,データについて!$J$12:$M$18,7,FALSE)</f>
        <v>4</v>
      </c>
      <c r="Z1331" s="81">
        <f>HLOOKUP(I1331,データについて!$J$3:$M$18,16,FALSE)</f>
        <v>1</v>
      </c>
      <c r="AA1331" s="81">
        <f>IFERROR(HLOOKUP(J1331,データについて!$J$4:$AH$19,16,FALSE),"")</f>
        <v>11</v>
      </c>
      <c r="AB1331" s="81" t="str">
        <f>IFERROR(HLOOKUP(K1331,データについて!$J$5:$AH$20,14,FALSE),"")</f>
        <v/>
      </c>
      <c r="AC1331" s="81" t="str">
        <f>IF(X1331=1,HLOOKUP(R1331,データについて!$J$12:$M$18,7,FALSE),"*")</f>
        <v>*</v>
      </c>
      <c r="AD1331" s="81">
        <f>IF(X1331=2,HLOOKUP(R1331,データについて!$J$12:$M$18,7,FALSE),"*")</f>
        <v>4</v>
      </c>
    </row>
    <row r="1332" spans="1:30">
      <c r="A1332" s="30">
        <v>3860</v>
      </c>
      <c r="B1332" s="30" t="s">
        <v>810</v>
      </c>
      <c r="C1332" s="30" t="s">
        <v>811</v>
      </c>
      <c r="D1332" s="30" t="s">
        <v>106</v>
      </c>
      <c r="E1332" s="30"/>
      <c r="F1332" s="30" t="s">
        <v>107</v>
      </c>
      <c r="G1332" s="30" t="s">
        <v>106</v>
      </c>
      <c r="H1332" s="30"/>
      <c r="I1332" s="30" t="s">
        <v>191</v>
      </c>
      <c r="J1332" s="30"/>
      <c r="K1332" s="30" t="s">
        <v>648</v>
      </c>
      <c r="L1332" s="30" t="s">
        <v>108</v>
      </c>
      <c r="M1332" s="30" t="s">
        <v>113</v>
      </c>
      <c r="N1332" s="30" t="s">
        <v>114</v>
      </c>
      <c r="O1332" s="30" t="s">
        <v>115</v>
      </c>
      <c r="P1332" s="30" t="s">
        <v>112</v>
      </c>
      <c r="Q1332" s="30" t="s">
        <v>112</v>
      </c>
      <c r="R1332" s="30" t="s">
        <v>183</v>
      </c>
      <c r="S1332" s="81">
        <f>HLOOKUP(L1332,データについて!$J$6:$M$18,13,FALSE)</f>
        <v>1</v>
      </c>
      <c r="T1332" s="81">
        <f>HLOOKUP(M1332,データについて!$J$7:$M$18,12,FALSE)</f>
        <v>1</v>
      </c>
      <c r="U1332" s="81">
        <f>HLOOKUP(N1332,データについて!$J$8:$M$18,11,FALSE)</f>
        <v>1</v>
      </c>
      <c r="V1332" s="81">
        <f>HLOOKUP(O1332,データについて!$J$9:$M$18,10,FALSE)</f>
        <v>1</v>
      </c>
      <c r="W1332" s="81">
        <f>HLOOKUP(P1332,データについて!$J$10:$M$18,9,FALSE)</f>
        <v>1</v>
      </c>
      <c r="X1332" s="81">
        <f>HLOOKUP(Q1332,データについて!$J$11:$M$18,8,FALSE)</f>
        <v>1</v>
      </c>
      <c r="Y1332" s="81">
        <f>HLOOKUP(R1332,データについて!$J$12:$M$18,7,FALSE)</f>
        <v>1</v>
      </c>
      <c r="Z1332" s="81">
        <f>HLOOKUP(I1332,データについて!$J$3:$M$18,16,FALSE)</f>
        <v>2</v>
      </c>
      <c r="AA1332" s="81" t="str">
        <f>IFERROR(HLOOKUP(J1332,データについて!$J$4:$AH$19,16,FALSE),"")</f>
        <v/>
      </c>
      <c r="AB1332" s="81">
        <f>IFERROR(HLOOKUP(K1332,データについて!$J$5:$AH$20,14,FALSE),"")</f>
        <v>0</v>
      </c>
      <c r="AC1332" s="81">
        <f>IF(X1332=1,HLOOKUP(R1332,データについて!$J$12:$M$18,7,FALSE),"*")</f>
        <v>1</v>
      </c>
      <c r="AD1332" s="81" t="str">
        <f>IF(X1332=2,HLOOKUP(R1332,データについて!$J$12:$M$18,7,FALSE),"*")</f>
        <v>*</v>
      </c>
    </row>
    <row r="1333" spans="1:30">
      <c r="A1333" s="30">
        <v>3859</v>
      </c>
      <c r="B1333" s="30" t="s">
        <v>812</v>
      </c>
      <c r="C1333" s="30" t="s">
        <v>813</v>
      </c>
      <c r="D1333" s="30" t="s">
        <v>106</v>
      </c>
      <c r="E1333" s="30"/>
      <c r="F1333" s="30" t="s">
        <v>107</v>
      </c>
      <c r="G1333" s="30" t="s">
        <v>106</v>
      </c>
      <c r="H1333" s="30"/>
      <c r="I1333" s="30" t="s">
        <v>191</v>
      </c>
      <c r="J1333" s="30"/>
      <c r="K1333" s="30" t="s">
        <v>648</v>
      </c>
      <c r="L1333" s="30" t="s">
        <v>117</v>
      </c>
      <c r="M1333" s="30" t="s">
        <v>109</v>
      </c>
      <c r="N1333" s="30" t="s">
        <v>110</v>
      </c>
      <c r="O1333" s="30" t="s">
        <v>115</v>
      </c>
      <c r="P1333" s="30" t="s">
        <v>112</v>
      </c>
      <c r="Q1333" s="30" t="s">
        <v>112</v>
      </c>
      <c r="R1333" s="30" t="s">
        <v>187</v>
      </c>
      <c r="S1333" s="81">
        <f>HLOOKUP(L1333,データについて!$J$6:$M$18,13,FALSE)</f>
        <v>2</v>
      </c>
      <c r="T1333" s="81">
        <f>HLOOKUP(M1333,データについて!$J$7:$M$18,12,FALSE)</f>
        <v>2</v>
      </c>
      <c r="U1333" s="81">
        <f>HLOOKUP(N1333,データについて!$J$8:$M$18,11,FALSE)</f>
        <v>2</v>
      </c>
      <c r="V1333" s="81">
        <f>HLOOKUP(O1333,データについて!$J$9:$M$18,10,FALSE)</f>
        <v>1</v>
      </c>
      <c r="W1333" s="81">
        <f>HLOOKUP(P1333,データについて!$J$10:$M$18,9,FALSE)</f>
        <v>1</v>
      </c>
      <c r="X1333" s="81">
        <f>HLOOKUP(Q1333,データについて!$J$11:$M$18,8,FALSE)</f>
        <v>1</v>
      </c>
      <c r="Y1333" s="81">
        <f>HLOOKUP(R1333,データについて!$J$12:$M$18,7,FALSE)</f>
        <v>3</v>
      </c>
      <c r="Z1333" s="81">
        <f>HLOOKUP(I1333,データについて!$J$3:$M$18,16,FALSE)</f>
        <v>2</v>
      </c>
      <c r="AA1333" s="81" t="str">
        <f>IFERROR(HLOOKUP(J1333,データについて!$J$4:$AH$19,16,FALSE),"")</f>
        <v/>
      </c>
      <c r="AB1333" s="81">
        <f>IFERROR(HLOOKUP(K1333,データについて!$J$5:$AH$20,14,FALSE),"")</f>
        <v>0</v>
      </c>
      <c r="AC1333" s="81">
        <f>IF(X1333=1,HLOOKUP(R1333,データについて!$J$12:$M$18,7,FALSE),"*")</f>
        <v>3</v>
      </c>
      <c r="AD1333" s="81" t="str">
        <f>IF(X1333=2,HLOOKUP(R1333,データについて!$J$12:$M$18,7,FALSE),"*")</f>
        <v>*</v>
      </c>
    </row>
    <row r="1334" spans="1:30">
      <c r="A1334" s="30">
        <v>3858</v>
      </c>
      <c r="B1334" s="30" t="s">
        <v>814</v>
      </c>
      <c r="C1334" s="30" t="s">
        <v>815</v>
      </c>
      <c r="D1334" s="30" t="s">
        <v>106</v>
      </c>
      <c r="E1334" s="30"/>
      <c r="F1334" s="30" t="s">
        <v>107</v>
      </c>
      <c r="G1334" s="30" t="s">
        <v>106</v>
      </c>
      <c r="H1334" s="30"/>
      <c r="I1334" s="30" t="s">
        <v>191</v>
      </c>
      <c r="J1334" s="30"/>
      <c r="K1334" s="30" t="s">
        <v>648</v>
      </c>
      <c r="L1334" s="30" t="s">
        <v>117</v>
      </c>
      <c r="M1334" s="30" t="s">
        <v>109</v>
      </c>
      <c r="N1334" s="30" t="s">
        <v>110</v>
      </c>
      <c r="O1334" s="30" t="s">
        <v>115</v>
      </c>
      <c r="P1334" s="30" t="s">
        <v>112</v>
      </c>
      <c r="Q1334" s="30" t="s">
        <v>112</v>
      </c>
      <c r="R1334" s="30" t="s">
        <v>187</v>
      </c>
      <c r="S1334" s="81">
        <f>HLOOKUP(L1334,データについて!$J$6:$M$18,13,FALSE)</f>
        <v>2</v>
      </c>
      <c r="T1334" s="81">
        <f>HLOOKUP(M1334,データについて!$J$7:$M$18,12,FALSE)</f>
        <v>2</v>
      </c>
      <c r="U1334" s="81">
        <f>HLOOKUP(N1334,データについて!$J$8:$M$18,11,FALSE)</f>
        <v>2</v>
      </c>
      <c r="V1334" s="81">
        <f>HLOOKUP(O1334,データについて!$J$9:$M$18,10,FALSE)</f>
        <v>1</v>
      </c>
      <c r="W1334" s="81">
        <f>HLOOKUP(P1334,データについて!$J$10:$M$18,9,FALSE)</f>
        <v>1</v>
      </c>
      <c r="X1334" s="81">
        <f>HLOOKUP(Q1334,データについて!$J$11:$M$18,8,FALSE)</f>
        <v>1</v>
      </c>
      <c r="Y1334" s="81">
        <f>HLOOKUP(R1334,データについて!$J$12:$M$18,7,FALSE)</f>
        <v>3</v>
      </c>
      <c r="Z1334" s="81">
        <f>HLOOKUP(I1334,データについて!$J$3:$M$18,16,FALSE)</f>
        <v>2</v>
      </c>
      <c r="AA1334" s="81" t="str">
        <f>IFERROR(HLOOKUP(J1334,データについて!$J$4:$AH$19,16,FALSE),"")</f>
        <v/>
      </c>
      <c r="AB1334" s="81">
        <f>IFERROR(HLOOKUP(K1334,データについて!$J$5:$AH$20,14,FALSE),"")</f>
        <v>0</v>
      </c>
      <c r="AC1334" s="81">
        <f>IF(X1334=1,HLOOKUP(R1334,データについて!$J$12:$M$18,7,FALSE),"*")</f>
        <v>3</v>
      </c>
      <c r="AD1334" s="81" t="str">
        <f>IF(X1334=2,HLOOKUP(R1334,データについて!$J$12:$M$18,7,FALSE),"*")</f>
        <v>*</v>
      </c>
    </row>
    <row r="1335" spans="1:30">
      <c r="A1335" s="30">
        <v>3857</v>
      </c>
      <c r="B1335" s="30" t="s">
        <v>816</v>
      </c>
      <c r="C1335" s="30" t="s">
        <v>817</v>
      </c>
      <c r="D1335" s="30" t="s">
        <v>106</v>
      </c>
      <c r="E1335" s="30"/>
      <c r="F1335" s="30" t="s">
        <v>107</v>
      </c>
      <c r="G1335" s="30" t="s">
        <v>106</v>
      </c>
      <c r="H1335" s="30"/>
      <c r="I1335" s="30" t="s">
        <v>191</v>
      </c>
      <c r="J1335" s="30"/>
      <c r="K1335" s="30" t="s">
        <v>616</v>
      </c>
      <c r="L1335" s="30" t="s">
        <v>108</v>
      </c>
      <c r="M1335" s="30" t="s">
        <v>109</v>
      </c>
      <c r="N1335" s="30" t="s">
        <v>114</v>
      </c>
      <c r="O1335" s="30" t="s">
        <v>115</v>
      </c>
      <c r="P1335" s="30" t="s">
        <v>112</v>
      </c>
      <c r="Q1335" s="30" t="s">
        <v>112</v>
      </c>
      <c r="R1335" s="30" t="s">
        <v>185</v>
      </c>
      <c r="S1335" s="81">
        <f>HLOOKUP(L1335,データについて!$J$6:$M$18,13,FALSE)</f>
        <v>1</v>
      </c>
      <c r="T1335" s="81">
        <f>HLOOKUP(M1335,データについて!$J$7:$M$18,12,FALSE)</f>
        <v>2</v>
      </c>
      <c r="U1335" s="81">
        <f>HLOOKUP(N1335,データについて!$J$8:$M$18,11,FALSE)</f>
        <v>1</v>
      </c>
      <c r="V1335" s="81">
        <f>HLOOKUP(O1335,データについて!$J$9:$M$18,10,FALSE)</f>
        <v>1</v>
      </c>
      <c r="W1335" s="81">
        <f>HLOOKUP(P1335,データについて!$J$10:$M$18,9,FALSE)</f>
        <v>1</v>
      </c>
      <c r="X1335" s="81">
        <f>HLOOKUP(Q1335,データについて!$J$11:$M$18,8,FALSE)</f>
        <v>1</v>
      </c>
      <c r="Y1335" s="81">
        <f>HLOOKUP(R1335,データについて!$J$12:$M$18,7,FALSE)</f>
        <v>2</v>
      </c>
      <c r="Z1335" s="81">
        <f>HLOOKUP(I1335,データについて!$J$3:$M$18,16,FALSE)</f>
        <v>2</v>
      </c>
      <c r="AA1335" s="81" t="str">
        <f>IFERROR(HLOOKUP(J1335,データについて!$J$4:$AH$19,16,FALSE),"")</f>
        <v/>
      </c>
      <c r="AB1335" s="81">
        <f>IFERROR(HLOOKUP(K1335,データについて!$J$5:$AH$20,14,FALSE),"")</f>
        <v>0</v>
      </c>
      <c r="AC1335" s="81">
        <f>IF(X1335=1,HLOOKUP(R1335,データについて!$J$12:$M$18,7,FALSE),"*")</f>
        <v>2</v>
      </c>
      <c r="AD1335" s="81" t="str">
        <f>IF(X1335=2,HLOOKUP(R1335,データについて!$J$12:$M$18,7,FALSE),"*")</f>
        <v>*</v>
      </c>
    </row>
    <row r="1336" spans="1:30">
      <c r="A1336" s="30">
        <v>3856</v>
      </c>
      <c r="B1336" s="30" t="s">
        <v>818</v>
      </c>
      <c r="C1336" s="30" t="s">
        <v>819</v>
      </c>
      <c r="D1336" s="30" t="s">
        <v>106</v>
      </c>
      <c r="E1336" s="30"/>
      <c r="F1336" s="30" t="s">
        <v>107</v>
      </c>
      <c r="G1336" s="30" t="s">
        <v>106</v>
      </c>
      <c r="H1336" s="30"/>
      <c r="I1336" s="30" t="s">
        <v>191</v>
      </c>
      <c r="J1336" s="30"/>
      <c r="K1336" s="30" t="s">
        <v>616</v>
      </c>
      <c r="L1336" s="30" t="s">
        <v>108</v>
      </c>
      <c r="M1336" s="30" t="s">
        <v>109</v>
      </c>
      <c r="N1336" s="30" t="s">
        <v>110</v>
      </c>
      <c r="O1336" s="30" t="s">
        <v>115</v>
      </c>
      <c r="P1336" s="30" t="s">
        <v>118</v>
      </c>
      <c r="Q1336" s="30" t="s">
        <v>112</v>
      </c>
      <c r="R1336" s="30" t="s">
        <v>187</v>
      </c>
      <c r="S1336" s="81">
        <f>HLOOKUP(L1336,データについて!$J$6:$M$18,13,FALSE)</f>
        <v>1</v>
      </c>
      <c r="T1336" s="81">
        <f>HLOOKUP(M1336,データについて!$J$7:$M$18,12,FALSE)</f>
        <v>2</v>
      </c>
      <c r="U1336" s="81">
        <f>HLOOKUP(N1336,データについて!$J$8:$M$18,11,FALSE)</f>
        <v>2</v>
      </c>
      <c r="V1336" s="81">
        <f>HLOOKUP(O1336,データについて!$J$9:$M$18,10,FALSE)</f>
        <v>1</v>
      </c>
      <c r="W1336" s="81">
        <f>HLOOKUP(P1336,データについて!$J$10:$M$18,9,FALSE)</f>
        <v>2</v>
      </c>
      <c r="X1336" s="81">
        <f>HLOOKUP(Q1336,データについて!$J$11:$M$18,8,FALSE)</f>
        <v>1</v>
      </c>
      <c r="Y1336" s="81">
        <f>HLOOKUP(R1336,データについて!$J$12:$M$18,7,FALSE)</f>
        <v>3</v>
      </c>
      <c r="Z1336" s="81">
        <f>HLOOKUP(I1336,データについて!$J$3:$M$18,16,FALSE)</f>
        <v>2</v>
      </c>
      <c r="AA1336" s="81" t="str">
        <f>IFERROR(HLOOKUP(J1336,データについて!$J$4:$AH$19,16,FALSE),"")</f>
        <v/>
      </c>
      <c r="AB1336" s="81">
        <f>IFERROR(HLOOKUP(K1336,データについて!$J$5:$AH$20,14,FALSE),"")</f>
        <v>0</v>
      </c>
      <c r="AC1336" s="81">
        <f>IF(X1336=1,HLOOKUP(R1336,データについて!$J$12:$M$18,7,FALSE),"*")</f>
        <v>3</v>
      </c>
      <c r="AD1336" s="81" t="str">
        <f>IF(X1336=2,HLOOKUP(R1336,データについて!$J$12:$M$18,7,FALSE),"*")</f>
        <v>*</v>
      </c>
    </row>
    <row r="1337" spans="1:30">
      <c r="A1337" s="30">
        <v>3855</v>
      </c>
      <c r="B1337" s="30" t="s">
        <v>820</v>
      </c>
      <c r="C1337" s="30" t="s">
        <v>821</v>
      </c>
      <c r="D1337" s="30" t="s">
        <v>106</v>
      </c>
      <c r="E1337" s="30"/>
      <c r="F1337" s="30" t="s">
        <v>107</v>
      </c>
      <c r="G1337" s="30" t="s">
        <v>106</v>
      </c>
      <c r="H1337" s="30"/>
      <c r="I1337" s="30" t="s">
        <v>191</v>
      </c>
      <c r="J1337" s="30"/>
      <c r="K1337" s="30" t="s">
        <v>616</v>
      </c>
      <c r="L1337" s="30" t="s">
        <v>108</v>
      </c>
      <c r="M1337" s="30" t="s">
        <v>109</v>
      </c>
      <c r="N1337" s="30" t="s">
        <v>122</v>
      </c>
      <c r="O1337" s="30" t="s">
        <v>123</v>
      </c>
      <c r="P1337" s="30" t="s">
        <v>112</v>
      </c>
      <c r="Q1337" s="30" t="s">
        <v>112</v>
      </c>
      <c r="R1337" s="30" t="s">
        <v>187</v>
      </c>
      <c r="S1337" s="81">
        <f>HLOOKUP(L1337,データについて!$J$6:$M$18,13,FALSE)</f>
        <v>1</v>
      </c>
      <c r="T1337" s="81">
        <f>HLOOKUP(M1337,データについて!$J$7:$M$18,12,FALSE)</f>
        <v>2</v>
      </c>
      <c r="U1337" s="81">
        <f>HLOOKUP(N1337,データについて!$J$8:$M$18,11,FALSE)</f>
        <v>3</v>
      </c>
      <c r="V1337" s="81">
        <f>HLOOKUP(O1337,データについて!$J$9:$M$18,10,FALSE)</f>
        <v>4</v>
      </c>
      <c r="W1337" s="81">
        <f>HLOOKUP(P1337,データについて!$J$10:$M$18,9,FALSE)</f>
        <v>1</v>
      </c>
      <c r="X1337" s="81">
        <f>HLOOKUP(Q1337,データについて!$J$11:$M$18,8,FALSE)</f>
        <v>1</v>
      </c>
      <c r="Y1337" s="81">
        <f>HLOOKUP(R1337,データについて!$J$12:$M$18,7,FALSE)</f>
        <v>3</v>
      </c>
      <c r="Z1337" s="81">
        <f>HLOOKUP(I1337,データについて!$J$3:$M$18,16,FALSE)</f>
        <v>2</v>
      </c>
      <c r="AA1337" s="81" t="str">
        <f>IFERROR(HLOOKUP(J1337,データについて!$J$4:$AH$19,16,FALSE),"")</f>
        <v/>
      </c>
      <c r="AB1337" s="81">
        <f>IFERROR(HLOOKUP(K1337,データについて!$J$5:$AH$20,14,FALSE),"")</f>
        <v>0</v>
      </c>
      <c r="AC1337" s="81">
        <f>IF(X1337=1,HLOOKUP(R1337,データについて!$J$12:$M$18,7,FALSE),"*")</f>
        <v>3</v>
      </c>
      <c r="AD1337" s="81" t="str">
        <f>IF(X1337=2,HLOOKUP(R1337,データについて!$J$12:$M$18,7,FALSE),"*")</f>
        <v>*</v>
      </c>
    </row>
    <row r="1338" spans="1:30">
      <c r="A1338" s="30">
        <v>3854</v>
      </c>
      <c r="B1338" s="30" t="s">
        <v>822</v>
      </c>
      <c r="C1338" s="30" t="s">
        <v>823</v>
      </c>
      <c r="D1338" s="30" t="s">
        <v>106</v>
      </c>
      <c r="E1338" s="30"/>
      <c r="F1338" s="30" t="s">
        <v>107</v>
      </c>
      <c r="G1338" s="30" t="s">
        <v>106</v>
      </c>
      <c r="H1338" s="30"/>
      <c r="I1338" s="30" t="s">
        <v>191</v>
      </c>
      <c r="J1338" s="30"/>
      <c r="K1338" s="30" t="s">
        <v>616</v>
      </c>
      <c r="L1338" s="30" t="s">
        <v>108</v>
      </c>
      <c r="M1338" s="30" t="s">
        <v>113</v>
      </c>
      <c r="N1338" s="30" t="s">
        <v>110</v>
      </c>
      <c r="O1338" s="30" t="s">
        <v>115</v>
      </c>
      <c r="P1338" s="30" t="s">
        <v>112</v>
      </c>
      <c r="Q1338" s="30" t="s">
        <v>112</v>
      </c>
      <c r="R1338" s="30" t="s">
        <v>185</v>
      </c>
      <c r="S1338" s="81">
        <f>HLOOKUP(L1338,データについて!$J$6:$M$18,13,FALSE)</f>
        <v>1</v>
      </c>
      <c r="T1338" s="81">
        <f>HLOOKUP(M1338,データについて!$J$7:$M$18,12,FALSE)</f>
        <v>1</v>
      </c>
      <c r="U1338" s="81">
        <f>HLOOKUP(N1338,データについて!$J$8:$M$18,11,FALSE)</f>
        <v>2</v>
      </c>
      <c r="V1338" s="81">
        <f>HLOOKUP(O1338,データについて!$J$9:$M$18,10,FALSE)</f>
        <v>1</v>
      </c>
      <c r="W1338" s="81">
        <f>HLOOKUP(P1338,データについて!$J$10:$M$18,9,FALSE)</f>
        <v>1</v>
      </c>
      <c r="X1338" s="81">
        <f>HLOOKUP(Q1338,データについて!$J$11:$M$18,8,FALSE)</f>
        <v>1</v>
      </c>
      <c r="Y1338" s="81">
        <f>HLOOKUP(R1338,データについて!$J$12:$M$18,7,FALSE)</f>
        <v>2</v>
      </c>
      <c r="Z1338" s="81">
        <f>HLOOKUP(I1338,データについて!$J$3:$M$18,16,FALSE)</f>
        <v>2</v>
      </c>
      <c r="AA1338" s="81" t="str">
        <f>IFERROR(HLOOKUP(J1338,データについて!$J$4:$AH$19,16,FALSE),"")</f>
        <v/>
      </c>
      <c r="AB1338" s="81">
        <f>IFERROR(HLOOKUP(K1338,データについて!$J$5:$AH$20,14,FALSE),"")</f>
        <v>0</v>
      </c>
      <c r="AC1338" s="81">
        <f>IF(X1338=1,HLOOKUP(R1338,データについて!$J$12:$M$18,7,FALSE),"*")</f>
        <v>2</v>
      </c>
      <c r="AD1338" s="81" t="str">
        <f>IF(X1338=2,HLOOKUP(R1338,データについて!$J$12:$M$18,7,FALSE),"*")</f>
        <v>*</v>
      </c>
    </row>
    <row r="1339" spans="1:30">
      <c r="A1339" s="30">
        <v>3853</v>
      </c>
      <c r="B1339" s="30" t="s">
        <v>824</v>
      </c>
      <c r="C1339" s="30" t="s">
        <v>825</v>
      </c>
      <c r="D1339" s="30" t="s">
        <v>106</v>
      </c>
      <c r="E1339" s="30"/>
      <c r="F1339" s="30" t="s">
        <v>107</v>
      </c>
      <c r="G1339" s="30" t="s">
        <v>106</v>
      </c>
      <c r="H1339" s="30"/>
      <c r="I1339" s="30" t="s">
        <v>191</v>
      </c>
      <c r="J1339" s="30"/>
      <c r="K1339" s="30" t="s">
        <v>616</v>
      </c>
      <c r="L1339" s="30" t="s">
        <v>108</v>
      </c>
      <c r="M1339" s="30" t="s">
        <v>121</v>
      </c>
      <c r="N1339" s="30" t="s">
        <v>119</v>
      </c>
      <c r="O1339" s="30" t="s">
        <v>115</v>
      </c>
      <c r="P1339" s="30" t="s">
        <v>118</v>
      </c>
      <c r="Q1339" s="30" t="s">
        <v>118</v>
      </c>
      <c r="R1339" s="30" t="s">
        <v>187</v>
      </c>
      <c r="S1339" s="81">
        <f>HLOOKUP(L1339,データについて!$J$6:$M$18,13,FALSE)</f>
        <v>1</v>
      </c>
      <c r="T1339" s="81">
        <f>HLOOKUP(M1339,データについて!$J$7:$M$18,12,FALSE)</f>
        <v>4</v>
      </c>
      <c r="U1339" s="81">
        <f>HLOOKUP(N1339,データについて!$J$8:$M$18,11,FALSE)</f>
        <v>4</v>
      </c>
      <c r="V1339" s="81">
        <f>HLOOKUP(O1339,データについて!$J$9:$M$18,10,FALSE)</f>
        <v>1</v>
      </c>
      <c r="W1339" s="81">
        <f>HLOOKUP(P1339,データについて!$J$10:$M$18,9,FALSE)</f>
        <v>2</v>
      </c>
      <c r="X1339" s="81">
        <f>HLOOKUP(Q1339,データについて!$J$11:$M$18,8,FALSE)</f>
        <v>2</v>
      </c>
      <c r="Y1339" s="81">
        <f>HLOOKUP(R1339,データについて!$J$12:$M$18,7,FALSE)</f>
        <v>3</v>
      </c>
      <c r="Z1339" s="81">
        <f>HLOOKUP(I1339,データについて!$J$3:$M$18,16,FALSE)</f>
        <v>2</v>
      </c>
      <c r="AA1339" s="81" t="str">
        <f>IFERROR(HLOOKUP(J1339,データについて!$J$4:$AH$19,16,FALSE),"")</f>
        <v/>
      </c>
      <c r="AB1339" s="81">
        <f>IFERROR(HLOOKUP(K1339,データについて!$J$5:$AH$20,14,FALSE),"")</f>
        <v>0</v>
      </c>
      <c r="AC1339" s="81" t="str">
        <f>IF(X1339=1,HLOOKUP(R1339,データについて!$J$12:$M$18,7,FALSE),"*")</f>
        <v>*</v>
      </c>
      <c r="AD1339" s="81">
        <f>IF(X1339=2,HLOOKUP(R1339,データについて!$J$12:$M$18,7,FALSE),"*")</f>
        <v>3</v>
      </c>
    </row>
    <row r="1340" spans="1:30">
      <c r="A1340" s="30">
        <v>3852</v>
      </c>
      <c r="B1340" s="30" t="s">
        <v>826</v>
      </c>
      <c r="C1340" s="30" t="s">
        <v>827</v>
      </c>
      <c r="D1340" s="30" t="s">
        <v>106</v>
      </c>
      <c r="E1340" s="30"/>
      <c r="F1340" s="30" t="s">
        <v>107</v>
      </c>
      <c r="G1340" s="30" t="s">
        <v>106</v>
      </c>
      <c r="H1340" s="30"/>
      <c r="I1340" s="30" t="s">
        <v>191</v>
      </c>
      <c r="J1340" s="30"/>
      <c r="K1340" s="30" t="s">
        <v>616</v>
      </c>
      <c r="L1340" s="30" t="s">
        <v>108</v>
      </c>
      <c r="M1340" s="30" t="s">
        <v>109</v>
      </c>
      <c r="N1340" s="30" t="s">
        <v>110</v>
      </c>
      <c r="O1340" s="30" t="s">
        <v>115</v>
      </c>
      <c r="P1340" s="30" t="s">
        <v>118</v>
      </c>
      <c r="Q1340" s="30" t="s">
        <v>112</v>
      </c>
      <c r="R1340" s="30" t="s">
        <v>185</v>
      </c>
      <c r="S1340" s="81">
        <f>HLOOKUP(L1340,データについて!$J$6:$M$18,13,FALSE)</f>
        <v>1</v>
      </c>
      <c r="T1340" s="81">
        <f>HLOOKUP(M1340,データについて!$J$7:$M$18,12,FALSE)</f>
        <v>2</v>
      </c>
      <c r="U1340" s="81">
        <f>HLOOKUP(N1340,データについて!$J$8:$M$18,11,FALSE)</f>
        <v>2</v>
      </c>
      <c r="V1340" s="81">
        <f>HLOOKUP(O1340,データについて!$J$9:$M$18,10,FALSE)</f>
        <v>1</v>
      </c>
      <c r="W1340" s="81">
        <f>HLOOKUP(P1340,データについて!$J$10:$M$18,9,FALSE)</f>
        <v>2</v>
      </c>
      <c r="X1340" s="81">
        <f>HLOOKUP(Q1340,データについて!$J$11:$M$18,8,FALSE)</f>
        <v>1</v>
      </c>
      <c r="Y1340" s="81">
        <f>HLOOKUP(R1340,データについて!$J$12:$M$18,7,FALSE)</f>
        <v>2</v>
      </c>
      <c r="Z1340" s="81">
        <f>HLOOKUP(I1340,データについて!$J$3:$M$18,16,FALSE)</f>
        <v>2</v>
      </c>
      <c r="AA1340" s="81" t="str">
        <f>IFERROR(HLOOKUP(J1340,データについて!$J$4:$AH$19,16,FALSE),"")</f>
        <v/>
      </c>
      <c r="AB1340" s="81">
        <f>IFERROR(HLOOKUP(K1340,データについて!$J$5:$AH$20,14,FALSE),"")</f>
        <v>0</v>
      </c>
      <c r="AC1340" s="81">
        <f>IF(X1340=1,HLOOKUP(R1340,データについて!$J$12:$M$18,7,FALSE),"*")</f>
        <v>2</v>
      </c>
      <c r="AD1340" s="81" t="str">
        <f>IF(X1340=2,HLOOKUP(R1340,データについて!$J$12:$M$18,7,FALSE),"*")</f>
        <v>*</v>
      </c>
    </row>
    <row r="1341" spans="1:30">
      <c r="A1341" s="30">
        <v>3851</v>
      </c>
      <c r="B1341" s="30" t="s">
        <v>828</v>
      </c>
      <c r="C1341" s="30" t="s">
        <v>829</v>
      </c>
      <c r="D1341" s="30" t="s">
        <v>106</v>
      </c>
      <c r="E1341" s="30"/>
      <c r="F1341" s="30" t="s">
        <v>107</v>
      </c>
      <c r="G1341" s="30" t="s">
        <v>106</v>
      </c>
      <c r="H1341" s="30"/>
      <c r="I1341" s="30" t="s">
        <v>191</v>
      </c>
      <c r="J1341" s="30"/>
      <c r="K1341" s="30" t="s">
        <v>616</v>
      </c>
      <c r="L1341" s="30" t="s">
        <v>117</v>
      </c>
      <c r="M1341" s="30" t="s">
        <v>113</v>
      </c>
      <c r="N1341" s="30" t="s">
        <v>122</v>
      </c>
      <c r="O1341" s="30" t="s">
        <v>115</v>
      </c>
      <c r="P1341" s="30" t="s">
        <v>118</v>
      </c>
      <c r="Q1341" s="30" t="s">
        <v>112</v>
      </c>
      <c r="R1341" s="30" t="s">
        <v>185</v>
      </c>
      <c r="S1341" s="81">
        <f>HLOOKUP(L1341,データについて!$J$6:$M$18,13,FALSE)</f>
        <v>2</v>
      </c>
      <c r="T1341" s="81">
        <f>HLOOKUP(M1341,データについて!$J$7:$M$18,12,FALSE)</f>
        <v>1</v>
      </c>
      <c r="U1341" s="81">
        <f>HLOOKUP(N1341,データについて!$J$8:$M$18,11,FALSE)</f>
        <v>3</v>
      </c>
      <c r="V1341" s="81">
        <f>HLOOKUP(O1341,データについて!$J$9:$M$18,10,FALSE)</f>
        <v>1</v>
      </c>
      <c r="W1341" s="81">
        <f>HLOOKUP(P1341,データについて!$J$10:$M$18,9,FALSE)</f>
        <v>2</v>
      </c>
      <c r="X1341" s="81">
        <f>HLOOKUP(Q1341,データについて!$J$11:$M$18,8,FALSE)</f>
        <v>1</v>
      </c>
      <c r="Y1341" s="81">
        <f>HLOOKUP(R1341,データについて!$J$12:$M$18,7,FALSE)</f>
        <v>2</v>
      </c>
      <c r="Z1341" s="81">
        <f>HLOOKUP(I1341,データについて!$J$3:$M$18,16,FALSE)</f>
        <v>2</v>
      </c>
      <c r="AA1341" s="81" t="str">
        <f>IFERROR(HLOOKUP(J1341,データについて!$J$4:$AH$19,16,FALSE),"")</f>
        <v/>
      </c>
      <c r="AB1341" s="81">
        <f>IFERROR(HLOOKUP(K1341,データについて!$J$5:$AH$20,14,FALSE),"")</f>
        <v>0</v>
      </c>
      <c r="AC1341" s="81">
        <f>IF(X1341=1,HLOOKUP(R1341,データについて!$J$12:$M$18,7,FALSE),"*")</f>
        <v>2</v>
      </c>
      <c r="AD1341" s="81" t="str">
        <f>IF(X1341=2,HLOOKUP(R1341,データについて!$J$12:$M$18,7,FALSE),"*")</f>
        <v>*</v>
      </c>
    </row>
    <row r="1342" spans="1:30">
      <c r="A1342" s="30">
        <v>3850</v>
      </c>
      <c r="B1342" s="30" t="s">
        <v>830</v>
      </c>
      <c r="C1342" s="30" t="s">
        <v>829</v>
      </c>
      <c r="D1342" s="30" t="s">
        <v>106</v>
      </c>
      <c r="E1342" s="30"/>
      <c r="F1342" s="30" t="s">
        <v>107</v>
      </c>
      <c r="G1342" s="30" t="s">
        <v>106</v>
      </c>
      <c r="H1342" s="30"/>
      <c r="I1342" s="30" t="s">
        <v>191</v>
      </c>
      <c r="J1342" s="30"/>
      <c r="K1342" s="30" t="s">
        <v>616</v>
      </c>
      <c r="L1342" s="30" t="s">
        <v>108</v>
      </c>
      <c r="M1342" s="30" t="s">
        <v>109</v>
      </c>
      <c r="N1342" s="30" t="s">
        <v>122</v>
      </c>
      <c r="O1342" s="30" t="s">
        <v>123</v>
      </c>
      <c r="P1342" s="30" t="s">
        <v>112</v>
      </c>
      <c r="Q1342" s="30" t="s">
        <v>112</v>
      </c>
      <c r="R1342" s="30" t="s">
        <v>185</v>
      </c>
      <c r="S1342" s="81">
        <f>HLOOKUP(L1342,データについて!$J$6:$M$18,13,FALSE)</f>
        <v>1</v>
      </c>
      <c r="T1342" s="81">
        <f>HLOOKUP(M1342,データについて!$J$7:$M$18,12,FALSE)</f>
        <v>2</v>
      </c>
      <c r="U1342" s="81">
        <f>HLOOKUP(N1342,データについて!$J$8:$M$18,11,FALSE)</f>
        <v>3</v>
      </c>
      <c r="V1342" s="81">
        <f>HLOOKUP(O1342,データについて!$J$9:$M$18,10,FALSE)</f>
        <v>4</v>
      </c>
      <c r="W1342" s="81">
        <f>HLOOKUP(P1342,データについて!$J$10:$M$18,9,FALSE)</f>
        <v>1</v>
      </c>
      <c r="X1342" s="81">
        <f>HLOOKUP(Q1342,データについて!$J$11:$M$18,8,FALSE)</f>
        <v>1</v>
      </c>
      <c r="Y1342" s="81">
        <f>HLOOKUP(R1342,データについて!$J$12:$M$18,7,FALSE)</f>
        <v>2</v>
      </c>
      <c r="Z1342" s="81">
        <f>HLOOKUP(I1342,データについて!$J$3:$M$18,16,FALSE)</f>
        <v>2</v>
      </c>
      <c r="AA1342" s="81" t="str">
        <f>IFERROR(HLOOKUP(J1342,データについて!$J$4:$AH$19,16,FALSE),"")</f>
        <v/>
      </c>
      <c r="AB1342" s="81">
        <f>IFERROR(HLOOKUP(K1342,データについて!$J$5:$AH$20,14,FALSE),"")</f>
        <v>0</v>
      </c>
      <c r="AC1342" s="81">
        <f>IF(X1342=1,HLOOKUP(R1342,データについて!$J$12:$M$18,7,FALSE),"*")</f>
        <v>2</v>
      </c>
      <c r="AD1342" s="81" t="str">
        <f>IF(X1342=2,HLOOKUP(R1342,データについて!$J$12:$M$18,7,FALSE),"*")</f>
        <v>*</v>
      </c>
    </row>
    <row r="1343" spans="1:30">
      <c r="A1343" s="30">
        <v>3849</v>
      </c>
      <c r="B1343" s="30" t="s">
        <v>831</v>
      </c>
      <c r="C1343" s="30" t="s">
        <v>832</v>
      </c>
      <c r="D1343" s="30" t="s">
        <v>106</v>
      </c>
      <c r="E1343" s="30"/>
      <c r="F1343" s="30" t="s">
        <v>107</v>
      </c>
      <c r="G1343" s="30" t="s">
        <v>106</v>
      </c>
      <c r="H1343" s="30"/>
      <c r="I1343" s="30" t="s">
        <v>191</v>
      </c>
      <c r="J1343" s="30"/>
      <c r="K1343" s="30" t="s">
        <v>616</v>
      </c>
      <c r="L1343" s="30" t="s">
        <v>108</v>
      </c>
      <c r="M1343" s="30" t="s">
        <v>113</v>
      </c>
      <c r="N1343" s="30" t="s">
        <v>114</v>
      </c>
      <c r="O1343" s="30" t="s">
        <v>115</v>
      </c>
      <c r="P1343" s="30" t="s">
        <v>112</v>
      </c>
      <c r="Q1343" s="30" t="s">
        <v>112</v>
      </c>
      <c r="R1343" s="30" t="s">
        <v>185</v>
      </c>
      <c r="S1343" s="81">
        <f>HLOOKUP(L1343,データについて!$J$6:$M$18,13,FALSE)</f>
        <v>1</v>
      </c>
      <c r="T1343" s="81">
        <f>HLOOKUP(M1343,データについて!$J$7:$M$18,12,FALSE)</f>
        <v>1</v>
      </c>
      <c r="U1343" s="81">
        <f>HLOOKUP(N1343,データについて!$J$8:$M$18,11,FALSE)</f>
        <v>1</v>
      </c>
      <c r="V1343" s="81">
        <f>HLOOKUP(O1343,データについて!$J$9:$M$18,10,FALSE)</f>
        <v>1</v>
      </c>
      <c r="W1343" s="81">
        <f>HLOOKUP(P1343,データについて!$J$10:$M$18,9,FALSE)</f>
        <v>1</v>
      </c>
      <c r="X1343" s="81">
        <f>HLOOKUP(Q1343,データについて!$J$11:$M$18,8,FALSE)</f>
        <v>1</v>
      </c>
      <c r="Y1343" s="81">
        <f>HLOOKUP(R1343,データについて!$J$12:$M$18,7,FALSE)</f>
        <v>2</v>
      </c>
      <c r="Z1343" s="81">
        <f>HLOOKUP(I1343,データについて!$J$3:$M$18,16,FALSE)</f>
        <v>2</v>
      </c>
      <c r="AA1343" s="81" t="str">
        <f>IFERROR(HLOOKUP(J1343,データについて!$J$4:$AH$19,16,FALSE),"")</f>
        <v/>
      </c>
      <c r="AB1343" s="81">
        <f>IFERROR(HLOOKUP(K1343,データについて!$J$5:$AH$20,14,FALSE),"")</f>
        <v>0</v>
      </c>
      <c r="AC1343" s="81">
        <f>IF(X1343=1,HLOOKUP(R1343,データについて!$J$12:$M$18,7,FALSE),"*")</f>
        <v>2</v>
      </c>
      <c r="AD1343" s="81" t="str">
        <f>IF(X1343=2,HLOOKUP(R1343,データについて!$J$12:$M$18,7,FALSE),"*")</f>
        <v>*</v>
      </c>
    </row>
    <row r="1344" spans="1:30">
      <c r="A1344" s="30">
        <v>3848</v>
      </c>
      <c r="B1344" s="30" t="s">
        <v>833</v>
      </c>
      <c r="C1344" s="30" t="s">
        <v>832</v>
      </c>
      <c r="D1344" s="30" t="s">
        <v>106</v>
      </c>
      <c r="E1344" s="30"/>
      <c r="F1344" s="30" t="s">
        <v>107</v>
      </c>
      <c r="G1344" s="30" t="s">
        <v>106</v>
      </c>
      <c r="H1344" s="30"/>
      <c r="I1344" s="30" t="s">
        <v>191</v>
      </c>
      <c r="J1344" s="30"/>
      <c r="K1344" s="30" t="s">
        <v>616</v>
      </c>
      <c r="L1344" s="30" t="s">
        <v>108</v>
      </c>
      <c r="M1344" s="30" t="s">
        <v>113</v>
      </c>
      <c r="N1344" s="30" t="s">
        <v>110</v>
      </c>
      <c r="O1344" s="30" t="s">
        <v>115</v>
      </c>
      <c r="P1344" s="30" t="s">
        <v>112</v>
      </c>
      <c r="Q1344" s="30" t="s">
        <v>112</v>
      </c>
      <c r="R1344" s="30" t="s">
        <v>185</v>
      </c>
      <c r="S1344" s="81">
        <f>HLOOKUP(L1344,データについて!$J$6:$M$18,13,FALSE)</f>
        <v>1</v>
      </c>
      <c r="T1344" s="81">
        <f>HLOOKUP(M1344,データについて!$J$7:$M$18,12,FALSE)</f>
        <v>1</v>
      </c>
      <c r="U1344" s="81">
        <f>HLOOKUP(N1344,データについて!$J$8:$M$18,11,FALSE)</f>
        <v>2</v>
      </c>
      <c r="V1344" s="81">
        <f>HLOOKUP(O1344,データについて!$J$9:$M$18,10,FALSE)</f>
        <v>1</v>
      </c>
      <c r="W1344" s="81">
        <f>HLOOKUP(P1344,データについて!$J$10:$M$18,9,FALSE)</f>
        <v>1</v>
      </c>
      <c r="X1344" s="81">
        <f>HLOOKUP(Q1344,データについて!$J$11:$M$18,8,FALSE)</f>
        <v>1</v>
      </c>
      <c r="Y1344" s="81">
        <f>HLOOKUP(R1344,データについて!$J$12:$M$18,7,FALSE)</f>
        <v>2</v>
      </c>
      <c r="Z1344" s="81">
        <f>HLOOKUP(I1344,データについて!$J$3:$M$18,16,FALSE)</f>
        <v>2</v>
      </c>
      <c r="AA1344" s="81" t="str">
        <f>IFERROR(HLOOKUP(J1344,データについて!$J$4:$AH$19,16,FALSE),"")</f>
        <v/>
      </c>
      <c r="AB1344" s="81">
        <f>IFERROR(HLOOKUP(K1344,データについて!$J$5:$AH$20,14,FALSE),"")</f>
        <v>0</v>
      </c>
      <c r="AC1344" s="81">
        <f>IF(X1344=1,HLOOKUP(R1344,データについて!$J$12:$M$18,7,FALSE),"*")</f>
        <v>2</v>
      </c>
      <c r="AD1344" s="81" t="str">
        <f>IF(X1344=2,HLOOKUP(R1344,データについて!$J$12:$M$18,7,FALSE),"*")</f>
        <v>*</v>
      </c>
    </row>
    <row r="1345" spans="1:30">
      <c r="A1345" s="30">
        <v>3847</v>
      </c>
      <c r="B1345" s="30" t="s">
        <v>834</v>
      </c>
      <c r="C1345" s="30" t="s">
        <v>835</v>
      </c>
      <c r="D1345" s="30" t="s">
        <v>106</v>
      </c>
      <c r="E1345" s="30"/>
      <c r="F1345" s="30" t="s">
        <v>107</v>
      </c>
      <c r="G1345" s="30" t="s">
        <v>106</v>
      </c>
      <c r="H1345" s="30"/>
      <c r="I1345" s="30" t="s">
        <v>191</v>
      </c>
      <c r="J1345" s="30"/>
      <c r="K1345" s="30" t="s">
        <v>616</v>
      </c>
      <c r="L1345" s="30" t="s">
        <v>108</v>
      </c>
      <c r="M1345" s="30" t="s">
        <v>113</v>
      </c>
      <c r="N1345" s="30" t="s">
        <v>110</v>
      </c>
      <c r="O1345" s="30" t="s">
        <v>115</v>
      </c>
      <c r="P1345" s="30" t="s">
        <v>112</v>
      </c>
      <c r="Q1345" s="30" t="s">
        <v>112</v>
      </c>
      <c r="R1345" s="30" t="s">
        <v>185</v>
      </c>
      <c r="S1345" s="81">
        <f>HLOOKUP(L1345,データについて!$J$6:$M$18,13,FALSE)</f>
        <v>1</v>
      </c>
      <c r="T1345" s="81">
        <f>HLOOKUP(M1345,データについて!$J$7:$M$18,12,FALSE)</f>
        <v>1</v>
      </c>
      <c r="U1345" s="81">
        <f>HLOOKUP(N1345,データについて!$J$8:$M$18,11,FALSE)</f>
        <v>2</v>
      </c>
      <c r="V1345" s="81">
        <f>HLOOKUP(O1345,データについて!$J$9:$M$18,10,FALSE)</f>
        <v>1</v>
      </c>
      <c r="W1345" s="81">
        <f>HLOOKUP(P1345,データについて!$J$10:$M$18,9,FALSE)</f>
        <v>1</v>
      </c>
      <c r="X1345" s="81">
        <f>HLOOKUP(Q1345,データについて!$J$11:$M$18,8,FALSE)</f>
        <v>1</v>
      </c>
      <c r="Y1345" s="81">
        <f>HLOOKUP(R1345,データについて!$J$12:$M$18,7,FALSE)</f>
        <v>2</v>
      </c>
      <c r="Z1345" s="81">
        <f>HLOOKUP(I1345,データについて!$J$3:$M$18,16,FALSE)</f>
        <v>2</v>
      </c>
      <c r="AA1345" s="81" t="str">
        <f>IFERROR(HLOOKUP(J1345,データについて!$J$4:$AH$19,16,FALSE),"")</f>
        <v/>
      </c>
      <c r="AB1345" s="81">
        <f>IFERROR(HLOOKUP(K1345,データについて!$J$5:$AH$20,14,FALSE),"")</f>
        <v>0</v>
      </c>
      <c r="AC1345" s="81">
        <f>IF(X1345=1,HLOOKUP(R1345,データについて!$J$12:$M$18,7,FALSE),"*")</f>
        <v>2</v>
      </c>
      <c r="AD1345" s="81" t="str">
        <f>IF(X1345=2,HLOOKUP(R1345,データについて!$J$12:$M$18,7,FALSE),"*")</f>
        <v>*</v>
      </c>
    </row>
    <row r="1346" spans="1:30">
      <c r="A1346" s="30">
        <v>3846</v>
      </c>
      <c r="B1346" s="30" t="s">
        <v>836</v>
      </c>
      <c r="C1346" s="30" t="s">
        <v>837</v>
      </c>
      <c r="D1346" s="30" t="s">
        <v>106</v>
      </c>
      <c r="E1346" s="30"/>
      <c r="F1346" s="30" t="s">
        <v>107</v>
      </c>
      <c r="G1346" s="30" t="s">
        <v>106</v>
      </c>
      <c r="H1346" s="30"/>
      <c r="I1346" s="30" t="s">
        <v>191</v>
      </c>
      <c r="J1346" s="30"/>
      <c r="K1346" s="30" t="s">
        <v>616</v>
      </c>
      <c r="L1346" s="30" t="s">
        <v>108</v>
      </c>
      <c r="M1346" s="30" t="s">
        <v>113</v>
      </c>
      <c r="N1346" s="30" t="s">
        <v>110</v>
      </c>
      <c r="O1346" s="30" t="s">
        <v>111</v>
      </c>
      <c r="P1346" s="30" t="s">
        <v>112</v>
      </c>
      <c r="Q1346" s="30" t="s">
        <v>118</v>
      </c>
      <c r="R1346" s="30" t="s">
        <v>185</v>
      </c>
      <c r="S1346" s="81">
        <f>HLOOKUP(L1346,データについて!$J$6:$M$18,13,FALSE)</f>
        <v>1</v>
      </c>
      <c r="T1346" s="81">
        <f>HLOOKUP(M1346,データについて!$J$7:$M$18,12,FALSE)</f>
        <v>1</v>
      </c>
      <c r="U1346" s="81">
        <f>HLOOKUP(N1346,データについて!$J$8:$M$18,11,FALSE)</f>
        <v>2</v>
      </c>
      <c r="V1346" s="81">
        <f>HLOOKUP(O1346,データについて!$J$9:$M$18,10,FALSE)</f>
        <v>3</v>
      </c>
      <c r="W1346" s="81">
        <f>HLOOKUP(P1346,データについて!$J$10:$M$18,9,FALSE)</f>
        <v>1</v>
      </c>
      <c r="X1346" s="81">
        <f>HLOOKUP(Q1346,データについて!$J$11:$M$18,8,FALSE)</f>
        <v>2</v>
      </c>
      <c r="Y1346" s="81">
        <f>HLOOKUP(R1346,データについて!$J$12:$M$18,7,FALSE)</f>
        <v>2</v>
      </c>
      <c r="Z1346" s="81">
        <f>HLOOKUP(I1346,データについて!$J$3:$M$18,16,FALSE)</f>
        <v>2</v>
      </c>
      <c r="AA1346" s="81" t="str">
        <f>IFERROR(HLOOKUP(J1346,データについて!$J$4:$AH$19,16,FALSE),"")</f>
        <v/>
      </c>
      <c r="AB1346" s="81">
        <f>IFERROR(HLOOKUP(K1346,データについて!$J$5:$AH$20,14,FALSE),"")</f>
        <v>0</v>
      </c>
      <c r="AC1346" s="81" t="str">
        <f>IF(X1346=1,HLOOKUP(R1346,データについて!$J$12:$M$18,7,FALSE),"*")</f>
        <v>*</v>
      </c>
      <c r="AD1346" s="81">
        <f>IF(X1346=2,HLOOKUP(R1346,データについて!$J$12:$M$18,7,FALSE),"*")</f>
        <v>2</v>
      </c>
    </row>
    <row r="1347" spans="1:30">
      <c r="A1347" s="30">
        <v>3845</v>
      </c>
      <c r="B1347" s="30" t="s">
        <v>838</v>
      </c>
      <c r="C1347" s="30" t="s">
        <v>839</v>
      </c>
      <c r="D1347" s="30" t="s">
        <v>106</v>
      </c>
      <c r="E1347" s="30"/>
      <c r="F1347" s="30" t="s">
        <v>107</v>
      </c>
      <c r="G1347" s="30" t="s">
        <v>106</v>
      </c>
      <c r="H1347" s="30"/>
      <c r="I1347" s="30" t="s">
        <v>191</v>
      </c>
      <c r="J1347" s="30"/>
      <c r="K1347" s="30" t="s">
        <v>648</v>
      </c>
      <c r="L1347" s="30" t="s">
        <v>108</v>
      </c>
      <c r="M1347" s="30" t="s">
        <v>109</v>
      </c>
      <c r="N1347" s="30" t="s">
        <v>114</v>
      </c>
      <c r="O1347" s="30" t="s">
        <v>111</v>
      </c>
      <c r="P1347" s="30" t="s">
        <v>112</v>
      </c>
      <c r="Q1347" s="30" t="s">
        <v>118</v>
      </c>
      <c r="R1347" s="30" t="s">
        <v>187</v>
      </c>
      <c r="S1347" s="81">
        <f>HLOOKUP(L1347,データについて!$J$6:$M$18,13,FALSE)</f>
        <v>1</v>
      </c>
      <c r="T1347" s="81">
        <f>HLOOKUP(M1347,データについて!$J$7:$M$18,12,FALSE)</f>
        <v>2</v>
      </c>
      <c r="U1347" s="81">
        <f>HLOOKUP(N1347,データについて!$J$8:$M$18,11,FALSE)</f>
        <v>1</v>
      </c>
      <c r="V1347" s="81">
        <f>HLOOKUP(O1347,データについて!$J$9:$M$18,10,FALSE)</f>
        <v>3</v>
      </c>
      <c r="W1347" s="81">
        <f>HLOOKUP(P1347,データについて!$J$10:$M$18,9,FALSE)</f>
        <v>1</v>
      </c>
      <c r="X1347" s="81">
        <f>HLOOKUP(Q1347,データについて!$J$11:$M$18,8,FALSE)</f>
        <v>2</v>
      </c>
      <c r="Y1347" s="81">
        <f>HLOOKUP(R1347,データについて!$J$12:$M$18,7,FALSE)</f>
        <v>3</v>
      </c>
      <c r="Z1347" s="81">
        <f>HLOOKUP(I1347,データについて!$J$3:$M$18,16,FALSE)</f>
        <v>2</v>
      </c>
      <c r="AA1347" s="81" t="str">
        <f>IFERROR(HLOOKUP(J1347,データについて!$J$4:$AH$19,16,FALSE),"")</f>
        <v/>
      </c>
      <c r="AB1347" s="81">
        <f>IFERROR(HLOOKUP(K1347,データについて!$J$5:$AH$20,14,FALSE),"")</f>
        <v>0</v>
      </c>
      <c r="AC1347" s="81" t="str">
        <f>IF(X1347=1,HLOOKUP(R1347,データについて!$J$12:$M$18,7,FALSE),"*")</f>
        <v>*</v>
      </c>
      <c r="AD1347" s="81">
        <f>IF(X1347=2,HLOOKUP(R1347,データについて!$J$12:$M$18,7,FALSE),"*")</f>
        <v>3</v>
      </c>
    </row>
    <row r="1348" spans="1:30">
      <c r="A1348" s="30">
        <v>3844</v>
      </c>
      <c r="B1348" s="30" t="s">
        <v>840</v>
      </c>
      <c r="C1348" s="30" t="s">
        <v>841</v>
      </c>
      <c r="D1348" s="30" t="s">
        <v>106</v>
      </c>
      <c r="E1348" s="30"/>
      <c r="F1348" s="30" t="s">
        <v>107</v>
      </c>
      <c r="G1348" s="30" t="s">
        <v>106</v>
      </c>
      <c r="H1348" s="30"/>
      <c r="I1348" s="30" t="s">
        <v>191</v>
      </c>
      <c r="J1348" s="30"/>
      <c r="K1348" s="30" t="s">
        <v>616</v>
      </c>
      <c r="L1348" s="30" t="s">
        <v>117</v>
      </c>
      <c r="M1348" s="30" t="s">
        <v>113</v>
      </c>
      <c r="N1348" s="30" t="s">
        <v>110</v>
      </c>
      <c r="O1348" s="30" t="s">
        <v>115</v>
      </c>
      <c r="P1348" s="30" t="s">
        <v>112</v>
      </c>
      <c r="Q1348" s="30" t="s">
        <v>112</v>
      </c>
      <c r="R1348" s="30" t="s">
        <v>185</v>
      </c>
      <c r="S1348" s="81">
        <f>HLOOKUP(L1348,データについて!$J$6:$M$18,13,FALSE)</f>
        <v>2</v>
      </c>
      <c r="T1348" s="81">
        <f>HLOOKUP(M1348,データについて!$J$7:$M$18,12,FALSE)</f>
        <v>1</v>
      </c>
      <c r="U1348" s="81">
        <f>HLOOKUP(N1348,データについて!$J$8:$M$18,11,FALSE)</f>
        <v>2</v>
      </c>
      <c r="V1348" s="81">
        <f>HLOOKUP(O1348,データについて!$J$9:$M$18,10,FALSE)</f>
        <v>1</v>
      </c>
      <c r="W1348" s="81">
        <f>HLOOKUP(P1348,データについて!$J$10:$M$18,9,FALSE)</f>
        <v>1</v>
      </c>
      <c r="X1348" s="81">
        <f>HLOOKUP(Q1348,データについて!$J$11:$M$18,8,FALSE)</f>
        <v>1</v>
      </c>
      <c r="Y1348" s="81">
        <f>HLOOKUP(R1348,データについて!$J$12:$M$18,7,FALSE)</f>
        <v>2</v>
      </c>
      <c r="Z1348" s="81">
        <f>HLOOKUP(I1348,データについて!$J$3:$M$18,16,FALSE)</f>
        <v>2</v>
      </c>
      <c r="AA1348" s="81" t="str">
        <f>IFERROR(HLOOKUP(J1348,データについて!$J$4:$AH$19,16,FALSE),"")</f>
        <v/>
      </c>
      <c r="AB1348" s="81">
        <f>IFERROR(HLOOKUP(K1348,データについて!$J$5:$AH$20,14,FALSE),"")</f>
        <v>0</v>
      </c>
      <c r="AC1348" s="81">
        <f>IF(X1348=1,HLOOKUP(R1348,データについて!$J$12:$M$18,7,FALSE),"*")</f>
        <v>2</v>
      </c>
      <c r="AD1348" s="81" t="str">
        <f>IF(X1348=2,HLOOKUP(R1348,データについて!$J$12:$M$18,7,FALSE),"*")</f>
        <v>*</v>
      </c>
    </row>
    <row r="1349" spans="1:30">
      <c r="A1349" s="30">
        <v>3843</v>
      </c>
      <c r="B1349" s="30" t="s">
        <v>842</v>
      </c>
      <c r="C1349" s="30" t="s">
        <v>843</v>
      </c>
      <c r="D1349" s="30" t="s">
        <v>106</v>
      </c>
      <c r="E1349" s="30"/>
      <c r="F1349" s="30" t="s">
        <v>107</v>
      </c>
      <c r="G1349" s="30" t="s">
        <v>106</v>
      </c>
      <c r="H1349" s="30"/>
      <c r="I1349" s="30" t="s">
        <v>191</v>
      </c>
      <c r="J1349" s="30"/>
      <c r="K1349" s="30" t="s">
        <v>616</v>
      </c>
      <c r="L1349" s="30" t="s">
        <v>108</v>
      </c>
      <c r="M1349" s="30" t="s">
        <v>113</v>
      </c>
      <c r="N1349" s="30" t="s">
        <v>114</v>
      </c>
      <c r="O1349" s="30" t="s">
        <v>115</v>
      </c>
      <c r="P1349" s="30" t="s">
        <v>118</v>
      </c>
      <c r="Q1349" s="30" t="s">
        <v>112</v>
      </c>
      <c r="R1349" s="30" t="s">
        <v>185</v>
      </c>
      <c r="S1349" s="81">
        <f>HLOOKUP(L1349,データについて!$J$6:$M$18,13,FALSE)</f>
        <v>1</v>
      </c>
      <c r="T1349" s="81">
        <f>HLOOKUP(M1349,データについて!$J$7:$M$18,12,FALSE)</f>
        <v>1</v>
      </c>
      <c r="U1349" s="81">
        <f>HLOOKUP(N1349,データについて!$J$8:$M$18,11,FALSE)</f>
        <v>1</v>
      </c>
      <c r="V1349" s="81">
        <f>HLOOKUP(O1349,データについて!$J$9:$M$18,10,FALSE)</f>
        <v>1</v>
      </c>
      <c r="W1349" s="81">
        <f>HLOOKUP(P1349,データについて!$J$10:$M$18,9,FALSE)</f>
        <v>2</v>
      </c>
      <c r="X1349" s="81">
        <f>HLOOKUP(Q1349,データについて!$J$11:$M$18,8,FALSE)</f>
        <v>1</v>
      </c>
      <c r="Y1349" s="81">
        <f>HLOOKUP(R1349,データについて!$J$12:$M$18,7,FALSE)</f>
        <v>2</v>
      </c>
      <c r="Z1349" s="81">
        <f>HLOOKUP(I1349,データについて!$J$3:$M$18,16,FALSE)</f>
        <v>2</v>
      </c>
      <c r="AA1349" s="81" t="str">
        <f>IFERROR(HLOOKUP(J1349,データについて!$J$4:$AH$19,16,FALSE),"")</f>
        <v/>
      </c>
      <c r="AB1349" s="81">
        <f>IFERROR(HLOOKUP(K1349,データについて!$J$5:$AH$20,14,FALSE),"")</f>
        <v>0</v>
      </c>
      <c r="AC1349" s="81">
        <f>IF(X1349=1,HLOOKUP(R1349,データについて!$J$12:$M$18,7,FALSE),"*")</f>
        <v>2</v>
      </c>
      <c r="AD1349" s="81" t="str">
        <f>IF(X1349=2,HLOOKUP(R1349,データについて!$J$12:$M$18,7,FALSE),"*")</f>
        <v>*</v>
      </c>
    </row>
    <row r="1350" spans="1:30">
      <c r="A1350" s="30">
        <v>3842</v>
      </c>
      <c r="B1350" s="30" t="s">
        <v>844</v>
      </c>
      <c r="C1350" s="30" t="s">
        <v>843</v>
      </c>
      <c r="D1350" s="30" t="s">
        <v>106</v>
      </c>
      <c r="E1350" s="30"/>
      <c r="F1350" s="30" t="s">
        <v>107</v>
      </c>
      <c r="G1350" s="30" t="s">
        <v>106</v>
      </c>
      <c r="H1350" s="30"/>
      <c r="I1350" s="30" t="s">
        <v>191</v>
      </c>
      <c r="J1350" s="30"/>
      <c r="K1350" s="30" t="s">
        <v>616</v>
      </c>
      <c r="L1350" s="30" t="s">
        <v>108</v>
      </c>
      <c r="M1350" s="30" t="s">
        <v>109</v>
      </c>
      <c r="N1350" s="30" t="s">
        <v>110</v>
      </c>
      <c r="O1350" s="30" t="s">
        <v>111</v>
      </c>
      <c r="P1350" s="30" t="s">
        <v>112</v>
      </c>
      <c r="Q1350" s="30" t="s">
        <v>112</v>
      </c>
      <c r="R1350" s="30" t="s">
        <v>185</v>
      </c>
      <c r="S1350" s="81">
        <f>HLOOKUP(L1350,データについて!$J$6:$M$18,13,FALSE)</f>
        <v>1</v>
      </c>
      <c r="T1350" s="81">
        <f>HLOOKUP(M1350,データについて!$J$7:$M$18,12,FALSE)</f>
        <v>2</v>
      </c>
      <c r="U1350" s="81">
        <f>HLOOKUP(N1350,データについて!$J$8:$M$18,11,FALSE)</f>
        <v>2</v>
      </c>
      <c r="V1350" s="81">
        <f>HLOOKUP(O1350,データについて!$J$9:$M$18,10,FALSE)</f>
        <v>3</v>
      </c>
      <c r="W1350" s="81">
        <f>HLOOKUP(P1350,データについて!$J$10:$M$18,9,FALSE)</f>
        <v>1</v>
      </c>
      <c r="X1350" s="81">
        <f>HLOOKUP(Q1350,データについて!$J$11:$M$18,8,FALSE)</f>
        <v>1</v>
      </c>
      <c r="Y1350" s="81">
        <f>HLOOKUP(R1350,データについて!$J$12:$M$18,7,FALSE)</f>
        <v>2</v>
      </c>
      <c r="Z1350" s="81">
        <f>HLOOKUP(I1350,データについて!$J$3:$M$18,16,FALSE)</f>
        <v>2</v>
      </c>
      <c r="AA1350" s="81" t="str">
        <f>IFERROR(HLOOKUP(J1350,データについて!$J$4:$AH$19,16,FALSE),"")</f>
        <v/>
      </c>
      <c r="AB1350" s="81">
        <f>IFERROR(HLOOKUP(K1350,データについて!$J$5:$AH$20,14,FALSE),"")</f>
        <v>0</v>
      </c>
      <c r="AC1350" s="81">
        <f>IF(X1350=1,HLOOKUP(R1350,データについて!$J$12:$M$18,7,FALSE),"*")</f>
        <v>2</v>
      </c>
      <c r="AD1350" s="81" t="str">
        <f>IF(X1350=2,HLOOKUP(R1350,データについて!$J$12:$M$18,7,FALSE),"*")</f>
        <v>*</v>
      </c>
    </row>
    <row r="1351" spans="1:30">
      <c r="A1351" s="30">
        <v>3841</v>
      </c>
      <c r="B1351" s="30" t="s">
        <v>845</v>
      </c>
      <c r="C1351" s="30" t="s">
        <v>846</v>
      </c>
      <c r="D1351" s="30" t="s">
        <v>106</v>
      </c>
      <c r="E1351" s="30"/>
      <c r="F1351" s="30" t="s">
        <v>107</v>
      </c>
      <c r="G1351" s="30" t="s">
        <v>106</v>
      </c>
      <c r="H1351" s="30"/>
      <c r="I1351" s="30" t="s">
        <v>191</v>
      </c>
      <c r="J1351" s="30"/>
      <c r="K1351" s="30" t="s">
        <v>648</v>
      </c>
      <c r="L1351" s="30" t="s">
        <v>108</v>
      </c>
      <c r="M1351" s="30" t="s">
        <v>113</v>
      </c>
      <c r="N1351" s="30" t="s">
        <v>110</v>
      </c>
      <c r="O1351" s="30" t="s">
        <v>115</v>
      </c>
      <c r="P1351" s="30" t="s">
        <v>112</v>
      </c>
      <c r="Q1351" s="30" t="s">
        <v>112</v>
      </c>
      <c r="R1351" s="30" t="s">
        <v>189</v>
      </c>
      <c r="S1351" s="81">
        <f>HLOOKUP(L1351,データについて!$J$6:$M$18,13,FALSE)</f>
        <v>1</v>
      </c>
      <c r="T1351" s="81">
        <f>HLOOKUP(M1351,データについて!$J$7:$M$18,12,FALSE)</f>
        <v>1</v>
      </c>
      <c r="U1351" s="81">
        <f>HLOOKUP(N1351,データについて!$J$8:$M$18,11,FALSE)</f>
        <v>2</v>
      </c>
      <c r="V1351" s="81">
        <f>HLOOKUP(O1351,データについて!$J$9:$M$18,10,FALSE)</f>
        <v>1</v>
      </c>
      <c r="W1351" s="81">
        <f>HLOOKUP(P1351,データについて!$J$10:$M$18,9,FALSE)</f>
        <v>1</v>
      </c>
      <c r="X1351" s="81">
        <f>HLOOKUP(Q1351,データについて!$J$11:$M$18,8,FALSE)</f>
        <v>1</v>
      </c>
      <c r="Y1351" s="81">
        <f>HLOOKUP(R1351,データについて!$J$12:$M$18,7,FALSE)</f>
        <v>4</v>
      </c>
      <c r="Z1351" s="81">
        <f>HLOOKUP(I1351,データについて!$J$3:$M$18,16,FALSE)</f>
        <v>2</v>
      </c>
      <c r="AA1351" s="81" t="str">
        <f>IFERROR(HLOOKUP(J1351,データについて!$J$4:$AH$19,16,FALSE),"")</f>
        <v/>
      </c>
      <c r="AB1351" s="81">
        <f>IFERROR(HLOOKUP(K1351,データについて!$J$5:$AH$20,14,FALSE),"")</f>
        <v>0</v>
      </c>
      <c r="AC1351" s="81">
        <f>IF(X1351=1,HLOOKUP(R1351,データについて!$J$12:$M$18,7,FALSE),"*")</f>
        <v>4</v>
      </c>
      <c r="AD1351" s="81" t="str">
        <f>IF(X1351=2,HLOOKUP(R1351,データについて!$J$12:$M$18,7,FALSE),"*")</f>
        <v>*</v>
      </c>
    </row>
    <row r="1352" spans="1:30">
      <c r="A1352" s="30">
        <v>3840</v>
      </c>
      <c r="B1352" s="30" t="s">
        <v>847</v>
      </c>
      <c r="C1352" s="30" t="s">
        <v>848</v>
      </c>
      <c r="D1352" s="30" t="s">
        <v>106</v>
      </c>
      <c r="E1352" s="30"/>
      <c r="F1352" s="30" t="s">
        <v>107</v>
      </c>
      <c r="G1352" s="30" t="s">
        <v>106</v>
      </c>
      <c r="H1352" s="30"/>
      <c r="I1352" s="30" t="s">
        <v>191</v>
      </c>
      <c r="J1352" s="30"/>
      <c r="K1352" s="30" t="s">
        <v>616</v>
      </c>
      <c r="L1352" s="30" t="s">
        <v>117</v>
      </c>
      <c r="M1352" s="30" t="s">
        <v>113</v>
      </c>
      <c r="N1352" s="30" t="s">
        <v>114</v>
      </c>
      <c r="O1352" s="30" t="s">
        <v>115</v>
      </c>
      <c r="P1352" s="30" t="s">
        <v>118</v>
      </c>
      <c r="Q1352" s="30" t="s">
        <v>112</v>
      </c>
      <c r="R1352" s="30" t="s">
        <v>183</v>
      </c>
      <c r="S1352" s="81">
        <f>HLOOKUP(L1352,データについて!$J$6:$M$18,13,FALSE)</f>
        <v>2</v>
      </c>
      <c r="T1352" s="81">
        <f>HLOOKUP(M1352,データについて!$J$7:$M$18,12,FALSE)</f>
        <v>1</v>
      </c>
      <c r="U1352" s="81">
        <f>HLOOKUP(N1352,データについて!$J$8:$M$18,11,FALSE)</f>
        <v>1</v>
      </c>
      <c r="V1352" s="81">
        <f>HLOOKUP(O1352,データについて!$J$9:$M$18,10,FALSE)</f>
        <v>1</v>
      </c>
      <c r="W1352" s="81">
        <f>HLOOKUP(P1352,データについて!$J$10:$M$18,9,FALSE)</f>
        <v>2</v>
      </c>
      <c r="X1352" s="81">
        <f>HLOOKUP(Q1352,データについて!$J$11:$M$18,8,FALSE)</f>
        <v>1</v>
      </c>
      <c r="Y1352" s="81">
        <f>HLOOKUP(R1352,データについて!$J$12:$M$18,7,FALSE)</f>
        <v>1</v>
      </c>
      <c r="Z1352" s="81">
        <f>HLOOKUP(I1352,データについて!$J$3:$M$18,16,FALSE)</f>
        <v>2</v>
      </c>
      <c r="AA1352" s="81" t="str">
        <f>IFERROR(HLOOKUP(J1352,データについて!$J$4:$AH$19,16,FALSE),"")</f>
        <v/>
      </c>
      <c r="AB1352" s="81">
        <f>IFERROR(HLOOKUP(K1352,データについて!$J$5:$AH$20,14,FALSE),"")</f>
        <v>0</v>
      </c>
      <c r="AC1352" s="81">
        <f>IF(X1352=1,HLOOKUP(R1352,データについて!$J$12:$M$18,7,FALSE),"*")</f>
        <v>1</v>
      </c>
      <c r="AD1352" s="81" t="str">
        <f>IF(X1352=2,HLOOKUP(R1352,データについて!$J$12:$M$18,7,FALSE),"*")</f>
        <v>*</v>
      </c>
    </row>
    <row r="1353" spans="1:30">
      <c r="A1353" s="30">
        <v>3839</v>
      </c>
      <c r="B1353" s="30" t="s">
        <v>849</v>
      </c>
      <c r="C1353" s="30" t="s">
        <v>850</v>
      </c>
      <c r="D1353" s="30" t="s">
        <v>106</v>
      </c>
      <c r="E1353" s="30"/>
      <c r="F1353" s="30" t="s">
        <v>107</v>
      </c>
      <c r="G1353" s="30" t="s">
        <v>106</v>
      </c>
      <c r="H1353" s="30"/>
      <c r="I1353" s="30" t="s">
        <v>191</v>
      </c>
      <c r="J1353" s="30"/>
      <c r="K1353" s="30" t="s">
        <v>648</v>
      </c>
      <c r="L1353" s="30" t="s">
        <v>108</v>
      </c>
      <c r="M1353" s="30" t="s">
        <v>109</v>
      </c>
      <c r="N1353" s="30" t="s">
        <v>119</v>
      </c>
      <c r="O1353" s="30" t="s">
        <v>115</v>
      </c>
      <c r="P1353" s="30" t="s">
        <v>118</v>
      </c>
      <c r="Q1353" s="30" t="s">
        <v>112</v>
      </c>
      <c r="R1353" s="30" t="s">
        <v>185</v>
      </c>
      <c r="S1353" s="81">
        <f>HLOOKUP(L1353,データについて!$J$6:$M$18,13,FALSE)</f>
        <v>1</v>
      </c>
      <c r="T1353" s="81">
        <f>HLOOKUP(M1353,データについて!$J$7:$M$18,12,FALSE)</f>
        <v>2</v>
      </c>
      <c r="U1353" s="81">
        <f>HLOOKUP(N1353,データについて!$J$8:$M$18,11,FALSE)</f>
        <v>4</v>
      </c>
      <c r="V1353" s="81">
        <f>HLOOKUP(O1353,データについて!$J$9:$M$18,10,FALSE)</f>
        <v>1</v>
      </c>
      <c r="W1353" s="81">
        <f>HLOOKUP(P1353,データについて!$J$10:$M$18,9,FALSE)</f>
        <v>2</v>
      </c>
      <c r="X1353" s="81">
        <f>HLOOKUP(Q1353,データについて!$J$11:$M$18,8,FALSE)</f>
        <v>1</v>
      </c>
      <c r="Y1353" s="81">
        <f>HLOOKUP(R1353,データについて!$J$12:$M$18,7,FALSE)</f>
        <v>2</v>
      </c>
      <c r="Z1353" s="81">
        <f>HLOOKUP(I1353,データについて!$J$3:$M$18,16,FALSE)</f>
        <v>2</v>
      </c>
      <c r="AA1353" s="81" t="str">
        <f>IFERROR(HLOOKUP(J1353,データについて!$J$4:$AH$19,16,FALSE),"")</f>
        <v/>
      </c>
      <c r="AB1353" s="81">
        <f>IFERROR(HLOOKUP(K1353,データについて!$J$5:$AH$20,14,FALSE),"")</f>
        <v>0</v>
      </c>
      <c r="AC1353" s="81">
        <f>IF(X1353=1,HLOOKUP(R1353,データについて!$J$12:$M$18,7,FALSE),"*")</f>
        <v>2</v>
      </c>
      <c r="AD1353" s="81" t="str">
        <f>IF(X1353=2,HLOOKUP(R1353,データについて!$J$12:$M$18,7,FALSE),"*")</f>
        <v>*</v>
      </c>
    </row>
    <row r="1354" spans="1:30">
      <c r="A1354" s="30">
        <v>3838</v>
      </c>
      <c r="B1354" s="30" t="s">
        <v>851</v>
      </c>
      <c r="C1354" s="30" t="s">
        <v>852</v>
      </c>
      <c r="D1354" s="30" t="s">
        <v>106</v>
      </c>
      <c r="E1354" s="30"/>
      <c r="F1354" s="30" t="s">
        <v>107</v>
      </c>
      <c r="G1354" s="30" t="s">
        <v>106</v>
      </c>
      <c r="H1354" s="30"/>
      <c r="I1354" s="30" t="s">
        <v>191</v>
      </c>
      <c r="J1354" s="30"/>
      <c r="K1354" s="30" t="s">
        <v>616</v>
      </c>
      <c r="L1354" s="30" t="s">
        <v>108</v>
      </c>
      <c r="M1354" s="30" t="s">
        <v>113</v>
      </c>
      <c r="N1354" s="30" t="s">
        <v>114</v>
      </c>
      <c r="O1354" s="30" t="s">
        <v>115</v>
      </c>
      <c r="P1354" s="30" t="s">
        <v>112</v>
      </c>
      <c r="Q1354" s="30" t="s">
        <v>118</v>
      </c>
      <c r="R1354" s="30" t="s">
        <v>185</v>
      </c>
      <c r="S1354" s="81">
        <f>HLOOKUP(L1354,データについて!$J$6:$M$18,13,FALSE)</f>
        <v>1</v>
      </c>
      <c r="T1354" s="81">
        <f>HLOOKUP(M1354,データについて!$J$7:$M$18,12,FALSE)</f>
        <v>1</v>
      </c>
      <c r="U1354" s="81">
        <f>HLOOKUP(N1354,データについて!$J$8:$M$18,11,FALSE)</f>
        <v>1</v>
      </c>
      <c r="V1354" s="81">
        <f>HLOOKUP(O1354,データについて!$J$9:$M$18,10,FALSE)</f>
        <v>1</v>
      </c>
      <c r="W1354" s="81">
        <f>HLOOKUP(P1354,データについて!$J$10:$M$18,9,FALSE)</f>
        <v>1</v>
      </c>
      <c r="X1354" s="81">
        <f>HLOOKUP(Q1354,データについて!$J$11:$M$18,8,FALSE)</f>
        <v>2</v>
      </c>
      <c r="Y1354" s="81">
        <f>HLOOKUP(R1354,データについて!$J$12:$M$18,7,FALSE)</f>
        <v>2</v>
      </c>
      <c r="Z1354" s="81">
        <f>HLOOKUP(I1354,データについて!$J$3:$M$18,16,FALSE)</f>
        <v>2</v>
      </c>
      <c r="AA1354" s="81" t="str">
        <f>IFERROR(HLOOKUP(J1354,データについて!$J$4:$AH$19,16,FALSE),"")</f>
        <v/>
      </c>
      <c r="AB1354" s="81">
        <f>IFERROR(HLOOKUP(K1354,データについて!$J$5:$AH$20,14,FALSE),"")</f>
        <v>0</v>
      </c>
      <c r="AC1354" s="81" t="str">
        <f>IF(X1354=1,HLOOKUP(R1354,データについて!$J$12:$M$18,7,FALSE),"*")</f>
        <v>*</v>
      </c>
      <c r="AD1354" s="81">
        <f>IF(X1354=2,HLOOKUP(R1354,データについて!$J$12:$M$18,7,FALSE),"*")</f>
        <v>2</v>
      </c>
    </row>
    <row r="1355" spans="1:30">
      <c r="A1355" s="30">
        <v>3837</v>
      </c>
      <c r="B1355" s="30" t="s">
        <v>853</v>
      </c>
      <c r="C1355" s="30" t="s">
        <v>854</v>
      </c>
      <c r="D1355" s="30" t="s">
        <v>106</v>
      </c>
      <c r="E1355" s="30"/>
      <c r="F1355" s="30" t="s">
        <v>107</v>
      </c>
      <c r="G1355" s="30" t="s">
        <v>106</v>
      </c>
      <c r="H1355" s="30"/>
      <c r="I1355" s="30" t="s">
        <v>191</v>
      </c>
      <c r="J1355" s="30"/>
      <c r="K1355" s="30" t="s">
        <v>616</v>
      </c>
      <c r="L1355" s="30" t="s">
        <v>108</v>
      </c>
      <c r="M1355" s="30" t="s">
        <v>113</v>
      </c>
      <c r="N1355" s="30" t="s">
        <v>110</v>
      </c>
      <c r="O1355" s="30" t="s">
        <v>115</v>
      </c>
      <c r="P1355" s="30" t="s">
        <v>118</v>
      </c>
      <c r="Q1355" s="30" t="s">
        <v>112</v>
      </c>
      <c r="R1355" s="30" t="s">
        <v>185</v>
      </c>
      <c r="S1355" s="81">
        <f>HLOOKUP(L1355,データについて!$J$6:$M$18,13,FALSE)</f>
        <v>1</v>
      </c>
      <c r="T1355" s="81">
        <f>HLOOKUP(M1355,データについて!$J$7:$M$18,12,FALSE)</f>
        <v>1</v>
      </c>
      <c r="U1355" s="81">
        <f>HLOOKUP(N1355,データについて!$J$8:$M$18,11,FALSE)</f>
        <v>2</v>
      </c>
      <c r="V1355" s="81">
        <f>HLOOKUP(O1355,データについて!$J$9:$M$18,10,FALSE)</f>
        <v>1</v>
      </c>
      <c r="W1355" s="81">
        <f>HLOOKUP(P1355,データについて!$J$10:$M$18,9,FALSE)</f>
        <v>2</v>
      </c>
      <c r="X1355" s="81">
        <f>HLOOKUP(Q1355,データについて!$J$11:$M$18,8,FALSE)</f>
        <v>1</v>
      </c>
      <c r="Y1355" s="81">
        <f>HLOOKUP(R1355,データについて!$J$12:$M$18,7,FALSE)</f>
        <v>2</v>
      </c>
      <c r="Z1355" s="81">
        <f>HLOOKUP(I1355,データについて!$J$3:$M$18,16,FALSE)</f>
        <v>2</v>
      </c>
      <c r="AA1355" s="81" t="str">
        <f>IFERROR(HLOOKUP(J1355,データについて!$J$4:$AH$19,16,FALSE),"")</f>
        <v/>
      </c>
      <c r="AB1355" s="81">
        <f>IFERROR(HLOOKUP(K1355,データについて!$J$5:$AH$20,14,FALSE),"")</f>
        <v>0</v>
      </c>
      <c r="AC1355" s="81">
        <f>IF(X1355=1,HLOOKUP(R1355,データについて!$J$12:$M$18,7,FALSE),"*")</f>
        <v>2</v>
      </c>
      <c r="AD1355" s="81" t="str">
        <f>IF(X1355=2,HLOOKUP(R1355,データについて!$J$12:$M$18,7,FALSE),"*")</f>
        <v>*</v>
      </c>
    </row>
    <row r="1356" spans="1:30">
      <c r="A1356" s="30">
        <v>3836</v>
      </c>
      <c r="B1356" s="30" t="s">
        <v>855</v>
      </c>
      <c r="C1356" s="30" t="s">
        <v>856</v>
      </c>
      <c r="D1356" s="30" t="s">
        <v>106</v>
      </c>
      <c r="E1356" s="30"/>
      <c r="F1356" s="30" t="s">
        <v>107</v>
      </c>
      <c r="G1356" s="30" t="s">
        <v>106</v>
      </c>
      <c r="H1356" s="30"/>
      <c r="I1356" s="30" t="s">
        <v>191</v>
      </c>
      <c r="J1356" s="30"/>
      <c r="K1356" s="30" t="s">
        <v>648</v>
      </c>
      <c r="L1356" s="30" t="s">
        <v>108</v>
      </c>
      <c r="M1356" s="30" t="s">
        <v>113</v>
      </c>
      <c r="N1356" s="30" t="s">
        <v>114</v>
      </c>
      <c r="O1356" s="30" t="s">
        <v>115</v>
      </c>
      <c r="P1356" s="30" t="s">
        <v>112</v>
      </c>
      <c r="Q1356" s="30" t="s">
        <v>112</v>
      </c>
      <c r="R1356" s="30" t="s">
        <v>185</v>
      </c>
      <c r="S1356" s="81">
        <f>HLOOKUP(L1356,データについて!$J$6:$M$18,13,FALSE)</f>
        <v>1</v>
      </c>
      <c r="T1356" s="81">
        <f>HLOOKUP(M1356,データについて!$J$7:$M$18,12,FALSE)</f>
        <v>1</v>
      </c>
      <c r="U1356" s="81">
        <f>HLOOKUP(N1356,データについて!$J$8:$M$18,11,FALSE)</f>
        <v>1</v>
      </c>
      <c r="V1356" s="81">
        <f>HLOOKUP(O1356,データについて!$J$9:$M$18,10,FALSE)</f>
        <v>1</v>
      </c>
      <c r="W1356" s="81">
        <f>HLOOKUP(P1356,データについて!$J$10:$M$18,9,FALSE)</f>
        <v>1</v>
      </c>
      <c r="X1356" s="81">
        <f>HLOOKUP(Q1356,データについて!$J$11:$M$18,8,FALSE)</f>
        <v>1</v>
      </c>
      <c r="Y1356" s="81">
        <f>HLOOKUP(R1356,データについて!$J$12:$M$18,7,FALSE)</f>
        <v>2</v>
      </c>
      <c r="Z1356" s="81">
        <f>HLOOKUP(I1356,データについて!$J$3:$M$18,16,FALSE)</f>
        <v>2</v>
      </c>
      <c r="AA1356" s="81" t="str">
        <f>IFERROR(HLOOKUP(J1356,データについて!$J$4:$AH$19,16,FALSE),"")</f>
        <v/>
      </c>
      <c r="AB1356" s="81">
        <f>IFERROR(HLOOKUP(K1356,データについて!$J$5:$AH$20,14,FALSE),"")</f>
        <v>0</v>
      </c>
      <c r="AC1356" s="81">
        <f>IF(X1356=1,HLOOKUP(R1356,データについて!$J$12:$M$18,7,FALSE),"*")</f>
        <v>2</v>
      </c>
      <c r="AD1356" s="81" t="str">
        <f>IF(X1356=2,HLOOKUP(R1356,データについて!$J$12:$M$18,7,FALSE),"*")</f>
        <v>*</v>
      </c>
    </row>
    <row r="1357" spans="1:30">
      <c r="A1357" s="30">
        <v>3835</v>
      </c>
      <c r="B1357" s="30" t="s">
        <v>857</v>
      </c>
      <c r="C1357" s="30" t="s">
        <v>858</v>
      </c>
      <c r="D1357" s="30" t="s">
        <v>106</v>
      </c>
      <c r="E1357" s="30"/>
      <c r="F1357" s="30" t="s">
        <v>107</v>
      </c>
      <c r="G1357" s="30" t="s">
        <v>106</v>
      </c>
      <c r="H1357" s="30"/>
      <c r="I1357" s="30" t="s">
        <v>191</v>
      </c>
      <c r="J1357" s="30"/>
      <c r="K1357" s="30" t="s">
        <v>616</v>
      </c>
      <c r="L1357" s="30" t="s">
        <v>117</v>
      </c>
      <c r="M1357" s="30" t="s">
        <v>113</v>
      </c>
      <c r="N1357" s="30" t="s">
        <v>114</v>
      </c>
      <c r="O1357" s="30" t="s">
        <v>115</v>
      </c>
      <c r="P1357" s="30" t="s">
        <v>118</v>
      </c>
      <c r="Q1357" s="30" t="s">
        <v>112</v>
      </c>
      <c r="R1357" s="30" t="s">
        <v>183</v>
      </c>
      <c r="S1357" s="81">
        <f>HLOOKUP(L1357,データについて!$J$6:$M$18,13,FALSE)</f>
        <v>2</v>
      </c>
      <c r="T1357" s="81">
        <f>HLOOKUP(M1357,データについて!$J$7:$M$18,12,FALSE)</f>
        <v>1</v>
      </c>
      <c r="U1357" s="81">
        <f>HLOOKUP(N1357,データについて!$J$8:$M$18,11,FALSE)</f>
        <v>1</v>
      </c>
      <c r="V1357" s="81">
        <f>HLOOKUP(O1357,データについて!$J$9:$M$18,10,FALSE)</f>
        <v>1</v>
      </c>
      <c r="W1357" s="81">
        <f>HLOOKUP(P1357,データについて!$J$10:$M$18,9,FALSE)</f>
        <v>2</v>
      </c>
      <c r="X1357" s="81">
        <f>HLOOKUP(Q1357,データについて!$J$11:$M$18,8,FALSE)</f>
        <v>1</v>
      </c>
      <c r="Y1357" s="81">
        <f>HLOOKUP(R1357,データについて!$J$12:$M$18,7,FALSE)</f>
        <v>1</v>
      </c>
      <c r="Z1357" s="81">
        <f>HLOOKUP(I1357,データについて!$J$3:$M$18,16,FALSE)</f>
        <v>2</v>
      </c>
      <c r="AA1357" s="81" t="str">
        <f>IFERROR(HLOOKUP(J1357,データについて!$J$4:$AH$19,16,FALSE),"")</f>
        <v/>
      </c>
      <c r="AB1357" s="81">
        <f>IFERROR(HLOOKUP(K1357,データについて!$J$5:$AH$20,14,FALSE),"")</f>
        <v>0</v>
      </c>
      <c r="AC1357" s="81">
        <f>IF(X1357=1,HLOOKUP(R1357,データについて!$J$12:$M$18,7,FALSE),"*")</f>
        <v>1</v>
      </c>
      <c r="AD1357" s="81" t="str">
        <f>IF(X1357=2,HLOOKUP(R1357,データについて!$J$12:$M$18,7,FALSE),"*")</f>
        <v>*</v>
      </c>
    </row>
    <row r="1358" spans="1:30">
      <c r="A1358" s="30">
        <v>3834</v>
      </c>
      <c r="B1358" s="30" t="s">
        <v>859</v>
      </c>
      <c r="C1358" s="30" t="s">
        <v>860</v>
      </c>
      <c r="D1358" s="30" t="s">
        <v>106</v>
      </c>
      <c r="E1358" s="30"/>
      <c r="F1358" s="30" t="s">
        <v>107</v>
      </c>
      <c r="G1358" s="30" t="s">
        <v>106</v>
      </c>
      <c r="H1358" s="30"/>
      <c r="I1358" s="30" t="s">
        <v>191</v>
      </c>
      <c r="J1358" s="30"/>
      <c r="K1358" s="30" t="s">
        <v>616</v>
      </c>
      <c r="L1358" s="30" t="s">
        <v>117</v>
      </c>
      <c r="M1358" s="30" t="s">
        <v>109</v>
      </c>
      <c r="N1358" s="30" t="s">
        <v>114</v>
      </c>
      <c r="O1358" s="30" t="s">
        <v>115</v>
      </c>
      <c r="P1358" s="30" t="s">
        <v>118</v>
      </c>
      <c r="Q1358" s="30" t="s">
        <v>112</v>
      </c>
      <c r="R1358" s="30" t="s">
        <v>185</v>
      </c>
      <c r="S1358" s="81">
        <f>HLOOKUP(L1358,データについて!$J$6:$M$18,13,FALSE)</f>
        <v>2</v>
      </c>
      <c r="T1358" s="81">
        <f>HLOOKUP(M1358,データについて!$J$7:$M$18,12,FALSE)</f>
        <v>2</v>
      </c>
      <c r="U1358" s="81">
        <f>HLOOKUP(N1358,データについて!$J$8:$M$18,11,FALSE)</f>
        <v>1</v>
      </c>
      <c r="V1358" s="81">
        <f>HLOOKUP(O1358,データについて!$J$9:$M$18,10,FALSE)</f>
        <v>1</v>
      </c>
      <c r="W1358" s="81">
        <f>HLOOKUP(P1358,データについて!$J$10:$M$18,9,FALSE)</f>
        <v>2</v>
      </c>
      <c r="X1358" s="81">
        <f>HLOOKUP(Q1358,データについて!$J$11:$M$18,8,FALSE)</f>
        <v>1</v>
      </c>
      <c r="Y1358" s="81">
        <f>HLOOKUP(R1358,データについて!$J$12:$M$18,7,FALSE)</f>
        <v>2</v>
      </c>
      <c r="Z1358" s="81">
        <f>HLOOKUP(I1358,データについて!$J$3:$M$18,16,FALSE)</f>
        <v>2</v>
      </c>
      <c r="AA1358" s="81" t="str">
        <f>IFERROR(HLOOKUP(J1358,データについて!$J$4:$AH$19,16,FALSE),"")</f>
        <v/>
      </c>
      <c r="AB1358" s="81">
        <f>IFERROR(HLOOKUP(K1358,データについて!$J$5:$AH$20,14,FALSE),"")</f>
        <v>0</v>
      </c>
      <c r="AC1358" s="81">
        <f>IF(X1358=1,HLOOKUP(R1358,データについて!$J$12:$M$18,7,FALSE),"*")</f>
        <v>2</v>
      </c>
      <c r="AD1358" s="81" t="str">
        <f>IF(X1358=2,HLOOKUP(R1358,データについて!$J$12:$M$18,7,FALSE),"*")</f>
        <v>*</v>
      </c>
    </row>
    <row r="1359" spans="1:30">
      <c r="A1359" s="30">
        <v>3833</v>
      </c>
      <c r="B1359" s="30" t="s">
        <v>861</v>
      </c>
      <c r="C1359" s="30" t="s">
        <v>862</v>
      </c>
      <c r="D1359" s="30" t="s">
        <v>106</v>
      </c>
      <c r="E1359" s="30"/>
      <c r="F1359" s="30" t="s">
        <v>107</v>
      </c>
      <c r="G1359" s="30" t="s">
        <v>106</v>
      </c>
      <c r="H1359" s="30"/>
      <c r="I1359" s="30" t="s">
        <v>192</v>
      </c>
      <c r="J1359" s="30" t="s">
        <v>619</v>
      </c>
      <c r="K1359" s="30"/>
      <c r="L1359" s="30" t="s">
        <v>108</v>
      </c>
      <c r="M1359" s="30" t="s">
        <v>113</v>
      </c>
      <c r="N1359" s="30" t="s">
        <v>114</v>
      </c>
      <c r="O1359" s="30" t="s">
        <v>115</v>
      </c>
      <c r="P1359" s="30" t="s">
        <v>112</v>
      </c>
      <c r="Q1359" s="30" t="s">
        <v>118</v>
      </c>
      <c r="R1359" s="30" t="s">
        <v>187</v>
      </c>
      <c r="S1359" s="81">
        <f>HLOOKUP(L1359,データについて!$J$6:$M$18,13,FALSE)</f>
        <v>1</v>
      </c>
      <c r="T1359" s="81">
        <f>HLOOKUP(M1359,データについて!$J$7:$M$18,12,FALSE)</f>
        <v>1</v>
      </c>
      <c r="U1359" s="81">
        <f>HLOOKUP(N1359,データについて!$J$8:$M$18,11,FALSE)</f>
        <v>1</v>
      </c>
      <c r="V1359" s="81">
        <f>HLOOKUP(O1359,データについて!$J$9:$M$18,10,FALSE)</f>
        <v>1</v>
      </c>
      <c r="W1359" s="81">
        <f>HLOOKUP(P1359,データについて!$J$10:$M$18,9,FALSE)</f>
        <v>1</v>
      </c>
      <c r="X1359" s="81">
        <f>HLOOKUP(Q1359,データについて!$J$11:$M$18,8,FALSE)</f>
        <v>2</v>
      </c>
      <c r="Y1359" s="81">
        <f>HLOOKUP(R1359,データについて!$J$12:$M$18,7,FALSE)</f>
        <v>3</v>
      </c>
      <c r="Z1359" s="81">
        <f>HLOOKUP(I1359,データについて!$J$3:$M$18,16,FALSE)</f>
        <v>1</v>
      </c>
      <c r="AA1359" s="81">
        <f>IFERROR(HLOOKUP(J1359,データについて!$J$4:$AH$19,16,FALSE),"")</f>
        <v>11</v>
      </c>
      <c r="AB1359" s="81" t="str">
        <f>IFERROR(HLOOKUP(K1359,データについて!$J$5:$AH$20,14,FALSE),"")</f>
        <v/>
      </c>
      <c r="AC1359" s="81" t="str">
        <f>IF(X1359=1,HLOOKUP(R1359,データについて!$J$12:$M$18,7,FALSE),"*")</f>
        <v>*</v>
      </c>
      <c r="AD1359" s="81">
        <f>IF(X1359=2,HLOOKUP(R1359,データについて!$J$12:$M$18,7,FALSE),"*")</f>
        <v>3</v>
      </c>
    </row>
    <row r="1360" spans="1:30">
      <c r="A1360" s="30">
        <v>3832</v>
      </c>
      <c r="B1360" s="30" t="s">
        <v>863</v>
      </c>
      <c r="C1360" s="30" t="s">
        <v>864</v>
      </c>
      <c r="D1360" s="30" t="s">
        <v>106</v>
      </c>
      <c r="E1360" s="30"/>
      <c r="F1360" s="30" t="s">
        <v>107</v>
      </c>
      <c r="G1360" s="30" t="s">
        <v>106</v>
      </c>
      <c r="H1360" s="30"/>
      <c r="I1360" s="30" t="s">
        <v>191</v>
      </c>
      <c r="J1360" s="30"/>
      <c r="K1360" s="30" t="s">
        <v>616</v>
      </c>
      <c r="L1360" s="30" t="s">
        <v>117</v>
      </c>
      <c r="M1360" s="30" t="s">
        <v>109</v>
      </c>
      <c r="N1360" s="30" t="s">
        <v>114</v>
      </c>
      <c r="O1360" s="30" t="s">
        <v>115</v>
      </c>
      <c r="P1360" s="30" t="s">
        <v>118</v>
      </c>
      <c r="Q1360" s="30" t="s">
        <v>112</v>
      </c>
      <c r="R1360" s="30" t="s">
        <v>185</v>
      </c>
      <c r="S1360" s="81">
        <f>HLOOKUP(L1360,データについて!$J$6:$M$18,13,FALSE)</f>
        <v>2</v>
      </c>
      <c r="T1360" s="81">
        <f>HLOOKUP(M1360,データについて!$J$7:$M$18,12,FALSE)</f>
        <v>2</v>
      </c>
      <c r="U1360" s="81">
        <f>HLOOKUP(N1360,データについて!$J$8:$M$18,11,FALSE)</f>
        <v>1</v>
      </c>
      <c r="V1360" s="81">
        <f>HLOOKUP(O1360,データについて!$J$9:$M$18,10,FALSE)</f>
        <v>1</v>
      </c>
      <c r="W1360" s="81">
        <f>HLOOKUP(P1360,データについて!$J$10:$M$18,9,FALSE)</f>
        <v>2</v>
      </c>
      <c r="X1360" s="81">
        <f>HLOOKUP(Q1360,データについて!$J$11:$M$18,8,FALSE)</f>
        <v>1</v>
      </c>
      <c r="Y1360" s="81">
        <f>HLOOKUP(R1360,データについて!$J$12:$M$18,7,FALSE)</f>
        <v>2</v>
      </c>
      <c r="Z1360" s="81">
        <f>HLOOKUP(I1360,データについて!$J$3:$M$18,16,FALSE)</f>
        <v>2</v>
      </c>
      <c r="AA1360" s="81" t="str">
        <f>IFERROR(HLOOKUP(J1360,データについて!$J$4:$AH$19,16,FALSE),"")</f>
        <v/>
      </c>
      <c r="AB1360" s="81">
        <f>IFERROR(HLOOKUP(K1360,データについて!$J$5:$AH$20,14,FALSE),"")</f>
        <v>0</v>
      </c>
      <c r="AC1360" s="81">
        <f>IF(X1360=1,HLOOKUP(R1360,データについて!$J$12:$M$18,7,FALSE),"*")</f>
        <v>2</v>
      </c>
      <c r="AD1360" s="81" t="str">
        <f>IF(X1360=2,HLOOKUP(R1360,データについて!$J$12:$M$18,7,FALSE),"*")</f>
        <v>*</v>
      </c>
    </row>
    <row r="1361" spans="1:30">
      <c r="A1361" s="30">
        <v>3831</v>
      </c>
      <c r="B1361" s="30" t="s">
        <v>865</v>
      </c>
      <c r="C1361" s="30" t="s">
        <v>866</v>
      </c>
      <c r="D1361" s="30" t="s">
        <v>106</v>
      </c>
      <c r="E1361" s="30"/>
      <c r="F1361" s="30" t="s">
        <v>107</v>
      </c>
      <c r="G1361" s="30" t="s">
        <v>106</v>
      </c>
      <c r="H1361" s="30"/>
      <c r="I1361" s="30" t="s">
        <v>191</v>
      </c>
      <c r="J1361" s="30"/>
      <c r="K1361" s="30" t="s">
        <v>616</v>
      </c>
      <c r="L1361" s="30" t="s">
        <v>117</v>
      </c>
      <c r="M1361" s="30" t="s">
        <v>109</v>
      </c>
      <c r="N1361" s="30" t="s">
        <v>110</v>
      </c>
      <c r="O1361" s="30" t="s">
        <v>115</v>
      </c>
      <c r="P1361" s="30" t="s">
        <v>118</v>
      </c>
      <c r="Q1361" s="30" t="s">
        <v>112</v>
      </c>
      <c r="R1361" s="30" t="s">
        <v>185</v>
      </c>
      <c r="S1361" s="81">
        <f>HLOOKUP(L1361,データについて!$J$6:$M$18,13,FALSE)</f>
        <v>2</v>
      </c>
      <c r="T1361" s="81">
        <f>HLOOKUP(M1361,データについて!$J$7:$M$18,12,FALSE)</f>
        <v>2</v>
      </c>
      <c r="U1361" s="81">
        <f>HLOOKUP(N1361,データについて!$J$8:$M$18,11,FALSE)</f>
        <v>2</v>
      </c>
      <c r="V1361" s="81">
        <f>HLOOKUP(O1361,データについて!$J$9:$M$18,10,FALSE)</f>
        <v>1</v>
      </c>
      <c r="W1361" s="81">
        <f>HLOOKUP(P1361,データについて!$J$10:$M$18,9,FALSE)</f>
        <v>2</v>
      </c>
      <c r="X1361" s="81">
        <f>HLOOKUP(Q1361,データについて!$J$11:$M$18,8,FALSE)</f>
        <v>1</v>
      </c>
      <c r="Y1361" s="81">
        <f>HLOOKUP(R1361,データについて!$J$12:$M$18,7,FALSE)</f>
        <v>2</v>
      </c>
      <c r="Z1361" s="81">
        <f>HLOOKUP(I1361,データについて!$J$3:$M$18,16,FALSE)</f>
        <v>2</v>
      </c>
      <c r="AA1361" s="81" t="str">
        <f>IFERROR(HLOOKUP(J1361,データについて!$J$4:$AH$19,16,FALSE),"")</f>
        <v/>
      </c>
      <c r="AB1361" s="81">
        <f>IFERROR(HLOOKUP(K1361,データについて!$J$5:$AH$20,14,FALSE),"")</f>
        <v>0</v>
      </c>
      <c r="AC1361" s="81">
        <f>IF(X1361=1,HLOOKUP(R1361,データについて!$J$12:$M$18,7,FALSE),"*")</f>
        <v>2</v>
      </c>
      <c r="AD1361" s="81" t="str">
        <f>IF(X1361=2,HLOOKUP(R1361,データについて!$J$12:$M$18,7,FALSE),"*")</f>
        <v>*</v>
      </c>
    </row>
    <row r="1362" spans="1:30">
      <c r="A1362" s="30">
        <v>3830</v>
      </c>
      <c r="B1362" s="30" t="s">
        <v>867</v>
      </c>
      <c r="C1362" s="30" t="s">
        <v>868</v>
      </c>
      <c r="D1362" s="30" t="s">
        <v>106</v>
      </c>
      <c r="E1362" s="30"/>
      <c r="F1362" s="30" t="s">
        <v>107</v>
      </c>
      <c r="G1362" s="30" t="s">
        <v>106</v>
      </c>
      <c r="H1362" s="30"/>
      <c r="I1362" s="30" t="s">
        <v>191</v>
      </c>
      <c r="J1362" s="30"/>
      <c r="K1362" s="30" t="s">
        <v>616</v>
      </c>
      <c r="L1362" s="30" t="s">
        <v>117</v>
      </c>
      <c r="M1362" s="30" t="s">
        <v>113</v>
      </c>
      <c r="N1362" s="30" t="s">
        <v>122</v>
      </c>
      <c r="O1362" s="30" t="s">
        <v>115</v>
      </c>
      <c r="P1362" s="30" t="s">
        <v>112</v>
      </c>
      <c r="Q1362" s="30" t="s">
        <v>118</v>
      </c>
      <c r="R1362" s="30" t="s">
        <v>189</v>
      </c>
      <c r="S1362" s="81">
        <f>HLOOKUP(L1362,データについて!$J$6:$M$18,13,FALSE)</f>
        <v>2</v>
      </c>
      <c r="T1362" s="81">
        <f>HLOOKUP(M1362,データについて!$J$7:$M$18,12,FALSE)</f>
        <v>1</v>
      </c>
      <c r="U1362" s="81">
        <f>HLOOKUP(N1362,データについて!$J$8:$M$18,11,FALSE)</f>
        <v>3</v>
      </c>
      <c r="V1362" s="81">
        <f>HLOOKUP(O1362,データについて!$J$9:$M$18,10,FALSE)</f>
        <v>1</v>
      </c>
      <c r="W1362" s="81">
        <f>HLOOKUP(P1362,データについて!$J$10:$M$18,9,FALSE)</f>
        <v>1</v>
      </c>
      <c r="X1362" s="81">
        <f>HLOOKUP(Q1362,データについて!$J$11:$M$18,8,FALSE)</f>
        <v>2</v>
      </c>
      <c r="Y1362" s="81">
        <f>HLOOKUP(R1362,データについて!$J$12:$M$18,7,FALSE)</f>
        <v>4</v>
      </c>
      <c r="Z1362" s="81">
        <f>HLOOKUP(I1362,データについて!$J$3:$M$18,16,FALSE)</f>
        <v>2</v>
      </c>
      <c r="AA1362" s="81" t="str">
        <f>IFERROR(HLOOKUP(J1362,データについて!$J$4:$AH$19,16,FALSE),"")</f>
        <v/>
      </c>
      <c r="AB1362" s="81">
        <f>IFERROR(HLOOKUP(K1362,データについて!$J$5:$AH$20,14,FALSE),"")</f>
        <v>0</v>
      </c>
      <c r="AC1362" s="81" t="str">
        <f>IF(X1362=1,HLOOKUP(R1362,データについて!$J$12:$M$18,7,FALSE),"*")</f>
        <v>*</v>
      </c>
      <c r="AD1362" s="81">
        <f>IF(X1362=2,HLOOKUP(R1362,データについて!$J$12:$M$18,7,FALSE),"*")</f>
        <v>4</v>
      </c>
    </row>
    <row r="1363" spans="1:30">
      <c r="A1363" s="30">
        <v>3829</v>
      </c>
      <c r="B1363" s="30" t="s">
        <v>869</v>
      </c>
      <c r="C1363" s="30" t="s">
        <v>870</v>
      </c>
      <c r="D1363" s="30" t="s">
        <v>106</v>
      </c>
      <c r="E1363" s="30"/>
      <c r="F1363" s="30" t="s">
        <v>107</v>
      </c>
      <c r="G1363" s="30" t="s">
        <v>106</v>
      </c>
      <c r="H1363" s="30"/>
      <c r="I1363" s="30" t="s">
        <v>191</v>
      </c>
      <c r="J1363" s="30"/>
      <c r="K1363" s="30" t="s">
        <v>616</v>
      </c>
      <c r="L1363" s="30" t="s">
        <v>117</v>
      </c>
      <c r="M1363" s="30" t="s">
        <v>109</v>
      </c>
      <c r="N1363" s="30" t="s">
        <v>122</v>
      </c>
      <c r="O1363" s="30" t="s">
        <v>115</v>
      </c>
      <c r="P1363" s="30" t="s">
        <v>112</v>
      </c>
      <c r="Q1363" s="30" t="s">
        <v>112</v>
      </c>
      <c r="R1363" s="30" t="s">
        <v>185</v>
      </c>
      <c r="S1363" s="81">
        <f>HLOOKUP(L1363,データについて!$J$6:$M$18,13,FALSE)</f>
        <v>2</v>
      </c>
      <c r="T1363" s="81">
        <f>HLOOKUP(M1363,データについて!$J$7:$M$18,12,FALSE)</f>
        <v>2</v>
      </c>
      <c r="U1363" s="81">
        <f>HLOOKUP(N1363,データについて!$J$8:$M$18,11,FALSE)</f>
        <v>3</v>
      </c>
      <c r="V1363" s="81">
        <f>HLOOKUP(O1363,データについて!$J$9:$M$18,10,FALSE)</f>
        <v>1</v>
      </c>
      <c r="W1363" s="81">
        <f>HLOOKUP(P1363,データについて!$J$10:$M$18,9,FALSE)</f>
        <v>1</v>
      </c>
      <c r="X1363" s="81">
        <f>HLOOKUP(Q1363,データについて!$J$11:$M$18,8,FALSE)</f>
        <v>1</v>
      </c>
      <c r="Y1363" s="81">
        <f>HLOOKUP(R1363,データについて!$J$12:$M$18,7,FALSE)</f>
        <v>2</v>
      </c>
      <c r="Z1363" s="81">
        <f>HLOOKUP(I1363,データについて!$J$3:$M$18,16,FALSE)</f>
        <v>2</v>
      </c>
      <c r="AA1363" s="81" t="str">
        <f>IFERROR(HLOOKUP(J1363,データについて!$J$4:$AH$19,16,FALSE),"")</f>
        <v/>
      </c>
      <c r="AB1363" s="81">
        <f>IFERROR(HLOOKUP(K1363,データについて!$J$5:$AH$20,14,FALSE),"")</f>
        <v>0</v>
      </c>
      <c r="AC1363" s="81">
        <f>IF(X1363=1,HLOOKUP(R1363,データについて!$J$12:$M$18,7,FALSE),"*")</f>
        <v>2</v>
      </c>
      <c r="AD1363" s="81" t="str">
        <f>IF(X1363=2,HLOOKUP(R1363,データについて!$J$12:$M$18,7,FALSE),"*")</f>
        <v>*</v>
      </c>
    </row>
    <row r="1364" spans="1:30">
      <c r="A1364" s="30">
        <v>3828</v>
      </c>
      <c r="B1364" s="30" t="s">
        <v>871</v>
      </c>
      <c r="C1364" s="30" t="s">
        <v>870</v>
      </c>
      <c r="D1364" s="30" t="s">
        <v>106</v>
      </c>
      <c r="E1364" s="30"/>
      <c r="F1364" s="30" t="s">
        <v>107</v>
      </c>
      <c r="G1364" s="30" t="s">
        <v>106</v>
      </c>
      <c r="H1364" s="30"/>
      <c r="I1364" s="30" t="s">
        <v>191</v>
      </c>
      <c r="J1364" s="30"/>
      <c r="K1364" s="30" t="s">
        <v>616</v>
      </c>
      <c r="L1364" s="30" t="s">
        <v>108</v>
      </c>
      <c r="M1364" s="30" t="s">
        <v>121</v>
      </c>
      <c r="N1364" s="30" t="s">
        <v>110</v>
      </c>
      <c r="O1364" s="30" t="s">
        <v>115</v>
      </c>
      <c r="P1364" s="30" t="s">
        <v>118</v>
      </c>
      <c r="Q1364" s="30" t="s">
        <v>112</v>
      </c>
      <c r="R1364" s="30" t="s">
        <v>183</v>
      </c>
      <c r="S1364" s="81">
        <f>HLOOKUP(L1364,データについて!$J$6:$M$18,13,FALSE)</f>
        <v>1</v>
      </c>
      <c r="T1364" s="81">
        <f>HLOOKUP(M1364,データについて!$J$7:$M$18,12,FALSE)</f>
        <v>4</v>
      </c>
      <c r="U1364" s="81">
        <f>HLOOKUP(N1364,データについて!$J$8:$M$18,11,FALSE)</f>
        <v>2</v>
      </c>
      <c r="V1364" s="81">
        <f>HLOOKUP(O1364,データについて!$J$9:$M$18,10,FALSE)</f>
        <v>1</v>
      </c>
      <c r="W1364" s="81">
        <f>HLOOKUP(P1364,データについて!$J$10:$M$18,9,FALSE)</f>
        <v>2</v>
      </c>
      <c r="X1364" s="81">
        <f>HLOOKUP(Q1364,データについて!$J$11:$M$18,8,FALSE)</f>
        <v>1</v>
      </c>
      <c r="Y1364" s="81">
        <f>HLOOKUP(R1364,データについて!$J$12:$M$18,7,FALSE)</f>
        <v>1</v>
      </c>
      <c r="Z1364" s="81">
        <f>HLOOKUP(I1364,データについて!$J$3:$M$18,16,FALSE)</f>
        <v>2</v>
      </c>
      <c r="AA1364" s="81" t="str">
        <f>IFERROR(HLOOKUP(J1364,データについて!$J$4:$AH$19,16,FALSE),"")</f>
        <v/>
      </c>
      <c r="AB1364" s="81">
        <f>IFERROR(HLOOKUP(K1364,データについて!$J$5:$AH$20,14,FALSE),"")</f>
        <v>0</v>
      </c>
      <c r="AC1364" s="81">
        <f>IF(X1364=1,HLOOKUP(R1364,データについて!$J$12:$M$18,7,FALSE),"*")</f>
        <v>1</v>
      </c>
      <c r="AD1364" s="81" t="str">
        <f>IF(X1364=2,HLOOKUP(R1364,データについて!$J$12:$M$18,7,FALSE),"*")</f>
        <v>*</v>
      </c>
    </row>
    <row r="1365" spans="1:30">
      <c r="A1365" s="30">
        <v>3827</v>
      </c>
      <c r="B1365" s="30" t="s">
        <v>872</v>
      </c>
      <c r="C1365" s="30" t="s">
        <v>873</v>
      </c>
      <c r="D1365" s="30" t="s">
        <v>106</v>
      </c>
      <c r="E1365" s="30"/>
      <c r="F1365" s="30" t="s">
        <v>107</v>
      </c>
      <c r="G1365" s="30" t="s">
        <v>106</v>
      </c>
      <c r="H1365" s="30"/>
      <c r="I1365" s="30" t="s">
        <v>191</v>
      </c>
      <c r="J1365" s="30"/>
      <c r="K1365" s="30" t="s">
        <v>616</v>
      </c>
      <c r="L1365" s="30" t="s">
        <v>108</v>
      </c>
      <c r="M1365" s="30" t="s">
        <v>113</v>
      </c>
      <c r="N1365" s="30" t="s">
        <v>114</v>
      </c>
      <c r="O1365" s="30" t="s">
        <v>115</v>
      </c>
      <c r="P1365" s="30" t="s">
        <v>112</v>
      </c>
      <c r="Q1365" s="30" t="s">
        <v>112</v>
      </c>
      <c r="R1365" s="30" t="s">
        <v>183</v>
      </c>
      <c r="S1365" s="81">
        <f>HLOOKUP(L1365,データについて!$J$6:$M$18,13,FALSE)</f>
        <v>1</v>
      </c>
      <c r="T1365" s="81">
        <f>HLOOKUP(M1365,データについて!$J$7:$M$18,12,FALSE)</f>
        <v>1</v>
      </c>
      <c r="U1365" s="81">
        <f>HLOOKUP(N1365,データについて!$J$8:$M$18,11,FALSE)</f>
        <v>1</v>
      </c>
      <c r="V1365" s="81">
        <f>HLOOKUP(O1365,データについて!$J$9:$M$18,10,FALSE)</f>
        <v>1</v>
      </c>
      <c r="W1365" s="81">
        <f>HLOOKUP(P1365,データについて!$J$10:$M$18,9,FALSE)</f>
        <v>1</v>
      </c>
      <c r="X1365" s="81">
        <f>HLOOKUP(Q1365,データについて!$J$11:$M$18,8,FALSE)</f>
        <v>1</v>
      </c>
      <c r="Y1365" s="81">
        <f>HLOOKUP(R1365,データについて!$J$12:$M$18,7,FALSE)</f>
        <v>1</v>
      </c>
      <c r="Z1365" s="81">
        <f>HLOOKUP(I1365,データについて!$J$3:$M$18,16,FALSE)</f>
        <v>2</v>
      </c>
      <c r="AA1365" s="81" t="str">
        <f>IFERROR(HLOOKUP(J1365,データについて!$J$4:$AH$19,16,FALSE),"")</f>
        <v/>
      </c>
      <c r="AB1365" s="81">
        <f>IFERROR(HLOOKUP(K1365,データについて!$J$5:$AH$20,14,FALSE),"")</f>
        <v>0</v>
      </c>
      <c r="AC1365" s="81">
        <f>IF(X1365=1,HLOOKUP(R1365,データについて!$J$12:$M$18,7,FALSE),"*")</f>
        <v>1</v>
      </c>
      <c r="AD1365" s="81" t="str">
        <f>IF(X1365=2,HLOOKUP(R1365,データについて!$J$12:$M$18,7,FALSE),"*")</f>
        <v>*</v>
      </c>
    </row>
    <row r="1366" spans="1:30">
      <c r="A1366" s="30">
        <v>3826</v>
      </c>
      <c r="B1366" s="30" t="s">
        <v>874</v>
      </c>
      <c r="C1366" s="30" t="s">
        <v>875</v>
      </c>
      <c r="D1366" s="30" t="s">
        <v>106</v>
      </c>
      <c r="E1366" s="30"/>
      <c r="F1366" s="30" t="s">
        <v>107</v>
      </c>
      <c r="G1366" s="30" t="s">
        <v>106</v>
      </c>
      <c r="H1366" s="30"/>
      <c r="I1366" s="30" t="s">
        <v>192</v>
      </c>
      <c r="J1366" s="30" t="s">
        <v>619</v>
      </c>
      <c r="K1366" s="30"/>
      <c r="L1366" s="30" t="s">
        <v>117</v>
      </c>
      <c r="M1366" s="30" t="s">
        <v>113</v>
      </c>
      <c r="N1366" s="30" t="s">
        <v>114</v>
      </c>
      <c r="O1366" s="30" t="s">
        <v>115</v>
      </c>
      <c r="P1366" s="30" t="s">
        <v>112</v>
      </c>
      <c r="Q1366" s="30" t="s">
        <v>112</v>
      </c>
      <c r="R1366" s="30" t="s">
        <v>185</v>
      </c>
      <c r="S1366" s="81">
        <f>HLOOKUP(L1366,データについて!$J$6:$M$18,13,FALSE)</f>
        <v>2</v>
      </c>
      <c r="T1366" s="81">
        <f>HLOOKUP(M1366,データについて!$J$7:$M$18,12,FALSE)</f>
        <v>1</v>
      </c>
      <c r="U1366" s="81">
        <f>HLOOKUP(N1366,データについて!$J$8:$M$18,11,FALSE)</f>
        <v>1</v>
      </c>
      <c r="V1366" s="81">
        <f>HLOOKUP(O1366,データについて!$J$9:$M$18,10,FALSE)</f>
        <v>1</v>
      </c>
      <c r="W1366" s="81">
        <f>HLOOKUP(P1366,データについて!$J$10:$M$18,9,FALSE)</f>
        <v>1</v>
      </c>
      <c r="X1366" s="81">
        <f>HLOOKUP(Q1366,データについて!$J$11:$M$18,8,FALSE)</f>
        <v>1</v>
      </c>
      <c r="Y1366" s="81">
        <f>HLOOKUP(R1366,データについて!$J$12:$M$18,7,FALSE)</f>
        <v>2</v>
      </c>
      <c r="Z1366" s="81">
        <f>HLOOKUP(I1366,データについて!$J$3:$M$18,16,FALSE)</f>
        <v>1</v>
      </c>
      <c r="AA1366" s="81">
        <f>IFERROR(HLOOKUP(J1366,データについて!$J$4:$AH$19,16,FALSE),"")</f>
        <v>11</v>
      </c>
      <c r="AB1366" s="81" t="str">
        <f>IFERROR(HLOOKUP(K1366,データについて!$J$5:$AH$20,14,FALSE),"")</f>
        <v/>
      </c>
      <c r="AC1366" s="81">
        <f>IF(X1366=1,HLOOKUP(R1366,データについて!$J$12:$M$18,7,FALSE),"*")</f>
        <v>2</v>
      </c>
      <c r="AD1366" s="81" t="str">
        <f>IF(X1366=2,HLOOKUP(R1366,データについて!$J$12:$M$18,7,FALSE),"*")</f>
        <v>*</v>
      </c>
    </row>
    <row r="1367" spans="1:30">
      <c r="A1367" s="30">
        <v>3825</v>
      </c>
      <c r="B1367" s="30" t="s">
        <v>876</v>
      </c>
      <c r="C1367" s="30" t="s">
        <v>877</v>
      </c>
      <c r="D1367" s="30" t="s">
        <v>106</v>
      </c>
      <c r="E1367" s="30"/>
      <c r="F1367" s="30" t="s">
        <v>107</v>
      </c>
      <c r="G1367" s="30" t="s">
        <v>106</v>
      </c>
      <c r="H1367" s="30"/>
      <c r="I1367" s="30" t="s">
        <v>191</v>
      </c>
      <c r="J1367" s="30"/>
      <c r="K1367" s="30" t="s">
        <v>616</v>
      </c>
      <c r="L1367" s="30" t="s">
        <v>108</v>
      </c>
      <c r="M1367" s="30" t="s">
        <v>109</v>
      </c>
      <c r="N1367" s="30" t="s">
        <v>110</v>
      </c>
      <c r="O1367" s="30" t="s">
        <v>115</v>
      </c>
      <c r="P1367" s="30" t="s">
        <v>112</v>
      </c>
      <c r="Q1367" s="30" t="s">
        <v>112</v>
      </c>
      <c r="R1367" s="30" t="s">
        <v>187</v>
      </c>
      <c r="S1367" s="81">
        <f>HLOOKUP(L1367,データについて!$J$6:$M$18,13,FALSE)</f>
        <v>1</v>
      </c>
      <c r="T1367" s="81">
        <f>HLOOKUP(M1367,データについて!$J$7:$M$18,12,FALSE)</f>
        <v>2</v>
      </c>
      <c r="U1367" s="81">
        <f>HLOOKUP(N1367,データについて!$J$8:$M$18,11,FALSE)</f>
        <v>2</v>
      </c>
      <c r="V1367" s="81">
        <f>HLOOKUP(O1367,データについて!$J$9:$M$18,10,FALSE)</f>
        <v>1</v>
      </c>
      <c r="W1367" s="81">
        <f>HLOOKUP(P1367,データについて!$J$10:$M$18,9,FALSE)</f>
        <v>1</v>
      </c>
      <c r="X1367" s="81">
        <f>HLOOKUP(Q1367,データについて!$J$11:$M$18,8,FALSE)</f>
        <v>1</v>
      </c>
      <c r="Y1367" s="81">
        <f>HLOOKUP(R1367,データについて!$J$12:$M$18,7,FALSE)</f>
        <v>3</v>
      </c>
      <c r="Z1367" s="81">
        <f>HLOOKUP(I1367,データについて!$J$3:$M$18,16,FALSE)</f>
        <v>2</v>
      </c>
      <c r="AA1367" s="81" t="str">
        <f>IFERROR(HLOOKUP(J1367,データについて!$J$4:$AH$19,16,FALSE),"")</f>
        <v/>
      </c>
      <c r="AB1367" s="81">
        <f>IFERROR(HLOOKUP(K1367,データについて!$J$5:$AH$20,14,FALSE),"")</f>
        <v>0</v>
      </c>
      <c r="AC1367" s="81">
        <f>IF(X1367=1,HLOOKUP(R1367,データについて!$J$12:$M$18,7,FALSE),"*")</f>
        <v>3</v>
      </c>
      <c r="AD1367" s="81" t="str">
        <f>IF(X1367=2,HLOOKUP(R1367,データについて!$J$12:$M$18,7,FALSE),"*")</f>
        <v>*</v>
      </c>
    </row>
    <row r="1368" spans="1:30">
      <c r="A1368" s="30">
        <v>3824</v>
      </c>
      <c r="B1368" s="30" t="s">
        <v>878</v>
      </c>
      <c r="C1368" s="30" t="s">
        <v>877</v>
      </c>
      <c r="D1368" s="30" t="s">
        <v>106</v>
      </c>
      <c r="E1368" s="30"/>
      <c r="F1368" s="30" t="s">
        <v>107</v>
      </c>
      <c r="G1368" s="30" t="s">
        <v>106</v>
      </c>
      <c r="H1368" s="30"/>
      <c r="I1368" s="30" t="s">
        <v>191</v>
      </c>
      <c r="J1368" s="30"/>
      <c r="K1368" s="30" t="s">
        <v>648</v>
      </c>
      <c r="L1368" s="30" t="s">
        <v>117</v>
      </c>
      <c r="M1368" s="30" t="s">
        <v>113</v>
      </c>
      <c r="N1368" s="30" t="s">
        <v>114</v>
      </c>
      <c r="O1368" s="30" t="s">
        <v>115</v>
      </c>
      <c r="P1368" s="30" t="s">
        <v>112</v>
      </c>
      <c r="Q1368" s="30" t="s">
        <v>112</v>
      </c>
      <c r="R1368" s="30" t="s">
        <v>183</v>
      </c>
      <c r="S1368" s="81">
        <f>HLOOKUP(L1368,データについて!$J$6:$M$18,13,FALSE)</f>
        <v>2</v>
      </c>
      <c r="T1368" s="81">
        <f>HLOOKUP(M1368,データについて!$J$7:$M$18,12,FALSE)</f>
        <v>1</v>
      </c>
      <c r="U1368" s="81">
        <f>HLOOKUP(N1368,データについて!$J$8:$M$18,11,FALSE)</f>
        <v>1</v>
      </c>
      <c r="V1368" s="81">
        <f>HLOOKUP(O1368,データについて!$J$9:$M$18,10,FALSE)</f>
        <v>1</v>
      </c>
      <c r="W1368" s="81">
        <f>HLOOKUP(P1368,データについて!$J$10:$M$18,9,FALSE)</f>
        <v>1</v>
      </c>
      <c r="X1368" s="81">
        <f>HLOOKUP(Q1368,データについて!$J$11:$M$18,8,FALSE)</f>
        <v>1</v>
      </c>
      <c r="Y1368" s="81">
        <f>HLOOKUP(R1368,データについて!$J$12:$M$18,7,FALSE)</f>
        <v>1</v>
      </c>
      <c r="Z1368" s="81">
        <f>HLOOKUP(I1368,データについて!$J$3:$M$18,16,FALSE)</f>
        <v>2</v>
      </c>
      <c r="AA1368" s="81" t="str">
        <f>IFERROR(HLOOKUP(J1368,データについて!$J$4:$AH$19,16,FALSE),"")</f>
        <v/>
      </c>
      <c r="AB1368" s="81">
        <f>IFERROR(HLOOKUP(K1368,データについて!$J$5:$AH$20,14,FALSE),"")</f>
        <v>0</v>
      </c>
      <c r="AC1368" s="81">
        <f>IF(X1368=1,HLOOKUP(R1368,データについて!$J$12:$M$18,7,FALSE),"*")</f>
        <v>1</v>
      </c>
      <c r="AD1368" s="81" t="str">
        <f>IF(X1368=2,HLOOKUP(R1368,データについて!$J$12:$M$18,7,FALSE),"*")</f>
        <v>*</v>
      </c>
    </row>
    <row r="1369" spans="1:30">
      <c r="A1369" s="30">
        <v>3823</v>
      </c>
      <c r="B1369" s="30" t="s">
        <v>879</v>
      </c>
      <c r="C1369" s="30" t="s">
        <v>880</v>
      </c>
      <c r="D1369" s="30" t="s">
        <v>106</v>
      </c>
      <c r="E1369" s="30"/>
      <c r="F1369" s="30" t="s">
        <v>107</v>
      </c>
      <c r="G1369" s="30" t="s">
        <v>106</v>
      </c>
      <c r="H1369" s="30"/>
      <c r="I1369" s="30" t="s">
        <v>191</v>
      </c>
      <c r="J1369" s="30"/>
      <c r="K1369" s="30" t="s">
        <v>616</v>
      </c>
      <c r="L1369" s="30" t="s">
        <v>117</v>
      </c>
      <c r="M1369" s="30" t="s">
        <v>124</v>
      </c>
      <c r="N1369" s="30" t="s">
        <v>110</v>
      </c>
      <c r="O1369" s="30" t="s">
        <v>115</v>
      </c>
      <c r="P1369" s="30" t="s">
        <v>112</v>
      </c>
      <c r="Q1369" s="30" t="s">
        <v>112</v>
      </c>
      <c r="R1369" s="30" t="s">
        <v>187</v>
      </c>
      <c r="S1369" s="81">
        <f>HLOOKUP(L1369,データについて!$J$6:$M$18,13,FALSE)</f>
        <v>2</v>
      </c>
      <c r="T1369" s="81">
        <f>HLOOKUP(M1369,データについて!$J$7:$M$18,12,FALSE)</f>
        <v>3</v>
      </c>
      <c r="U1369" s="81">
        <f>HLOOKUP(N1369,データについて!$J$8:$M$18,11,FALSE)</f>
        <v>2</v>
      </c>
      <c r="V1369" s="81">
        <f>HLOOKUP(O1369,データについて!$J$9:$M$18,10,FALSE)</f>
        <v>1</v>
      </c>
      <c r="W1369" s="81">
        <f>HLOOKUP(P1369,データについて!$J$10:$M$18,9,FALSE)</f>
        <v>1</v>
      </c>
      <c r="X1369" s="81">
        <f>HLOOKUP(Q1369,データについて!$J$11:$M$18,8,FALSE)</f>
        <v>1</v>
      </c>
      <c r="Y1369" s="81">
        <f>HLOOKUP(R1369,データについて!$J$12:$M$18,7,FALSE)</f>
        <v>3</v>
      </c>
      <c r="Z1369" s="81">
        <f>HLOOKUP(I1369,データについて!$J$3:$M$18,16,FALSE)</f>
        <v>2</v>
      </c>
      <c r="AA1369" s="81" t="str">
        <f>IFERROR(HLOOKUP(J1369,データについて!$J$4:$AH$19,16,FALSE),"")</f>
        <v/>
      </c>
      <c r="AB1369" s="81">
        <f>IFERROR(HLOOKUP(K1369,データについて!$J$5:$AH$20,14,FALSE),"")</f>
        <v>0</v>
      </c>
      <c r="AC1369" s="81">
        <f>IF(X1369=1,HLOOKUP(R1369,データについて!$J$12:$M$18,7,FALSE),"*")</f>
        <v>3</v>
      </c>
      <c r="AD1369" s="81" t="str">
        <f>IF(X1369=2,HLOOKUP(R1369,データについて!$J$12:$M$18,7,FALSE),"*")</f>
        <v>*</v>
      </c>
    </row>
    <row r="1370" spans="1:30">
      <c r="A1370" s="30">
        <v>3822</v>
      </c>
      <c r="B1370" s="30" t="s">
        <v>881</v>
      </c>
      <c r="C1370" s="30" t="s">
        <v>882</v>
      </c>
      <c r="D1370" s="30" t="s">
        <v>106</v>
      </c>
      <c r="E1370" s="30"/>
      <c r="F1370" s="30" t="s">
        <v>107</v>
      </c>
      <c r="G1370" s="30" t="s">
        <v>106</v>
      </c>
      <c r="H1370" s="30"/>
      <c r="I1370" s="30" t="s">
        <v>191</v>
      </c>
      <c r="J1370" s="30"/>
      <c r="K1370" s="30" t="s">
        <v>616</v>
      </c>
      <c r="L1370" s="30" t="s">
        <v>108</v>
      </c>
      <c r="M1370" s="30" t="s">
        <v>109</v>
      </c>
      <c r="N1370" s="30" t="s">
        <v>110</v>
      </c>
      <c r="O1370" s="30" t="s">
        <v>123</v>
      </c>
      <c r="P1370" s="30" t="s">
        <v>112</v>
      </c>
      <c r="Q1370" s="30" t="s">
        <v>118</v>
      </c>
      <c r="R1370" s="30" t="s">
        <v>187</v>
      </c>
      <c r="S1370" s="81">
        <f>HLOOKUP(L1370,データについて!$J$6:$M$18,13,FALSE)</f>
        <v>1</v>
      </c>
      <c r="T1370" s="81">
        <f>HLOOKUP(M1370,データについて!$J$7:$M$18,12,FALSE)</f>
        <v>2</v>
      </c>
      <c r="U1370" s="81">
        <f>HLOOKUP(N1370,データについて!$J$8:$M$18,11,FALSE)</f>
        <v>2</v>
      </c>
      <c r="V1370" s="81">
        <f>HLOOKUP(O1370,データについて!$J$9:$M$18,10,FALSE)</f>
        <v>4</v>
      </c>
      <c r="W1370" s="81">
        <f>HLOOKUP(P1370,データについて!$J$10:$M$18,9,FALSE)</f>
        <v>1</v>
      </c>
      <c r="X1370" s="81">
        <f>HLOOKUP(Q1370,データについて!$J$11:$M$18,8,FALSE)</f>
        <v>2</v>
      </c>
      <c r="Y1370" s="81">
        <f>HLOOKUP(R1370,データについて!$J$12:$M$18,7,FALSE)</f>
        <v>3</v>
      </c>
      <c r="Z1370" s="81">
        <f>HLOOKUP(I1370,データについて!$J$3:$M$18,16,FALSE)</f>
        <v>2</v>
      </c>
      <c r="AA1370" s="81" t="str">
        <f>IFERROR(HLOOKUP(J1370,データについて!$J$4:$AH$19,16,FALSE),"")</f>
        <v/>
      </c>
      <c r="AB1370" s="81">
        <f>IFERROR(HLOOKUP(K1370,データについて!$J$5:$AH$20,14,FALSE),"")</f>
        <v>0</v>
      </c>
      <c r="AC1370" s="81" t="str">
        <f>IF(X1370=1,HLOOKUP(R1370,データについて!$J$12:$M$18,7,FALSE),"*")</f>
        <v>*</v>
      </c>
      <c r="AD1370" s="81">
        <f>IF(X1370=2,HLOOKUP(R1370,データについて!$J$12:$M$18,7,FALSE),"*")</f>
        <v>3</v>
      </c>
    </row>
    <row r="1371" spans="1:30">
      <c r="A1371" s="30">
        <v>3821</v>
      </c>
      <c r="B1371" s="30" t="s">
        <v>883</v>
      </c>
      <c r="C1371" s="30" t="s">
        <v>884</v>
      </c>
      <c r="D1371" s="30" t="s">
        <v>106</v>
      </c>
      <c r="E1371" s="30"/>
      <c r="F1371" s="30" t="s">
        <v>107</v>
      </c>
      <c r="G1371" s="30" t="s">
        <v>106</v>
      </c>
      <c r="H1371" s="30"/>
      <c r="I1371" s="30" t="s">
        <v>191</v>
      </c>
      <c r="J1371" s="30"/>
      <c r="K1371" s="30" t="s">
        <v>616</v>
      </c>
      <c r="L1371" s="30" t="s">
        <v>108</v>
      </c>
      <c r="M1371" s="30" t="s">
        <v>113</v>
      </c>
      <c r="N1371" s="30" t="s">
        <v>110</v>
      </c>
      <c r="O1371" s="30" t="s">
        <v>115</v>
      </c>
      <c r="P1371" s="30" t="s">
        <v>112</v>
      </c>
      <c r="Q1371" s="30" t="s">
        <v>118</v>
      </c>
      <c r="R1371" s="30" t="s">
        <v>185</v>
      </c>
      <c r="S1371" s="81">
        <f>HLOOKUP(L1371,データについて!$J$6:$M$18,13,FALSE)</f>
        <v>1</v>
      </c>
      <c r="T1371" s="81">
        <f>HLOOKUP(M1371,データについて!$J$7:$M$18,12,FALSE)</f>
        <v>1</v>
      </c>
      <c r="U1371" s="81">
        <f>HLOOKUP(N1371,データについて!$J$8:$M$18,11,FALSE)</f>
        <v>2</v>
      </c>
      <c r="V1371" s="81">
        <f>HLOOKUP(O1371,データについて!$J$9:$M$18,10,FALSE)</f>
        <v>1</v>
      </c>
      <c r="W1371" s="81">
        <f>HLOOKUP(P1371,データについて!$J$10:$M$18,9,FALSE)</f>
        <v>1</v>
      </c>
      <c r="X1371" s="81">
        <f>HLOOKUP(Q1371,データについて!$J$11:$M$18,8,FALSE)</f>
        <v>2</v>
      </c>
      <c r="Y1371" s="81">
        <f>HLOOKUP(R1371,データについて!$J$12:$M$18,7,FALSE)</f>
        <v>2</v>
      </c>
      <c r="Z1371" s="81">
        <f>HLOOKUP(I1371,データについて!$J$3:$M$18,16,FALSE)</f>
        <v>2</v>
      </c>
      <c r="AA1371" s="81" t="str">
        <f>IFERROR(HLOOKUP(J1371,データについて!$J$4:$AH$19,16,FALSE),"")</f>
        <v/>
      </c>
      <c r="AB1371" s="81">
        <f>IFERROR(HLOOKUP(K1371,データについて!$J$5:$AH$20,14,FALSE),"")</f>
        <v>0</v>
      </c>
      <c r="AC1371" s="81" t="str">
        <f>IF(X1371=1,HLOOKUP(R1371,データについて!$J$12:$M$18,7,FALSE),"*")</f>
        <v>*</v>
      </c>
      <c r="AD1371" s="81">
        <f>IF(X1371=2,HLOOKUP(R1371,データについて!$J$12:$M$18,7,FALSE),"*")</f>
        <v>2</v>
      </c>
    </row>
    <row r="1372" spans="1:30">
      <c r="A1372" s="30">
        <v>3820</v>
      </c>
      <c r="B1372" s="30" t="s">
        <v>885</v>
      </c>
      <c r="C1372" s="30" t="s">
        <v>886</v>
      </c>
      <c r="D1372" s="30" t="s">
        <v>106</v>
      </c>
      <c r="E1372" s="30"/>
      <c r="F1372" s="30" t="s">
        <v>107</v>
      </c>
      <c r="G1372" s="30" t="s">
        <v>106</v>
      </c>
      <c r="H1372" s="30"/>
      <c r="I1372" s="30" t="s">
        <v>191</v>
      </c>
      <c r="J1372" s="30"/>
      <c r="K1372" s="30" t="s">
        <v>648</v>
      </c>
      <c r="L1372" s="30" t="s">
        <v>108</v>
      </c>
      <c r="M1372" s="30" t="s">
        <v>109</v>
      </c>
      <c r="N1372" s="30" t="s">
        <v>114</v>
      </c>
      <c r="O1372" s="30" t="s">
        <v>115</v>
      </c>
      <c r="P1372" s="30" t="s">
        <v>112</v>
      </c>
      <c r="Q1372" s="30" t="s">
        <v>112</v>
      </c>
      <c r="R1372" s="30" t="s">
        <v>185</v>
      </c>
      <c r="S1372" s="81">
        <f>HLOOKUP(L1372,データについて!$J$6:$M$18,13,FALSE)</f>
        <v>1</v>
      </c>
      <c r="T1372" s="81">
        <f>HLOOKUP(M1372,データについて!$J$7:$M$18,12,FALSE)</f>
        <v>2</v>
      </c>
      <c r="U1372" s="81">
        <f>HLOOKUP(N1372,データについて!$J$8:$M$18,11,FALSE)</f>
        <v>1</v>
      </c>
      <c r="V1372" s="81">
        <f>HLOOKUP(O1372,データについて!$J$9:$M$18,10,FALSE)</f>
        <v>1</v>
      </c>
      <c r="W1372" s="81">
        <f>HLOOKUP(P1372,データについて!$J$10:$M$18,9,FALSE)</f>
        <v>1</v>
      </c>
      <c r="X1372" s="81">
        <f>HLOOKUP(Q1372,データについて!$J$11:$M$18,8,FALSE)</f>
        <v>1</v>
      </c>
      <c r="Y1372" s="81">
        <f>HLOOKUP(R1372,データについて!$J$12:$M$18,7,FALSE)</f>
        <v>2</v>
      </c>
      <c r="Z1372" s="81">
        <f>HLOOKUP(I1372,データについて!$J$3:$M$18,16,FALSE)</f>
        <v>2</v>
      </c>
      <c r="AA1372" s="81" t="str">
        <f>IFERROR(HLOOKUP(J1372,データについて!$J$4:$AH$19,16,FALSE),"")</f>
        <v/>
      </c>
      <c r="AB1372" s="81">
        <f>IFERROR(HLOOKUP(K1372,データについて!$J$5:$AH$20,14,FALSE),"")</f>
        <v>0</v>
      </c>
      <c r="AC1372" s="81">
        <f>IF(X1372=1,HLOOKUP(R1372,データについて!$J$12:$M$18,7,FALSE),"*")</f>
        <v>2</v>
      </c>
      <c r="AD1372" s="81" t="str">
        <f>IF(X1372=2,HLOOKUP(R1372,データについて!$J$12:$M$18,7,FALSE),"*")</f>
        <v>*</v>
      </c>
    </row>
    <row r="1373" spans="1:30">
      <c r="A1373" s="30">
        <v>3819</v>
      </c>
      <c r="B1373" s="30" t="s">
        <v>887</v>
      </c>
      <c r="C1373" s="30" t="s">
        <v>888</v>
      </c>
      <c r="D1373" s="30" t="s">
        <v>106</v>
      </c>
      <c r="E1373" s="30"/>
      <c r="F1373" s="30" t="s">
        <v>107</v>
      </c>
      <c r="G1373" s="30" t="s">
        <v>106</v>
      </c>
      <c r="H1373" s="30"/>
      <c r="I1373" s="30" t="s">
        <v>191</v>
      </c>
      <c r="J1373" s="30"/>
      <c r="K1373" s="30" t="s">
        <v>616</v>
      </c>
      <c r="L1373" s="30" t="s">
        <v>108</v>
      </c>
      <c r="M1373" s="30" t="s">
        <v>113</v>
      </c>
      <c r="N1373" s="30" t="s">
        <v>110</v>
      </c>
      <c r="O1373" s="30" t="s">
        <v>115</v>
      </c>
      <c r="P1373" s="30" t="s">
        <v>112</v>
      </c>
      <c r="Q1373" s="30" t="s">
        <v>112</v>
      </c>
      <c r="R1373" s="30" t="s">
        <v>185</v>
      </c>
      <c r="S1373" s="81">
        <f>HLOOKUP(L1373,データについて!$J$6:$M$18,13,FALSE)</f>
        <v>1</v>
      </c>
      <c r="T1373" s="81">
        <f>HLOOKUP(M1373,データについて!$J$7:$M$18,12,FALSE)</f>
        <v>1</v>
      </c>
      <c r="U1373" s="81">
        <f>HLOOKUP(N1373,データについて!$J$8:$M$18,11,FALSE)</f>
        <v>2</v>
      </c>
      <c r="V1373" s="81">
        <f>HLOOKUP(O1373,データについて!$J$9:$M$18,10,FALSE)</f>
        <v>1</v>
      </c>
      <c r="W1373" s="81">
        <f>HLOOKUP(P1373,データについて!$J$10:$M$18,9,FALSE)</f>
        <v>1</v>
      </c>
      <c r="X1373" s="81">
        <f>HLOOKUP(Q1373,データについて!$J$11:$M$18,8,FALSE)</f>
        <v>1</v>
      </c>
      <c r="Y1373" s="81">
        <f>HLOOKUP(R1373,データについて!$J$12:$M$18,7,FALSE)</f>
        <v>2</v>
      </c>
      <c r="Z1373" s="81">
        <f>HLOOKUP(I1373,データについて!$J$3:$M$18,16,FALSE)</f>
        <v>2</v>
      </c>
      <c r="AA1373" s="81" t="str">
        <f>IFERROR(HLOOKUP(J1373,データについて!$J$4:$AH$19,16,FALSE),"")</f>
        <v/>
      </c>
      <c r="AB1373" s="81">
        <f>IFERROR(HLOOKUP(K1373,データについて!$J$5:$AH$20,14,FALSE),"")</f>
        <v>0</v>
      </c>
      <c r="AC1373" s="81">
        <f>IF(X1373=1,HLOOKUP(R1373,データについて!$J$12:$M$18,7,FALSE),"*")</f>
        <v>2</v>
      </c>
      <c r="AD1373" s="81" t="str">
        <f>IF(X1373=2,HLOOKUP(R1373,データについて!$J$12:$M$18,7,FALSE),"*")</f>
        <v>*</v>
      </c>
    </row>
    <row r="1374" spans="1:30">
      <c r="A1374" s="30">
        <v>3818</v>
      </c>
      <c r="B1374" s="30" t="s">
        <v>889</v>
      </c>
      <c r="C1374" s="30" t="s">
        <v>890</v>
      </c>
      <c r="D1374" s="30" t="s">
        <v>106</v>
      </c>
      <c r="E1374" s="30"/>
      <c r="F1374" s="30" t="s">
        <v>107</v>
      </c>
      <c r="G1374" s="30" t="s">
        <v>106</v>
      </c>
      <c r="H1374" s="30"/>
      <c r="I1374" s="30" t="s">
        <v>191</v>
      </c>
      <c r="J1374" s="30"/>
      <c r="K1374" s="30" t="s">
        <v>648</v>
      </c>
      <c r="L1374" s="30" t="s">
        <v>108</v>
      </c>
      <c r="M1374" s="30" t="s">
        <v>113</v>
      </c>
      <c r="N1374" s="30" t="s">
        <v>114</v>
      </c>
      <c r="O1374" s="30" t="s">
        <v>115</v>
      </c>
      <c r="P1374" s="30" t="s">
        <v>112</v>
      </c>
      <c r="Q1374" s="30" t="s">
        <v>112</v>
      </c>
      <c r="R1374" s="30" t="s">
        <v>185</v>
      </c>
      <c r="S1374" s="81">
        <f>HLOOKUP(L1374,データについて!$J$6:$M$18,13,FALSE)</f>
        <v>1</v>
      </c>
      <c r="T1374" s="81">
        <f>HLOOKUP(M1374,データについて!$J$7:$M$18,12,FALSE)</f>
        <v>1</v>
      </c>
      <c r="U1374" s="81">
        <f>HLOOKUP(N1374,データについて!$J$8:$M$18,11,FALSE)</f>
        <v>1</v>
      </c>
      <c r="V1374" s="81">
        <f>HLOOKUP(O1374,データについて!$J$9:$M$18,10,FALSE)</f>
        <v>1</v>
      </c>
      <c r="W1374" s="81">
        <f>HLOOKUP(P1374,データについて!$J$10:$M$18,9,FALSE)</f>
        <v>1</v>
      </c>
      <c r="X1374" s="81">
        <f>HLOOKUP(Q1374,データについて!$J$11:$M$18,8,FALSE)</f>
        <v>1</v>
      </c>
      <c r="Y1374" s="81">
        <f>HLOOKUP(R1374,データについて!$J$12:$M$18,7,FALSE)</f>
        <v>2</v>
      </c>
      <c r="Z1374" s="81">
        <f>HLOOKUP(I1374,データについて!$J$3:$M$18,16,FALSE)</f>
        <v>2</v>
      </c>
      <c r="AA1374" s="81" t="str">
        <f>IFERROR(HLOOKUP(J1374,データについて!$J$4:$AH$19,16,FALSE),"")</f>
        <v/>
      </c>
      <c r="AB1374" s="81">
        <f>IFERROR(HLOOKUP(K1374,データについて!$J$5:$AH$20,14,FALSE),"")</f>
        <v>0</v>
      </c>
      <c r="AC1374" s="81">
        <f>IF(X1374=1,HLOOKUP(R1374,データについて!$J$12:$M$18,7,FALSE),"*")</f>
        <v>2</v>
      </c>
      <c r="AD1374" s="81" t="str">
        <f>IF(X1374=2,HLOOKUP(R1374,データについて!$J$12:$M$18,7,FALSE),"*")</f>
        <v>*</v>
      </c>
    </row>
    <row r="1375" spans="1:30">
      <c r="A1375" s="30">
        <v>3817</v>
      </c>
      <c r="B1375" s="30" t="s">
        <v>891</v>
      </c>
      <c r="C1375" s="30" t="s">
        <v>892</v>
      </c>
      <c r="D1375" s="30" t="s">
        <v>106</v>
      </c>
      <c r="E1375" s="30"/>
      <c r="F1375" s="30" t="s">
        <v>107</v>
      </c>
      <c r="G1375" s="30" t="s">
        <v>106</v>
      </c>
      <c r="H1375" s="30"/>
      <c r="I1375" s="30" t="s">
        <v>191</v>
      </c>
      <c r="J1375" s="30"/>
      <c r="K1375" s="30" t="s">
        <v>616</v>
      </c>
      <c r="L1375" s="30" t="s">
        <v>117</v>
      </c>
      <c r="M1375" s="30" t="s">
        <v>113</v>
      </c>
      <c r="N1375" s="30" t="s">
        <v>114</v>
      </c>
      <c r="O1375" s="30" t="s">
        <v>115</v>
      </c>
      <c r="P1375" s="30" t="s">
        <v>118</v>
      </c>
      <c r="Q1375" s="30" t="s">
        <v>112</v>
      </c>
      <c r="R1375" s="30" t="s">
        <v>183</v>
      </c>
      <c r="S1375" s="81">
        <f>HLOOKUP(L1375,データについて!$J$6:$M$18,13,FALSE)</f>
        <v>2</v>
      </c>
      <c r="T1375" s="81">
        <f>HLOOKUP(M1375,データについて!$J$7:$M$18,12,FALSE)</f>
        <v>1</v>
      </c>
      <c r="U1375" s="81">
        <f>HLOOKUP(N1375,データについて!$J$8:$M$18,11,FALSE)</f>
        <v>1</v>
      </c>
      <c r="V1375" s="81">
        <f>HLOOKUP(O1375,データについて!$J$9:$M$18,10,FALSE)</f>
        <v>1</v>
      </c>
      <c r="W1375" s="81">
        <f>HLOOKUP(P1375,データについて!$J$10:$M$18,9,FALSE)</f>
        <v>2</v>
      </c>
      <c r="X1375" s="81">
        <f>HLOOKUP(Q1375,データについて!$J$11:$M$18,8,FALSE)</f>
        <v>1</v>
      </c>
      <c r="Y1375" s="81">
        <f>HLOOKUP(R1375,データについて!$J$12:$M$18,7,FALSE)</f>
        <v>1</v>
      </c>
      <c r="Z1375" s="81">
        <f>HLOOKUP(I1375,データについて!$J$3:$M$18,16,FALSE)</f>
        <v>2</v>
      </c>
      <c r="AA1375" s="81" t="str">
        <f>IFERROR(HLOOKUP(J1375,データについて!$J$4:$AH$19,16,FALSE),"")</f>
        <v/>
      </c>
      <c r="AB1375" s="81">
        <f>IFERROR(HLOOKUP(K1375,データについて!$J$5:$AH$20,14,FALSE),"")</f>
        <v>0</v>
      </c>
      <c r="AC1375" s="81">
        <f>IF(X1375=1,HLOOKUP(R1375,データについて!$J$12:$M$18,7,FALSE),"*")</f>
        <v>1</v>
      </c>
      <c r="AD1375" s="81" t="str">
        <f>IF(X1375=2,HLOOKUP(R1375,データについて!$J$12:$M$18,7,FALSE),"*")</f>
        <v>*</v>
      </c>
    </row>
    <row r="1376" spans="1:30">
      <c r="A1376" s="30">
        <v>3816</v>
      </c>
      <c r="B1376" s="30" t="s">
        <v>893</v>
      </c>
      <c r="C1376" s="30" t="s">
        <v>892</v>
      </c>
      <c r="D1376" s="30" t="s">
        <v>106</v>
      </c>
      <c r="E1376" s="30"/>
      <c r="F1376" s="30" t="s">
        <v>107</v>
      </c>
      <c r="G1376" s="30" t="s">
        <v>106</v>
      </c>
      <c r="H1376" s="30"/>
      <c r="I1376" s="30" t="s">
        <v>191</v>
      </c>
      <c r="J1376" s="30"/>
      <c r="K1376" s="30" t="s">
        <v>616</v>
      </c>
      <c r="L1376" s="30" t="s">
        <v>108</v>
      </c>
      <c r="M1376" s="30" t="s">
        <v>109</v>
      </c>
      <c r="N1376" s="30" t="s">
        <v>114</v>
      </c>
      <c r="O1376" s="30" t="s">
        <v>115</v>
      </c>
      <c r="P1376" s="30" t="s">
        <v>112</v>
      </c>
      <c r="Q1376" s="30" t="s">
        <v>112</v>
      </c>
      <c r="R1376" s="30" t="s">
        <v>185</v>
      </c>
      <c r="S1376" s="81">
        <f>HLOOKUP(L1376,データについて!$J$6:$M$18,13,FALSE)</f>
        <v>1</v>
      </c>
      <c r="T1376" s="81">
        <f>HLOOKUP(M1376,データについて!$J$7:$M$18,12,FALSE)</f>
        <v>2</v>
      </c>
      <c r="U1376" s="81">
        <f>HLOOKUP(N1376,データについて!$J$8:$M$18,11,FALSE)</f>
        <v>1</v>
      </c>
      <c r="V1376" s="81">
        <f>HLOOKUP(O1376,データについて!$J$9:$M$18,10,FALSE)</f>
        <v>1</v>
      </c>
      <c r="W1376" s="81">
        <f>HLOOKUP(P1376,データについて!$J$10:$M$18,9,FALSE)</f>
        <v>1</v>
      </c>
      <c r="X1376" s="81">
        <f>HLOOKUP(Q1376,データについて!$J$11:$M$18,8,FALSE)</f>
        <v>1</v>
      </c>
      <c r="Y1376" s="81">
        <f>HLOOKUP(R1376,データについて!$J$12:$M$18,7,FALSE)</f>
        <v>2</v>
      </c>
      <c r="Z1376" s="81">
        <f>HLOOKUP(I1376,データについて!$J$3:$M$18,16,FALSE)</f>
        <v>2</v>
      </c>
      <c r="AA1376" s="81" t="str">
        <f>IFERROR(HLOOKUP(J1376,データについて!$J$4:$AH$19,16,FALSE),"")</f>
        <v/>
      </c>
      <c r="AB1376" s="81">
        <f>IFERROR(HLOOKUP(K1376,データについて!$J$5:$AH$20,14,FALSE),"")</f>
        <v>0</v>
      </c>
      <c r="AC1376" s="81">
        <f>IF(X1376=1,HLOOKUP(R1376,データについて!$J$12:$M$18,7,FALSE),"*")</f>
        <v>2</v>
      </c>
      <c r="AD1376" s="81" t="str">
        <f>IF(X1376=2,HLOOKUP(R1376,データについて!$J$12:$M$18,7,FALSE),"*")</f>
        <v>*</v>
      </c>
    </row>
    <row r="1377" spans="1:30">
      <c r="A1377" s="30">
        <v>3815</v>
      </c>
      <c r="B1377" s="30" t="s">
        <v>894</v>
      </c>
      <c r="C1377" s="30" t="s">
        <v>895</v>
      </c>
      <c r="D1377" s="30" t="s">
        <v>106</v>
      </c>
      <c r="E1377" s="30"/>
      <c r="F1377" s="30" t="s">
        <v>107</v>
      </c>
      <c r="G1377" s="30" t="s">
        <v>106</v>
      </c>
      <c r="H1377" s="30"/>
      <c r="I1377" s="30" t="s">
        <v>191</v>
      </c>
      <c r="J1377" s="30"/>
      <c r="K1377" s="30" t="s">
        <v>616</v>
      </c>
      <c r="L1377" s="30" t="s">
        <v>108</v>
      </c>
      <c r="M1377" s="30" t="s">
        <v>109</v>
      </c>
      <c r="N1377" s="30" t="s">
        <v>114</v>
      </c>
      <c r="O1377" s="30" t="s">
        <v>115</v>
      </c>
      <c r="P1377" s="30" t="s">
        <v>118</v>
      </c>
      <c r="Q1377" s="30" t="s">
        <v>112</v>
      </c>
      <c r="R1377" s="30" t="s">
        <v>185</v>
      </c>
      <c r="S1377" s="81">
        <f>HLOOKUP(L1377,データについて!$J$6:$M$18,13,FALSE)</f>
        <v>1</v>
      </c>
      <c r="T1377" s="81">
        <f>HLOOKUP(M1377,データについて!$J$7:$M$18,12,FALSE)</f>
        <v>2</v>
      </c>
      <c r="U1377" s="81">
        <f>HLOOKUP(N1377,データについて!$J$8:$M$18,11,FALSE)</f>
        <v>1</v>
      </c>
      <c r="V1377" s="81">
        <f>HLOOKUP(O1377,データについて!$J$9:$M$18,10,FALSE)</f>
        <v>1</v>
      </c>
      <c r="W1377" s="81">
        <f>HLOOKUP(P1377,データについて!$J$10:$M$18,9,FALSE)</f>
        <v>2</v>
      </c>
      <c r="X1377" s="81">
        <f>HLOOKUP(Q1377,データについて!$J$11:$M$18,8,FALSE)</f>
        <v>1</v>
      </c>
      <c r="Y1377" s="81">
        <f>HLOOKUP(R1377,データについて!$J$12:$M$18,7,FALSE)</f>
        <v>2</v>
      </c>
      <c r="Z1377" s="81">
        <f>HLOOKUP(I1377,データについて!$J$3:$M$18,16,FALSE)</f>
        <v>2</v>
      </c>
      <c r="AA1377" s="81" t="str">
        <f>IFERROR(HLOOKUP(J1377,データについて!$J$4:$AH$19,16,FALSE),"")</f>
        <v/>
      </c>
      <c r="AB1377" s="81">
        <f>IFERROR(HLOOKUP(K1377,データについて!$J$5:$AH$20,14,FALSE),"")</f>
        <v>0</v>
      </c>
      <c r="AC1377" s="81">
        <f>IF(X1377=1,HLOOKUP(R1377,データについて!$J$12:$M$18,7,FALSE),"*")</f>
        <v>2</v>
      </c>
      <c r="AD1377" s="81" t="str">
        <f>IF(X1377=2,HLOOKUP(R1377,データについて!$J$12:$M$18,7,FALSE),"*")</f>
        <v>*</v>
      </c>
    </row>
    <row r="1378" spans="1:30">
      <c r="A1378" s="30">
        <v>3814</v>
      </c>
      <c r="B1378" s="30" t="s">
        <v>896</v>
      </c>
      <c r="C1378" s="30" t="s">
        <v>897</v>
      </c>
      <c r="D1378" s="30" t="s">
        <v>106</v>
      </c>
      <c r="E1378" s="30"/>
      <c r="F1378" s="30" t="s">
        <v>107</v>
      </c>
      <c r="G1378" s="30" t="s">
        <v>106</v>
      </c>
      <c r="H1378" s="30"/>
      <c r="I1378" s="30" t="s">
        <v>191</v>
      </c>
      <c r="J1378" s="30"/>
      <c r="K1378" s="30" t="s">
        <v>616</v>
      </c>
      <c r="L1378" s="30" t="s">
        <v>117</v>
      </c>
      <c r="M1378" s="30" t="s">
        <v>109</v>
      </c>
      <c r="N1378" s="30" t="s">
        <v>119</v>
      </c>
      <c r="O1378" s="30" t="s">
        <v>116</v>
      </c>
      <c r="P1378" s="30" t="s">
        <v>112</v>
      </c>
      <c r="Q1378" s="30" t="s">
        <v>112</v>
      </c>
      <c r="R1378" s="30" t="s">
        <v>189</v>
      </c>
      <c r="S1378" s="81">
        <f>HLOOKUP(L1378,データについて!$J$6:$M$18,13,FALSE)</f>
        <v>2</v>
      </c>
      <c r="T1378" s="81">
        <f>HLOOKUP(M1378,データについて!$J$7:$M$18,12,FALSE)</f>
        <v>2</v>
      </c>
      <c r="U1378" s="81">
        <f>HLOOKUP(N1378,データについて!$J$8:$M$18,11,FALSE)</f>
        <v>4</v>
      </c>
      <c r="V1378" s="81">
        <f>HLOOKUP(O1378,データについて!$J$9:$M$18,10,FALSE)</f>
        <v>2</v>
      </c>
      <c r="W1378" s="81">
        <f>HLOOKUP(P1378,データについて!$J$10:$M$18,9,FALSE)</f>
        <v>1</v>
      </c>
      <c r="X1378" s="81">
        <f>HLOOKUP(Q1378,データについて!$J$11:$M$18,8,FALSE)</f>
        <v>1</v>
      </c>
      <c r="Y1378" s="81">
        <f>HLOOKUP(R1378,データについて!$J$12:$M$18,7,FALSE)</f>
        <v>4</v>
      </c>
      <c r="Z1378" s="81">
        <f>HLOOKUP(I1378,データについて!$J$3:$M$18,16,FALSE)</f>
        <v>2</v>
      </c>
      <c r="AA1378" s="81" t="str">
        <f>IFERROR(HLOOKUP(J1378,データについて!$J$4:$AH$19,16,FALSE),"")</f>
        <v/>
      </c>
      <c r="AB1378" s="81">
        <f>IFERROR(HLOOKUP(K1378,データについて!$J$5:$AH$20,14,FALSE),"")</f>
        <v>0</v>
      </c>
      <c r="AC1378" s="81">
        <f>IF(X1378=1,HLOOKUP(R1378,データについて!$J$12:$M$18,7,FALSE),"*")</f>
        <v>4</v>
      </c>
      <c r="AD1378" s="81" t="str">
        <f>IF(X1378=2,HLOOKUP(R1378,データについて!$J$12:$M$18,7,FALSE),"*")</f>
        <v>*</v>
      </c>
    </row>
    <row r="1379" spans="1:30">
      <c r="A1379" s="30">
        <v>3813</v>
      </c>
      <c r="B1379" s="30" t="s">
        <v>898</v>
      </c>
      <c r="C1379" s="30" t="s">
        <v>899</v>
      </c>
      <c r="D1379" s="30" t="s">
        <v>106</v>
      </c>
      <c r="E1379" s="30"/>
      <c r="F1379" s="30" t="s">
        <v>107</v>
      </c>
      <c r="G1379" s="30" t="s">
        <v>106</v>
      </c>
      <c r="H1379" s="30"/>
      <c r="I1379" s="30" t="s">
        <v>192</v>
      </c>
      <c r="J1379" s="30" t="s">
        <v>619</v>
      </c>
      <c r="K1379" s="30"/>
      <c r="L1379" s="30" t="s">
        <v>108</v>
      </c>
      <c r="M1379" s="30" t="s">
        <v>113</v>
      </c>
      <c r="N1379" s="30" t="s">
        <v>114</v>
      </c>
      <c r="O1379" s="30" t="s">
        <v>115</v>
      </c>
      <c r="P1379" s="30" t="s">
        <v>112</v>
      </c>
      <c r="Q1379" s="30" t="s">
        <v>112</v>
      </c>
      <c r="R1379" s="30" t="s">
        <v>185</v>
      </c>
      <c r="S1379" s="81">
        <f>HLOOKUP(L1379,データについて!$J$6:$M$18,13,FALSE)</f>
        <v>1</v>
      </c>
      <c r="T1379" s="81">
        <f>HLOOKUP(M1379,データについて!$J$7:$M$18,12,FALSE)</f>
        <v>1</v>
      </c>
      <c r="U1379" s="81">
        <f>HLOOKUP(N1379,データについて!$J$8:$M$18,11,FALSE)</f>
        <v>1</v>
      </c>
      <c r="V1379" s="81">
        <f>HLOOKUP(O1379,データについて!$J$9:$M$18,10,FALSE)</f>
        <v>1</v>
      </c>
      <c r="W1379" s="81">
        <f>HLOOKUP(P1379,データについて!$J$10:$M$18,9,FALSE)</f>
        <v>1</v>
      </c>
      <c r="X1379" s="81">
        <f>HLOOKUP(Q1379,データについて!$J$11:$M$18,8,FALSE)</f>
        <v>1</v>
      </c>
      <c r="Y1379" s="81">
        <f>HLOOKUP(R1379,データについて!$J$12:$M$18,7,FALSE)</f>
        <v>2</v>
      </c>
      <c r="Z1379" s="81">
        <f>HLOOKUP(I1379,データについて!$J$3:$M$18,16,FALSE)</f>
        <v>1</v>
      </c>
      <c r="AA1379" s="81">
        <f>IFERROR(HLOOKUP(J1379,データについて!$J$4:$AH$19,16,FALSE),"")</f>
        <v>11</v>
      </c>
      <c r="AB1379" s="81" t="str">
        <f>IFERROR(HLOOKUP(K1379,データについて!$J$5:$AH$20,14,FALSE),"")</f>
        <v/>
      </c>
      <c r="AC1379" s="81">
        <f>IF(X1379=1,HLOOKUP(R1379,データについて!$J$12:$M$18,7,FALSE),"*")</f>
        <v>2</v>
      </c>
      <c r="AD1379" s="81" t="str">
        <f>IF(X1379=2,HLOOKUP(R1379,データについて!$J$12:$M$18,7,FALSE),"*")</f>
        <v>*</v>
      </c>
    </row>
    <row r="1380" spans="1:30">
      <c r="A1380" s="30">
        <v>3812</v>
      </c>
      <c r="B1380" s="30" t="s">
        <v>900</v>
      </c>
      <c r="C1380" s="30" t="s">
        <v>901</v>
      </c>
      <c r="D1380" s="30" t="s">
        <v>106</v>
      </c>
      <c r="E1380" s="30"/>
      <c r="F1380" s="30" t="s">
        <v>107</v>
      </c>
      <c r="G1380" s="30" t="s">
        <v>106</v>
      </c>
      <c r="H1380" s="30"/>
      <c r="I1380" s="30" t="s">
        <v>192</v>
      </c>
      <c r="J1380" s="30" t="s">
        <v>619</v>
      </c>
      <c r="K1380" s="30"/>
      <c r="L1380" s="30" t="s">
        <v>117</v>
      </c>
      <c r="M1380" s="30" t="s">
        <v>113</v>
      </c>
      <c r="N1380" s="30" t="s">
        <v>114</v>
      </c>
      <c r="O1380" s="30" t="s">
        <v>115</v>
      </c>
      <c r="P1380" s="30" t="s">
        <v>112</v>
      </c>
      <c r="Q1380" s="30" t="s">
        <v>112</v>
      </c>
      <c r="R1380" s="30" t="s">
        <v>183</v>
      </c>
      <c r="S1380" s="81">
        <f>HLOOKUP(L1380,データについて!$J$6:$M$18,13,FALSE)</f>
        <v>2</v>
      </c>
      <c r="T1380" s="81">
        <f>HLOOKUP(M1380,データについて!$J$7:$M$18,12,FALSE)</f>
        <v>1</v>
      </c>
      <c r="U1380" s="81">
        <f>HLOOKUP(N1380,データについて!$J$8:$M$18,11,FALSE)</f>
        <v>1</v>
      </c>
      <c r="V1380" s="81">
        <f>HLOOKUP(O1380,データについて!$J$9:$M$18,10,FALSE)</f>
        <v>1</v>
      </c>
      <c r="W1380" s="81">
        <f>HLOOKUP(P1380,データについて!$J$10:$M$18,9,FALSE)</f>
        <v>1</v>
      </c>
      <c r="X1380" s="81">
        <f>HLOOKUP(Q1380,データについて!$J$11:$M$18,8,FALSE)</f>
        <v>1</v>
      </c>
      <c r="Y1380" s="81">
        <f>HLOOKUP(R1380,データについて!$J$12:$M$18,7,FALSE)</f>
        <v>1</v>
      </c>
      <c r="Z1380" s="81">
        <f>HLOOKUP(I1380,データについて!$J$3:$M$18,16,FALSE)</f>
        <v>1</v>
      </c>
      <c r="AA1380" s="81">
        <f>IFERROR(HLOOKUP(J1380,データについて!$J$4:$AH$19,16,FALSE),"")</f>
        <v>11</v>
      </c>
      <c r="AB1380" s="81" t="str">
        <f>IFERROR(HLOOKUP(K1380,データについて!$J$5:$AH$20,14,FALSE),"")</f>
        <v/>
      </c>
      <c r="AC1380" s="81">
        <f>IF(X1380=1,HLOOKUP(R1380,データについて!$J$12:$M$18,7,FALSE),"*")</f>
        <v>1</v>
      </c>
      <c r="AD1380" s="81" t="str">
        <f>IF(X1380=2,HLOOKUP(R1380,データについて!$J$12:$M$18,7,FALSE),"*")</f>
        <v>*</v>
      </c>
    </row>
    <row r="1381" spans="1:30">
      <c r="A1381" s="30">
        <v>3811</v>
      </c>
      <c r="B1381" s="30" t="s">
        <v>902</v>
      </c>
      <c r="C1381" s="30" t="s">
        <v>903</v>
      </c>
      <c r="D1381" s="30" t="s">
        <v>106</v>
      </c>
      <c r="E1381" s="30"/>
      <c r="F1381" s="30" t="s">
        <v>107</v>
      </c>
      <c r="G1381" s="30" t="s">
        <v>106</v>
      </c>
      <c r="H1381" s="30"/>
      <c r="I1381" s="30" t="s">
        <v>191</v>
      </c>
      <c r="J1381" s="30"/>
      <c r="K1381" s="30" t="s">
        <v>616</v>
      </c>
      <c r="L1381" s="30" t="s">
        <v>117</v>
      </c>
      <c r="M1381" s="30" t="s">
        <v>113</v>
      </c>
      <c r="N1381" s="30" t="s">
        <v>114</v>
      </c>
      <c r="O1381" s="30" t="s">
        <v>115</v>
      </c>
      <c r="P1381" s="30" t="s">
        <v>112</v>
      </c>
      <c r="Q1381" s="30" t="s">
        <v>112</v>
      </c>
      <c r="R1381" s="30" t="s">
        <v>183</v>
      </c>
      <c r="S1381" s="81">
        <f>HLOOKUP(L1381,データについて!$J$6:$M$18,13,FALSE)</f>
        <v>2</v>
      </c>
      <c r="T1381" s="81">
        <f>HLOOKUP(M1381,データについて!$J$7:$M$18,12,FALSE)</f>
        <v>1</v>
      </c>
      <c r="U1381" s="81">
        <f>HLOOKUP(N1381,データについて!$J$8:$M$18,11,FALSE)</f>
        <v>1</v>
      </c>
      <c r="V1381" s="81">
        <f>HLOOKUP(O1381,データについて!$J$9:$M$18,10,FALSE)</f>
        <v>1</v>
      </c>
      <c r="W1381" s="81">
        <f>HLOOKUP(P1381,データについて!$J$10:$M$18,9,FALSE)</f>
        <v>1</v>
      </c>
      <c r="X1381" s="81">
        <f>HLOOKUP(Q1381,データについて!$J$11:$M$18,8,FALSE)</f>
        <v>1</v>
      </c>
      <c r="Y1381" s="81">
        <f>HLOOKUP(R1381,データについて!$J$12:$M$18,7,FALSE)</f>
        <v>1</v>
      </c>
      <c r="Z1381" s="81">
        <f>HLOOKUP(I1381,データについて!$J$3:$M$18,16,FALSE)</f>
        <v>2</v>
      </c>
      <c r="AA1381" s="81" t="str">
        <f>IFERROR(HLOOKUP(J1381,データについて!$J$4:$AH$19,16,FALSE),"")</f>
        <v/>
      </c>
      <c r="AB1381" s="81">
        <f>IFERROR(HLOOKUP(K1381,データについて!$J$5:$AH$20,14,FALSE),"")</f>
        <v>0</v>
      </c>
      <c r="AC1381" s="81">
        <f>IF(X1381=1,HLOOKUP(R1381,データについて!$J$12:$M$18,7,FALSE),"*")</f>
        <v>1</v>
      </c>
      <c r="AD1381" s="81" t="str">
        <f>IF(X1381=2,HLOOKUP(R1381,データについて!$J$12:$M$18,7,FALSE),"*")</f>
        <v>*</v>
      </c>
    </row>
    <row r="1382" spans="1:30">
      <c r="A1382" s="30">
        <v>3810</v>
      </c>
      <c r="B1382" s="30" t="s">
        <v>904</v>
      </c>
      <c r="C1382" s="30" t="s">
        <v>905</v>
      </c>
      <c r="D1382" s="30" t="s">
        <v>106</v>
      </c>
      <c r="E1382" s="30"/>
      <c r="F1382" s="30" t="s">
        <v>107</v>
      </c>
      <c r="G1382" s="30" t="s">
        <v>106</v>
      </c>
      <c r="H1382" s="30"/>
      <c r="I1382" s="30" t="s">
        <v>191</v>
      </c>
      <c r="J1382" s="30"/>
      <c r="K1382" s="30" t="s">
        <v>616</v>
      </c>
      <c r="L1382" s="30" t="s">
        <v>108</v>
      </c>
      <c r="M1382" s="30" t="s">
        <v>113</v>
      </c>
      <c r="N1382" s="30" t="s">
        <v>114</v>
      </c>
      <c r="O1382" s="30" t="s">
        <v>115</v>
      </c>
      <c r="P1382" s="30" t="s">
        <v>112</v>
      </c>
      <c r="Q1382" s="30" t="s">
        <v>118</v>
      </c>
      <c r="R1382" s="30" t="s">
        <v>183</v>
      </c>
      <c r="S1382" s="81">
        <f>HLOOKUP(L1382,データについて!$J$6:$M$18,13,FALSE)</f>
        <v>1</v>
      </c>
      <c r="T1382" s="81">
        <f>HLOOKUP(M1382,データについて!$J$7:$M$18,12,FALSE)</f>
        <v>1</v>
      </c>
      <c r="U1382" s="81">
        <f>HLOOKUP(N1382,データについて!$J$8:$M$18,11,FALSE)</f>
        <v>1</v>
      </c>
      <c r="V1382" s="81">
        <f>HLOOKUP(O1382,データについて!$J$9:$M$18,10,FALSE)</f>
        <v>1</v>
      </c>
      <c r="W1382" s="81">
        <f>HLOOKUP(P1382,データについて!$J$10:$M$18,9,FALSE)</f>
        <v>1</v>
      </c>
      <c r="X1382" s="81">
        <f>HLOOKUP(Q1382,データについて!$J$11:$M$18,8,FALSE)</f>
        <v>2</v>
      </c>
      <c r="Y1382" s="81">
        <f>HLOOKUP(R1382,データについて!$J$12:$M$18,7,FALSE)</f>
        <v>1</v>
      </c>
      <c r="Z1382" s="81">
        <f>HLOOKUP(I1382,データについて!$J$3:$M$18,16,FALSE)</f>
        <v>2</v>
      </c>
      <c r="AA1382" s="81" t="str">
        <f>IFERROR(HLOOKUP(J1382,データについて!$J$4:$AH$19,16,FALSE),"")</f>
        <v/>
      </c>
      <c r="AB1382" s="81">
        <f>IFERROR(HLOOKUP(K1382,データについて!$J$5:$AH$20,14,FALSE),"")</f>
        <v>0</v>
      </c>
      <c r="AC1382" s="81" t="str">
        <f>IF(X1382=1,HLOOKUP(R1382,データについて!$J$12:$M$18,7,FALSE),"*")</f>
        <v>*</v>
      </c>
      <c r="AD1382" s="81">
        <f>IF(X1382=2,HLOOKUP(R1382,データについて!$J$12:$M$18,7,FALSE),"*")</f>
        <v>1</v>
      </c>
    </row>
    <row r="1383" spans="1:30">
      <c r="A1383" s="30">
        <v>3809</v>
      </c>
      <c r="B1383" s="30" t="s">
        <v>906</v>
      </c>
      <c r="C1383" s="30" t="s">
        <v>907</v>
      </c>
      <c r="D1383" s="30" t="s">
        <v>106</v>
      </c>
      <c r="E1383" s="30"/>
      <c r="F1383" s="30" t="s">
        <v>107</v>
      </c>
      <c r="G1383" s="30" t="s">
        <v>106</v>
      </c>
      <c r="H1383" s="30"/>
      <c r="I1383" s="30" t="s">
        <v>191</v>
      </c>
      <c r="J1383" s="30"/>
      <c r="K1383" s="30" t="s">
        <v>616</v>
      </c>
      <c r="L1383" s="30" t="s">
        <v>108</v>
      </c>
      <c r="M1383" s="30" t="s">
        <v>113</v>
      </c>
      <c r="N1383" s="30" t="s">
        <v>110</v>
      </c>
      <c r="O1383" s="30" t="s">
        <v>115</v>
      </c>
      <c r="P1383" s="30" t="s">
        <v>118</v>
      </c>
      <c r="Q1383" s="30" t="s">
        <v>112</v>
      </c>
      <c r="R1383" s="30" t="s">
        <v>185</v>
      </c>
      <c r="S1383" s="81">
        <f>HLOOKUP(L1383,データについて!$J$6:$M$18,13,FALSE)</f>
        <v>1</v>
      </c>
      <c r="T1383" s="81">
        <f>HLOOKUP(M1383,データについて!$J$7:$M$18,12,FALSE)</f>
        <v>1</v>
      </c>
      <c r="U1383" s="81">
        <f>HLOOKUP(N1383,データについて!$J$8:$M$18,11,FALSE)</f>
        <v>2</v>
      </c>
      <c r="V1383" s="81">
        <f>HLOOKUP(O1383,データについて!$J$9:$M$18,10,FALSE)</f>
        <v>1</v>
      </c>
      <c r="W1383" s="81">
        <f>HLOOKUP(P1383,データについて!$J$10:$M$18,9,FALSE)</f>
        <v>2</v>
      </c>
      <c r="X1383" s="81">
        <f>HLOOKUP(Q1383,データについて!$J$11:$M$18,8,FALSE)</f>
        <v>1</v>
      </c>
      <c r="Y1383" s="81">
        <f>HLOOKUP(R1383,データについて!$J$12:$M$18,7,FALSE)</f>
        <v>2</v>
      </c>
      <c r="Z1383" s="81">
        <f>HLOOKUP(I1383,データについて!$J$3:$M$18,16,FALSE)</f>
        <v>2</v>
      </c>
      <c r="AA1383" s="81" t="str">
        <f>IFERROR(HLOOKUP(J1383,データについて!$J$4:$AH$19,16,FALSE),"")</f>
        <v/>
      </c>
      <c r="AB1383" s="81">
        <f>IFERROR(HLOOKUP(K1383,データについて!$J$5:$AH$20,14,FALSE),"")</f>
        <v>0</v>
      </c>
      <c r="AC1383" s="81">
        <f>IF(X1383=1,HLOOKUP(R1383,データについて!$J$12:$M$18,7,FALSE),"*")</f>
        <v>2</v>
      </c>
      <c r="AD1383" s="81" t="str">
        <f>IF(X1383=2,HLOOKUP(R1383,データについて!$J$12:$M$18,7,FALSE),"*")</f>
        <v>*</v>
      </c>
    </row>
    <row r="1384" spans="1:30">
      <c r="A1384" s="30">
        <v>3808</v>
      </c>
      <c r="B1384" s="30" t="s">
        <v>908</v>
      </c>
      <c r="C1384" s="30" t="s">
        <v>909</v>
      </c>
      <c r="D1384" s="30" t="s">
        <v>106</v>
      </c>
      <c r="E1384" s="30"/>
      <c r="F1384" s="30" t="s">
        <v>107</v>
      </c>
      <c r="G1384" s="30" t="s">
        <v>106</v>
      </c>
      <c r="H1384" s="30"/>
      <c r="I1384" s="30" t="s">
        <v>191</v>
      </c>
      <c r="J1384" s="30"/>
      <c r="K1384" s="30" t="s">
        <v>616</v>
      </c>
      <c r="L1384" s="30" t="s">
        <v>108</v>
      </c>
      <c r="M1384" s="30" t="s">
        <v>109</v>
      </c>
      <c r="N1384" s="30" t="s">
        <v>114</v>
      </c>
      <c r="O1384" s="30" t="s">
        <v>115</v>
      </c>
      <c r="P1384" s="30" t="s">
        <v>118</v>
      </c>
      <c r="Q1384" s="30" t="s">
        <v>112</v>
      </c>
      <c r="R1384" s="30" t="s">
        <v>185</v>
      </c>
      <c r="S1384" s="81">
        <f>HLOOKUP(L1384,データについて!$J$6:$M$18,13,FALSE)</f>
        <v>1</v>
      </c>
      <c r="T1384" s="81">
        <f>HLOOKUP(M1384,データについて!$J$7:$M$18,12,FALSE)</f>
        <v>2</v>
      </c>
      <c r="U1384" s="81">
        <f>HLOOKUP(N1384,データについて!$J$8:$M$18,11,FALSE)</f>
        <v>1</v>
      </c>
      <c r="V1384" s="81">
        <f>HLOOKUP(O1384,データについて!$J$9:$M$18,10,FALSE)</f>
        <v>1</v>
      </c>
      <c r="W1384" s="81">
        <f>HLOOKUP(P1384,データについて!$J$10:$M$18,9,FALSE)</f>
        <v>2</v>
      </c>
      <c r="X1384" s="81">
        <f>HLOOKUP(Q1384,データについて!$J$11:$M$18,8,FALSE)</f>
        <v>1</v>
      </c>
      <c r="Y1384" s="81">
        <f>HLOOKUP(R1384,データについて!$J$12:$M$18,7,FALSE)</f>
        <v>2</v>
      </c>
      <c r="Z1384" s="81">
        <f>HLOOKUP(I1384,データについて!$J$3:$M$18,16,FALSE)</f>
        <v>2</v>
      </c>
      <c r="AA1384" s="81" t="str">
        <f>IFERROR(HLOOKUP(J1384,データについて!$J$4:$AH$19,16,FALSE),"")</f>
        <v/>
      </c>
      <c r="AB1384" s="81">
        <f>IFERROR(HLOOKUP(K1384,データについて!$J$5:$AH$20,14,FALSE),"")</f>
        <v>0</v>
      </c>
      <c r="AC1384" s="81">
        <f>IF(X1384=1,HLOOKUP(R1384,データについて!$J$12:$M$18,7,FALSE),"*")</f>
        <v>2</v>
      </c>
      <c r="AD1384" s="81" t="str">
        <f>IF(X1384=2,HLOOKUP(R1384,データについて!$J$12:$M$18,7,FALSE),"*")</f>
        <v>*</v>
      </c>
    </row>
    <row r="1385" spans="1:30">
      <c r="A1385" s="30">
        <v>3807</v>
      </c>
      <c r="B1385" s="30" t="s">
        <v>910</v>
      </c>
      <c r="C1385" s="30" t="s">
        <v>911</v>
      </c>
      <c r="D1385" s="30" t="s">
        <v>106</v>
      </c>
      <c r="E1385" s="30"/>
      <c r="F1385" s="30" t="s">
        <v>107</v>
      </c>
      <c r="G1385" s="30" t="s">
        <v>106</v>
      </c>
      <c r="H1385" s="30"/>
      <c r="I1385" s="30" t="s">
        <v>191</v>
      </c>
      <c r="J1385" s="30"/>
      <c r="K1385" s="30" t="s">
        <v>616</v>
      </c>
      <c r="L1385" s="30" t="s">
        <v>117</v>
      </c>
      <c r="M1385" s="30" t="s">
        <v>113</v>
      </c>
      <c r="N1385" s="30" t="s">
        <v>114</v>
      </c>
      <c r="O1385" s="30" t="s">
        <v>115</v>
      </c>
      <c r="P1385" s="30" t="s">
        <v>118</v>
      </c>
      <c r="Q1385" s="30" t="s">
        <v>112</v>
      </c>
      <c r="R1385" s="30" t="s">
        <v>185</v>
      </c>
      <c r="S1385" s="81">
        <f>HLOOKUP(L1385,データについて!$J$6:$M$18,13,FALSE)</f>
        <v>2</v>
      </c>
      <c r="T1385" s="81">
        <f>HLOOKUP(M1385,データについて!$J$7:$M$18,12,FALSE)</f>
        <v>1</v>
      </c>
      <c r="U1385" s="81">
        <f>HLOOKUP(N1385,データについて!$J$8:$M$18,11,FALSE)</f>
        <v>1</v>
      </c>
      <c r="V1385" s="81">
        <f>HLOOKUP(O1385,データについて!$J$9:$M$18,10,FALSE)</f>
        <v>1</v>
      </c>
      <c r="W1385" s="81">
        <f>HLOOKUP(P1385,データについて!$J$10:$M$18,9,FALSE)</f>
        <v>2</v>
      </c>
      <c r="X1385" s="81">
        <f>HLOOKUP(Q1385,データについて!$J$11:$M$18,8,FALSE)</f>
        <v>1</v>
      </c>
      <c r="Y1385" s="81">
        <f>HLOOKUP(R1385,データについて!$J$12:$M$18,7,FALSE)</f>
        <v>2</v>
      </c>
      <c r="Z1385" s="81">
        <f>HLOOKUP(I1385,データについて!$J$3:$M$18,16,FALSE)</f>
        <v>2</v>
      </c>
      <c r="AA1385" s="81" t="str">
        <f>IFERROR(HLOOKUP(J1385,データについて!$J$4:$AH$19,16,FALSE),"")</f>
        <v/>
      </c>
      <c r="AB1385" s="81">
        <f>IFERROR(HLOOKUP(K1385,データについて!$J$5:$AH$20,14,FALSE),"")</f>
        <v>0</v>
      </c>
      <c r="AC1385" s="81">
        <f>IF(X1385=1,HLOOKUP(R1385,データについて!$J$12:$M$18,7,FALSE),"*")</f>
        <v>2</v>
      </c>
      <c r="AD1385" s="81" t="str">
        <f>IF(X1385=2,HLOOKUP(R1385,データについて!$J$12:$M$18,7,FALSE),"*")</f>
        <v>*</v>
      </c>
    </row>
    <row r="1386" spans="1:30">
      <c r="A1386" s="30">
        <v>3806</v>
      </c>
      <c r="B1386" s="30" t="s">
        <v>912</v>
      </c>
      <c r="C1386" s="30" t="s">
        <v>913</v>
      </c>
      <c r="D1386" s="30" t="s">
        <v>106</v>
      </c>
      <c r="E1386" s="30"/>
      <c r="F1386" s="30" t="s">
        <v>107</v>
      </c>
      <c r="G1386" s="30" t="s">
        <v>106</v>
      </c>
      <c r="H1386" s="30"/>
      <c r="I1386" s="30" t="s">
        <v>191</v>
      </c>
      <c r="J1386" s="30"/>
      <c r="K1386" s="30" t="s">
        <v>616</v>
      </c>
      <c r="L1386" s="30" t="s">
        <v>117</v>
      </c>
      <c r="M1386" s="30" t="s">
        <v>109</v>
      </c>
      <c r="N1386" s="30" t="s">
        <v>110</v>
      </c>
      <c r="O1386" s="30" t="s">
        <v>115</v>
      </c>
      <c r="P1386" s="30" t="s">
        <v>112</v>
      </c>
      <c r="Q1386" s="30" t="s">
        <v>112</v>
      </c>
      <c r="R1386" s="30" t="s">
        <v>185</v>
      </c>
      <c r="S1386" s="81">
        <f>HLOOKUP(L1386,データについて!$J$6:$M$18,13,FALSE)</f>
        <v>2</v>
      </c>
      <c r="T1386" s="81">
        <f>HLOOKUP(M1386,データについて!$J$7:$M$18,12,FALSE)</f>
        <v>2</v>
      </c>
      <c r="U1386" s="81">
        <f>HLOOKUP(N1386,データについて!$J$8:$M$18,11,FALSE)</f>
        <v>2</v>
      </c>
      <c r="V1386" s="81">
        <f>HLOOKUP(O1386,データについて!$J$9:$M$18,10,FALSE)</f>
        <v>1</v>
      </c>
      <c r="W1386" s="81">
        <f>HLOOKUP(P1386,データについて!$J$10:$M$18,9,FALSE)</f>
        <v>1</v>
      </c>
      <c r="X1386" s="81">
        <f>HLOOKUP(Q1386,データについて!$J$11:$M$18,8,FALSE)</f>
        <v>1</v>
      </c>
      <c r="Y1386" s="81">
        <f>HLOOKUP(R1386,データについて!$J$12:$M$18,7,FALSE)</f>
        <v>2</v>
      </c>
      <c r="Z1386" s="81">
        <f>HLOOKUP(I1386,データについて!$J$3:$M$18,16,FALSE)</f>
        <v>2</v>
      </c>
      <c r="AA1386" s="81" t="str">
        <f>IFERROR(HLOOKUP(J1386,データについて!$J$4:$AH$19,16,FALSE),"")</f>
        <v/>
      </c>
      <c r="AB1386" s="81">
        <f>IFERROR(HLOOKUP(K1386,データについて!$J$5:$AH$20,14,FALSE),"")</f>
        <v>0</v>
      </c>
      <c r="AC1386" s="81">
        <f>IF(X1386=1,HLOOKUP(R1386,データについて!$J$12:$M$18,7,FALSE),"*")</f>
        <v>2</v>
      </c>
      <c r="AD1386" s="81" t="str">
        <f>IF(X1386=2,HLOOKUP(R1386,データについて!$J$12:$M$18,7,FALSE),"*")</f>
        <v>*</v>
      </c>
    </row>
    <row r="1387" spans="1:30">
      <c r="A1387" s="30">
        <v>3805</v>
      </c>
      <c r="B1387" s="30" t="s">
        <v>914</v>
      </c>
      <c r="C1387" s="30" t="s">
        <v>915</v>
      </c>
      <c r="D1387" s="30" t="s">
        <v>106</v>
      </c>
      <c r="E1387" s="30"/>
      <c r="F1387" s="30" t="s">
        <v>107</v>
      </c>
      <c r="G1387" s="30" t="s">
        <v>106</v>
      </c>
      <c r="H1387" s="30"/>
      <c r="I1387" s="30" t="s">
        <v>191</v>
      </c>
      <c r="J1387" s="30"/>
      <c r="K1387" s="30" t="s">
        <v>616</v>
      </c>
      <c r="L1387" s="30" t="s">
        <v>108</v>
      </c>
      <c r="M1387" s="30" t="s">
        <v>113</v>
      </c>
      <c r="N1387" s="30" t="s">
        <v>114</v>
      </c>
      <c r="O1387" s="30" t="s">
        <v>115</v>
      </c>
      <c r="P1387" s="30" t="s">
        <v>112</v>
      </c>
      <c r="Q1387" s="30" t="s">
        <v>118</v>
      </c>
      <c r="R1387" s="30" t="s">
        <v>185</v>
      </c>
      <c r="S1387" s="81">
        <f>HLOOKUP(L1387,データについて!$J$6:$M$18,13,FALSE)</f>
        <v>1</v>
      </c>
      <c r="T1387" s="81">
        <f>HLOOKUP(M1387,データについて!$J$7:$M$18,12,FALSE)</f>
        <v>1</v>
      </c>
      <c r="U1387" s="81">
        <f>HLOOKUP(N1387,データについて!$J$8:$M$18,11,FALSE)</f>
        <v>1</v>
      </c>
      <c r="V1387" s="81">
        <f>HLOOKUP(O1387,データについて!$J$9:$M$18,10,FALSE)</f>
        <v>1</v>
      </c>
      <c r="W1387" s="81">
        <f>HLOOKUP(P1387,データについて!$J$10:$M$18,9,FALSE)</f>
        <v>1</v>
      </c>
      <c r="X1387" s="81">
        <f>HLOOKUP(Q1387,データについて!$J$11:$M$18,8,FALSE)</f>
        <v>2</v>
      </c>
      <c r="Y1387" s="81">
        <f>HLOOKUP(R1387,データについて!$J$12:$M$18,7,FALSE)</f>
        <v>2</v>
      </c>
      <c r="Z1387" s="81">
        <f>HLOOKUP(I1387,データについて!$J$3:$M$18,16,FALSE)</f>
        <v>2</v>
      </c>
      <c r="AA1387" s="81" t="str">
        <f>IFERROR(HLOOKUP(J1387,データについて!$J$4:$AH$19,16,FALSE),"")</f>
        <v/>
      </c>
      <c r="AB1387" s="81">
        <f>IFERROR(HLOOKUP(K1387,データについて!$J$5:$AH$20,14,FALSE),"")</f>
        <v>0</v>
      </c>
      <c r="AC1387" s="81" t="str">
        <f>IF(X1387=1,HLOOKUP(R1387,データについて!$J$12:$M$18,7,FALSE),"*")</f>
        <v>*</v>
      </c>
      <c r="AD1387" s="81">
        <f>IF(X1387=2,HLOOKUP(R1387,データについて!$J$12:$M$18,7,FALSE),"*")</f>
        <v>2</v>
      </c>
    </row>
    <row r="1388" spans="1:30">
      <c r="A1388" s="30">
        <v>3804</v>
      </c>
      <c r="B1388" s="30" t="s">
        <v>916</v>
      </c>
      <c r="C1388" s="30" t="s">
        <v>917</v>
      </c>
      <c r="D1388" s="30" t="s">
        <v>106</v>
      </c>
      <c r="E1388" s="30"/>
      <c r="F1388" s="30" t="s">
        <v>107</v>
      </c>
      <c r="G1388" s="30" t="s">
        <v>106</v>
      </c>
      <c r="H1388" s="30"/>
      <c r="I1388" s="30" t="s">
        <v>191</v>
      </c>
      <c r="J1388" s="30"/>
      <c r="K1388" s="30" t="s">
        <v>616</v>
      </c>
      <c r="L1388" s="30" t="s">
        <v>117</v>
      </c>
      <c r="M1388" s="30" t="s">
        <v>113</v>
      </c>
      <c r="N1388" s="30" t="s">
        <v>114</v>
      </c>
      <c r="O1388" s="30" t="s">
        <v>115</v>
      </c>
      <c r="P1388" s="30" t="s">
        <v>112</v>
      </c>
      <c r="Q1388" s="30" t="s">
        <v>112</v>
      </c>
      <c r="R1388" s="30" t="s">
        <v>183</v>
      </c>
      <c r="S1388" s="81">
        <f>HLOOKUP(L1388,データについて!$J$6:$M$18,13,FALSE)</f>
        <v>2</v>
      </c>
      <c r="T1388" s="81">
        <f>HLOOKUP(M1388,データについて!$J$7:$M$18,12,FALSE)</f>
        <v>1</v>
      </c>
      <c r="U1388" s="81">
        <f>HLOOKUP(N1388,データについて!$J$8:$M$18,11,FALSE)</f>
        <v>1</v>
      </c>
      <c r="V1388" s="81">
        <f>HLOOKUP(O1388,データについて!$J$9:$M$18,10,FALSE)</f>
        <v>1</v>
      </c>
      <c r="W1388" s="81">
        <f>HLOOKUP(P1388,データについて!$J$10:$M$18,9,FALSE)</f>
        <v>1</v>
      </c>
      <c r="X1388" s="81">
        <f>HLOOKUP(Q1388,データについて!$J$11:$M$18,8,FALSE)</f>
        <v>1</v>
      </c>
      <c r="Y1388" s="81">
        <f>HLOOKUP(R1388,データについて!$J$12:$M$18,7,FALSE)</f>
        <v>1</v>
      </c>
      <c r="Z1388" s="81">
        <f>HLOOKUP(I1388,データについて!$J$3:$M$18,16,FALSE)</f>
        <v>2</v>
      </c>
      <c r="AA1388" s="81" t="str">
        <f>IFERROR(HLOOKUP(J1388,データについて!$J$4:$AH$19,16,FALSE),"")</f>
        <v/>
      </c>
      <c r="AB1388" s="81">
        <f>IFERROR(HLOOKUP(K1388,データについて!$J$5:$AH$20,14,FALSE),"")</f>
        <v>0</v>
      </c>
      <c r="AC1388" s="81">
        <f>IF(X1388=1,HLOOKUP(R1388,データについて!$J$12:$M$18,7,FALSE),"*")</f>
        <v>1</v>
      </c>
      <c r="AD1388" s="81" t="str">
        <f>IF(X1388=2,HLOOKUP(R1388,データについて!$J$12:$M$18,7,FALSE),"*")</f>
        <v>*</v>
      </c>
    </row>
    <row r="1389" spans="1:30">
      <c r="A1389" s="30">
        <v>3803</v>
      </c>
      <c r="B1389" s="30" t="s">
        <v>918</v>
      </c>
      <c r="C1389" s="30" t="s">
        <v>919</v>
      </c>
      <c r="D1389" s="30" t="s">
        <v>106</v>
      </c>
      <c r="E1389" s="30"/>
      <c r="F1389" s="30" t="s">
        <v>107</v>
      </c>
      <c r="G1389" s="30" t="s">
        <v>106</v>
      </c>
      <c r="H1389" s="30"/>
      <c r="I1389" s="30" t="s">
        <v>192</v>
      </c>
      <c r="J1389" s="30" t="s">
        <v>619</v>
      </c>
      <c r="K1389" s="30"/>
      <c r="L1389" s="30" t="s">
        <v>108</v>
      </c>
      <c r="M1389" s="30" t="s">
        <v>113</v>
      </c>
      <c r="N1389" s="30" t="s">
        <v>114</v>
      </c>
      <c r="O1389" s="30" t="s">
        <v>115</v>
      </c>
      <c r="P1389" s="30" t="s">
        <v>112</v>
      </c>
      <c r="Q1389" s="30" t="s">
        <v>118</v>
      </c>
      <c r="R1389" s="30" t="s">
        <v>187</v>
      </c>
      <c r="S1389" s="81">
        <f>HLOOKUP(L1389,データについて!$J$6:$M$18,13,FALSE)</f>
        <v>1</v>
      </c>
      <c r="T1389" s="81">
        <f>HLOOKUP(M1389,データについて!$J$7:$M$18,12,FALSE)</f>
        <v>1</v>
      </c>
      <c r="U1389" s="81">
        <f>HLOOKUP(N1389,データについて!$J$8:$M$18,11,FALSE)</f>
        <v>1</v>
      </c>
      <c r="V1389" s="81">
        <f>HLOOKUP(O1389,データについて!$J$9:$M$18,10,FALSE)</f>
        <v>1</v>
      </c>
      <c r="W1389" s="81">
        <f>HLOOKUP(P1389,データについて!$J$10:$M$18,9,FALSE)</f>
        <v>1</v>
      </c>
      <c r="X1389" s="81">
        <f>HLOOKUP(Q1389,データについて!$J$11:$M$18,8,FALSE)</f>
        <v>2</v>
      </c>
      <c r="Y1389" s="81">
        <f>HLOOKUP(R1389,データについて!$J$12:$M$18,7,FALSE)</f>
        <v>3</v>
      </c>
      <c r="Z1389" s="81">
        <f>HLOOKUP(I1389,データについて!$J$3:$M$18,16,FALSE)</f>
        <v>1</v>
      </c>
      <c r="AA1389" s="81">
        <f>IFERROR(HLOOKUP(J1389,データについて!$J$4:$AH$19,16,FALSE),"")</f>
        <v>11</v>
      </c>
      <c r="AB1389" s="81" t="str">
        <f>IFERROR(HLOOKUP(K1389,データについて!$J$5:$AH$20,14,FALSE),"")</f>
        <v/>
      </c>
      <c r="AC1389" s="81" t="str">
        <f>IF(X1389=1,HLOOKUP(R1389,データについて!$J$12:$M$18,7,FALSE),"*")</f>
        <v>*</v>
      </c>
      <c r="AD1389" s="81">
        <f>IF(X1389=2,HLOOKUP(R1389,データについて!$J$12:$M$18,7,FALSE),"*")</f>
        <v>3</v>
      </c>
    </row>
    <row r="1390" spans="1:30">
      <c r="A1390" s="30">
        <v>3802</v>
      </c>
      <c r="B1390" s="30" t="s">
        <v>920</v>
      </c>
      <c r="C1390" s="30" t="s">
        <v>921</v>
      </c>
      <c r="D1390" s="30" t="s">
        <v>106</v>
      </c>
      <c r="E1390" s="30"/>
      <c r="F1390" s="30" t="s">
        <v>107</v>
      </c>
      <c r="G1390" s="30" t="s">
        <v>106</v>
      </c>
      <c r="H1390" s="30"/>
      <c r="I1390" s="30" t="s">
        <v>192</v>
      </c>
      <c r="J1390" s="30" t="s">
        <v>619</v>
      </c>
      <c r="K1390" s="30"/>
      <c r="L1390" s="30" t="s">
        <v>108</v>
      </c>
      <c r="M1390" s="30" t="s">
        <v>113</v>
      </c>
      <c r="N1390" s="30" t="s">
        <v>114</v>
      </c>
      <c r="O1390" s="30" t="s">
        <v>115</v>
      </c>
      <c r="P1390" s="30" t="s">
        <v>112</v>
      </c>
      <c r="Q1390" s="30" t="s">
        <v>118</v>
      </c>
      <c r="R1390" s="30" t="s">
        <v>185</v>
      </c>
      <c r="S1390" s="81">
        <f>HLOOKUP(L1390,データについて!$J$6:$M$18,13,FALSE)</f>
        <v>1</v>
      </c>
      <c r="T1390" s="81">
        <f>HLOOKUP(M1390,データについて!$J$7:$M$18,12,FALSE)</f>
        <v>1</v>
      </c>
      <c r="U1390" s="81">
        <f>HLOOKUP(N1390,データについて!$J$8:$M$18,11,FALSE)</f>
        <v>1</v>
      </c>
      <c r="V1390" s="81">
        <f>HLOOKUP(O1390,データについて!$J$9:$M$18,10,FALSE)</f>
        <v>1</v>
      </c>
      <c r="W1390" s="81">
        <f>HLOOKUP(P1390,データについて!$J$10:$M$18,9,FALSE)</f>
        <v>1</v>
      </c>
      <c r="X1390" s="81">
        <f>HLOOKUP(Q1390,データについて!$J$11:$M$18,8,FALSE)</f>
        <v>2</v>
      </c>
      <c r="Y1390" s="81">
        <f>HLOOKUP(R1390,データについて!$J$12:$M$18,7,FALSE)</f>
        <v>2</v>
      </c>
      <c r="Z1390" s="81">
        <f>HLOOKUP(I1390,データについて!$J$3:$M$18,16,FALSE)</f>
        <v>1</v>
      </c>
      <c r="AA1390" s="81">
        <f>IFERROR(HLOOKUP(J1390,データについて!$J$4:$AH$19,16,FALSE),"")</f>
        <v>11</v>
      </c>
      <c r="AB1390" s="81" t="str">
        <f>IFERROR(HLOOKUP(K1390,データについて!$J$5:$AH$20,14,FALSE),"")</f>
        <v/>
      </c>
      <c r="AC1390" s="81" t="str">
        <f>IF(X1390=1,HLOOKUP(R1390,データについて!$J$12:$M$18,7,FALSE),"*")</f>
        <v>*</v>
      </c>
      <c r="AD1390" s="81">
        <f>IF(X1390=2,HLOOKUP(R1390,データについて!$J$12:$M$18,7,FALSE),"*")</f>
        <v>2</v>
      </c>
    </row>
    <row r="1391" spans="1:30">
      <c r="A1391" s="30">
        <v>3801</v>
      </c>
      <c r="B1391" s="30" t="s">
        <v>922</v>
      </c>
      <c r="C1391" s="30" t="s">
        <v>923</v>
      </c>
      <c r="D1391" s="30" t="s">
        <v>106</v>
      </c>
      <c r="E1391" s="30"/>
      <c r="F1391" s="30" t="s">
        <v>107</v>
      </c>
      <c r="G1391" s="30" t="s">
        <v>106</v>
      </c>
      <c r="H1391" s="30"/>
      <c r="I1391" s="30" t="s">
        <v>192</v>
      </c>
      <c r="J1391" s="30" t="s">
        <v>619</v>
      </c>
      <c r="K1391" s="30"/>
      <c r="L1391" s="30" t="s">
        <v>117</v>
      </c>
      <c r="M1391" s="30" t="s">
        <v>113</v>
      </c>
      <c r="N1391" s="30" t="s">
        <v>114</v>
      </c>
      <c r="O1391" s="30" t="s">
        <v>115</v>
      </c>
      <c r="P1391" s="30" t="s">
        <v>112</v>
      </c>
      <c r="Q1391" s="30" t="s">
        <v>112</v>
      </c>
      <c r="R1391" s="30" t="s">
        <v>185</v>
      </c>
      <c r="S1391" s="81">
        <f>HLOOKUP(L1391,データについて!$J$6:$M$18,13,FALSE)</f>
        <v>2</v>
      </c>
      <c r="T1391" s="81">
        <f>HLOOKUP(M1391,データについて!$J$7:$M$18,12,FALSE)</f>
        <v>1</v>
      </c>
      <c r="U1391" s="81">
        <f>HLOOKUP(N1391,データについて!$J$8:$M$18,11,FALSE)</f>
        <v>1</v>
      </c>
      <c r="V1391" s="81">
        <f>HLOOKUP(O1391,データについて!$J$9:$M$18,10,FALSE)</f>
        <v>1</v>
      </c>
      <c r="W1391" s="81">
        <f>HLOOKUP(P1391,データについて!$J$10:$M$18,9,FALSE)</f>
        <v>1</v>
      </c>
      <c r="X1391" s="81">
        <f>HLOOKUP(Q1391,データについて!$J$11:$M$18,8,FALSE)</f>
        <v>1</v>
      </c>
      <c r="Y1391" s="81">
        <f>HLOOKUP(R1391,データについて!$J$12:$M$18,7,FALSE)</f>
        <v>2</v>
      </c>
      <c r="Z1391" s="81">
        <f>HLOOKUP(I1391,データについて!$J$3:$M$18,16,FALSE)</f>
        <v>1</v>
      </c>
      <c r="AA1391" s="81">
        <f>IFERROR(HLOOKUP(J1391,データについて!$J$4:$AH$19,16,FALSE),"")</f>
        <v>11</v>
      </c>
      <c r="AB1391" s="81" t="str">
        <f>IFERROR(HLOOKUP(K1391,データについて!$J$5:$AH$20,14,FALSE),"")</f>
        <v/>
      </c>
      <c r="AC1391" s="81">
        <f>IF(X1391=1,HLOOKUP(R1391,データについて!$J$12:$M$18,7,FALSE),"*")</f>
        <v>2</v>
      </c>
      <c r="AD1391" s="81" t="str">
        <f>IF(X1391=2,HLOOKUP(R1391,データについて!$J$12:$M$18,7,FALSE),"*")</f>
        <v>*</v>
      </c>
    </row>
    <row r="1392" spans="1:30">
      <c r="A1392" s="30">
        <v>3800</v>
      </c>
      <c r="B1392" s="30" t="s">
        <v>924</v>
      </c>
      <c r="C1392" s="30" t="s">
        <v>925</v>
      </c>
      <c r="D1392" s="30" t="s">
        <v>106</v>
      </c>
      <c r="E1392" s="30"/>
      <c r="F1392" s="30" t="s">
        <v>107</v>
      </c>
      <c r="G1392" s="30" t="s">
        <v>106</v>
      </c>
      <c r="H1392" s="30"/>
      <c r="I1392" s="30" t="s">
        <v>191</v>
      </c>
      <c r="J1392" s="30"/>
      <c r="K1392" s="30" t="s">
        <v>616</v>
      </c>
      <c r="L1392" s="30" t="s">
        <v>108</v>
      </c>
      <c r="M1392" s="30" t="s">
        <v>113</v>
      </c>
      <c r="N1392" s="30" t="s">
        <v>114</v>
      </c>
      <c r="O1392" s="30" t="s">
        <v>115</v>
      </c>
      <c r="P1392" s="30" t="s">
        <v>112</v>
      </c>
      <c r="Q1392" s="30" t="s">
        <v>112</v>
      </c>
      <c r="R1392" s="30" t="s">
        <v>183</v>
      </c>
      <c r="S1392" s="81">
        <f>HLOOKUP(L1392,データについて!$J$6:$M$18,13,FALSE)</f>
        <v>1</v>
      </c>
      <c r="T1392" s="81">
        <f>HLOOKUP(M1392,データについて!$J$7:$M$18,12,FALSE)</f>
        <v>1</v>
      </c>
      <c r="U1392" s="81">
        <f>HLOOKUP(N1392,データについて!$J$8:$M$18,11,FALSE)</f>
        <v>1</v>
      </c>
      <c r="V1392" s="81">
        <f>HLOOKUP(O1392,データについて!$J$9:$M$18,10,FALSE)</f>
        <v>1</v>
      </c>
      <c r="W1392" s="81">
        <f>HLOOKUP(P1392,データについて!$J$10:$M$18,9,FALSE)</f>
        <v>1</v>
      </c>
      <c r="X1392" s="81">
        <f>HLOOKUP(Q1392,データについて!$J$11:$M$18,8,FALSE)</f>
        <v>1</v>
      </c>
      <c r="Y1392" s="81">
        <f>HLOOKUP(R1392,データについて!$J$12:$M$18,7,FALSE)</f>
        <v>1</v>
      </c>
      <c r="Z1392" s="81">
        <f>HLOOKUP(I1392,データについて!$J$3:$M$18,16,FALSE)</f>
        <v>2</v>
      </c>
      <c r="AA1392" s="81" t="str">
        <f>IFERROR(HLOOKUP(J1392,データについて!$J$4:$AH$19,16,FALSE),"")</f>
        <v/>
      </c>
      <c r="AB1392" s="81">
        <f>IFERROR(HLOOKUP(K1392,データについて!$J$5:$AH$20,14,FALSE),"")</f>
        <v>0</v>
      </c>
      <c r="AC1392" s="81">
        <f>IF(X1392=1,HLOOKUP(R1392,データについて!$J$12:$M$18,7,FALSE),"*")</f>
        <v>1</v>
      </c>
      <c r="AD1392" s="81" t="str">
        <f>IF(X1392=2,HLOOKUP(R1392,データについて!$J$12:$M$18,7,FALSE),"*")</f>
        <v>*</v>
      </c>
    </row>
    <row r="1393" spans="1:30">
      <c r="A1393" s="30">
        <v>3799</v>
      </c>
      <c r="B1393" s="30" t="s">
        <v>926</v>
      </c>
      <c r="C1393" s="30" t="s">
        <v>927</v>
      </c>
      <c r="D1393" s="30" t="s">
        <v>106</v>
      </c>
      <c r="E1393" s="30"/>
      <c r="F1393" s="30" t="s">
        <v>107</v>
      </c>
      <c r="G1393" s="30" t="s">
        <v>106</v>
      </c>
      <c r="H1393" s="30"/>
      <c r="I1393" s="30" t="s">
        <v>191</v>
      </c>
      <c r="J1393" s="30"/>
      <c r="K1393" s="30" t="s">
        <v>616</v>
      </c>
      <c r="L1393" s="30" t="s">
        <v>108</v>
      </c>
      <c r="M1393" s="30" t="s">
        <v>113</v>
      </c>
      <c r="N1393" s="30" t="s">
        <v>110</v>
      </c>
      <c r="O1393" s="30" t="s">
        <v>115</v>
      </c>
      <c r="P1393" s="30" t="s">
        <v>112</v>
      </c>
      <c r="Q1393" s="30" t="s">
        <v>112</v>
      </c>
      <c r="R1393" s="30" t="s">
        <v>185</v>
      </c>
      <c r="S1393" s="81">
        <f>HLOOKUP(L1393,データについて!$J$6:$M$18,13,FALSE)</f>
        <v>1</v>
      </c>
      <c r="T1393" s="81">
        <f>HLOOKUP(M1393,データについて!$J$7:$M$18,12,FALSE)</f>
        <v>1</v>
      </c>
      <c r="U1393" s="81">
        <f>HLOOKUP(N1393,データについて!$J$8:$M$18,11,FALSE)</f>
        <v>2</v>
      </c>
      <c r="V1393" s="81">
        <f>HLOOKUP(O1393,データについて!$J$9:$M$18,10,FALSE)</f>
        <v>1</v>
      </c>
      <c r="W1393" s="81">
        <f>HLOOKUP(P1393,データについて!$J$10:$M$18,9,FALSE)</f>
        <v>1</v>
      </c>
      <c r="X1393" s="81">
        <f>HLOOKUP(Q1393,データについて!$J$11:$M$18,8,FALSE)</f>
        <v>1</v>
      </c>
      <c r="Y1393" s="81">
        <f>HLOOKUP(R1393,データについて!$J$12:$M$18,7,FALSE)</f>
        <v>2</v>
      </c>
      <c r="Z1393" s="81">
        <f>HLOOKUP(I1393,データについて!$J$3:$M$18,16,FALSE)</f>
        <v>2</v>
      </c>
      <c r="AA1393" s="81" t="str">
        <f>IFERROR(HLOOKUP(J1393,データについて!$J$4:$AH$19,16,FALSE),"")</f>
        <v/>
      </c>
      <c r="AB1393" s="81">
        <f>IFERROR(HLOOKUP(K1393,データについて!$J$5:$AH$20,14,FALSE),"")</f>
        <v>0</v>
      </c>
      <c r="AC1393" s="81">
        <f>IF(X1393=1,HLOOKUP(R1393,データについて!$J$12:$M$18,7,FALSE),"*")</f>
        <v>2</v>
      </c>
      <c r="AD1393" s="81" t="str">
        <f>IF(X1393=2,HLOOKUP(R1393,データについて!$J$12:$M$18,7,FALSE),"*")</f>
        <v>*</v>
      </c>
    </row>
    <row r="1394" spans="1:30">
      <c r="A1394" s="30">
        <v>3798</v>
      </c>
      <c r="B1394" s="30" t="s">
        <v>928</v>
      </c>
      <c r="C1394" s="30" t="s">
        <v>929</v>
      </c>
      <c r="D1394" s="30" t="s">
        <v>106</v>
      </c>
      <c r="E1394" s="30"/>
      <c r="F1394" s="30" t="s">
        <v>107</v>
      </c>
      <c r="G1394" s="30" t="s">
        <v>106</v>
      </c>
      <c r="H1394" s="30"/>
      <c r="I1394" s="30" t="s">
        <v>192</v>
      </c>
      <c r="J1394" s="30" t="s">
        <v>619</v>
      </c>
      <c r="K1394" s="30"/>
      <c r="L1394" s="30" t="s">
        <v>117</v>
      </c>
      <c r="M1394" s="30" t="s">
        <v>109</v>
      </c>
      <c r="N1394" s="30" t="s">
        <v>114</v>
      </c>
      <c r="O1394" s="30" t="s">
        <v>115</v>
      </c>
      <c r="P1394" s="30" t="s">
        <v>112</v>
      </c>
      <c r="Q1394" s="30" t="s">
        <v>112</v>
      </c>
      <c r="R1394" s="30" t="s">
        <v>183</v>
      </c>
      <c r="S1394" s="81">
        <f>HLOOKUP(L1394,データについて!$J$6:$M$18,13,FALSE)</f>
        <v>2</v>
      </c>
      <c r="T1394" s="81">
        <f>HLOOKUP(M1394,データについて!$J$7:$M$18,12,FALSE)</f>
        <v>2</v>
      </c>
      <c r="U1394" s="81">
        <f>HLOOKUP(N1394,データについて!$J$8:$M$18,11,FALSE)</f>
        <v>1</v>
      </c>
      <c r="V1394" s="81">
        <f>HLOOKUP(O1394,データについて!$J$9:$M$18,10,FALSE)</f>
        <v>1</v>
      </c>
      <c r="W1394" s="81">
        <f>HLOOKUP(P1394,データについて!$J$10:$M$18,9,FALSE)</f>
        <v>1</v>
      </c>
      <c r="X1394" s="81">
        <f>HLOOKUP(Q1394,データについて!$J$11:$M$18,8,FALSE)</f>
        <v>1</v>
      </c>
      <c r="Y1394" s="81">
        <f>HLOOKUP(R1394,データについて!$J$12:$M$18,7,FALSE)</f>
        <v>1</v>
      </c>
      <c r="Z1394" s="81">
        <f>HLOOKUP(I1394,データについて!$J$3:$M$18,16,FALSE)</f>
        <v>1</v>
      </c>
      <c r="AA1394" s="81">
        <f>IFERROR(HLOOKUP(J1394,データについて!$J$4:$AH$19,16,FALSE),"")</f>
        <v>11</v>
      </c>
      <c r="AB1394" s="81" t="str">
        <f>IFERROR(HLOOKUP(K1394,データについて!$J$5:$AH$20,14,FALSE),"")</f>
        <v/>
      </c>
      <c r="AC1394" s="81">
        <f>IF(X1394=1,HLOOKUP(R1394,データについて!$J$12:$M$18,7,FALSE),"*")</f>
        <v>1</v>
      </c>
      <c r="AD1394" s="81" t="str">
        <f>IF(X1394=2,HLOOKUP(R1394,データについて!$J$12:$M$18,7,FALSE),"*")</f>
        <v>*</v>
      </c>
    </row>
    <row r="1395" spans="1:30">
      <c r="A1395" s="30">
        <v>3797</v>
      </c>
      <c r="B1395" s="30" t="s">
        <v>930</v>
      </c>
      <c r="C1395" s="30" t="s">
        <v>931</v>
      </c>
      <c r="D1395" s="30" t="s">
        <v>106</v>
      </c>
      <c r="E1395" s="30"/>
      <c r="F1395" s="30" t="s">
        <v>107</v>
      </c>
      <c r="G1395" s="30" t="s">
        <v>106</v>
      </c>
      <c r="H1395" s="30"/>
      <c r="I1395" s="30" t="s">
        <v>192</v>
      </c>
      <c r="J1395" s="30" t="s">
        <v>619</v>
      </c>
      <c r="K1395" s="30"/>
      <c r="L1395" s="30" t="s">
        <v>108</v>
      </c>
      <c r="M1395" s="30" t="s">
        <v>121</v>
      </c>
      <c r="N1395" s="30" t="s">
        <v>119</v>
      </c>
      <c r="O1395" s="30" t="s">
        <v>115</v>
      </c>
      <c r="P1395" s="30" t="s">
        <v>112</v>
      </c>
      <c r="Q1395" s="30" t="s">
        <v>118</v>
      </c>
      <c r="R1395" s="30" t="s">
        <v>187</v>
      </c>
      <c r="S1395" s="81">
        <f>HLOOKUP(L1395,データについて!$J$6:$M$18,13,FALSE)</f>
        <v>1</v>
      </c>
      <c r="T1395" s="81">
        <f>HLOOKUP(M1395,データについて!$J$7:$M$18,12,FALSE)</f>
        <v>4</v>
      </c>
      <c r="U1395" s="81">
        <f>HLOOKUP(N1395,データについて!$J$8:$M$18,11,FALSE)</f>
        <v>4</v>
      </c>
      <c r="V1395" s="81">
        <f>HLOOKUP(O1395,データについて!$J$9:$M$18,10,FALSE)</f>
        <v>1</v>
      </c>
      <c r="W1395" s="81">
        <f>HLOOKUP(P1395,データについて!$J$10:$M$18,9,FALSE)</f>
        <v>1</v>
      </c>
      <c r="X1395" s="81">
        <f>HLOOKUP(Q1395,データについて!$J$11:$M$18,8,FALSE)</f>
        <v>2</v>
      </c>
      <c r="Y1395" s="81">
        <f>HLOOKUP(R1395,データについて!$J$12:$M$18,7,FALSE)</f>
        <v>3</v>
      </c>
      <c r="Z1395" s="81">
        <f>HLOOKUP(I1395,データについて!$J$3:$M$18,16,FALSE)</f>
        <v>1</v>
      </c>
      <c r="AA1395" s="81">
        <f>IFERROR(HLOOKUP(J1395,データについて!$J$4:$AH$19,16,FALSE),"")</f>
        <v>11</v>
      </c>
      <c r="AB1395" s="81" t="str">
        <f>IFERROR(HLOOKUP(K1395,データについて!$J$5:$AH$20,14,FALSE),"")</f>
        <v/>
      </c>
      <c r="AC1395" s="81" t="str">
        <f>IF(X1395=1,HLOOKUP(R1395,データについて!$J$12:$M$18,7,FALSE),"*")</f>
        <v>*</v>
      </c>
      <c r="AD1395" s="81">
        <f>IF(X1395=2,HLOOKUP(R1395,データについて!$J$12:$M$18,7,FALSE),"*")</f>
        <v>3</v>
      </c>
    </row>
    <row r="1396" spans="1:30">
      <c r="A1396" s="30">
        <v>3796</v>
      </c>
      <c r="B1396" s="30" t="s">
        <v>932</v>
      </c>
      <c r="C1396" s="30" t="s">
        <v>933</v>
      </c>
      <c r="D1396" s="30" t="s">
        <v>106</v>
      </c>
      <c r="E1396" s="30"/>
      <c r="F1396" s="30" t="s">
        <v>107</v>
      </c>
      <c r="G1396" s="30" t="s">
        <v>106</v>
      </c>
      <c r="H1396" s="30"/>
      <c r="I1396" s="30" t="s">
        <v>191</v>
      </c>
      <c r="J1396" s="30"/>
      <c r="K1396" s="30" t="s">
        <v>616</v>
      </c>
      <c r="L1396" s="30" t="s">
        <v>108</v>
      </c>
      <c r="M1396" s="30" t="s">
        <v>113</v>
      </c>
      <c r="N1396" s="30" t="s">
        <v>114</v>
      </c>
      <c r="O1396" s="30" t="s">
        <v>115</v>
      </c>
      <c r="P1396" s="30" t="s">
        <v>112</v>
      </c>
      <c r="Q1396" s="30" t="s">
        <v>112</v>
      </c>
      <c r="R1396" s="30" t="s">
        <v>183</v>
      </c>
      <c r="S1396" s="81">
        <f>HLOOKUP(L1396,データについて!$J$6:$M$18,13,FALSE)</f>
        <v>1</v>
      </c>
      <c r="T1396" s="81">
        <f>HLOOKUP(M1396,データについて!$J$7:$M$18,12,FALSE)</f>
        <v>1</v>
      </c>
      <c r="U1396" s="81">
        <f>HLOOKUP(N1396,データについて!$J$8:$M$18,11,FALSE)</f>
        <v>1</v>
      </c>
      <c r="V1396" s="81">
        <f>HLOOKUP(O1396,データについて!$J$9:$M$18,10,FALSE)</f>
        <v>1</v>
      </c>
      <c r="W1396" s="81">
        <f>HLOOKUP(P1396,データについて!$J$10:$M$18,9,FALSE)</f>
        <v>1</v>
      </c>
      <c r="X1396" s="81">
        <f>HLOOKUP(Q1396,データについて!$J$11:$M$18,8,FALSE)</f>
        <v>1</v>
      </c>
      <c r="Y1396" s="81">
        <f>HLOOKUP(R1396,データについて!$J$12:$M$18,7,FALSE)</f>
        <v>1</v>
      </c>
      <c r="Z1396" s="81">
        <f>HLOOKUP(I1396,データについて!$J$3:$M$18,16,FALSE)</f>
        <v>2</v>
      </c>
      <c r="AA1396" s="81" t="str">
        <f>IFERROR(HLOOKUP(J1396,データについて!$J$4:$AH$19,16,FALSE),"")</f>
        <v/>
      </c>
      <c r="AB1396" s="81">
        <f>IFERROR(HLOOKUP(K1396,データについて!$J$5:$AH$20,14,FALSE),"")</f>
        <v>0</v>
      </c>
      <c r="AC1396" s="81">
        <f>IF(X1396=1,HLOOKUP(R1396,データについて!$J$12:$M$18,7,FALSE),"*")</f>
        <v>1</v>
      </c>
      <c r="AD1396" s="81" t="str">
        <f>IF(X1396=2,HLOOKUP(R1396,データについて!$J$12:$M$18,7,FALSE),"*")</f>
        <v>*</v>
      </c>
    </row>
    <row r="1397" spans="1:30">
      <c r="A1397" s="30">
        <v>3795</v>
      </c>
      <c r="B1397" s="30" t="s">
        <v>934</v>
      </c>
      <c r="C1397" s="30" t="s">
        <v>935</v>
      </c>
      <c r="D1397" s="30" t="s">
        <v>106</v>
      </c>
      <c r="E1397" s="30"/>
      <c r="F1397" s="30" t="s">
        <v>107</v>
      </c>
      <c r="G1397" s="30" t="s">
        <v>106</v>
      </c>
      <c r="H1397" s="30"/>
      <c r="I1397" s="30" t="s">
        <v>191</v>
      </c>
      <c r="J1397" s="30"/>
      <c r="K1397" s="30" t="s">
        <v>616</v>
      </c>
      <c r="L1397" s="30" t="s">
        <v>117</v>
      </c>
      <c r="M1397" s="30" t="s">
        <v>113</v>
      </c>
      <c r="N1397" s="30" t="s">
        <v>110</v>
      </c>
      <c r="O1397" s="30" t="s">
        <v>115</v>
      </c>
      <c r="P1397" s="30" t="s">
        <v>118</v>
      </c>
      <c r="Q1397" s="30" t="s">
        <v>112</v>
      </c>
      <c r="R1397" s="30" t="s">
        <v>185</v>
      </c>
      <c r="S1397" s="81">
        <f>HLOOKUP(L1397,データについて!$J$6:$M$18,13,FALSE)</f>
        <v>2</v>
      </c>
      <c r="T1397" s="81">
        <f>HLOOKUP(M1397,データについて!$J$7:$M$18,12,FALSE)</f>
        <v>1</v>
      </c>
      <c r="U1397" s="81">
        <f>HLOOKUP(N1397,データについて!$J$8:$M$18,11,FALSE)</f>
        <v>2</v>
      </c>
      <c r="V1397" s="81">
        <f>HLOOKUP(O1397,データについて!$J$9:$M$18,10,FALSE)</f>
        <v>1</v>
      </c>
      <c r="W1397" s="81">
        <f>HLOOKUP(P1397,データについて!$J$10:$M$18,9,FALSE)</f>
        <v>2</v>
      </c>
      <c r="X1397" s="81">
        <f>HLOOKUP(Q1397,データについて!$J$11:$M$18,8,FALSE)</f>
        <v>1</v>
      </c>
      <c r="Y1397" s="81">
        <f>HLOOKUP(R1397,データについて!$J$12:$M$18,7,FALSE)</f>
        <v>2</v>
      </c>
      <c r="Z1397" s="81">
        <f>HLOOKUP(I1397,データについて!$J$3:$M$18,16,FALSE)</f>
        <v>2</v>
      </c>
      <c r="AA1397" s="81" t="str">
        <f>IFERROR(HLOOKUP(J1397,データについて!$J$4:$AH$19,16,FALSE),"")</f>
        <v/>
      </c>
      <c r="AB1397" s="81">
        <f>IFERROR(HLOOKUP(K1397,データについて!$J$5:$AH$20,14,FALSE),"")</f>
        <v>0</v>
      </c>
      <c r="AC1397" s="81">
        <f>IF(X1397=1,HLOOKUP(R1397,データについて!$J$12:$M$18,7,FALSE),"*")</f>
        <v>2</v>
      </c>
      <c r="AD1397" s="81" t="str">
        <f>IF(X1397=2,HLOOKUP(R1397,データについて!$J$12:$M$18,7,FALSE),"*")</f>
        <v>*</v>
      </c>
    </row>
    <row r="1398" spans="1:30">
      <c r="A1398" s="30">
        <v>3794</v>
      </c>
      <c r="B1398" s="30" t="s">
        <v>936</v>
      </c>
      <c r="C1398" s="30" t="s">
        <v>937</v>
      </c>
      <c r="D1398" s="30" t="s">
        <v>106</v>
      </c>
      <c r="E1398" s="30"/>
      <c r="F1398" s="30" t="s">
        <v>107</v>
      </c>
      <c r="G1398" s="30" t="s">
        <v>106</v>
      </c>
      <c r="H1398" s="30"/>
      <c r="I1398" s="30" t="s">
        <v>192</v>
      </c>
      <c r="J1398" s="30" t="s">
        <v>619</v>
      </c>
      <c r="K1398" s="30"/>
      <c r="L1398" s="30" t="s">
        <v>117</v>
      </c>
      <c r="M1398" s="30" t="s">
        <v>113</v>
      </c>
      <c r="N1398" s="30" t="s">
        <v>114</v>
      </c>
      <c r="O1398" s="30" t="s">
        <v>115</v>
      </c>
      <c r="P1398" s="30" t="s">
        <v>112</v>
      </c>
      <c r="Q1398" s="30" t="s">
        <v>112</v>
      </c>
      <c r="R1398" s="30" t="s">
        <v>185</v>
      </c>
      <c r="S1398" s="81">
        <f>HLOOKUP(L1398,データについて!$J$6:$M$18,13,FALSE)</f>
        <v>2</v>
      </c>
      <c r="T1398" s="81">
        <f>HLOOKUP(M1398,データについて!$J$7:$M$18,12,FALSE)</f>
        <v>1</v>
      </c>
      <c r="U1398" s="81">
        <f>HLOOKUP(N1398,データについて!$J$8:$M$18,11,FALSE)</f>
        <v>1</v>
      </c>
      <c r="V1398" s="81">
        <f>HLOOKUP(O1398,データについて!$J$9:$M$18,10,FALSE)</f>
        <v>1</v>
      </c>
      <c r="W1398" s="81">
        <f>HLOOKUP(P1398,データについて!$J$10:$M$18,9,FALSE)</f>
        <v>1</v>
      </c>
      <c r="X1398" s="81">
        <f>HLOOKUP(Q1398,データについて!$J$11:$M$18,8,FALSE)</f>
        <v>1</v>
      </c>
      <c r="Y1398" s="81">
        <f>HLOOKUP(R1398,データについて!$J$12:$M$18,7,FALSE)</f>
        <v>2</v>
      </c>
      <c r="Z1398" s="81">
        <f>HLOOKUP(I1398,データについて!$J$3:$M$18,16,FALSE)</f>
        <v>1</v>
      </c>
      <c r="AA1398" s="81">
        <f>IFERROR(HLOOKUP(J1398,データについて!$J$4:$AH$19,16,FALSE),"")</f>
        <v>11</v>
      </c>
      <c r="AB1398" s="81" t="str">
        <f>IFERROR(HLOOKUP(K1398,データについて!$J$5:$AH$20,14,FALSE),"")</f>
        <v/>
      </c>
      <c r="AC1398" s="81">
        <f>IF(X1398=1,HLOOKUP(R1398,データについて!$J$12:$M$18,7,FALSE),"*")</f>
        <v>2</v>
      </c>
      <c r="AD1398" s="81" t="str">
        <f>IF(X1398=2,HLOOKUP(R1398,データについて!$J$12:$M$18,7,FALSE),"*")</f>
        <v>*</v>
      </c>
    </row>
    <row r="1399" spans="1:30">
      <c r="A1399" s="30">
        <v>3793</v>
      </c>
      <c r="B1399" s="30" t="s">
        <v>938</v>
      </c>
      <c r="C1399" s="30" t="s">
        <v>939</v>
      </c>
      <c r="D1399" s="30" t="s">
        <v>106</v>
      </c>
      <c r="E1399" s="30"/>
      <c r="F1399" s="30" t="s">
        <v>107</v>
      </c>
      <c r="G1399" s="30" t="s">
        <v>106</v>
      </c>
      <c r="H1399" s="30"/>
      <c r="I1399" s="30" t="s">
        <v>192</v>
      </c>
      <c r="J1399" s="30" t="s">
        <v>619</v>
      </c>
      <c r="K1399" s="30"/>
      <c r="L1399" s="30" t="s">
        <v>117</v>
      </c>
      <c r="M1399" s="30" t="s">
        <v>113</v>
      </c>
      <c r="N1399" s="30" t="s">
        <v>114</v>
      </c>
      <c r="O1399" s="30" t="s">
        <v>115</v>
      </c>
      <c r="P1399" s="30" t="s">
        <v>112</v>
      </c>
      <c r="Q1399" s="30" t="s">
        <v>112</v>
      </c>
      <c r="R1399" s="30" t="s">
        <v>185</v>
      </c>
      <c r="S1399" s="81">
        <f>HLOOKUP(L1399,データについて!$J$6:$M$18,13,FALSE)</f>
        <v>2</v>
      </c>
      <c r="T1399" s="81">
        <f>HLOOKUP(M1399,データについて!$J$7:$M$18,12,FALSE)</f>
        <v>1</v>
      </c>
      <c r="U1399" s="81">
        <f>HLOOKUP(N1399,データについて!$J$8:$M$18,11,FALSE)</f>
        <v>1</v>
      </c>
      <c r="V1399" s="81">
        <f>HLOOKUP(O1399,データについて!$J$9:$M$18,10,FALSE)</f>
        <v>1</v>
      </c>
      <c r="W1399" s="81">
        <f>HLOOKUP(P1399,データについて!$J$10:$M$18,9,FALSE)</f>
        <v>1</v>
      </c>
      <c r="X1399" s="81">
        <f>HLOOKUP(Q1399,データについて!$J$11:$M$18,8,FALSE)</f>
        <v>1</v>
      </c>
      <c r="Y1399" s="81">
        <f>HLOOKUP(R1399,データについて!$J$12:$M$18,7,FALSE)</f>
        <v>2</v>
      </c>
      <c r="Z1399" s="81">
        <f>HLOOKUP(I1399,データについて!$J$3:$M$18,16,FALSE)</f>
        <v>1</v>
      </c>
      <c r="AA1399" s="81">
        <f>IFERROR(HLOOKUP(J1399,データについて!$J$4:$AH$19,16,FALSE),"")</f>
        <v>11</v>
      </c>
      <c r="AB1399" s="81" t="str">
        <f>IFERROR(HLOOKUP(K1399,データについて!$J$5:$AH$20,14,FALSE),"")</f>
        <v/>
      </c>
      <c r="AC1399" s="81">
        <f>IF(X1399=1,HLOOKUP(R1399,データについて!$J$12:$M$18,7,FALSE),"*")</f>
        <v>2</v>
      </c>
      <c r="AD1399" s="81" t="str">
        <f>IF(X1399=2,HLOOKUP(R1399,データについて!$J$12:$M$18,7,FALSE),"*")</f>
        <v>*</v>
      </c>
    </row>
    <row r="1400" spans="1:30">
      <c r="A1400" s="30">
        <v>3792</v>
      </c>
      <c r="B1400" s="30" t="s">
        <v>940</v>
      </c>
      <c r="C1400" s="30" t="s">
        <v>941</v>
      </c>
      <c r="D1400" s="30" t="s">
        <v>106</v>
      </c>
      <c r="E1400" s="30"/>
      <c r="F1400" s="30" t="s">
        <v>107</v>
      </c>
      <c r="G1400" s="30" t="s">
        <v>106</v>
      </c>
      <c r="H1400" s="30"/>
      <c r="I1400" s="30" t="s">
        <v>192</v>
      </c>
      <c r="J1400" s="30" t="s">
        <v>942</v>
      </c>
      <c r="K1400" s="30"/>
      <c r="L1400" s="30" t="s">
        <v>117</v>
      </c>
      <c r="M1400" s="30" t="s">
        <v>113</v>
      </c>
      <c r="N1400" s="30" t="s">
        <v>114</v>
      </c>
      <c r="O1400" s="30" t="s">
        <v>115</v>
      </c>
      <c r="P1400" s="30" t="s">
        <v>112</v>
      </c>
      <c r="Q1400" s="30" t="s">
        <v>112</v>
      </c>
      <c r="R1400" s="30" t="s">
        <v>183</v>
      </c>
      <c r="S1400" s="81">
        <f>HLOOKUP(L1400,データについて!$J$6:$M$18,13,FALSE)</f>
        <v>2</v>
      </c>
      <c r="T1400" s="81">
        <f>HLOOKUP(M1400,データについて!$J$7:$M$18,12,FALSE)</f>
        <v>1</v>
      </c>
      <c r="U1400" s="81">
        <f>HLOOKUP(N1400,データについて!$J$8:$M$18,11,FALSE)</f>
        <v>1</v>
      </c>
      <c r="V1400" s="81">
        <f>HLOOKUP(O1400,データについて!$J$9:$M$18,10,FALSE)</f>
        <v>1</v>
      </c>
      <c r="W1400" s="81">
        <f>HLOOKUP(P1400,データについて!$J$10:$M$18,9,FALSE)</f>
        <v>1</v>
      </c>
      <c r="X1400" s="81">
        <f>HLOOKUP(Q1400,データについて!$J$11:$M$18,8,FALSE)</f>
        <v>1</v>
      </c>
      <c r="Y1400" s="81">
        <f>HLOOKUP(R1400,データについて!$J$12:$M$18,7,FALSE)</f>
        <v>1</v>
      </c>
      <c r="Z1400" s="81">
        <f>HLOOKUP(I1400,データについて!$J$3:$M$18,16,FALSE)</f>
        <v>1</v>
      </c>
      <c r="AA1400" s="81">
        <f>IFERROR(HLOOKUP(J1400,データについて!$J$4:$AH$19,16,FALSE),"")</f>
        <v>7</v>
      </c>
      <c r="AB1400" s="81" t="str">
        <f>IFERROR(HLOOKUP(K1400,データについて!$J$5:$AH$20,14,FALSE),"")</f>
        <v/>
      </c>
      <c r="AC1400" s="81">
        <f>IF(X1400=1,HLOOKUP(R1400,データについて!$J$12:$M$18,7,FALSE),"*")</f>
        <v>1</v>
      </c>
      <c r="AD1400" s="81" t="str">
        <f>IF(X1400=2,HLOOKUP(R1400,データについて!$J$12:$M$18,7,FALSE),"*")</f>
        <v>*</v>
      </c>
    </row>
    <row r="1401" spans="1:30">
      <c r="A1401" s="30">
        <v>3791</v>
      </c>
      <c r="B1401" s="30" t="s">
        <v>943</v>
      </c>
      <c r="C1401" s="30" t="s">
        <v>944</v>
      </c>
      <c r="D1401" s="30" t="s">
        <v>106</v>
      </c>
      <c r="E1401" s="30"/>
      <c r="F1401" s="30" t="s">
        <v>107</v>
      </c>
      <c r="G1401" s="30" t="s">
        <v>106</v>
      </c>
      <c r="H1401" s="30"/>
      <c r="I1401" s="30" t="s">
        <v>192</v>
      </c>
      <c r="J1401" s="30" t="s">
        <v>635</v>
      </c>
      <c r="K1401" s="30"/>
      <c r="L1401" s="30" t="s">
        <v>117</v>
      </c>
      <c r="M1401" s="30" t="s">
        <v>109</v>
      </c>
      <c r="N1401" s="30" t="s">
        <v>110</v>
      </c>
      <c r="O1401" s="30" t="s">
        <v>115</v>
      </c>
      <c r="P1401" s="30" t="s">
        <v>118</v>
      </c>
      <c r="Q1401" s="30" t="s">
        <v>112</v>
      </c>
      <c r="R1401" s="30" t="s">
        <v>185</v>
      </c>
      <c r="S1401" s="81">
        <f>HLOOKUP(L1401,データについて!$J$6:$M$18,13,FALSE)</f>
        <v>2</v>
      </c>
      <c r="T1401" s="81">
        <f>HLOOKUP(M1401,データについて!$J$7:$M$18,12,FALSE)</f>
        <v>2</v>
      </c>
      <c r="U1401" s="81">
        <f>HLOOKUP(N1401,データについて!$J$8:$M$18,11,FALSE)</f>
        <v>2</v>
      </c>
      <c r="V1401" s="81">
        <f>HLOOKUP(O1401,データについて!$J$9:$M$18,10,FALSE)</f>
        <v>1</v>
      </c>
      <c r="W1401" s="81">
        <f>HLOOKUP(P1401,データについて!$J$10:$M$18,9,FALSE)</f>
        <v>2</v>
      </c>
      <c r="X1401" s="81">
        <f>HLOOKUP(Q1401,データについて!$J$11:$M$18,8,FALSE)</f>
        <v>1</v>
      </c>
      <c r="Y1401" s="81">
        <f>HLOOKUP(R1401,データについて!$J$12:$M$18,7,FALSE)</f>
        <v>2</v>
      </c>
      <c r="Z1401" s="81">
        <f>HLOOKUP(I1401,データについて!$J$3:$M$18,16,FALSE)</f>
        <v>1</v>
      </c>
      <c r="AA1401" s="81">
        <f>IFERROR(HLOOKUP(J1401,データについて!$J$4:$AH$19,16,FALSE),"")</f>
        <v>9</v>
      </c>
      <c r="AB1401" s="81" t="str">
        <f>IFERROR(HLOOKUP(K1401,データについて!$J$5:$AH$20,14,FALSE),"")</f>
        <v/>
      </c>
      <c r="AC1401" s="81">
        <f>IF(X1401=1,HLOOKUP(R1401,データについて!$J$12:$M$18,7,FALSE),"*")</f>
        <v>2</v>
      </c>
      <c r="AD1401" s="81" t="str">
        <f>IF(X1401=2,HLOOKUP(R1401,データについて!$J$12:$M$18,7,FALSE),"*")</f>
        <v>*</v>
      </c>
    </row>
    <row r="1402" spans="1:30">
      <c r="A1402" s="30">
        <v>3790</v>
      </c>
      <c r="B1402" s="30" t="s">
        <v>945</v>
      </c>
      <c r="C1402" s="30" t="s">
        <v>946</v>
      </c>
      <c r="D1402" s="30" t="s">
        <v>106</v>
      </c>
      <c r="E1402" s="30"/>
      <c r="F1402" s="30" t="s">
        <v>107</v>
      </c>
      <c r="G1402" s="30" t="s">
        <v>106</v>
      </c>
      <c r="H1402" s="30"/>
      <c r="I1402" s="30" t="s">
        <v>192</v>
      </c>
      <c r="J1402" s="30" t="s">
        <v>125</v>
      </c>
      <c r="K1402" s="30"/>
      <c r="L1402" s="30" t="s">
        <v>108</v>
      </c>
      <c r="M1402" s="30" t="s">
        <v>113</v>
      </c>
      <c r="N1402" s="30" t="s">
        <v>114</v>
      </c>
      <c r="O1402" s="30" t="s">
        <v>115</v>
      </c>
      <c r="P1402" s="30" t="s">
        <v>112</v>
      </c>
      <c r="Q1402" s="30" t="s">
        <v>112</v>
      </c>
      <c r="R1402" s="30" t="s">
        <v>183</v>
      </c>
      <c r="S1402" s="81">
        <f>HLOOKUP(L1402,データについて!$J$6:$M$18,13,FALSE)</f>
        <v>1</v>
      </c>
      <c r="T1402" s="81">
        <f>HLOOKUP(M1402,データについて!$J$7:$M$18,12,FALSE)</f>
        <v>1</v>
      </c>
      <c r="U1402" s="81">
        <f>HLOOKUP(N1402,データについて!$J$8:$M$18,11,FALSE)</f>
        <v>1</v>
      </c>
      <c r="V1402" s="81">
        <f>HLOOKUP(O1402,データについて!$J$9:$M$18,10,FALSE)</f>
        <v>1</v>
      </c>
      <c r="W1402" s="81">
        <f>HLOOKUP(P1402,データについて!$J$10:$M$18,9,FALSE)</f>
        <v>1</v>
      </c>
      <c r="X1402" s="81">
        <f>HLOOKUP(Q1402,データについて!$J$11:$M$18,8,FALSE)</f>
        <v>1</v>
      </c>
      <c r="Y1402" s="81">
        <f>HLOOKUP(R1402,データについて!$J$12:$M$18,7,FALSE)</f>
        <v>1</v>
      </c>
      <c r="Z1402" s="81">
        <f>HLOOKUP(I1402,データについて!$J$3:$M$18,16,FALSE)</f>
        <v>1</v>
      </c>
      <c r="AA1402" s="81">
        <f>IFERROR(HLOOKUP(J1402,データについて!$J$4:$AH$19,16,FALSE),"")</f>
        <v>6</v>
      </c>
      <c r="AB1402" s="81" t="str">
        <f>IFERROR(HLOOKUP(K1402,データについて!$J$5:$AH$20,14,FALSE),"")</f>
        <v/>
      </c>
      <c r="AC1402" s="81">
        <f>IF(X1402=1,HLOOKUP(R1402,データについて!$J$12:$M$18,7,FALSE),"*")</f>
        <v>1</v>
      </c>
      <c r="AD1402" s="81" t="str">
        <f>IF(X1402=2,HLOOKUP(R1402,データについて!$J$12:$M$18,7,FALSE),"*")</f>
        <v>*</v>
      </c>
    </row>
    <row r="1403" spans="1:30">
      <c r="A1403" s="30">
        <v>3789</v>
      </c>
      <c r="B1403" s="30" t="s">
        <v>947</v>
      </c>
      <c r="C1403" s="30" t="s">
        <v>948</v>
      </c>
      <c r="D1403" s="30" t="s">
        <v>106</v>
      </c>
      <c r="E1403" s="30"/>
      <c r="F1403" s="30" t="s">
        <v>107</v>
      </c>
      <c r="G1403" s="30" t="s">
        <v>106</v>
      </c>
      <c r="H1403" s="30"/>
      <c r="I1403" s="30" t="s">
        <v>191</v>
      </c>
      <c r="J1403" s="30"/>
      <c r="K1403" s="30" t="s">
        <v>949</v>
      </c>
      <c r="L1403" s="30" t="s">
        <v>108</v>
      </c>
      <c r="M1403" s="30" t="s">
        <v>124</v>
      </c>
      <c r="N1403" s="30" t="s">
        <v>110</v>
      </c>
      <c r="O1403" s="30" t="s">
        <v>123</v>
      </c>
      <c r="P1403" s="30" t="s">
        <v>118</v>
      </c>
      <c r="Q1403" s="30" t="s">
        <v>118</v>
      </c>
      <c r="R1403" s="30" t="s">
        <v>189</v>
      </c>
      <c r="S1403" s="81">
        <f>HLOOKUP(L1403,データについて!$J$6:$M$18,13,FALSE)</f>
        <v>1</v>
      </c>
      <c r="T1403" s="81">
        <f>HLOOKUP(M1403,データについて!$J$7:$M$18,12,FALSE)</f>
        <v>3</v>
      </c>
      <c r="U1403" s="81">
        <f>HLOOKUP(N1403,データについて!$J$8:$M$18,11,FALSE)</f>
        <v>2</v>
      </c>
      <c r="V1403" s="81">
        <f>HLOOKUP(O1403,データについて!$J$9:$M$18,10,FALSE)</f>
        <v>4</v>
      </c>
      <c r="W1403" s="81">
        <f>HLOOKUP(P1403,データについて!$J$10:$M$18,9,FALSE)</f>
        <v>2</v>
      </c>
      <c r="X1403" s="81">
        <f>HLOOKUP(Q1403,データについて!$J$11:$M$18,8,FALSE)</f>
        <v>2</v>
      </c>
      <c r="Y1403" s="81">
        <f>HLOOKUP(R1403,データについて!$J$12:$M$18,7,FALSE)</f>
        <v>4</v>
      </c>
      <c r="Z1403" s="81">
        <f>HLOOKUP(I1403,データについて!$J$3:$M$18,16,FALSE)</f>
        <v>2</v>
      </c>
      <c r="AA1403" s="81" t="str">
        <f>IFERROR(HLOOKUP(J1403,データについて!$J$4:$AH$19,16,FALSE),"")</f>
        <v/>
      </c>
      <c r="AB1403" s="81">
        <f>IFERROR(HLOOKUP(K1403,データについて!$J$5:$AH$20,14,FALSE),"")</f>
        <v>0</v>
      </c>
      <c r="AC1403" s="81" t="str">
        <f>IF(X1403=1,HLOOKUP(R1403,データについて!$J$12:$M$18,7,FALSE),"*")</f>
        <v>*</v>
      </c>
      <c r="AD1403" s="81">
        <f>IF(X1403=2,HLOOKUP(R1403,データについて!$J$12:$M$18,7,FALSE),"*")</f>
        <v>4</v>
      </c>
    </row>
    <row r="1404" spans="1:30">
      <c r="A1404" s="30">
        <v>3788</v>
      </c>
      <c r="B1404" s="30" t="s">
        <v>950</v>
      </c>
      <c r="C1404" s="30" t="s">
        <v>951</v>
      </c>
      <c r="D1404" s="30" t="s">
        <v>106</v>
      </c>
      <c r="E1404" s="30"/>
      <c r="F1404" s="30" t="s">
        <v>107</v>
      </c>
      <c r="G1404" s="30" t="s">
        <v>106</v>
      </c>
      <c r="H1404" s="30"/>
      <c r="I1404" s="30" t="s">
        <v>191</v>
      </c>
      <c r="J1404" s="30"/>
      <c r="K1404" s="30" t="s">
        <v>949</v>
      </c>
      <c r="L1404" s="30" t="s">
        <v>117</v>
      </c>
      <c r="M1404" s="30" t="s">
        <v>113</v>
      </c>
      <c r="N1404" s="30" t="s">
        <v>110</v>
      </c>
      <c r="O1404" s="30" t="s">
        <v>115</v>
      </c>
      <c r="P1404" s="30" t="s">
        <v>112</v>
      </c>
      <c r="Q1404" s="30" t="s">
        <v>112</v>
      </c>
      <c r="R1404" s="30" t="s">
        <v>185</v>
      </c>
      <c r="S1404" s="81">
        <f>HLOOKUP(L1404,データについて!$J$6:$M$18,13,FALSE)</f>
        <v>2</v>
      </c>
      <c r="T1404" s="81">
        <f>HLOOKUP(M1404,データについて!$J$7:$M$18,12,FALSE)</f>
        <v>1</v>
      </c>
      <c r="U1404" s="81">
        <f>HLOOKUP(N1404,データについて!$J$8:$M$18,11,FALSE)</f>
        <v>2</v>
      </c>
      <c r="V1404" s="81">
        <f>HLOOKUP(O1404,データについて!$J$9:$M$18,10,FALSE)</f>
        <v>1</v>
      </c>
      <c r="W1404" s="81">
        <f>HLOOKUP(P1404,データについて!$J$10:$M$18,9,FALSE)</f>
        <v>1</v>
      </c>
      <c r="X1404" s="81">
        <f>HLOOKUP(Q1404,データについて!$J$11:$M$18,8,FALSE)</f>
        <v>1</v>
      </c>
      <c r="Y1404" s="81">
        <f>HLOOKUP(R1404,データについて!$J$12:$M$18,7,FALSE)</f>
        <v>2</v>
      </c>
      <c r="Z1404" s="81">
        <f>HLOOKUP(I1404,データについて!$J$3:$M$18,16,FALSE)</f>
        <v>2</v>
      </c>
      <c r="AA1404" s="81" t="str">
        <f>IFERROR(HLOOKUP(J1404,データについて!$J$4:$AH$19,16,FALSE),"")</f>
        <v/>
      </c>
      <c r="AB1404" s="81">
        <f>IFERROR(HLOOKUP(K1404,データについて!$J$5:$AH$20,14,FALSE),"")</f>
        <v>0</v>
      </c>
      <c r="AC1404" s="81">
        <f>IF(X1404=1,HLOOKUP(R1404,データについて!$J$12:$M$18,7,FALSE),"*")</f>
        <v>2</v>
      </c>
      <c r="AD1404" s="81" t="str">
        <f>IF(X1404=2,HLOOKUP(R1404,データについて!$J$12:$M$18,7,FALSE),"*")</f>
        <v>*</v>
      </c>
    </row>
    <row r="1405" spans="1:30">
      <c r="A1405" s="30">
        <v>3787</v>
      </c>
      <c r="B1405" s="30" t="s">
        <v>952</v>
      </c>
      <c r="C1405" s="30" t="s">
        <v>953</v>
      </c>
      <c r="D1405" s="30" t="s">
        <v>106</v>
      </c>
      <c r="E1405" s="30"/>
      <c r="F1405" s="30" t="s">
        <v>107</v>
      </c>
      <c r="G1405" s="30" t="s">
        <v>106</v>
      </c>
      <c r="H1405" s="30"/>
      <c r="I1405" s="30" t="s">
        <v>191</v>
      </c>
      <c r="J1405" s="30"/>
      <c r="K1405" s="30" t="s">
        <v>949</v>
      </c>
      <c r="L1405" s="30" t="s">
        <v>117</v>
      </c>
      <c r="M1405" s="30" t="s">
        <v>113</v>
      </c>
      <c r="N1405" s="30" t="s">
        <v>114</v>
      </c>
      <c r="O1405" s="30" t="s">
        <v>115</v>
      </c>
      <c r="P1405" s="30" t="s">
        <v>118</v>
      </c>
      <c r="Q1405" s="30" t="s">
        <v>112</v>
      </c>
      <c r="R1405" s="30" t="s">
        <v>183</v>
      </c>
      <c r="S1405" s="81">
        <f>HLOOKUP(L1405,データについて!$J$6:$M$18,13,FALSE)</f>
        <v>2</v>
      </c>
      <c r="T1405" s="81">
        <f>HLOOKUP(M1405,データについて!$J$7:$M$18,12,FALSE)</f>
        <v>1</v>
      </c>
      <c r="U1405" s="81">
        <f>HLOOKUP(N1405,データについて!$J$8:$M$18,11,FALSE)</f>
        <v>1</v>
      </c>
      <c r="V1405" s="81">
        <f>HLOOKUP(O1405,データについて!$J$9:$M$18,10,FALSE)</f>
        <v>1</v>
      </c>
      <c r="W1405" s="81">
        <f>HLOOKUP(P1405,データについて!$J$10:$M$18,9,FALSE)</f>
        <v>2</v>
      </c>
      <c r="X1405" s="81">
        <f>HLOOKUP(Q1405,データについて!$J$11:$M$18,8,FALSE)</f>
        <v>1</v>
      </c>
      <c r="Y1405" s="81">
        <f>HLOOKUP(R1405,データについて!$J$12:$M$18,7,FALSE)</f>
        <v>1</v>
      </c>
      <c r="Z1405" s="81">
        <f>HLOOKUP(I1405,データについて!$J$3:$M$18,16,FALSE)</f>
        <v>2</v>
      </c>
      <c r="AA1405" s="81" t="str">
        <f>IFERROR(HLOOKUP(J1405,データについて!$J$4:$AH$19,16,FALSE),"")</f>
        <v/>
      </c>
      <c r="AB1405" s="81">
        <f>IFERROR(HLOOKUP(K1405,データについて!$J$5:$AH$20,14,FALSE),"")</f>
        <v>0</v>
      </c>
      <c r="AC1405" s="81">
        <f>IF(X1405=1,HLOOKUP(R1405,データについて!$J$12:$M$18,7,FALSE),"*")</f>
        <v>1</v>
      </c>
      <c r="AD1405" s="81" t="str">
        <f>IF(X1405=2,HLOOKUP(R1405,データについて!$J$12:$M$18,7,FALSE),"*")</f>
        <v>*</v>
      </c>
    </row>
    <row r="1406" spans="1:30">
      <c r="A1406" s="30">
        <v>3786</v>
      </c>
      <c r="B1406" s="30" t="s">
        <v>954</v>
      </c>
      <c r="C1406" s="30" t="s">
        <v>955</v>
      </c>
      <c r="D1406" s="30" t="s">
        <v>106</v>
      </c>
      <c r="E1406" s="30"/>
      <c r="F1406" s="30" t="s">
        <v>107</v>
      </c>
      <c r="G1406" s="30" t="s">
        <v>106</v>
      </c>
      <c r="H1406" s="30"/>
      <c r="I1406" s="30" t="s">
        <v>191</v>
      </c>
      <c r="J1406" s="30"/>
      <c r="K1406" s="30" t="s">
        <v>949</v>
      </c>
      <c r="L1406" s="30" t="s">
        <v>117</v>
      </c>
      <c r="M1406" s="30" t="s">
        <v>109</v>
      </c>
      <c r="N1406" s="30" t="s">
        <v>110</v>
      </c>
      <c r="O1406" s="30" t="s">
        <v>115</v>
      </c>
      <c r="P1406" s="30" t="s">
        <v>112</v>
      </c>
      <c r="Q1406" s="30" t="s">
        <v>112</v>
      </c>
      <c r="R1406" s="30" t="s">
        <v>185</v>
      </c>
      <c r="S1406" s="81">
        <f>HLOOKUP(L1406,データについて!$J$6:$M$18,13,FALSE)</f>
        <v>2</v>
      </c>
      <c r="T1406" s="81">
        <f>HLOOKUP(M1406,データについて!$J$7:$M$18,12,FALSE)</f>
        <v>2</v>
      </c>
      <c r="U1406" s="81">
        <f>HLOOKUP(N1406,データについて!$J$8:$M$18,11,FALSE)</f>
        <v>2</v>
      </c>
      <c r="V1406" s="81">
        <f>HLOOKUP(O1406,データについて!$J$9:$M$18,10,FALSE)</f>
        <v>1</v>
      </c>
      <c r="W1406" s="81">
        <f>HLOOKUP(P1406,データについて!$J$10:$M$18,9,FALSE)</f>
        <v>1</v>
      </c>
      <c r="X1406" s="81">
        <f>HLOOKUP(Q1406,データについて!$J$11:$M$18,8,FALSE)</f>
        <v>1</v>
      </c>
      <c r="Y1406" s="81">
        <f>HLOOKUP(R1406,データについて!$J$12:$M$18,7,FALSE)</f>
        <v>2</v>
      </c>
      <c r="Z1406" s="81">
        <f>HLOOKUP(I1406,データについて!$J$3:$M$18,16,FALSE)</f>
        <v>2</v>
      </c>
      <c r="AA1406" s="81" t="str">
        <f>IFERROR(HLOOKUP(J1406,データについて!$J$4:$AH$19,16,FALSE),"")</f>
        <v/>
      </c>
      <c r="AB1406" s="81">
        <f>IFERROR(HLOOKUP(K1406,データについて!$J$5:$AH$20,14,FALSE),"")</f>
        <v>0</v>
      </c>
      <c r="AC1406" s="81">
        <f>IF(X1406=1,HLOOKUP(R1406,データについて!$J$12:$M$18,7,FALSE),"*")</f>
        <v>2</v>
      </c>
      <c r="AD1406" s="81" t="str">
        <f>IF(X1406=2,HLOOKUP(R1406,データについて!$J$12:$M$18,7,FALSE),"*")</f>
        <v>*</v>
      </c>
    </row>
    <row r="1407" spans="1:30">
      <c r="A1407" s="30">
        <v>3785</v>
      </c>
      <c r="B1407" s="30" t="s">
        <v>956</v>
      </c>
      <c r="C1407" s="30" t="s">
        <v>957</v>
      </c>
      <c r="D1407" s="30" t="s">
        <v>106</v>
      </c>
      <c r="E1407" s="30"/>
      <c r="F1407" s="30" t="s">
        <v>107</v>
      </c>
      <c r="G1407" s="30" t="s">
        <v>106</v>
      </c>
      <c r="H1407" s="30"/>
      <c r="I1407" s="30" t="s">
        <v>191</v>
      </c>
      <c r="J1407" s="30"/>
      <c r="K1407" s="30" t="s">
        <v>949</v>
      </c>
      <c r="L1407" s="30" t="s">
        <v>117</v>
      </c>
      <c r="M1407" s="30" t="s">
        <v>124</v>
      </c>
      <c r="N1407" s="30" t="s">
        <v>119</v>
      </c>
      <c r="O1407" s="30" t="s">
        <v>115</v>
      </c>
      <c r="P1407" s="30" t="s">
        <v>118</v>
      </c>
      <c r="Q1407" s="30" t="s">
        <v>112</v>
      </c>
      <c r="R1407" s="30" t="s">
        <v>185</v>
      </c>
      <c r="S1407" s="81">
        <f>HLOOKUP(L1407,データについて!$J$6:$M$18,13,FALSE)</f>
        <v>2</v>
      </c>
      <c r="T1407" s="81">
        <f>HLOOKUP(M1407,データについて!$J$7:$M$18,12,FALSE)</f>
        <v>3</v>
      </c>
      <c r="U1407" s="81">
        <f>HLOOKUP(N1407,データについて!$J$8:$M$18,11,FALSE)</f>
        <v>4</v>
      </c>
      <c r="V1407" s="81">
        <f>HLOOKUP(O1407,データについて!$J$9:$M$18,10,FALSE)</f>
        <v>1</v>
      </c>
      <c r="W1407" s="81">
        <f>HLOOKUP(P1407,データについて!$J$10:$M$18,9,FALSE)</f>
        <v>2</v>
      </c>
      <c r="X1407" s="81">
        <f>HLOOKUP(Q1407,データについて!$J$11:$M$18,8,FALSE)</f>
        <v>1</v>
      </c>
      <c r="Y1407" s="81">
        <f>HLOOKUP(R1407,データについて!$J$12:$M$18,7,FALSE)</f>
        <v>2</v>
      </c>
      <c r="Z1407" s="81">
        <f>HLOOKUP(I1407,データについて!$J$3:$M$18,16,FALSE)</f>
        <v>2</v>
      </c>
      <c r="AA1407" s="81" t="str">
        <f>IFERROR(HLOOKUP(J1407,データについて!$J$4:$AH$19,16,FALSE),"")</f>
        <v/>
      </c>
      <c r="AB1407" s="81">
        <f>IFERROR(HLOOKUP(K1407,データについて!$J$5:$AH$20,14,FALSE),"")</f>
        <v>0</v>
      </c>
      <c r="AC1407" s="81">
        <f>IF(X1407=1,HLOOKUP(R1407,データについて!$J$12:$M$18,7,FALSE),"*")</f>
        <v>2</v>
      </c>
      <c r="AD1407" s="81" t="str">
        <f>IF(X1407=2,HLOOKUP(R1407,データについて!$J$12:$M$18,7,FALSE),"*")</f>
        <v>*</v>
      </c>
    </row>
    <row r="1408" spans="1:30">
      <c r="A1408" s="30">
        <v>3784</v>
      </c>
      <c r="B1408" s="30" t="s">
        <v>958</v>
      </c>
      <c r="C1408" s="30" t="s">
        <v>959</v>
      </c>
      <c r="D1408" s="30" t="s">
        <v>106</v>
      </c>
      <c r="E1408" s="30"/>
      <c r="F1408" s="30" t="s">
        <v>107</v>
      </c>
      <c r="G1408" s="30" t="s">
        <v>106</v>
      </c>
      <c r="H1408" s="30"/>
      <c r="I1408" s="30" t="s">
        <v>191</v>
      </c>
      <c r="J1408" s="30"/>
      <c r="K1408" s="30" t="s">
        <v>949</v>
      </c>
      <c r="L1408" s="30" t="s">
        <v>117</v>
      </c>
      <c r="M1408" s="30" t="s">
        <v>113</v>
      </c>
      <c r="N1408" s="30" t="s">
        <v>119</v>
      </c>
      <c r="O1408" s="30" t="s">
        <v>115</v>
      </c>
      <c r="P1408" s="30" t="s">
        <v>118</v>
      </c>
      <c r="Q1408" s="30" t="s">
        <v>112</v>
      </c>
      <c r="R1408" s="30" t="s">
        <v>185</v>
      </c>
      <c r="S1408" s="81">
        <f>HLOOKUP(L1408,データについて!$J$6:$M$18,13,FALSE)</f>
        <v>2</v>
      </c>
      <c r="T1408" s="81">
        <f>HLOOKUP(M1408,データについて!$J$7:$M$18,12,FALSE)</f>
        <v>1</v>
      </c>
      <c r="U1408" s="81">
        <f>HLOOKUP(N1408,データについて!$J$8:$M$18,11,FALSE)</f>
        <v>4</v>
      </c>
      <c r="V1408" s="81">
        <f>HLOOKUP(O1408,データについて!$J$9:$M$18,10,FALSE)</f>
        <v>1</v>
      </c>
      <c r="W1408" s="81">
        <f>HLOOKUP(P1408,データについて!$J$10:$M$18,9,FALSE)</f>
        <v>2</v>
      </c>
      <c r="X1408" s="81">
        <f>HLOOKUP(Q1408,データについて!$J$11:$M$18,8,FALSE)</f>
        <v>1</v>
      </c>
      <c r="Y1408" s="81">
        <f>HLOOKUP(R1408,データについて!$J$12:$M$18,7,FALSE)</f>
        <v>2</v>
      </c>
      <c r="Z1408" s="81">
        <f>HLOOKUP(I1408,データについて!$J$3:$M$18,16,FALSE)</f>
        <v>2</v>
      </c>
      <c r="AA1408" s="81" t="str">
        <f>IFERROR(HLOOKUP(J1408,データについて!$J$4:$AH$19,16,FALSE),"")</f>
        <v/>
      </c>
      <c r="AB1408" s="81">
        <f>IFERROR(HLOOKUP(K1408,データについて!$J$5:$AH$20,14,FALSE),"")</f>
        <v>0</v>
      </c>
      <c r="AC1408" s="81">
        <f>IF(X1408=1,HLOOKUP(R1408,データについて!$J$12:$M$18,7,FALSE),"*")</f>
        <v>2</v>
      </c>
      <c r="AD1408" s="81" t="str">
        <f>IF(X1408=2,HLOOKUP(R1408,データについて!$J$12:$M$18,7,FALSE),"*")</f>
        <v>*</v>
      </c>
    </row>
    <row r="1409" spans="1:30">
      <c r="A1409" s="30">
        <v>3783</v>
      </c>
      <c r="B1409" s="30" t="s">
        <v>960</v>
      </c>
      <c r="C1409" s="30" t="s">
        <v>961</v>
      </c>
      <c r="D1409" s="30" t="s">
        <v>106</v>
      </c>
      <c r="E1409" s="30"/>
      <c r="F1409" s="30" t="s">
        <v>107</v>
      </c>
      <c r="G1409" s="30" t="s">
        <v>106</v>
      </c>
      <c r="H1409" s="30"/>
      <c r="I1409" s="30" t="s">
        <v>191</v>
      </c>
      <c r="J1409" s="30"/>
      <c r="K1409" s="30" t="s">
        <v>949</v>
      </c>
      <c r="L1409" s="30" t="s">
        <v>117</v>
      </c>
      <c r="M1409" s="30" t="s">
        <v>109</v>
      </c>
      <c r="N1409" s="30" t="s">
        <v>114</v>
      </c>
      <c r="O1409" s="30" t="s">
        <v>115</v>
      </c>
      <c r="P1409" s="30" t="s">
        <v>112</v>
      </c>
      <c r="Q1409" s="30" t="s">
        <v>112</v>
      </c>
      <c r="R1409" s="30" t="s">
        <v>183</v>
      </c>
      <c r="S1409" s="81">
        <f>HLOOKUP(L1409,データについて!$J$6:$M$18,13,FALSE)</f>
        <v>2</v>
      </c>
      <c r="T1409" s="81">
        <f>HLOOKUP(M1409,データについて!$J$7:$M$18,12,FALSE)</f>
        <v>2</v>
      </c>
      <c r="U1409" s="81">
        <f>HLOOKUP(N1409,データについて!$J$8:$M$18,11,FALSE)</f>
        <v>1</v>
      </c>
      <c r="V1409" s="81">
        <f>HLOOKUP(O1409,データについて!$J$9:$M$18,10,FALSE)</f>
        <v>1</v>
      </c>
      <c r="W1409" s="81">
        <f>HLOOKUP(P1409,データについて!$J$10:$M$18,9,FALSE)</f>
        <v>1</v>
      </c>
      <c r="X1409" s="81">
        <f>HLOOKUP(Q1409,データについて!$J$11:$M$18,8,FALSE)</f>
        <v>1</v>
      </c>
      <c r="Y1409" s="81">
        <f>HLOOKUP(R1409,データについて!$J$12:$M$18,7,FALSE)</f>
        <v>1</v>
      </c>
      <c r="Z1409" s="81">
        <f>HLOOKUP(I1409,データについて!$J$3:$M$18,16,FALSE)</f>
        <v>2</v>
      </c>
      <c r="AA1409" s="81" t="str">
        <f>IFERROR(HLOOKUP(J1409,データについて!$J$4:$AH$19,16,FALSE),"")</f>
        <v/>
      </c>
      <c r="AB1409" s="81">
        <f>IFERROR(HLOOKUP(K1409,データについて!$J$5:$AH$20,14,FALSE),"")</f>
        <v>0</v>
      </c>
      <c r="AC1409" s="81">
        <f>IF(X1409=1,HLOOKUP(R1409,データについて!$J$12:$M$18,7,FALSE),"*")</f>
        <v>1</v>
      </c>
      <c r="AD1409" s="81" t="str">
        <f>IF(X1409=2,HLOOKUP(R1409,データについて!$J$12:$M$18,7,FALSE),"*")</f>
        <v>*</v>
      </c>
    </row>
    <row r="1410" spans="1:30">
      <c r="A1410" s="30">
        <v>3782</v>
      </c>
      <c r="B1410" s="30" t="s">
        <v>962</v>
      </c>
      <c r="C1410" s="30" t="s">
        <v>963</v>
      </c>
      <c r="D1410" s="30" t="s">
        <v>106</v>
      </c>
      <c r="E1410" s="30"/>
      <c r="F1410" s="30" t="s">
        <v>107</v>
      </c>
      <c r="G1410" s="30" t="s">
        <v>106</v>
      </c>
      <c r="H1410" s="30"/>
      <c r="I1410" s="30" t="s">
        <v>191</v>
      </c>
      <c r="J1410" s="30"/>
      <c r="K1410" s="30" t="s">
        <v>949</v>
      </c>
      <c r="L1410" s="30" t="s">
        <v>117</v>
      </c>
      <c r="M1410" s="30" t="s">
        <v>113</v>
      </c>
      <c r="N1410" s="30" t="s">
        <v>114</v>
      </c>
      <c r="O1410" s="30" t="s">
        <v>115</v>
      </c>
      <c r="P1410" s="30" t="s">
        <v>112</v>
      </c>
      <c r="Q1410" s="30" t="s">
        <v>112</v>
      </c>
      <c r="R1410" s="30" t="s">
        <v>189</v>
      </c>
      <c r="S1410" s="81">
        <f>HLOOKUP(L1410,データについて!$J$6:$M$18,13,FALSE)</f>
        <v>2</v>
      </c>
      <c r="T1410" s="81">
        <f>HLOOKUP(M1410,データについて!$J$7:$M$18,12,FALSE)</f>
        <v>1</v>
      </c>
      <c r="U1410" s="81">
        <f>HLOOKUP(N1410,データについて!$J$8:$M$18,11,FALSE)</f>
        <v>1</v>
      </c>
      <c r="V1410" s="81">
        <f>HLOOKUP(O1410,データについて!$J$9:$M$18,10,FALSE)</f>
        <v>1</v>
      </c>
      <c r="W1410" s="81">
        <f>HLOOKUP(P1410,データについて!$J$10:$M$18,9,FALSE)</f>
        <v>1</v>
      </c>
      <c r="X1410" s="81">
        <f>HLOOKUP(Q1410,データについて!$J$11:$M$18,8,FALSE)</f>
        <v>1</v>
      </c>
      <c r="Y1410" s="81">
        <f>HLOOKUP(R1410,データについて!$J$12:$M$18,7,FALSE)</f>
        <v>4</v>
      </c>
      <c r="Z1410" s="81">
        <f>HLOOKUP(I1410,データについて!$J$3:$M$18,16,FALSE)</f>
        <v>2</v>
      </c>
      <c r="AA1410" s="81" t="str">
        <f>IFERROR(HLOOKUP(J1410,データについて!$J$4:$AH$19,16,FALSE),"")</f>
        <v/>
      </c>
      <c r="AB1410" s="81">
        <f>IFERROR(HLOOKUP(K1410,データについて!$J$5:$AH$20,14,FALSE),"")</f>
        <v>0</v>
      </c>
      <c r="AC1410" s="81">
        <f>IF(X1410=1,HLOOKUP(R1410,データについて!$J$12:$M$18,7,FALSE),"*")</f>
        <v>4</v>
      </c>
      <c r="AD1410" s="81" t="str">
        <f>IF(X1410=2,HLOOKUP(R1410,データについて!$J$12:$M$18,7,FALSE),"*")</f>
        <v>*</v>
      </c>
    </row>
    <row r="1411" spans="1:30">
      <c r="A1411" s="30">
        <v>3781</v>
      </c>
      <c r="B1411" s="30" t="s">
        <v>964</v>
      </c>
      <c r="C1411" s="30" t="s">
        <v>965</v>
      </c>
      <c r="D1411" s="30" t="s">
        <v>106</v>
      </c>
      <c r="E1411" s="30"/>
      <c r="F1411" s="30" t="s">
        <v>107</v>
      </c>
      <c r="G1411" s="30" t="s">
        <v>106</v>
      </c>
      <c r="H1411" s="30"/>
      <c r="I1411" s="30" t="s">
        <v>191</v>
      </c>
      <c r="J1411" s="30"/>
      <c r="K1411" s="30" t="s">
        <v>949</v>
      </c>
      <c r="L1411" s="30" t="s">
        <v>117</v>
      </c>
      <c r="M1411" s="30" t="s">
        <v>124</v>
      </c>
      <c r="N1411" s="30" t="s">
        <v>119</v>
      </c>
      <c r="O1411" s="30" t="s">
        <v>115</v>
      </c>
      <c r="P1411" s="30" t="s">
        <v>112</v>
      </c>
      <c r="Q1411" s="30" t="s">
        <v>112</v>
      </c>
      <c r="R1411" s="30" t="s">
        <v>187</v>
      </c>
      <c r="S1411" s="81">
        <f>HLOOKUP(L1411,データについて!$J$6:$M$18,13,FALSE)</f>
        <v>2</v>
      </c>
      <c r="T1411" s="81">
        <f>HLOOKUP(M1411,データについて!$J$7:$M$18,12,FALSE)</f>
        <v>3</v>
      </c>
      <c r="U1411" s="81">
        <f>HLOOKUP(N1411,データについて!$J$8:$M$18,11,FALSE)</f>
        <v>4</v>
      </c>
      <c r="V1411" s="81">
        <f>HLOOKUP(O1411,データについて!$J$9:$M$18,10,FALSE)</f>
        <v>1</v>
      </c>
      <c r="W1411" s="81">
        <f>HLOOKUP(P1411,データについて!$J$10:$M$18,9,FALSE)</f>
        <v>1</v>
      </c>
      <c r="X1411" s="81">
        <f>HLOOKUP(Q1411,データについて!$J$11:$M$18,8,FALSE)</f>
        <v>1</v>
      </c>
      <c r="Y1411" s="81">
        <f>HLOOKUP(R1411,データについて!$J$12:$M$18,7,FALSE)</f>
        <v>3</v>
      </c>
      <c r="Z1411" s="81">
        <f>HLOOKUP(I1411,データについて!$J$3:$M$18,16,FALSE)</f>
        <v>2</v>
      </c>
      <c r="AA1411" s="81" t="str">
        <f>IFERROR(HLOOKUP(J1411,データについて!$J$4:$AH$19,16,FALSE),"")</f>
        <v/>
      </c>
      <c r="AB1411" s="81">
        <f>IFERROR(HLOOKUP(K1411,データについて!$J$5:$AH$20,14,FALSE),"")</f>
        <v>0</v>
      </c>
      <c r="AC1411" s="81">
        <f>IF(X1411=1,HLOOKUP(R1411,データについて!$J$12:$M$18,7,FALSE),"*")</f>
        <v>3</v>
      </c>
      <c r="AD1411" s="81" t="str">
        <f>IF(X1411=2,HLOOKUP(R1411,データについて!$J$12:$M$18,7,FALSE),"*")</f>
        <v>*</v>
      </c>
    </row>
    <row r="1412" spans="1:30">
      <c r="A1412" s="30">
        <v>3780</v>
      </c>
      <c r="B1412" s="30" t="s">
        <v>966</v>
      </c>
      <c r="C1412" s="30" t="s">
        <v>967</v>
      </c>
      <c r="D1412" s="30" t="s">
        <v>106</v>
      </c>
      <c r="E1412" s="30"/>
      <c r="F1412" s="30" t="s">
        <v>107</v>
      </c>
      <c r="G1412" s="30" t="s">
        <v>106</v>
      </c>
      <c r="H1412" s="30"/>
      <c r="I1412" s="30" t="s">
        <v>191</v>
      </c>
      <c r="J1412" s="30"/>
      <c r="K1412" s="30" t="s">
        <v>949</v>
      </c>
      <c r="L1412" s="30" t="s">
        <v>117</v>
      </c>
      <c r="M1412" s="30" t="s">
        <v>109</v>
      </c>
      <c r="N1412" s="30" t="s">
        <v>110</v>
      </c>
      <c r="O1412" s="30" t="s">
        <v>123</v>
      </c>
      <c r="P1412" s="30" t="s">
        <v>118</v>
      </c>
      <c r="Q1412" s="30" t="s">
        <v>112</v>
      </c>
      <c r="R1412" s="30" t="s">
        <v>185</v>
      </c>
      <c r="S1412" s="81">
        <f>HLOOKUP(L1412,データについて!$J$6:$M$18,13,FALSE)</f>
        <v>2</v>
      </c>
      <c r="T1412" s="81">
        <f>HLOOKUP(M1412,データについて!$J$7:$M$18,12,FALSE)</f>
        <v>2</v>
      </c>
      <c r="U1412" s="81">
        <f>HLOOKUP(N1412,データについて!$J$8:$M$18,11,FALSE)</f>
        <v>2</v>
      </c>
      <c r="V1412" s="81">
        <f>HLOOKUP(O1412,データについて!$J$9:$M$18,10,FALSE)</f>
        <v>4</v>
      </c>
      <c r="W1412" s="81">
        <f>HLOOKUP(P1412,データについて!$J$10:$M$18,9,FALSE)</f>
        <v>2</v>
      </c>
      <c r="X1412" s="81">
        <f>HLOOKUP(Q1412,データについて!$J$11:$M$18,8,FALSE)</f>
        <v>1</v>
      </c>
      <c r="Y1412" s="81">
        <f>HLOOKUP(R1412,データについて!$J$12:$M$18,7,FALSE)</f>
        <v>2</v>
      </c>
      <c r="Z1412" s="81">
        <f>HLOOKUP(I1412,データについて!$J$3:$M$18,16,FALSE)</f>
        <v>2</v>
      </c>
      <c r="AA1412" s="81" t="str">
        <f>IFERROR(HLOOKUP(J1412,データについて!$J$4:$AH$19,16,FALSE),"")</f>
        <v/>
      </c>
      <c r="AB1412" s="81">
        <f>IFERROR(HLOOKUP(K1412,データについて!$J$5:$AH$20,14,FALSE),"")</f>
        <v>0</v>
      </c>
      <c r="AC1412" s="81">
        <f>IF(X1412=1,HLOOKUP(R1412,データについて!$J$12:$M$18,7,FALSE),"*")</f>
        <v>2</v>
      </c>
      <c r="AD1412" s="81" t="str">
        <f>IF(X1412=2,HLOOKUP(R1412,データについて!$J$12:$M$18,7,FALSE),"*")</f>
        <v>*</v>
      </c>
    </row>
    <row r="1413" spans="1:30">
      <c r="A1413" s="30">
        <v>3779</v>
      </c>
      <c r="B1413" s="30" t="s">
        <v>968</v>
      </c>
      <c r="C1413" s="30" t="s">
        <v>969</v>
      </c>
      <c r="D1413" s="30" t="s">
        <v>106</v>
      </c>
      <c r="E1413" s="30"/>
      <c r="F1413" s="30" t="s">
        <v>107</v>
      </c>
      <c r="G1413" s="30" t="s">
        <v>106</v>
      </c>
      <c r="H1413" s="30"/>
      <c r="I1413" s="30" t="s">
        <v>191</v>
      </c>
      <c r="J1413" s="30"/>
      <c r="K1413" s="30" t="s">
        <v>949</v>
      </c>
      <c r="L1413" s="30" t="s">
        <v>117</v>
      </c>
      <c r="M1413" s="30" t="s">
        <v>113</v>
      </c>
      <c r="N1413" s="30" t="s">
        <v>114</v>
      </c>
      <c r="O1413" s="30" t="s">
        <v>111</v>
      </c>
      <c r="P1413" s="30" t="s">
        <v>112</v>
      </c>
      <c r="Q1413" s="30" t="s">
        <v>118</v>
      </c>
      <c r="R1413" s="30" t="s">
        <v>189</v>
      </c>
      <c r="S1413" s="81">
        <f>HLOOKUP(L1413,データについて!$J$6:$M$18,13,FALSE)</f>
        <v>2</v>
      </c>
      <c r="T1413" s="81">
        <f>HLOOKUP(M1413,データについて!$J$7:$M$18,12,FALSE)</f>
        <v>1</v>
      </c>
      <c r="U1413" s="81">
        <f>HLOOKUP(N1413,データについて!$J$8:$M$18,11,FALSE)</f>
        <v>1</v>
      </c>
      <c r="V1413" s="81">
        <f>HLOOKUP(O1413,データについて!$J$9:$M$18,10,FALSE)</f>
        <v>3</v>
      </c>
      <c r="W1413" s="81">
        <f>HLOOKUP(P1413,データについて!$J$10:$M$18,9,FALSE)</f>
        <v>1</v>
      </c>
      <c r="X1413" s="81">
        <f>HLOOKUP(Q1413,データについて!$J$11:$M$18,8,FALSE)</f>
        <v>2</v>
      </c>
      <c r="Y1413" s="81">
        <f>HLOOKUP(R1413,データについて!$J$12:$M$18,7,FALSE)</f>
        <v>4</v>
      </c>
      <c r="Z1413" s="81">
        <f>HLOOKUP(I1413,データについて!$J$3:$M$18,16,FALSE)</f>
        <v>2</v>
      </c>
      <c r="AA1413" s="81" t="str">
        <f>IFERROR(HLOOKUP(J1413,データについて!$J$4:$AH$19,16,FALSE),"")</f>
        <v/>
      </c>
      <c r="AB1413" s="81">
        <f>IFERROR(HLOOKUP(K1413,データについて!$J$5:$AH$20,14,FALSE),"")</f>
        <v>0</v>
      </c>
      <c r="AC1413" s="81" t="str">
        <f>IF(X1413=1,HLOOKUP(R1413,データについて!$J$12:$M$18,7,FALSE),"*")</f>
        <v>*</v>
      </c>
      <c r="AD1413" s="81">
        <f>IF(X1413=2,HLOOKUP(R1413,データについて!$J$12:$M$18,7,FALSE),"*")</f>
        <v>4</v>
      </c>
    </row>
    <row r="1414" spans="1:30">
      <c r="A1414" s="30">
        <v>3778</v>
      </c>
      <c r="B1414" s="30" t="s">
        <v>970</v>
      </c>
      <c r="C1414" s="30" t="s">
        <v>971</v>
      </c>
      <c r="D1414" s="30" t="s">
        <v>106</v>
      </c>
      <c r="E1414" s="30"/>
      <c r="F1414" s="30" t="s">
        <v>107</v>
      </c>
      <c r="G1414" s="30" t="s">
        <v>106</v>
      </c>
      <c r="H1414" s="30"/>
      <c r="I1414" s="30" t="s">
        <v>191</v>
      </c>
      <c r="J1414" s="30"/>
      <c r="K1414" s="30" t="s">
        <v>949</v>
      </c>
      <c r="L1414" s="30" t="s">
        <v>117</v>
      </c>
      <c r="M1414" s="30" t="s">
        <v>109</v>
      </c>
      <c r="N1414" s="30" t="s">
        <v>122</v>
      </c>
      <c r="O1414" s="30" t="s">
        <v>115</v>
      </c>
      <c r="P1414" s="30" t="s">
        <v>112</v>
      </c>
      <c r="Q1414" s="30" t="s">
        <v>112</v>
      </c>
      <c r="R1414" s="30" t="s">
        <v>185</v>
      </c>
      <c r="S1414" s="81">
        <f>HLOOKUP(L1414,データについて!$J$6:$M$18,13,FALSE)</f>
        <v>2</v>
      </c>
      <c r="T1414" s="81">
        <f>HLOOKUP(M1414,データについて!$J$7:$M$18,12,FALSE)</f>
        <v>2</v>
      </c>
      <c r="U1414" s="81">
        <f>HLOOKUP(N1414,データについて!$J$8:$M$18,11,FALSE)</f>
        <v>3</v>
      </c>
      <c r="V1414" s="81">
        <f>HLOOKUP(O1414,データについて!$J$9:$M$18,10,FALSE)</f>
        <v>1</v>
      </c>
      <c r="W1414" s="81">
        <f>HLOOKUP(P1414,データについて!$J$10:$M$18,9,FALSE)</f>
        <v>1</v>
      </c>
      <c r="X1414" s="81">
        <f>HLOOKUP(Q1414,データについて!$J$11:$M$18,8,FALSE)</f>
        <v>1</v>
      </c>
      <c r="Y1414" s="81">
        <f>HLOOKUP(R1414,データについて!$J$12:$M$18,7,FALSE)</f>
        <v>2</v>
      </c>
      <c r="Z1414" s="81">
        <f>HLOOKUP(I1414,データについて!$J$3:$M$18,16,FALSE)</f>
        <v>2</v>
      </c>
      <c r="AA1414" s="81" t="str">
        <f>IFERROR(HLOOKUP(J1414,データについて!$J$4:$AH$19,16,FALSE),"")</f>
        <v/>
      </c>
      <c r="AB1414" s="81">
        <f>IFERROR(HLOOKUP(K1414,データについて!$J$5:$AH$20,14,FALSE),"")</f>
        <v>0</v>
      </c>
      <c r="AC1414" s="81">
        <f>IF(X1414=1,HLOOKUP(R1414,データについて!$J$12:$M$18,7,FALSE),"*")</f>
        <v>2</v>
      </c>
      <c r="AD1414" s="81" t="str">
        <f>IF(X1414=2,HLOOKUP(R1414,データについて!$J$12:$M$18,7,FALSE),"*")</f>
        <v>*</v>
      </c>
    </row>
    <row r="1415" spans="1:30">
      <c r="A1415" s="30">
        <v>3777</v>
      </c>
      <c r="B1415" s="30" t="s">
        <v>972</v>
      </c>
      <c r="C1415" s="30" t="s">
        <v>973</v>
      </c>
      <c r="D1415" s="30" t="s">
        <v>106</v>
      </c>
      <c r="E1415" s="30"/>
      <c r="F1415" s="30" t="s">
        <v>107</v>
      </c>
      <c r="G1415" s="30" t="s">
        <v>106</v>
      </c>
      <c r="H1415" s="30"/>
      <c r="I1415" s="30" t="s">
        <v>191</v>
      </c>
      <c r="J1415" s="30"/>
      <c r="K1415" s="30" t="s">
        <v>949</v>
      </c>
      <c r="L1415" s="30" t="s">
        <v>120</v>
      </c>
      <c r="M1415" s="30" t="s">
        <v>109</v>
      </c>
      <c r="N1415" s="30" t="s">
        <v>119</v>
      </c>
      <c r="O1415" s="30" t="s">
        <v>111</v>
      </c>
      <c r="P1415" s="30" t="s">
        <v>118</v>
      </c>
      <c r="Q1415" s="30" t="s">
        <v>112</v>
      </c>
      <c r="R1415" s="30" t="s">
        <v>185</v>
      </c>
      <c r="S1415" s="81">
        <f>HLOOKUP(L1415,データについて!$J$6:$M$18,13,FALSE)</f>
        <v>3</v>
      </c>
      <c r="T1415" s="81">
        <f>HLOOKUP(M1415,データについて!$J$7:$M$18,12,FALSE)</f>
        <v>2</v>
      </c>
      <c r="U1415" s="81">
        <f>HLOOKUP(N1415,データについて!$J$8:$M$18,11,FALSE)</f>
        <v>4</v>
      </c>
      <c r="V1415" s="81">
        <f>HLOOKUP(O1415,データについて!$J$9:$M$18,10,FALSE)</f>
        <v>3</v>
      </c>
      <c r="W1415" s="81">
        <f>HLOOKUP(P1415,データについて!$J$10:$M$18,9,FALSE)</f>
        <v>2</v>
      </c>
      <c r="X1415" s="81">
        <f>HLOOKUP(Q1415,データについて!$J$11:$M$18,8,FALSE)</f>
        <v>1</v>
      </c>
      <c r="Y1415" s="81">
        <f>HLOOKUP(R1415,データについて!$J$12:$M$18,7,FALSE)</f>
        <v>2</v>
      </c>
      <c r="Z1415" s="81">
        <f>HLOOKUP(I1415,データについて!$J$3:$M$18,16,FALSE)</f>
        <v>2</v>
      </c>
      <c r="AA1415" s="81" t="str">
        <f>IFERROR(HLOOKUP(J1415,データについて!$J$4:$AH$19,16,FALSE),"")</f>
        <v/>
      </c>
      <c r="AB1415" s="81">
        <f>IFERROR(HLOOKUP(K1415,データについて!$J$5:$AH$20,14,FALSE),"")</f>
        <v>0</v>
      </c>
      <c r="AC1415" s="81">
        <f>IF(X1415=1,HLOOKUP(R1415,データについて!$J$12:$M$18,7,FALSE),"*")</f>
        <v>2</v>
      </c>
      <c r="AD1415" s="81" t="str">
        <f>IF(X1415=2,HLOOKUP(R1415,データについて!$J$12:$M$18,7,FALSE),"*")</f>
        <v>*</v>
      </c>
    </row>
    <row r="1416" spans="1:30">
      <c r="A1416" s="30">
        <v>3776</v>
      </c>
      <c r="B1416" s="30" t="s">
        <v>974</v>
      </c>
      <c r="C1416" s="30" t="s">
        <v>975</v>
      </c>
      <c r="D1416" s="30" t="s">
        <v>106</v>
      </c>
      <c r="E1416" s="30"/>
      <c r="F1416" s="30" t="s">
        <v>107</v>
      </c>
      <c r="G1416" s="30" t="s">
        <v>106</v>
      </c>
      <c r="H1416" s="30"/>
      <c r="I1416" s="30" t="s">
        <v>191</v>
      </c>
      <c r="J1416" s="30"/>
      <c r="K1416" s="30" t="s">
        <v>949</v>
      </c>
      <c r="L1416" s="30" t="s">
        <v>117</v>
      </c>
      <c r="M1416" s="30" t="s">
        <v>113</v>
      </c>
      <c r="N1416" s="30" t="s">
        <v>114</v>
      </c>
      <c r="O1416" s="30" t="s">
        <v>115</v>
      </c>
      <c r="P1416" s="30" t="s">
        <v>112</v>
      </c>
      <c r="Q1416" s="30" t="s">
        <v>118</v>
      </c>
      <c r="R1416" s="30" t="s">
        <v>185</v>
      </c>
      <c r="S1416" s="81">
        <f>HLOOKUP(L1416,データについて!$J$6:$M$18,13,FALSE)</f>
        <v>2</v>
      </c>
      <c r="T1416" s="81">
        <f>HLOOKUP(M1416,データについて!$J$7:$M$18,12,FALSE)</f>
        <v>1</v>
      </c>
      <c r="U1416" s="81">
        <f>HLOOKUP(N1416,データについて!$J$8:$M$18,11,FALSE)</f>
        <v>1</v>
      </c>
      <c r="V1416" s="81">
        <f>HLOOKUP(O1416,データについて!$J$9:$M$18,10,FALSE)</f>
        <v>1</v>
      </c>
      <c r="W1416" s="81">
        <f>HLOOKUP(P1416,データについて!$J$10:$M$18,9,FALSE)</f>
        <v>1</v>
      </c>
      <c r="X1416" s="81">
        <f>HLOOKUP(Q1416,データについて!$J$11:$M$18,8,FALSE)</f>
        <v>2</v>
      </c>
      <c r="Y1416" s="81">
        <f>HLOOKUP(R1416,データについて!$J$12:$M$18,7,FALSE)</f>
        <v>2</v>
      </c>
      <c r="Z1416" s="81">
        <f>HLOOKUP(I1416,データについて!$J$3:$M$18,16,FALSE)</f>
        <v>2</v>
      </c>
      <c r="AA1416" s="81" t="str">
        <f>IFERROR(HLOOKUP(J1416,データについて!$J$4:$AH$19,16,FALSE),"")</f>
        <v/>
      </c>
      <c r="AB1416" s="81">
        <f>IFERROR(HLOOKUP(K1416,データについて!$J$5:$AH$20,14,FALSE),"")</f>
        <v>0</v>
      </c>
      <c r="AC1416" s="81" t="str">
        <f>IF(X1416=1,HLOOKUP(R1416,データについて!$J$12:$M$18,7,FALSE),"*")</f>
        <v>*</v>
      </c>
      <c r="AD1416" s="81">
        <f>IF(X1416=2,HLOOKUP(R1416,データについて!$J$12:$M$18,7,FALSE),"*")</f>
        <v>2</v>
      </c>
    </row>
    <row r="1417" spans="1:30">
      <c r="A1417" s="30">
        <v>3775</v>
      </c>
      <c r="B1417" s="30" t="s">
        <v>976</v>
      </c>
      <c r="C1417" s="30" t="s">
        <v>977</v>
      </c>
      <c r="D1417" s="30" t="s">
        <v>106</v>
      </c>
      <c r="E1417" s="30"/>
      <c r="F1417" s="30" t="s">
        <v>107</v>
      </c>
      <c r="G1417" s="30" t="s">
        <v>106</v>
      </c>
      <c r="H1417" s="30"/>
      <c r="I1417" s="30" t="s">
        <v>191</v>
      </c>
      <c r="J1417" s="30"/>
      <c r="K1417" s="30" t="s">
        <v>949</v>
      </c>
      <c r="L1417" s="30" t="s">
        <v>117</v>
      </c>
      <c r="M1417" s="30" t="s">
        <v>109</v>
      </c>
      <c r="N1417" s="30" t="s">
        <v>122</v>
      </c>
      <c r="O1417" s="30" t="s">
        <v>115</v>
      </c>
      <c r="P1417" s="30" t="s">
        <v>112</v>
      </c>
      <c r="Q1417" s="30" t="s">
        <v>112</v>
      </c>
      <c r="R1417" s="30" t="s">
        <v>189</v>
      </c>
      <c r="S1417" s="81">
        <f>HLOOKUP(L1417,データについて!$J$6:$M$18,13,FALSE)</f>
        <v>2</v>
      </c>
      <c r="T1417" s="81">
        <f>HLOOKUP(M1417,データについて!$J$7:$M$18,12,FALSE)</f>
        <v>2</v>
      </c>
      <c r="U1417" s="81">
        <f>HLOOKUP(N1417,データについて!$J$8:$M$18,11,FALSE)</f>
        <v>3</v>
      </c>
      <c r="V1417" s="81">
        <f>HLOOKUP(O1417,データについて!$J$9:$M$18,10,FALSE)</f>
        <v>1</v>
      </c>
      <c r="W1417" s="81">
        <f>HLOOKUP(P1417,データについて!$J$10:$M$18,9,FALSE)</f>
        <v>1</v>
      </c>
      <c r="X1417" s="81">
        <f>HLOOKUP(Q1417,データについて!$J$11:$M$18,8,FALSE)</f>
        <v>1</v>
      </c>
      <c r="Y1417" s="81">
        <f>HLOOKUP(R1417,データについて!$J$12:$M$18,7,FALSE)</f>
        <v>4</v>
      </c>
      <c r="Z1417" s="81">
        <f>HLOOKUP(I1417,データについて!$J$3:$M$18,16,FALSE)</f>
        <v>2</v>
      </c>
      <c r="AA1417" s="81" t="str">
        <f>IFERROR(HLOOKUP(J1417,データについて!$J$4:$AH$19,16,FALSE),"")</f>
        <v/>
      </c>
      <c r="AB1417" s="81">
        <f>IFERROR(HLOOKUP(K1417,データについて!$J$5:$AH$20,14,FALSE),"")</f>
        <v>0</v>
      </c>
      <c r="AC1417" s="81">
        <f>IF(X1417=1,HLOOKUP(R1417,データについて!$J$12:$M$18,7,FALSE),"*")</f>
        <v>4</v>
      </c>
      <c r="AD1417" s="81" t="str">
        <f>IF(X1417=2,HLOOKUP(R1417,データについて!$J$12:$M$18,7,FALSE),"*")</f>
        <v>*</v>
      </c>
    </row>
    <row r="1418" spans="1:30">
      <c r="A1418" s="30">
        <v>3774</v>
      </c>
      <c r="B1418" s="30" t="s">
        <v>978</v>
      </c>
      <c r="C1418" s="30" t="s">
        <v>979</v>
      </c>
      <c r="D1418" s="30" t="s">
        <v>106</v>
      </c>
      <c r="E1418" s="30"/>
      <c r="F1418" s="30" t="s">
        <v>107</v>
      </c>
      <c r="G1418" s="30" t="s">
        <v>106</v>
      </c>
      <c r="H1418" s="30"/>
      <c r="I1418" s="30" t="s">
        <v>191</v>
      </c>
      <c r="J1418" s="30"/>
      <c r="K1418" s="30" t="s">
        <v>949</v>
      </c>
      <c r="L1418" s="30" t="s">
        <v>117</v>
      </c>
      <c r="M1418" s="30" t="s">
        <v>109</v>
      </c>
      <c r="N1418" s="30" t="s">
        <v>110</v>
      </c>
      <c r="O1418" s="30" t="s">
        <v>116</v>
      </c>
      <c r="P1418" s="30" t="s">
        <v>112</v>
      </c>
      <c r="Q1418" s="30" t="s">
        <v>118</v>
      </c>
      <c r="R1418" s="30" t="s">
        <v>187</v>
      </c>
      <c r="S1418" s="81">
        <f>HLOOKUP(L1418,データについて!$J$6:$M$18,13,FALSE)</f>
        <v>2</v>
      </c>
      <c r="T1418" s="81">
        <f>HLOOKUP(M1418,データについて!$J$7:$M$18,12,FALSE)</f>
        <v>2</v>
      </c>
      <c r="U1418" s="81">
        <f>HLOOKUP(N1418,データについて!$J$8:$M$18,11,FALSE)</f>
        <v>2</v>
      </c>
      <c r="V1418" s="81">
        <f>HLOOKUP(O1418,データについて!$J$9:$M$18,10,FALSE)</f>
        <v>2</v>
      </c>
      <c r="W1418" s="81">
        <f>HLOOKUP(P1418,データについて!$J$10:$M$18,9,FALSE)</f>
        <v>1</v>
      </c>
      <c r="X1418" s="81">
        <f>HLOOKUP(Q1418,データについて!$J$11:$M$18,8,FALSE)</f>
        <v>2</v>
      </c>
      <c r="Y1418" s="81">
        <f>HLOOKUP(R1418,データについて!$J$12:$M$18,7,FALSE)</f>
        <v>3</v>
      </c>
      <c r="Z1418" s="81">
        <f>HLOOKUP(I1418,データについて!$J$3:$M$18,16,FALSE)</f>
        <v>2</v>
      </c>
      <c r="AA1418" s="81" t="str">
        <f>IFERROR(HLOOKUP(J1418,データについて!$J$4:$AH$19,16,FALSE),"")</f>
        <v/>
      </c>
      <c r="AB1418" s="81">
        <f>IFERROR(HLOOKUP(K1418,データについて!$J$5:$AH$20,14,FALSE),"")</f>
        <v>0</v>
      </c>
      <c r="AC1418" s="81" t="str">
        <f>IF(X1418=1,HLOOKUP(R1418,データについて!$J$12:$M$18,7,FALSE),"*")</f>
        <v>*</v>
      </c>
      <c r="AD1418" s="81">
        <f>IF(X1418=2,HLOOKUP(R1418,データについて!$J$12:$M$18,7,FALSE),"*")</f>
        <v>3</v>
      </c>
    </row>
    <row r="1419" spans="1:30">
      <c r="A1419" s="30">
        <v>3773</v>
      </c>
      <c r="B1419" s="30" t="s">
        <v>980</v>
      </c>
      <c r="C1419" s="30" t="s">
        <v>981</v>
      </c>
      <c r="D1419" s="30" t="s">
        <v>106</v>
      </c>
      <c r="E1419" s="30"/>
      <c r="F1419" s="30" t="s">
        <v>107</v>
      </c>
      <c r="G1419" s="30" t="s">
        <v>106</v>
      </c>
      <c r="H1419" s="30"/>
      <c r="I1419" s="30" t="s">
        <v>191</v>
      </c>
      <c r="J1419" s="30"/>
      <c r="K1419" s="30" t="s">
        <v>949</v>
      </c>
      <c r="L1419" s="30" t="s">
        <v>117</v>
      </c>
      <c r="M1419" s="30" t="s">
        <v>113</v>
      </c>
      <c r="N1419" s="30" t="s">
        <v>122</v>
      </c>
      <c r="O1419" s="30" t="s">
        <v>115</v>
      </c>
      <c r="P1419" s="30" t="s">
        <v>118</v>
      </c>
      <c r="Q1419" s="30" t="s">
        <v>112</v>
      </c>
      <c r="R1419" s="30" t="s">
        <v>185</v>
      </c>
      <c r="S1419" s="81">
        <f>HLOOKUP(L1419,データについて!$J$6:$M$18,13,FALSE)</f>
        <v>2</v>
      </c>
      <c r="T1419" s="81">
        <f>HLOOKUP(M1419,データについて!$J$7:$M$18,12,FALSE)</f>
        <v>1</v>
      </c>
      <c r="U1419" s="81">
        <f>HLOOKUP(N1419,データについて!$J$8:$M$18,11,FALSE)</f>
        <v>3</v>
      </c>
      <c r="V1419" s="81">
        <f>HLOOKUP(O1419,データについて!$J$9:$M$18,10,FALSE)</f>
        <v>1</v>
      </c>
      <c r="W1419" s="81">
        <f>HLOOKUP(P1419,データについて!$J$10:$M$18,9,FALSE)</f>
        <v>2</v>
      </c>
      <c r="X1419" s="81">
        <f>HLOOKUP(Q1419,データについて!$J$11:$M$18,8,FALSE)</f>
        <v>1</v>
      </c>
      <c r="Y1419" s="81">
        <f>HLOOKUP(R1419,データについて!$J$12:$M$18,7,FALSE)</f>
        <v>2</v>
      </c>
      <c r="Z1419" s="81">
        <f>HLOOKUP(I1419,データについて!$J$3:$M$18,16,FALSE)</f>
        <v>2</v>
      </c>
      <c r="AA1419" s="81" t="str">
        <f>IFERROR(HLOOKUP(J1419,データについて!$J$4:$AH$19,16,FALSE),"")</f>
        <v/>
      </c>
      <c r="AB1419" s="81">
        <f>IFERROR(HLOOKUP(K1419,データについて!$J$5:$AH$20,14,FALSE),"")</f>
        <v>0</v>
      </c>
      <c r="AC1419" s="81">
        <f>IF(X1419=1,HLOOKUP(R1419,データについて!$J$12:$M$18,7,FALSE),"*")</f>
        <v>2</v>
      </c>
      <c r="AD1419" s="81" t="str">
        <f>IF(X1419=2,HLOOKUP(R1419,データについて!$J$12:$M$18,7,FALSE),"*")</f>
        <v>*</v>
      </c>
    </row>
    <row r="1420" spans="1:30">
      <c r="A1420" s="30">
        <v>3772</v>
      </c>
      <c r="B1420" s="30" t="s">
        <v>982</v>
      </c>
      <c r="C1420" s="30" t="s">
        <v>983</v>
      </c>
      <c r="D1420" s="30" t="s">
        <v>106</v>
      </c>
      <c r="E1420" s="30"/>
      <c r="F1420" s="30" t="s">
        <v>107</v>
      </c>
      <c r="G1420" s="30" t="s">
        <v>106</v>
      </c>
      <c r="H1420" s="30"/>
      <c r="I1420" s="30" t="s">
        <v>191</v>
      </c>
      <c r="J1420" s="30"/>
      <c r="K1420" s="30" t="s">
        <v>949</v>
      </c>
      <c r="L1420" s="30" t="s">
        <v>117</v>
      </c>
      <c r="M1420" s="30" t="s">
        <v>109</v>
      </c>
      <c r="N1420" s="30" t="s">
        <v>110</v>
      </c>
      <c r="O1420" s="30" t="s">
        <v>115</v>
      </c>
      <c r="P1420" s="30" t="s">
        <v>118</v>
      </c>
      <c r="Q1420" s="30" t="s">
        <v>112</v>
      </c>
      <c r="R1420" s="30" t="s">
        <v>183</v>
      </c>
      <c r="S1420" s="81">
        <f>HLOOKUP(L1420,データについて!$J$6:$M$18,13,FALSE)</f>
        <v>2</v>
      </c>
      <c r="T1420" s="81">
        <f>HLOOKUP(M1420,データについて!$J$7:$M$18,12,FALSE)</f>
        <v>2</v>
      </c>
      <c r="U1420" s="81">
        <f>HLOOKUP(N1420,データについて!$J$8:$M$18,11,FALSE)</f>
        <v>2</v>
      </c>
      <c r="V1420" s="81">
        <f>HLOOKUP(O1420,データについて!$J$9:$M$18,10,FALSE)</f>
        <v>1</v>
      </c>
      <c r="W1420" s="81">
        <f>HLOOKUP(P1420,データについて!$J$10:$M$18,9,FALSE)</f>
        <v>2</v>
      </c>
      <c r="X1420" s="81">
        <f>HLOOKUP(Q1420,データについて!$J$11:$M$18,8,FALSE)</f>
        <v>1</v>
      </c>
      <c r="Y1420" s="81">
        <f>HLOOKUP(R1420,データについて!$J$12:$M$18,7,FALSE)</f>
        <v>1</v>
      </c>
      <c r="Z1420" s="81">
        <f>HLOOKUP(I1420,データについて!$J$3:$M$18,16,FALSE)</f>
        <v>2</v>
      </c>
      <c r="AA1420" s="81" t="str">
        <f>IFERROR(HLOOKUP(J1420,データについて!$J$4:$AH$19,16,FALSE),"")</f>
        <v/>
      </c>
      <c r="AB1420" s="81">
        <f>IFERROR(HLOOKUP(K1420,データについて!$J$5:$AH$20,14,FALSE),"")</f>
        <v>0</v>
      </c>
      <c r="AC1420" s="81">
        <f>IF(X1420=1,HLOOKUP(R1420,データについて!$J$12:$M$18,7,FALSE),"*")</f>
        <v>1</v>
      </c>
      <c r="AD1420" s="81" t="str">
        <f>IF(X1420=2,HLOOKUP(R1420,データについて!$J$12:$M$18,7,FALSE),"*")</f>
        <v>*</v>
      </c>
    </row>
    <row r="1421" spans="1:30">
      <c r="A1421" s="30">
        <v>3771</v>
      </c>
      <c r="B1421" s="30" t="s">
        <v>984</v>
      </c>
      <c r="C1421" s="30" t="s">
        <v>985</v>
      </c>
      <c r="D1421" s="30" t="s">
        <v>106</v>
      </c>
      <c r="E1421" s="30"/>
      <c r="F1421" s="30" t="s">
        <v>107</v>
      </c>
      <c r="G1421" s="30" t="s">
        <v>106</v>
      </c>
      <c r="H1421" s="30"/>
      <c r="I1421" s="30" t="s">
        <v>191</v>
      </c>
      <c r="J1421" s="30"/>
      <c r="K1421" s="30" t="s">
        <v>949</v>
      </c>
      <c r="L1421" s="30" t="s">
        <v>117</v>
      </c>
      <c r="M1421" s="30" t="s">
        <v>124</v>
      </c>
      <c r="N1421" s="30" t="s">
        <v>119</v>
      </c>
      <c r="O1421" s="30" t="s">
        <v>115</v>
      </c>
      <c r="P1421" s="30" t="s">
        <v>112</v>
      </c>
      <c r="Q1421" s="30" t="s">
        <v>112</v>
      </c>
      <c r="R1421" s="30" t="s">
        <v>187</v>
      </c>
      <c r="S1421" s="81">
        <f>HLOOKUP(L1421,データについて!$J$6:$M$18,13,FALSE)</f>
        <v>2</v>
      </c>
      <c r="T1421" s="81">
        <f>HLOOKUP(M1421,データについて!$J$7:$M$18,12,FALSE)</f>
        <v>3</v>
      </c>
      <c r="U1421" s="81">
        <f>HLOOKUP(N1421,データについて!$J$8:$M$18,11,FALSE)</f>
        <v>4</v>
      </c>
      <c r="V1421" s="81">
        <f>HLOOKUP(O1421,データについて!$J$9:$M$18,10,FALSE)</f>
        <v>1</v>
      </c>
      <c r="W1421" s="81">
        <f>HLOOKUP(P1421,データについて!$J$10:$M$18,9,FALSE)</f>
        <v>1</v>
      </c>
      <c r="X1421" s="81">
        <f>HLOOKUP(Q1421,データについて!$J$11:$M$18,8,FALSE)</f>
        <v>1</v>
      </c>
      <c r="Y1421" s="81">
        <f>HLOOKUP(R1421,データについて!$J$12:$M$18,7,FALSE)</f>
        <v>3</v>
      </c>
      <c r="Z1421" s="81">
        <f>HLOOKUP(I1421,データについて!$J$3:$M$18,16,FALSE)</f>
        <v>2</v>
      </c>
      <c r="AA1421" s="81" t="str">
        <f>IFERROR(HLOOKUP(J1421,データについて!$J$4:$AH$19,16,FALSE),"")</f>
        <v/>
      </c>
      <c r="AB1421" s="81">
        <f>IFERROR(HLOOKUP(K1421,データについて!$J$5:$AH$20,14,FALSE),"")</f>
        <v>0</v>
      </c>
      <c r="AC1421" s="81">
        <f>IF(X1421=1,HLOOKUP(R1421,データについて!$J$12:$M$18,7,FALSE),"*")</f>
        <v>3</v>
      </c>
      <c r="AD1421" s="81" t="str">
        <f>IF(X1421=2,HLOOKUP(R1421,データについて!$J$12:$M$18,7,FALSE),"*")</f>
        <v>*</v>
      </c>
    </row>
    <row r="1422" spans="1:30">
      <c r="A1422" s="30">
        <v>3770</v>
      </c>
      <c r="B1422" s="30" t="s">
        <v>986</v>
      </c>
      <c r="C1422" s="30" t="s">
        <v>987</v>
      </c>
      <c r="D1422" s="30" t="s">
        <v>106</v>
      </c>
      <c r="E1422" s="30"/>
      <c r="F1422" s="30" t="s">
        <v>107</v>
      </c>
      <c r="G1422" s="30" t="s">
        <v>106</v>
      </c>
      <c r="H1422" s="30"/>
      <c r="I1422" s="30" t="s">
        <v>191</v>
      </c>
      <c r="J1422" s="30"/>
      <c r="K1422" s="30" t="s">
        <v>949</v>
      </c>
      <c r="L1422" s="30" t="s">
        <v>117</v>
      </c>
      <c r="M1422" s="30" t="s">
        <v>113</v>
      </c>
      <c r="N1422" s="30" t="s">
        <v>119</v>
      </c>
      <c r="O1422" s="30" t="s">
        <v>115</v>
      </c>
      <c r="P1422" s="30" t="s">
        <v>118</v>
      </c>
      <c r="Q1422" s="30" t="s">
        <v>112</v>
      </c>
      <c r="R1422" s="30" t="s">
        <v>185</v>
      </c>
      <c r="S1422" s="81">
        <f>HLOOKUP(L1422,データについて!$J$6:$M$18,13,FALSE)</f>
        <v>2</v>
      </c>
      <c r="T1422" s="81">
        <f>HLOOKUP(M1422,データについて!$J$7:$M$18,12,FALSE)</f>
        <v>1</v>
      </c>
      <c r="U1422" s="81">
        <f>HLOOKUP(N1422,データについて!$J$8:$M$18,11,FALSE)</f>
        <v>4</v>
      </c>
      <c r="V1422" s="81">
        <f>HLOOKUP(O1422,データについて!$J$9:$M$18,10,FALSE)</f>
        <v>1</v>
      </c>
      <c r="W1422" s="81">
        <f>HLOOKUP(P1422,データについて!$J$10:$M$18,9,FALSE)</f>
        <v>2</v>
      </c>
      <c r="X1422" s="81">
        <f>HLOOKUP(Q1422,データについて!$J$11:$M$18,8,FALSE)</f>
        <v>1</v>
      </c>
      <c r="Y1422" s="81">
        <f>HLOOKUP(R1422,データについて!$J$12:$M$18,7,FALSE)</f>
        <v>2</v>
      </c>
      <c r="Z1422" s="81">
        <f>HLOOKUP(I1422,データについて!$J$3:$M$18,16,FALSE)</f>
        <v>2</v>
      </c>
      <c r="AA1422" s="81" t="str">
        <f>IFERROR(HLOOKUP(J1422,データについて!$J$4:$AH$19,16,FALSE),"")</f>
        <v/>
      </c>
      <c r="AB1422" s="81">
        <f>IFERROR(HLOOKUP(K1422,データについて!$J$5:$AH$20,14,FALSE),"")</f>
        <v>0</v>
      </c>
      <c r="AC1422" s="81">
        <f>IF(X1422=1,HLOOKUP(R1422,データについて!$J$12:$M$18,7,FALSE),"*")</f>
        <v>2</v>
      </c>
      <c r="AD1422" s="81" t="str">
        <f>IF(X1422=2,HLOOKUP(R1422,データについて!$J$12:$M$18,7,FALSE),"*")</f>
        <v>*</v>
      </c>
    </row>
    <row r="1423" spans="1:30">
      <c r="A1423" s="30">
        <v>3769</v>
      </c>
      <c r="B1423" s="30" t="s">
        <v>988</v>
      </c>
      <c r="C1423" s="30" t="s">
        <v>989</v>
      </c>
      <c r="D1423" s="30" t="s">
        <v>106</v>
      </c>
      <c r="E1423" s="30"/>
      <c r="F1423" s="30" t="s">
        <v>107</v>
      </c>
      <c r="G1423" s="30" t="s">
        <v>106</v>
      </c>
      <c r="H1423" s="30"/>
      <c r="I1423" s="30" t="s">
        <v>191</v>
      </c>
      <c r="J1423" s="30"/>
      <c r="K1423" s="30" t="s">
        <v>949</v>
      </c>
      <c r="L1423" s="30" t="s">
        <v>117</v>
      </c>
      <c r="M1423" s="30" t="s">
        <v>109</v>
      </c>
      <c r="N1423" s="30" t="s">
        <v>110</v>
      </c>
      <c r="O1423" s="30" t="s">
        <v>115</v>
      </c>
      <c r="P1423" s="30" t="s">
        <v>112</v>
      </c>
      <c r="Q1423" s="30" t="s">
        <v>112</v>
      </c>
      <c r="R1423" s="30" t="s">
        <v>187</v>
      </c>
      <c r="S1423" s="81">
        <f>HLOOKUP(L1423,データについて!$J$6:$M$18,13,FALSE)</f>
        <v>2</v>
      </c>
      <c r="T1423" s="81">
        <f>HLOOKUP(M1423,データについて!$J$7:$M$18,12,FALSE)</f>
        <v>2</v>
      </c>
      <c r="U1423" s="81">
        <f>HLOOKUP(N1423,データについて!$J$8:$M$18,11,FALSE)</f>
        <v>2</v>
      </c>
      <c r="V1423" s="81">
        <f>HLOOKUP(O1423,データについて!$J$9:$M$18,10,FALSE)</f>
        <v>1</v>
      </c>
      <c r="W1423" s="81">
        <f>HLOOKUP(P1423,データについて!$J$10:$M$18,9,FALSE)</f>
        <v>1</v>
      </c>
      <c r="X1423" s="81">
        <f>HLOOKUP(Q1423,データについて!$J$11:$M$18,8,FALSE)</f>
        <v>1</v>
      </c>
      <c r="Y1423" s="81">
        <f>HLOOKUP(R1423,データについて!$J$12:$M$18,7,FALSE)</f>
        <v>3</v>
      </c>
      <c r="Z1423" s="81">
        <f>HLOOKUP(I1423,データについて!$J$3:$M$18,16,FALSE)</f>
        <v>2</v>
      </c>
      <c r="AA1423" s="81" t="str">
        <f>IFERROR(HLOOKUP(J1423,データについて!$J$4:$AH$19,16,FALSE),"")</f>
        <v/>
      </c>
      <c r="AB1423" s="81">
        <f>IFERROR(HLOOKUP(K1423,データについて!$J$5:$AH$20,14,FALSE),"")</f>
        <v>0</v>
      </c>
      <c r="AC1423" s="81">
        <f>IF(X1423=1,HLOOKUP(R1423,データについて!$J$12:$M$18,7,FALSE),"*")</f>
        <v>3</v>
      </c>
      <c r="AD1423" s="81" t="str">
        <f>IF(X1423=2,HLOOKUP(R1423,データについて!$J$12:$M$18,7,FALSE),"*")</f>
        <v>*</v>
      </c>
    </row>
    <row r="1424" spans="1:30">
      <c r="A1424" s="30">
        <v>3768</v>
      </c>
      <c r="B1424" s="30" t="s">
        <v>990</v>
      </c>
      <c r="C1424" s="30" t="s">
        <v>991</v>
      </c>
      <c r="D1424" s="30" t="s">
        <v>106</v>
      </c>
      <c r="E1424" s="30"/>
      <c r="F1424" s="30" t="s">
        <v>107</v>
      </c>
      <c r="G1424" s="30" t="s">
        <v>106</v>
      </c>
      <c r="H1424" s="30"/>
      <c r="I1424" s="30" t="s">
        <v>191</v>
      </c>
      <c r="J1424" s="30"/>
      <c r="K1424" s="30" t="s">
        <v>949</v>
      </c>
      <c r="L1424" s="30" t="s">
        <v>117</v>
      </c>
      <c r="M1424" s="30" t="s">
        <v>121</v>
      </c>
      <c r="N1424" s="30" t="s">
        <v>119</v>
      </c>
      <c r="O1424" s="30" t="s">
        <v>123</v>
      </c>
      <c r="P1424" s="30" t="s">
        <v>112</v>
      </c>
      <c r="Q1424" s="30" t="s">
        <v>118</v>
      </c>
      <c r="R1424" s="30" t="s">
        <v>189</v>
      </c>
      <c r="S1424" s="81">
        <f>HLOOKUP(L1424,データについて!$J$6:$M$18,13,FALSE)</f>
        <v>2</v>
      </c>
      <c r="T1424" s="81">
        <f>HLOOKUP(M1424,データについて!$J$7:$M$18,12,FALSE)</f>
        <v>4</v>
      </c>
      <c r="U1424" s="81">
        <f>HLOOKUP(N1424,データについて!$J$8:$M$18,11,FALSE)</f>
        <v>4</v>
      </c>
      <c r="V1424" s="81">
        <f>HLOOKUP(O1424,データについて!$J$9:$M$18,10,FALSE)</f>
        <v>4</v>
      </c>
      <c r="W1424" s="81">
        <f>HLOOKUP(P1424,データについて!$J$10:$M$18,9,FALSE)</f>
        <v>1</v>
      </c>
      <c r="X1424" s="81">
        <f>HLOOKUP(Q1424,データについて!$J$11:$M$18,8,FALSE)</f>
        <v>2</v>
      </c>
      <c r="Y1424" s="81">
        <f>HLOOKUP(R1424,データについて!$J$12:$M$18,7,FALSE)</f>
        <v>4</v>
      </c>
      <c r="Z1424" s="81">
        <f>HLOOKUP(I1424,データについて!$J$3:$M$18,16,FALSE)</f>
        <v>2</v>
      </c>
      <c r="AA1424" s="81" t="str">
        <f>IFERROR(HLOOKUP(J1424,データについて!$J$4:$AH$19,16,FALSE),"")</f>
        <v/>
      </c>
      <c r="AB1424" s="81">
        <f>IFERROR(HLOOKUP(K1424,データについて!$J$5:$AH$20,14,FALSE),"")</f>
        <v>0</v>
      </c>
      <c r="AC1424" s="81" t="str">
        <f>IF(X1424=1,HLOOKUP(R1424,データについて!$J$12:$M$18,7,FALSE),"*")</f>
        <v>*</v>
      </c>
      <c r="AD1424" s="81">
        <f>IF(X1424=2,HLOOKUP(R1424,データについて!$J$12:$M$18,7,FALSE),"*")</f>
        <v>4</v>
      </c>
    </row>
    <row r="1425" spans="1:30">
      <c r="A1425" s="30">
        <v>3767</v>
      </c>
      <c r="B1425" s="30" t="s">
        <v>992</v>
      </c>
      <c r="C1425" s="30" t="s">
        <v>993</v>
      </c>
      <c r="D1425" s="30" t="s">
        <v>106</v>
      </c>
      <c r="E1425" s="30"/>
      <c r="F1425" s="30" t="s">
        <v>107</v>
      </c>
      <c r="G1425" s="30" t="s">
        <v>106</v>
      </c>
      <c r="H1425" s="30"/>
      <c r="I1425" s="30" t="s">
        <v>191</v>
      </c>
      <c r="J1425" s="30"/>
      <c r="K1425" s="30" t="s">
        <v>949</v>
      </c>
      <c r="L1425" s="30" t="s">
        <v>108</v>
      </c>
      <c r="M1425" s="30" t="s">
        <v>113</v>
      </c>
      <c r="N1425" s="30" t="s">
        <v>110</v>
      </c>
      <c r="O1425" s="30" t="s">
        <v>111</v>
      </c>
      <c r="P1425" s="30" t="s">
        <v>118</v>
      </c>
      <c r="Q1425" s="30" t="s">
        <v>112</v>
      </c>
      <c r="R1425" s="30" t="s">
        <v>187</v>
      </c>
      <c r="S1425" s="81">
        <f>HLOOKUP(L1425,データについて!$J$6:$M$18,13,FALSE)</f>
        <v>1</v>
      </c>
      <c r="T1425" s="81">
        <f>HLOOKUP(M1425,データについて!$J$7:$M$18,12,FALSE)</f>
        <v>1</v>
      </c>
      <c r="U1425" s="81">
        <f>HLOOKUP(N1425,データについて!$J$8:$M$18,11,FALSE)</f>
        <v>2</v>
      </c>
      <c r="V1425" s="81">
        <f>HLOOKUP(O1425,データについて!$J$9:$M$18,10,FALSE)</f>
        <v>3</v>
      </c>
      <c r="W1425" s="81">
        <f>HLOOKUP(P1425,データについて!$J$10:$M$18,9,FALSE)</f>
        <v>2</v>
      </c>
      <c r="X1425" s="81">
        <f>HLOOKUP(Q1425,データについて!$J$11:$M$18,8,FALSE)</f>
        <v>1</v>
      </c>
      <c r="Y1425" s="81">
        <f>HLOOKUP(R1425,データについて!$J$12:$M$18,7,FALSE)</f>
        <v>3</v>
      </c>
      <c r="Z1425" s="81">
        <f>HLOOKUP(I1425,データについて!$J$3:$M$18,16,FALSE)</f>
        <v>2</v>
      </c>
      <c r="AA1425" s="81" t="str">
        <f>IFERROR(HLOOKUP(J1425,データについて!$J$4:$AH$19,16,FALSE),"")</f>
        <v/>
      </c>
      <c r="AB1425" s="81">
        <f>IFERROR(HLOOKUP(K1425,データについて!$J$5:$AH$20,14,FALSE),"")</f>
        <v>0</v>
      </c>
      <c r="AC1425" s="81">
        <f>IF(X1425=1,HLOOKUP(R1425,データについて!$J$12:$M$18,7,FALSE),"*")</f>
        <v>3</v>
      </c>
      <c r="AD1425" s="81" t="str">
        <f>IF(X1425=2,HLOOKUP(R1425,データについて!$J$12:$M$18,7,FALSE),"*")</f>
        <v>*</v>
      </c>
    </row>
    <row r="1426" spans="1:30">
      <c r="A1426" s="30">
        <v>3766</v>
      </c>
      <c r="B1426" s="30" t="s">
        <v>994</v>
      </c>
      <c r="C1426" s="30" t="s">
        <v>995</v>
      </c>
      <c r="D1426" s="30" t="s">
        <v>106</v>
      </c>
      <c r="E1426" s="30"/>
      <c r="F1426" s="30" t="s">
        <v>107</v>
      </c>
      <c r="G1426" s="30" t="s">
        <v>106</v>
      </c>
      <c r="H1426" s="30"/>
      <c r="I1426" s="30" t="s">
        <v>191</v>
      </c>
      <c r="J1426" s="30"/>
      <c r="K1426" s="30" t="s">
        <v>949</v>
      </c>
      <c r="L1426" s="30" t="s">
        <v>108</v>
      </c>
      <c r="M1426" s="30" t="s">
        <v>121</v>
      </c>
      <c r="N1426" s="30" t="s">
        <v>119</v>
      </c>
      <c r="O1426" s="30" t="s">
        <v>115</v>
      </c>
      <c r="P1426" s="30" t="s">
        <v>118</v>
      </c>
      <c r="Q1426" s="30" t="s">
        <v>118</v>
      </c>
      <c r="R1426" s="30" t="s">
        <v>187</v>
      </c>
      <c r="S1426" s="81">
        <f>HLOOKUP(L1426,データについて!$J$6:$M$18,13,FALSE)</f>
        <v>1</v>
      </c>
      <c r="T1426" s="81">
        <f>HLOOKUP(M1426,データについて!$J$7:$M$18,12,FALSE)</f>
        <v>4</v>
      </c>
      <c r="U1426" s="81">
        <f>HLOOKUP(N1426,データについて!$J$8:$M$18,11,FALSE)</f>
        <v>4</v>
      </c>
      <c r="V1426" s="81">
        <f>HLOOKUP(O1426,データについて!$J$9:$M$18,10,FALSE)</f>
        <v>1</v>
      </c>
      <c r="W1426" s="81">
        <f>HLOOKUP(P1426,データについて!$J$10:$M$18,9,FALSE)</f>
        <v>2</v>
      </c>
      <c r="X1426" s="81">
        <f>HLOOKUP(Q1426,データについて!$J$11:$M$18,8,FALSE)</f>
        <v>2</v>
      </c>
      <c r="Y1426" s="81">
        <f>HLOOKUP(R1426,データについて!$J$12:$M$18,7,FALSE)</f>
        <v>3</v>
      </c>
      <c r="Z1426" s="81">
        <f>HLOOKUP(I1426,データについて!$J$3:$M$18,16,FALSE)</f>
        <v>2</v>
      </c>
      <c r="AA1426" s="81" t="str">
        <f>IFERROR(HLOOKUP(J1426,データについて!$J$4:$AH$19,16,FALSE),"")</f>
        <v/>
      </c>
      <c r="AB1426" s="81">
        <f>IFERROR(HLOOKUP(K1426,データについて!$J$5:$AH$20,14,FALSE),"")</f>
        <v>0</v>
      </c>
      <c r="AC1426" s="81" t="str">
        <f>IF(X1426=1,HLOOKUP(R1426,データについて!$J$12:$M$18,7,FALSE),"*")</f>
        <v>*</v>
      </c>
      <c r="AD1426" s="81">
        <f>IF(X1426=2,HLOOKUP(R1426,データについて!$J$12:$M$18,7,FALSE),"*")</f>
        <v>3</v>
      </c>
    </row>
    <row r="1427" spans="1:30">
      <c r="A1427" s="30">
        <v>3765</v>
      </c>
      <c r="B1427" s="30" t="s">
        <v>996</v>
      </c>
      <c r="C1427" s="30" t="s">
        <v>995</v>
      </c>
      <c r="D1427" s="30" t="s">
        <v>106</v>
      </c>
      <c r="E1427" s="30"/>
      <c r="F1427" s="30" t="s">
        <v>107</v>
      </c>
      <c r="G1427" s="30" t="s">
        <v>106</v>
      </c>
      <c r="H1427" s="30"/>
      <c r="I1427" s="30" t="s">
        <v>191</v>
      </c>
      <c r="J1427" s="30"/>
      <c r="K1427" s="30" t="s">
        <v>949</v>
      </c>
      <c r="L1427" s="30" t="s">
        <v>117</v>
      </c>
      <c r="M1427" s="30" t="s">
        <v>113</v>
      </c>
      <c r="N1427" s="30" t="s">
        <v>119</v>
      </c>
      <c r="O1427" s="30" t="s">
        <v>115</v>
      </c>
      <c r="P1427" s="30" t="s">
        <v>118</v>
      </c>
      <c r="Q1427" s="30" t="s">
        <v>112</v>
      </c>
      <c r="R1427" s="30" t="s">
        <v>183</v>
      </c>
      <c r="S1427" s="81">
        <f>HLOOKUP(L1427,データについて!$J$6:$M$18,13,FALSE)</f>
        <v>2</v>
      </c>
      <c r="T1427" s="81">
        <f>HLOOKUP(M1427,データについて!$J$7:$M$18,12,FALSE)</f>
        <v>1</v>
      </c>
      <c r="U1427" s="81">
        <f>HLOOKUP(N1427,データについて!$J$8:$M$18,11,FALSE)</f>
        <v>4</v>
      </c>
      <c r="V1427" s="81">
        <f>HLOOKUP(O1427,データについて!$J$9:$M$18,10,FALSE)</f>
        <v>1</v>
      </c>
      <c r="W1427" s="81">
        <f>HLOOKUP(P1427,データについて!$J$10:$M$18,9,FALSE)</f>
        <v>2</v>
      </c>
      <c r="X1427" s="81">
        <f>HLOOKUP(Q1427,データについて!$J$11:$M$18,8,FALSE)</f>
        <v>1</v>
      </c>
      <c r="Y1427" s="81">
        <f>HLOOKUP(R1427,データについて!$J$12:$M$18,7,FALSE)</f>
        <v>1</v>
      </c>
      <c r="Z1427" s="81">
        <f>HLOOKUP(I1427,データについて!$J$3:$M$18,16,FALSE)</f>
        <v>2</v>
      </c>
      <c r="AA1427" s="81" t="str">
        <f>IFERROR(HLOOKUP(J1427,データについて!$J$4:$AH$19,16,FALSE),"")</f>
        <v/>
      </c>
      <c r="AB1427" s="81">
        <f>IFERROR(HLOOKUP(K1427,データについて!$J$5:$AH$20,14,FALSE),"")</f>
        <v>0</v>
      </c>
      <c r="AC1427" s="81">
        <f>IF(X1427=1,HLOOKUP(R1427,データについて!$J$12:$M$18,7,FALSE),"*")</f>
        <v>1</v>
      </c>
      <c r="AD1427" s="81" t="str">
        <f>IF(X1427=2,HLOOKUP(R1427,データについて!$J$12:$M$18,7,FALSE),"*")</f>
        <v>*</v>
      </c>
    </row>
    <row r="1428" spans="1:30">
      <c r="A1428" s="30">
        <v>3764</v>
      </c>
      <c r="B1428" s="30" t="s">
        <v>997</v>
      </c>
      <c r="C1428" s="30" t="s">
        <v>998</v>
      </c>
      <c r="D1428" s="30" t="s">
        <v>106</v>
      </c>
      <c r="E1428" s="30"/>
      <c r="F1428" s="30" t="s">
        <v>107</v>
      </c>
      <c r="G1428" s="30" t="s">
        <v>106</v>
      </c>
      <c r="H1428" s="30"/>
      <c r="I1428" s="30" t="s">
        <v>191</v>
      </c>
      <c r="J1428" s="30"/>
      <c r="K1428" s="30" t="s">
        <v>949</v>
      </c>
      <c r="L1428" s="30" t="s">
        <v>108</v>
      </c>
      <c r="M1428" s="30" t="s">
        <v>113</v>
      </c>
      <c r="N1428" s="30" t="s">
        <v>122</v>
      </c>
      <c r="O1428" s="30" t="s">
        <v>116</v>
      </c>
      <c r="P1428" s="30" t="s">
        <v>112</v>
      </c>
      <c r="Q1428" s="30" t="s">
        <v>112</v>
      </c>
      <c r="R1428" s="30" t="s">
        <v>185</v>
      </c>
      <c r="S1428" s="81">
        <f>HLOOKUP(L1428,データについて!$J$6:$M$18,13,FALSE)</f>
        <v>1</v>
      </c>
      <c r="T1428" s="81">
        <f>HLOOKUP(M1428,データについて!$J$7:$M$18,12,FALSE)</f>
        <v>1</v>
      </c>
      <c r="U1428" s="81">
        <f>HLOOKUP(N1428,データについて!$J$8:$M$18,11,FALSE)</f>
        <v>3</v>
      </c>
      <c r="V1428" s="81">
        <f>HLOOKUP(O1428,データについて!$J$9:$M$18,10,FALSE)</f>
        <v>2</v>
      </c>
      <c r="W1428" s="81">
        <f>HLOOKUP(P1428,データについて!$J$10:$M$18,9,FALSE)</f>
        <v>1</v>
      </c>
      <c r="X1428" s="81">
        <f>HLOOKUP(Q1428,データについて!$J$11:$M$18,8,FALSE)</f>
        <v>1</v>
      </c>
      <c r="Y1428" s="81">
        <f>HLOOKUP(R1428,データについて!$J$12:$M$18,7,FALSE)</f>
        <v>2</v>
      </c>
      <c r="Z1428" s="81">
        <f>HLOOKUP(I1428,データについて!$J$3:$M$18,16,FALSE)</f>
        <v>2</v>
      </c>
      <c r="AA1428" s="81" t="str">
        <f>IFERROR(HLOOKUP(J1428,データについて!$J$4:$AH$19,16,FALSE),"")</f>
        <v/>
      </c>
      <c r="AB1428" s="81">
        <f>IFERROR(HLOOKUP(K1428,データについて!$J$5:$AH$20,14,FALSE),"")</f>
        <v>0</v>
      </c>
      <c r="AC1428" s="81">
        <f>IF(X1428=1,HLOOKUP(R1428,データについて!$J$12:$M$18,7,FALSE),"*")</f>
        <v>2</v>
      </c>
      <c r="AD1428" s="81" t="str">
        <f>IF(X1428=2,HLOOKUP(R1428,データについて!$J$12:$M$18,7,FALSE),"*")</f>
        <v>*</v>
      </c>
    </row>
    <row r="1429" spans="1:30">
      <c r="A1429" s="30">
        <v>3763</v>
      </c>
      <c r="B1429" s="30" t="s">
        <v>999</v>
      </c>
      <c r="C1429" s="30" t="s">
        <v>1000</v>
      </c>
      <c r="D1429" s="30" t="s">
        <v>106</v>
      </c>
      <c r="E1429" s="30"/>
      <c r="F1429" s="30" t="s">
        <v>107</v>
      </c>
      <c r="G1429" s="30" t="s">
        <v>106</v>
      </c>
      <c r="H1429" s="30"/>
      <c r="I1429" s="30" t="s">
        <v>191</v>
      </c>
      <c r="J1429" s="30"/>
      <c r="K1429" s="30" t="s">
        <v>949</v>
      </c>
      <c r="L1429" s="30" t="s">
        <v>117</v>
      </c>
      <c r="M1429" s="30" t="s">
        <v>109</v>
      </c>
      <c r="N1429" s="30" t="s">
        <v>122</v>
      </c>
      <c r="O1429" s="30" t="s">
        <v>115</v>
      </c>
      <c r="P1429" s="30" t="s">
        <v>118</v>
      </c>
      <c r="Q1429" s="30" t="s">
        <v>112</v>
      </c>
      <c r="R1429" s="30" t="s">
        <v>185</v>
      </c>
      <c r="S1429" s="81">
        <f>HLOOKUP(L1429,データについて!$J$6:$M$18,13,FALSE)</f>
        <v>2</v>
      </c>
      <c r="T1429" s="81">
        <f>HLOOKUP(M1429,データについて!$J$7:$M$18,12,FALSE)</f>
        <v>2</v>
      </c>
      <c r="U1429" s="81">
        <f>HLOOKUP(N1429,データについて!$J$8:$M$18,11,FALSE)</f>
        <v>3</v>
      </c>
      <c r="V1429" s="81">
        <f>HLOOKUP(O1429,データについて!$J$9:$M$18,10,FALSE)</f>
        <v>1</v>
      </c>
      <c r="W1429" s="81">
        <f>HLOOKUP(P1429,データについて!$J$10:$M$18,9,FALSE)</f>
        <v>2</v>
      </c>
      <c r="X1429" s="81">
        <f>HLOOKUP(Q1429,データについて!$J$11:$M$18,8,FALSE)</f>
        <v>1</v>
      </c>
      <c r="Y1429" s="81">
        <f>HLOOKUP(R1429,データについて!$J$12:$M$18,7,FALSE)</f>
        <v>2</v>
      </c>
      <c r="Z1429" s="81">
        <f>HLOOKUP(I1429,データについて!$J$3:$M$18,16,FALSE)</f>
        <v>2</v>
      </c>
      <c r="AA1429" s="81" t="str">
        <f>IFERROR(HLOOKUP(J1429,データについて!$J$4:$AH$19,16,FALSE),"")</f>
        <v/>
      </c>
      <c r="AB1429" s="81">
        <f>IFERROR(HLOOKUP(K1429,データについて!$J$5:$AH$20,14,FALSE),"")</f>
        <v>0</v>
      </c>
      <c r="AC1429" s="81">
        <f>IF(X1429=1,HLOOKUP(R1429,データについて!$J$12:$M$18,7,FALSE),"*")</f>
        <v>2</v>
      </c>
      <c r="AD1429" s="81" t="str">
        <f>IF(X1429=2,HLOOKUP(R1429,データについて!$J$12:$M$18,7,FALSE),"*")</f>
        <v>*</v>
      </c>
    </row>
    <row r="1430" spans="1:30">
      <c r="A1430" s="30">
        <v>3762</v>
      </c>
      <c r="B1430" s="30" t="s">
        <v>1001</v>
      </c>
      <c r="C1430" s="30" t="s">
        <v>1002</v>
      </c>
      <c r="D1430" s="30" t="s">
        <v>106</v>
      </c>
      <c r="E1430" s="30"/>
      <c r="F1430" s="30" t="s">
        <v>107</v>
      </c>
      <c r="G1430" s="30" t="s">
        <v>106</v>
      </c>
      <c r="H1430" s="30"/>
      <c r="I1430" s="30" t="s">
        <v>191</v>
      </c>
      <c r="J1430" s="30"/>
      <c r="K1430" s="30" t="s">
        <v>949</v>
      </c>
      <c r="L1430" s="30" t="s">
        <v>108</v>
      </c>
      <c r="M1430" s="30" t="s">
        <v>109</v>
      </c>
      <c r="N1430" s="30" t="s">
        <v>110</v>
      </c>
      <c r="O1430" s="30" t="s">
        <v>116</v>
      </c>
      <c r="P1430" s="30" t="s">
        <v>112</v>
      </c>
      <c r="Q1430" s="30" t="s">
        <v>118</v>
      </c>
      <c r="R1430" s="30" t="s">
        <v>187</v>
      </c>
      <c r="S1430" s="81">
        <f>HLOOKUP(L1430,データについて!$J$6:$M$18,13,FALSE)</f>
        <v>1</v>
      </c>
      <c r="T1430" s="81">
        <f>HLOOKUP(M1430,データについて!$J$7:$M$18,12,FALSE)</f>
        <v>2</v>
      </c>
      <c r="U1430" s="81">
        <f>HLOOKUP(N1430,データについて!$J$8:$M$18,11,FALSE)</f>
        <v>2</v>
      </c>
      <c r="V1430" s="81">
        <f>HLOOKUP(O1430,データについて!$J$9:$M$18,10,FALSE)</f>
        <v>2</v>
      </c>
      <c r="W1430" s="81">
        <f>HLOOKUP(P1430,データについて!$J$10:$M$18,9,FALSE)</f>
        <v>1</v>
      </c>
      <c r="X1430" s="81">
        <f>HLOOKUP(Q1430,データについて!$J$11:$M$18,8,FALSE)</f>
        <v>2</v>
      </c>
      <c r="Y1430" s="81">
        <f>HLOOKUP(R1430,データについて!$J$12:$M$18,7,FALSE)</f>
        <v>3</v>
      </c>
      <c r="Z1430" s="81">
        <f>HLOOKUP(I1430,データについて!$J$3:$M$18,16,FALSE)</f>
        <v>2</v>
      </c>
      <c r="AA1430" s="81" t="str">
        <f>IFERROR(HLOOKUP(J1430,データについて!$J$4:$AH$19,16,FALSE),"")</f>
        <v/>
      </c>
      <c r="AB1430" s="81">
        <f>IFERROR(HLOOKUP(K1430,データについて!$J$5:$AH$20,14,FALSE),"")</f>
        <v>0</v>
      </c>
      <c r="AC1430" s="81" t="str">
        <f>IF(X1430=1,HLOOKUP(R1430,データについて!$J$12:$M$18,7,FALSE),"*")</f>
        <v>*</v>
      </c>
      <c r="AD1430" s="81">
        <f>IF(X1430=2,HLOOKUP(R1430,データについて!$J$12:$M$18,7,FALSE),"*")</f>
        <v>3</v>
      </c>
    </row>
    <row r="1431" spans="1:30">
      <c r="A1431" s="30">
        <v>3761</v>
      </c>
      <c r="B1431" s="30" t="s">
        <v>1003</v>
      </c>
      <c r="C1431" s="30" t="s">
        <v>1004</v>
      </c>
      <c r="D1431" s="30" t="s">
        <v>106</v>
      </c>
      <c r="E1431" s="30"/>
      <c r="F1431" s="30" t="s">
        <v>107</v>
      </c>
      <c r="G1431" s="30" t="s">
        <v>106</v>
      </c>
      <c r="H1431" s="30"/>
      <c r="I1431" s="30" t="s">
        <v>191</v>
      </c>
      <c r="J1431" s="30"/>
      <c r="K1431" s="30" t="s">
        <v>949</v>
      </c>
      <c r="L1431" s="30" t="s">
        <v>108</v>
      </c>
      <c r="M1431" s="30" t="s">
        <v>121</v>
      </c>
      <c r="N1431" s="30" t="s">
        <v>119</v>
      </c>
      <c r="O1431" s="30" t="s">
        <v>115</v>
      </c>
      <c r="P1431" s="30" t="s">
        <v>118</v>
      </c>
      <c r="Q1431" s="30" t="s">
        <v>112</v>
      </c>
      <c r="R1431" s="30" t="s">
        <v>183</v>
      </c>
      <c r="S1431" s="81">
        <f>HLOOKUP(L1431,データについて!$J$6:$M$18,13,FALSE)</f>
        <v>1</v>
      </c>
      <c r="T1431" s="81">
        <f>HLOOKUP(M1431,データについて!$J$7:$M$18,12,FALSE)</f>
        <v>4</v>
      </c>
      <c r="U1431" s="81">
        <f>HLOOKUP(N1431,データについて!$J$8:$M$18,11,FALSE)</f>
        <v>4</v>
      </c>
      <c r="V1431" s="81">
        <f>HLOOKUP(O1431,データについて!$J$9:$M$18,10,FALSE)</f>
        <v>1</v>
      </c>
      <c r="W1431" s="81">
        <f>HLOOKUP(P1431,データについて!$J$10:$M$18,9,FALSE)</f>
        <v>2</v>
      </c>
      <c r="X1431" s="81">
        <f>HLOOKUP(Q1431,データについて!$J$11:$M$18,8,FALSE)</f>
        <v>1</v>
      </c>
      <c r="Y1431" s="81">
        <f>HLOOKUP(R1431,データについて!$J$12:$M$18,7,FALSE)</f>
        <v>1</v>
      </c>
      <c r="Z1431" s="81">
        <f>HLOOKUP(I1431,データについて!$J$3:$M$18,16,FALSE)</f>
        <v>2</v>
      </c>
      <c r="AA1431" s="81" t="str">
        <f>IFERROR(HLOOKUP(J1431,データについて!$J$4:$AH$19,16,FALSE),"")</f>
        <v/>
      </c>
      <c r="AB1431" s="81">
        <f>IFERROR(HLOOKUP(K1431,データについて!$J$5:$AH$20,14,FALSE),"")</f>
        <v>0</v>
      </c>
      <c r="AC1431" s="81">
        <f>IF(X1431=1,HLOOKUP(R1431,データについて!$J$12:$M$18,7,FALSE),"*")</f>
        <v>1</v>
      </c>
      <c r="AD1431" s="81" t="str">
        <f>IF(X1431=2,HLOOKUP(R1431,データについて!$J$12:$M$18,7,FALSE),"*")</f>
        <v>*</v>
      </c>
    </row>
    <row r="1432" spans="1:30">
      <c r="A1432" s="30">
        <v>3760</v>
      </c>
      <c r="B1432" s="30" t="s">
        <v>1005</v>
      </c>
      <c r="C1432" s="30" t="s">
        <v>1006</v>
      </c>
      <c r="D1432" s="30" t="s">
        <v>106</v>
      </c>
      <c r="E1432" s="30"/>
      <c r="F1432" s="30" t="s">
        <v>107</v>
      </c>
      <c r="G1432" s="30" t="s">
        <v>106</v>
      </c>
      <c r="H1432" s="30"/>
      <c r="I1432" s="30" t="s">
        <v>191</v>
      </c>
      <c r="J1432" s="30"/>
      <c r="K1432" s="30" t="s">
        <v>949</v>
      </c>
      <c r="L1432" s="30" t="s">
        <v>117</v>
      </c>
      <c r="M1432" s="30" t="s">
        <v>113</v>
      </c>
      <c r="N1432" s="30" t="s">
        <v>114</v>
      </c>
      <c r="O1432" s="30" t="s">
        <v>116</v>
      </c>
      <c r="P1432" s="30" t="s">
        <v>112</v>
      </c>
      <c r="Q1432" s="30" t="s">
        <v>112</v>
      </c>
      <c r="R1432" s="30" t="s">
        <v>185</v>
      </c>
      <c r="S1432" s="81">
        <f>HLOOKUP(L1432,データについて!$J$6:$M$18,13,FALSE)</f>
        <v>2</v>
      </c>
      <c r="T1432" s="81">
        <f>HLOOKUP(M1432,データについて!$J$7:$M$18,12,FALSE)</f>
        <v>1</v>
      </c>
      <c r="U1432" s="81">
        <f>HLOOKUP(N1432,データについて!$J$8:$M$18,11,FALSE)</f>
        <v>1</v>
      </c>
      <c r="V1432" s="81">
        <f>HLOOKUP(O1432,データについて!$J$9:$M$18,10,FALSE)</f>
        <v>2</v>
      </c>
      <c r="W1432" s="81">
        <f>HLOOKUP(P1432,データについて!$J$10:$M$18,9,FALSE)</f>
        <v>1</v>
      </c>
      <c r="X1432" s="81">
        <f>HLOOKUP(Q1432,データについて!$J$11:$M$18,8,FALSE)</f>
        <v>1</v>
      </c>
      <c r="Y1432" s="81">
        <f>HLOOKUP(R1432,データについて!$J$12:$M$18,7,FALSE)</f>
        <v>2</v>
      </c>
      <c r="Z1432" s="81">
        <f>HLOOKUP(I1432,データについて!$J$3:$M$18,16,FALSE)</f>
        <v>2</v>
      </c>
      <c r="AA1432" s="81" t="str">
        <f>IFERROR(HLOOKUP(J1432,データについて!$J$4:$AH$19,16,FALSE),"")</f>
        <v/>
      </c>
      <c r="AB1432" s="81">
        <f>IFERROR(HLOOKUP(K1432,データについて!$J$5:$AH$20,14,FALSE),"")</f>
        <v>0</v>
      </c>
      <c r="AC1432" s="81">
        <f>IF(X1432=1,HLOOKUP(R1432,データについて!$J$12:$M$18,7,FALSE),"*")</f>
        <v>2</v>
      </c>
      <c r="AD1432" s="81" t="str">
        <f>IF(X1432=2,HLOOKUP(R1432,データについて!$J$12:$M$18,7,FALSE),"*")</f>
        <v>*</v>
      </c>
    </row>
    <row r="1433" spans="1:30">
      <c r="A1433" s="30">
        <v>3759</v>
      </c>
      <c r="B1433" s="30" t="s">
        <v>1007</v>
      </c>
      <c r="C1433" s="30" t="s">
        <v>1008</v>
      </c>
      <c r="D1433" s="30" t="s">
        <v>106</v>
      </c>
      <c r="E1433" s="30"/>
      <c r="F1433" s="30" t="s">
        <v>107</v>
      </c>
      <c r="G1433" s="30" t="s">
        <v>106</v>
      </c>
      <c r="H1433" s="30"/>
      <c r="I1433" s="30" t="s">
        <v>191</v>
      </c>
      <c r="J1433" s="30"/>
      <c r="K1433" s="30" t="s">
        <v>949</v>
      </c>
      <c r="L1433" s="30" t="s">
        <v>108</v>
      </c>
      <c r="M1433" s="30" t="s">
        <v>113</v>
      </c>
      <c r="N1433" s="30" t="s">
        <v>110</v>
      </c>
      <c r="O1433" s="30" t="s">
        <v>115</v>
      </c>
      <c r="P1433" s="30" t="s">
        <v>112</v>
      </c>
      <c r="Q1433" s="30" t="s">
        <v>112</v>
      </c>
      <c r="R1433" s="30" t="s">
        <v>185</v>
      </c>
      <c r="S1433" s="81">
        <f>HLOOKUP(L1433,データについて!$J$6:$M$18,13,FALSE)</f>
        <v>1</v>
      </c>
      <c r="T1433" s="81">
        <f>HLOOKUP(M1433,データについて!$J$7:$M$18,12,FALSE)</f>
        <v>1</v>
      </c>
      <c r="U1433" s="81">
        <f>HLOOKUP(N1433,データについて!$J$8:$M$18,11,FALSE)</f>
        <v>2</v>
      </c>
      <c r="V1433" s="81">
        <f>HLOOKUP(O1433,データについて!$J$9:$M$18,10,FALSE)</f>
        <v>1</v>
      </c>
      <c r="W1433" s="81">
        <f>HLOOKUP(P1433,データについて!$J$10:$M$18,9,FALSE)</f>
        <v>1</v>
      </c>
      <c r="X1433" s="81">
        <f>HLOOKUP(Q1433,データについて!$J$11:$M$18,8,FALSE)</f>
        <v>1</v>
      </c>
      <c r="Y1433" s="81">
        <f>HLOOKUP(R1433,データについて!$J$12:$M$18,7,FALSE)</f>
        <v>2</v>
      </c>
      <c r="Z1433" s="81">
        <f>HLOOKUP(I1433,データについて!$J$3:$M$18,16,FALSE)</f>
        <v>2</v>
      </c>
      <c r="AA1433" s="81" t="str">
        <f>IFERROR(HLOOKUP(J1433,データについて!$J$4:$AH$19,16,FALSE),"")</f>
        <v/>
      </c>
      <c r="AB1433" s="81">
        <f>IFERROR(HLOOKUP(K1433,データについて!$J$5:$AH$20,14,FALSE),"")</f>
        <v>0</v>
      </c>
      <c r="AC1433" s="81">
        <f>IF(X1433=1,HLOOKUP(R1433,データについて!$J$12:$M$18,7,FALSE),"*")</f>
        <v>2</v>
      </c>
      <c r="AD1433" s="81" t="str">
        <f>IF(X1433=2,HLOOKUP(R1433,データについて!$J$12:$M$18,7,FALSE),"*")</f>
        <v>*</v>
      </c>
    </row>
    <row r="1434" spans="1:30">
      <c r="A1434" s="30">
        <v>3758</v>
      </c>
      <c r="B1434" s="30" t="s">
        <v>1009</v>
      </c>
      <c r="C1434" s="30" t="s">
        <v>1008</v>
      </c>
      <c r="D1434" s="30" t="s">
        <v>106</v>
      </c>
      <c r="E1434" s="30"/>
      <c r="F1434" s="30" t="s">
        <v>107</v>
      </c>
      <c r="G1434" s="30" t="s">
        <v>106</v>
      </c>
      <c r="H1434" s="30"/>
      <c r="I1434" s="30" t="s">
        <v>191</v>
      </c>
      <c r="J1434" s="30"/>
      <c r="K1434" s="30" t="s">
        <v>949</v>
      </c>
      <c r="L1434" s="30" t="s">
        <v>117</v>
      </c>
      <c r="M1434" s="30" t="s">
        <v>124</v>
      </c>
      <c r="N1434" s="30" t="s">
        <v>110</v>
      </c>
      <c r="O1434" s="30" t="s">
        <v>115</v>
      </c>
      <c r="P1434" s="30" t="s">
        <v>118</v>
      </c>
      <c r="Q1434" s="30" t="s">
        <v>112</v>
      </c>
      <c r="R1434" s="30" t="s">
        <v>185</v>
      </c>
      <c r="S1434" s="81">
        <f>HLOOKUP(L1434,データについて!$J$6:$M$18,13,FALSE)</f>
        <v>2</v>
      </c>
      <c r="T1434" s="81">
        <f>HLOOKUP(M1434,データについて!$J$7:$M$18,12,FALSE)</f>
        <v>3</v>
      </c>
      <c r="U1434" s="81">
        <f>HLOOKUP(N1434,データについて!$J$8:$M$18,11,FALSE)</f>
        <v>2</v>
      </c>
      <c r="V1434" s="81">
        <f>HLOOKUP(O1434,データについて!$J$9:$M$18,10,FALSE)</f>
        <v>1</v>
      </c>
      <c r="W1434" s="81">
        <f>HLOOKUP(P1434,データについて!$J$10:$M$18,9,FALSE)</f>
        <v>2</v>
      </c>
      <c r="X1434" s="81">
        <f>HLOOKUP(Q1434,データについて!$J$11:$M$18,8,FALSE)</f>
        <v>1</v>
      </c>
      <c r="Y1434" s="81">
        <f>HLOOKUP(R1434,データについて!$J$12:$M$18,7,FALSE)</f>
        <v>2</v>
      </c>
      <c r="Z1434" s="81">
        <f>HLOOKUP(I1434,データについて!$J$3:$M$18,16,FALSE)</f>
        <v>2</v>
      </c>
      <c r="AA1434" s="81" t="str">
        <f>IFERROR(HLOOKUP(J1434,データについて!$J$4:$AH$19,16,FALSE),"")</f>
        <v/>
      </c>
      <c r="AB1434" s="81">
        <f>IFERROR(HLOOKUP(K1434,データについて!$J$5:$AH$20,14,FALSE),"")</f>
        <v>0</v>
      </c>
      <c r="AC1434" s="81">
        <f>IF(X1434=1,HLOOKUP(R1434,データについて!$J$12:$M$18,7,FALSE),"*")</f>
        <v>2</v>
      </c>
      <c r="AD1434" s="81" t="str">
        <f>IF(X1434=2,HLOOKUP(R1434,データについて!$J$12:$M$18,7,FALSE),"*")</f>
        <v>*</v>
      </c>
    </row>
    <row r="1435" spans="1:30">
      <c r="A1435" s="30">
        <v>3757</v>
      </c>
      <c r="B1435" s="30" t="s">
        <v>1010</v>
      </c>
      <c r="C1435" s="30" t="s">
        <v>1011</v>
      </c>
      <c r="D1435" s="30" t="s">
        <v>106</v>
      </c>
      <c r="E1435" s="30"/>
      <c r="F1435" s="30" t="s">
        <v>107</v>
      </c>
      <c r="G1435" s="30" t="s">
        <v>106</v>
      </c>
      <c r="H1435" s="30"/>
      <c r="I1435" s="30" t="s">
        <v>191</v>
      </c>
      <c r="J1435" s="30"/>
      <c r="K1435" s="30" t="s">
        <v>949</v>
      </c>
      <c r="L1435" s="30" t="s">
        <v>117</v>
      </c>
      <c r="M1435" s="30" t="s">
        <v>109</v>
      </c>
      <c r="N1435" s="30" t="s">
        <v>114</v>
      </c>
      <c r="O1435" s="30" t="s">
        <v>115</v>
      </c>
      <c r="P1435" s="30" t="s">
        <v>112</v>
      </c>
      <c r="Q1435" s="30" t="s">
        <v>112</v>
      </c>
      <c r="R1435" s="30" t="s">
        <v>183</v>
      </c>
      <c r="S1435" s="81">
        <f>HLOOKUP(L1435,データについて!$J$6:$M$18,13,FALSE)</f>
        <v>2</v>
      </c>
      <c r="T1435" s="81">
        <f>HLOOKUP(M1435,データについて!$J$7:$M$18,12,FALSE)</f>
        <v>2</v>
      </c>
      <c r="U1435" s="81">
        <f>HLOOKUP(N1435,データについて!$J$8:$M$18,11,FALSE)</f>
        <v>1</v>
      </c>
      <c r="V1435" s="81">
        <f>HLOOKUP(O1435,データについて!$J$9:$M$18,10,FALSE)</f>
        <v>1</v>
      </c>
      <c r="W1435" s="81">
        <f>HLOOKUP(P1435,データについて!$J$10:$M$18,9,FALSE)</f>
        <v>1</v>
      </c>
      <c r="X1435" s="81">
        <f>HLOOKUP(Q1435,データについて!$J$11:$M$18,8,FALSE)</f>
        <v>1</v>
      </c>
      <c r="Y1435" s="81">
        <f>HLOOKUP(R1435,データについて!$J$12:$M$18,7,FALSE)</f>
        <v>1</v>
      </c>
      <c r="Z1435" s="81">
        <f>HLOOKUP(I1435,データについて!$J$3:$M$18,16,FALSE)</f>
        <v>2</v>
      </c>
      <c r="AA1435" s="81" t="str">
        <f>IFERROR(HLOOKUP(J1435,データについて!$J$4:$AH$19,16,FALSE),"")</f>
        <v/>
      </c>
      <c r="AB1435" s="81">
        <f>IFERROR(HLOOKUP(K1435,データについて!$J$5:$AH$20,14,FALSE),"")</f>
        <v>0</v>
      </c>
      <c r="AC1435" s="81">
        <f>IF(X1435=1,HLOOKUP(R1435,データについて!$J$12:$M$18,7,FALSE),"*")</f>
        <v>1</v>
      </c>
      <c r="AD1435" s="81" t="str">
        <f>IF(X1435=2,HLOOKUP(R1435,データについて!$J$12:$M$18,7,FALSE),"*")</f>
        <v>*</v>
      </c>
    </row>
    <row r="1436" spans="1:30">
      <c r="A1436" s="30">
        <v>3756</v>
      </c>
      <c r="B1436" s="30" t="s">
        <v>1012</v>
      </c>
      <c r="C1436" s="30" t="s">
        <v>1013</v>
      </c>
      <c r="D1436" s="30" t="s">
        <v>106</v>
      </c>
      <c r="E1436" s="30"/>
      <c r="F1436" s="30" t="s">
        <v>107</v>
      </c>
      <c r="G1436" s="30" t="s">
        <v>106</v>
      </c>
      <c r="H1436" s="30"/>
      <c r="I1436" s="30" t="s">
        <v>191</v>
      </c>
      <c r="J1436" s="30"/>
      <c r="K1436" s="30" t="s">
        <v>949</v>
      </c>
      <c r="L1436" s="30" t="s">
        <v>108</v>
      </c>
      <c r="M1436" s="30" t="s">
        <v>113</v>
      </c>
      <c r="N1436" s="30" t="s">
        <v>110</v>
      </c>
      <c r="O1436" s="30" t="s">
        <v>115</v>
      </c>
      <c r="P1436" s="30" t="s">
        <v>112</v>
      </c>
      <c r="Q1436" s="30" t="s">
        <v>112</v>
      </c>
      <c r="R1436" s="30" t="s">
        <v>183</v>
      </c>
      <c r="S1436" s="81">
        <f>HLOOKUP(L1436,データについて!$J$6:$M$18,13,FALSE)</f>
        <v>1</v>
      </c>
      <c r="T1436" s="81">
        <f>HLOOKUP(M1436,データについて!$J$7:$M$18,12,FALSE)</f>
        <v>1</v>
      </c>
      <c r="U1436" s="81">
        <f>HLOOKUP(N1436,データについて!$J$8:$M$18,11,FALSE)</f>
        <v>2</v>
      </c>
      <c r="V1436" s="81">
        <f>HLOOKUP(O1436,データについて!$J$9:$M$18,10,FALSE)</f>
        <v>1</v>
      </c>
      <c r="W1436" s="81">
        <f>HLOOKUP(P1436,データについて!$J$10:$M$18,9,FALSE)</f>
        <v>1</v>
      </c>
      <c r="X1436" s="81">
        <f>HLOOKUP(Q1436,データについて!$J$11:$M$18,8,FALSE)</f>
        <v>1</v>
      </c>
      <c r="Y1436" s="81">
        <f>HLOOKUP(R1436,データについて!$J$12:$M$18,7,FALSE)</f>
        <v>1</v>
      </c>
      <c r="Z1436" s="81">
        <f>HLOOKUP(I1436,データについて!$J$3:$M$18,16,FALSE)</f>
        <v>2</v>
      </c>
      <c r="AA1436" s="81" t="str">
        <f>IFERROR(HLOOKUP(J1436,データについて!$J$4:$AH$19,16,FALSE),"")</f>
        <v/>
      </c>
      <c r="AB1436" s="81">
        <f>IFERROR(HLOOKUP(K1436,データについて!$J$5:$AH$20,14,FALSE),"")</f>
        <v>0</v>
      </c>
      <c r="AC1436" s="81">
        <f>IF(X1436=1,HLOOKUP(R1436,データについて!$J$12:$M$18,7,FALSE),"*")</f>
        <v>1</v>
      </c>
      <c r="AD1436" s="81" t="str">
        <f>IF(X1436=2,HLOOKUP(R1436,データについて!$J$12:$M$18,7,FALSE),"*")</f>
        <v>*</v>
      </c>
    </row>
    <row r="1437" spans="1:30">
      <c r="A1437" s="30">
        <v>3755</v>
      </c>
      <c r="B1437" s="30" t="s">
        <v>1014</v>
      </c>
      <c r="C1437" s="30" t="s">
        <v>1015</v>
      </c>
      <c r="D1437" s="30" t="s">
        <v>106</v>
      </c>
      <c r="E1437" s="30"/>
      <c r="F1437" s="30" t="s">
        <v>107</v>
      </c>
      <c r="G1437" s="30" t="s">
        <v>106</v>
      </c>
      <c r="H1437" s="30"/>
      <c r="I1437" s="30" t="s">
        <v>191</v>
      </c>
      <c r="J1437" s="30"/>
      <c r="K1437" s="30" t="s">
        <v>949</v>
      </c>
      <c r="L1437" s="30" t="s">
        <v>108</v>
      </c>
      <c r="M1437" s="30" t="s">
        <v>113</v>
      </c>
      <c r="N1437" s="30" t="s">
        <v>110</v>
      </c>
      <c r="O1437" s="30" t="s">
        <v>115</v>
      </c>
      <c r="P1437" s="30" t="s">
        <v>112</v>
      </c>
      <c r="Q1437" s="30" t="s">
        <v>112</v>
      </c>
      <c r="R1437" s="30" t="s">
        <v>187</v>
      </c>
      <c r="S1437" s="81">
        <f>HLOOKUP(L1437,データについて!$J$6:$M$18,13,FALSE)</f>
        <v>1</v>
      </c>
      <c r="T1437" s="81">
        <f>HLOOKUP(M1437,データについて!$J$7:$M$18,12,FALSE)</f>
        <v>1</v>
      </c>
      <c r="U1437" s="81">
        <f>HLOOKUP(N1437,データについて!$J$8:$M$18,11,FALSE)</f>
        <v>2</v>
      </c>
      <c r="V1437" s="81">
        <f>HLOOKUP(O1437,データについて!$J$9:$M$18,10,FALSE)</f>
        <v>1</v>
      </c>
      <c r="W1437" s="81">
        <f>HLOOKUP(P1437,データについて!$J$10:$M$18,9,FALSE)</f>
        <v>1</v>
      </c>
      <c r="X1437" s="81">
        <f>HLOOKUP(Q1437,データについて!$J$11:$M$18,8,FALSE)</f>
        <v>1</v>
      </c>
      <c r="Y1437" s="81">
        <f>HLOOKUP(R1437,データについて!$J$12:$M$18,7,FALSE)</f>
        <v>3</v>
      </c>
      <c r="Z1437" s="81">
        <f>HLOOKUP(I1437,データについて!$J$3:$M$18,16,FALSE)</f>
        <v>2</v>
      </c>
      <c r="AA1437" s="81" t="str">
        <f>IFERROR(HLOOKUP(J1437,データについて!$J$4:$AH$19,16,FALSE),"")</f>
        <v/>
      </c>
      <c r="AB1437" s="81">
        <f>IFERROR(HLOOKUP(K1437,データについて!$J$5:$AH$20,14,FALSE),"")</f>
        <v>0</v>
      </c>
      <c r="AC1437" s="81">
        <f>IF(X1437=1,HLOOKUP(R1437,データについて!$J$12:$M$18,7,FALSE),"*")</f>
        <v>3</v>
      </c>
      <c r="AD1437" s="81" t="str">
        <f>IF(X1437=2,HLOOKUP(R1437,データについて!$J$12:$M$18,7,FALSE),"*")</f>
        <v>*</v>
      </c>
    </row>
    <row r="1438" spans="1:30">
      <c r="A1438" s="30">
        <v>3754</v>
      </c>
      <c r="B1438" s="30" t="s">
        <v>1016</v>
      </c>
      <c r="C1438" s="30" t="s">
        <v>1017</v>
      </c>
      <c r="D1438" s="30" t="s">
        <v>106</v>
      </c>
      <c r="E1438" s="30"/>
      <c r="F1438" s="30" t="s">
        <v>107</v>
      </c>
      <c r="G1438" s="30" t="s">
        <v>106</v>
      </c>
      <c r="H1438" s="30"/>
      <c r="I1438" s="30" t="s">
        <v>191</v>
      </c>
      <c r="J1438" s="30"/>
      <c r="K1438" s="30" t="s">
        <v>949</v>
      </c>
      <c r="L1438" s="30" t="s">
        <v>108</v>
      </c>
      <c r="M1438" s="30" t="s">
        <v>124</v>
      </c>
      <c r="N1438" s="30" t="s">
        <v>110</v>
      </c>
      <c r="O1438" s="30" t="s">
        <v>116</v>
      </c>
      <c r="P1438" s="30" t="s">
        <v>118</v>
      </c>
      <c r="Q1438" s="30" t="s">
        <v>112</v>
      </c>
      <c r="R1438" s="30" t="s">
        <v>185</v>
      </c>
      <c r="S1438" s="81">
        <f>HLOOKUP(L1438,データについて!$J$6:$M$18,13,FALSE)</f>
        <v>1</v>
      </c>
      <c r="T1438" s="81">
        <f>HLOOKUP(M1438,データについて!$J$7:$M$18,12,FALSE)</f>
        <v>3</v>
      </c>
      <c r="U1438" s="81">
        <f>HLOOKUP(N1438,データについて!$J$8:$M$18,11,FALSE)</f>
        <v>2</v>
      </c>
      <c r="V1438" s="81">
        <f>HLOOKUP(O1438,データについて!$J$9:$M$18,10,FALSE)</f>
        <v>2</v>
      </c>
      <c r="W1438" s="81">
        <f>HLOOKUP(P1438,データについて!$J$10:$M$18,9,FALSE)</f>
        <v>2</v>
      </c>
      <c r="X1438" s="81">
        <f>HLOOKUP(Q1438,データについて!$J$11:$M$18,8,FALSE)</f>
        <v>1</v>
      </c>
      <c r="Y1438" s="81">
        <f>HLOOKUP(R1438,データについて!$J$12:$M$18,7,FALSE)</f>
        <v>2</v>
      </c>
      <c r="Z1438" s="81">
        <f>HLOOKUP(I1438,データについて!$J$3:$M$18,16,FALSE)</f>
        <v>2</v>
      </c>
      <c r="AA1438" s="81" t="str">
        <f>IFERROR(HLOOKUP(J1438,データについて!$J$4:$AH$19,16,FALSE),"")</f>
        <v/>
      </c>
      <c r="AB1438" s="81">
        <f>IFERROR(HLOOKUP(K1438,データについて!$J$5:$AH$20,14,FALSE),"")</f>
        <v>0</v>
      </c>
      <c r="AC1438" s="81">
        <f>IF(X1438=1,HLOOKUP(R1438,データについて!$J$12:$M$18,7,FALSE),"*")</f>
        <v>2</v>
      </c>
      <c r="AD1438" s="81" t="str">
        <f>IF(X1438=2,HLOOKUP(R1438,データについて!$J$12:$M$18,7,FALSE),"*")</f>
        <v>*</v>
      </c>
    </row>
    <row r="1439" spans="1:30">
      <c r="A1439" s="30">
        <v>3753</v>
      </c>
      <c r="B1439" s="30" t="s">
        <v>1018</v>
      </c>
      <c r="C1439" s="30" t="s">
        <v>1017</v>
      </c>
      <c r="D1439" s="30" t="s">
        <v>106</v>
      </c>
      <c r="E1439" s="30"/>
      <c r="F1439" s="30" t="s">
        <v>107</v>
      </c>
      <c r="G1439" s="30" t="s">
        <v>106</v>
      </c>
      <c r="H1439" s="30"/>
      <c r="I1439" s="30" t="s">
        <v>191</v>
      </c>
      <c r="J1439" s="30"/>
      <c r="K1439" s="30" t="s">
        <v>949</v>
      </c>
      <c r="L1439" s="30" t="s">
        <v>108</v>
      </c>
      <c r="M1439" s="30" t="s">
        <v>121</v>
      </c>
      <c r="N1439" s="30" t="s">
        <v>119</v>
      </c>
      <c r="O1439" s="30" t="s">
        <v>123</v>
      </c>
      <c r="P1439" s="30" t="s">
        <v>118</v>
      </c>
      <c r="Q1439" s="30" t="s">
        <v>112</v>
      </c>
      <c r="R1439" s="30" t="s">
        <v>189</v>
      </c>
      <c r="S1439" s="81">
        <f>HLOOKUP(L1439,データについて!$J$6:$M$18,13,FALSE)</f>
        <v>1</v>
      </c>
      <c r="T1439" s="81">
        <f>HLOOKUP(M1439,データについて!$J$7:$M$18,12,FALSE)</f>
        <v>4</v>
      </c>
      <c r="U1439" s="81">
        <f>HLOOKUP(N1439,データについて!$J$8:$M$18,11,FALSE)</f>
        <v>4</v>
      </c>
      <c r="V1439" s="81">
        <f>HLOOKUP(O1439,データについて!$J$9:$M$18,10,FALSE)</f>
        <v>4</v>
      </c>
      <c r="W1439" s="81">
        <f>HLOOKUP(P1439,データについて!$J$10:$M$18,9,FALSE)</f>
        <v>2</v>
      </c>
      <c r="X1439" s="81">
        <f>HLOOKUP(Q1439,データについて!$J$11:$M$18,8,FALSE)</f>
        <v>1</v>
      </c>
      <c r="Y1439" s="81">
        <f>HLOOKUP(R1439,データについて!$J$12:$M$18,7,FALSE)</f>
        <v>4</v>
      </c>
      <c r="Z1439" s="81">
        <f>HLOOKUP(I1439,データについて!$J$3:$M$18,16,FALSE)</f>
        <v>2</v>
      </c>
      <c r="AA1439" s="81" t="str">
        <f>IFERROR(HLOOKUP(J1439,データについて!$J$4:$AH$19,16,FALSE),"")</f>
        <v/>
      </c>
      <c r="AB1439" s="81">
        <f>IFERROR(HLOOKUP(K1439,データについて!$J$5:$AH$20,14,FALSE),"")</f>
        <v>0</v>
      </c>
      <c r="AC1439" s="81">
        <f>IF(X1439=1,HLOOKUP(R1439,データについて!$J$12:$M$18,7,FALSE),"*")</f>
        <v>4</v>
      </c>
      <c r="AD1439" s="81" t="str">
        <f>IF(X1439=2,HLOOKUP(R1439,データについて!$J$12:$M$18,7,FALSE),"*")</f>
        <v>*</v>
      </c>
    </row>
    <row r="1440" spans="1:30">
      <c r="A1440" s="30">
        <v>3752</v>
      </c>
      <c r="B1440" s="30" t="s">
        <v>1019</v>
      </c>
      <c r="C1440" s="30" t="s">
        <v>1020</v>
      </c>
      <c r="D1440" s="30" t="s">
        <v>106</v>
      </c>
      <c r="E1440" s="30"/>
      <c r="F1440" s="30" t="s">
        <v>107</v>
      </c>
      <c r="G1440" s="30" t="s">
        <v>106</v>
      </c>
      <c r="H1440" s="30"/>
      <c r="I1440" s="30" t="s">
        <v>191</v>
      </c>
      <c r="J1440" s="30"/>
      <c r="K1440" s="30" t="s">
        <v>949</v>
      </c>
      <c r="L1440" s="30" t="s">
        <v>108</v>
      </c>
      <c r="M1440" s="30" t="s">
        <v>113</v>
      </c>
      <c r="N1440" s="30" t="s">
        <v>122</v>
      </c>
      <c r="O1440" s="30" t="s">
        <v>111</v>
      </c>
      <c r="P1440" s="30" t="s">
        <v>112</v>
      </c>
      <c r="Q1440" s="30" t="s">
        <v>118</v>
      </c>
      <c r="R1440" s="30" t="s">
        <v>183</v>
      </c>
      <c r="S1440" s="81">
        <f>HLOOKUP(L1440,データについて!$J$6:$M$18,13,FALSE)</f>
        <v>1</v>
      </c>
      <c r="T1440" s="81">
        <f>HLOOKUP(M1440,データについて!$J$7:$M$18,12,FALSE)</f>
        <v>1</v>
      </c>
      <c r="U1440" s="81">
        <f>HLOOKUP(N1440,データについて!$J$8:$M$18,11,FALSE)</f>
        <v>3</v>
      </c>
      <c r="V1440" s="81">
        <f>HLOOKUP(O1440,データについて!$J$9:$M$18,10,FALSE)</f>
        <v>3</v>
      </c>
      <c r="W1440" s="81">
        <f>HLOOKUP(P1440,データについて!$J$10:$M$18,9,FALSE)</f>
        <v>1</v>
      </c>
      <c r="X1440" s="81">
        <f>HLOOKUP(Q1440,データについて!$J$11:$M$18,8,FALSE)</f>
        <v>2</v>
      </c>
      <c r="Y1440" s="81">
        <f>HLOOKUP(R1440,データについて!$J$12:$M$18,7,FALSE)</f>
        <v>1</v>
      </c>
      <c r="Z1440" s="81">
        <f>HLOOKUP(I1440,データについて!$J$3:$M$18,16,FALSE)</f>
        <v>2</v>
      </c>
      <c r="AA1440" s="81" t="str">
        <f>IFERROR(HLOOKUP(J1440,データについて!$J$4:$AH$19,16,FALSE),"")</f>
        <v/>
      </c>
      <c r="AB1440" s="81">
        <f>IFERROR(HLOOKUP(K1440,データについて!$J$5:$AH$20,14,FALSE),"")</f>
        <v>0</v>
      </c>
      <c r="AC1440" s="81" t="str">
        <f>IF(X1440=1,HLOOKUP(R1440,データについて!$J$12:$M$18,7,FALSE),"*")</f>
        <v>*</v>
      </c>
      <c r="AD1440" s="81">
        <f>IF(X1440=2,HLOOKUP(R1440,データについて!$J$12:$M$18,7,FALSE),"*")</f>
        <v>1</v>
      </c>
    </row>
    <row r="1441" spans="1:30">
      <c r="A1441" s="30">
        <v>3751</v>
      </c>
      <c r="B1441" s="30" t="s">
        <v>1021</v>
      </c>
      <c r="C1441" s="30" t="s">
        <v>1022</v>
      </c>
      <c r="D1441" s="30" t="s">
        <v>106</v>
      </c>
      <c r="E1441" s="30"/>
      <c r="F1441" s="30" t="s">
        <v>107</v>
      </c>
      <c r="G1441" s="30" t="s">
        <v>106</v>
      </c>
      <c r="H1441" s="30"/>
      <c r="I1441" s="30" t="s">
        <v>191</v>
      </c>
      <c r="J1441" s="30"/>
      <c r="K1441" s="30" t="s">
        <v>949</v>
      </c>
      <c r="L1441" s="30" t="s">
        <v>108</v>
      </c>
      <c r="M1441" s="30" t="s">
        <v>109</v>
      </c>
      <c r="N1441" s="30" t="s">
        <v>110</v>
      </c>
      <c r="O1441" s="30" t="s">
        <v>115</v>
      </c>
      <c r="P1441" s="30" t="s">
        <v>118</v>
      </c>
      <c r="Q1441" s="30" t="s">
        <v>112</v>
      </c>
      <c r="R1441" s="30" t="s">
        <v>183</v>
      </c>
      <c r="S1441" s="81">
        <f>HLOOKUP(L1441,データについて!$J$6:$M$18,13,FALSE)</f>
        <v>1</v>
      </c>
      <c r="T1441" s="81">
        <f>HLOOKUP(M1441,データについて!$J$7:$M$18,12,FALSE)</f>
        <v>2</v>
      </c>
      <c r="U1441" s="81">
        <f>HLOOKUP(N1441,データについて!$J$8:$M$18,11,FALSE)</f>
        <v>2</v>
      </c>
      <c r="V1441" s="81">
        <f>HLOOKUP(O1441,データについて!$J$9:$M$18,10,FALSE)</f>
        <v>1</v>
      </c>
      <c r="W1441" s="81">
        <f>HLOOKUP(P1441,データについて!$J$10:$M$18,9,FALSE)</f>
        <v>2</v>
      </c>
      <c r="X1441" s="81">
        <f>HLOOKUP(Q1441,データについて!$J$11:$M$18,8,FALSE)</f>
        <v>1</v>
      </c>
      <c r="Y1441" s="81">
        <f>HLOOKUP(R1441,データについて!$J$12:$M$18,7,FALSE)</f>
        <v>1</v>
      </c>
      <c r="Z1441" s="81">
        <f>HLOOKUP(I1441,データについて!$J$3:$M$18,16,FALSE)</f>
        <v>2</v>
      </c>
      <c r="AA1441" s="81" t="str">
        <f>IFERROR(HLOOKUP(J1441,データについて!$J$4:$AH$19,16,FALSE),"")</f>
        <v/>
      </c>
      <c r="AB1441" s="81">
        <f>IFERROR(HLOOKUP(K1441,データについて!$J$5:$AH$20,14,FALSE),"")</f>
        <v>0</v>
      </c>
      <c r="AC1441" s="81">
        <f>IF(X1441=1,HLOOKUP(R1441,データについて!$J$12:$M$18,7,FALSE),"*")</f>
        <v>1</v>
      </c>
      <c r="AD1441" s="81" t="str">
        <f>IF(X1441=2,HLOOKUP(R1441,データについて!$J$12:$M$18,7,FALSE),"*")</f>
        <v>*</v>
      </c>
    </row>
    <row r="1442" spans="1:30">
      <c r="A1442" s="30">
        <v>3750</v>
      </c>
      <c r="B1442" s="30" t="s">
        <v>1023</v>
      </c>
      <c r="C1442" s="30" t="s">
        <v>1024</v>
      </c>
      <c r="D1442" s="30" t="s">
        <v>106</v>
      </c>
      <c r="E1442" s="30"/>
      <c r="F1442" s="30" t="s">
        <v>107</v>
      </c>
      <c r="G1442" s="30" t="s">
        <v>106</v>
      </c>
      <c r="H1442" s="30"/>
      <c r="I1442" s="30" t="s">
        <v>191</v>
      </c>
      <c r="J1442" s="30"/>
      <c r="K1442" s="30" t="s">
        <v>949</v>
      </c>
      <c r="L1442" s="30" t="s">
        <v>108</v>
      </c>
      <c r="M1442" s="30" t="s">
        <v>121</v>
      </c>
      <c r="N1442" s="30" t="s">
        <v>114</v>
      </c>
      <c r="O1442" s="30" t="s">
        <v>115</v>
      </c>
      <c r="P1442" s="30" t="s">
        <v>112</v>
      </c>
      <c r="Q1442" s="30" t="s">
        <v>112</v>
      </c>
      <c r="R1442" s="30" t="s">
        <v>185</v>
      </c>
      <c r="S1442" s="81">
        <f>HLOOKUP(L1442,データについて!$J$6:$M$18,13,FALSE)</f>
        <v>1</v>
      </c>
      <c r="T1442" s="81">
        <f>HLOOKUP(M1442,データについて!$J$7:$M$18,12,FALSE)</f>
        <v>4</v>
      </c>
      <c r="U1442" s="81">
        <f>HLOOKUP(N1442,データについて!$J$8:$M$18,11,FALSE)</f>
        <v>1</v>
      </c>
      <c r="V1442" s="81">
        <f>HLOOKUP(O1442,データについて!$J$9:$M$18,10,FALSE)</f>
        <v>1</v>
      </c>
      <c r="W1442" s="81">
        <f>HLOOKUP(P1442,データについて!$J$10:$M$18,9,FALSE)</f>
        <v>1</v>
      </c>
      <c r="X1442" s="81">
        <f>HLOOKUP(Q1442,データについて!$J$11:$M$18,8,FALSE)</f>
        <v>1</v>
      </c>
      <c r="Y1442" s="81">
        <f>HLOOKUP(R1442,データについて!$J$12:$M$18,7,FALSE)</f>
        <v>2</v>
      </c>
      <c r="Z1442" s="81">
        <f>HLOOKUP(I1442,データについて!$J$3:$M$18,16,FALSE)</f>
        <v>2</v>
      </c>
      <c r="AA1442" s="81" t="str">
        <f>IFERROR(HLOOKUP(J1442,データについて!$J$4:$AH$19,16,FALSE),"")</f>
        <v/>
      </c>
      <c r="AB1442" s="81">
        <f>IFERROR(HLOOKUP(K1442,データについて!$J$5:$AH$20,14,FALSE),"")</f>
        <v>0</v>
      </c>
      <c r="AC1442" s="81">
        <f>IF(X1442=1,HLOOKUP(R1442,データについて!$J$12:$M$18,7,FALSE),"*")</f>
        <v>2</v>
      </c>
      <c r="AD1442" s="81" t="str">
        <f>IF(X1442=2,HLOOKUP(R1442,データについて!$J$12:$M$18,7,FALSE),"*")</f>
        <v>*</v>
      </c>
    </row>
    <row r="1443" spans="1:30">
      <c r="A1443" s="30">
        <v>3749</v>
      </c>
      <c r="B1443" s="30" t="s">
        <v>1025</v>
      </c>
      <c r="C1443" s="30" t="s">
        <v>1026</v>
      </c>
      <c r="D1443" s="30" t="s">
        <v>106</v>
      </c>
      <c r="E1443" s="30"/>
      <c r="F1443" s="30" t="s">
        <v>107</v>
      </c>
      <c r="G1443" s="30" t="s">
        <v>106</v>
      </c>
      <c r="H1443" s="30"/>
      <c r="I1443" s="30" t="s">
        <v>191</v>
      </c>
      <c r="J1443" s="30"/>
      <c r="K1443" s="30" t="s">
        <v>949</v>
      </c>
      <c r="L1443" s="30" t="s">
        <v>117</v>
      </c>
      <c r="M1443" s="30" t="s">
        <v>124</v>
      </c>
      <c r="N1443" s="30" t="s">
        <v>122</v>
      </c>
      <c r="O1443" s="30" t="s">
        <v>115</v>
      </c>
      <c r="P1443" s="30" t="s">
        <v>118</v>
      </c>
      <c r="Q1443" s="30" t="s">
        <v>118</v>
      </c>
      <c r="R1443" s="30" t="s">
        <v>189</v>
      </c>
      <c r="S1443" s="81">
        <f>HLOOKUP(L1443,データについて!$J$6:$M$18,13,FALSE)</f>
        <v>2</v>
      </c>
      <c r="T1443" s="81">
        <f>HLOOKUP(M1443,データについて!$J$7:$M$18,12,FALSE)</f>
        <v>3</v>
      </c>
      <c r="U1443" s="81">
        <f>HLOOKUP(N1443,データについて!$J$8:$M$18,11,FALSE)</f>
        <v>3</v>
      </c>
      <c r="V1443" s="81">
        <f>HLOOKUP(O1443,データについて!$J$9:$M$18,10,FALSE)</f>
        <v>1</v>
      </c>
      <c r="W1443" s="81">
        <f>HLOOKUP(P1443,データについて!$J$10:$M$18,9,FALSE)</f>
        <v>2</v>
      </c>
      <c r="X1443" s="81">
        <f>HLOOKUP(Q1443,データについて!$J$11:$M$18,8,FALSE)</f>
        <v>2</v>
      </c>
      <c r="Y1443" s="81">
        <f>HLOOKUP(R1443,データについて!$J$12:$M$18,7,FALSE)</f>
        <v>4</v>
      </c>
      <c r="Z1443" s="81">
        <f>HLOOKUP(I1443,データについて!$J$3:$M$18,16,FALSE)</f>
        <v>2</v>
      </c>
      <c r="AA1443" s="81" t="str">
        <f>IFERROR(HLOOKUP(J1443,データについて!$J$4:$AH$19,16,FALSE),"")</f>
        <v/>
      </c>
      <c r="AB1443" s="81">
        <f>IFERROR(HLOOKUP(K1443,データについて!$J$5:$AH$20,14,FALSE),"")</f>
        <v>0</v>
      </c>
      <c r="AC1443" s="81" t="str">
        <f>IF(X1443=1,HLOOKUP(R1443,データについて!$J$12:$M$18,7,FALSE),"*")</f>
        <v>*</v>
      </c>
      <c r="AD1443" s="81">
        <f>IF(X1443=2,HLOOKUP(R1443,データについて!$J$12:$M$18,7,FALSE),"*")</f>
        <v>4</v>
      </c>
    </row>
    <row r="1444" spans="1:30">
      <c r="A1444" s="30">
        <v>3748</v>
      </c>
      <c r="B1444" s="30" t="s">
        <v>1027</v>
      </c>
      <c r="C1444" s="30" t="s">
        <v>1028</v>
      </c>
      <c r="D1444" s="30" t="s">
        <v>106</v>
      </c>
      <c r="E1444" s="30"/>
      <c r="F1444" s="30" t="s">
        <v>107</v>
      </c>
      <c r="G1444" s="30" t="s">
        <v>106</v>
      </c>
      <c r="H1444" s="30"/>
      <c r="I1444" s="30" t="s">
        <v>191</v>
      </c>
      <c r="J1444" s="30"/>
      <c r="K1444" s="30" t="s">
        <v>949</v>
      </c>
      <c r="L1444" s="30" t="s">
        <v>108</v>
      </c>
      <c r="M1444" s="30" t="s">
        <v>113</v>
      </c>
      <c r="N1444" s="30" t="s">
        <v>114</v>
      </c>
      <c r="O1444" s="30" t="s">
        <v>115</v>
      </c>
      <c r="P1444" s="30" t="s">
        <v>112</v>
      </c>
      <c r="Q1444" s="30" t="s">
        <v>112</v>
      </c>
      <c r="R1444" s="30" t="s">
        <v>183</v>
      </c>
      <c r="S1444" s="81">
        <f>HLOOKUP(L1444,データについて!$J$6:$M$18,13,FALSE)</f>
        <v>1</v>
      </c>
      <c r="T1444" s="81">
        <f>HLOOKUP(M1444,データについて!$J$7:$M$18,12,FALSE)</f>
        <v>1</v>
      </c>
      <c r="U1444" s="81">
        <f>HLOOKUP(N1444,データについて!$J$8:$M$18,11,FALSE)</f>
        <v>1</v>
      </c>
      <c r="V1444" s="81">
        <f>HLOOKUP(O1444,データについて!$J$9:$M$18,10,FALSE)</f>
        <v>1</v>
      </c>
      <c r="W1444" s="81">
        <f>HLOOKUP(P1444,データについて!$J$10:$M$18,9,FALSE)</f>
        <v>1</v>
      </c>
      <c r="X1444" s="81">
        <f>HLOOKUP(Q1444,データについて!$J$11:$M$18,8,FALSE)</f>
        <v>1</v>
      </c>
      <c r="Y1444" s="81">
        <f>HLOOKUP(R1444,データについて!$J$12:$M$18,7,FALSE)</f>
        <v>1</v>
      </c>
      <c r="Z1444" s="81">
        <f>HLOOKUP(I1444,データについて!$J$3:$M$18,16,FALSE)</f>
        <v>2</v>
      </c>
      <c r="AA1444" s="81" t="str">
        <f>IFERROR(HLOOKUP(J1444,データについて!$J$4:$AH$19,16,FALSE),"")</f>
        <v/>
      </c>
      <c r="AB1444" s="81">
        <f>IFERROR(HLOOKUP(K1444,データについて!$J$5:$AH$20,14,FALSE),"")</f>
        <v>0</v>
      </c>
      <c r="AC1444" s="81">
        <f>IF(X1444=1,HLOOKUP(R1444,データについて!$J$12:$M$18,7,FALSE),"*")</f>
        <v>1</v>
      </c>
      <c r="AD1444" s="81" t="str">
        <f>IF(X1444=2,HLOOKUP(R1444,データについて!$J$12:$M$18,7,FALSE),"*")</f>
        <v>*</v>
      </c>
    </row>
    <row r="1445" spans="1:30">
      <c r="A1445" s="30">
        <v>3747</v>
      </c>
      <c r="B1445" s="30" t="s">
        <v>1029</v>
      </c>
      <c r="C1445" s="30" t="s">
        <v>1030</v>
      </c>
      <c r="D1445" s="30" t="s">
        <v>106</v>
      </c>
      <c r="E1445" s="30"/>
      <c r="F1445" s="30" t="s">
        <v>107</v>
      </c>
      <c r="G1445" s="30" t="s">
        <v>106</v>
      </c>
      <c r="H1445" s="30"/>
      <c r="I1445" s="30" t="s">
        <v>191</v>
      </c>
      <c r="J1445" s="30"/>
      <c r="K1445" s="30" t="s">
        <v>949</v>
      </c>
      <c r="L1445" s="30" t="s">
        <v>108</v>
      </c>
      <c r="M1445" s="30" t="s">
        <v>113</v>
      </c>
      <c r="N1445" s="30" t="s">
        <v>110</v>
      </c>
      <c r="O1445" s="30" t="s">
        <v>115</v>
      </c>
      <c r="P1445" s="30" t="s">
        <v>112</v>
      </c>
      <c r="Q1445" s="30" t="s">
        <v>112</v>
      </c>
      <c r="R1445" s="30" t="s">
        <v>183</v>
      </c>
      <c r="S1445" s="81">
        <f>HLOOKUP(L1445,データについて!$J$6:$M$18,13,FALSE)</f>
        <v>1</v>
      </c>
      <c r="T1445" s="81">
        <f>HLOOKUP(M1445,データについて!$J$7:$M$18,12,FALSE)</f>
        <v>1</v>
      </c>
      <c r="U1445" s="81">
        <f>HLOOKUP(N1445,データについて!$J$8:$M$18,11,FALSE)</f>
        <v>2</v>
      </c>
      <c r="V1445" s="81">
        <f>HLOOKUP(O1445,データについて!$J$9:$M$18,10,FALSE)</f>
        <v>1</v>
      </c>
      <c r="W1445" s="81">
        <f>HLOOKUP(P1445,データについて!$J$10:$M$18,9,FALSE)</f>
        <v>1</v>
      </c>
      <c r="X1445" s="81">
        <f>HLOOKUP(Q1445,データについて!$J$11:$M$18,8,FALSE)</f>
        <v>1</v>
      </c>
      <c r="Y1445" s="81">
        <f>HLOOKUP(R1445,データについて!$J$12:$M$18,7,FALSE)</f>
        <v>1</v>
      </c>
      <c r="Z1445" s="81">
        <f>HLOOKUP(I1445,データについて!$J$3:$M$18,16,FALSE)</f>
        <v>2</v>
      </c>
      <c r="AA1445" s="81" t="str">
        <f>IFERROR(HLOOKUP(J1445,データについて!$J$4:$AH$19,16,FALSE),"")</f>
        <v/>
      </c>
      <c r="AB1445" s="81">
        <f>IFERROR(HLOOKUP(K1445,データについて!$J$5:$AH$20,14,FALSE),"")</f>
        <v>0</v>
      </c>
      <c r="AC1445" s="81">
        <f>IF(X1445=1,HLOOKUP(R1445,データについて!$J$12:$M$18,7,FALSE),"*")</f>
        <v>1</v>
      </c>
      <c r="AD1445" s="81" t="str">
        <f>IF(X1445=2,HLOOKUP(R1445,データについて!$J$12:$M$18,7,FALSE),"*")</f>
        <v>*</v>
      </c>
    </row>
    <row r="1446" spans="1:30">
      <c r="A1446" s="30">
        <v>3746</v>
      </c>
      <c r="B1446" s="30" t="s">
        <v>1031</v>
      </c>
      <c r="C1446" s="30" t="s">
        <v>1032</v>
      </c>
      <c r="D1446" s="30" t="s">
        <v>106</v>
      </c>
      <c r="E1446" s="30"/>
      <c r="F1446" s="30" t="s">
        <v>107</v>
      </c>
      <c r="G1446" s="30" t="s">
        <v>106</v>
      </c>
      <c r="H1446" s="30"/>
      <c r="I1446" s="30" t="s">
        <v>191</v>
      </c>
      <c r="J1446" s="30"/>
      <c r="K1446" s="30" t="s">
        <v>949</v>
      </c>
      <c r="L1446" s="30" t="s">
        <v>108</v>
      </c>
      <c r="M1446" s="30" t="s">
        <v>121</v>
      </c>
      <c r="N1446" s="30" t="s">
        <v>119</v>
      </c>
      <c r="O1446" s="30" t="s">
        <v>115</v>
      </c>
      <c r="P1446" s="30" t="s">
        <v>112</v>
      </c>
      <c r="Q1446" s="30" t="s">
        <v>112</v>
      </c>
      <c r="R1446" s="30" t="s">
        <v>189</v>
      </c>
      <c r="S1446" s="81">
        <f>HLOOKUP(L1446,データについて!$J$6:$M$18,13,FALSE)</f>
        <v>1</v>
      </c>
      <c r="T1446" s="81">
        <f>HLOOKUP(M1446,データについて!$J$7:$M$18,12,FALSE)</f>
        <v>4</v>
      </c>
      <c r="U1446" s="81">
        <f>HLOOKUP(N1446,データについて!$J$8:$M$18,11,FALSE)</f>
        <v>4</v>
      </c>
      <c r="V1446" s="81">
        <f>HLOOKUP(O1446,データについて!$J$9:$M$18,10,FALSE)</f>
        <v>1</v>
      </c>
      <c r="W1446" s="81">
        <f>HLOOKUP(P1446,データについて!$J$10:$M$18,9,FALSE)</f>
        <v>1</v>
      </c>
      <c r="X1446" s="81">
        <f>HLOOKUP(Q1446,データについて!$J$11:$M$18,8,FALSE)</f>
        <v>1</v>
      </c>
      <c r="Y1446" s="81">
        <f>HLOOKUP(R1446,データについて!$J$12:$M$18,7,FALSE)</f>
        <v>4</v>
      </c>
      <c r="Z1446" s="81">
        <f>HLOOKUP(I1446,データについて!$J$3:$M$18,16,FALSE)</f>
        <v>2</v>
      </c>
      <c r="AA1446" s="81" t="str">
        <f>IFERROR(HLOOKUP(J1446,データについて!$J$4:$AH$19,16,FALSE),"")</f>
        <v/>
      </c>
      <c r="AB1446" s="81">
        <f>IFERROR(HLOOKUP(K1446,データについて!$J$5:$AH$20,14,FALSE),"")</f>
        <v>0</v>
      </c>
      <c r="AC1446" s="81">
        <f>IF(X1446=1,HLOOKUP(R1446,データについて!$J$12:$M$18,7,FALSE),"*")</f>
        <v>4</v>
      </c>
      <c r="AD1446" s="81" t="str">
        <f>IF(X1446=2,HLOOKUP(R1446,データについて!$J$12:$M$18,7,FALSE),"*")</f>
        <v>*</v>
      </c>
    </row>
    <row r="1447" spans="1:30">
      <c r="A1447" s="30">
        <v>3745</v>
      </c>
      <c r="B1447" s="30" t="s">
        <v>1033</v>
      </c>
      <c r="C1447" s="30" t="s">
        <v>1034</v>
      </c>
      <c r="D1447" s="30" t="s">
        <v>106</v>
      </c>
      <c r="E1447" s="30"/>
      <c r="F1447" s="30" t="s">
        <v>107</v>
      </c>
      <c r="G1447" s="30" t="s">
        <v>106</v>
      </c>
      <c r="H1447" s="30"/>
      <c r="I1447" s="30" t="s">
        <v>191</v>
      </c>
      <c r="J1447" s="30"/>
      <c r="K1447" s="30" t="s">
        <v>949</v>
      </c>
      <c r="L1447" s="30" t="s">
        <v>120</v>
      </c>
      <c r="M1447" s="30" t="s">
        <v>113</v>
      </c>
      <c r="N1447" s="30" t="s">
        <v>110</v>
      </c>
      <c r="O1447" s="30" t="s">
        <v>115</v>
      </c>
      <c r="P1447" s="30" t="s">
        <v>112</v>
      </c>
      <c r="Q1447" s="30" t="s">
        <v>112</v>
      </c>
      <c r="R1447" s="30" t="s">
        <v>187</v>
      </c>
      <c r="S1447" s="81">
        <f>HLOOKUP(L1447,データについて!$J$6:$M$18,13,FALSE)</f>
        <v>3</v>
      </c>
      <c r="T1447" s="81">
        <f>HLOOKUP(M1447,データについて!$J$7:$M$18,12,FALSE)</f>
        <v>1</v>
      </c>
      <c r="U1447" s="81">
        <f>HLOOKUP(N1447,データについて!$J$8:$M$18,11,FALSE)</f>
        <v>2</v>
      </c>
      <c r="V1447" s="81">
        <f>HLOOKUP(O1447,データについて!$J$9:$M$18,10,FALSE)</f>
        <v>1</v>
      </c>
      <c r="W1447" s="81">
        <f>HLOOKUP(P1447,データについて!$J$10:$M$18,9,FALSE)</f>
        <v>1</v>
      </c>
      <c r="X1447" s="81">
        <f>HLOOKUP(Q1447,データについて!$J$11:$M$18,8,FALSE)</f>
        <v>1</v>
      </c>
      <c r="Y1447" s="81">
        <f>HLOOKUP(R1447,データについて!$J$12:$M$18,7,FALSE)</f>
        <v>3</v>
      </c>
      <c r="Z1447" s="81">
        <f>HLOOKUP(I1447,データについて!$J$3:$M$18,16,FALSE)</f>
        <v>2</v>
      </c>
      <c r="AA1447" s="81" t="str">
        <f>IFERROR(HLOOKUP(J1447,データについて!$J$4:$AH$19,16,FALSE),"")</f>
        <v/>
      </c>
      <c r="AB1447" s="81">
        <f>IFERROR(HLOOKUP(K1447,データについて!$J$5:$AH$20,14,FALSE),"")</f>
        <v>0</v>
      </c>
      <c r="AC1447" s="81">
        <f>IF(X1447=1,HLOOKUP(R1447,データについて!$J$12:$M$18,7,FALSE),"*")</f>
        <v>3</v>
      </c>
      <c r="AD1447" s="81" t="str">
        <f>IF(X1447=2,HLOOKUP(R1447,データについて!$J$12:$M$18,7,FALSE),"*")</f>
        <v>*</v>
      </c>
    </row>
    <row r="1448" spans="1:30">
      <c r="A1448" s="30">
        <v>3744</v>
      </c>
      <c r="B1448" s="30" t="s">
        <v>1035</v>
      </c>
      <c r="C1448" s="30" t="s">
        <v>1036</v>
      </c>
      <c r="D1448" s="30" t="s">
        <v>106</v>
      </c>
      <c r="E1448" s="30"/>
      <c r="F1448" s="30" t="s">
        <v>107</v>
      </c>
      <c r="G1448" s="30" t="s">
        <v>106</v>
      </c>
      <c r="H1448" s="30"/>
      <c r="I1448" s="30" t="s">
        <v>191</v>
      </c>
      <c r="J1448" s="30"/>
      <c r="K1448" s="30" t="s">
        <v>949</v>
      </c>
      <c r="L1448" s="30" t="s">
        <v>117</v>
      </c>
      <c r="M1448" s="30" t="s">
        <v>113</v>
      </c>
      <c r="N1448" s="30" t="s">
        <v>110</v>
      </c>
      <c r="O1448" s="30" t="s">
        <v>115</v>
      </c>
      <c r="P1448" s="30" t="s">
        <v>112</v>
      </c>
      <c r="Q1448" s="30" t="s">
        <v>112</v>
      </c>
      <c r="R1448" s="30" t="s">
        <v>189</v>
      </c>
      <c r="S1448" s="81">
        <f>HLOOKUP(L1448,データについて!$J$6:$M$18,13,FALSE)</f>
        <v>2</v>
      </c>
      <c r="T1448" s="81">
        <f>HLOOKUP(M1448,データについて!$J$7:$M$18,12,FALSE)</f>
        <v>1</v>
      </c>
      <c r="U1448" s="81">
        <f>HLOOKUP(N1448,データについて!$J$8:$M$18,11,FALSE)</f>
        <v>2</v>
      </c>
      <c r="V1448" s="81">
        <f>HLOOKUP(O1448,データについて!$J$9:$M$18,10,FALSE)</f>
        <v>1</v>
      </c>
      <c r="W1448" s="81">
        <f>HLOOKUP(P1448,データについて!$J$10:$M$18,9,FALSE)</f>
        <v>1</v>
      </c>
      <c r="X1448" s="81">
        <f>HLOOKUP(Q1448,データについて!$J$11:$M$18,8,FALSE)</f>
        <v>1</v>
      </c>
      <c r="Y1448" s="81">
        <f>HLOOKUP(R1448,データについて!$J$12:$M$18,7,FALSE)</f>
        <v>4</v>
      </c>
      <c r="Z1448" s="81">
        <f>HLOOKUP(I1448,データについて!$J$3:$M$18,16,FALSE)</f>
        <v>2</v>
      </c>
      <c r="AA1448" s="81" t="str">
        <f>IFERROR(HLOOKUP(J1448,データについて!$J$4:$AH$19,16,FALSE),"")</f>
        <v/>
      </c>
      <c r="AB1448" s="81">
        <f>IFERROR(HLOOKUP(K1448,データについて!$J$5:$AH$20,14,FALSE),"")</f>
        <v>0</v>
      </c>
      <c r="AC1448" s="81">
        <f>IF(X1448=1,HLOOKUP(R1448,データについて!$J$12:$M$18,7,FALSE),"*")</f>
        <v>4</v>
      </c>
      <c r="AD1448" s="81" t="str">
        <f>IF(X1448=2,HLOOKUP(R1448,データについて!$J$12:$M$18,7,FALSE),"*")</f>
        <v>*</v>
      </c>
    </row>
    <row r="1449" spans="1:30">
      <c r="A1449" s="30">
        <v>3743</v>
      </c>
      <c r="B1449" s="30" t="s">
        <v>1037</v>
      </c>
      <c r="C1449" s="30" t="s">
        <v>1038</v>
      </c>
      <c r="D1449" s="30" t="s">
        <v>106</v>
      </c>
      <c r="E1449" s="30"/>
      <c r="F1449" s="30" t="s">
        <v>107</v>
      </c>
      <c r="G1449" s="30" t="s">
        <v>106</v>
      </c>
      <c r="H1449" s="30"/>
      <c r="I1449" s="30" t="s">
        <v>191</v>
      </c>
      <c r="J1449" s="30"/>
      <c r="K1449" s="30" t="s">
        <v>949</v>
      </c>
      <c r="L1449" s="30" t="s">
        <v>108</v>
      </c>
      <c r="M1449" s="30" t="s">
        <v>113</v>
      </c>
      <c r="N1449" s="30" t="s">
        <v>114</v>
      </c>
      <c r="O1449" s="30" t="s">
        <v>115</v>
      </c>
      <c r="P1449" s="30" t="s">
        <v>112</v>
      </c>
      <c r="Q1449" s="30" t="s">
        <v>112</v>
      </c>
      <c r="R1449" s="30" t="s">
        <v>183</v>
      </c>
      <c r="S1449" s="81">
        <f>HLOOKUP(L1449,データについて!$J$6:$M$18,13,FALSE)</f>
        <v>1</v>
      </c>
      <c r="T1449" s="81">
        <f>HLOOKUP(M1449,データについて!$J$7:$M$18,12,FALSE)</f>
        <v>1</v>
      </c>
      <c r="U1449" s="81">
        <f>HLOOKUP(N1449,データについて!$J$8:$M$18,11,FALSE)</f>
        <v>1</v>
      </c>
      <c r="V1449" s="81">
        <f>HLOOKUP(O1449,データについて!$J$9:$M$18,10,FALSE)</f>
        <v>1</v>
      </c>
      <c r="W1449" s="81">
        <f>HLOOKUP(P1449,データについて!$J$10:$M$18,9,FALSE)</f>
        <v>1</v>
      </c>
      <c r="X1449" s="81">
        <f>HLOOKUP(Q1449,データについて!$J$11:$M$18,8,FALSE)</f>
        <v>1</v>
      </c>
      <c r="Y1449" s="81">
        <f>HLOOKUP(R1449,データについて!$J$12:$M$18,7,FALSE)</f>
        <v>1</v>
      </c>
      <c r="Z1449" s="81">
        <f>HLOOKUP(I1449,データについて!$J$3:$M$18,16,FALSE)</f>
        <v>2</v>
      </c>
      <c r="AA1449" s="81" t="str">
        <f>IFERROR(HLOOKUP(J1449,データについて!$J$4:$AH$19,16,FALSE),"")</f>
        <v/>
      </c>
      <c r="AB1449" s="81">
        <f>IFERROR(HLOOKUP(K1449,データについて!$J$5:$AH$20,14,FALSE),"")</f>
        <v>0</v>
      </c>
      <c r="AC1449" s="81">
        <f>IF(X1449=1,HLOOKUP(R1449,データについて!$J$12:$M$18,7,FALSE),"*")</f>
        <v>1</v>
      </c>
      <c r="AD1449" s="81" t="str">
        <f>IF(X1449=2,HLOOKUP(R1449,データについて!$J$12:$M$18,7,FALSE),"*")</f>
        <v>*</v>
      </c>
    </row>
    <row r="1450" spans="1:30">
      <c r="A1450" s="30">
        <v>3742</v>
      </c>
      <c r="B1450" s="30" t="s">
        <v>1039</v>
      </c>
      <c r="C1450" s="30" t="s">
        <v>1040</v>
      </c>
      <c r="D1450" s="30" t="s">
        <v>106</v>
      </c>
      <c r="E1450" s="30"/>
      <c r="F1450" s="30" t="s">
        <v>107</v>
      </c>
      <c r="G1450" s="30" t="s">
        <v>106</v>
      </c>
      <c r="H1450" s="30"/>
      <c r="I1450" s="30" t="s">
        <v>191</v>
      </c>
      <c r="J1450" s="30"/>
      <c r="K1450" s="30" t="s">
        <v>949</v>
      </c>
      <c r="L1450" s="30" t="s">
        <v>108</v>
      </c>
      <c r="M1450" s="30" t="s">
        <v>113</v>
      </c>
      <c r="N1450" s="30" t="s">
        <v>114</v>
      </c>
      <c r="O1450" s="30" t="s">
        <v>116</v>
      </c>
      <c r="P1450" s="30" t="s">
        <v>112</v>
      </c>
      <c r="Q1450" s="30" t="s">
        <v>112</v>
      </c>
      <c r="R1450" s="30" t="s">
        <v>183</v>
      </c>
      <c r="S1450" s="81">
        <f>HLOOKUP(L1450,データについて!$J$6:$M$18,13,FALSE)</f>
        <v>1</v>
      </c>
      <c r="T1450" s="81">
        <f>HLOOKUP(M1450,データについて!$J$7:$M$18,12,FALSE)</f>
        <v>1</v>
      </c>
      <c r="U1450" s="81">
        <f>HLOOKUP(N1450,データについて!$J$8:$M$18,11,FALSE)</f>
        <v>1</v>
      </c>
      <c r="V1450" s="81">
        <f>HLOOKUP(O1450,データについて!$J$9:$M$18,10,FALSE)</f>
        <v>2</v>
      </c>
      <c r="W1450" s="81">
        <f>HLOOKUP(P1450,データについて!$J$10:$M$18,9,FALSE)</f>
        <v>1</v>
      </c>
      <c r="X1450" s="81">
        <f>HLOOKUP(Q1450,データについて!$J$11:$M$18,8,FALSE)</f>
        <v>1</v>
      </c>
      <c r="Y1450" s="81">
        <f>HLOOKUP(R1450,データについて!$J$12:$M$18,7,FALSE)</f>
        <v>1</v>
      </c>
      <c r="Z1450" s="81">
        <f>HLOOKUP(I1450,データについて!$J$3:$M$18,16,FALSE)</f>
        <v>2</v>
      </c>
      <c r="AA1450" s="81" t="str">
        <f>IFERROR(HLOOKUP(J1450,データについて!$J$4:$AH$19,16,FALSE),"")</f>
        <v/>
      </c>
      <c r="AB1450" s="81">
        <f>IFERROR(HLOOKUP(K1450,データについて!$J$5:$AH$20,14,FALSE),"")</f>
        <v>0</v>
      </c>
      <c r="AC1450" s="81">
        <f>IF(X1450=1,HLOOKUP(R1450,データについて!$J$12:$M$18,7,FALSE),"*")</f>
        <v>1</v>
      </c>
      <c r="AD1450" s="81" t="str">
        <f>IF(X1450=2,HLOOKUP(R1450,データについて!$J$12:$M$18,7,FALSE),"*")</f>
        <v>*</v>
      </c>
    </row>
    <row r="1451" spans="1:30">
      <c r="A1451" s="30">
        <v>3741</v>
      </c>
      <c r="B1451" s="30" t="s">
        <v>1041</v>
      </c>
      <c r="C1451" s="30" t="s">
        <v>1042</v>
      </c>
      <c r="D1451" s="30" t="s">
        <v>106</v>
      </c>
      <c r="E1451" s="30"/>
      <c r="F1451" s="30" t="s">
        <v>107</v>
      </c>
      <c r="G1451" s="30" t="s">
        <v>106</v>
      </c>
      <c r="H1451" s="30"/>
      <c r="I1451" s="30" t="s">
        <v>191</v>
      </c>
      <c r="J1451" s="30"/>
      <c r="K1451" s="30" t="s">
        <v>949</v>
      </c>
      <c r="L1451" s="30" t="s">
        <v>108</v>
      </c>
      <c r="M1451" s="30" t="s">
        <v>113</v>
      </c>
      <c r="N1451" s="30" t="s">
        <v>110</v>
      </c>
      <c r="O1451" s="30" t="s">
        <v>115</v>
      </c>
      <c r="P1451" s="30" t="s">
        <v>112</v>
      </c>
      <c r="Q1451" s="30" t="s">
        <v>112</v>
      </c>
      <c r="R1451" s="30" t="s">
        <v>183</v>
      </c>
      <c r="S1451" s="81">
        <f>HLOOKUP(L1451,データについて!$J$6:$M$18,13,FALSE)</f>
        <v>1</v>
      </c>
      <c r="T1451" s="81">
        <f>HLOOKUP(M1451,データについて!$J$7:$M$18,12,FALSE)</f>
        <v>1</v>
      </c>
      <c r="U1451" s="81">
        <f>HLOOKUP(N1451,データについて!$J$8:$M$18,11,FALSE)</f>
        <v>2</v>
      </c>
      <c r="V1451" s="81">
        <f>HLOOKUP(O1451,データについて!$J$9:$M$18,10,FALSE)</f>
        <v>1</v>
      </c>
      <c r="W1451" s="81">
        <f>HLOOKUP(P1451,データについて!$J$10:$M$18,9,FALSE)</f>
        <v>1</v>
      </c>
      <c r="X1451" s="81">
        <f>HLOOKUP(Q1451,データについて!$J$11:$M$18,8,FALSE)</f>
        <v>1</v>
      </c>
      <c r="Y1451" s="81">
        <f>HLOOKUP(R1451,データについて!$J$12:$M$18,7,FALSE)</f>
        <v>1</v>
      </c>
      <c r="Z1451" s="81">
        <f>HLOOKUP(I1451,データについて!$J$3:$M$18,16,FALSE)</f>
        <v>2</v>
      </c>
      <c r="AA1451" s="81" t="str">
        <f>IFERROR(HLOOKUP(J1451,データについて!$J$4:$AH$19,16,FALSE),"")</f>
        <v/>
      </c>
      <c r="AB1451" s="81">
        <f>IFERROR(HLOOKUP(K1451,データについて!$J$5:$AH$20,14,FALSE),"")</f>
        <v>0</v>
      </c>
      <c r="AC1451" s="81">
        <f>IF(X1451=1,HLOOKUP(R1451,データについて!$J$12:$M$18,7,FALSE),"*")</f>
        <v>1</v>
      </c>
      <c r="AD1451" s="81" t="str">
        <f>IF(X1451=2,HLOOKUP(R1451,データについて!$J$12:$M$18,7,FALSE),"*")</f>
        <v>*</v>
      </c>
    </row>
    <row r="1452" spans="1:30">
      <c r="A1452" s="30">
        <v>3740</v>
      </c>
      <c r="B1452" s="30" t="s">
        <v>1043</v>
      </c>
      <c r="C1452" s="30" t="s">
        <v>1044</v>
      </c>
      <c r="D1452" s="30" t="s">
        <v>106</v>
      </c>
      <c r="E1452" s="30"/>
      <c r="F1452" s="30" t="s">
        <v>107</v>
      </c>
      <c r="G1452" s="30" t="s">
        <v>106</v>
      </c>
      <c r="H1452" s="30"/>
      <c r="I1452" s="30" t="s">
        <v>191</v>
      </c>
      <c r="J1452" s="30"/>
      <c r="K1452" s="30" t="s">
        <v>949</v>
      </c>
      <c r="L1452" s="30" t="s">
        <v>117</v>
      </c>
      <c r="M1452" s="30" t="s">
        <v>109</v>
      </c>
      <c r="N1452" s="30" t="s">
        <v>122</v>
      </c>
      <c r="O1452" s="30" t="s">
        <v>115</v>
      </c>
      <c r="P1452" s="30" t="s">
        <v>118</v>
      </c>
      <c r="Q1452" s="30" t="s">
        <v>112</v>
      </c>
      <c r="R1452" s="30" t="s">
        <v>185</v>
      </c>
      <c r="S1452" s="81">
        <f>HLOOKUP(L1452,データについて!$J$6:$M$18,13,FALSE)</f>
        <v>2</v>
      </c>
      <c r="T1452" s="81">
        <f>HLOOKUP(M1452,データについて!$J$7:$M$18,12,FALSE)</f>
        <v>2</v>
      </c>
      <c r="U1452" s="81">
        <f>HLOOKUP(N1452,データについて!$J$8:$M$18,11,FALSE)</f>
        <v>3</v>
      </c>
      <c r="V1452" s="81">
        <f>HLOOKUP(O1452,データについて!$J$9:$M$18,10,FALSE)</f>
        <v>1</v>
      </c>
      <c r="W1452" s="81">
        <f>HLOOKUP(P1452,データについて!$J$10:$M$18,9,FALSE)</f>
        <v>2</v>
      </c>
      <c r="X1452" s="81">
        <f>HLOOKUP(Q1452,データについて!$J$11:$M$18,8,FALSE)</f>
        <v>1</v>
      </c>
      <c r="Y1452" s="81">
        <f>HLOOKUP(R1452,データについて!$J$12:$M$18,7,FALSE)</f>
        <v>2</v>
      </c>
      <c r="Z1452" s="81">
        <f>HLOOKUP(I1452,データについて!$J$3:$M$18,16,FALSE)</f>
        <v>2</v>
      </c>
      <c r="AA1452" s="81" t="str">
        <f>IFERROR(HLOOKUP(J1452,データについて!$J$4:$AH$19,16,FALSE),"")</f>
        <v/>
      </c>
      <c r="AB1452" s="81">
        <f>IFERROR(HLOOKUP(K1452,データについて!$J$5:$AH$20,14,FALSE),"")</f>
        <v>0</v>
      </c>
      <c r="AC1452" s="81">
        <f>IF(X1452=1,HLOOKUP(R1452,データについて!$J$12:$M$18,7,FALSE),"*")</f>
        <v>2</v>
      </c>
      <c r="AD1452" s="81" t="str">
        <f>IF(X1452=2,HLOOKUP(R1452,データについて!$J$12:$M$18,7,FALSE),"*")</f>
        <v>*</v>
      </c>
    </row>
    <row r="1453" spans="1:30">
      <c r="A1453" s="30">
        <v>3739</v>
      </c>
      <c r="B1453" s="30" t="s">
        <v>1045</v>
      </c>
      <c r="C1453" s="30" t="s">
        <v>1046</v>
      </c>
      <c r="D1453" s="30" t="s">
        <v>106</v>
      </c>
      <c r="E1453" s="30"/>
      <c r="F1453" s="30" t="s">
        <v>107</v>
      </c>
      <c r="G1453" s="30" t="s">
        <v>106</v>
      </c>
      <c r="H1453" s="30"/>
      <c r="I1453" s="30" t="s">
        <v>191</v>
      </c>
      <c r="J1453" s="30"/>
      <c r="K1453" s="30" t="s">
        <v>949</v>
      </c>
      <c r="L1453" s="30" t="s">
        <v>108</v>
      </c>
      <c r="M1453" s="30" t="s">
        <v>113</v>
      </c>
      <c r="N1453" s="30" t="s">
        <v>110</v>
      </c>
      <c r="O1453" s="30" t="s">
        <v>115</v>
      </c>
      <c r="P1453" s="30" t="s">
        <v>118</v>
      </c>
      <c r="Q1453" s="30" t="s">
        <v>112</v>
      </c>
      <c r="R1453" s="30" t="s">
        <v>183</v>
      </c>
      <c r="S1453" s="81">
        <f>HLOOKUP(L1453,データについて!$J$6:$M$18,13,FALSE)</f>
        <v>1</v>
      </c>
      <c r="T1453" s="81">
        <f>HLOOKUP(M1453,データについて!$J$7:$M$18,12,FALSE)</f>
        <v>1</v>
      </c>
      <c r="U1453" s="81">
        <f>HLOOKUP(N1453,データについて!$J$8:$M$18,11,FALSE)</f>
        <v>2</v>
      </c>
      <c r="V1453" s="81">
        <f>HLOOKUP(O1453,データについて!$J$9:$M$18,10,FALSE)</f>
        <v>1</v>
      </c>
      <c r="W1453" s="81">
        <f>HLOOKUP(P1453,データについて!$J$10:$M$18,9,FALSE)</f>
        <v>2</v>
      </c>
      <c r="X1453" s="81">
        <f>HLOOKUP(Q1453,データについて!$J$11:$M$18,8,FALSE)</f>
        <v>1</v>
      </c>
      <c r="Y1453" s="81">
        <f>HLOOKUP(R1453,データについて!$J$12:$M$18,7,FALSE)</f>
        <v>1</v>
      </c>
      <c r="Z1453" s="81">
        <f>HLOOKUP(I1453,データについて!$J$3:$M$18,16,FALSE)</f>
        <v>2</v>
      </c>
      <c r="AA1453" s="81" t="str">
        <f>IFERROR(HLOOKUP(J1453,データについて!$J$4:$AH$19,16,FALSE),"")</f>
        <v/>
      </c>
      <c r="AB1453" s="81">
        <f>IFERROR(HLOOKUP(K1453,データについて!$J$5:$AH$20,14,FALSE),"")</f>
        <v>0</v>
      </c>
      <c r="AC1453" s="81">
        <f>IF(X1453=1,HLOOKUP(R1453,データについて!$J$12:$M$18,7,FALSE),"*")</f>
        <v>1</v>
      </c>
      <c r="AD1453" s="81" t="str">
        <f>IF(X1453=2,HLOOKUP(R1453,データについて!$J$12:$M$18,7,FALSE),"*")</f>
        <v>*</v>
      </c>
    </row>
    <row r="1454" spans="1:30">
      <c r="A1454" s="30">
        <v>3738</v>
      </c>
      <c r="B1454" s="30" t="s">
        <v>1047</v>
      </c>
      <c r="C1454" s="30" t="s">
        <v>1048</v>
      </c>
      <c r="D1454" s="30" t="s">
        <v>106</v>
      </c>
      <c r="E1454" s="30"/>
      <c r="F1454" s="30" t="s">
        <v>107</v>
      </c>
      <c r="G1454" s="30" t="s">
        <v>106</v>
      </c>
      <c r="H1454" s="30"/>
      <c r="I1454" s="30" t="s">
        <v>191</v>
      </c>
      <c r="J1454" s="30"/>
      <c r="K1454" s="30" t="s">
        <v>949</v>
      </c>
      <c r="L1454" s="30" t="s">
        <v>117</v>
      </c>
      <c r="M1454" s="30" t="s">
        <v>113</v>
      </c>
      <c r="N1454" s="30" t="s">
        <v>114</v>
      </c>
      <c r="O1454" s="30" t="s">
        <v>115</v>
      </c>
      <c r="P1454" s="30" t="s">
        <v>112</v>
      </c>
      <c r="Q1454" s="30" t="s">
        <v>112</v>
      </c>
      <c r="R1454" s="30" t="s">
        <v>185</v>
      </c>
      <c r="S1454" s="81">
        <f>HLOOKUP(L1454,データについて!$J$6:$M$18,13,FALSE)</f>
        <v>2</v>
      </c>
      <c r="T1454" s="81">
        <f>HLOOKUP(M1454,データについて!$J$7:$M$18,12,FALSE)</f>
        <v>1</v>
      </c>
      <c r="U1454" s="81">
        <f>HLOOKUP(N1454,データについて!$J$8:$M$18,11,FALSE)</f>
        <v>1</v>
      </c>
      <c r="V1454" s="81">
        <f>HLOOKUP(O1454,データについて!$J$9:$M$18,10,FALSE)</f>
        <v>1</v>
      </c>
      <c r="W1454" s="81">
        <f>HLOOKUP(P1454,データについて!$J$10:$M$18,9,FALSE)</f>
        <v>1</v>
      </c>
      <c r="X1454" s="81">
        <f>HLOOKUP(Q1454,データについて!$J$11:$M$18,8,FALSE)</f>
        <v>1</v>
      </c>
      <c r="Y1454" s="81">
        <f>HLOOKUP(R1454,データについて!$J$12:$M$18,7,FALSE)</f>
        <v>2</v>
      </c>
      <c r="Z1454" s="81">
        <f>HLOOKUP(I1454,データについて!$J$3:$M$18,16,FALSE)</f>
        <v>2</v>
      </c>
      <c r="AA1454" s="81" t="str">
        <f>IFERROR(HLOOKUP(J1454,データについて!$J$4:$AH$19,16,FALSE),"")</f>
        <v/>
      </c>
      <c r="AB1454" s="81">
        <f>IFERROR(HLOOKUP(K1454,データについて!$J$5:$AH$20,14,FALSE),"")</f>
        <v>0</v>
      </c>
      <c r="AC1454" s="81">
        <f>IF(X1454=1,HLOOKUP(R1454,データについて!$J$12:$M$18,7,FALSE),"*")</f>
        <v>2</v>
      </c>
      <c r="AD1454" s="81" t="str">
        <f>IF(X1454=2,HLOOKUP(R1454,データについて!$J$12:$M$18,7,FALSE),"*")</f>
        <v>*</v>
      </c>
    </row>
    <row r="1455" spans="1:30">
      <c r="A1455" s="30">
        <v>3737</v>
      </c>
      <c r="B1455" s="30" t="s">
        <v>1049</v>
      </c>
      <c r="C1455" s="30" t="s">
        <v>1050</v>
      </c>
      <c r="D1455" s="30" t="s">
        <v>106</v>
      </c>
      <c r="E1455" s="30"/>
      <c r="F1455" s="30" t="s">
        <v>107</v>
      </c>
      <c r="G1455" s="30" t="s">
        <v>106</v>
      </c>
      <c r="H1455" s="30"/>
      <c r="I1455" s="30" t="s">
        <v>191</v>
      </c>
      <c r="J1455" s="30"/>
      <c r="K1455" s="30" t="s">
        <v>949</v>
      </c>
      <c r="L1455" s="30" t="s">
        <v>117</v>
      </c>
      <c r="M1455" s="30" t="s">
        <v>113</v>
      </c>
      <c r="N1455" s="30" t="s">
        <v>114</v>
      </c>
      <c r="O1455" s="30" t="s">
        <v>115</v>
      </c>
      <c r="P1455" s="30" t="s">
        <v>112</v>
      </c>
      <c r="Q1455" s="30" t="s">
        <v>112</v>
      </c>
      <c r="R1455" s="30" t="s">
        <v>185</v>
      </c>
      <c r="S1455" s="81">
        <f>HLOOKUP(L1455,データについて!$J$6:$M$18,13,FALSE)</f>
        <v>2</v>
      </c>
      <c r="T1455" s="81">
        <f>HLOOKUP(M1455,データについて!$J$7:$M$18,12,FALSE)</f>
        <v>1</v>
      </c>
      <c r="U1455" s="81">
        <f>HLOOKUP(N1455,データについて!$J$8:$M$18,11,FALSE)</f>
        <v>1</v>
      </c>
      <c r="V1455" s="81">
        <f>HLOOKUP(O1455,データについて!$J$9:$M$18,10,FALSE)</f>
        <v>1</v>
      </c>
      <c r="W1455" s="81">
        <f>HLOOKUP(P1455,データについて!$J$10:$M$18,9,FALSE)</f>
        <v>1</v>
      </c>
      <c r="X1455" s="81">
        <f>HLOOKUP(Q1455,データについて!$J$11:$M$18,8,FALSE)</f>
        <v>1</v>
      </c>
      <c r="Y1455" s="81">
        <f>HLOOKUP(R1455,データについて!$J$12:$M$18,7,FALSE)</f>
        <v>2</v>
      </c>
      <c r="Z1455" s="81">
        <f>HLOOKUP(I1455,データについて!$J$3:$M$18,16,FALSE)</f>
        <v>2</v>
      </c>
      <c r="AA1455" s="81" t="str">
        <f>IFERROR(HLOOKUP(J1455,データについて!$J$4:$AH$19,16,FALSE),"")</f>
        <v/>
      </c>
      <c r="AB1455" s="81">
        <f>IFERROR(HLOOKUP(K1455,データについて!$J$5:$AH$20,14,FALSE),"")</f>
        <v>0</v>
      </c>
      <c r="AC1455" s="81">
        <f>IF(X1455=1,HLOOKUP(R1455,データについて!$J$12:$M$18,7,FALSE),"*")</f>
        <v>2</v>
      </c>
      <c r="AD1455" s="81" t="str">
        <f>IF(X1455=2,HLOOKUP(R1455,データについて!$J$12:$M$18,7,FALSE),"*")</f>
        <v>*</v>
      </c>
    </row>
    <row r="1456" spans="1:30">
      <c r="A1456" s="30">
        <v>3736</v>
      </c>
      <c r="B1456" s="30" t="s">
        <v>1051</v>
      </c>
      <c r="C1456" s="30" t="s">
        <v>1050</v>
      </c>
      <c r="D1456" s="30" t="s">
        <v>106</v>
      </c>
      <c r="E1456" s="30"/>
      <c r="F1456" s="30" t="s">
        <v>107</v>
      </c>
      <c r="G1456" s="30" t="s">
        <v>106</v>
      </c>
      <c r="H1456" s="30"/>
      <c r="I1456" s="30" t="s">
        <v>191</v>
      </c>
      <c r="J1456" s="30"/>
      <c r="K1456" s="30" t="s">
        <v>949</v>
      </c>
      <c r="L1456" s="30" t="s">
        <v>108</v>
      </c>
      <c r="M1456" s="30" t="s">
        <v>113</v>
      </c>
      <c r="N1456" s="30" t="s">
        <v>114</v>
      </c>
      <c r="O1456" s="30" t="s">
        <v>115</v>
      </c>
      <c r="P1456" s="30" t="s">
        <v>112</v>
      </c>
      <c r="Q1456" s="30" t="s">
        <v>112</v>
      </c>
      <c r="R1456" s="30" t="s">
        <v>183</v>
      </c>
      <c r="S1456" s="81">
        <f>HLOOKUP(L1456,データについて!$J$6:$M$18,13,FALSE)</f>
        <v>1</v>
      </c>
      <c r="T1456" s="81">
        <f>HLOOKUP(M1456,データについて!$J$7:$M$18,12,FALSE)</f>
        <v>1</v>
      </c>
      <c r="U1456" s="81">
        <f>HLOOKUP(N1456,データについて!$J$8:$M$18,11,FALSE)</f>
        <v>1</v>
      </c>
      <c r="V1456" s="81">
        <f>HLOOKUP(O1456,データについて!$J$9:$M$18,10,FALSE)</f>
        <v>1</v>
      </c>
      <c r="W1456" s="81">
        <f>HLOOKUP(P1456,データについて!$J$10:$M$18,9,FALSE)</f>
        <v>1</v>
      </c>
      <c r="X1456" s="81">
        <f>HLOOKUP(Q1456,データについて!$J$11:$M$18,8,FALSE)</f>
        <v>1</v>
      </c>
      <c r="Y1456" s="81">
        <f>HLOOKUP(R1456,データについて!$J$12:$M$18,7,FALSE)</f>
        <v>1</v>
      </c>
      <c r="Z1456" s="81">
        <f>HLOOKUP(I1456,データについて!$J$3:$M$18,16,FALSE)</f>
        <v>2</v>
      </c>
      <c r="AA1456" s="81" t="str">
        <f>IFERROR(HLOOKUP(J1456,データについて!$J$4:$AH$19,16,FALSE),"")</f>
        <v/>
      </c>
      <c r="AB1456" s="81">
        <f>IFERROR(HLOOKUP(K1456,データについて!$J$5:$AH$20,14,FALSE),"")</f>
        <v>0</v>
      </c>
      <c r="AC1456" s="81">
        <f>IF(X1456=1,HLOOKUP(R1456,データについて!$J$12:$M$18,7,FALSE),"*")</f>
        <v>1</v>
      </c>
      <c r="AD1456" s="81" t="str">
        <f>IF(X1456=2,HLOOKUP(R1456,データについて!$J$12:$M$18,7,FALSE),"*")</f>
        <v>*</v>
      </c>
    </row>
    <row r="1457" spans="1:30">
      <c r="A1457" s="30">
        <v>3735</v>
      </c>
      <c r="B1457" s="30" t="s">
        <v>1052</v>
      </c>
      <c r="C1457" s="30" t="s">
        <v>1053</v>
      </c>
      <c r="D1457" s="30" t="s">
        <v>106</v>
      </c>
      <c r="E1457" s="30"/>
      <c r="F1457" s="30" t="s">
        <v>107</v>
      </c>
      <c r="G1457" s="30" t="s">
        <v>106</v>
      </c>
      <c r="H1457" s="30"/>
      <c r="I1457" s="30" t="s">
        <v>191</v>
      </c>
      <c r="J1457" s="30"/>
      <c r="K1457" s="30" t="s">
        <v>949</v>
      </c>
      <c r="L1457" s="30" t="s">
        <v>108</v>
      </c>
      <c r="M1457" s="30" t="s">
        <v>109</v>
      </c>
      <c r="N1457" s="30" t="s">
        <v>114</v>
      </c>
      <c r="O1457" s="30" t="s">
        <v>115</v>
      </c>
      <c r="P1457" s="30" t="s">
        <v>112</v>
      </c>
      <c r="Q1457" s="30" t="s">
        <v>118</v>
      </c>
      <c r="R1457" s="30" t="s">
        <v>185</v>
      </c>
      <c r="S1457" s="81">
        <f>HLOOKUP(L1457,データについて!$J$6:$M$18,13,FALSE)</f>
        <v>1</v>
      </c>
      <c r="T1457" s="81">
        <f>HLOOKUP(M1457,データについて!$J$7:$M$18,12,FALSE)</f>
        <v>2</v>
      </c>
      <c r="U1457" s="81">
        <f>HLOOKUP(N1457,データについて!$J$8:$M$18,11,FALSE)</f>
        <v>1</v>
      </c>
      <c r="V1457" s="81">
        <f>HLOOKUP(O1457,データについて!$J$9:$M$18,10,FALSE)</f>
        <v>1</v>
      </c>
      <c r="W1457" s="81">
        <f>HLOOKUP(P1457,データについて!$J$10:$M$18,9,FALSE)</f>
        <v>1</v>
      </c>
      <c r="X1457" s="81">
        <f>HLOOKUP(Q1457,データについて!$J$11:$M$18,8,FALSE)</f>
        <v>2</v>
      </c>
      <c r="Y1457" s="81">
        <f>HLOOKUP(R1457,データについて!$J$12:$M$18,7,FALSE)</f>
        <v>2</v>
      </c>
      <c r="Z1457" s="81">
        <f>HLOOKUP(I1457,データについて!$J$3:$M$18,16,FALSE)</f>
        <v>2</v>
      </c>
      <c r="AA1457" s="81" t="str">
        <f>IFERROR(HLOOKUP(J1457,データについて!$J$4:$AH$19,16,FALSE),"")</f>
        <v/>
      </c>
      <c r="AB1457" s="81">
        <f>IFERROR(HLOOKUP(K1457,データについて!$J$5:$AH$20,14,FALSE),"")</f>
        <v>0</v>
      </c>
      <c r="AC1457" s="81" t="str">
        <f>IF(X1457=1,HLOOKUP(R1457,データについて!$J$12:$M$18,7,FALSE),"*")</f>
        <v>*</v>
      </c>
      <c r="AD1457" s="81">
        <f>IF(X1457=2,HLOOKUP(R1457,データについて!$J$12:$M$18,7,FALSE),"*")</f>
        <v>2</v>
      </c>
    </row>
    <row r="1458" spans="1:30">
      <c r="A1458" s="30">
        <v>3734</v>
      </c>
      <c r="B1458" s="30" t="s">
        <v>1054</v>
      </c>
      <c r="C1458" s="30" t="s">
        <v>1055</v>
      </c>
      <c r="D1458" s="30" t="s">
        <v>106</v>
      </c>
      <c r="E1458" s="30"/>
      <c r="F1458" s="30" t="s">
        <v>107</v>
      </c>
      <c r="G1458" s="30" t="s">
        <v>106</v>
      </c>
      <c r="H1458" s="30"/>
      <c r="I1458" s="30" t="s">
        <v>191</v>
      </c>
      <c r="J1458" s="30"/>
      <c r="K1458" s="30" t="s">
        <v>949</v>
      </c>
      <c r="L1458" s="30" t="s">
        <v>108</v>
      </c>
      <c r="M1458" s="30" t="s">
        <v>109</v>
      </c>
      <c r="N1458" s="30" t="s">
        <v>110</v>
      </c>
      <c r="O1458" s="30" t="s">
        <v>115</v>
      </c>
      <c r="P1458" s="30" t="s">
        <v>112</v>
      </c>
      <c r="Q1458" s="30" t="s">
        <v>112</v>
      </c>
      <c r="R1458" s="30" t="s">
        <v>185</v>
      </c>
      <c r="S1458" s="81">
        <f>HLOOKUP(L1458,データについて!$J$6:$M$18,13,FALSE)</f>
        <v>1</v>
      </c>
      <c r="T1458" s="81">
        <f>HLOOKUP(M1458,データについて!$J$7:$M$18,12,FALSE)</f>
        <v>2</v>
      </c>
      <c r="U1458" s="81">
        <f>HLOOKUP(N1458,データについて!$J$8:$M$18,11,FALSE)</f>
        <v>2</v>
      </c>
      <c r="V1458" s="81">
        <f>HLOOKUP(O1458,データについて!$J$9:$M$18,10,FALSE)</f>
        <v>1</v>
      </c>
      <c r="W1458" s="81">
        <f>HLOOKUP(P1458,データについて!$J$10:$M$18,9,FALSE)</f>
        <v>1</v>
      </c>
      <c r="X1458" s="81">
        <f>HLOOKUP(Q1458,データについて!$J$11:$M$18,8,FALSE)</f>
        <v>1</v>
      </c>
      <c r="Y1458" s="81">
        <f>HLOOKUP(R1458,データについて!$J$12:$M$18,7,FALSE)</f>
        <v>2</v>
      </c>
      <c r="Z1458" s="81">
        <f>HLOOKUP(I1458,データについて!$J$3:$M$18,16,FALSE)</f>
        <v>2</v>
      </c>
      <c r="AA1458" s="81" t="str">
        <f>IFERROR(HLOOKUP(J1458,データについて!$J$4:$AH$19,16,FALSE),"")</f>
        <v/>
      </c>
      <c r="AB1458" s="81">
        <f>IFERROR(HLOOKUP(K1458,データについて!$J$5:$AH$20,14,FALSE),"")</f>
        <v>0</v>
      </c>
      <c r="AC1458" s="81">
        <f>IF(X1458=1,HLOOKUP(R1458,データについて!$J$12:$M$18,7,FALSE),"*")</f>
        <v>2</v>
      </c>
      <c r="AD1458" s="81" t="str">
        <f>IF(X1458=2,HLOOKUP(R1458,データについて!$J$12:$M$18,7,FALSE),"*")</f>
        <v>*</v>
      </c>
    </row>
    <row r="1459" spans="1:30">
      <c r="A1459" s="30">
        <v>3733</v>
      </c>
      <c r="B1459" s="30" t="s">
        <v>1056</v>
      </c>
      <c r="C1459" s="30" t="s">
        <v>1057</v>
      </c>
      <c r="D1459" s="30" t="s">
        <v>106</v>
      </c>
      <c r="E1459" s="30"/>
      <c r="F1459" s="30" t="s">
        <v>107</v>
      </c>
      <c r="G1459" s="30" t="s">
        <v>106</v>
      </c>
      <c r="H1459" s="30"/>
      <c r="I1459" s="30" t="s">
        <v>191</v>
      </c>
      <c r="J1459" s="30"/>
      <c r="K1459" s="30" t="s">
        <v>949</v>
      </c>
      <c r="L1459" s="30" t="s">
        <v>108</v>
      </c>
      <c r="M1459" s="30" t="s">
        <v>113</v>
      </c>
      <c r="N1459" s="30" t="s">
        <v>114</v>
      </c>
      <c r="O1459" s="30" t="s">
        <v>115</v>
      </c>
      <c r="P1459" s="30" t="s">
        <v>112</v>
      </c>
      <c r="Q1459" s="30" t="s">
        <v>118</v>
      </c>
      <c r="R1459" s="30" t="s">
        <v>185</v>
      </c>
      <c r="S1459" s="81">
        <f>HLOOKUP(L1459,データについて!$J$6:$M$18,13,FALSE)</f>
        <v>1</v>
      </c>
      <c r="T1459" s="81">
        <f>HLOOKUP(M1459,データについて!$J$7:$M$18,12,FALSE)</f>
        <v>1</v>
      </c>
      <c r="U1459" s="81">
        <f>HLOOKUP(N1459,データについて!$J$8:$M$18,11,FALSE)</f>
        <v>1</v>
      </c>
      <c r="V1459" s="81">
        <f>HLOOKUP(O1459,データについて!$J$9:$M$18,10,FALSE)</f>
        <v>1</v>
      </c>
      <c r="W1459" s="81">
        <f>HLOOKUP(P1459,データについて!$J$10:$M$18,9,FALSE)</f>
        <v>1</v>
      </c>
      <c r="X1459" s="81">
        <f>HLOOKUP(Q1459,データについて!$J$11:$M$18,8,FALSE)</f>
        <v>2</v>
      </c>
      <c r="Y1459" s="81">
        <f>HLOOKUP(R1459,データについて!$J$12:$M$18,7,FALSE)</f>
        <v>2</v>
      </c>
      <c r="Z1459" s="81">
        <f>HLOOKUP(I1459,データについて!$J$3:$M$18,16,FALSE)</f>
        <v>2</v>
      </c>
      <c r="AA1459" s="81" t="str">
        <f>IFERROR(HLOOKUP(J1459,データについて!$J$4:$AH$19,16,FALSE),"")</f>
        <v/>
      </c>
      <c r="AB1459" s="81">
        <f>IFERROR(HLOOKUP(K1459,データについて!$J$5:$AH$20,14,FALSE),"")</f>
        <v>0</v>
      </c>
      <c r="AC1459" s="81" t="str">
        <f>IF(X1459=1,HLOOKUP(R1459,データについて!$J$12:$M$18,7,FALSE),"*")</f>
        <v>*</v>
      </c>
      <c r="AD1459" s="81">
        <f>IF(X1459=2,HLOOKUP(R1459,データについて!$J$12:$M$18,7,FALSE),"*")</f>
        <v>2</v>
      </c>
    </row>
    <row r="1460" spans="1:30">
      <c r="A1460" s="30">
        <v>3732</v>
      </c>
      <c r="B1460" s="30" t="s">
        <v>1058</v>
      </c>
      <c r="C1460" s="30" t="s">
        <v>1059</v>
      </c>
      <c r="D1460" s="30" t="s">
        <v>106</v>
      </c>
      <c r="E1460" s="30"/>
      <c r="F1460" s="30" t="s">
        <v>107</v>
      </c>
      <c r="G1460" s="30" t="s">
        <v>106</v>
      </c>
      <c r="H1460" s="30"/>
      <c r="I1460" s="30" t="s">
        <v>191</v>
      </c>
      <c r="J1460" s="30"/>
      <c r="K1460" s="30" t="s">
        <v>949</v>
      </c>
      <c r="L1460" s="30" t="s">
        <v>108</v>
      </c>
      <c r="M1460" s="30" t="s">
        <v>113</v>
      </c>
      <c r="N1460" s="30" t="s">
        <v>114</v>
      </c>
      <c r="O1460" s="30" t="s">
        <v>115</v>
      </c>
      <c r="P1460" s="30" t="s">
        <v>112</v>
      </c>
      <c r="Q1460" s="30" t="s">
        <v>112</v>
      </c>
      <c r="R1460" s="30" t="s">
        <v>183</v>
      </c>
      <c r="S1460" s="81">
        <f>HLOOKUP(L1460,データについて!$J$6:$M$18,13,FALSE)</f>
        <v>1</v>
      </c>
      <c r="T1460" s="81">
        <f>HLOOKUP(M1460,データについて!$J$7:$M$18,12,FALSE)</f>
        <v>1</v>
      </c>
      <c r="U1460" s="81">
        <f>HLOOKUP(N1460,データについて!$J$8:$M$18,11,FALSE)</f>
        <v>1</v>
      </c>
      <c r="V1460" s="81">
        <f>HLOOKUP(O1460,データについて!$J$9:$M$18,10,FALSE)</f>
        <v>1</v>
      </c>
      <c r="W1460" s="81">
        <f>HLOOKUP(P1460,データについて!$J$10:$M$18,9,FALSE)</f>
        <v>1</v>
      </c>
      <c r="X1460" s="81">
        <f>HLOOKUP(Q1460,データについて!$J$11:$M$18,8,FALSE)</f>
        <v>1</v>
      </c>
      <c r="Y1460" s="81">
        <f>HLOOKUP(R1460,データについて!$J$12:$M$18,7,FALSE)</f>
        <v>1</v>
      </c>
      <c r="Z1460" s="81">
        <f>HLOOKUP(I1460,データについて!$J$3:$M$18,16,FALSE)</f>
        <v>2</v>
      </c>
      <c r="AA1460" s="81" t="str">
        <f>IFERROR(HLOOKUP(J1460,データについて!$J$4:$AH$19,16,FALSE),"")</f>
        <v/>
      </c>
      <c r="AB1460" s="81">
        <f>IFERROR(HLOOKUP(K1460,データについて!$J$5:$AH$20,14,FALSE),"")</f>
        <v>0</v>
      </c>
      <c r="AC1460" s="81">
        <f>IF(X1460=1,HLOOKUP(R1460,データについて!$J$12:$M$18,7,FALSE),"*")</f>
        <v>1</v>
      </c>
      <c r="AD1460" s="81" t="str">
        <f>IF(X1460=2,HLOOKUP(R1460,データについて!$J$12:$M$18,7,FALSE),"*")</f>
        <v>*</v>
      </c>
    </row>
    <row r="1461" spans="1:30">
      <c r="A1461" s="30">
        <v>3731</v>
      </c>
      <c r="B1461" s="30" t="s">
        <v>1060</v>
      </c>
      <c r="C1461" s="30" t="s">
        <v>1061</v>
      </c>
      <c r="D1461" s="30" t="s">
        <v>106</v>
      </c>
      <c r="E1461" s="30"/>
      <c r="F1461" s="30" t="s">
        <v>107</v>
      </c>
      <c r="G1461" s="30" t="s">
        <v>106</v>
      </c>
      <c r="H1461" s="30"/>
      <c r="I1461" s="30" t="s">
        <v>191</v>
      </c>
      <c r="J1461" s="30"/>
      <c r="K1461" s="30" t="s">
        <v>949</v>
      </c>
      <c r="L1461" s="30" t="s">
        <v>117</v>
      </c>
      <c r="M1461" s="30" t="s">
        <v>113</v>
      </c>
      <c r="N1461" s="30" t="s">
        <v>110</v>
      </c>
      <c r="O1461" s="30" t="s">
        <v>115</v>
      </c>
      <c r="P1461" s="30" t="s">
        <v>112</v>
      </c>
      <c r="Q1461" s="30" t="s">
        <v>112</v>
      </c>
      <c r="R1461" s="30" t="s">
        <v>185</v>
      </c>
      <c r="S1461" s="81">
        <f>HLOOKUP(L1461,データについて!$J$6:$M$18,13,FALSE)</f>
        <v>2</v>
      </c>
      <c r="T1461" s="81">
        <f>HLOOKUP(M1461,データについて!$J$7:$M$18,12,FALSE)</f>
        <v>1</v>
      </c>
      <c r="U1461" s="81">
        <f>HLOOKUP(N1461,データについて!$J$8:$M$18,11,FALSE)</f>
        <v>2</v>
      </c>
      <c r="V1461" s="81">
        <f>HLOOKUP(O1461,データについて!$J$9:$M$18,10,FALSE)</f>
        <v>1</v>
      </c>
      <c r="W1461" s="81">
        <f>HLOOKUP(P1461,データについて!$J$10:$M$18,9,FALSE)</f>
        <v>1</v>
      </c>
      <c r="X1461" s="81">
        <f>HLOOKUP(Q1461,データについて!$J$11:$M$18,8,FALSE)</f>
        <v>1</v>
      </c>
      <c r="Y1461" s="81">
        <f>HLOOKUP(R1461,データについて!$J$12:$M$18,7,FALSE)</f>
        <v>2</v>
      </c>
      <c r="Z1461" s="81">
        <f>HLOOKUP(I1461,データについて!$J$3:$M$18,16,FALSE)</f>
        <v>2</v>
      </c>
      <c r="AA1461" s="81" t="str">
        <f>IFERROR(HLOOKUP(J1461,データについて!$J$4:$AH$19,16,FALSE),"")</f>
        <v/>
      </c>
      <c r="AB1461" s="81">
        <f>IFERROR(HLOOKUP(K1461,データについて!$J$5:$AH$20,14,FALSE),"")</f>
        <v>0</v>
      </c>
      <c r="AC1461" s="81">
        <f>IF(X1461=1,HLOOKUP(R1461,データについて!$J$12:$M$18,7,FALSE),"*")</f>
        <v>2</v>
      </c>
      <c r="AD1461" s="81" t="str">
        <f>IF(X1461=2,HLOOKUP(R1461,データについて!$J$12:$M$18,7,FALSE),"*")</f>
        <v>*</v>
      </c>
    </row>
    <row r="1462" spans="1:30">
      <c r="A1462" s="30">
        <v>3730</v>
      </c>
      <c r="B1462" s="30" t="s">
        <v>1062</v>
      </c>
      <c r="C1462" s="30" t="s">
        <v>1063</v>
      </c>
      <c r="D1462" s="30" t="s">
        <v>106</v>
      </c>
      <c r="E1462" s="30"/>
      <c r="F1462" s="30" t="s">
        <v>107</v>
      </c>
      <c r="G1462" s="30" t="s">
        <v>106</v>
      </c>
      <c r="H1462" s="30"/>
      <c r="I1462" s="30" t="s">
        <v>191</v>
      </c>
      <c r="J1462" s="30"/>
      <c r="K1462" s="30" t="s">
        <v>949</v>
      </c>
      <c r="L1462" s="30" t="s">
        <v>108</v>
      </c>
      <c r="M1462" s="30" t="s">
        <v>113</v>
      </c>
      <c r="N1462" s="30" t="s">
        <v>110</v>
      </c>
      <c r="O1462" s="30" t="s">
        <v>115</v>
      </c>
      <c r="P1462" s="30" t="s">
        <v>112</v>
      </c>
      <c r="Q1462" s="30" t="s">
        <v>118</v>
      </c>
      <c r="R1462" s="30" t="s">
        <v>189</v>
      </c>
      <c r="S1462" s="81">
        <f>HLOOKUP(L1462,データについて!$J$6:$M$18,13,FALSE)</f>
        <v>1</v>
      </c>
      <c r="T1462" s="81">
        <f>HLOOKUP(M1462,データについて!$J$7:$M$18,12,FALSE)</f>
        <v>1</v>
      </c>
      <c r="U1462" s="81">
        <f>HLOOKUP(N1462,データについて!$J$8:$M$18,11,FALSE)</f>
        <v>2</v>
      </c>
      <c r="V1462" s="81">
        <f>HLOOKUP(O1462,データについて!$J$9:$M$18,10,FALSE)</f>
        <v>1</v>
      </c>
      <c r="W1462" s="81">
        <f>HLOOKUP(P1462,データについて!$J$10:$M$18,9,FALSE)</f>
        <v>1</v>
      </c>
      <c r="X1462" s="81">
        <f>HLOOKUP(Q1462,データについて!$J$11:$M$18,8,FALSE)</f>
        <v>2</v>
      </c>
      <c r="Y1462" s="81">
        <f>HLOOKUP(R1462,データについて!$J$12:$M$18,7,FALSE)</f>
        <v>4</v>
      </c>
      <c r="Z1462" s="81">
        <f>HLOOKUP(I1462,データについて!$J$3:$M$18,16,FALSE)</f>
        <v>2</v>
      </c>
      <c r="AA1462" s="81" t="str">
        <f>IFERROR(HLOOKUP(J1462,データについて!$J$4:$AH$19,16,FALSE),"")</f>
        <v/>
      </c>
      <c r="AB1462" s="81">
        <f>IFERROR(HLOOKUP(K1462,データについて!$J$5:$AH$20,14,FALSE),"")</f>
        <v>0</v>
      </c>
      <c r="AC1462" s="81" t="str">
        <f>IF(X1462=1,HLOOKUP(R1462,データについて!$J$12:$M$18,7,FALSE),"*")</f>
        <v>*</v>
      </c>
      <c r="AD1462" s="81">
        <f>IF(X1462=2,HLOOKUP(R1462,データについて!$J$12:$M$18,7,FALSE),"*")</f>
        <v>4</v>
      </c>
    </row>
    <row r="1463" spans="1:30">
      <c r="A1463" s="30">
        <v>3729</v>
      </c>
      <c r="B1463" s="30" t="s">
        <v>1064</v>
      </c>
      <c r="C1463" s="30" t="s">
        <v>1063</v>
      </c>
      <c r="D1463" s="30" t="s">
        <v>106</v>
      </c>
      <c r="E1463" s="30"/>
      <c r="F1463" s="30" t="s">
        <v>107</v>
      </c>
      <c r="G1463" s="30" t="s">
        <v>106</v>
      </c>
      <c r="H1463" s="30"/>
      <c r="I1463" s="30" t="s">
        <v>191</v>
      </c>
      <c r="J1463" s="30"/>
      <c r="K1463" s="30" t="s">
        <v>949</v>
      </c>
      <c r="L1463" s="30" t="s">
        <v>108</v>
      </c>
      <c r="M1463" s="30" t="s">
        <v>113</v>
      </c>
      <c r="N1463" s="30" t="s">
        <v>114</v>
      </c>
      <c r="O1463" s="30" t="s">
        <v>115</v>
      </c>
      <c r="P1463" s="30" t="s">
        <v>112</v>
      </c>
      <c r="Q1463" s="30" t="s">
        <v>118</v>
      </c>
      <c r="R1463" s="30" t="s">
        <v>185</v>
      </c>
      <c r="S1463" s="81">
        <f>HLOOKUP(L1463,データについて!$J$6:$M$18,13,FALSE)</f>
        <v>1</v>
      </c>
      <c r="T1463" s="81">
        <f>HLOOKUP(M1463,データについて!$J$7:$M$18,12,FALSE)</f>
        <v>1</v>
      </c>
      <c r="U1463" s="81">
        <f>HLOOKUP(N1463,データについて!$J$8:$M$18,11,FALSE)</f>
        <v>1</v>
      </c>
      <c r="V1463" s="81">
        <f>HLOOKUP(O1463,データについて!$J$9:$M$18,10,FALSE)</f>
        <v>1</v>
      </c>
      <c r="W1463" s="81">
        <f>HLOOKUP(P1463,データについて!$J$10:$M$18,9,FALSE)</f>
        <v>1</v>
      </c>
      <c r="X1463" s="81">
        <f>HLOOKUP(Q1463,データについて!$J$11:$M$18,8,FALSE)</f>
        <v>2</v>
      </c>
      <c r="Y1463" s="81">
        <f>HLOOKUP(R1463,データについて!$J$12:$M$18,7,FALSE)</f>
        <v>2</v>
      </c>
      <c r="Z1463" s="81">
        <f>HLOOKUP(I1463,データについて!$J$3:$M$18,16,FALSE)</f>
        <v>2</v>
      </c>
      <c r="AA1463" s="81" t="str">
        <f>IFERROR(HLOOKUP(J1463,データについて!$J$4:$AH$19,16,FALSE),"")</f>
        <v/>
      </c>
      <c r="AB1463" s="81">
        <f>IFERROR(HLOOKUP(K1463,データについて!$J$5:$AH$20,14,FALSE),"")</f>
        <v>0</v>
      </c>
      <c r="AC1463" s="81" t="str">
        <f>IF(X1463=1,HLOOKUP(R1463,データについて!$J$12:$M$18,7,FALSE),"*")</f>
        <v>*</v>
      </c>
      <c r="AD1463" s="81">
        <f>IF(X1463=2,HLOOKUP(R1463,データについて!$J$12:$M$18,7,FALSE),"*")</f>
        <v>2</v>
      </c>
    </row>
    <row r="1464" spans="1:30">
      <c r="A1464" s="30">
        <v>3728</v>
      </c>
      <c r="B1464" s="30" t="s">
        <v>1065</v>
      </c>
      <c r="C1464" s="30" t="s">
        <v>1066</v>
      </c>
      <c r="D1464" s="30" t="s">
        <v>106</v>
      </c>
      <c r="E1464" s="30"/>
      <c r="F1464" s="30" t="s">
        <v>107</v>
      </c>
      <c r="G1464" s="30" t="s">
        <v>106</v>
      </c>
      <c r="H1464" s="30"/>
      <c r="I1464" s="30" t="s">
        <v>191</v>
      </c>
      <c r="J1464" s="30"/>
      <c r="K1464" s="30" t="s">
        <v>949</v>
      </c>
      <c r="L1464" s="30" t="s">
        <v>117</v>
      </c>
      <c r="M1464" s="30" t="s">
        <v>109</v>
      </c>
      <c r="N1464" s="30" t="s">
        <v>110</v>
      </c>
      <c r="O1464" s="30" t="s">
        <v>116</v>
      </c>
      <c r="P1464" s="30" t="s">
        <v>112</v>
      </c>
      <c r="Q1464" s="30" t="s">
        <v>112</v>
      </c>
      <c r="R1464" s="30" t="s">
        <v>187</v>
      </c>
      <c r="S1464" s="81">
        <f>HLOOKUP(L1464,データについて!$J$6:$M$18,13,FALSE)</f>
        <v>2</v>
      </c>
      <c r="T1464" s="81">
        <f>HLOOKUP(M1464,データについて!$J$7:$M$18,12,FALSE)</f>
        <v>2</v>
      </c>
      <c r="U1464" s="81">
        <f>HLOOKUP(N1464,データについて!$J$8:$M$18,11,FALSE)</f>
        <v>2</v>
      </c>
      <c r="V1464" s="81">
        <f>HLOOKUP(O1464,データについて!$J$9:$M$18,10,FALSE)</f>
        <v>2</v>
      </c>
      <c r="W1464" s="81">
        <f>HLOOKUP(P1464,データについて!$J$10:$M$18,9,FALSE)</f>
        <v>1</v>
      </c>
      <c r="X1464" s="81">
        <f>HLOOKUP(Q1464,データについて!$J$11:$M$18,8,FALSE)</f>
        <v>1</v>
      </c>
      <c r="Y1464" s="81">
        <f>HLOOKUP(R1464,データについて!$J$12:$M$18,7,FALSE)</f>
        <v>3</v>
      </c>
      <c r="Z1464" s="81">
        <f>HLOOKUP(I1464,データについて!$J$3:$M$18,16,FALSE)</f>
        <v>2</v>
      </c>
      <c r="AA1464" s="81" t="str">
        <f>IFERROR(HLOOKUP(J1464,データについて!$J$4:$AH$19,16,FALSE),"")</f>
        <v/>
      </c>
      <c r="AB1464" s="81">
        <f>IFERROR(HLOOKUP(K1464,データについて!$J$5:$AH$20,14,FALSE),"")</f>
        <v>0</v>
      </c>
      <c r="AC1464" s="81">
        <f>IF(X1464=1,HLOOKUP(R1464,データについて!$J$12:$M$18,7,FALSE),"*")</f>
        <v>3</v>
      </c>
      <c r="AD1464" s="81" t="str">
        <f>IF(X1464=2,HLOOKUP(R1464,データについて!$J$12:$M$18,7,FALSE),"*")</f>
        <v>*</v>
      </c>
    </row>
    <row r="1465" spans="1:30">
      <c r="A1465" s="30">
        <v>3727</v>
      </c>
      <c r="B1465" s="30" t="s">
        <v>1067</v>
      </c>
      <c r="C1465" s="30" t="s">
        <v>1066</v>
      </c>
      <c r="D1465" s="30" t="s">
        <v>106</v>
      </c>
      <c r="E1465" s="30"/>
      <c r="F1465" s="30" t="s">
        <v>107</v>
      </c>
      <c r="G1465" s="30" t="s">
        <v>106</v>
      </c>
      <c r="H1465" s="30"/>
      <c r="I1465" s="30" t="s">
        <v>191</v>
      </c>
      <c r="J1465" s="30"/>
      <c r="K1465" s="30" t="s">
        <v>949</v>
      </c>
      <c r="L1465" s="30" t="s">
        <v>108</v>
      </c>
      <c r="M1465" s="30" t="s">
        <v>113</v>
      </c>
      <c r="N1465" s="30" t="s">
        <v>122</v>
      </c>
      <c r="O1465" s="30" t="s">
        <v>115</v>
      </c>
      <c r="P1465" s="30" t="s">
        <v>118</v>
      </c>
      <c r="Q1465" s="30" t="s">
        <v>112</v>
      </c>
      <c r="R1465" s="30" t="s">
        <v>185</v>
      </c>
      <c r="S1465" s="81">
        <f>HLOOKUP(L1465,データについて!$J$6:$M$18,13,FALSE)</f>
        <v>1</v>
      </c>
      <c r="T1465" s="81">
        <f>HLOOKUP(M1465,データについて!$J$7:$M$18,12,FALSE)</f>
        <v>1</v>
      </c>
      <c r="U1465" s="81">
        <f>HLOOKUP(N1465,データについて!$J$8:$M$18,11,FALSE)</f>
        <v>3</v>
      </c>
      <c r="V1465" s="81">
        <f>HLOOKUP(O1465,データについて!$J$9:$M$18,10,FALSE)</f>
        <v>1</v>
      </c>
      <c r="W1465" s="81">
        <f>HLOOKUP(P1465,データについて!$J$10:$M$18,9,FALSE)</f>
        <v>2</v>
      </c>
      <c r="X1465" s="81">
        <f>HLOOKUP(Q1465,データについて!$J$11:$M$18,8,FALSE)</f>
        <v>1</v>
      </c>
      <c r="Y1465" s="81">
        <f>HLOOKUP(R1465,データについて!$J$12:$M$18,7,FALSE)</f>
        <v>2</v>
      </c>
      <c r="Z1465" s="81">
        <f>HLOOKUP(I1465,データについて!$J$3:$M$18,16,FALSE)</f>
        <v>2</v>
      </c>
      <c r="AA1465" s="81" t="str">
        <f>IFERROR(HLOOKUP(J1465,データについて!$J$4:$AH$19,16,FALSE),"")</f>
        <v/>
      </c>
      <c r="AB1465" s="81">
        <f>IFERROR(HLOOKUP(K1465,データについて!$J$5:$AH$20,14,FALSE),"")</f>
        <v>0</v>
      </c>
      <c r="AC1465" s="81">
        <f>IF(X1465=1,HLOOKUP(R1465,データについて!$J$12:$M$18,7,FALSE),"*")</f>
        <v>2</v>
      </c>
      <c r="AD1465" s="81" t="str">
        <f>IF(X1465=2,HLOOKUP(R1465,データについて!$J$12:$M$18,7,FALSE),"*")</f>
        <v>*</v>
      </c>
    </row>
    <row r="1466" spans="1:30">
      <c r="A1466" s="30">
        <v>3726</v>
      </c>
      <c r="B1466" s="30" t="s">
        <v>1068</v>
      </c>
      <c r="C1466" s="30" t="s">
        <v>1069</v>
      </c>
      <c r="D1466" s="30" t="s">
        <v>106</v>
      </c>
      <c r="E1466" s="30"/>
      <c r="F1466" s="30" t="s">
        <v>107</v>
      </c>
      <c r="G1466" s="30" t="s">
        <v>106</v>
      </c>
      <c r="H1466" s="30"/>
      <c r="I1466" s="30" t="s">
        <v>191</v>
      </c>
      <c r="J1466" s="30"/>
      <c r="K1466" s="30" t="s">
        <v>949</v>
      </c>
      <c r="L1466" s="30" t="s">
        <v>117</v>
      </c>
      <c r="M1466" s="30" t="s">
        <v>113</v>
      </c>
      <c r="N1466" s="30" t="s">
        <v>110</v>
      </c>
      <c r="O1466" s="30" t="s">
        <v>115</v>
      </c>
      <c r="P1466" s="30" t="s">
        <v>112</v>
      </c>
      <c r="Q1466" s="30" t="s">
        <v>112</v>
      </c>
      <c r="R1466" s="30" t="s">
        <v>185</v>
      </c>
      <c r="S1466" s="81">
        <f>HLOOKUP(L1466,データについて!$J$6:$M$18,13,FALSE)</f>
        <v>2</v>
      </c>
      <c r="T1466" s="81">
        <f>HLOOKUP(M1466,データについて!$J$7:$M$18,12,FALSE)</f>
        <v>1</v>
      </c>
      <c r="U1466" s="81">
        <f>HLOOKUP(N1466,データについて!$J$8:$M$18,11,FALSE)</f>
        <v>2</v>
      </c>
      <c r="V1466" s="81">
        <f>HLOOKUP(O1466,データについて!$J$9:$M$18,10,FALSE)</f>
        <v>1</v>
      </c>
      <c r="W1466" s="81">
        <f>HLOOKUP(P1466,データについて!$J$10:$M$18,9,FALSE)</f>
        <v>1</v>
      </c>
      <c r="X1466" s="81">
        <f>HLOOKUP(Q1466,データについて!$J$11:$M$18,8,FALSE)</f>
        <v>1</v>
      </c>
      <c r="Y1466" s="81">
        <f>HLOOKUP(R1466,データについて!$J$12:$M$18,7,FALSE)</f>
        <v>2</v>
      </c>
      <c r="Z1466" s="81">
        <f>HLOOKUP(I1466,データについて!$J$3:$M$18,16,FALSE)</f>
        <v>2</v>
      </c>
      <c r="AA1466" s="81" t="str">
        <f>IFERROR(HLOOKUP(J1466,データについて!$J$4:$AH$19,16,FALSE),"")</f>
        <v/>
      </c>
      <c r="AB1466" s="81">
        <f>IFERROR(HLOOKUP(K1466,データについて!$J$5:$AH$20,14,FALSE),"")</f>
        <v>0</v>
      </c>
      <c r="AC1466" s="81">
        <f>IF(X1466=1,HLOOKUP(R1466,データについて!$J$12:$M$18,7,FALSE),"*")</f>
        <v>2</v>
      </c>
      <c r="AD1466" s="81" t="str">
        <f>IF(X1466=2,HLOOKUP(R1466,データについて!$J$12:$M$18,7,FALSE),"*")</f>
        <v>*</v>
      </c>
    </row>
    <row r="1467" spans="1:30">
      <c r="A1467" s="30">
        <v>3725</v>
      </c>
      <c r="B1467" s="30" t="s">
        <v>1070</v>
      </c>
      <c r="C1467" s="30" t="s">
        <v>1069</v>
      </c>
      <c r="D1467" s="30" t="s">
        <v>106</v>
      </c>
      <c r="E1467" s="30"/>
      <c r="F1467" s="30" t="s">
        <v>107</v>
      </c>
      <c r="G1467" s="30" t="s">
        <v>106</v>
      </c>
      <c r="H1467" s="30"/>
      <c r="I1467" s="30" t="s">
        <v>191</v>
      </c>
      <c r="J1467" s="30"/>
      <c r="K1467" s="30" t="s">
        <v>949</v>
      </c>
      <c r="L1467" s="30" t="s">
        <v>108</v>
      </c>
      <c r="M1467" s="30" t="s">
        <v>113</v>
      </c>
      <c r="N1467" s="30" t="s">
        <v>110</v>
      </c>
      <c r="O1467" s="30" t="s">
        <v>115</v>
      </c>
      <c r="P1467" s="30" t="s">
        <v>112</v>
      </c>
      <c r="Q1467" s="30" t="s">
        <v>118</v>
      </c>
      <c r="R1467" s="30" t="s">
        <v>185</v>
      </c>
      <c r="S1467" s="81">
        <f>HLOOKUP(L1467,データについて!$J$6:$M$18,13,FALSE)</f>
        <v>1</v>
      </c>
      <c r="T1467" s="81">
        <f>HLOOKUP(M1467,データについて!$J$7:$M$18,12,FALSE)</f>
        <v>1</v>
      </c>
      <c r="U1467" s="81">
        <f>HLOOKUP(N1467,データについて!$J$8:$M$18,11,FALSE)</f>
        <v>2</v>
      </c>
      <c r="V1467" s="81">
        <f>HLOOKUP(O1467,データについて!$J$9:$M$18,10,FALSE)</f>
        <v>1</v>
      </c>
      <c r="W1467" s="81">
        <f>HLOOKUP(P1467,データについて!$J$10:$M$18,9,FALSE)</f>
        <v>1</v>
      </c>
      <c r="X1467" s="81">
        <f>HLOOKUP(Q1467,データについて!$J$11:$M$18,8,FALSE)</f>
        <v>2</v>
      </c>
      <c r="Y1467" s="81">
        <f>HLOOKUP(R1467,データについて!$J$12:$M$18,7,FALSE)</f>
        <v>2</v>
      </c>
      <c r="Z1467" s="81">
        <f>HLOOKUP(I1467,データについて!$J$3:$M$18,16,FALSE)</f>
        <v>2</v>
      </c>
      <c r="AA1467" s="81" t="str">
        <f>IFERROR(HLOOKUP(J1467,データについて!$J$4:$AH$19,16,FALSE),"")</f>
        <v/>
      </c>
      <c r="AB1467" s="81">
        <f>IFERROR(HLOOKUP(K1467,データについて!$J$5:$AH$20,14,FALSE),"")</f>
        <v>0</v>
      </c>
      <c r="AC1467" s="81" t="str">
        <f>IF(X1467=1,HLOOKUP(R1467,データについて!$J$12:$M$18,7,FALSE),"*")</f>
        <v>*</v>
      </c>
      <c r="AD1467" s="81">
        <f>IF(X1467=2,HLOOKUP(R1467,データについて!$J$12:$M$18,7,FALSE),"*")</f>
        <v>2</v>
      </c>
    </row>
    <row r="1468" spans="1:30">
      <c r="A1468" s="30">
        <v>3724</v>
      </c>
      <c r="B1468" s="30" t="s">
        <v>1071</v>
      </c>
      <c r="C1468" s="30" t="s">
        <v>1069</v>
      </c>
      <c r="D1468" s="30" t="s">
        <v>106</v>
      </c>
      <c r="E1468" s="30"/>
      <c r="F1468" s="30" t="s">
        <v>107</v>
      </c>
      <c r="G1468" s="30" t="s">
        <v>106</v>
      </c>
      <c r="H1468" s="30"/>
      <c r="I1468" s="30" t="s">
        <v>191</v>
      </c>
      <c r="J1468" s="30"/>
      <c r="K1468" s="30" t="s">
        <v>949</v>
      </c>
      <c r="L1468" s="30" t="s">
        <v>117</v>
      </c>
      <c r="M1468" s="30" t="s">
        <v>113</v>
      </c>
      <c r="N1468" s="30" t="s">
        <v>114</v>
      </c>
      <c r="O1468" s="30" t="s">
        <v>115</v>
      </c>
      <c r="P1468" s="30" t="s">
        <v>112</v>
      </c>
      <c r="Q1468" s="30" t="s">
        <v>112</v>
      </c>
      <c r="R1468" s="30" t="s">
        <v>185</v>
      </c>
      <c r="S1468" s="81">
        <f>HLOOKUP(L1468,データについて!$J$6:$M$18,13,FALSE)</f>
        <v>2</v>
      </c>
      <c r="T1468" s="81">
        <f>HLOOKUP(M1468,データについて!$J$7:$M$18,12,FALSE)</f>
        <v>1</v>
      </c>
      <c r="U1468" s="81">
        <f>HLOOKUP(N1468,データについて!$J$8:$M$18,11,FALSE)</f>
        <v>1</v>
      </c>
      <c r="V1468" s="81">
        <f>HLOOKUP(O1468,データについて!$J$9:$M$18,10,FALSE)</f>
        <v>1</v>
      </c>
      <c r="W1468" s="81">
        <f>HLOOKUP(P1468,データについて!$J$10:$M$18,9,FALSE)</f>
        <v>1</v>
      </c>
      <c r="X1468" s="81">
        <f>HLOOKUP(Q1468,データについて!$J$11:$M$18,8,FALSE)</f>
        <v>1</v>
      </c>
      <c r="Y1468" s="81">
        <f>HLOOKUP(R1468,データについて!$J$12:$M$18,7,FALSE)</f>
        <v>2</v>
      </c>
      <c r="Z1468" s="81">
        <f>HLOOKUP(I1468,データについて!$J$3:$M$18,16,FALSE)</f>
        <v>2</v>
      </c>
      <c r="AA1468" s="81" t="str">
        <f>IFERROR(HLOOKUP(J1468,データについて!$J$4:$AH$19,16,FALSE),"")</f>
        <v/>
      </c>
      <c r="AB1468" s="81">
        <f>IFERROR(HLOOKUP(K1468,データについて!$J$5:$AH$20,14,FALSE),"")</f>
        <v>0</v>
      </c>
      <c r="AC1468" s="81">
        <f>IF(X1468=1,HLOOKUP(R1468,データについて!$J$12:$M$18,7,FALSE),"*")</f>
        <v>2</v>
      </c>
      <c r="AD1468" s="81" t="str">
        <f>IF(X1468=2,HLOOKUP(R1468,データについて!$J$12:$M$18,7,FALSE),"*")</f>
        <v>*</v>
      </c>
    </row>
    <row r="1469" spans="1:30">
      <c r="A1469" s="30">
        <v>3723</v>
      </c>
      <c r="B1469" s="30" t="s">
        <v>1072</v>
      </c>
      <c r="C1469" s="30" t="s">
        <v>1069</v>
      </c>
      <c r="D1469" s="30" t="s">
        <v>106</v>
      </c>
      <c r="E1469" s="30"/>
      <c r="F1469" s="30" t="s">
        <v>107</v>
      </c>
      <c r="G1469" s="30" t="s">
        <v>106</v>
      </c>
      <c r="H1469" s="30"/>
      <c r="I1469" s="30" t="s">
        <v>191</v>
      </c>
      <c r="J1469" s="30"/>
      <c r="K1469" s="30" t="s">
        <v>949</v>
      </c>
      <c r="L1469" s="30" t="s">
        <v>120</v>
      </c>
      <c r="M1469" s="30" t="s">
        <v>113</v>
      </c>
      <c r="N1469" s="30" t="s">
        <v>114</v>
      </c>
      <c r="O1469" s="30" t="s">
        <v>115</v>
      </c>
      <c r="P1469" s="30" t="s">
        <v>118</v>
      </c>
      <c r="Q1469" s="30" t="s">
        <v>112</v>
      </c>
      <c r="R1469" s="30" t="s">
        <v>183</v>
      </c>
      <c r="S1469" s="81">
        <f>HLOOKUP(L1469,データについて!$J$6:$M$18,13,FALSE)</f>
        <v>3</v>
      </c>
      <c r="T1469" s="81">
        <f>HLOOKUP(M1469,データについて!$J$7:$M$18,12,FALSE)</f>
        <v>1</v>
      </c>
      <c r="U1469" s="81">
        <f>HLOOKUP(N1469,データについて!$J$8:$M$18,11,FALSE)</f>
        <v>1</v>
      </c>
      <c r="V1469" s="81">
        <f>HLOOKUP(O1469,データについて!$J$9:$M$18,10,FALSE)</f>
        <v>1</v>
      </c>
      <c r="W1469" s="81">
        <f>HLOOKUP(P1469,データについて!$J$10:$M$18,9,FALSE)</f>
        <v>2</v>
      </c>
      <c r="X1469" s="81">
        <f>HLOOKUP(Q1469,データについて!$J$11:$M$18,8,FALSE)</f>
        <v>1</v>
      </c>
      <c r="Y1469" s="81">
        <f>HLOOKUP(R1469,データについて!$J$12:$M$18,7,FALSE)</f>
        <v>1</v>
      </c>
      <c r="Z1469" s="81">
        <f>HLOOKUP(I1469,データについて!$J$3:$M$18,16,FALSE)</f>
        <v>2</v>
      </c>
      <c r="AA1469" s="81" t="str">
        <f>IFERROR(HLOOKUP(J1469,データについて!$J$4:$AH$19,16,FALSE),"")</f>
        <v/>
      </c>
      <c r="AB1469" s="81">
        <f>IFERROR(HLOOKUP(K1469,データについて!$J$5:$AH$20,14,FALSE),"")</f>
        <v>0</v>
      </c>
      <c r="AC1469" s="81">
        <f>IF(X1469=1,HLOOKUP(R1469,データについて!$J$12:$M$18,7,FALSE),"*")</f>
        <v>1</v>
      </c>
      <c r="AD1469" s="81" t="str">
        <f>IF(X1469=2,HLOOKUP(R1469,データについて!$J$12:$M$18,7,FALSE),"*")</f>
        <v>*</v>
      </c>
    </row>
    <row r="1470" spans="1:30">
      <c r="A1470" s="30">
        <v>3722</v>
      </c>
      <c r="B1470" s="30" t="s">
        <v>1073</v>
      </c>
      <c r="C1470" s="30" t="s">
        <v>1074</v>
      </c>
      <c r="D1470" s="30" t="s">
        <v>106</v>
      </c>
      <c r="E1470" s="30"/>
      <c r="F1470" s="30" t="s">
        <v>107</v>
      </c>
      <c r="G1470" s="30" t="s">
        <v>106</v>
      </c>
      <c r="H1470" s="30"/>
      <c r="I1470" s="30" t="s">
        <v>191</v>
      </c>
      <c r="J1470" s="30"/>
      <c r="K1470" s="30" t="s">
        <v>949</v>
      </c>
      <c r="L1470" s="30" t="s">
        <v>117</v>
      </c>
      <c r="M1470" s="30" t="s">
        <v>109</v>
      </c>
      <c r="N1470" s="30" t="s">
        <v>110</v>
      </c>
      <c r="O1470" s="30" t="s">
        <v>115</v>
      </c>
      <c r="P1470" s="30" t="s">
        <v>112</v>
      </c>
      <c r="Q1470" s="30" t="s">
        <v>112</v>
      </c>
      <c r="R1470" s="30" t="s">
        <v>189</v>
      </c>
      <c r="S1470" s="81">
        <f>HLOOKUP(L1470,データについて!$J$6:$M$18,13,FALSE)</f>
        <v>2</v>
      </c>
      <c r="T1470" s="81">
        <f>HLOOKUP(M1470,データについて!$J$7:$M$18,12,FALSE)</f>
        <v>2</v>
      </c>
      <c r="U1470" s="81">
        <f>HLOOKUP(N1470,データについて!$J$8:$M$18,11,FALSE)</f>
        <v>2</v>
      </c>
      <c r="V1470" s="81">
        <f>HLOOKUP(O1470,データについて!$J$9:$M$18,10,FALSE)</f>
        <v>1</v>
      </c>
      <c r="W1470" s="81">
        <f>HLOOKUP(P1470,データについて!$J$10:$M$18,9,FALSE)</f>
        <v>1</v>
      </c>
      <c r="X1470" s="81">
        <f>HLOOKUP(Q1470,データについて!$J$11:$M$18,8,FALSE)</f>
        <v>1</v>
      </c>
      <c r="Y1470" s="81">
        <f>HLOOKUP(R1470,データについて!$J$12:$M$18,7,FALSE)</f>
        <v>4</v>
      </c>
      <c r="Z1470" s="81">
        <f>HLOOKUP(I1470,データについて!$J$3:$M$18,16,FALSE)</f>
        <v>2</v>
      </c>
      <c r="AA1470" s="81" t="str">
        <f>IFERROR(HLOOKUP(J1470,データについて!$J$4:$AH$19,16,FALSE),"")</f>
        <v/>
      </c>
      <c r="AB1470" s="81">
        <f>IFERROR(HLOOKUP(K1470,データについて!$J$5:$AH$20,14,FALSE),"")</f>
        <v>0</v>
      </c>
      <c r="AC1470" s="81">
        <f>IF(X1470=1,HLOOKUP(R1470,データについて!$J$12:$M$18,7,FALSE),"*")</f>
        <v>4</v>
      </c>
      <c r="AD1470" s="81" t="str">
        <f>IF(X1470=2,HLOOKUP(R1470,データについて!$J$12:$M$18,7,FALSE),"*")</f>
        <v>*</v>
      </c>
    </row>
    <row r="1471" spans="1:30">
      <c r="A1471" s="30">
        <v>3721</v>
      </c>
      <c r="B1471" s="30" t="s">
        <v>1075</v>
      </c>
      <c r="C1471" s="30" t="s">
        <v>1076</v>
      </c>
      <c r="D1471" s="30" t="s">
        <v>106</v>
      </c>
      <c r="E1471" s="30"/>
      <c r="F1471" s="30" t="s">
        <v>107</v>
      </c>
      <c r="G1471" s="30" t="s">
        <v>106</v>
      </c>
      <c r="H1471" s="30"/>
      <c r="I1471" s="30" t="s">
        <v>191</v>
      </c>
      <c r="J1471" s="30"/>
      <c r="K1471" s="30" t="s">
        <v>949</v>
      </c>
      <c r="L1471" s="30" t="s">
        <v>117</v>
      </c>
      <c r="M1471" s="30" t="s">
        <v>113</v>
      </c>
      <c r="N1471" s="30" t="s">
        <v>122</v>
      </c>
      <c r="O1471" s="30" t="s">
        <v>115</v>
      </c>
      <c r="P1471" s="30" t="s">
        <v>112</v>
      </c>
      <c r="Q1471" s="30" t="s">
        <v>112</v>
      </c>
      <c r="R1471" s="30" t="s">
        <v>183</v>
      </c>
      <c r="S1471" s="81">
        <f>HLOOKUP(L1471,データについて!$J$6:$M$18,13,FALSE)</f>
        <v>2</v>
      </c>
      <c r="T1471" s="81">
        <f>HLOOKUP(M1471,データについて!$J$7:$M$18,12,FALSE)</f>
        <v>1</v>
      </c>
      <c r="U1471" s="81">
        <f>HLOOKUP(N1471,データについて!$J$8:$M$18,11,FALSE)</f>
        <v>3</v>
      </c>
      <c r="V1471" s="81">
        <f>HLOOKUP(O1471,データについて!$J$9:$M$18,10,FALSE)</f>
        <v>1</v>
      </c>
      <c r="W1471" s="81">
        <f>HLOOKUP(P1471,データについて!$J$10:$M$18,9,FALSE)</f>
        <v>1</v>
      </c>
      <c r="X1471" s="81">
        <f>HLOOKUP(Q1471,データについて!$J$11:$M$18,8,FALSE)</f>
        <v>1</v>
      </c>
      <c r="Y1471" s="81">
        <f>HLOOKUP(R1471,データについて!$J$12:$M$18,7,FALSE)</f>
        <v>1</v>
      </c>
      <c r="Z1471" s="81">
        <f>HLOOKUP(I1471,データについて!$J$3:$M$18,16,FALSE)</f>
        <v>2</v>
      </c>
      <c r="AA1471" s="81" t="str">
        <f>IFERROR(HLOOKUP(J1471,データについて!$J$4:$AH$19,16,FALSE),"")</f>
        <v/>
      </c>
      <c r="AB1471" s="81">
        <f>IFERROR(HLOOKUP(K1471,データについて!$J$5:$AH$20,14,FALSE),"")</f>
        <v>0</v>
      </c>
      <c r="AC1471" s="81">
        <f>IF(X1471=1,HLOOKUP(R1471,データについて!$J$12:$M$18,7,FALSE),"*")</f>
        <v>1</v>
      </c>
      <c r="AD1471" s="81" t="str">
        <f>IF(X1471=2,HLOOKUP(R1471,データについて!$J$12:$M$18,7,FALSE),"*")</f>
        <v>*</v>
      </c>
    </row>
    <row r="1472" spans="1:30">
      <c r="A1472" s="30">
        <v>3720</v>
      </c>
      <c r="B1472" s="30" t="s">
        <v>1077</v>
      </c>
      <c r="C1472" s="30" t="s">
        <v>1076</v>
      </c>
      <c r="D1472" s="30" t="s">
        <v>106</v>
      </c>
      <c r="E1472" s="30"/>
      <c r="F1472" s="30" t="s">
        <v>107</v>
      </c>
      <c r="G1472" s="30" t="s">
        <v>106</v>
      </c>
      <c r="H1472" s="30"/>
      <c r="I1472" s="30" t="s">
        <v>191</v>
      </c>
      <c r="J1472" s="30"/>
      <c r="K1472" s="30" t="s">
        <v>949</v>
      </c>
      <c r="L1472" s="30" t="s">
        <v>108</v>
      </c>
      <c r="M1472" s="30" t="s">
        <v>109</v>
      </c>
      <c r="N1472" s="30" t="s">
        <v>114</v>
      </c>
      <c r="O1472" s="30" t="s">
        <v>115</v>
      </c>
      <c r="P1472" s="30" t="s">
        <v>118</v>
      </c>
      <c r="Q1472" s="30" t="s">
        <v>112</v>
      </c>
      <c r="R1472" s="30" t="s">
        <v>185</v>
      </c>
      <c r="S1472" s="81">
        <f>HLOOKUP(L1472,データについて!$J$6:$M$18,13,FALSE)</f>
        <v>1</v>
      </c>
      <c r="T1472" s="81">
        <f>HLOOKUP(M1472,データについて!$J$7:$M$18,12,FALSE)</f>
        <v>2</v>
      </c>
      <c r="U1472" s="81">
        <f>HLOOKUP(N1472,データについて!$J$8:$M$18,11,FALSE)</f>
        <v>1</v>
      </c>
      <c r="V1472" s="81">
        <f>HLOOKUP(O1472,データについて!$J$9:$M$18,10,FALSE)</f>
        <v>1</v>
      </c>
      <c r="W1472" s="81">
        <f>HLOOKUP(P1472,データについて!$J$10:$M$18,9,FALSE)</f>
        <v>2</v>
      </c>
      <c r="X1472" s="81">
        <f>HLOOKUP(Q1472,データについて!$J$11:$M$18,8,FALSE)</f>
        <v>1</v>
      </c>
      <c r="Y1472" s="81">
        <f>HLOOKUP(R1472,データについて!$J$12:$M$18,7,FALSE)</f>
        <v>2</v>
      </c>
      <c r="Z1472" s="81">
        <f>HLOOKUP(I1472,データについて!$J$3:$M$18,16,FALSE)</f>
        <v>2</v>
      </c>
      <c r="AA1472" s="81" t="str">
        <f>IFERROR(HLOOKUP(J1472,データについて!$J$4:$AH$19,16,FALSE),"")</f>
        <v/>
      </c>
      <c r="AB1472" s="81">
        <f>IFERROR(HLOOKUP(K1472,データについて!$J$5:$AH$20,14,FALSE),"")</f>
        <v>0</v>
      </c>
      <c r="AC1472" s="81">
        <f>IF(X1472=1,HLOOKUP(R1472,データについて!$J$12:$M$18,7,FALSE),"*")</f>
        <v>2</v>
      </c>
      <c r="AD1472" s="81" t="str">
        <f>IF(X1472=2,HLOOKUP(R1472,データについて!$J$12:$M$18,7,FALSE),"*")</f>
        <v>*</v>
      </c>
    </row>
    <row r="1473" spans="1:30">
      <c r="A1473" s="30">
        <v>3719</v>
      </c>
      <c r="B1473" s="30" t="s">
        <v>1078</v>
      </c>
      <c r="C1473" s="30" t="s">
        <v>1079</v>
      </c>
      <c r="D1473" s="30" t="s">
        <v>106</v>
      </c>
      <c r="E1473" s="30"/>
      <c r="F1473" s="30" t="s">
        <v>107</v>
      </c>
      <c r="G1473" s="30" t="s">
        <v>106</v>
      </c>
      <c r="H1473" s="30"/>
      <c r="I1473" s="30" t="s">
        <v>191</v>
      </c>
      <c r="J1473" s="30"/>
      <c r="K1473" s="30" t="s">
        <v>949</v>
      </c>
      <c r="L1473" s="30" t="s">
        <v>108</v>
      </c>
      <c r="M1473" s="30" t="s">
        <v>109</v>
      </c>
      <c r="N1473" s="30" t="s">
        <v>110</v>
      </c>
      <c r="O1473" s="30" t="s">
        <v>116</v>
      </c>
      <c r="P1473" s="30" t="s">
        <v>112</v>
      </c>
      <c r="Q1473" s="30" t="s">
        <v>112</v>
      </c>
      <c r="R1473" s="30" t="s">
        <v>185</v>
      </c>
      <c r="S1473" s="81">
        <f>HLOOKUP(L1473,データについて!$J$6:$M$18,13,FALSE)</f>
        <v>1</v>
      </c>
      <c r="T1473" s="81">
        <f>HLOOKUP(M1473,データについて!$J$7:$M$18,12,FALSE)</f>
        <v>2</v>
      </c>
      <c r="U1473" s="81">
        <f>HLOOKUP(N1473,データについて!$J$8:$M$18,11,FALSE)</f>
        <v>2</v>
      </c>
      <c r="V1473" s="81">
        <f>HLOOKUP(O1473,データについて!$J$9:$M$18,10,FALSE)</f>
        <v>2</v>
      </c>
      <c r="W1473" s="81">
        <f>HLOOKUP(P1473,データについて!$J$10:$M$18,9,FALSE)</f>
        <v>1</v>
      </c>
      <c r="X1473" s="81">
        <f>HLOOKUP(Q1473,データについて!$J$11:$M$18,8,FALSE)</f>
        <v>1</v>
      </c>
      <c r="Y1473" s="81">
        <f>HLOOKUP(R1473,データについて!$J$12:$M$18,7,FALSE)</f>
        <v>2</v>
      </c>
      <c r="Z1473" s="81">
        <f>HLOOKUP(I1473,データについて!$J$3:$M$18,16,FALSE)</f>
        <v>2</v>
      </c>
      <c r="AA1473" s="81" t="str">
        <f>IFERROR(HLOOKUP(J1473,データについて!$J$4:$AH$19,16,FALSE),"")</f>
        <v/>
      </c>
      <c r="AB1473" s="81">
        <f>IFERROR(HLOOKUP(K1473,データについて!$J$5:$AH$20,14,FALSE),"")</f>
        <v>0</v>
      </c>
      <c r="AC1473" s="81">
        <f>IF(X1473=1,HLOOKUP(R1473,データについて!$J$12:$M$18,7,FALSE),"*")</f>
        <v>2</v>
      </c>
      <c r="AD1473" s="81" t="str">
        <f>IF(X1473=2,HLOOKUP(R1473,データについて!$J$12:$M$18,7,FALSE),"*")</f>
        <v>*</v>
      </c>
    </row>
    <row r="1474" spans="1:30">
      <c r="A1474" s="30">
        <v>3718</v>
      </c>
      <c r="B1474" s="30" t="s">
        <v>1080</v>
      </c>
      <c r="C1474" s="30" t="s">
        <v>1081</v>
      </c>
      <c r="D1474" s="30" t="s">
        <v>106</v>
      </c>
      <c r="E1474" s="30"/>
      <c r="F1474" s="30" t="s">
        <v>107</v>
      </c>
      <c r="G1474" s="30" t="s">
        <v>106</v>
      </c>
      <c r="H1474" s="30"/>
      <c r="I1474" s="30" t="s">
        <v>191</v>
      </c>
      <c r="J1474" s="30"/>
      <c r="K1474" s="30" t="s">
        <v>949</v>
      </c>
      <c r="L1474" s="30" t="s">
        <v>108</v>
      </c>
      <c r="M1474" s="30" t="s">
        <v>121</v>
      </c>
      <c r="N1474" s="30" t="s">
        <v>110</v>
      </c>
      <c r="O1474" s="30" t="s">
        <v>123</v>
      </c>
      <c r="P1474" s="30" t="s">
        <v>118</v>
      </c>
      <c r="Q1474" s="30" t="s">
        <v>118</v>
      </c>
      <c r="R1474" s="30" t="s">
        <v>187</v>
      </c>
      <c r="S1474" s="81">
        <f>HLOOKUP(L1474,データについて!$J$6:$M$18,13,FALSE)</f>
        <v>1</v>
      </c>
      <c r="T1474" s="81">
        <f>HLOOKUP(M1474,データについて!$J$7:$M$18,12,FALSE)</f>
        <v>4</v>
      </c>
      <c r="U1474" s="81">
        <f>HLOOKUP(N1474,データについて!$J$8:$M$18,11,FALSE)</f>
        <v>2</v>
      </c>
      <c r="V1474" s="81">
        <f>HLOOKUP(O1474,データについて!$J$9:$M$18,10,FALSE)</f>
        <v>4</v>
      </c>
      <c r="W1474" s="81">
        <f>HLOOKUP(P1474,データについて!$J$10:$M$18,9,FALSE)</f>
        <v>2</v>
      </c>
      <c r="X1474" s="81">
        <f>HLOOKUP(Q1474,データについて!$J$11:$M$18,8,FALSE)</f>
        <v>2</v>
      </c>
      <c r="Y1474" s="81">
        <f>HLOOKUP(R1474,データについて!$J$12:$M$18,7,FALSE)</f>
        <v>3</v>
      </c>
      <c r="Z1474" s="81">
        <f>HLOOKUP(I1474,データについて!$J$3:$M$18,16,FALSE)</f>
        <v>2</v>
      </c>
      <c r="AA1474" s="81" t="str">
        <f>IFERROR(HLOOKUP(J1474,データについて!$J$4:$AH$19,16,FALSE),"")</f>
        <v/>
      </c>
      <c r="AB1474" s="81">
        <f>IFERROR(HLOOKUP(K1474,データについて!$J$5:$AH$20,14,FALSE),"")</f>
        <v>0</v>
      </c>
      <c r="AC1474" s="81" t="str">
        <f>IF(X1474=1,HLOOKUP(R1474,データについて!$J$12:$M$18,7,FALSE),"*")</f>
        <v>*</v>
      </c>
      <c r="AD1474" s="81">
        <f>IF(X1474=2,HLOOKUP(R1474,データについて!$J$12:$M$18,7,FALSE),"*")</f>
        <v>3</v>
      </c>
    </row>
    <row r="1475" spans="1:30">
      <c r="A1475" s="30">
        <v>3717</v>
      </c>
      <c r="B1475" s="30" t="s">
        <v>1082</v>
      </c>
      <c r="C1475" s="30" t="s">
        <v>1081</v>
      </c>
      <c r="D1475" s="30" t="s">
        <v>106</v>
      </c>
      <c r="E1475" s="30"/>
      <c r="F1475" s="30" t="s">
        <v>107</v>
      </c>
      <c r="G1475" s="30" t="s">
        <v>106</v>
      </c>
      <c r="H1475" s="30"/>
      <c r="I1475" s="30" t="s">
        <v>191</v>
      </c>
      <c r="J1475" s="30"/>
      <c r="K1475" s="30" t="s">
        <v>949</v>
      </c>
      <c r="L1475" s="30" t="s">
        <v>117</v>
      </c>
      <c r="M1475" s="30" t="s">
        <v>113</v>
      </c>
      <c r="N1475" s="30" t="s">
        <v>110</v>
      </c>
      <c r="O1475" s="30" t="s">
        <v>115</v>
      </c>
      <c r="P1475" s="30" t="s">
        <v>118</v>
      </c>
      <c r="Q1475" s="30" t="s">
        <v>112</v>
      </c>
      <c r="R1475" s="30" t="s">
        <v>187</v>
      </c>
      <c r="S1475" s="81">
        <f>HLOOKUP(L1475,データについて!$J$6:$M$18,13,FALSE)</f>
        <v>2</v>
      </c>
      <c r="T1475" s="81">
        <f>HLOOKUP(M1475,データについて!$J$7:$M$18,12,FALSE)</f>
        <v>1</v>
      </c>
      <c r="U1475" s="81">
        <f>HLOOKUP(N1475,データについて!$J$8:$M$18,11,FALSE)</f>
        <v>2</v>
      </c>
      <c r="V1475" s="81">
        <f>HLOOKUP(O1475,データについて!$J$9:$M$18,10,FALSE)</f>
        <v>1</v>
      </c>
      <c r="W1475" s="81">
        <f>HLOOKUP(P1475,データについて!$J$10:$M$18,9,FALSE)</f>
        <v>2</v>
      </c>
      <c r="X1475" s="81">
        <f>HLOOKUP(Q1475,データについて!$J$11:$M$18,8,FALSE)</f>
        <v>1</v>
      </c>
      <c r="Y1475" s="81">
        <f>HLOOKUP(R1475,データについて!$J$12:$M$18,7,FALSE)</f>
        <v>3</v>
      </c>
      <c r="Z1475" s="81">
        <f>HLOOKUP(I1475,データについて!$J$3:$M$18,16,FALSE)</f>
        <v>2</v>
      </c>
      <c r="AA1475" s="81" t="str">
        <f>IFERROR(HLOOKUP(J1475,データについて!$J$4:$AH$19,16,FALSE),"")</f>
        <v/>
      </c>
      <c r="AB1475" s="81">
        <f>IFERROR(HLOOKUP(K1475,データについて!$J$5:$AH$20,14,FALSE),"")</f>
        <v>0</v>
      </c>
      <c r="AC1475" s="81">
        <f>IF(X1475=1,HLOOKUP(R1475,データについて!$J$12:$M$18,7,FALSE),"*")</f>
        <v>3</v>
      </c>
      <c r="AD1475" s="81" t="str">
        <f>IF(X1475=2,HLOOKUP(R1475,データについて!$J$12:$M$18,7,FALSE),"*")</f>
        <v>*</v>
      </c>
    </row>
    <row r="1476" spans="1:30">
      <c r="A1476" s="30">
        <v>3716</v>
      </c>
      <c r="B1476" s="30" t="s">
        <v>1083</v>
      </c>
      <c r="C1476" s="30" t="s">
        <v>1084</v>
      </c>
      <c r="D1476" s="30" t="s">
        <v>106</v>
      </c>
      <c r="E1476" s="30"/>
      <c r="F1476" s="30" t="s">
        <v>107</v>
      </c>
      <c r="G1476" s="30" t="s">
        <v>106</v>
      </c>
      <c r="H1476" s="30"/>
      <c r="I1476" s="30" t="s">
        <v>191</v>
      </c>
      <c r="J1476" s="30"/>
      <c r="K1476" s="30" t="s">
        <v>949</v>
      </c>
      <c r="L1476" s="30" t="s">
        <v>108</v>
      </c>
      <c r="M1476" s="30" t="s">
        <v>113</v>
      </c>
      <c r="N1476" s="30" t="s">
        <v>114</v>
      </c>
      <c r="O1476" s="30" t="s">
        <v>115</v>
      </c>
      <c r="P1476" s="30" t="s">
        <v>112</v>
      </c>
      <c r="Q1476" s="30" t="s">
        <v>112</v>
      </c>
      <c r="R1476" s="30" t="s">
        <v>185</v>
      </c>
      <c r="S1476" s="81">
        <f>HLOOKUP(L1476,データについて!$J$6:$M$18,13,FALSE)</f>
        <v>1</v>
      </c>
      <c r="T1476" s="81">
        <f>HLOOKUP(M1476,データについて!$J$7:$M$18,12,FALSE)</f>
        <v>1</v>
      </c>
      <c r="U1476" s="81">
        <f>HLOOKUP(N1476,データについて!$J$8:$M$18,11,FALSE)</f>
        <v>1</v>
      </c>
      <c r="V1476" s="81">
        <f>HLOOKUP(O1476,データについて!$J$9:$M$18,10,FALSE)</f>
        <v>1</v>
      </c>
      <c r="W1476" s="81">
        <f>HLOOKUP(P1476,データについて!$J$10:$M$18,9,FALSE)</f>
        <v>1</v>
      </c>
      <c r="X1476" s="81">
        <f>HLOOKUP(Q1476,データについて!$J$11:$M$18,8,FALSE)</f>
        <v>1</v>
      </c>
      <c r="Y1476" s="81">
        <f>HLOOKUP(R1476,データについて!$J$12:$M$18,7,FALSE)</f>
        <v>2</v>
      </c>
      <c r="Z1476" s="81">
        <f>HLOOKUP(I1476,データについて!$J$3:$M$18,16,FALSE)</f>
        <v>2</v>
      </c>
      <c r="AA1476" s="81" t="str">
        <f>IFERROR(HLOOKUP(J1476,データについて!$J$4:$AH$19,16,FALSE),"")</f>
        <v/>
      </c>
      <c r="AB1476" s="81">
        <f>IFERROR(HLOOKUP(K1476,データについて!$J$5:$AH$20,14,FALSE),"")</f>
        <v>0</v>
      </c>
      <c r="AC1476" s="81">
        <f>IF(X1476=1,HLOOKUP(R1476,データについて!$J$12:$M$18,7,FALSE),"*")</f>
        <v>2</v>
      </c>
      <c r="AD1476" s="81" t="str">
        <f>IF(X1476=2,HLOOKUP(R1476,データについて!$J$12:$M$18,7,FALSE),"*")</f>
        <v>*</v>
      </c>
    </row>
    <row r="1477" spans="1:30">
      <c r="A1477" s="30">
        <v>3715</v>
      </c>
      <c r="B1477" s="30" t="s">
        <v>1085</v>
      </c>
      <c r="C1477" s="30" t="s">
        <v>1086</v>
      </c>
      <c r="D1477" s="30" t="s">
        <v>106</v>
      </c>
      <c r="E1477" s="30"/>
      <c r="F1477" s="30" t="s">
        <v>107</v>
      </c>
      <c r="G1477" s="30" t="s">
        <v>106</v>
      </c>
      <c r="H1477" s="30"/>
      <c r="I1477" s="30" t="s">
        <v>191</v>
      </c>
      <c r="J1477" s="30"/>
      <c r="K1477" s="30" t="s">
        <v>949</v>
      </c>
      <c r="L1477" s="30" t="s">
        <v>108</v>
      </c>
      <c r="M1477" s="30" t="s">
        <v>109</v>
      </c>
      <c r="N1477" s="30" t="s">
        <v>110</v>
      </c>
      <c r="O1477" s="30" t="s">
        <v>123</v>
      </c>
      <c r="P1477" s="30" t="s">
        <v>112</v>
      </c>
      <c r="Q1477" s="30" t="s">
        <v>112</v>
      </c>
      <c r="R1477" s="30" t="s">
        <v>185</v>
      </c>
      <c r="S1477" s="81">
        <f>HLOOKUP(L1477,データについて!$J$6:$M$18,13,FALSE)</f>
        <v>1</v>
      </c>
      <c r="T1477" s="81">
        <f>HLOOKUP(M1477,データについて!$J$7:$M$18,12,FALSE)</f>
        <v>2</v>
      </c>
      <c r="U1477" s="81">
        <f>HLOOKUP(N1477,データについて!$J$8:$M$18,11,FALSE)</f>
        <v>2</v>
      </c>
      <c r="V1477" s="81">
        <f>HLOOKUP(O1477,データについて!$J$9:$M$18,10,FALSE)</f>
        <v>4</v>
      </c>
      <c r="W1477" s="81">
        <f>HLOOKUP(P1477,データについて!$J$10:$M$18,9,FALSE)</f>
        <v>1</v>
      </c>
      <c r="X1477" s="81">
        <f>HLOOKUP(Q1477,データについて!$J$11:$M$18,8,FALSE)</f>
        <v>1</v>
      </c>
      <c r="Y1477" s="81">
        <f>HLOOKUP(R1477,データについて!$J$12:$M$18,7,FALSE)</f>
        <v>2</v>
      </c>
      <c r="Z1477" s="81">
        <f>HLOOKUP(I1477,データについて!$J$3:$M$18,16,FALSE)</f>
        <v>2</v>
      </c>
      <c r="AA1477" s="81" t="str">
        <f>IFERROR(HLOOKUP(J1477,データについて!$J$4:$AH$19,16,FALSE),"")</f>
        <v/>
      </c>
      <c r="AB1477" s="81">
        <f>IFERROR(HLOOKUP(K1477,データについて!$J$5:$AH$20,14,FALSE),"")</f>
        <v>0</v>
      </c>
      <c r="AC1477" s="81">
        <f>IF(X1477=1,HLOOKUP(R1477,データについて!$J$12:$M$18,7,FALSE),"*")</f>
        <v>2</v>
      </c>
      <c r="AD1477" s="81" t="str">
        <f>IF(X1477=2,HLOOKUP(R1477,データについて!$J$12:$M$18,7,FALSE),"*")</f>
        <v>*</v>
      </c>
    </row>
    <row r="1478" spans="1:30">
      <c r="A1478" s="30">
        <v>3714</v>
      </c>
      <c r="B1478" s="30" t="s">
        <v>1087</v>
      </c>
      <c r="C1478" s="30" t="s">
        <v>1088</v>
      </c>
      <c r="D1478" s="30" t="s">
        <v>106</v>
      </c>
      <c r="E1478" s="30"/>
      <c r="F1478" s="30" t="s">
        <v>107</v>
      </c>
      <c r="G1478" s="30" t="s">
        <v>106</v>
      </c>
      <c r="H1478" s="30"/>
      <c r="I1478" s="30" t="s">
        <v>191</v>
      </c>
      <c r="J1478" s="30"/>
      <c r="K1478" s="30" t="s">
        <v>949</v>
      </c>
      <c r="L1478" s="30" t="s">
        <v>108</v>
      </c>
      <c r="M1478" s="30" t="s">
        <v>109</v>
      </c>
      <c r="N1478" s="30" t="s">
        <v>114</v>
      </c>
      <c r="O1478" s="30" t="s">
        <v>115</v>
      </c>
      <c r="P1478" s="30" t="s">
        <v>112</v>
      </c>
      <c r="Q1478" s="30" t="s">
        <v>112</v>
      </c>
      <c r="R1478" s="30" t="s">
        <v>183</v>
      </c>
      <c r="S1478" s="81">
        <f>HLOOKUP(L1478,データについて!$J$6:$M$18,13,FALSE)</f>
        <v>1</v>
      </c>
      <c r="T1478" s="81">
        <f>HLOOKUP(M1478,データについて!$J$7:$M$18,12,FALSE)</f>
        <v>2</v>
      </c>
      <c r="U1478" s="81">
        <f>HLOOKUP(N1478,データについて!$J$8:$M$18,11,FALSE)</f>
        <v>1</v>
      </c>
      <c r="V1478" s="81">
        <f>HLOOKUP(O1478,データについて!$J$9:$M$18,10,FALSE)</f>
        <v>1</v>
      </c>
      <c r="W1478" s="81">
        <f>HLOOKUP(P1478,データについて!$J$10:$M$18,9,FALSE)</f>
        <v>1</v>
      </c>
      <c r="X1478" s="81">
        <f>HLOOKUP(Q1478,データについて!$J$11:$M$18,8,FALSE)</f>
        <v>1</v>
      </c>
      <c r="Y1478" s="81">
        <f>HLOOKUP(R1478,データについて!$J$12:$M$18,7,FALSE)</f>
        <v>1</v>
      </c>
      <c r="Z1478" s="81">
        <f>HLOOKUP(I1478,データについて!$J$3:$M$18,16,FALSE)</f>
        <v>2</v>
      </c>
      <c r="AA1478" s="81" t="str">
        <f>IFERROR(HLOOKUP(J1478,データについて!$J$4:$AH$19,16,FALSE),"")</f>
        <v/>
      </c>
      <c r="AB1478" s="81">
        <f>IFERROR(HLOOKUP(K1478,データについて!$J$5:$AH$20,14,FALSE),"")</f>
        <v>0</v>
      </c>
      <c r="AC1478" s="81">
        <f>IF(X1478=1,HLOOKUP(R1478,データについて!$J$12:$M$18,7,FALSE),"*")</f>
        <v>1</v>
      </c>
      <c r="AD1478" s="81" t="str">
        <f>IF(X1478=2,HLOOKUP(R1478,データについて!$J$12:$M$18,7,FALSE),"*")</f>
        <v>*</v>
      </c>
    </row>
    <row r="1479" spans="1:30">
      <c r="A1479" s="30">
        <v>3713</v>
      </c>
      <c r="B1479" s="30" t="s">
        <v>1089</v>
      </c>
      <c r="C1479" s="30" t="s">
        <v>1090</v>
      </c>
      <c r="D1479" s="30" t="s">
        <v>106</v>
      </c>
      <c r="E1479" s="30"/>
      <c r="F1479" s="30" t="s">
        <v>107</v>
      </c>
      <c r="G1479" s="30" t="s">
        <v>106</v>
      </c>
      <c r="H1479" s="30"/>
      <c r="I1479" s="30" t="s">
        <v>191</v>
      </c>
      <c r="J1479" s="30"/>
      <c r="K1479" s="30" t="s">
        <v>949</v>
      </c>
      <c r="L1479" s="30" t="s">
        <v>108</v>
      </c>
      <c r="M1479" s="30" t="s">
        <v>109</v>
      </c>
      <c r="N1479" s="30" t="s">
        <v>110</v>
      </c>
      <c r="O1479" s="30" t="s">
        <v>115</v>
      </c>
      <c r="P1479" s="30" t="s">
        <v>112</v>
      </c>
      <c r="Q1479" s="30" t="s">
        <v>112</v>
      </c>
      <c r="R1479" s="30" t="s">
        <v>185</v>
      </c>
      <c r="S1479" s="81">
        <f>HLOOKUP(L1479,データについて!$J$6:$M$18,13,FALSE)</f>
        <v>1</v>
      </c>
      <c r="T1479" s="81">
        <f>HLOOKUP(M1479,データについて!$J$7:$M$18,12,FALSE)</f>
        <v>2</v>
      </c>
      <c r="U1479" s="81">
        <f>HLOOKUP(N1479,データについて!$J$8:$M$18,11,FALSE)</f>
        <v>2</v>
      </c>
      <c r="V1479" s="81">
        <f>HLOOKUP(O1479,データについて!$J$9:$M$18,10,FALSE)</f>
        <v>1</v>
      </c>
      <c r="W1479" s="81">
        <f>HLOOKUP(P1479,データについて!$J$10:$M$18,9,FALSE)</f>
        <v>1</v>
      </c>
      <c r="X1479" s="81">
        <f>HLOOKUP(Q1479,データについて!$J$11:$M$18,8,FALSE)</f>
        <v>1</v>
      </c>
      <c r="Y1479" s="81">
        <f>HLOOKUP(R1479,データについて!$J$12:$M$18,7,FALSE)</f>
        <v>2</v>
      </c>
      <c r="Z1479" s="81">
        <f>HLOOKUP(I1479,データについて!$J$3:$M$18,16,FALSE)</f>
        <v>2</v>
      </c>
      <c r="AA1479" s="81" t="str">
        <f>IFERROR(HLOOKUP(J1479,データについて!$J$4:$AH$19,16,FALSE),"")</f>
        <v/>
      </c>
      <c r="AB1479" s="81">
        <f>IFERROR(HLOOKUP(K1479,データについて!$J$5:$AH$20,14,FALSE),"")</f>
        <v>0</v>
      </c>
      <c r="AC1479" s="81">
        <f>IF(X1479=1,HLOOKUP(R1479,データについて!$J$12:$M$18,7,FALSE),"*")</f>
        <v>2</v>
      </c>
      <c r="AD1479" s="81" t="str">
        <f>IF(X1479=2,HLOOKUP(R1479,データについて!$J$12:$M$18,7,FALSE),"*")</f>
        <v>*</v>
      </c>
    </row>
    <row r="1480" spans="1:30">
      <c r="A1480" s="30">
        <v>3712</v>
      </c>
      <c r="B1480" s="30" t="s">
        <v>1091</v>
      </c>
      <c r="C1480" s="30" t="s">
        <v>1092</v>
      </c>
      <c r="D1480" s="30" t="s">
        <v>106</v>
      </c>
      <c r="E1480" s="30"/>
      <c r="F1480" s="30" t="s">
        <v>107</v>
      </c>
      <c r="G1480" s="30" t="s">
        <v>106</v>
      </c>
      <c r="H1480" s="30"/>
      <c r="I1480" s="30" t="s">
        <v>191</v>
      </c>
      <c r="J1480" s="30"/>
      <c r="K1480" s="30" t="s">
        <v>949</v>
      </c>
      <c r="L1480" s="30" t="s">
        <v>108</v>
      </c>
      <c r="M1480" s="30" t="s">
        <v>109</v>
      </c>
      <c r="N1480" s="30" t="s">
        <v>122</v>
      </c>
      <c r="O1480" s="30" t="s">
        <v>115</v>
      </c>
      <c r="P1480" s="30" t="s">
        <v>112</v>
      </c>
      <c r="Q1480" s="30" t="s">
        <v>112</v>
      </c>
      <c r="R1480" s="30" t="s">
        <v>185</v>
      </c>
      <c r="S1480" s="81">
        <f>HLOOKUP(L1480,データについて!$J$6:$M$18,13,FALSE)</f>
        <v>1</v>
      </c>
      <c r="T1480" s="81">
        <f>HLOOKUP(M1480,データについて!$J$7:$M$18,12,FALSE)</f>
        <v>2</v>
      </c>
      <c r="U1480" s="81">
        <f>HLOOKUP(N1480,データについて!$J$8:$M$18,11,FALSE)</f>
        <v>3</v>
      </c>
      <c r="V1480" s="81">
        <f>HLOOKUP(O1480,データについて!$J$9:$M$18,10,FALSE)</f>
        <v>1</v>
      </c>
      <c r="W1480" s="81">
        <f>HLOOKUP(P1480,データについて!$J$10:$M$18,9,FALSE)</f>
        <v>1</v>
      </c>
      <c r="X1480" s="81">
        <f>HLOOKUP(Q1480,データについて!$J$11:$M$18,8,FALSE)</f>
        <v>1</v>
      </c>
      <c r="Y1480" s="81">
        <f>HLOOKUP(R1480,データについて!$J$12:$M$18,7,FALSE)</f>
        <v>2</v>
      </c>
      <c r="Z1480" s="81">
        <f>HLOOKUP(I1480,データについて!$J$3:$M$18,16,FALSE)</f>
        <v>2</v>
      </c>
      <c r="AA1480" s="81" t="str">
        <f>IFERROR(HLOOKUP(J1480,データについて!$J$4:$AH$19,16,FALSE),"")</f>
        <v/>
      </c>
      <c r="AB1480" s="81">
        <f>IFERROR(HLOOKUP(K1480,データについて!$J$5:$AH$20,14,FALSE),"")</f>
        <v>0</v>
      </c>
      <c r="AC1480" s="81">
        <f>IF(X1480=1,HLOOKUP(R1480,データについて!$J$12:$M$18,7,FALSE),"*")</f>
        <v>2</v>
      </c>
      <c r="AD1480" s="81" t="str">
        <f>IF(X1480=2,HLOOKUP(R1480,データについて!$J$12:$M$18,7,FALSE),"*")</f>
        <v>*</v>
      </c>
    </row>
    <row r="1481" spans="1:30">
      <c r="A1481" s="30">
        <v>3711</v>
      </c>
      <c r="B1481" s="30" t="s">
        <v>1093</v>
      </c>
      <c r="C1481" s="30" t="s">
        <v>1094</v>
      </c>
      <c r="D1481" s="30" t="s">
        <v>106</v>
      </c>
      <c r="E1481" s="30"/>
      <c r="F1481" s="30" t="s">
        <v>107</v>
      </c>
      <c r="G1481" s="30" t="s">
        <v>106</v>
      </c>
      <c r="H1481" s="30"/>
      <c r="I1481" s="30" t="s">
        <v>191</v>
      </c>
      <c r="J1481" s="30"/>
      <c r="K1481" s="30" t="s">
        <v>949</v>
      </c>
      <c r="L1481" s="30" t="s">
        <v>108</v>
      </c>
      <c r="M1481" s="30" t="s">
        <v>113</v>
      </c>
      <c r="N1481" s="30" t="s">
        <v>114</v>
      </c>
      <c r="O1481" s="30" t="s">
        <v>115</v>
      </c>
      <c r="P1481" s="30" t="s">
        <v>118</v>
      </c>
      <c r="Q1481" s="30" t="s">
        <v>112</v>
      </c>
      <c r="R1481" s="30" t="s">
        <v>183</v>
      </c>
      <c r="S1481" s="81">
        <f>HLOOKUP(L1481,データについて!$J$6:$M$18,13,FALSE)</f>
        <v>1</v>
      </c>
      <c r="T1481" s="81">
        <f>HLOOKUP(M1481,データについて!$J$7:$M$18,12,FALSE)</f>
        <v>1</v>
      </c>
      <c r="U1481" s="81">
        <f>HLOOKUP(N1481,データについて!$J$8:$M$18,11,FALSE)</f>
        <v>1</v>
      </c>
      <c r="V1481" s="81">
        <f>HLOOKUP(O1481,データについて!$J$9:$M$18,10,FALSE)</f>
        <v>1</v>
      </c>
      <c r="W1481" s="81">
        <f>HLOOKUP(P1481,データについて!$J$10:$M$18,9,FALSE)</f>
        <v>2</v>
      </c>
      <c r="X1481" s="81">
        <f>HLOOKUP(Q1481,データについて!$J$11:$M$18,8,FALSE)</f>
        <v>1</v>
      </c>
      <c r="Y1481" s="81">
        <f>HLOOKUP(R1481,データについて!$J$12:$M$18,7,FALSE)</f>
        <v>1</v>
      </c>
      <c r="Z1481" s="81">
        <f>HLOOKUP(I1481,データについて!$J$3:$M$18,16,FALSE)</f>
        <v>2</v>
      </c>
      <c r="AA1481" s="81" t="str">
        <f>IFERROR(HLOOKUP(J1481,データについて!$J$4:$AH$19,16,FALSE),"")</f>
        <v/>
      </c>
      <c r="AB1481" s="81">
        <f>IFERROR(HLOOKUP(K1481,データについて!$J$5:$AH$20,14,FALSE),"")</f>
        <v>0</v>
      </c>
      <c r="AC1481" s="81">
        <f>IF(X1481=1,HLOOKUP(R1481,データについて!$J$12:$M$18,7,FALSE),"*")</f>
        <v>1</v>
      </c>
      <c r="AD1481" s="81" t="str">
        <f>IF(X1481=2,HLOOKUP(R1481,データについて!$J$12:$M$18,7,FALSE),"*")</f>
        <v>*</v>
      </c>
    </row>
    <row r="1482" spans="1:30">
      <c r="A1482" s="30">
        <v>3710</v>
      </c>
      <c r="B1482" s="30" t="s">
        <v>1095</v>
      </c>
      <c r="C1482" s="30" t="s">
        <v>1096</v>
      </c>
      <c r="D1482" s="30" t="s">
        <v>106</v>
      </c>
      <c r="E1482" s="30"/>
      <c r="F1482" s="30" t="s">
        <v>107</v>
      </c>
      <c r="G1482" s="30" t="s">
        <v>106</v>
      </c>
      <c r="H1482" s="30"/>
      <c r="I1482" s="30" t="s">
        <v>191</v>
      </c>
      <c r="J1482" s="30"/>
      <c r="K1482" s="30" t="s">
        <v>949</v>
      </c>
      <c r="L1482" s="30" t="s">
        <v>117</v>
      </c>
      <c r="M1482" s="30" t="s">
        <v>109</v>
      </c>
      <c r="N1482" s="30" t="s">
        <v>110</v>
      </c>
      <c r="O1482" s="30" t="s">
        <v>115</v>
      </c>
      <c r="P1482" s="30" t="s">
        <v>118</v>
      </c>
      <c r="Q1482" s="30" t="s">
        <v>112</v>
      </c>
      <c r="R1482" s="30" t="s">
        <v>185</v>
      </c>
      <c r="S1482" s="81">
        <f>HLOOKUP(L1482,データについて!$J$6:$M$18,13,FALSE)</f>
        <v>2</v>
      </c>
      <c r="T1482" s="81">
        <f>HLOOKUP(M1482,データについて!$J$7:$M$18,12,FALSE)</f>
        <v>2</v>
      </c>
      <c r="U1482" s="81">
        <f>HLOOKUP(N1482,データについて!$J$8:$M$18,11,FALSE)</f>
        <v>2</v>
      </c>
      <c r="V1482" s="81">
        <f>HLOOKUP(O1482,データについて!$J$9:$M$18,10,FALSE)</f>
        <v>1</v>
      </c>
      <c r="W1482" s="81">
        <f>HLOOKUP(P1482,データについて!$J$10:$M$18,9,FALSE)</f>
        <v>2</v>
      </c>
      <c r="X1482" s="81">
        <f>HLOOKUP(Q1482,データについて!$J$11:$M$18,8,FALSE)</f>
        <v>1</v>
      </c>
      <c r="Y1482" s="81">
        <f>HLOOKUP(R1482,データについて!$J$12:$M$18,7,FALSE)</f>
        <v>2</v>
      </c>
      <c r="Z1482" s="81">
        <f>HLOOKUP(I1482,データについて!$J$3:$M$18,16,FALSE)</f>
        <v>2</v>
      </c>
      <c r="AA1482" s="81" t="str">
        <f>IFERROR(HLOOKUP(J1482,データについて!$J$4:$AH$19,16,FALSE),"")</f>
        <v/>
      </c>
      <c r="AB1482" s="81">
        <f>IFERROR(HLOOKUP(K1482,データについて!$J$5:$AH$20,14,FALSE),"")</f>
        <v>0</v>
      </c>
      <c r="AC1482" s="81">
        <f>IF(X1482=1,HLOOKUP(R1482,データについて!$J$12:$M$18,7,FALSE),"*")</f>
        <v>2</v>
      </c>
      <c r="AD1482" s="81" t="str">
        <f>IF(X1482=2,HLOOKUP(R1482,データについて!$J$12:$M$18,7,FALSE),"*")</f>
        <v>*</v>
      </c>
    </row>
    <row r="1483" spans="1:30">
      <c r="A1483" s="30">
        <v>3709</v>
      </c>
      <c r="B1483" s="30" t="s">
        <v>1097</v>
      </c>
      <c r="C1483" s="30" t="s">
        <v>1098</v>
      </c>
      <c r="D1483" s="30" t="s">
        <v>106</v>
      </c>
      <c r="E1483" s="30"/>
      <c r="F1483" s="30" t="s">
        <v>107</v>
      </c>
      <c r="G1483" s="30" t="s">
        <v>106</v>
      </c>
      <c r="H1483" s="30"/>
      <c r="I1483" s="30" t="s">
        <v>191</v>
      </c>
      <c r="J1483" s="30"/>
      <c r="K1483" s="30" t="s">
        <v>949</v>
      </c>
      <c r="L1483" s="30" t="s">
        <v>108</v>
      </c>
      <c r="M1483" s="30" t="s">
        <v>113</v>
      </c>
      <c r="N1483" s="30" t="s">
        <v>114</v>
      </c>
      <c r="O1483" s="30" t="s">
        <v>115</v>
      </c>
      <c r="P1483" s="30" t="s">
        <v>118</v>
      </c>
      <c r="Q1483" s="30" t="s">
        <v>112</v>
      </c>
      <c r="R1483" s="30" t="s">
        <v>185</v>
      </c>
      <c r="S1483" s="81">
        <f>HLOOKUP(L1483,データについて!$J$6:$M$18,13,FALSE)</f>
        <v>1</v>
      </c>
      <c r="T1483" s="81">
        <f>HLOOKUP(M1483,データについて!$J$7:$M$18,12,FALSE)</f>
        <v>1</v>
      </c>
      <c r="U1483" s="81">
        <f>HLOOKUP(N1483,データについて!$J$8:$M$18,11,FALSE)</f>
        <v>1</v>
      </c>
      <c r="V1483" s="81">
        <f>HLOOKUP(O1483,データについて!$J$9:$M$18,10,FALSE)</f>
        <v>1</v>
      </c>
      <c r="W1483" s="81">
        <f>HLOOKUP(P1483,データについて!$J$10:$M$18,9,FALSE)</f>
        <v>2</v>
      </c>
      <c r="X1483" s="81">
        <f>HLOOKUP(Q1483,データについて!$J$11:$M$18,8,FALSE)</f>
        <v>1</v>
      </c>
      <c r="Y1483" s="81">
        <f>HLOOKUP(R1483,データについて!$J$12:$M$18,7,FALSE)</f>
        <v>2</v>
      </c>
      <c r="Z1483" s="81">
        <f>HLOOKUP(I1483,データについて!$J$3:$M$18,16,FALSE)</f>
        <v>2</v>
      </c>
      <c r="AA1483" s="81" t="str">
        <f>IFERROR(HLOOKUP(J1483,データについて!$J$4:$AH$19,16,FALSE),"")</f>
        <v/>
      </c>
      <c r="AB1483" s="81">
        <f>IFERROR(HLOOKUP(K1483,データについて!$J$5:$AH$20,14,FALSE),"")</f>
        <v>0</v>
      </c>
      <c r="AC1483" s="81">
        <f>IF(X1483=1,HLOOKUP(R1483,データについて!$J$12:$M$18,7,FALSE),"*")</f>
        <v>2</v>
      </c>
      <c r="AD1483" s="81" t="str">
        <f>IF(X1483=2,HLOOKUP(R1483,データについて!$J$12:$M$18,7,FALSE),"*")</f>
        <v>*</v>
      </c>
    </row>
    <row r="1484" spans="1:30">
      <c r="A1484" s="30">
        <v>3708</v>
      </c>
      <c r="B1484" s="30" t="s">
        <v>1099</v>
      </c>
      <c r="C1484" s="30" t="s">
        <v>1098</v>
      </c>
      <c r="D1484" s="30" t="s">
        <v>106</v>
      </c>
      <c r="E1484" s="30"/>
      <c r="F1484" s="30" t="s">
        <v>107</v>
      </c>
      <c r="G1484" s="30" t="s">
        <v>106</v>
      </c>
      <c r="H1484" s="30"/>
      <c r="I1484" s="30" t="s">
        <v>191</v>
      </c>
      <c r="J1484" s="30"/>
      <c r="K1484" s="30" t="s">
        <v>949</v>
      </c>
      <c r="L1484" s="30" t="s">
        <v>108</v>
      </c>
      <c r="M1484" s="30" t="s">
        <v>113</v>
      </c>
      <c r="N1484" s="30" t="s">
        <v>110</v>
      </c>
      <c r="O1484" s="30" t="s">
        <v>116</v>
      </c>
      <c r="P1484" s="30" t="s">
        <v>118</v>
      </c>
      <c r="Q1484" s="30" t="s">
        <v>112</v>
      </c>
      <c r="R1484" s="30" t="s">
        <v>183</v>
      </c>
      <c r="S1484" s="81">
        <f>HLOOKUP(L1484,データについて!$J$6:$M$18,13,FALSE)</f>
        <v>1</v>
      </c>
      <c r="T1484" s="81">
        <f>HLOOKUP(M1484,データについて!$J$7:$M$18,12,FALSE)</f>
        <v>1</v>
      </c>
      <c r="U1484" s="81">
        <f>HLOOKUP(N1484,データについて!$J$8:$M$18,11,FALSE)</f>
        <v>2</v>
      </c>
      <c r="V1484" s="81">
        <f>HLOOKUP(O1484,データについて!$J$9:$M$18,10,FALSE)</f>
        <v>2</v>
      </c>
      <c r="W1484" s="81">
        <f>HLOOKUP(P1484,データについて!$J$10:$M$18,9,FALSE)</f>
        <v>2</v>
      </c>
      <c r="X1484" s="81">
        <f>HLOOKUP(Q1484,データについて!$J$11:$M$18,8,FALSE)</f>
        <v>1</v>
      </c>
      <c r="Y1484" s="81">
        <f>HLOOKUP(R1484,データについて!$J$12:$M$18,7,FALSE)</f>
        <v>1</v>
      </c>
      <c r="Z1484" s="81">
        <f>HLOOKUP(I1484,データについて!$J$3:$M$18,16,FALSE)</f>
        <v>2</v>
      </c>
      <c r="AA1484" s="81" t="str">
        <f>IFERROR(HLOOKUP(J1484,データについて!$J$4:$AH$19,16,FALSE),"")</f>
        <v/>
      </c>
      <c r="AB1484" s="81">
        <f>IFERROR(HLOOKUP(K1484,データについて!$J$5:$AH$20,14,FALSE),"")</f>
        <v>0</v>
      </c>
      <c r="AC1484" s="81">
        <f>IF(X1484=1,HLOOKUP(R1484,データについて!$J$12:$M$18,7,FALSE),"*")</f>
        <v>1</v>
      </c>
      <c r="AD1484" s="81" t="str">
        <f>IF(X1484=2,HLOOKUP(R1484,データについて!$J$12:$M$18,7,FALSE),"*")</f>
        <v>*</v>
      </c>
    </row>
    <row r="1485" spans="1:30">
      <c r="A1485" s="30">
        <v>3707</v>
      </c>
      <c r="B1485" s="30" t="s">
        <v>1100</v>
      </c>
      <c r="C1485" s="30" t="s">
        <v>1101</v>
      </c>
      <c r="D1485" s="30" t="s">
        <v>106</v>
      </c>
      <c r="E1485" s="30"/>
      <c r="F1485" s="30" t="s">
        <v>107</v>
      </c>
      <c r="G1485" s="30" t="s">
        <v>106</v>
      </c>
      <c r="H1485" s="30"/>
      <c r="I1485" s="30" t="s">
        <v>191</v>
      </c>
      <c r="J1485" s="30"/>
      <c r="K1485" s="30" t="s">
        <v>949</v>
      </c>
      <c r="L1485" s="30" t="s">
        <v>117</v>
      </c>
      <c r="M1485" s="30" t="s">
        <v>113</v>
      </c>
      <c r="N1485" s="30" t="s">
        <v>110</v>
      </c>
      <c r="O1485" s="30" t="s">
        <v>115</v>
      </c>
      <c r="P1485" s="30" t="s">
        <v>112</v>
      </c>
      <c r="Q1485" s="30" t="s">
        <v>112</v>
      </c>
      <c r="R1485" s="30" t="s">
        <v>185</v>
      </c>
      <c r="S1485" s="81">
        <f>HLOOKUP(L1485,データについて!$J$6:$M$18,13,FALSE)</f>
        <v>2</v>
      </c>
      <c r="T1485" s="81">
        <f>HLOOKUP(M1485,データについて!$J$7:$M$18,12,FALSE)</f>
        <v>1</v>
      </c>
      <c r="U1485" s="81">
        <f>HLOOKUP(N1485,データについて!$J$8:$M$18,11,FALSE)</f>
        <v>2</v>
      </c>
      <c r="V1485" s="81">
        <f>HLOOKUP(O1485,データについて!$J$9:$M$18,10,FALSE)</f>
        <v>1</v>
      </c>
      <c r="W1485" s="81">
        <f>HLOOKUP(P1485,データについて!$J$10:$M$18,9,FALSE)</f>
        <v>1</v>
      </c>
      <c r="X1485" s="81">
        <f>HLOOKUP(Q1485,データについて!$J$11:$M$18,8,FALSE)</f>
        <v>1</v>
      </c>
      <c r="Y1485" s="81">
        <f>HLOOKUP(R1485,データについて!$J$12:$M$18,7,FALSE)</f>
        <v>2</v>
      </c>
      <c r="Z1485" s="81">
        <f>HLOOKUP(I1485,データについて!$J$3:$M$18,16,FALSE)</f>
        <v>2</v>
      </c>
      <c r="AA1485" s="81" t="str">
        <f>IFERROR(HLOOKUP(J1485,データについて!$J$4:$AH$19,16,FALSE),"")</f>
        <v/>
      </c>
      <c r="AB1485" s="81">
        <f>IFERROR(HLOOKUP(K1485,データについて!$J$5:$AH$20,14,FALSE),"")</f>
        <v>0</v>
      </c>
      <c r="AC1485" s="81">
        <f>IF(X1485=1,HLOOKUP(R1485,データについて!$J$12:$M$18,7,FALSE),"*")</f>
        <v>2</v>
      </c>
      <c r="AD1485" s="81" t="str">
        <f>IF(X1485=2,HLOOKUP(R1485,データについて!$J$12:$M$18,7,FALSE),"*")</f>
        <v>*</v>
      </c>
    </row>
    <row r="1486" spans="1:30">
      <c r="A1486" s="30">
        <v>3706</v>
      </c>
      <c r="B1486" s="30" t="s">
        <v>1102</v>
      </c>
      <c r="C1486" s="30" t="s">
        <v>1103</v>
      </c>
      <c r="D1486" s="30" t="s">
        <v>106</v>
      </c>
      <c r="E1486" s="30"/>
      <c r="F1486" s="30" t="s">
        <v>107</v>
      </c>
      <c r="G1486" s="30" t="s">
        <v>106</v>
      </c>
      <c r="H1486" s="30"/>
      <c r="I1486" s="30" t="s">
        <v>191</v>
      </c>
      <c r="J1486" s="30"/>
      <c r="K1486" s="30" t="s">
        <v>949</v>
      </c>
      <c r="L1486" s="30" t="s">
        <v>108</v>
      </c>
      <c r="M1486" s="30" t="s">
        <v>109</v>
      </c>
      <c r="N1486" s="30" t="s">
        <v>110</v>
      </c>
      <c r="O1486" s="30" t="s">
        <v>115</v>
      </c>
      <c r="P1486" s="30" t="s">
        <v>112</v>
      </c>
      <c r="Q1486" s="30" t="s">
        <v>112</v>
      </c>
      <c r="R1486" s="30" t="s">
        <v>185</v>
      </c>
      <c r="S1486" s="81">
        <f>HLOOKUP(L1486,データについて!$J$6:$M$18,13,FALSE)</f>
        <v>1</v>
      </c>
      <c r="T1486" s="81">
        <f>HLOOKUP(M1486,データについて!$J$7:$M$18,12,FALSE)</f>
        <v>2</v>
      </c>
      <c r="U1486" s="81">
        <f>HLOOKUP(N1486,データについて!$J$8:$M$18,11,FALSE)</f>
        <v>2</v>
      </c>
      <c r="V1486" s="81">
        <f>HLOOKUP(O1486,データについて!$J$9:$M$18,10,FALSE)</f>
        <v>1</v>
      </c>
      <c r="W1486" s="81">
        <f>HLOOKUP(P1486,データについて!$J$10:$M$18,9,FALSE)</f>
        <v>1</v>
      </c>
      <c r="X1486" s="81">
        <f>HLOOKUP(Q1486,データについて!$J$11:$M$18,8,FALSE)</f>
        <v>1</v>
      </c>
      <c r="Y1486" s="81">
        <f>HLOOKUP(R1486,データについて!$J$12:$M$18,7,FALSE)</f>
        <v>2</v>
      </c>
      <c r="Z1486" s="81">
        <f>HLOOKUP(I1486,データについて!$J$3:$M$18,16,FALSE)</f>
        <v>2</v>
      </c>
      <c r="AA1486" s="81" t="str">
        <f>IFERROR(HLOOKUP(J1486,データについて!$J$4:$AH$19,16,FALSE),"")</f>
        <v/>
      </c>
      <c r="AB1486" s="81">
        <f>IFERROR(HLOOKUP(K1486,データについて!$J$5:$AH$20,14,FALSE),"")</f>
        <v>0</v>
      </c>
      <c r="AC1486" s="81">
        <f>IF(X1486=1,HLOOKUP(R1486,データについて!$J$12:$M$18,7,FALSE),"*")</f>
        <v>2</v>
      </c>
      <c r="AD1486" s="81" t="str">
        <f>IF(X1486=2,HLOOKUP(R1486,データについて!$J$12:$M$18,7,FALSE),"*")</f>
        <v>*</v>
      </c>
    </row>
    <row r="1487" spans="1:30">
      <c r="A1487" s="30">
        <v>3705</v>
      </c>
      <c r="B1487" s="30" t="s">
        <v>1104</v>
      </c>
      <c r="C1487" s="30" t="s">
        <v>1105</v>
      </c>
      <c r="D1487" s="30" t="s">
        <v>106</v>
      </c>
      <c r="E1487" s="30"/>
      <c r="F1487" s="30" t="s">
        <v>107</v>
      </c>
      <c r="G1487" s="30" t="s">
        <v>106</v>
      </c>
      <c r="H1487" s="30"/>
      <c r="I1487" s="30" t="s">
        <v>191</v>
      </c>
      <c r="J1487" s="30"/>
      <c r="K1487" s="30" t="s">
        <v>949</v>
      </c>
      <c r="L1487" s="30" t="s">
        <v>108</v>
      </c>
      <c r="M1487" s="30" t="s">
        <v>124</v>
      </c>
      <c r="N1487" s="30" t="s">
        <v>110</v>
      </c>
      <c r="O1487" s="30" t="s">
        <v>115</v>
      </c>
      <c r="P1487" s="30" t="s">
        <v>112</v>
      </c>
      <c r="Q1487" s="30" t="s">
        <v>112</v>
      </c>
      <c r="R1487" s="30" t="s">
        <v>187</v>
      </c>
      <c r="S1487" s="81">
        <f>HLOOKUP(L1487,データについて!$J$6:$M$18,13,FALSE)</f>
        <v>1</v>
      </c>
      <c r="T1487" s="81">
        <f>HLOOKUP(M1487,データについて!$J$7:$M$18,12,FALSE)</f>
        <v>3</v>
      </c>
      <c r="U1487" s="81">
        <f>HLOOKUP(N1487,データについて!$J$8:$M$18,11,FALSE)</f>
        <v>2</v>
      </c>
      <c r="V1487" s="81">
        <f>HLOOKUP(O1487,データについて!$J$9:$M$18,10,FALSE)</f>
        <v>1</v>
      </c>
      <c r="W1487" s="81">
        <f>HLOOKUP(P1487,データについて!$J$10:$M$18,9,FALSE)</f>
        <v>1</v>
      </c>
      <c r="X1487" s="81">
        <f>HLOOKUP(Q1487,データについて!$J$11:$M$18,8,FALSE)</f>
        <v>1</v>
      </c>
      <c r="Y1487" s="81">
        <f>HLOOKUP(R1487,データについて!$J$12:$M$18,7,FALSE)</f>
        <v>3</v>
      </c>
      <c r="Z1487" s="81">
        <f>HLOOKUP(I1487,データについて!$J$3:$M$18,16,FALSE)</f>
        <v>2</v>
      </c>
      <c r="AA1487" s="81" t="str">
        <f>IFERROR(HLOOKUP(J1487,データについて!$J$4:$AH$19,16,FALSE),"")</f>
        <v/>
      </c>
      <c r="AB1487" s="81">
        <f>IFERROR(HLOOKUP(K1487,データについて!$J$5:$AH$20,14,FALSE),"")</f>
        <v>0</v>
      </c>
      <c r="AC1487" s="81">
        <f>IF(X1487=1,HLOOKUP(R1487,データについて!$J$12:$M$18,7,FALSE),"*")</f>
        <v>3</v>
      </c>
      <c r="AD1487" s="81" t="str">
        <f>IF(X1487=2,HLOOKUP(R1487,データについて!$J$12:$M$18,7,FALSE),"*")</f>
        <v>*</v>
      </c>
    </row>
    <row r="1488" spans="1:30">
      <c r="A1488" s="30">
        <v>3704</v>
      </c>
      <c r="B1488" s="30" t="s">
        <v>1106</v>
      </c>
      <c r="C1488" s="30" t="s">
        <v>1107</v>
      </c>
      <c r="D1488" s="30" t="s">
        <v>106</v>
      </c>
      <c r="E1488" s="30"/>
      <c r="F1488" s="30" t="s">
        <v>107</v>
      </c>
      <c r="G1488" s="30" t="s">
        <v>106</v>
      </c>
      <c r="H1488" s="30"/>
      <c r="I1488" s="30" t="s">
        <v>191</v>
      </c>
      <c r="J1488" s="30"/>
      <c r="K1488" s="30" t="s">
        <v>949</v>
      </c>
      <c r="L1488" s="30" t="s">
        <v>108</v>
      </c>
      <c r="M1488" s="30" t="s">
        <v>109</v>
      </c>
      <c r="N1488" s="30" t="s">
        <v>114</v>
      </c>
      <c r="O1488" s="30" t="s">
        <v>115</v>
      </c>
      <c r="P1488" s="30" t="s">
        <v>112</v>
      </c>
      <c r="Q1488" s="30" t="s">
        <v>112</v>
      </c>
      <c r="R1488" s="30" t="s">
        <v>185</v>
      </c>
      <c r="S1488" s="81">
        <f>HLOOKUP(L1488,データについて!$J$6:$M$18,13,FALSE)</f>
        <v>1</v>
      </c>
      <c r="T1488" s="81">
        <f>HLOOKUP(M1488,データについて!$J$7:$M$18,12,FALSE)</f>
        <v>2</v>
      </c>
      <c r="U1488" s="81">
        <f>HLOOKUP(N1488,データについて!$J$8:$M$18,11,FALSE)</f>
        <v>1</v>
      </c>
      <c r="V1488" s="81">
        <f>HLOOKUP(O1488,データについて!$J$9:$M$18,10,FALSE)</f>
        <v>1</v>
      </c>
      <c r="W1488" s="81">
        <f>HLOOKUP(P1488,データについて!$J$10:$M$18,9,FALSE)</f>
        <v>1</v>
      </c>
      <c r="X1488" s="81">
        <f>HLOOKUP(Q1488,データについて!$J$11:$M$18,8,FALSE)</f>
        <v>1</v>
      </c>
      <c r="Y1488" s="81">
        <f>HLOOKUP(R1488,データについて!$J$12:$M$18,7,FALSE)</f>
        <v>2</v>
      </c>
      <c r="Z1488" s="81">
        <f>HLOOKUP(I1488,データについて!$J$3:$M$18,16,FALSE)</f>
        <v>2</v>
      </c>
      <c r="AA1488" s="81" t="str">
        <f>IFERROR(HLOOKUP(J1488,データについて!$J$4:$AH$19,16,FALSE),"")</f>
        <v/>
      </c>
      <c r="AB1488" s="81">
        <f>IFERROR(HLOOKUP(K1488,データについて!$J$5:$AH$20,14,FALSE),"")</f>
        <v>0</v>
      </c>
      <c r="AC1488" s="81">
        <f>IF(X1488=1,HLOOKUP(R1488,データについて!$J$12:$M$18,7,FALSE),"*")</f>
        <v>2</v>
      </c>
      <c r="AD1488" s="81" t="str">
        <f>IF(X1488=2,HLOOKUP(R1488,データについて!$J$12:$M$18,7,FALSE),"*")</f>
        <v>*</v>
      </c>
    </row>
    <row r="1489" spans="1:30">
      <c r="A1489" s="30">
        <v>3703</v>
      </c>
      <c r="B1489" s="30" t="s">
        <v>1108</v>
      </c>
      <c r="C1489" s="30" t="s">
        <v>1109</v>
      </c>
      <c r="D1489" s="30" t="s">
        <v>106</v>
      </c>
      <c r="E1489" s="30"/>
      <c r="F1489" s="30" t="s">
        <v>107</v>
      </c>
      <c r="G1489" s="30" t="s">
        <v>106</v>
      </c>
      <c r="H1489" s="30"/>
      <c r="I1489" s="30" t="s">
        <v>191</v>
      </c>
      <c r="J1489" s="30"/>
      <c r="K1489" s="30" t="s">
        <v>949</v>
      </c>
      <c r="L1489" s="30" t="s">
        <v>108</v>
      </c>
      <c r="M1489" s="30" t="s">
        <v>113</v>
      </c>
      <c r="N1489" s="30" t="s">
        <v>114</v>
      </c>
      <c r="O1489" s="30" t="s">
        <v>115</v>
      </c>
      <c r="P1489" s="30" t="s">
        <v>118</v>
      </c>
      <c r="Q1489" s="30" t="s">
        <v>112</v>
      </c>
      <c r="R1489" s="30" t="s">
        <v>185</v>
      </c>
      <c r="S1489" s="81">
        <f>HLOOKUP(L1489,データについて!$J$6:$M$18,13,FALSE)</f>
        <v>1</v>
      </c>
      <c r="T1489" s="81">
        <f>HLOOKUP(M1489,データについて!$J$7:$M$18,12,FALSE)</f>
        <v>1</v>
      </c>
      <c r="U1489" s="81">
        <f>HLOOKUP(N1489,データについて!$J$8:$M$18,11,FALSE)</f>
        <v>1</v>
      </c>
      <c r="V1489" s="81">
        <f>HLOOKUP(O1489,データについて!$J$9:$M$18,10,FALSE)</f>
        <v>1</v>
      </c>
      <c r="W1489" s="81">
        <f>HLOOKUP(P1489,データについて!$J$10:$M$18,9,FALSE)</f>
        <v>2</v>
      </c>
      <c r="X1489" s="81">
        <f>HLOOKUP(Q1489,データについて!$J$11:$M$18,8,FALSE)</f>
        <v>1</v>
      </c>
      <c r="Y1489" s="81">
        <f>HLOOKUP(R1489,データについて!$J$12:$M$18,7,FALSE)</f>
        <v>2</v>
      </c>
      <c r="Z1489" s="81">
        <f>HLOOKUP(I1489,データについて!$J$3:$M$18,16,FALSE)</f>
        <v>2</v>
      </c>
      <c r="AA1489" s="81" t="str">
        <f>IFERROR(HLOOKUP(J1489,データについて!$J$4:$AH$19,16,FALSE),"")</f>
        <v/>
      </c>
      <c r="AB1489" s="81">
        <f>IFERROR(HLOOKUP(K1489,データについて!$J$5:$AH$20,14,FALSE),"")</f>
        <v>0</v>
      </c>
      <c r="AC1489" s="81">
        <f>IF(X1489=1,HLOOKUP(R1489,データについて!$J$12:$M$18,7,FALSE),"*")</f>
        <v>2</v>
      </c>
      <c r="AD1489" s="81" t="str">
        <f>IF(X1489=2,HLOOKUP(R1489,データについて!$J$12:$M$18,7,FALSE),"*")</f>
        <v>*</v>
      </c>
    </row>
    <row r="1490" spans="1:30">
      <c r="A1490" s="30">
        <v>3702</v>
      </c>
      <c r="B1490" s="30" t="s">
        <v>1110</v>
      </c>
      <c r="C1490" s="30" t="s">
        <v>1109</v>
      </c>
      <c r="D1490" s="30" t="s">
        <v>106</v>
      </c>
      <c r="E1490" s="30"/>
      <c r="F1490" s="30" t="s">
        <v>107</v>
      </c>
      <c r="G1490" s="30" t="s">
        <v>106</v>
      </c>
      <c r="H1490" s="30"/>
      <c r="I1490" s="30" t="s">
        <v>191</v>
      </c>
      <c r="J1490" s="30"/>
      <c r="K1490" s="30" t="s">
        <v>949</v>
      </c>
      <c r="L1490" s="30" t="s">
        <v>108</v>
      </c>
      <c r="M1490" s="30" t="s">
        <v>109</v>
      </c>
      <c r="N1490" s="30" t="s">
        <v>110</v>
      </c>
      <c r="O1490" s="30" t="s">
        <v>115</v>
      </c>
      <c r="P1490" s="30" t="s">
        <v>118</v>
      </c>
      <c r="Q1490" s="30" t="s">
        <v>112</v>
      </c>
      <c r="R1490" s="30" t="s">
        <v>189</v>
      </c>
      <c r="S1490" s="81">
        <f>HLOOKUP(L1490,データについて!$J$6:$M$18,13,FALSE)</f>
        <v>1</v>
      </c>
      <c r="T1490" s="81">
        <f>HLOOKUP(M1490,データについて!$J$7:$M$18,12,FALSE)</f>
        <v>2</v>
      </c>
      <c r="U1490" s="81">
        <f>HLOOKUP(N1490,データについて!$J$8:$M$18,11,FALSE)</f>
        <v>2</v>
      </c>
      <c r="V1490" s="81">
        <f>HLOOKUP(O1490,データについて!$J$9:$M$18,10,FALSE)</f>
        <v>1</v>
      </c>
      <c r="W1490" s="81">
        <f>HLOOKUP(P1490,データについて!$J$10:$M$18,9,FALSE)</f>
        <v>2</v>
      </c>
      <c r="X1490" s="81">
        <f>HLOOKUP(Q1490,データについて!$J$11:$M$18,8,FALSE)</f>
        <v>1</v>
      </c>
      <c r="Y1490" s="81">
        <f>HLOOKUP(R1490,データについて!$J$12:$M$18,7,FALSE)</f>
        <v>4</v>
      </c>
      <c r="Z1490" s="81">
        <f>HLOOKUP(I1490,データについて!$J$3:$M$18,16,FALSE)</f>
        <v>2</v>
      </c>
      <c r="AA1490" s="81" t="str">
        <f>IFERROR(HLOOKUP(J1490,データについて!$J$4:$AH$19,16,FALSE),"")</f>
        <v/>
      </c>
      <c r="AB1490" s="81">
        <f>IFERROR(HLOOKUP(K1490,データについて!$J$5:$AH$20,14,FALSE),"")</f>
        <v>0</v>
      </c>
      <c r="AC1490" s="81">
        <f>IF(X1490=1,HLOOKUP(R1490,データについて!$J$12:$M$18,7,FALSE),"*")</f>
        <v>4</v>
      </c>
      <c r="AD1490" s="81" t="str">
        <f>IF(X1490=2,HLOOKUP(R1490,データについて!$J$12:$M$18,7,FALSE),"*")</f>
        <v>*</v>
      </c>
    </row>
    <row r="1491" spans="1:30">
      <c r="A1491" s="30">
        <v>3701</v>
      </c>
      <c r="B1491" s="30" t="s">
        <v>1111</v>
      </c>
      <c r="C1491" s="30" t="s">
        <v>1112</v>
      </c>
      <c r="D1491" s="30" t="s">
        <v>106</v>
      </c>
      <c r="E1491" s="30"/>
      <c r="F1491" s="30" t="s">
        <v>107</v>
      </c>
      <c r="G1491" s="30" t="s">
        <v>106</v>
      </c>
      <c r="H1491" s="30"/>
      <c r="I1491" s="30" t="s">
        <v>191</v>
      </c>
      <c r="J1491" s="30"/>
      <c r="K1491" s="30" t="s">
        <v>949</v>
      </c>
      <c r="L1491" s="30" t="s">
        <v>108</v>
      </c>
      <c r="M1491" s="30" t="s">
        <v>113</v>
      </c>
      <c r="N1491" s="30" t="s">
        <v>114</v>
      </c>
      <c r="O1491" s="30" t="s">
        <v>115</v>
      </c>
      <c r="P1491" s="30" t="s">
        <v>112</v>
      </c>
      <c r="Q1491" s="30" t="s">
        <v>112</v>
      </c>
      <c r="R1491" s="30" t="s">
        <v>185</v>
      </c>
      <c r="S1491" s="81">
        <f>HLOOKUP(L1491,データについて!$J$6:$M$18,13,FALSE)</f>
        <v>1</v>
      </c>
      <c r="T1491" s="81">
        <f>HLOOKUP(M1491,データについて!$J$7:$M$18,12,FALSE)</f>
        <v>1</v>
      </c>
      <c r="U1491" s="81">
        <f>HLOOKUP(N1491,データについて!$J$8:$M$18,11,FALSE)</f>
        <v>1</v>
      </c>
      <c r="V1491" s="81">
        <f>HLOOKUP(O1491,データについて!$J$9:$M$18,10,FALSE)</f>
        <v>1</v>
      </c>
      <c r="W1491" s="81">
        <f>HLOOKUP(P1491,データについて!$J$10:$M$18,9,FALSE)</f>
        <v>1</v>
      </c>
      <c r="X1491" s="81">
        <f>HLOOKUP(Q1491,データについて!$J$11:$M$18,8,FALSE)</f>
        <v>1</v>
      </c>
      <c r="Y1491" s="81">
        <f>HLOOKUP(R1491,データについて!$J$12:$M$18,7,FALSE)</f>
        <v>2</v>
      </c>
      <c r="Z1491" s="81">
        <f>HLOOKUP(I1491,データについて!$J$3:$M$18,16,FALSE)</f>
        <v>2</v>
      </c>
      <c r="AA1491" s="81" t="str">
        <f>IFERROR(HLOOKUP(J1491,データについて!$J$4:$AH$19,16,FALSE),"")</f>
        <v/>
      </c>
      <c r="AB1491" s="81">
        <f>IFERROR(HLOOKUP(K1491,データについて!$J$5:$AH$20,14,FALSE),"")</f>
        <v>0</v>
      </c>
      <c r="AC1491" s="81">
        <f>IF(X1491=1,HLOOKUP(R1491,データについて!$J$12:$M$18,7,FALSE),"*")</f>
        <v>2</v>
      </c>
      <c r="AD1491" s="81" t="str">
        <f>IF(X1491=2,HLOOKUP(R1491,データについて!$J$12:$M$18,7,FALSE),"*")</f>
        <v>*</v>
      </c>
    </row>
    <row r="1492" spans="1:30">
      <c r="A1492" s="30">
        <v>3700</v>
      </c>
      <c r="B1492" s="30" t="s">
        <v>1113</v>
      </c>
      <c r="C1492" s="30" t="s">
        <v>1114</v>
      </c>
      <c r="D1492" s="30" t="s">
        <v>106</v>
      </c>
      <c r="E1492" s="30"/>
      <c r="F1492" s="30" t="s">
        <v>107</v>
      </c>
      <c r="G1492" s="30" t="s">
        <v>106</v>
      </c>
      <c r="H1492" s="30"/>
      <c r="I1492" s="30" t="s">
        <v>191</v>
      </c>
      <c r="J1492" s="30"/>
      <c r="K1492" s="30" t="s">
        <v>949</v>
      </c>
      <c r="L1492" s="30" t="s">
        <v>108</v>
      </c>
      <c r="M1492" s="30" t="s">
        <v>113</v>
      </c>
      <c r="N1492" s="30" t="s">
        <v>114</v>
      </c>
      <c r="O1492" s="30" t="s">
        <v>111</v>
      </c>
      <c r="P1492" s="30" t="s">
        <v>112</v>
      </c>
      <c r="Q1492" s="30" t="s">
        <v>112</v>
      </c>
      <c r="R1492" s="30" t="s">
        <v>183</v>
      </c>
      <c r="S1492" s="81">
        <f>HLOOKUP(L1492,データについて!$J$6:$M$18,13,FALSE)</f>
        <v>1</v>
      </c>
      <c r="T1492" s="81">
        <f>HLOOKUP(M1492,データについて!$J$7:$M$18,12,FALSE)</f>
        <v>1</v>
      </c>
      <c r="U1492" s="81">
        <f>HLOOKUP(N1492,データについて!$J$8:$M$18,11,FALSE)</f>
        <v>1</v>
      </c>
      <c r="V1492" s="81">
        <f>HLOOKUP(O1492,データについて!$J$9:$M$18,10,FALSE)</f>
        <v>3</v>
      </c>
      <c r="W1492" s="81">
        <f>HLOOKUP(P1492,データについて!$J$10:$M$18,9,FALSE)</f>
        <v>1</v>
      </c>
      <c r="X1492" s="81">
        <f>HLOOKUP(Q1492,データについて!$J$11:$M$18,8,FALSE)</f>
        <v>1</v>
      </c>
      <c r="Y1492" s="81">
        <f>HLOOKUP(R1492,データについて!$J$12:$M$18,7,FALSE)</f>
        <v>1</v>
      </c>
      <c r="Z1492" s="81">
        <f>HLOOKUP(I1492,データについて!$J$3:$M$18,16,FALSE)</f>
        <v>2</v>
      </c>
      <c r="AA1492" s="81" t="str">
        <f>IFERROR(HLOOKUP(J1492,データについて!$J$4:$AH$19,16,FALSE),"")</f>
        <v/>
      </c>
      <c r="AB1492" s="81">
        <f>IFERROR(HLOOKUP(K1492,データについて!$J$5:$AH$20,14,FALSE),"")</f>
        <v>0</v>
      </c>
      <c r="AC1492" s="81">
        <f>IF(X1492=1,HLOOKUP(R1492,データについて!$J$12:$M$18,7,FALSE),"*")</f>
        <v>1</v>
      </c>
      <c r="AD1492" s="81" t="str">
        <f>IF(X1492=2,HLOOKUP(R1492,データについて!$J$12:$M$18,7,FALSE),"*")</f>
        <v>*</v>
      </c>
    </row>
    <row r="1493" spans="1:30">
      <c r="A1493" s="30">
        <v>3699</v>
      </c>
      <c r="B1493" s="30" t="s">
        <v>1115</v>
      </c>
      <c r="C1493" s="30" t="s">
        <v>1116</v>
      </c>
      <c r="D1493" s="30" t="s">
        <v>106</v>
      </c>
      <c r="E1493" s="30"/>
      <c r="F1493" s="30" t="s">
        <v>107</v>
      </c>
      <c r="G1493" s="30" t="s">
        <v>106</v>
      </c>
      <c r="H1493" s="30"/>
      <c r="I1493" s="30" t="s">
        <v>191</v>
      </c>
      <c r="J1493" s="30"/>
      <c r="K1493" s="30" t="s">
        <v>949</v>
      </c>
      <c r="L1493" s="30" t="s">
        <v>108</v>
      </c>
      <c r="M1493" s="30" t="s">
        <v>109</v>
      </c>
      <c r="N1493" s="30" t="s">
        <v>110</v>
      </c>
      <c r="O1493" s="30" t="s">
        <v>115</v>
      </c>
      <c r="P1493" s="30" t="s">
        <v>112</v>
      </c>
      <c r="Q1493" s="30" t="s">
        <v>112</v>
      </c>
      <c r="R1493" s="30" t="s">
        <v>185</v>
      </c>
      <c r="S1493" s="81">
        <f>HLOOKUP(L1493,データについて!$J$6:$M$18,13,FALSE)</f>
        <v>1</v>
      </c>
      <c r="T1493" s="81">
        <f>HLOOKUP(M1493,データについて!$J$7:$M$18,12,FALSE)</f>
        <v>2</v>
      </c>
      <c r="U1493" s="81">
        <f>HLOOKUP(N1493,データについて!$J$8:$M$18,11,FALSE)</f>
        <v>2</v>
      </c>
      <c r="V1493" s="81">
        <f>HLOOKUP(O1493,データについて!$J$9:$M$18,10,FALSE)</f>
        <v>1</v>
      </c>
      <c r="W1493" s="81">
        <f>HLOOKUP(P1493,データについて!$J$10:$M$18,9,FALSE)</f>
        <v>1</v>
      </c>
      <c r="X1493" s="81">
        <f>HLOOKUP(Q1493,データについて!$J$11:$M$18,8,FALSE)</f>
        <v>1</v>
      </c>
      <c r="Y1493" s="81">
        <f>HLOOKUP(R1493,データについて!$J$12:$M$18,7,FALSE)</f>
        <v>2</v>
      </c>
      <c r="Z1493" s="81">
        <f>HLOOKUP(I1493,データについて!$J$3:$M$18,16,FALSE)</f>
        <v>2</v>
      </c>
      <c r="AA1493" s="81" t="str">
        <f>IFERROR(HLOOKUP(J1493,データについて!$J$4:$AH$19,16,FALSE),"")</f>
        <v/>
      </c>
      <c r="AB1493" s="81">
        <f>IFERROR(HLOOKUP(K1493,データについて!$J$5:$AH$20,14,FALSE),"")</f>
        <v>0</v>
      </c>
      <c r="AC1493" s="81">
        <f>IF(X1493=1,HLOOKUP(R1493,データについて!$J$12:$M$18,7,FALSE),"*")</f>
        <v>2</v>
      </c>
      <c r="AD1493" s="81" t="str">
        <f>IF(X1493=2,HLOOKUP(R1493,データについて!$J$12:$M$18,7,FALSE),"*")</f>
        <v>*</v>
      </c>
    </row>
    <row r="1494" spans="1:30">
      <c r="A1494" s="30">
        <v>3698</v>
      </c>
      <c r="B1494" s="30" t="s">
        <v>1117</v>
      </c>
      <c r="C1494" s="30" t="s">
        <v>1118</v>
      </c>
      <c r="D1494" s="30" t="s">
        <v>106</v>
      </c>
      <c r="E1494" s="30"/>
      <c r="F1494" s="30" t="s">
        <v>107</v>
      </c>
      <c r="G1494" s="30" t="s">
        <v>106</v>
      </c>
      <c r="H1494" s="30"/>
      <c r="I1494" s="30" t="s">
        <v>191</v>
      </c>
      <c r="J1494" s="30"/>
      <c r="K1494" s="30" t="s">
        <v>949</v>
      </c>
      <c r="L1494" s="30" t="s">
        <v>108</v>
      </c>
      <c r="M1494" s="30" t="s">
        <v>109</v>
      </c>
      <c r="N1494" s="30" t="s">
        <v>114</v>
      </c>
      <c r="O1494" s="30" t="s">
        <v>115</v>
      </c>
      <c r="P1494" s="30" t="s">
        <v>112</v>
      </c>
      <c r="Q1494" s="30" t="s">
        <v>112</v>
      </c>
      <c r="R1494" s="30" t="s">
        <v>185</v>
      </c>
      <c r="S1494" s="81">
        <f>HLOOKUP(L1494,データについて!$J$6:$M$18,13,FALSE)</f>
        <v>1</v>
      </c>
      <c r="T1494" s="81">
        <f>HLOOKUP(M1494,データについて!$J$7:$M$18,12,FALSE)</f>
        <v>2</v>
      </c>
      <c r="U1494" s="81">
        <f>HLOOKUP(N1494,データについて!$J$8:$M$18,11,FALSE)</f>
        <v>1</v>
      </c>
      <c r="V1494" s="81">
        <f>HLOOKUP(O1494,データについて!$J$9:$M$18,10,FALSE)</f>
        <v>1</v>
      </c>
      <c r="W1494" s="81">
        <f>HLOOKUP(P1494,データについて!$J$10:$M$18,9,FALSE)</f>
        <v>1</v>
      </c>
      <c r="X1494" s="81">
        <f>HLOOKUP(Q1494,データについて!$J$11:$M$18,8,FALSE)</f>
        <v>1</v>
      </c>
      <c r="Y1494" s="81">
        <f>HLOOKUP(R1494,データについて!$J$12:$M$18,7,FALSE)</f>
        <v>2</v>
      </c>
      <c r="Z1494" s="81">
        <f>HLOOKUP(I1494,データについて!$J$3:$M$18,16,FALSE)</f>
        <v>2</v>
      </c>
      <c r="AA1494" s="81" t="str">
        <f>IFERROR(HLOOKUP(J1494,データについて!$J$4:$AH$19,16,FALSE),"")</f>
        <v/>
      </c>
      <c r="AB1494" s="81">
        <f>IFERROR(HLOOKUP(K1494,データについて!$J$5:$AH$20,14,FALSE),"")</f>
        <v>0</v>
      </c>
      <c r="AC1494" s="81">
        <f>IF(X1494=1,HLOOKUP(R1494,データについて!$J$12:$M$18,7,FALSE),"*")</f>
        <v>2</v>
      </c>
      <c r="AD1494" s="81" t="str">
        <f>IF(X1494=2,HLOOKUP(R1494,データについて!$J$12:$M$18,7,FALSE),"*")</f>
        <v>*</v>
      </c>
    </row>
    <row r="1495" spans="1:30">
      <c r="A1495" s="30">
        <v>3697</v>
      </c>
      <c r="B1495" s="30" t="s">
        <v>1119</v>
      </c>
      <c r="C1495" s="30" t="s">
        <v>1120</v>
      </c>
      <c r="D1495" s="30" t="s">
        <v>106</v>
      </c>
      <c r="E1495" s="30"/>
      <c r="F1495" s="30" t="s">
        <v>107</v>
      </c>
      <c r="G1495" s="30" t="s">
        <v>106</v>
      </c>
      <c r="H1495" s="30"/>
      <c r="I1495" s="30" t="s">
        <v>191</v>
      </c>
      <c r="J1495" s="30"/>
      <c r="K1495" s="30" t="s">
        <v>949</v>
      </c>
      <c r="L1495" s="30" t="s">
        <v>117</v>
      </c>
      <c r="M1495" s="30" t="s">
        <v>109</v>
      </c>
      <c r="N1495" s="30" t="s">
        <v>114</v>
      </c>
      <c r="O1495" s="30" t="s">
        <v>115</v>
      </c>
      <c r="P1495" s="30" t="s">
        <v>118</v>
      </c>
      <c r="Q1495" s="30" t="s">
        <v>112</v>
      </c>
      <c r="R1495" s="30" t="s">
        <v>183</v>
      </c>
      <c r="S1495" s="81">
        <f>HLOOKUP(L1495,データについて!$J$6:$M$18,13,FALSE)</f>
        <v>2</v>
      </c>
      <c r="T1495" s="81">
        <f>HLOOKUP(M1495,データについて!$J$7:$M$18,12,FALSE)</f>
        <v>2</v>
      </c>
      <c r="U1495" s="81">
        <f>HLOOKUP(N1495,データについて!$J$8:$M$18,11,FALSE)</f>
        <v>1</v>
      </c>
      <c r="V1495" s="81">
        <f>HLOOKUP(O1495,データについて!$J$9:$M$18,10,FALSE)</f>
        <v>1</v>
      </c>
      <c r="W1495" s="81">
        <f>HLOOKUP(P1495,データについて!$J$10:$M$18,9,FALSE)</f>
        <v>2</v>
      </c>
      <c r="X1495" s="81">
        <f>HLOOKUP(Q1495,データについて!$J$11:$M$18,8,FALSE)</f>
        <v>1</v>
      </c>
      <c r="Y1495" s="81">
        <f>HLOOKUP(R1495,データについて!$J$12:$M$18,7,FALSE)</f>
        <v>1</v>
      </c>
      <c r="Z1495" s="81">
        <f>HLOOKUP(I1495,データについて!$J$3:$M$18,16,FALSE)</f>
        <v>2</v>
      </c>
      <c r="AA1495" s="81" t="str">
        <f>IFERROR(HLOOKUP(J1495,データについて!$J$4:$AH$19,16,FALSE),"")</f>
        <v/>
      </c>
      <c r="AB1495" s="81">
        <f>IFERROR(HLOOKUP(K1495,データについて!$J$5:$AH$20,14,FALSE),"")</f>
        <v>0</v>
      </c>
      <c r="AC1495" s="81">
        <f>IF(X1495=1,HLOOKUP(R1495,データについて!$J$12:$M$18,7,FALSE),"*")</f>
        <v>1</v>
      </c>
      <c r="AD1495" s="81" t="str">
        <f>IF(X1495=2,HLOOKUP(R1495,データについて!$J$12:$M$18,7,FALSE),"*")</f>
        <v>*</v>
      </c>
    </row>
    <row r="1496" spans="1:30">
      <c r="A1496" s="30">
        <v>3696</v>
      </c>
      <c r="B1496" s="30" t="s">
        <v>1121</v>
      </c>
      <c r="C1496" s="30" t="s">
        <v>1122</v>
      </c>
      <c r="D1496" s="30" t="s">
        <v>106</v>
      </c>
      <c r="E1496" s="30"/>
      <c r="F1496" s="30" t="s">
        <v>107</v>
      </c>
      <c r="G1496" s="30" t="s">
        <v>106</v>
      </c>
      <c r="H1496" s="30"/>
      <c r="I1496" s="30" t="s">
        <v>191</v>
      </c>
      <c r="J1496" s="30"/>
      <c r="K1496" s="30" t="s">
        <v>949</v>
      </c>
      <c r="L1496" s="30" t="s">
        <v>108</v>
      </c>
      <c r="M1496" s="30" t="s">
        <v>109</v>
      </c>
      <c r="N1496" s="30" t="s">
        <v>110</v>
      </c>
      <c r="O1496" s="30" t="s">
        <v>115</v>
      </c>
      <c r="P1496" s="30" t="s">
        <v>112</v>
      </c>
      <c r="Q1496" s="30" t="s">
        <v>112</v>
      </c>
      <c r="R1496" s="30" t="s">
        <v>185</v>
      </c>
      <c r="S1496" s="81">
        <f>HLOOKUP(L1496,データについて!$J$6:$M$18,13,FALSE)</f>
        <v>1</v>
      </c>
      <c r="T1496" s="81">
        <f>HLOOKUP(M1496,データについて!$J$7:$M$18,12,FALSE)</f>
        <v>2</v>
      </c>
      <c r="U1496" s="81">
        <f>HLOOKUP(N1496,データについて!$J$8:$M$18,11,FALSE)</f>
        <v>2</v>
      </c>
      <c r="V1496" s="81">
        <f>HLOOKUP(O1496,データについて!$J$9:$M$18,10,FALSE)</f>
        <v>1</v>
      </c>
      <c r="W1496" s="81">
        <f>HLOOKUP(P1496,データについて!$J$10:$M$18,9,FALSE)</f>
        <v>1</v>
      </c>
      <c r="X1496" s="81">
        <f>HLOOKUP(Q1496,データについて!$J$11:$M$18,8,FALSE)</f>
        <v>1</v>
      </c>
      <c r="Y1496" s="81">
        <f>HLOOKUP(R1496,データについて!$J$12:$M$18,7,FALSE)</f>
        <v>2</v>
      </c>
      <c r="Z1496" s="81">
        <f>HLOOKUP(I1496,データについて!$J$3:$M$18,16,FALSE)</f>
        <v>2</v>
      </c>
      <c r="AA1496" s="81" t="str">
        <f>IFERROR(HLOOKUP(J1496,データについて!$J$4:$AH$19,16,FALSE),"")</f>
        <v/>
      </c>
      <c r="AB1496" s="81">
        <f>IFERROR(HLOOKUP(K1496,データについて!$J$5:$AH$20,14,FALSE),"")</f>
        <v>0</v>
      </c>
      <c r="AC1496" s="81">
        <f>IF(X1496=1,HLOOKUP(R1496,データについて!$J$12:$M$18,7,FALSE),"*")</f>
        <v>2</v>
      </c>
      <c r="AD1496" s="81" t="str">
        <f>IF(X1496=2,HLOOKUP(R1496,データについて!$J$12:$M$18,7,FALSE),"*")</f>
        <v>*</v>
      </c>
    </row>
    <row r="1497" spans="1:30">
      <c r="A1497" s="30">
        <v>3695</v>
      </c>
      <c r="B1497" s="30" t="s">
        <v>1123</v>
      </c>
      <c r="C1497" s="30" t="s">
        <v>1124</v>
      </c>
      <c r="D1497" s="30" t="s">
        <v>106</v>
      </c>
      <c r="E1497" s="30"/>
      <c r="F1497" s="30" t="s">
        <v>107</v>
      </c>
      <c r="G1497" s="30" t="s">
        <v>106</v>
      </c>
      <c r="H1497" s="30"/>
      <c r="I1497" s="30" t="s">
        <v>191</v>
      </c>
      <c r="J1497" s="30"/>
      <c r="K1497" s="30" t="s">
        <v>949</v>
      </c>
      <c r="L1497" s="30" t="s">
        <v>108</v>
      </c>
      <c r="M1497" s="30" t="s">
        <v>121</v>
      </c>
      <c r="N1497" s="30" t="s">
        <v>119</v>
      </c>
      <c r="O1497" s="30" t="s">
        <v>123</v>
      </c>
      <c r="P1497" s="30" t="s">
        <v>112</v>
      </c>
      <c r="Q1497" s="30" t="s">
        <v>118</v>
      </c>
      <c r="R1497" s="30" t="s">
        <v>189</v>
      </c>
      <c r="S1497" s="81">
        <f>HLOOKUP(L1497,データについて!$J$6:$M$18,13,FALSE)</f>
        <v>1</v>
      </c>
      <c r="T1497" s="81">
        <f>HLOOKUP(M1497,データについて!$J$7:$M$18,12,FALSE)</f>
        <v>4</v>
      </c>
      <c r="U1497" s="81">
        <f>HLOOKUP(N1497,データについて!$J$8:$M$18,11,FALSE)</f>
        <v>4</v>
      </c>
      <c r="V1497" s="81">
        <f>HLOOKUP(O1497,データについて!$J$9:$M$18,10,FALSE)</f>
        <v>4</v>
      </c>
      <c r="W1497" s="81">
        <f>HLOOKUP(P1497,データについて!$J$10:$M$18,9,FALSE)</f>
        <v>1</v>
      </c>
      <c r="X1497" s="81">
        <f>HLOOKUP(Q1497,データについて!$J$11:$M$18,8,FALSE)</f>
        <v>2</v>
      </c>
      <c r="Y1497" s="81">
        <f>HLOOKUP(R1497,データについて!$J$12:$M$18,7,FALSE)</f>
        <v>4</v>
      </c>
      <c r="Z1497" s="81">
        <f>HLOOKUP(I1497,データについて!$J$3:$M$18,16,FALSE)</f>
        <v>2</v>
      </c>
      <c r="AA1497" s="81" t="str">
        <f>IFERROR(HLOOKUP(J1497,データについて!$J$4:$AH$19,16,FALSE),"")</f>
        <v/>
      </c>
      <c r="AB1497" s="81">
        <f>IFERROR(HLOOKUP(K1497,データについて!$J$5:$AH$20,14,FALSE),"")</f>
        <v>0</v>
      </c>
      <c r="AC1497" s="81" t="str">
        <f>IF(X1497=1,HLOOKUP(R1497,データについて!$J$12:$M$18,7,FALSE),"*")</f>
        <v>*</v>
      </c>
      <c r="AD1497" s="81">
        <f>IF(X1497=2,HLOOKUP(R1497,データについて!$J$12:$M$18,7,FALSE),"*")</f>
        <v>4</v>
      </c>
    </row>
    <row r="1498" spans="1:30">
      <c r="A1498" s="30">
        <v>3694</v>
      </c>
      <c r="B1498" s="30" t="s">
        <v>1125</v>
      </c>
      <c r="C1498" s="30" t="s">
        <v>1124</v>
      </c>
      <c r="D1498" s="30" t="s">
        <v>106</v>
      </c>
      <c r="E1498" s="30"/>
      <c r="F1498" s="30" t="s">
        <v>107</v>
      </c>
      <c r="G1498" s="30" t="s">
        <v>106</v>
      </c>
      <c r="H1498" s="30"/>
      <c r="I1498" s="30" t="s">
        <v>191</v>
      </c>
      <c r="J1498" s="30"/>
      <c r="K1498" s="30" t="s">
        <v>949</v>
      </c>
      <c r="L1498" s="30" t="s">
        <v>117</v>
      </c>
      <c r="M1498" s="30" t="s">
        <v>113</v>
      </c>
      <c r="N1498" s="30" t="s">
        <v>119</v>
      </c>
      <c r="O1498" s="30" t="s">
        <v>123</v>
      </c>
      <c r="P1498" s="30" t="s">
        <v>118</v>
      </c>
      <c r="Q1498" s="30" t="s">
        <v>112</v>
      </c>
      <c r="R1498" s="30" t="s">
        <v>183</v>
      </c>
      <c r="S1498" s="81">
        <f>HLOOKUP(L1498,データについて!$J$6:$M$18,13,FALSE)</f>
        <v>2</v>
      </c>
      <c r="T1498" s="81">
        <f>HLOOKUP(M1498,データについて!$J$7:$M$18,12,FALSE)</f>
        <v>1</v>
      </c>
      <c r="U1498" s="81">
        <f>HLOOKUP(N1498,データについて!$J$8:$M$18,11,FALSE)</f>
        <v>4</v>
      </c>
      <c r="V1498" s="81">
        <f>HLOOKUP(O1498,データについて!$J$9:$M$18,10,FALSE)</f>
        <v>4</v>
      </c>
      <c r="W1498" s="81">
        <f>HLOOKUP(P1498,データについて!$J$10:$M$18,9,FALSE)</f>
        <v>2</v>
      </c>
      <c r="X1498" s="81">
        <f>HLOOKUP(Q1498,データについて!$J$11:$M$18,8,FALSE)</f>
        <v>1</v>
      </c>
      <c r="Y1498" s="81">
        <f>HLOOKUP(R1498,データについて!$J$12:$M$18,7,FALSE)</f>
        <v>1</v>
      </c>
      <c r="Z1498" s="81">
        <f>HLOOKUP(I1498,データについて!$J$3:$M$18,16,FALSE)</f>
        <v>2</v>
      </c>
      <c r="AA1498" s="81" t="str">
        <f>IFERROR(HLOOKUP(J1498,データについて!$J$4:$AH$19,16,FALSE),"")</f>
        <v/>
      </c>
      <c r="AB1498" s="81">
        <f>IFERROR(HLOOKUP(K1498,データについて!$J$5:$AH$20,14,FALSE),"")</f>
        <v>0</v>
      </c>
      <c r="AC1498" s="81">
        <f>IF(X1498=1,HLOOKUP(R1498,データについて!$J$12:$M$18,7,FALSE),"*")</f>
        <v>1</v>
      </c>
      <c r="AD1498" s="81" t="str">
        <f>IF(X1498=2,HLOOKUP(R1498,データについて!$J$12:$M$18,7,FALSE),"*")</f>
        <v>*</v>
      </c>
    </row>
    <row r="1499" spans="1:30">
      <c r="A1499" s="30">
        <v>3693</v>
      </c>
      <c r="B1499" s="30" t="s">
        <v>1126</v>
      </c>
      <c r="C1499" s="30" t="s">
        <v>1127</v>
      </c>
      <c r="D1499" s="30" t="s">
        <v>106</v>
      </c>
      <c r="E1499" s="30"/>
      <c r="F1499" s="30" t="s">
        <v>107</v>
      </c>
      <c r="G1499" s="30" t="s">
        <v>106</v>
      </c>
      <c r="H1499" s="30"/>
      <c r="I1499" s="30" t="s">
        <v>191</v>
      </c>
      <c r="J1499" s="30"/>
      <c r="K1499" s="30" t="s">
        <v>949</v>
      </c>
      <c r="L1499" s="30" t="s">
        <v>117</v>
      </c>
      <c r="M1499" s="30" t="s">
        <v>124</v>
      </c>
      <c r="N1499" s="30" t="s">
        <v>110</v>
      </c>
      <c r="O1499" s="30" t="s">
        <v>115</v>
      </c>
      <c r="P1499" s="30" t="s">
        <v>112</v>
      </c>
      <c r="Q1499" s="30" t="s">
        <v>112</v>
      </c>
      <c r="R1499" s="30" t="s">
        <v>187</v>
      </c>
      <c r="S1499" s="81">
        <f>HLOOKUP(L1499,データについて!$J$6:$M$18,13,FALSE)</f>
        <v>2</v>
      </c>
      <c r="T1499" s="81">
        <f>HLOOKUP(M1499,データについて!$J$7:$M$18,12,FALSE)</f>
        <v>3</v>
      </c>
      <c r="U1499" s="81">
        <f>HLOOKUP(N1499,データについて!$J$8:$M$18,11,FALSE)</f>
        <v>2</v>
      </c>
      <c r="V1499" s="81">
        <f>HLOOKUP(O1499,データについて!$J$9:$M$18,10,FALSE)</f>
        <v>1</v>
      </c>
      <c r="W1499" s="81">
        <f>HLOOKUP(P1499,データについて!$J$10:$M$18,9,FALSE)</f>
        <v>1</v>
      </c>
      <c r="X1499" s="81">
        <f>HLOOKUP(Q1499,データについて!$J$11:$M$18,8,FALSE)</f>
        <v>1</v>
      </c>
      <c r="Y1499" s="81">
        <f>HLOOKUP(R1499,データについて!$J$12:$M$18,7,FALSE)</f>
        <v>3</v>
      </c>
      <c r="Z1499" s="81">
        <f>HLOOKUP(I1499,データについて!$J$3:$M$18,16,FALSE)</f>
        <v>2</v>
      </c>
      <c r="AA1499" s="81" t="str">
        <f>IFERROR(HLOOKUP(J1499,データについて!$J$4:$AH$19,16,FALSE),"")</f>
        <v/>
      </c>
      <c r="AB1499" s="81">
        <f>IFERROR(HLOOKUP(K1499,データについて!$J$5:$AH$20,14,FALSE),"")</f>
        <v>0</v>
      </c>
      <c r="AC1499" s="81">
        <f>IF(X1499=1,HLOOKUP(R1499,データについて!$J$12:$M$18,7,FALSE),"*")</f>
        <v>3</v>
      </c>
      <c r="AD1499" s="81" t="str">
        <f>IF(X1499=2,HLOOKUP(R1499,データについて!$J$12:$M$18,7,FALSE),"*")</f>
        <v>*</v>
      </c>
    </row>
    <row r="1500" spans="1:30">
      <c r="A1500" s="30">
        <v>3692</v>
      </c>
      <c r="B1500" s="30" t="s">
        <v>1128</v>
      </c>
      <c r="C1500" s="30" t="s">
        <v>1129</v>
      </c>
      <c r="D1500" s="30" t="s">
        <v>106</v>
      </c>
      <c r="E1500" s="30"/>
      <c r="F1500" s="30" t="s">
        <v>107</v>
      </c>
      <c r="G1500" s="30" t="s">
        <v>106</v>
      </c>
      <c r="H1500" s="30"/>
      <c r="I1500" s="30" t="s">
        <v>191</v>
      </c>
      <c r="J1500" s="30"/>
      <c r="K1500" s="30" t="s">
        <v>949</v>
      </c>
      <c r="L1500" s="30" t="s">
        <v>108</v>
      </c>
      <c r="M1500" s="30" t="s">
        <v>109</v>
      </c>
      <c r="N1500" s="30" t="s">
        <v>114</v>
      </c>
      <c r="O1500" s="30" t="s">
        <v>115</v>
      </c>
      <c r="P1500" s="30" t="s">
        <v>112</v>
      </c>
      <c r="Q1500" s="30" t="s">
        <v>112</v>
      </c>
      <c r="R1500" s="30" t="s">
        <v>185</v>
      </c>
      <c r="S1500" s="81">
        <f>HLOOKUP(L1500,データについて!$J$6:$M$18,13,FALSE)</f>
        <v>1</v>
      </c>
      <c r="T1500" s="81">
        <f>HLOOKUP(M1500,データについて!$J$7:$M$18,12,FALSE)</f>
        <v>2</v>
      </c>
      <c r="U1500" s="81">
        <f>HLOOKUP(N1500,データについて!$J$8:$M$18,11,FALSE)</f>
        <v>1</v>
      </c>
      <c r="V1500" s="81">
        <f>HLOOKUP(O1500,データについて!$J$9:$M$18,10,FALSE)</f>
        <v>1</v>
      </c>
      <c r="W1500" s="81">
        <f>HLOOKUP(P1500,データについて!$J$10:$M$18,9,FALSE)</f>
        <v>1</v>
      </c>
      <c r="X1500" s="81">
        <f>HLOOKUP(Q1500,データについて!$J$11:$M$18,8,FALSE)</f>
        <v>1</v>
      </c>
      <c r="Y1500" s="81">
        <f>HLOOKUP(R1500,データについて!$J$12:$M$18,7,FALSE)</f>
        <v>2</v>
      </c>
      <c r="Z1500" s="81">
        <f>HLOOKUP(I1500,データについて!$J$3:$M$18,16,FALSE)</f>
        <v>2</v>
      </c>
      <c r="AA1500" s="81" t="str">
        <f>IFERROR(HLOOKUP(J1500,データについて!$J$4:$AH$19,16,FALSE),"")</f>
        <v/>
      </c>
      <c r="AB1500" s="81">
        <f>IFERROR(HLOOKUP(K1500,データについて!$J$5:$AH$20,14,FALSE),"")</f>
        <v>0</v>
      </c>
      <c r="AC1500" s="81">
        <f>IF(X1500=1,HLOOKUP(R1500,データについて!$J$12:$M$18,7,FALSE),"*")</f>
        <v>2</v>
      </c>
      <c r="AD1500" s="81" t="str">
        <f>IF(X1500=2,HLOOKUP(R1500,データについて!$J$12:$M$18,7,FALSE),"*")</f>
        <v>*</v>
      </c>
    </row>
    <row r="1501" spans="1:30">
      <c r="A1501" s="30">
        <v>3691</v>
      </c>
      <c r="B1501" s="30" t="s">
        <v>1130</v>
      </c>
      <c r="C1501" s="30" t="s">
        <v>1131</v>
      </c>
      <c r="D1501" s="30" t="s">
        <v>106</v>
      </c>
      <c r="E1501" s="30"/>
      <c r="F1501" s="30" t="s">
        <v>107</v>
      </c>
      <c r="G1501" s="30" t="s">
        <v>106</v>
      </c>
      <c r="H1501" s="30"/>
      <c r="I1501" s="30" t="s">
        <v>191</v>
      </c>
      <c r="J1501" s="30"/>
      <c r="K1501" s="30" t="s">
        <v>949</v>
      </c>
      <c r="L1501" s="30" t="s">
        <v>117</v>
      </c>
      <c r="M1501" s="30" t="s">
        <v>109</v>
      </c>
      <c r="N1501" s="30" t="s">
        <v>110</v>
      </c>
      <c r="O1501" s="30" t="s">
        <v>115</v>
      </c>
      <c r="P1501" s="30" t="s">
        <v>112</v>
      </c>
      <c r="Q1501" s="30" t="s">
        <v>112</v>
      </c>
      <c r="R1501" s="30" t="s">
        <v>185</v>
      </c>
      <c r="S1501" s="81">
        <f>HLOOKUP(L1501,データについて!$J$6:$M$18,13,FALSE)</f>
        <v>2</v>
      </c>
      <c r="T1501" s="81">
        <f>HLOOKUP(M1501,データについて!$J$7:$M$18,12,FALSE)</f>
        <v>2</v>
      </c>
      <c r="U1501" s="81">
        <f>HLOOKUP(N1501,データについて!$J$8:$M$18,11,FALSE)</f>
        <v>2</v>
      </c>
      <c r="V1501" s="81">
        <f>HLOOKUP(O1501,データについて!$J$9:$M$18,10,FALSE)</f>
        <v>1</v>
      </c>
      <c r="W1501" s="81">
        <f>HLOOKUP(P1501,データについて!$J$10:$M$18,9,FALSE)</f>
        <v>1</v>
      </c>
      <c r="X1501" s="81">
        <f>HLOOKUP(Q1501,データについて!$J$11:$M$18,8,FALSE)</f>
        <v>1</v>
      </c>
      <c r="Y1501" s="81">
        <f>HLOOKUP(R1501,データについて!$J$12:$M$18,7,FALSE)</f>
        <v>2</v>
      </c>
      <c r="Z1501" s="81">
        <f>HLOOKUP(I1501,データについて!$J$3:$M$18,16,FALSE)</f>
        <v>2</v>
      </c>
      <c r="AA1501" s="81" t="str">
        <f>IFERROR(HLOOKUP(J1501,データについて!$J$4:$AH$19,16,FALSE),"")</f>
        <v/>
      </c>
      <c r="AB1501" s="81">
        <f>IFERROR(HLOOKUP(K1501,データについて!$J$5:$AH$20,14,FALSE),"")</f>
        <v>0</v>
      </c>
      <c r="AC1501" s="81">
        <f>IF(X1501=1,HLOOKUP(R1501,データについて!$J$12:$M$18,7,FALSE),"*")</f>
        <v>2</v>
      </c>
      <c r="AD1501" s="81" t="str">
        <f>IF(X1501=2,HLOOKUP(R1501,データについて!$J$12:$M$18,7,FALSE),"*")</f>
        <v>*</v>
      </c>
    </row>
    <row r="1502" spans="1:30">
      <c r="A1502" s="30">
        <v>3690</v>
      </c>
      <c r="B1502" s="30" t="s">
        <v>1132</v>
      </c>
      <c r="C1502" s="30" t="s">
        <v>1133</v>
      </c>
      <c r="D1502" s="30" t="s">
        <v>106</v>
      </c>
      <c r="E1502" s="30"/>
      <c r="F1502" s="30" t="s">
        <v>107</v>
      </c>
      <c r="G1502" s="30" t="s">
        <v>106</v>
      </c>
      <c r="H1502" s="30"/>
      <c r="I1502" s="30" t="s">
        <v>191</v>
      </c>
      <c r="J1502" s="30"/>
      <c r="K1502" s="30" t="s">
        <v>949</v>
      </c>
      <c r="L1502" s="30" t="s">
        <v>117</v>
      </c>
      <c r="M1502" s="30" t="s">
        <v>113</v>
      </c>
      <c r="N1502" s="30" t="s">
        <v>114</v>
      </c>
      <c r="O1502" s="30" t="s">
        <v>115</v>
      </c>
      <c r="P1502" s="30" t="s">
        <v>112</v>
      </c>
      <c r="Q1502" s="30" t="s">
        <v>112</v>
      </c>
      <c r="R1502" s="30" t="s">
        <v>183</v>
      </c>
      <c r="S1502" s="81">
        <f>HLOOKUP(L1502,データについて!$J$6:$M$18,13,FALSE)</f>
        <v>2</v>
      </c>
      <c r="T1502" s="81">
        <f>HLOOKUP(M1502,データについて!$J$7:$M$18,12,FALSE)</f>
        <v>1</v>
      </c>
      <c r="U1502" s="81">
        <f>HLOOKUP(N1502,データについて!$J$8:$M$18,11,FALSE)</f>
        <v>1</v>
      </c>
      <c r="V1502" s="81">
        <f>HLOOKUP(O1502,データについて!$J$9:$M$18,10,FALSE)</f>
        <v>1</v>
      </c>
      <c r="W1502" s="81">
        <f>HLOOKUP(P1502,データについて!$J$10:$M$18,9,FALSE)</f>
        <v>1</v>
      </c>
      <c r="X1502" s="81">
        <f>HLOOKUP(Q1502,データについて!$J$11:$M$18,8,FALSE)</f>
        <v>1</v>
      </c>
      <c r="Y1502" s="81">
        <f>HLOOKUP(R1502,データについて!$J$12:$M$18,7,FALSE)</f>
        <v>1</v>
      </c>
      <c r="Z1502" s="81">
        <f>HLOOKUP(I1502,データについて!$J$3:$M$18,16,FALSE)</f>
        <v>2</v>
      </c>
      <c r="AA1502" s="81" t="str">
        <f>IFERROR(HLOOKUP(J1502,データについて!$J$4:$AH$19,16,FALSE),"")</f>
        <v/>
      </c>
      <c r="AB1502" s="81">
        <f>IFERROR(HLOOKUP(K1502,データについて!$J$5:$AH$20,14,FALSE),"")</f>
        <v>0</v>
      </c>
      <c r="AC1502" s="81">
        <f>IF(X1502=1,HLOOKUP(R1502,データについて!$J$12:$M$18,7,FALSE),"*")</f>
        <v>1</v>
      </c>
      <c r="AD1502" s="81" t="str">
        <f>IF(X1502=2,HLOOKUP(R1502,データについて!$J$12:$M$18,7,FALSE),"*")</f>
        <v>*</v>
      </c>
    </row>
    <row r="1503" spans="1:30">
      <c r="A1503" s="30">
        <v>3689</v>
      </c>
      <c r="B1503" s="30" t="s">
        <v>1134</v>
      </c>
      <c r="C1503" s="30" t="s">
        <v>1135</v>
      </c>
      <c r="D1503" s="30" t="s">
        <v>106</v>
      </c>
      <c r="E1503" s="30"/>
      <c r="F1503" s="30" t="s">
        <v>107</v>
      </c>
      <c r="G1503" s="30" t="s">
        <v>106</v>
      </c>
      <c r="H1503" s="30"/>
      <c r="I1503" s="30" t="s">
        <v>191</v>
      </c>
      <c r="J1503" s="30"/>
      <c r="K1503" s="30" t="s">
        <v>949</v>
      </c>
      <c r="L1503" s="30" t="s">
        <v>108</v>
      </c>
      <c r="M1503" s="30" t="s">
        <v>109</v>
      </c>
      <c r="N1503" s="30" t="s">
        <v>110</v>
      </c>
      <c r="O1503" s="30" t="s">
        <v>115</v>
      </c>
      <c r="P1503" s="30" t="s">
        <v>118</v>
      </c>
      <c r="Q1503" s="30" t="s">
        <v>112</v>
      </c>
      <c r="R1503" s="30" t="s">
        <v>187</v>
      </c>
      <c r="S1503" s="81">
        <f>HLOOKUP(L1503,データについて!$J$6:$M$18,13,FALSE)</f>
        <v>1</v>
      </c>
      <c r="T1503" s="81">
        <f>HLOOKUP(M1503,データについて!$J$7:$M$18,12,FALSE)</f>
        <v>2</v>
      </c>
      <c r="U1503" s="81">
        <f>HLOOKUP(N1503,データについて!$J$8:$M$18,11,FALSE)</f>
        <v>2</v>
      </c>
      <c r="V1503" s="81">
        <f>HLOOKUP(O1503,データについて!$J$9:$M$18,10,FALSE)</f>
        <v>1</v>
      </c>
      <c r="W1503" s="81">
        <f>HLOOKUP(P1503,データについて!$J$10:$M$18,9,FALSE)</f>
        <v>2</v>
      </c>
      <c r="X1503" s="81">
        <f>HLOOKUP(Q1503,データについて!$J$11:$M$18,8,FALSE)</f>
        <v>1</v>
      </c>
      <c r="Y1503" s="81">
        <f>HLOOKUP(R1503,データについて!$J$12:$M$18,7,FALSE)</f>
        <v>3</v>
      </c>
      <c r="Z1503" s="81">
        <f>HLOOKUP(I1503,データについて!$J$3:$M$18,16,FALSE)</f>
        <v>2</v>
      </c>
      <c r="AA1503" s="81" t="str">
        <f>IFERROR(HLOOKUP(J1503,データについて!$J$4:$AH$19,16,FALSE),"")</f>
        <v/>
      </c>
      <c r="AB1503" s="81">
        <f>IFERROR(HLOOKUP(K1503,データについて!$J$5:$AH$20,14,FALSE),"")</f>
        <v>0</v>
      </c>
      <c r="AC1503" s="81">
        <f>IF(X1503=1,HLOOKUP(R1503,データについて!$J$12:$M$18,7,FALSE),"*")</f>
        <v>3</v>
      </c>
      <c r="AD1503" s="81" t="str">
        <f>IF(X1503=2,HLOOKUP(R1503,データについて!$J$12:$M$18,7,FALSE),"*")</f>
        <v>*</v>
      </c>
    </row>
    <row r="1504" spans="1:30">
      <c r="A1504" s="30">
        <v>3688</v>
      </c>
      <c r="B1504" s="30" t="s">
        <v>1136</v>
      </c>
      <c r="C1504" s="30" t="s">
        <v>1135</v>
      </c>
      <c r="D1504" s="30" t="s">
        <v>106</v>
      </c>
      <c r="E1504" s="30"/>
      <c r="F1504" s="30" t="s">
        <v>107</v>
      </c>
      <c r="G1504" s="30" t="s">
        <v>106</v>
      </c>
      <c r="H1504" s="30"/>
      <c r="I1504" s="30" t="s">
        <v>191</v>
      </c>
      <c r="J1504" s="30"/>
      <c r="K1504" s="30" t="s">
        <v>949</v>
      </c>
      <c r="L1504" s="30" t="s">
        <v>117</v>
      </c>
      <c r="M1504" s="30" t="s">
        <v>124</v>
      </c>
      <c r="N1504" s="30" t="s">
        <v>119</v>
      </c>
      <c r="O1504" s="30" t="s">
        <v>115</v>
      </c>
      <c r="P1504" s="30" t="s">
        <v>112</v>
      </c>
      <c r="Q1504" s="30" t="s">
        <v>112</v>
      </c>
      <c r="R1504" s="30" t="s">
        <v>185</v>
      </c>
      <c r="S1504" s="81">
        <f>HLOOKUP(L1504,データについて!$J$6:$M$18,13,FALSE)</f>
        <v>2</v>
      </c>
      <c r="T1504" s="81">
        <f>HLOOKUP(M1504,データについて!$J$7:$M$18,12,FALSE)</f>
        <v>3</v>
      </c>
      <c r="U1504" s="81">
        <f>HLOOKUP(N1504,データについて!$J$8:$M$18,11,FALSE)</f>
        <v>4</v>
      </c>
      <c r="V1504" s="81">
        <f>HLOOKUP(O1504,データについて!$J$9:$M$18,10,FALSE)</f>
        <v>1</v>
      </c>
      <c r="W1504" s="81">
        <f>HLOOKUP(P1504,データについて!$J$10:$M$18,9,FALSE)</f>
        <v>1</v>
      </c>
      <c r="X1504" s="81">
        <f>HLOOKUP(Q1504,データについて!$J$11:$M$18,8,FALSE)</f>
        <v>1</v>
      </c>
      <c r="Y1504" s="81">
        <f>HLOOKUP(R1504,データについて!$J$12:$M$18,7,FALSE)</f>
        <v>2</v>
      </c>
      <c r="Z1504" s="81">
        <f>HLOOKUP(I1504,データについて!$J$3:$M$18,16,FALSE)</f>
        <v>2</v>
      </c>
      <c r="AA1504" s="81" t="str">
        <f>IFERROR(HLOOKUP(J1504,データについて!$J$4:$AH$19,16,FALSE),"")</f>
        <v/>
      </c>
      <c r="AB1504" s="81">
        <f>IFERROR(HLOOKUP(K1504,データについて!$J$5:$AH$20,14,FALSE),"")</f>
        <v>0</v>
      </c>
      <c r="AC1504" s="81">
        <f>IF(X1504=1,HLOOKUP(R1504,データについて!$J$12:$M$18,7,FALSE),"*")</f>
        <v>2</v>
      </c>
      <c r="AD1504" s="81" t="str">
        <f>IF(X1504=2,HLOOKUP(R1504,データについて!$J$12:$M$18,7,FALSE),"*")</f>
        <v>*</v>
      </c>
    </row>
    <row r="1505" spans="1:30">
      <c r="A1505" s="30">
        <v>3687</v>
      </c>
      <c r="B1505" s="30" t="s">
        <v>1137</v>
      </c>
      <c r="C1505" s="30" t="s">
        <v>1135</v>
      </c>
      <c r="D1505" s="30" t="s">
        <v>106</v>
      </c>
      <c r="E1505" s="30"/>
      <c r="F1505" s="30" t="s">
        <v>107</v>
      </c>
      <c r="G1505" s="30" t="s">
        <v>106</v>
      </c>
      <c r="H1505" s="30"/>
      <c r="I1505" s="30" t="s">
        <v>191</v>
      </c>
      <c r="J1505" s="30"/>
      <c r="K1505" s="30" t="s">
        <v>949</v>
      </c>
      <c r="L1505" s="30" t="s">
        <v>108</v>
      </c>
      <c r="M1505" s="30" t="s">
        <v>109</v>
      </c>
      <c r="N1505" s="30" t="s">
        <v>122</v>
      </c>
      <c r="O1505" s="30" t="s">
        <v>116</v>
      </c>
      <c r="P1505" s="30" t="s">
        <v>118</v>
      </c>
      <c r="Q1505" s="30" t="s">
        <v>118</v>
      </c>
      <c r="R1505" s="30" t="s">
        <v>185</v>
      </c>
      <c r="S1505" s="81">
        <f>HLOOKUP(L1505,データについて!$J$6:$M$18,13,FALSE)</f>
        <v>1</v>
      </c>
      <c r="T1505" s="81">
        <f>HLOOKUP(M1505,データについて!$J$7:$M$18,12,FALSE)</f>
        <v>2</v>
      </c>
      <c r="U1505" s="81">
        <f>HLOOKUP(N1505,データについて!$J$8:$M$18,11,FALSE)</f>
        <v>3</v>
      </c>
      <c r="V1505" s="81">
        <f>HLOOKUP(O1505,データについて!$J$9:$M$18,10,FALSE)</f>
        <v>2</v>
      </c>
      <c r="W1505" s="81">
        <f>HLOOKUP(P1505,データについて!$J$10:$M$18,9,FALSE)</f>
        <v>2</v>
      </c>
      <c r="X1505" s="81">
        <f>HLOOKUP(Q1505,データについて!$J$11:$M$18,8,FALSE)</f>
        <v>2</v>
      </c>
      <c r="Y1505" s="81">
        <f>HLOOKUP(R1505,データについて!$J$12:$M$18,7,FALSE)</f>
        <v>2</v>
      </c>
      <c r="Z1505" s="81">
        <f>HLOOKUP(I1505,データについて!$J$3:$M$18,16,FALSE)</f>
        <v>2</v>
      </c>
      <c r="AA1505" s="81" t="str">
        <f>IFERROR(HLOOKUP(J1505,データについて!$J$4:$AH$19,16,FALSE),"")</f>
        <v/>
      </c>
      <c r="AB1505" s="81">
        <f>IFERROR(HLOOKUP(K1505,データについて!$J$5:$AH$20,14,FALSE),"")</f>
        <v>0</v>
      </c>
      <c r="AC1505" s="81" t="str">
        <f>IF(X1505=1,HLOOKUP(R1505,データについて!$J$12:$M$18,7,FALSE),"*")</f>
        <v>*</v>
      </c>
      <c r="AD1505" s="81">
        <f>IF(X1505=2,HLOOKUP(R1505,データについて!$J$12:$M$18,7,FALSE),"*")</f>
        <v>2</v>
      </c>
    </row>
    <row r="1506" spans="1:30">
      <c r="A1506" s="30">
        <v>3686</v>
      </c>
      <c r="B1506" s="30" t="s">
        <v>1138</v>
      </c>
      <c r="C1506" s="30" t="s">
        <v>1139</v>
      </c>
      <c r="D1506" s="30" t="s">
        <v>106</v>
      </c>
      <c r="E1506" s="30"/>
      <c r="F1506" s="30" t="s">
        <v>107</v>
      </c>
      <c r="G1506" s="30" t="s">
        <v>106</v>
      </c>
      <c r="H1506" s="30"/>
      <c r="I1506" s="30" t="s">
        <v>191</v>
      </c>
      <c r="J1506" s="30"/>
      <c r="K1506" s="30" t="s">
        <v>949</v>
      </c>
      <c r="L1506" s="30" t="s">
        <v>117</v>
      </c>
      <c r="M1506" s="30" t="s">
        <v>109</v>
      </c>
      <c r="N1506" s="30" t="s">
        <v>110</v>
      </c>
      <c r="O1506" s="30" t="s">
        <v>123</v>
      </c>
      <c r="P1506" s="30" t="s">
        <v>112</v>
      </c>
      <c r="Q1506" s="30" t="s">
        <v>112</v>
      </c>
      <c r="R1506" s="30" t="s">
        <v>187</v>
      </c>
      <c r="S1506" s="81">
        <f>HLOOKUP(L1506,データについて!$J$6:$M$18,13,FALSE)</f>
        <v>2</v>
      </c>
      <c r="T1506" s="81">
        <f>HLOOKUP(M1506,データについて!$J$7:$M$18,12,FALSE)</f>
        <v>2</v>
      </c>
      <c r="U1506" s="81">
        <f>HLOOKUP(N1506,データについて!$J$8:$M$18,11,FALSE)</f>
        <v>2</v>
      </c>
      <c r="V1506" s="81">
        <f>HLOOKUP(O1506,データについて!$J$9:$M$18,10,FALSE)</f>
        <v>4</v>
      </c>
      <c r="W1506" s="81">
        <f>HLOOKUP(P1506,データについて!$J$10:$M$18,9,FALSE)</f>
        <v>1</v>
      </c>
      <c r="X1506" s="81">
        <f>HLOOKUP(Q1506,データについて!$J$11:$M$18,8,FALSE)</f>
        <v>1</v>
      </c>
      <c r="Y1506" s="81">
        <f>HLOOKUP(R1506,データについて!$J$12:$M$18,7,FALSE)</f>
        <v>3</v>
      </c>
      <c r="Z1506" s="81">
        <f>HLOOKUP(I1506,データについて!$J$3:$M$18,16,FALSE)</f>
        <v>2</v>
      </c>
      <c r="AA1506" s="81" t="str">
        <f>IFERROR(HLOOKUP(J1506,データについて!$J$4:$AH$19,16,FALSE),"")</f>
        <v/>
      </c>
      <c r="AB1506" s="81">
        <f>IFERROR(HLOOKUP(K1506,データについて!$J$5:$AH$20,14,FALSE),"")</f>
        <v>0</v>
      </c>
      <c r="AC1506" s="81">
        <f>IF(X1506=1,HLOOKUP(R1506,データについて!$J$12:$M$18,7,FALSE),"*")</f>
        <v>3</v>
      </c>
      <c r="AD1506" s="81" t="str">
        <f>IF(X1506=2,HLOOKUP(R1506,データについて!$J$12:$M$18,7,FALSE),"*")</f>
        <v>*</v>
      </c>
    </row>
    <row r="1507" spans="1:30">
      <c r="A1507" s="30">
        <v>3685</v>
      </c>
      <c r="B1507" s="30" t="s">
        <v>1140</v>
      </c>
      <c r="C1507" s="30" t="s">
        <v>1141</v>
      </c>
      <c r="D1507" s="30" t="s">
        <v>106</v>
      </c>
      <c r="E1507" s="30"/>
      <c r="F1507" s="30" t="s">
        <v>107</v>
      </c>
      <c r="G1507" s="30" t="s">
        <v>106</v>
      </c>
      <c r="H1507" s="30"/>
      <c r="I1507" s="30" t="s">
        <v>191</v>
      </c>
      <c r="J1507" s="30"/>
      <c r="K1507" s="30" t="s">
        <v>949</v>
      </c>
      <c r="L1507" s="30" t="s">
        <v>117</v>
      </c>
      <c r="M1507" s="30" t="s">
        <v>109</v>
      </c>
      <c r="N1507" s="30" t="s">
        <v>110</v>
      </c>
      <c r="O1507" s="30" t="s">
        <v>116</v>
      </c>
      <c r="P1507" s="30" t="s">
        <v>112</v>
      </c>
      <c r="Q1507" s="30" t="s">
        <v>112</v>
      </c>
      <c r="R1507" s="30" t="s">
        <v>187</v>
      </c>
      <c r="S1507" s="81">
        <f>HLOOKUP(L1507,データについて!$J$6:$M$18,13,FALSE)</f>
        <v>2</v>
      </c>
      <c r="T1507" s="81">
        <f>HLOOKUP(M1507,データについて!$J$7:$M$18,12,FALSE)</f>
        <v>2</v>
      </c>
      <c r="U1507" s="81">
        <f>HLOOKUP(N1507,データについて!$J$8:$M$18,11,FALSE)</f>
        <v>2</v>
      </c>
      <c r="V1507" s="81">
        <f>HLOOKUP(O1507,データについて!$J$9:$M$18,10,FALSE)</f>
        <v>2</v>
      </c>
      <c r="W1507" s="81">
        <f>HLOOKUP(P1507,データについて!$J$10:$M$18,9,FALSE)</f>
        <v>1</v>
      </c>
      <c r="X1507" s="81">
        <f>HLOOKUP(Q1507,データについて!$J$11:$M$18,8,FALSE)</f>
        <v>1</v>
      </c>
      <c r="Y1507" s="81">
        <f>HLOOKUP(R1507,データについて!$J$12:$M$18,7,FALSE)</f>
        <v>3</v>
      </c>
      <c r="Z1507" s="81">
        <f>HLOOKUP(I1507,データについて!$J$3:$M$18,16,FALSE)</f>
        <v>2</v>
      </c>
      <c r="AA1507" s="81" t="str">
        <f>IFERROR(HLOOKUP(J1507,データについて!$J$4:$AH$19,16,FALSE),"")</f>
        <v/>
      </c>
      <c r="AB1507" s="81">
        <f>IFERROR(HLOOKUP(K1507,データについて!$J$5:$AH$20,14,FALSE),"")</f>
        <v>0</v>
      </c>
      <c r="AC1507" s="81">
        <f>IF(X1507=1,HLOOKUP(R1507,データについて!$J$12:$M$18,7,FALSE),"*")</f>
        <v>3</v>
      </c>
      <c r="AD1507" s="81" t="str">
        <f>IF(X1507=2,HLOOKUP(R1507,データについて!$J$12:$M$18,7,FALSE),"*")</f>
        <v>*</v>
      </c>
    </row>
    <row r="1508" spans="1:30">
      <c r="A1508" s="30">
        <v>3684</v>
      </c>
      <c r="B1508" s="30" t="s">
        <v>1142</v>
      </c>
      <c r="C1508" s="30" t="s">
        <v>1141</v>
      </c>
      <c r="D1508" s="30" t="s">
        <v>106</v>
      </c>
      <c r="E1508" s="30"/>
      <c r="F1508" s="30" t="s">
        <v>107</v>
      </c>
      <c r="G1508" s="30" t="s">
        <v>106</v>
      </c>
      <c r="H1508" s="30"/>
      <c r="I1508" s="30" t="s">
        <v>191</v>
      </c>
      <c r="J1508" s="30"/>
      <c r="K1508" s="30" t="s">
        <v>949</v>
      </c>
      <c r="L1508" s="30" t="s">
        <v>117</v>
      </c>
      <c r="M1508" s="30" t="s">
        <v>113</v>
      </c>
      <c r="N1508" s="30" t="s">
        <v>114</v>
      </c>
      <c r="O1508" s="30" t="s">
        <v>115</v>
      </c>
      <c r="P1508" s="30" t="s">
        <v>112</v>
      </c>
      <c r="Q1508" s="30" t="s">
        <v>112</v>
      </c>
      <c r="R1508" s="30" t="s">
        <v>183</v>
      </c>
      <c r="S1508" s="81">
        <f>HLOOKUP(L1508,データについて!$J$6:$M$18,13,FALSE)</f>
        <v>2</v>
      </c>
      <c r="T1508" s="81">
        <f>HLOOKUP(M1508,データについて!$J$7:$M$18,12,FALSE)</f>
        <v>1</v>
      </c>
      <c r="U1508" s="81">
        <f>HLOOKUP(N1508,データについて!$J$8:$M$18,11,FALSE)</f>
        <v>1</v>
      </c>
      <c r="V1508" s="81">
        <f>HLOOKUP(O1508,データについて!$J$9:$M$18,10,FALSE)</f>
        <v>1</v>
      </c>
      <c r="W1508" s="81">
        <f>HLOOKUP(P1508,データについて!$J$10:$M$18,9,FALSE)</f>
        <v>1</v>
      </c>
      <c r="X1508" s="81">
        <f>HLOOKUP(Q1508,データについて!$J$11:$M$18,8,FALSE)</f>
        <v>1</v>
      </c>
      <c r="Y1508" s="81">
        <f>HLOOKUP(R1508,データについて!$J$12:$M$18,7,FALSE)</f>
        <v>1</v>
      </c>
      <c r="Z1508" s="81">
        <f>HLOOKUP(I1508,データについて!$J$3:$M$18,16,FALSE)</f>
        <v>2</v>
      </c>
      <c r="AA1508" s="81" t="str">
        <f>IFERROR(HLOOKUP(J1508,データについて!$J$4:$AH$19,16,FALSE),"")</f>
        <v/>
      </c>
      <c r="AB1508" s="81">
        <f>IFERROR(HLOOKUP(K1508,データについて!$J$5:$AH$20,14,FALSE),"")</f>
        <v>0</v>
      </c>
      <c r="AC1508" s="81">
        <f>IF(X1508=1,HLOOKUP(R1508,データについて!$J$12:$M$18,7,FALSE),"*")</f>
        <v>1</v>
      </c>
      <c r="AD1508" s="81" t="str">
        <f>IF(X1508=2,HLOOKUP(R1508,データについて!$J$12:$M$18,7,FALSE),"*")</f>
        <v>*</v>
      </c>
    </row>
    <row r="1509" spans="1:30">
      <c r="A1509" s="30">
        <v>3683</v>
      </c>
      <c r="B1509" s="30" t="s">
        <v>1143</v>
      </c>
      <c r="C1509" s="30" t="s">
        <v>1144</v>
      </c>
      <c r="D1509" s="30" t="s">
        <v>106</v>
      </c>
      <c r="E1509" s="30"/>
      <c r="F1509" s="30" t="s">
        <v>107</v>
      </c>
      <c r="G1509" s="30" t="s">
        <v>106</v>
      </c>
      <c r="H1509" s="30"/>
      <c r="I1509" s="30" t="s">
        <v>191</v>
      </c>
      <c r="J1509" s="30"/>
      <c r="K1509" s="30" t="s">
        <v>949</v>
      </c>
      <c r="L1509" s="30" t="s">
        <v>117</v>
      </c>
      <c r="M1509" s="30" t="s">
        <v>109</v>
      </c>
      <c r="N1509" s="30" t="s">
        <v>119</v>
      </c>
      <c r="O1509" s="30" t="s">
        <v>115</v>
      </c>
      <c r="P1509" s="30" t="s">
        <v>118</v>
      </c>
      <c r="Q1509" s="30" t="s">
        <v>112</v>
      </c>
      <c r="R1509" s="30" t="s">
        <v>189</v>
      </c>
      <c r="S1509" s="81">
        <f>HLOOKUP(L1509,データについて!$J$6:$M$18,13,FALSE)</f>
        <v>2</v>
      </c>
      <c r="T1509" s="81">
        <f>HLOOKUP(M1509,データについて!$J$7:$M$18,12,FALSE)</f>
        <v>2</v>
      </c>
      <c r="U1509" s="81">
        <f>HLOOKUP(N1509,データについて!$J$8:$M$18,11,FALSE)</f>
        <v>4</v>
      </c>
      <c r="V1509" s="81">
        <f>HLOOKUP(O1509,データについて!$J$9:$M$18,10,FALSE)</f>
        <v>1</v>
      </c>
      <c r="W1509" s="81">
        <f>HLOOKUP(P1509,データについて!$J$10:$M$18,9,FALSE)</f>
        <v>2</v>
      </c>
      <c r="X1509" s="81">
        <f>HLOOKUP(Q1509,データについて!$J$11:$M$18,8,FALSE)</f>
        <v>1</v>
      </c>
      <c r="Y1509" s="81">
        <f>HLOOKUP(R1509,データについて!$J$12:$M$18,7,FALSE)</f>
        <v>4</v>
      </c>
      <c r="Z1509" s="81">
        <f>HLOOKUP(I1509,データについて!$J$3:$M$18,16,FALSE)</f>
        <v>2</v>
      </c>
      <c r="AA1509" s="81" t="str">
        <f>IFERROR(HLOOKUP(J1509,データについて!$J$4:$AH$19,16,FALSE),"")</f>
        <v/>
      </c>
      <c r="AB1509" s="81">
        <f>IFERROR(HLOOKUP(K1509,データについて!$J$5:$AH$20,14,FALSE),"")</f>
        <v>0</v>
      </c>
      <c r="AC1509" s="81">
        <f>IF(X1509=1,HLOOKUP(R1509,データについて!$J$12:$M$18,7,FALSE),"*")</f>
        <v>4</v>
      </c>
      <c r="AD1509" s="81" t="str">
        <f>IF(X1509=2,HLOOKUP(R1509,データについて!$J$12:$M$18,7,FALSE),"*")</f>
        <v>*</v>
      </c>
    </row>
    <row r="1510" spans="1:30">
      <c r="A1510" s="30">
        <v>3682</v>
      </c>
      <c r="B1510" s="30" t="s">
        <v>1145</v>
      </c>
      <c r="C1510" s="30" t="s">
        <v>1146</v>
      </c>
      <c r="D1510" s="30" t="s">
        <v>106</v>
      </c>
      <c r="E1510" s="30"/>
      <c r="F1510" s="30" t="s">
        <v>107</v>
      </c>
      <c r="G1510" s="30" t="s">
        <v>106</v>
      </c>
      <c r="H1510" s="30"/>
      <c r="I1510" s="30" t="s">
        <v>191</v>
      </c>
      <c r="J1510" s="30"/>
      <c r="K1510" s="30" t="s">
        <v>949</v>
      </c>
      <c r="L1510" s="30" t="s">
        <v>108</v>
      </c>
      <c r="M1510" s="30" t="s">
        <v>113</v>
      </c>
      <c r="N1510" s="30" t="s">
        <v>114</v>
      </c>
      <c r="O1510" s="30" t="s">
        <v>115</v>
      </c>
      <c r="P1510" s="30" t="s">
        <v>112</v>
      </c>
      <c r="Q1510" s="30" t="s">
        <v>112</v>
      </c>
      <c r="R1510" s="30" t="s">
        <v>185</v>
      </c>
      <c r="S1510" s="81">
        <f>HLOOKUP(L1510,データについて!$J$6:$M$18,13,FALSE)</f>
        <v>1</v>
      </c>
      <c r="T1510" s="81">
        <f>HLOOKUP(M1510,データについて!$J$7:$M$18,12,FALSE)</f>
        <v>1</v>
      </c>
      <c r="U1510" s="81">
        <f>HLOOKUP(N1510,データについて!$J$8:$M$18,11,FALSE)</f>
        <v>1</v>
      </c>
      <c r="V1510" s="81">
        <f>HLOOKUP(O1510,データについて!$J$9:$M$18,10,FALSE)</f>
        <v>1</v>
      </c>
      <c r="W1510" s="81">
        <f>HLOOKUP(P1510,データについて!$J$10:$M$18,9,FALSE)</f>
        <v>1</v>
      </c>
      <c r="X1510" s="81">
        <f>HLOOKUP(Q1510,データについて!$J$11:$M$18,8,FALSE)</f>
        <v>1</v>
      </c>
      <c r="Y1510" s="81">
        <f>HLOOKUP(R1510,データについて!$J$12:$M$18,7,FALSE)</f>
        <v>2</v>
      </c>
      <c r="Z1510" s="81">
        <f>HLOOKUP(I1510,データについて!$J$3:$M$18,16,FALSE)</f>
        <v>2</v>
      </c>
      <c r="AA1510" s="81" t="str">
        <f>IFERROR(HLOOKUP(J1510,データについて!$J$4:$AH$19,16,FALSE),"")</f>
        <v/>
      </c>
      <c r="AB1510" s="81">
        <f>IFERROR(HLOOKUP(K1510,データについて!$J$5:$AH$20,14,FALSE),"")</f>
        <v>0</v>
      </c>
      <c r="AC1510" s="81">
        <f>IF(X1510=1,HLOOKUP(R1510,データについて!$J$12:$M$18,7,FALSE),"*")</f>
        <v>2</v>
      </c>
      <c r="AD1510" s="81" t="str">
        <f>IF(X1510=2,HLOOKUP(R1510,データについて!$J$12:$M$18,7,FALSE),"*")</f>
        <v>*</v>
      </c>
    </row>
    <row r="1511" spans="1:30">
      <c r="A1511" s="30">
        <v>3681</v>
      </c>
      <c r="B1511" s="30" t="s">
        <v>1147</v>
      </c>
      <c r="C1511" s="30" t="s">
        <v>1148</v>
      </c>
      <c r="D1511" s="30" t="s">
        <v>106</v>
      </c>
      <c r="E1511" s="30"/>
      <c r="F1511" s="30" t="s">
        <v>107</v>
      </c>
      <c r="G1511" s="30" t="s">
        <v>106</v>
      </c>
      <c r="H1511" s="30"/>
      <c r="I1511" s="30" t="s">
        <v>191</v>
      </c>
      <c r="J1511" s="30"/>
      <c r="K1511" s="30" t="s">
        <v>949</v>
      </c>
      <c r="L1511" s="30" t="s">
        <v>117</v>
      </c>
      <c r="M1511" s="30" t="s">
        <v>113</v>
      </c>
      <c r="N1511" s="30" t="s">
        <v>114</v>
      </c>
      <c r="O1511" s="30" t="s">
        <v>115</v>
      </c>
      <c r="P1511" s="30" t="s">
        <v>112</v>
      </c>
      <c r="Q1511" s="30" t="s">
        <v>112</v>
      </c>
      <c r="R1511" s="30" t="s">
        <v>185</v>
      </c>
      <c r="S1511" s="81">
        <f>HLOOKUP(L1511,データについて!$J$6:$M$18,13,FALSE)</f>
        <v>2</v>
      </c>
      <c r="T1511" s="81">
        <f>HLOOKUP(M1511,データについて!$J$7:$M$18,12,FALSE)</f>
        <v>1</v>
      </c>
      <c r="U1511" s="81">
        <f>HLOOKUP(N1511,データについて!$J$8:$M$18,11,FALSE)</f>
        <v>1</v>
      </c>
      <c r="V1511" s="81">
        <f>HLOOKUP(O1511,データについて!$J$9:$M$18,10,FALSE)</f>
        <v>1</v>
      </c>
      <c r="W1511" s="81">
        <f>HLOOKUP(P1511,データについて!$J$10:$M$18,9,FALSE)</f>
        <v>1</v>
      </c>
      <c r="X1511" s="81">
        <f>HLOOKUP(Q1511,データについて!$J$11:$M$18,8,FALSE)</f>
        <v>1</v>
      </c>
      <c r="Y1511" s="81">
        <f>HLOOKUP(R1511,データについて!$J$12:$M$18,7,FALSE)</f>
        <v>2</v>
      </c>
      <c r="Z1511" s="81">
        <f>HLOOKUP(I1511,データについて!$J$3:$M$18,16,FALSE)</f>
        <v>2</v>
      </c>
      <c r="AA1511" s="81" t="str">
        <f>IFERROR(HLOOKUP(J1511,データについて!$J$4:$AH$19,16,FALSE),"")</f>
        <v/>
      </c>
      <c r="AB1511" s="81">
        <f>IFERROR(HLOOKUP(K1511,データについて!$J$5:$AH$20,14,FALSE),"")</f>
        <v>0</v>
      </c>
      <c r="AC1511" s="81">
        <f>IF(X1511=1,HLOOKUP(R1511,データについて!$J$12:$M$18,7,FALSE),"*")</f>
        <v>2</v>
      </c>
      <c r="AD1511" s="81" t="str">
        <f>IF(X1511=2,HLOOKUP(R1511,データについて!$J$12:$M$18,7,FALSE),"*")</f>
        <v>*</v>
      </c>
    </row>
    <row r="1512" spans="1:30">
      <c r="A1512" s="30">
        <v>3680</v>
      </c>
      <c r="B1512" s="30" t="s">
        <v>1149</v>
      </c>
      <c r="C1512" s="30" t="s">
        <v>1150</v>
      </c>
      <c r="D1512" s="30" t="s">
        <v>106</v>
      </c>
      <c r="E1512" s="30"/>
      <c r="F1512" s="30" t="s">
        <v>107</v>
      </c>
      <c r="G1512" s="30" t="s">
        <v>106</v>
      </c>
      <c r="H1512" s="30"/>
      <c r="I1512" s="30" t="s">
        <v>191</v>
      </c>
      <c r="J1512" s="30"/>
      <c r="K1512" s="30" t="s">
        <v>949</v>
      </c>
      <c r="L1512" s="30" t="s">
        <v>108</v>
      </c>
      <c r="M1512" s="30" t="s">
        <v>113</v>
      </c>
      <c r="N1512" s="30" t="s">
        <v>114</v>
      </c>
      <c r="O1512" s="30" t="s">
        <v>115</v>
      </c>
      <c r="P1512" s="30" t="s">
        <v>118</v>
      </c>
      <c r="Q1512" s="30" t="s">
        <v>112</v>
      </c>
      <c r="R1512" s="30" t="s">
        <v>183</v>
      </c>
      <c r="S1512" s="81">
        <f>HLOOKUP(L1512,データについて!$J$6:$M$18,13,FALSE)</f>
        <v>1</v>
      </c>
      <c r="T1512" s="81">
        <f>HLOOKUP(M1512,データについて!$J$7:$M$18,12,FALSE)</f>
        <v>1</v>
      </c>
      <c r="U1512" s="81">
        <f>HLOOKUP(N1512,データについて!$J$8:$M$18,11,FALSE)</f>
        <v>1</v>
      </c>
      <c r="V1512" s="81">
        <f>HLOOKUP(O1512,データについて!$J$9:$M$18,10,FALSE)</f>
        <v>1</v>
      </c>
      <c r="W1512" s="81">
        <f>HLOOKUP(P1512,データについて!$J$10:$M$18,9,FALSE)</f>
        <v>2</v>
      </c>
      <c r="X1512" s="81">
        <f>HLOOKUP(Q1512,データについて!$J$11:$M$18,8,FALSE)</f>
        <v>1</v>
      </c>
      <c r="Y1512" s="81">
        <f>HLOOKUP(R1512,データについて!$J$12:$M$18,7,FALSE)</f>
        <v>1</v>
      </c>
      <c r="Z1512" s="81">
        <f>HLOOKUP(I1512,データについて!$J$3:$M$18,16,FALSE)</f>
        <v>2</v>
      </c>
      <c r="AA1512" s="81" t="str">
        <f>IFERROR(HLOOKUP(J1512,データについて!$J$4:$AH$19,16,FALSE),"")</f>
        <v/>
      </c>
      <c r="AB1512" s="81">
        <f>IFERROR(HLOOKUP(K1512,データについて!$J$5:$AH$20,14,FALSE),"")</f>
        <v>0</v>
      </c>
      <c r="AC1512" s="81">
        <f>IF(X1512=1,HLOOKUP(R1512,データについて!$J$12:$M$18,7,FALSE),"*")</f>
        <v>1</v>
      </c>
      <c r="AD1512" s="81" t="str">
        <f>IF(X1512=2,HLOOKUP(R1512,データについて!$J$12:$M$18,7,FALSE),"*")</f>
        <v>*</v>
      </c>
    </row>
    <row r="1513" spans="1:30">
      <c r="A1513" s="30">
        <v>3679</v>
      </c>
      <c r="B1513" s="30" t="s">
        <v>1151</v>
      </c>
      <c r="C1513" s="30" t="s">
        <v>1152</v>
      </c>
      <c r="D1513" s="30" t="s">
        <v>106</v>
      </c>
      <c r="E1513" s="30"/>
      <c r="F1513" s="30" t="s">
        <v>107</v>
      </c>
      <c r="G1513" s="30" t="s">
        <v>106</v>
      </c>
      <c r="H1513" s="30"/>
      <c r="I1513" s="30" t="s">
        <v>191</v>
      </c>
      <c r="J1513" s="30"/>
      <c r="K1513" s="30" t="s">
        <v>949</v>
      </c>
      <c r="L1513" s="30" t="s">
        <v>117</v>
      </c>
      <c r="M1513" s="30" t="s">
        <v>109</v>
      </c>
      <c r="N1513" s="30" t="s">
        <v>114</v>
      </c>
      <c r="O1513" s="30" t="s">
        <v>123</v>
      </c>
      <c r="P1513" s="30" t="s">
        <v>112</v>
      </c>
      <c r="Q1513" s="30" t="s">
        <v>112</v>
      </c>
      <c r="R1513" s="30" t="s">
        <v>187</v>
      </c>
      <c r="S1513" s="81">
        <f>HLOOKUP(L1513,データについて!$J$6:$M$18,13,FALSE)</f>
        <v>2</v>
      </c>
      <c r="T1513" s="81">
        <f>HLOOKUP(M1513,データについて!$J$7:$M$18,12,FALSE)</f>
        <v>2</v>
      </c>
      <c r="U1513" s="81">
        <f>HLOOKUP(N1513,データについて!$J$8:$M$18,11,FALSE)</f>
        <v>1</v>
      </c>
      <c r="V1513" s="81">
        <f>HLOOKUP(O1513,データについて!$J$9:$M$18,10,FALSE)</f>
        <v>4</v>
      </c>
      <c r="W1513" s="81">
        <f>HLOOKUP(P1513,データについて!$J$10:$M$18,9,FALSE)</f>
        <v>1</v>
      </c>
      <c r="X1513" s="81">
        <f>HLOOKUP(Q1513,データについて!$J$11:$M$18,8,FALSE)</f>
        <v>1</v>
      </c>
      <c r="Y1513" s="81">
        <f>HLOOKUP(R1513,データについて!$J$12:$M$18,7,FALSE)</f>
        <v>3</v>
      </c>
      <c r="Z1513" s="81">
        <f>HLOOKUP(I1513,データについて!$J$3:$M$18,16,FALSE)</f>
        <v>2</v>
      </c>
      <c r="AA1513" s="81" t="str">
        <f>IFERROR(HLOOKUP(J1513,データについて!$J$4:$AH$19,16,FALSE),"")</f>
        <v/>
      </c>
      <c r="AB1513" s="81">
        <f>IFERROR(HLOOKUP(K1513,データについて!$J$5:$AH$20,14,FALSE),"")</f>
        <v>0</v>
      </c>
      <c r="AC1513" s="81">
        <f>IF(X1513=1,HLOOKUP(R1513,データについて!$J$12:$M$18,7,FALSE),"*")</f>
        <v>3</v>
      </c>
      <c r="AD1513" s="81" t="str">
        <f>IF(X1513=2,HLOOKUP(R1513,データについて!$J$12:$M$18,7,FALSE),"*")</f>
        <v>*</v>
      </c>
    </row>
    <row r="1514" spans="1:30">
      <c r="A1514" s="30">
        <v>3678</v>
      </c>
      <c r="B1514" s="30" t="s">
        <v>1153</v>
      </c>
      <c r="C1514" s="30" t="s">
        <v>1154</v>
      </c>
      <c r="D1514" s="30" t="s">
        <v>106</v>
      </c>
      <c r="E1514" s="30"/>
      <c r="F1514" s="30" t="s">
        <v>107</v>
      </c>
      <c r="G1514" s="30" t="s">
        <v>106</v>
      </c>
      <c r="H1514" s="30"/>
      <c r="I1514" s="30" t="s">
        <v>191</v>
      </c>
      <c r="J1514" s="30"/>
      <c r="K1514" s="30" t="s">
        <v>949</v>
      </c>
      <c r="L1514" s="30" t="s">
        <v>108</v>
      </c>
      <c r="M1514" s="30" t="s">
        <v>121</v>
      </c>
      <c r="N1514" s="30" t="s">
        <v>119</v>
      </c>
      <c r="O1514" s="30" t="s">
        <v>116</v>
      </c>
      <c r="P1514" s="30" t="s">
        <v>112</v>
      </c>
      <c r="Q1514" s="30" t="s">
        <v>118</v>
      </c>
      <c r="R1514" s="30" t="s">
        <v>189</v>
      </c>
      <c r="S1514" s="81">
        <f>HLOOKUP(L1514,データについて!$J$6:$M$18,13,FALSE)</f>
        <v>1</v>
      </c>
      <c r="T1514" s="81">
        <f>HLOOKUP(M1514,データについて!$J$7:$M$18,12,FALSE)</f>
        <v>4</v>
      </c>
      <c r="U1514" s="81">
        <f>HLOOKUP(N1514,データについて!$J$8:$M$18,11,FALSE)</f>
        <v>4</v>
      </c>
      <c r="V1514" s="81">
        <f>HLOOKUP(O1514,データについて!$J$9:$M$18,10,FALSE)</f>
        <v>2</v>
      </c>
      <c r="W1514" s="81">
        <f>HLOOKUP(P1514,データについて!$J$10:$M$18,9,FALSE)</f>
        <v>1</v>
      </c>
      <c r="X1514" s="81">
        <f>HLOOKUP(Q1514,データについて!$J$11:$M$18,8,FALSE)</f>
        <v>2</v>
      </c>
      <c r="Y1514" s="81">
        <f>HLOOKUP(R1514,データについて!$J$12:$M$18,7,FALSE)</f>
        <v>4</v>
      </c>
      <c r="Z1514" s="81">
        <f>HLOOKUP(I1514,データについて!$J$3:$M$18,16,FALSE)</f>
        <v>2</v>
      </c>
      <c r="AA1514" s="81" t="str">
        <f>IFERROR(HLOOKUP(J1514,データについて!$J$4:$AH$19,16,FALSE),"")</f>
        <v/>
      </c>
      <c r="AB1514" s="81">
        <f>IFERROR(HLOOKUP(K1514,データについて!$J$5:$AH$20,14,FALSE),"")</f>
        <v>0</v>
      </c>
      <c r="AC1514" s="81" t="str">
        <f>IF(X1514=1,HLOOKUP(R1514,データについて!$J$12:$M$18,7,FALSE),"*")</f>
        <v>*</v>
      </c>
      <c r="AD1514" s="81">
        <f>IF(X1514=2,HLOOKUP(R1514,データについて!$J$12:$M$18,7,FALSE),"*")</f>
        <v>4</v>
      </c>
    </row>
    <row r="1515" spans="1:30">
      <c r="A1515" s="30">
        <v>3677</v>
      </c>
      <c r="B1515" s="30" t="s">
        <v>1155</v>
      </c>
      <c r="C1515" s="30" t="s">
        <v>1156</v>
      </c>
      <c r="D1515" s="30" t="s">
        <v>106</v>
      </c>
      <c r="E1515" s="30"/>
      <c r="F1515" s="30" t="s">
        <v>107</v>
      </c>
      <c r="G1515" s="30" t="s">
        <v>106</v>
      </c>
      <c r="H1515" s="30"/>
      <c r="I1515" s="30" t="s">
        <v>191</v>
      </c>
      <c r="J1515" s="30"/>
      <c r="K1515" s="30" t="s">
        <v>949</v>
      </c>
      <c r="L1515" s="30" t="s">
        <v>117</v>
      </c>
      <c r="M1515" s="30" t="s">
        <v>109</v>
      </c>
      <c r="N1515" s="30" t="s">
        <v>122</v>
      </c>
      <c r="O1515" s="30" t="s">
        <v>115</v>
      </c>
      <c r="P1515" s="30" t="s">
        <v>112</v>
      </c>
      <c r="Q1515" s="30" t="s">
        <v>112</v>
      </c>
      <c r="R1515" s="30" t="s">
        <v>185</v>
      </c>
      <c r="S1515" s="81">
        <f>HLOOKUP(L1515,データについて!$J$6:$M$18,13,FALSE)</f>
        <v>2</v>
      </c>
      <c r="T1515" s="81">
        <f>HLOOKUP(M1515,データについて!$J$7:$M$18,12,FALSE)</f>
        <v>2</v>
      </c>
      <c r="U1515" s="81">
        <f>HLOOKUP(N1515,データについて!$J$8:$M$18,11,FALSE)</f>
        <v>3</v>
      </c>
      <c r="V1515" s="81">
        <f>HLOOKUP(O1515,データについて!$J$9:$M$18,10,FALSE)</f>
        <v>1</v>
      </c>
      <c r="W1515" s="81">
        <f>HLOOKUP(P1515,データについて!$J$10:$M$18,9,FALSE)</f>
        <v>1</v>
      </c>
      <c r="X1515" s="81">
        <f>HLOOKUP(Q1515,データについて!$J$11:$M$18,8,FALSE)</f>
        <v>1</v>
      </c>
      <c r="Y1515" s="81">
        <f>HLOOKUP(R1515,データについて!$J$12:$M$18,7,FALSE)</f>
        <v>2</v>
      </c>
      <c r="Z1515" s="81">
        <f>HLOOKUP(I1515,データについて!$J$3:$M$18,16,FALSE)</f>
        <v>2</v>
      </c>
      <c r="AA1515" s="81" t="str">
        <f>IFERROR(HLOOKUP(J1515,データについて!$J$4:$AH$19,16,FALSE),"")</f>
        <v/>
      </c>
      <c r="AB1515" s="81">
        <f>IFERROR(HLOOKUP(K1515,データについて!$J$5:$AH$20,14,FALSE),"")</f>
        <v>0</v>
      </c>
      <c r="AC1515" s="81">
        <f>IF(X1515=1,HLOOKUP(R1515,データについて!$J$12:$M$18,7,FALSE),"*")</f>
        <v>2</v>
      </c>
      <c r="AD1515" s="81" t="str">
        <f>IF(X1515=2,HLOOKUP(R1515,データについて!$J$12:$M$18,7,FALSE),"*")</f>
        <v>*</v>
      </c>
    </row>
    <row r="1516" spans="1:30">
      <c r="A1516" s="30">
        <v>3676</v>
      </c>
      <c r="B1516" s="30" t="s">
        <v>1157</v>
      </c>
      <c r="C1516" s="30" t="s">
        <v>1158</v>
      </c>
      <c r="D1516" s="30" t="s">
        <v>106</v>
      </c>
      <c r="E1516" s="30"/>
      <c r="F1516" s="30" t="s">
        <v>107</v>
      </c>
      <c r="G1516" s="30" t="s">
        <v>106</v>
      </c>
      <c r="H1516" s="30"/>
      <c r="I1516" s="30" t="s">
        <v>191</v>
      </c>
      <c r="J1516" s="30"/>
      <c r="K1516" s="30" t="s">
        <v>949</v>
      </c>
      <c r="L1516" s="30" t="s">
        <v>108</v>
      </c>
      <c r="M1516" s="30" t="s">
        <v>113</v>
      </c>
      <c r="N1516" s="30" t="s">
        <v>114</v>
      </c>
      <c r="O1516" s="30" t="s">
        <v>115</v>
      </c>
      <c r="P1516" s="30" t="s">
        <v>112</v>
      </c>
      <c r="Q1516" s="30" t="s">
        <v>112</v>
      </c>
      <c r="R1516" s="30" t="s">
        <v>183</v>
      </c>
      <c r="S1516" s="81">
        <f>HLOOKUP(L1516,データについて!$J$6:$M$18,13,FALSE)</f>
        <v>1</v>
      </c>
      <c r="T1516" s="81">
        <f>HLOOKUP(M1516,データについて!$J$7:$M$18,12,FALSE)</f>
        <v>1</v>
      </c>
      <c r="U1516" s="81">
        <f>HLOOKUP(N1516,データについて!$J$8:$M$18,11,FALSE)</f>
        <v>1</v>
      </c>
      <c r="V1516" s="81">
        <f>HLOOKUP(O1516,データについて!$J$9:$M$18,10,FALSE)</f>
        <v>1</v>
      </c>
      <c r="W1516" s="81">
        <f>HLOOKUP(P1516,データについて!$J$10:$M$18,9,FALSE)</f>
        <v>1</v>
      </c>
      <c r="X1516" s="81">
        <f>HLOOKUP(Q1516,データについて!$J$11:$M$18,8,FALSE)</f>
        <v>1</v>
      </c>
      <c r="Y1516" s="81">
        <f>HLOOKUP(R1516,データについて!$J$12:$M$18,7,FALSE)</f>
        <v>1</v>
      </c>
      <c r="Z1516" s="81">
        <f>HLOOKUP(I1516,データについて!$J$3:$M$18,16,FALSE)</f>
        <v>2</v>
      </c>
      <c r="AA1516" s="81" t="str">
        <f>IFERROR(HLOOKUP(J1516,データについて!$J$4:$AH$19,16,FALSE),"")</f>
        <v/>
      </c>
      <c r="AB1516" s="81">
        <f>IFERROR(HLOOKUP(K1516,データについて!$J$5:$AH$20,14,FALSE),"")</f>
        <v>0</v>
      </c>
      <c r="AC1516" s="81">
        <f>IF(X1516=1,HLOOKUP(R1516,データについて!$J$12:$M$18,7,FALSE),"*")</f>
        <v>1</v>
      </c>
      <c r="AD1516" s="81" t="str">
        <f>IF(X1516=2,HLOOKUP(R1516,データについて!$J$12:$M$18,7,FALSE),"*")</f>
        <v>*</v>
      </c>
    </row>
    <row r="1517" spans="1:30">
      <c r="A1517" s="30">
        <v>3675</v>
      </c>
      <c r="B1517" s="30" t="s">
        <v>1159</v>
      </c>
      <c r="C1517" s="30" t="s">
        <v>1160</v>
      </c>
      <c r="D1517" s="30" t="s">
        <v>106</v>
      </c>
      <c r="E1517" s="30"/>
      <c r="F1517" s="30" t="s">
        <v>107</v>
      </c>
      <c r="G1517" s="30" t="s">
        <v>106</v>
      </c>
      <c r="H1517" s="30"/>
      <c r="I1517" s="30" t="s">
        <v>191</v>
      </c>
      <c r="J1517" s="30"/>
      <c r="K1517" s="30" t="s">
        <v>949</v>
      </c>
      <c r="L1517" s="30" t="s">
        <v>108</v>
      </c>
      <c r="M1517" s="30" t="s">
        <v>124</v>
      </c>
      <c r="N1517" s="30" t="s">
        <v>122</v>
      </c>
      <c r="O1517" s="30" t="s">
        <v>123</v>
      </c>
      <c r="P1517" s="30" t="s">
        <v>112</v>
      </c>
      <c r="Q1517" s="30" t="s">
        <v>112</v>
      </c>
      <c r="R1517" s="30" t="s">
        <v>189</v>
      </c>
      <c r="S1517" s="81">
        <f>HLOOKUP(L1517,データについて!$J$6:$M$18,13,FALSE)</f>
        <v>1</v>
      </c>
      <c r="T1517" s="81">
        <f>HLOOKUP(M1517,データについて!$J$7:$M$18,12,FALSE)</f>
        <v>3</v>
      </c>
      <c r="U1517" s="81">
        <f>HLOOKUP(N1517,データについて!$J$8:$M$18,11,FALSE)</f>
        <v>3</v>
      </c>
      <c r="V1517" s="81">
        <f>HLOOKUP(O1517,データについて!$J$9:$M$18,10,FALSE)</f>
        <v>4</v>
      </c>
      <c r="W1517" s="81">
        <f>HLOOKUP(P1517,データについて!$J$10:$M$18,9,FALSE)</f>
        <v>1</v>
      </c>
      <c r="X1517" s="81">
        <f>HLOOKUP(Q1517,データについて!$J$11:$M$18,8,FALSE)</f>
        <v>1</v>
      </c>
      <c r="Y1517" s="81">
        <f>HLOOKUP(R1517,データについて!$J$12:$M$18,7,FALSE)</f>
        <v>4</v>
      </c>
      <c r="Z1517" s="81">
        <f>HLOOKUP(I1517,データについて!$J$3:$M$18,16,FALSE)</f>
        <v>2</v>
      </c>
      <c r="AA1517" s="81" t="str">
        <f>IFERROR(HLOOKUP(J1517,データについて!$J$4:$AH$19,16,FALSE),"")</f>
        <v/>
      </c>
      <c r="AB1517" s="81">
        <f>IFERROR(HLOOKUP(K1517,データについて!$J$5:$AH$20,14,FALSE),"")</f>
        <v>0</v>
      </c>
      <c r="AC1517" s="81">
        <f>IF(X1517=1,HLOOKUP(R1517,データについて!$J$12:$M$18,7,FALSE),"*")</f>
        <v>4</v>
      </c>
      <c r="AD1517" s="81" t="str">
        <f>IF(X1517=2,HLOOKUP(R1517,データについて!$J$12:$M$18,7,FALSE),"*")</f>
        <v>*</v>
      </c>
    </row>
    <row r="1518" spans="1:30">
      <c r="A1518" s="30">
        <v>3674</v>
      </c>
      <c r="B1518" s="30" t="s">
        <v>1161</v>
      </c>
      <c r="C1518" s="30" t="s">
        <v>1162</v>
      </c>
      <c r="D1518" s="30" t="s">
        <v>106</v>
      </c>
      <c r="E1518" s="30"/>
      <c r="F1518" s="30" t="s">
        <v>107</v>
      </c>
      <c r="G1518" s="30" t="s">
        <v>106</v>
      </c>
      <c r="H1518" s="30"/>
      <c r="I1518" s="30" t="s">
        <v>191</v>
      </c>
      <c r="J1518" s="30"/>
      <c r="K1518" s="30" t="s">
        <v>949</v>
      </c>
      <c r="L1518" s="30" t="s">
        <v>117</v>
      </c>
      <c r="M1518" s="30" t="s">
        <v>113</v>
      </c>
      <c r="N1518" s="30" t="s">
        <v>110</v>
      </c>
      <c r="O1518" s="30" t="s">
        <v>115</v>
      </c>
      <c r="P1518" s="30" t="s">
        <v>118</v>
      </c>
      <c r="Q1518" s="30" t="s">
        <v>112</v>
      </c>
      <c r="R1518" s="30" t="s">
        <v>185</v>
      </c>
      <c r="S1518" s="81">
        <f>HLOOKUP(L1518,データについて!$J$6:$M$18,13,FALSE)</f>
        <v>2</v>
      </c>
      <c r="T1518" s="81">
        <f>HLOOKUP(M1518,データについて!$J$7:$M$18,12,FALSE)</f>
        <v>1</v>
      </c>
      <c r="U1518" s="81">
        <f>HLOOKUP(N1518,データについて!$J$8:$M$18,11,FALSE)</f>
        <v>2</v>
      </c>
      <c r="V1518" s="81">
        <f>HLOOKUP(O1518,データについて!$J$9:$M$18,10,FALSE)</f>
        <v>1</v>
      </c>
      <c r="W1518" s="81">
        <f>HLOOKUP(P1518,データについて!$J$10:$M$18,9,FALSE)</f>
        <v>2</v>
      </c>
      <c r="X1518" s="81">
        <f>HLOOKUP(Q1518,データについて!$J$11:$M$18,8,FALSE)</f>
        <v>1</v>
      </c>
      <c r="Y1518" s="81">
        <f>HLOOKUP(R1518,データについて!$J$12:$M$18,7,FALSE)</f>
        <v>2</v>
      </c>
      <c r="Z1518" s="81">
        <f>HLOOKUP(I1518,データについて!$J$3:$M$18,16,FALSE)</f>
        <v>2</v>
      </c>
      <c r="AA1518" s="81" t="str">
        <f>IFERROR(HLOOKUP(J1518,データについて!$J$4:$AH$19,16,FALSE),"")</f>
        <v/>
      </c>
      <c r="AB1518" s="81">
        <f>IFERROR(HLOOKUP(K1518,データについて!$J$5:$AH$20,14,FALSE),"")</f>
        <v>0</v>
      </c>
      <c r="AC1518" s="81">
        <f>IF(X1518=1,HLOOKUP(R1518,データについて!$J$12:$M$18,7,FALSE),"*")</f>
        <v>2</v>
      </c>
      <c r="AD1518" s="81" t="str">
        <f>IF(X1518=2,HLOOKUP(R1518,データについて!$J$12:$M$18,7,FALSE),"*")</f>
        <v>*</v>
      </c>
    </row>
    <row r="1519" spans="1:30">
      <c r="A1519" s="30">
        <v>3673</v>
      </c>
      <c r="B1519" s="30" t="s">
        <v>1163</v>
      </c>
      <c r="C1519" s="30" t="s">
        <v>1162</v>
      </c>
      <c r="D1519" s="30" t="s">
        <v>106</v>
      </c>
      <c r="E1519" s="30"/>
      <c r="F1519" s="30" t="s">
        <v>107</v>
      </c>
      <c r="G1519" s="30" t="s">
        <v>106</v>
      </c>
      <c r="H1519" s="30"/>
      <c r="I1519" s="30" t="s">
        <v>191</v>
      </c>
      <c r="J1519" s="30"/>
      <c r="K1519" s="30" t="s">
        <v>949</v>
      </c>
      <c r="L1519" s="30" t="s">
        <v>108</v>
      </c>
      <c r="M1519" s="30" t="s">
        <v>113</v>
      </c>
      <c r="N1519" s="30" t="s">
        <v>114</v>
      </c>
      <c r="O1519" s="30" t="s">
        <v>115</v>
      </c>
      <c r="P1519" s="30" t="s">
        <v>112</v>
      </c>
      <c r="Q1519" s="30" t="s">
        <v>118</v>
      </c>
      <c r="R1519" s="30" t="s">
        <v>185</v>
      </c>
      <c r="S1519" s="81">
        <f>HLOOKUP(L1519,データについて!$J$6:$M$18,13,FALSE)</f>
        <v>1</v>
      </c>
      <c r="T1519" s="81">
        <f>HLOOKUP(M1519,データについて!$J$7:$M$18,12,FALSE)</f>
        <v>1</v>
      </c>
      <c r="U1519" s="81">
        <f>HLOOKUP(N1519,データについて!$J$8:$M$18,11,FALSE)</f>
        <v>1</v>
      </c>
      <c r="V1519" s="81">
        <f>HLOOKUP(O1519,データについて!$J$9:$M$18,10,FALSE)</f>
        <v>1</v>
      </c>
      <c r="W1519" s="81">
        <f>HLOOKUP(P1519,データについて!$J$10:$M$18,9,FALSE)</f>
        <v>1</v>
      </c>
      <c r="X1519" s="81">
        <f>HLOOKUP(Q1519,データについて!$J$11:$M$18,8,FALSE)</f>
        <v>2</v>
      </c>
      <c r="Y1519" s="81">
        <f>HLOOKUP(R1519,データについて!$J$12:$M$18,7,FALSE)</f>
        <v>2</v>
      </c>
      <c r="Z1519" s="81">
        <f>HLOOKUP(I1519,データについて!$J$3:$M$18,16,FALSE)</f>
        <v>2</v>
      </c>
      <c r="AA1519" s="81" t="str">
        <f>IFERROR(HLOOKUP(J1519,データについて!$J$4:$AH$19,16,FALSE),"")</f>
        <v/>
      </c>
      <c r="AB1519" s="81">
        <f>IFERROR(HLOOKUP(K1519,データについて!$J$5:$AH$20,14,FALSE),"")</f>
        <v>0</v>
      </c>
      <c r="AC1519" s="81" t="str">
        <f>IF(X1519=1,HLOOKUP(R1519,データについて!$J$12:$M$18,7,FALSE),"*")</f>
        <v>*</v>
      </c>
      <c r="AD1519" s="81">
        <f>IF(X1519=2,HLOOKUP(R1519,データについて!$J$12:$M$18,7,FALSE),"*")</f>
        <v>2</v>
      </c>
    </row>
    <row r="1520" spans="1:30">
      <c r="A1520" s="30">
        <v>3672</v>
      </c>
      <c r="B1520" s="30" t="s">
        <v>1164</v>
      </c>
      <c r="C1520" s="30" t="s">
        <v>1165</v>
      </c>
      <c r="D1520" s="30" t="s">
        <v>106</v>
      </c>
      <c r="E1520" s="30"/>
      <c r="F1520" s="30" t="s">
        <v>107</v>
      </c>
      <c r="G1520" s="30" t="s">
        <v>106</v>
      </c>
      <c r="H1520" s="30"/>
      <c r="I1520" s="30" t="s">
        <v>191</v>
      </c>
      <c r="J1520" s="30"/>
      <c r="K1520" s="30" t="s">
        <v>949</v>
      </c>
      <c r="L1520" s="30" t="s">
        <v>117</v>
      </c>
      <c r="M1520" s="30" t="s">
        <v>113</v>
      </c>
      <c r="N1520" s="30" t="s">
        <v>114</v>
      </c>
      <c r="O1520" s="30" t="s">
        <v>116</v>
      </c>
      <c r="P1520" s="30" t="s">
        <v>118</v>
      </c>
      <c r="Q1520" s="30" t="s">
        <v>112</v>
      </c>
      <c r="R1520" s="30" t="s">
        <v>185</v>
      </c>
      <c r="S1520" s="81">
        <f>HLOOKUP(L1520,データについて!$J$6:$M$18,13,FALSE)</f>
        <v>2</v>
      </c>
      <c r="T1520" s="81">
        <f>HLOOKUP(M1520,データについて!$J$7:$M$18,12,FALSE)</f>
        <v>1</v>
      </c>
      <c r="U1520" s="81">
        <f>HLOOKUP(N1520,データについて!$J$8:$M$18,11,FALSE)</f>
        <v>1</v>
      </c>
      <c r="V1520" s="81">
        <f>HLOOKUP(O1520,データについて!$J$9:$M$18,10,FALSE)</f>
        <v>2</v>
      </c>
      <c r="W1520" s="81">
        <f>HLOOKUP(P1520,データについて!$J$10:$M$18,9,FALSE)</f>
        <v>2</v>
      </c>
      <c r="X1520" s="81">
        <f>HLOOKUP(Q1520,データについて!$J$11:$M$18,8,FALSE)</f>
        <v>1</v>
      </c>
      <c r="Y1520" s="81">
        <f>HLOOKUP(R1520,データについて!$J$12:$M$18,7,FALSE)</f>
        <v>2</v>
      </c>
      <c r="Z1520" s="81">
        <f>HLOOKUP(I1520,データについて!$J$3:$M$18,16,FALSE)</f>
        <v>2</v>
      </c>
      <c r="AA1520" s="81" t="str">
        <f>IFERROR(HLOOKUP(J1520,データについて!$J$4:$AH$19,16,FALSE),"")</f>
        <v/>
      </c>
      <c r="AB1520" s="81">
        <f>IFERROR(HLOOKUP(K1520,データについて!$J$5:$AH$20,14,FALSE),"")</f>
        <v>0</v>
      </c>
      <c r="AC1520" s="81">
        <f>IF(X1520=1,HLOOKUP(R1520,データについて!$J$12:$M$18,7,FALSE),"*")</f>
        <v>2</v>
      </c>
      <c r="AD1520" s="81" t="str">
        <f>IF(X1520=2,HLOOKUP(R1520,データについて!$J$12:$M$18,7,FALSE),"*")</f>
        <v>*</v>
      </c>
    </row>
    <row r="1521" spans="1:30">
      <c r="A1521" s="30">
        <v>3671</v>
      </c>
      <c r="B1521" s="30" t="s">
        <v>1166</v>
      </c>
      <c r="C1521" s="30" t="s">
        <v>1167</v>
      </c>
      <c r="D1521" s="30" t="s">
        <v>106</v>
      </c>
      <c r="E1521" s="30"/>
      <c r="F1521" s="30" t="s">
        <v>107</v>
      </c>
      <c r="G1521" s="30" t="s">
        <v>106</v>
      </c>
      <c r="H1521" s="30"/>
      <c r="I1521" s="30" t="s">
        <v>191</v>
      </c>
      <c r="J1521" s="30"/>
      <c r="K1521" s="30" t="s">
        <v>949</v>
      </c>
      <c r="L1521" s="30" t="s">
        <v>108</v>
      </c>
      <c r="M1521" s="30" t="s">
        <v>109</v>
      </c>
      <c r="N1521" s="30" t="s">
        <v>110</v>
      </c>
      <c r="O1521" s="30" t="s">
        <v>115</v>
      </c>
      <c r="P1521" s="30" t="s">
        <v>118</v>
      </c>
      <c r="Q1521" s="30" t="s">
        <v>112</v>
      </c>
      <c r="R1521" s="30" t="s">
        <v>185</v>
      </c>
      <c r="S1521" s="81">
        <f>HLOOKUP(L1521,データについて!$J$6:$M$18,13,FALSE)</f>
        <v>1</v>
      </c>
      <c r="T1521" s="81">
        <f>HLOOKUP(M1521,データについて!$J$7:$M$18,12,FALSE)</f>
        <v>2</v>
      </c>
      <c r="U1521" s="81">
        <f>HLOOKUP(N1521,データについて!$J$8:$M$18,11,FALSE)</f>
        <v>2</v>
      </c>
      <c r="V1521" s="81">
        <f>HLOOKUP(O1521,データについて!$J$9:$M$18,10,FALSE)</f>
        <v>1</v>
      </c>
      <c r="W1521" s="81">
        <f>HLOOKUP(P1521,データについて!$J$10:$M$18,9,FALSE)</f>
        <v>2</v>
      </c>
      <c r="X1521" s="81">
        <f>HLOOKUP(Q1521,データについて!$J$11:$M$18,8,FALSE)</f>
        <v>1</v>
      </c>
      <c r="Y1521" s="81">
        <f>HLOOKUP(R1521,データについて!$J$12:$M$18,7,FALSE)</f>
        <v>2</v>
      </c>
      <c r="Z1521" s="81">
        <f>HLOOKUP(I1521,データについて!$J$3:$M$18,16,FALSE)</f>
        <v>2</v>
      </c>
      <c r="AA1521" s="81" t="str">
        <f>IFERROR(HLOOKUP(J1521,データについて!$J$4:$AH$19,16,FALSE),"")</f>
        <v/>
      </c>
      <c r="AB1521" s="81">
        <f>IFERROR(HLOOKUP(K1521,データについて!$J$5:$AH$20,14,FALSE),"")</f>
        <v>0</v>
      </c>
      <c r="AC1521" s="81">
        <f>IF(X1521=1,HLOOKUP(R1521,データについて!$J$12:$M$18,7,FALSE),"*")</f>
        <v>2</v>
      </c>
      <c r="AD1521" s="81" t="str">
        <f>IF(X1521=2,HLOOKUP(R1521,データについて!$J$12:$M$18,7,FALSE),"*")</f>
        <v>*</v>
      </c>
    </row>
    <row r="1522" spans="1:30">
      <c r="A1522" s="30">
        <v>3670</v>
      </c>
      <c r="B1522" s="30" t="s">
        <v>1168</v>
      </c>
      <c r="C1522" s="30" t="s">
        <v>1169</v>
      </c>
      <c r="D1522" s="30" t="s">
        <v>106</v>
      </c>
      <c r="E1522" s="30"/>
      <c r="F1522" s="30" t="s">
        <v>107</v>
      </c>
      <c r="G1522" s="30" t="s">
        <v>106</v>
      </c>
      <c r="H1522" s="30"/>
      <c r="I1522" s="30" t="s">
        <v>191</v>
      </c>
      <c r="J1522" s="30"/>
      <c r="K1522" s="30" t="s">
        <v>949</v>
      </c>
      <c r="L1522" s="30" t="s">
        <v>117</v>
      </c>
      <c r="M1522" s="30" t="s">
        <v>109</v>
      </c>
      <c r="N1522" s="30" t="s">
        <v>114</v>
      </c>
      <c r="O1522" s="30" t="s">
        <v>115</v>
      </c>
      <c r="P1522" s="30" t="s">
        <v>118</v>
      </c>
      <c r="Q1522" s="30" t="s">
        <v>112</v>
      </c>
      <c r="R1522" s="30" t="s">
        <v>185</v>
      </c>
      <c r="S1522" s="81">
        <f>HLOOKUP(L1522,データについて!$J$6:$M$18,13,FALSE)</f>
        <v>2</v>
      </c>
      <c r="T1522" s="81">
        <f>HLOOKUP(M1522,データについて!$J$7:$M$18,12,FALSE)</f>
        <v>2</v>
      </c>
      <c r="U1522" s="81">
        <f>HLOOKUP(N1522,データについて!$J$8:$M$18,11,FALSE)</f>
        <v>1</v>
      </c>
      <c r="V1522" s="81">
        <f>HLOOKUP(O1522,データについて!$J$9:$M$18,10,FALSE)</f>
        <v>1</v>
      </c>
      <c r="W1522" s="81">
        <f>HLOOKUP(P1522,データについて!$J$10:$M$18,9,FALSE)</f>
        <v>2</v>
      </c>
      <c r="X1522" s="81">
        <f>HLOOKUP(Q1522,データについて!$J$11:$M$18,8,FALSE)</f>
        <v>1</v>
      </c>
      <c r="Y1522" s="81">
        <f>HLOOKUP(R1522,データについて!$J$12:$M$18,7,FALSE)</f>
        <v>2</v>
      </c>
      <c r="Z1522" s="81">
        <f>HLOOKUP(I1522,データについて!$J$3:$M$18,16,FALSE)</f>
        <v>2</v>
      </c>
      <c r="AA1522" s="81" t="str">
        <f>IFERROR(HLOOKUP(J1522,データについて!$J$4:$AH$19,16,FALSE),"")</f>
        <v/>
      </c>
      <c r="AB1522" s="81">
        <f>IFERROR(HLOOKUP(K1522,データについて!$J$5:$AH$20,14,FALSE),"")</f>
        <v>0</v>
      </c>
      <c r="AC1522" s="81">
        <f>IF(X1522=1,HLOOKUP(R1522,データについて!$J$12:$M$18,7,FALSE),"*")</f>
        <v>2</v>
      </c>
      <c r="AD1522" s="81" t="str">
        <f>IF(X1522=2,HLOOKUP(R1522,データについて!$J$12:$M$18,7,FALSE),"*")</f>
        <v>*</v>
      </c>
    </row>
    <row r="1523" spans="1:30">
      <c r="A1523" s="30">
        <v>3669</v>
      </c>
      <c r="B1523" s="30" t="s">
        <v>1170</v>
      </c>
      <c r="C1523" s="30" t="s">
        <v>1171</v>
      </c>
      <c r="D1523" s="30" t="s">
        <v>106</v>
      </c>
      <c r="E1523" s="30"/>
      <c r="F1523" s="30" t="s">
        <v>107</v>
      </c>
      <c r="G1523" s="30" t="s">
        <v>106</v>
      </c>
      <c r="H1523" s="30"/>
      <c r="I1523" s="30" t="s">
        <v>191</v>
      </c>
      <c r="J1523" s="30"/>
      <c r="K1523" s="30" t="s">
        <v>949</v>
      </c>
      <c r="L1523" s="30" t="s">
        <v>108</v>
      </c>
      <c r="M1523" s="30" t="s">
        <v>113</v>
      </c>
      <c r="N1523" s="30" t="s">
        <v>110</v>
      </c>
      <c r="O1523" s="30" t="s">
        <v>115</v>
      </c>
      <c r="P1523" s="30" t="s">
        <v>112</v>
      </c>
      <c r="Q1523" s="30" t="s">
        <v>112</v>
      </c>
      <c r="R1523" s="30" t="s">
        <v>183</v>
      </c>
      <c r="S1523" s="81">
        <f>HLOOKUP(L1523,データについて!$J$6:$M$18,13,FALSE)</f>
        <v>1</v>
      </c>
      <c r="T1523" s="81">
        <f>HLOOKUP(M1523,データについて!$J$7:$M$18,12,FALSE)</f>
        <v>1</v>
      </c>
      <c r="U1523" s="81">
        <f>HLOOKUP(N1523,データについて!$J$8:$M$18,11,FALSE)</f>
        <v>2</v>
      </c>
      <c r="V1523" s="81">
        <f>HLOOKUP(O1523,データについて!$J$9:$M$18,10,FALSE)</f>
        <v>1</v>
      </c>
      <c r="W1523" s="81">
        <f>HLOOKUP(P1523,データについて!$J$10:$M$18,9,FALSE)</f>
        <v>1</v>
      </c>
      <c r="X1523" s="81">
        <f>HLOOKUP(Q1523,データについて!$J$11:$M$18,8,FALSE)</f>
        <v>1</v>
      </c>
      <c r="Y1523" s="81">
        <f>HLOOKUP(R1523,データについて!$J$12:$M$18,7,FALSE)</f>
        <v>1</v>
      </c>
      <c r="Z1523" s="81">
        <f>HLOOKUP(I1523,データについて!$J$3:$M$18,16,FALSE)</f>
        <v>2</v>
      </c>
      <c r="AA1523" s="81" t="str">
        <f>IFERROR(HLOOKUP(J1523,データについて!$J$4:$AH$19,16,FALSE),"")</f>
        <v/>
      </c>
      <c r="AB1523" s="81">
        <f>IFERROR(HLOOKUP(K1523,データについて!$J$5:$AH$20,14,FALSE),"")</f>
        <v>0</v>
      </c>
      <c r="AC1523" s="81">
        <f>IF(X1523=1,HLOOKUP(R1523,データについて!$J$12:$M$18,7,FALSE),"*")</f>
        <v>1</v>
      </c>
      <c r="AD1523" s="81" t="str">
        <f>IF(X1523=2,HLOOKUP(R1523,データについて!$J$12:$M$18,7,FALSE),"*")</f>
        <v>*</v>
      </c>
    </row>
    <row r="1524" spans="1:30">
      <c r="A1524" s="30">
        <v>3668</v>
      </c>
      <c r="B1524" s="30" t="s">
        <v>1172</v>
      </c>
      <c r="C1524" s="30" t="s">
        <v>1173</v>
      </c>
      <c r="D1524" s="30" t="s">
        <v>106</v>
      </c>
      <c r="E1524" s="30"/>
      <c r="F1524" s="30" t="s">
        <v>107</v>
      </c>
      <c r="G1524" s="30" t="s">
        <v>106</v>
      </c>
      <c r="H1524" s="30"/>
      <c r="I1524" s="30" t="s">
        <v>191</v>
      </c>
      <c r="J1524" s="30"/>
      <c r="K1524" s="30" t="s">
        <v>949</v>
      </c>
      <c r="L1524" s="30" t="s">
        <v>108</v>
      </c>
      <c r="M1524" s="30" t="s">
        <v>109</v>
      </c>
      <c r="N1524" s="30" t="s">
        <v>122</v>
      </c>
      <c r="O1524" s="30" t="s">
        <v>115</v>
      </c>
      <c r="P1524" s="30" t="s">
        <v>112</v>
      </c>
      <c r="Q1524" s="30" t="s">
        <v>112</v>
      </c>
      <c r="R1524" s="30" t="s">
        <v>185</v>
      </c>
      <c r="S1524" s="81">
        <f>HLOOKUP(L1524,データについて!$J$6:$M$18,13,FALSE)</f>
        <v>1</v>
      </c>
      <c r="T1524" s="81">
        <f>HLOOKUP(M1524,データについて!$J$7:$M$18,12,FALSE)</f>
        <v>2</v>
      </c>
      <c r="U1524" s="81">
        <f>HLOOKUP(N1524,データについて!$J$8:$M$18,11,FALSE)</f>
        <v>3</v>
      </c>
      <c r="V1524" s="81">
        <f>HLOOKUP(O1524,データについて!$J$9:$M$18,10,FALSE)</f>
        <v>1</v>
      </c>
      <c r="W1524" s="81">
        <f>HLOOKUP(P1524,データについて!$J$10:$M$18,9,FALSE)</f>
        <v>1</v>
      </c>
      <c r="X1524" s="81">
        <f>HLOOKUP(Q1524,データについて!$J$11:$M$18,8,FALSE)</f>
        <v>1</v>
      </c>
      <c r="Y1524" s="81">
        <f>HLOOKUP(R1524,データについて!$J$12:$M$18,7,FALSE)</f>
        <v>2</v>
      </c>
      <c r="Z1524" s="81">
        <f>HLOOKUP(I1524,データについて!$J$3:$M$18,16,FALSE)</f>
        <v>2</v>
      </c>
      <c r="AA1524" s="81" t="str">
        <f>IFERROR(HLOOKUP(J1524,データについて!$J$4:$AH$19,16,FALSE),"")</f>
        <v/>
      </c>
      <c r="AB1524" s="81">
        <f>IFERROR(HLOOKUP(K1524,データについて!$J$5:$AH$20,14,FALSE),"")</f>
        <v>0</v>
      </c>
      <c r="AC1524" s="81">
        <f>IF(X1524=1,HLOOKUP(R1524,データについて!$J$12:$M$18,7,FALSE),"*")</f>
        <v>2</v>
      </c>
      <c r="AD1524" s="81" t="str">
        <f>IF(X1524=2,HLOOKUP(R1524,データについて!$J$12:$M$18,7,FALSE),"*")</f>
        <v>*</v>
      </c>
    </row>
    <row r="1525" spans="1:30">
      <c r="A1525" s="30">
        <v>3667</v>
      </c>
      <c r="B1525" s="30" t="s">
        <v>1174</v>
      </c>
      <c r="C1525" s="30" t="s">
        <v>1175</v>
      </c>
      <c r="D1525" s="30" t="s">
        <v>106</v>
      </c>
      <c r="E1525" s="30"/>
      <c r="F1525" s="30" t="s">
        <v>107</v>
      </c>
      <c r="G1525" s="30" t="s">
        <v>106</v>
      </c>
      <c r="H1525" s="30"/>
      <c r="I1525" s="30" t="s">
        <v>191</v>
      </c>
      <c r="J1525" s="30"/>
      <c r="K1525" s="30" t="s">
        <v>949</v>
      </c>
      <c r="L1525" s="30" t="s">
        <v>108</v>
      </c>
      <c r="M1525" s="30" t="s">
        <v>121</v>
      </c>
      <c r="N1525" s="30" t="s">
        <v>110</v>
      </c>
      <c r="O1525" s="30" t="s">
        <v>115</v>
      </c>
      <c r="P1525" s="30" t="s">
        <v>118</v>
      </c>
      <c r="Q1525" s="30" t="s">
        <v>112</v>
      </c>
      <c r="R1525" s="30" t="s">
        <v>185</v>
      </c>
      <c r="S1525" s="81">
        <f>HLOOKUP(L1525,データについて!$J$6:$M$18,13,FALSE)</f>
        <v>1</v>
      </c>
      <c r="T1525" s="81">
        <f>HLOOKUP(M1525,データについて!$J$7:$M$18,12,FALSE)</f>
        <v>4</v>
      </c>
      <c r="U1525" s="81">
        <f>HLOOKUP(N1525,データについて!$J$8:$M$18,11,FALSE)</f>
        <v>2</v>
      </c>
      <c r="V1525" s="81">
        <f>HLOOKUP(O1525,データについて!$J$9:$M$18,10,FALSE)</f>
        <v>1</v>
      </c>
      <c r="W1525" s="81">
        <f>HLOOKUP(P1525,データについて!$J$10:$M$18,9,FALSE)</f>
        <v>2</v>
      </c>
      <c r="X1525" s="81">
        <f>HLOOKUP(Q1525,データについて!$J$11:$M$18,8,FALSE)</f>
        <v>1</v>
      </c>
      <c r="Y1525" s="81">
        <f>HLOOKUP(R1525,データについて!$J$12:$M$18,7,FALSE)</f>
        <v>2</v>
      </c>
      <c r="Z1525" s="81">
        <f>HLOOKUP(I1525,データについて!$J$3:$M$18,16,FALSE)</f>
        <v>2</v>
      </c>
      <c r="AA1525" s="81" t="str">
        <f>IFERROR(HLOOKUP(J1525,データについて!$J$4:$AH$19,16,FALSE),"")</f>
        <v/>
      </c>
      <c r="AB1525" s="81">
        <f>IFERROR(HLOOKUP(K1525,データについて!$J$5:$AH$20,14,FALSE),"")</f>
        <v>0</v>
      </c>
      <c r="AC1525" s="81">
        <f>IF(X1525=1,HLOOKUP(R1525,データについて!$J$12:$M$18,7,FALSE),"*")</f>
        <v>2</v>
      </c>
      <c r="AD1525" s="81" t="str">
        <f>IF(X1525=2,HLOOKUP(R1525,データについて!$J$12:$M$18,7,FALSE),"*")</f>
        <v>*</v>
      </c>
    </row>
    <row r="1526" spans="1:30">
      <c r="A1526" s="30">
        <v>3666</v>
      </c>
      <c r="B1526" s="30" t="s">
        <v>1176</v>
      </c>
      <c r="C1526" s="30" t="s">
        <v>1177</v>
      </c>
      <c r="D1526" s="30" t="s">
        <v>106</v>
      </c>
      <c r="E1526" s="30"/>
      <c r="F1526" s="30" t="s">
        <v>107</v>
      </c>
      <c r="G1526" s="30" t="s">
        <v>106</v>
      </c>
      <c r="H1526" s="30"/>
      <c r="I1526" s="30" t="s">
        <v>191</v>
      </c>
      <c r="J1526" s="30"/>
      <c r="K1526" s="30" t="s">
        <v>949</v>
      </c>
      <c r="L1526" s="30" t="s">
        <v>108</v>
      </c>
      <c r="M1526" s="30" t="s">
        <v>113</v>
      </c>
      <c r="N1526" s="30" t="s">
        <v>114</v>
      </c>
      <c r="O1526" s="30" t="s">
        <v>115</v>
      </c>
      <c r="P1526" s="30" t="s">
        <v>112</v>
      </c>
      <c r="Q1526" s="30" t="s">
        <v>112</v>
      </c>
      <c r="R1526" s="30" t="s">
        <v>187</v>
      </c>
      <c r="S1526" s="81">
        <f>HLOOKUP(L1526,データについて!$J$6:$M$18,13,FALSE)</f>
        <v>1</v>
      </c>
      <c r="T1526" s="81">
        <f>HLOOKUP(M1526,データについて!$J$7:$M$18,12,FALSE)</f>
        <v>1</v>
      </c>
      <c r="U1526" s="81">
        <f>HLOOKUP(N1526,データについて!$J$8:$M$18,11,FALSE)</f>
        <v>1</v>
      </c>
      <c r="V1526" s="81">
        <f>HLOOKUP(O1526,データについて!$J$9:$M$18,10,FALSE)</f>
        <v>1</v>
      </c>
      <c r="W1526" s="81">
        <f>HLOOKUP(P1526,データについて!$J$10:$M$18,9,FALSE)</f>
        <v>1</v>
      </c>
      <c r="X1526" s="81">
        <f>HLOOKUP(Q1526,データについて!$J$11:$M$18,8,FALSE)</f>
        <v>1</v>
      </c>
      <c r="Y1526" s="81">
        <f>HLOOKUP(R1526,データについて!$J$12:$M$18,7,FALSE)</f>
        <v>3</v>
      </c>
      <c r="Z1526" s="81">
        <f>HLOOKUP(I1526,データについて!$J$3:$M$18,16,FALSE)</f>
        <v>2</v>
      </c>
      <c r="AA1526" s="81" t="str">
        <f>IFERROR(HLOOKUP(J1526,データについて!$J$4:$AH$19,16,FALSE),"")</f>
        <v/>
      </c>
      <c r="AB1526" s="81">
        <f>IFERROR(HLOOKUP(K1526,データについて!$J$5:$AH$20,14,FALSE),"")</f>
        <v>0</v>
      </c>
      <c r="AC1526" s="81">
        <f>IF(X1526=1,HLOOKUP(R1526,データについて!$J$12:$M$18,7,FALSE),"*")</f>
        <v>3</v>
      </c>
      <c r="AD1526" s="81" t="str">
        <f>IF(X1526=2,HLOOKUP(R1526,データについて!$J$12:$M$18,7,FALSE),"*")</f>
        <v>*</v>
      </c>
    </row>
    <row r="1527" spans="1:30">
      <c r="A1527" s="30">
        <v>3665</v>
      </c>
      <c r="B1527" s="30" t="s">
        <v>1178</v>
      </c>
      <c r="C1527" s="30" t="s">
        <v>1177</v>
      </c>
      <c r="D1527" s="30" t="s">
        <v>106</v>
      </c>
      <c r="E1527" s="30"/>
      <c r="F1527" s="30" t="s">
        <v>107</v>
      </c>
      <c r="G1527" s="30" t="s">
        <v>106</v>
      </c>
      <c r="H1527" s="30"/>
      <c r="I1527" s="30" t="s">
        <v>191</v>
      </c>
      <c r="J1527" s="30"/>
      <c r="K1527" s="30" t="s">
        <v>949</v>
      </c>
      <c r="L1527" s="30" t="s">
        <v>117</v>
      </c>
      <c r="M1527" s="30" t="s">
        <v>113</v>
      </c>
      <c r="N1527" s="30" t="s">
        <v>114</v>
      </c>
      <c r="O1527" s="30" t="s">
        <v>115</v>
      </c>
      <c r="P1527" s="30" t="s">
        <v>112</v>
      </c>
      <c r="Q1527" s="30" t="s">
        <v>112</v>
      </c>
      <c r="R1527" s="30" t="s">
        <v>183</v>
      </c>
      <c r="S1527" s="81">
        <f>HLOOKUP(L1527,データについて!$J$6:$M$18,13,FALSE)</f>
        <v>2</v>
      </c>
      <c r="T1527" s="81">
        <f>HLOOKUP(M1527,データについて!$J$7:$M$18,12,FALSE)</f>
        <v>1</v>
      </c>
      <c r="U1527" s="81">
        <f>HLOOKUP(N1527,データについて!$J$8:$M$18,11,FALSE)</f>
        <v>1</v>
      </c>
      <c r="V1527" s="81">
        <f>HLOOKUP(O1527,データについて!$J$9:$M$18,10,FALSE)</f>
        <v>1</v>
      </c>
      <c r="W1527" s="81">
        <f>HLOOKUP(P1527,データについて!$J$10:$M$18,9,FALSE)</f>
        <v>1</v>
      </c>
      <c r="X1527" s="81">
        <f>HLOOKUP(Q1527,データについて!$J$11:$M$18,8,FALSE)</f>
        <v>1</v>
      </c>
      <c r="Y1527" s="81">
        <f>HLOOKUP(R1527,データについて!$J$12:$M$18,7,FALSE)</f>
        <v>1</v>
      </c>
      <c r="Z1527" s="81">
        <f>HLOOKUP(I1527,データについて!$J$3:$M$18,16,FALSE)</f>
        <v>2</v>
      </c>
      <c r="AA1527" s="81" t="str">
        <f>IFERROR(HLOOKUP(J1527,データについて!$J$4:$AH$19,16,FALSE),"")</f>
        <v/>
      </c>
      <c r="AB1527" s="81">
        <f>IFERROR(HLOOKUP(K1527,データについて!$J$5:$AH$20,14,FALSE),"")</f>
        <v>0</v>
      </c>
      <c r="AC1527" s="81">
        <f>IF(X1527=1,HLOOKUP(R1527,データについて!$J$12:$M$18,7,FALSE),"*")</f>
        <v>1</v>
      </c>
      <c r="AD1527" s="81" t="str">
        <f>IF(X1527=2,HLOOKUP(R1527,データについて!$J$12:$M$18,7,FALSE),"*")</f>
        <v>*</v>
      </c>
    </row>
    <row r="1528" spans="1:30">
      <c r="A1528" s="30">
        <v>3664</v>
      </c>
      <c r="B1528" s="30" t="s">
        <v>1179</v>
      </c>
      <c r="C1528" s="30" t="s">
        <v>1180</v>
      </c>
      <c r="D1528" s="30" t="s">
        <v>106</v>
      </c>
      <c r="E1528" s="30"/>
      <c r="F1528" s="30" t="s">
        <v>107</v>
      </c>
      <c r="G1528" s="30" t="s">
        <v>106</v>
      </c>
      <c r="H1528" s="30"/>
      <c r="I1528" s="30" t="s">
        <v>191</v>
      </c>
      <c r="J1528" s="30"/>
      <c r="K1528" s="30" t="s">
        <v>949</v>
      </c>
      <c r="L1528" s="30" t="s">
        <v>117</v>
      </c>
      <c r="M1528" s="30" t="s">
        <v>113</v>
      </c>
      <c r="N1528" s="30" t="s">
        <v>122</v>
      </c>
      <c r="O1528" s="30" t="s">
        <v>115</v>
      </c>
      <c r="P1528" s="30" t="s">
        <v>118</v>
      </c>
      <c r="Q1528" s="30" t="s">
        <v>112</v>
      </c>
      <c r="R1528" s="30" t="s">
        <v>185</v>
      </c>
      <c r="S1528" s="81">
        <f>HLOOKUP(L1528,データについて!$J$6:$M$18,13,FALSE)</f>
        <v>2</v>
      </c>
      <c r="T1528" s="81">
        <f>HLOOKUP(M1528,データについて!$J$7:$M$18,12,FALSE)</f>
        <v>1</v>
      </c>
      <c r="U1528" s="81">
        <f>HLOOKUP(N1528,データについて!$J$8:$M$18,11,FALSE)</f>
        <v>3</v>
      </c>
      <c r="V1528" s="81">
        <f>HLOOKUP(O1528,データについて!$J$9:$M$18,10,FALSE)</f>
        <v>1</v>
      </c>
      <c r="W1528" s="81">
        <f>HLOOKUP(P1528,データについて!$J$10:$M$18,9,FALSE)</f>
        <v>2</v>
      </c>
      <c r="X1528" s="81">
        <f>HLOOKUP(Q1528,データについて!$J$11:$M$18,8,FALSE)</f>
        <v>1</v>
      </c>
      <c r="Y1528" s="81">
        <f>HLOOKUP(R1528,データについて!$J$12:$M$18,7,FALSE)</f>
        <v>2</v>
      </c>
      <c r="Z1528" s="81">
        <f>HLOOKUP(I1528,データについて!$J$3:$M$18,16,FALSE)</f>
        <v>2</v>
      </c>
      <c r="AA1528" s="81" t="str">
        <f>IFERROR(HLOOKUP(J1528,データについて!$J$4:$AH$19,16,FALSE),"")</f>
        <v/>
      </c>
      <c r="AB1528" s="81">
        <f>IFERROR(HLOOKUP(K1528,データについて!$J$5:$AH$20,14,FALSE),"")</f>
        <v>0</v>
      </c>
      <c r="AC1528" s="81">
        <f>IF(X1528=1,HLOOKUP(R1528,データについて!$J$12:$M$18,7,FALSE),"*")</f>
        <v>2</v>
      </c>
      <c r="AD1528" s="81" t="str">
        <f>IF(X1528=2,HLOOKUP(R1528,データについて!$J$12:$M$18,7,FALSE),"*")</f>
        <v>*</v>
      </c>
    </row>
    <row r="1529" spans="1:30">
      <c r="A1529" s="30">
        <v>3663</v>
      </c>
      <c r="B1529" s="30" t="s">
        <v>1181</v>
      </c>
      <c r="C1529" s="30" t="s">
        <v>1182</v>
      </c>
      <c r="D1529" s="30" t="s">
        <v>106</v>
      </c>
      <c r="E1529" s="30"/>
      <c r="F1529" s="30" t="s">
        <v>107</v>
      </c>
      <c r="G1529" s="30" t="s">
        <v>106</v>
      </c>
      <c r="H1529" s="30"/>
      <c r="I1529" s="30" t="s">
        <v>191</v>
      </c>
      <c r="J1529" s="30"/>
      <c r="K1529" s="30" t="s">
        <v>949</v>
      </c>
      <c r="L1529" s="30" t="s">
        <v>108</v>
      </c>
      <c r="M1529" s="30" t="s">
        <v>113</v>
      </c>
      <c r="N1529" s="30" t="s">
        <v>114</v>
      </c>
      <c r="O1529" s="30" t="s">
        <v>115</v>
      </c>
      <c r="P1529" s="30" t="s">
        <v>112</v>
      </c>
      <c r="Q1529" s="30" t="s">
        <v>112</v>
      </c>
      <c r="R1529" s="30" t="s">
        <v>183</v>
      </c>
      <c r="S1529" s="81">
        <f>HLOOKUP(L1529,データについて!$J$6:$M$18,13,FALSE)</f>
        <v>1</v>
      </c>
      <c r="T1529" s="81">
        <f>HLOOKUP(M1529,データについて!$J$7:$M$18,12,FALSE)</f>
        <v>1</v>
      </c>
      <c r="U1529" s="81">
        <f>HLOOKUP(N1529,データについて!$J$8:$M$18,11,FALSE)</f>
        <v>1</v>
      </c>
      <c r="V1529" s="81">
        <f>HLOOKUP(O1529,データについて!$J$9:$M$18,10,FALSE)</f>
        <v>1</v>
      </c>
      <c r="W1529" s="81">
        <f>HLOOKUP(P1529,データについて!$J$10:$M$18,9,FALSE)</f>
        <v>1</v>
      </c>
      <c r="X1529" s="81">
        <f>HLOOKUP(Q1529,データについて!$J$11:$M$18,8,FALSE)</f>
        <v>1</v>
      </c>
      <c r="Y1529" s="81">
        <f>HLOOKUP(R1529,データについて!$J$12:$M$18,7,FALSE)</f>
        <v>1</v>
      </c>
      <c r="Z1529" s="81">
        <f>HLOOKUP(I1529,データについて!$J$3:$M$18,16,FALSE)</f>
        <v>2</v>
      </c>
      <c r="AA1529" s="81" t="str">
        <f>IFERROR(HLOOKUP(J1529,データについて!$J$4:$AH$19,16,FALSE),"")</f>
        <v/>
      </c>
      <c r="AB1529" s="81">
        <f>IFERROR(HLOOKUP(K1529,データについて!$J$5:$AH$20,14,FALSE),"")</f>
        <v>0</v>
      </c>
      <c r="AC1529" s="81">
        <f>IF(X1529=1,HLOOKUP(R1529,データについて!$J$12:$M$18,7,FALSE),"*")</f>
        <v>1</v>
      </c>
      <c r="AD1529" s="81" t="str">
        <f>IF(X1529=2,HLOOKUP(R1529,データについて!$J$12:$M$18,7,FALSE),"*")</f>
        <v>*</v>
      </c>
    </row>
    <row r="1530" spans="1:30">
      <c r="A1530" s="30">
        <v>3662</v>
      </c>
      <c r="B1530" s="30" t="s">
        <v>1183</v>
      </c>
      <c r="C1530" s="30" t="s">
        <v>1184</v>
      </c>
      <c r="D1530" s="30" t="s">
        <v>106</v>
      </c>
      <c r="E1530" s="30"/>
      <c r="F1530" s="30" t="s">
        <v>107</v>
      </c>
      <c r="G1530" s="30" t="s">
        <v>106</v>
      </c>
      <c r="H1530" s="30"/>
      <c r="I1530" s="30" t="s">
        <v>191</v>
      </c>
      <c r="J1530" s="30"/>
      <c r="K1530" s="30" t="s">
        <v>949</v>
      </c>
      <c r="L1530" s="30" t="s">
        <v>108</v>
      </c>
      <c r="M1530" s="30" t="s">
        <v>109</v>
      </c>
      <c r="N1530" s="30" t="s">
        <v>122</v>
      </c>
      <c r="O1530" s="30" t="s">
        <v>115</v>
      </c>
      <c r="P1530" s="30" t="s">
        <v>112</v>
      </c>
      <c r="Q1530" s="30" t="s">
        <v>112</v>
      </c>
      <c r="R1530" s="30" t="s">
        <v>183</v>
      </c>
      <c r="S1530" s="81">
        <f>HLOOKUP(L1530,データについて!$J$6:$M$18,13,FALSE)</f>
        <v>1</v>
      </c>
      <c r="T1530" s="81">
        <f>HLOOKUP(M1530,データについて!$J$7:$M$18,12,FALSE)</f>
        <v>2</v>
      </c>
      <c r="U1530" s="81">
        <f>HLOOKUP(N1530,データについて!$J$8:$M$18,11,FALSE)</f>
        <v>3</v>
      </c>
      <c r="V1530" s="81">
        <f>HLOOKUP(O1530,データについて!$J$9:$M$18,10,FALSE)</f>
        <v>1</v>
      </c>
      <c r="W1530" s="81">
        <f>HLOOKUP(P1530,データについて!$J$10:$M$18,9,FALSE)</f>
        <v>1</v>
      </c>
      <c r="X1530" s="81">
        <f>HLOOKUP(Q1530,データについて!$J$11:$M$18,8,FALSE)</f>
        <v>1</v>
      </c>
      <c r="Y1530" s="81">
        <f>HLOOKUP(R1530,データについて!$J$12:$M$18,7,FALSE)</f>
        <v>1</v>
      </c>
      <c r="Z1530" s="81">
        <f>HLOOKUP(I1530,データについて!$J$3:$M$18,16,FALSE)</f>
        <v>2</v>
      </c>
      <c r="AA1530" s="81" t="str">
        <f>IFERROR(HLOOKUP(J1530,データについて!$J$4:$AH$19,16,FALSE),"")</f>
        <v/>
      </c>
      <c r="AB1530" s="81">
        <f>IFERROR(HLOOKUP(K1530,データについて!$J$5:$AH$20,14,FALSE),"")</f>
        <v>0</v>
      </c>
      <c r="AC1530" s="81">
        <f>IF(X1530=1,HLOOKUP(R1530,データについて!$J$12:$M$18,7,FALSE),"*")</f>
        <v>1</v>
      </c>
      <c r="AD1530" s="81" t="str">
        <f>IF(X1530=2,HLOOKUP(R1530,データについて!$J$12:$M$18,7,FALSE),"*")</f>
        <v>*</v>
      </c>
    </row>
    <row r="1531" spans="1:30">
      <c r="A1531" s="30">
        <v>3661</v>
      </c>
      <c r="B1531" s="30" t="s">
        <v>1185</v>
      </c>
      <c r="C1531" s="30" t="s">
        <v>1186</v>
      </c>
      <c r="D1531" s="30" t="s">
        <v>106</v>
      </c>
      <c r="E1531" s="30"/>
      <c r="F1531" s="30" t="s">
        <v>107</v>
      </c>
      <c r="G1531" s="30" t="s">
        <v>106</v>
      </c>
      <c r="H1531" s="30"/>
      <c r="I1531" s="30" t="s">
        <v>191</v>
      </c>
      <c r="J1531" s="30"/>
      <c r="K1531" s="30" t="s">
        <v>949</v>
      </c>
      <c r="L1531" s="30" t="s">
        <v>108</v>
      </c>
      <c r="M1531" s="30" t="s">
        <v>109</v>
      </c>
      <c r="N1531" s="30" t="s">
        <v>114</v>
      </c>
      <c r="O1531" s="30" t="s">
        <v>116</v>
      </c>
      <c r="P1531" s="30" t="s">
        <v>112</v>
      </c>
      <c r="Q1531" s="30" t="s">
        <v>118</v>
      </c>
      <c r="R1531" s="30" t="s">
        <v>185</v>
      </c>
      <c r="S1531" s="81">
        <f>HLOOKUP(L1531,データについて!$J$6:$M$18,13,FALSE)</f>
        <v>1</v>
      </c>
      <c r="T1531" s="81">
        <f>HLOOKUP(M1531,データについて!$J$7:$M$18,12,FALSE)</f>
        <v>2</v>
      </c>
      <c r="U1531" s="81">
        <f>HLOOKUP(N1531,データについて!$J$8:$M$18,11,FALSE)</f>
        <v>1</v>
      </c>
      <c r="V1531" s="81">
        <f>HLOOKUP(O1531,データについて!$J$9:$M$18,10,FALSE)</f>
        <v>2</v>
      </c>
      <c r="W1531" s="81">
        <f>HLOOKUP(P1531,データについて!$J$10:$M$18,9,FALSE)</f>
        <v>1</v>
      </c>
      <c r="X1531" s="81">
        <f>HLOOKUP(Q1531,データについて!$J$11:$M$18,8,FALSE)</f>
        <v>2</v>
      </c>
      <c r="Y1531" s="81">
        <f>HLOOKUP(R1531,データについて!$J$12:$M$18,7,FALSE)</f>
        <v>2</v>
      </c>
      <c r="Z1531" s="81">
        <f>HLOOKUP(I1531,データについて!$J$3:$M$18,16,FALSE)</f>
        <v>2</v>
      </c>
      <c r="AA1531" s="81" t="str">
        <f>IFERROR(HLOOKUP(J1531,データについて!$J$4:$AH$19,16,FALSE),"")</f>
        <v/>
      </c>
      <c r="AB1531" s="81">
        <f>IFERROR(HLOOKUP(K1531,データについて!$J$5:$AH$20,14,FALSE),"")</f>
        <v>0</v>
      </c>
      <c r="AC1531" s="81" t="str">
        <f>IF(X1531=1,HLOOKUP(R1531,データについて!$J$12:$M$18,7,FALSE),"*")</f>
        <v>*</v>
      </c>
      <c r="AD1531" s="81">
        <f>IF(X1531=2,HLOOKUP(R1531,データについて!$J$12:$M$18,7,FALSE),"*")</f>
        <v>2</v>
      </c>
    </row>
    <row r="1532" spans="1:30">
      <c r="A1532" s="30">
        <v>3660</v>
      </c>
      <c r="B1532" s="30" t="s">
        <v>1187</v>
      </c>
      <c r="C1532" s="30" t="s">
        <v>1188</v>
      </c>
      <c r="D1532" s="30" t="s">
        <v>106</v>
      </c>
      <c r="E1532" s="30"/>
      <c r="F1532" s="30" t="s">
        <v>107</v>
      </c>
      <c r="G1532" s="30" t="s">
        <v>106</v>
      </c>
      <c r="H1532" s="30"/>
      <c r="I1532" s="30" t="s">
        <v>191</v>
      </c>
      <c r="J1532" s="30"/>
      <c r="K1532" s="30" t="s">
        <v>949</v>
      </c>
      <c r="L1532" s="30" t="s">
        <v>108</v>
      </c>
      <c r="M1532" s="30" t="s">
        <v>113</v>
      </c>
      <c r="N1532" s="30" t="s">
        <v>114</v>
      </c>
      <c r="O1532" s="30" t="s">
        <v>115</v>
      </c>
      <c r="P1532" s="30" t="s">
        <v>112</v>
      </c>
      <c r="Q1532" s="30" t="s">
        <v>112</v>
      </c>
      <c r="R1532" s="30" t="s">
        <v>185</v>
      </c>
      <c r="S1532" s="81">
        <f>HLOOKUP(L1532,データについて!$J$6:$M$18,13,FALSE)</f>
        <v>1</v>
      </c>
      <c r="T1532" s="81">
        <f>HLOOKUP(M1532,データについて!$J$7:$M$18,12,FALSE)</f>
        <v>1</v>
      </c>
      <c r="U1532" s="81">
        <f>HLOOKUP(N1532,データについて!$J$8:$M$18,11,FALSE)</f>
        <v>1</v>
      </c>
      <c r="V1532" s="81">
        <f>HLOOKUP(O1532,データについて!$J$9:$M$18,10,FALSE)</f>
        <v>1</v>
      </c>
      <c r="W1532" s="81">
        <f>HLOOKUP(P1532,データについて!$J$10:$M$18,9,FALSE)</f>
        <v>1</v>
      </c>
      <c r="X1532" s="81">
        <f>HLOOKUP(Q1532,データについて!$J$11:$M$18,8,FALSE)</f>
        <v>1</v>
      </c>
      <c r="Y1532" s="81">
        <f>HLOOKUP(R1532,データについて!$J$12:$M$18,7,FALSE)</f>
        <v>2</v>
      </c>
      <c r="Z1532" s="81">
        <f>HLOOKUP(I1532,データについて!$J$3:$M$18,16,FALSE)</f>
        <v>2</v>
      </c>
      <c r="AA1532" s="81" t="str">
        <f>IFERROR(HLOOKUP(J1532,データについて!$J$4:$AH$19,16,FALSE),"")</f>
        <v/>
      </c>
      <c r="AB1532" s="81">
        <f>IFERROR(HLOOKUP(K1532,データについて!$J$5:$AH$20,14,FALSE),"")</f>
        <v>0</v>
      </c>
      <c r="AC1532" s="81">
        <f>IF(X1532=1,HLOOKUP(R1532,データについて!$J$12:$M$18,7,FALSE),"*")</f>
        <v>2</v>
      </c>
      <c r="AD1532" s="81" t="str">
        <f>IF(X1532=2,HLOOKUP(R1532,データについて!$J$12:$M$18,7,FALSE),"*")</f>
        <v>*</v>
      </c>
    </row>
    <row r="1533" spans="1:30">
      <c r="A1533" s="30">
        <v>3659</v>
      </c>
      <c r="B1533" s="30" t="s">
        <v>1189</v>
      </c>
      <c r="C1533" s="30" t="s">
        <v>1190</v>
      </c>
      <c r="D1533" s="30" t="s">
        <v>106</v>
      </c>
      <c r="E1533" s="30"/>
      <c r="F1533" s="30" t="s">
        <v>107</v>
      </c>
      <c r="G1533" s="30" t="s">
        <v>106</v>
      </c>
      <c r="H1533" s="30"/>
      <c r="I1533" s="30" t="s">
        <v>191</v>
      </c>
      <c r="J1533" s="30"/>
      <c r="K1533" s="30" t="s">
        <v>949</v>
      </c>
      <c r="L1533" s="30" t="s">
        <v>108</v>
      </c>
      <c r="M1533" s="30" t="s">
        <v>113</v>
      </c>
      <c r="N1533" s="30" t="s">
        <v>114</v>
      </c>
      <c r="O1533" s="30" t="s">
        <v>116</v>
      </c>
      <c r="P1533" s="30" t="s">
        <v>118</v>
      </c>
      <c r="Q1533" s="30" t="s">
        <v>112</v>
      </c>
      <c r="R1533" s="30" t="s">
        <v>185</v>
      </c>
      <c r="S1533" s="81">
        <f>HLOOKUP(L1533,データについて!$J$6:$M$18,13,FALSE)</f>
        <v>1</v>
      </c>
      <c r="T1533" s="81">
        <f>HLOOKUP(M1533,データについて!$J$7:$M$18,12,FALSE)</f>
        <v>1</v>
      </c>
      <c r="U1533" s="81">
        <f>HLOOKUP(N1533,データについて!$J$8:$M$18,11,FALSE)</f>
        <v>1</v>
      </c>
      <c r="V1533" s="81">
        <f>HLOOKUP(O1533,データについて!$J$9:$M$18,10,FALSE)</f>
        <v>2</v>
      </c>
      <c r="W1533" s="81">
        <f>HLOOKUP(P1533,データについて!$J$10:$M$18,9,FALSE)</f>
        <v>2</v>
      </c>
      <c r="X1533" s="81">
        <f>HLOOKUP(Q1533,データについて!$J$11:$M$18,8,FALSE)</f>
        <v>1</v>
      </c>
      <c r="Y1533" s="81">
        <f>HLOOKUP(R1533,データについて!$J$12:$M$18,7,FALSE)</f>
        <v>2</v>
      </c>
      <c r="Z1533" s="81">
        <f>HLOOKUP(I1533,データについて!$J$3:$M$18,16,FALSE)</f>
        <v>2</v>
      </c>
      <c r="AA1533" s="81" t="str">
        <f>IFERROR(HLOOKUP(J1533,データについて!$J$4:$AH$19,16,FALSE),"")</f>
        <v/>
      </c>
      <c r="AB1533" s="81">
        <f>IFERROR(HLOOKUP(K1533,データについて!$J$5:$AH$20,14,FALSE),"")</f>
        <v>0</v>
      </c>
      <c r="AC1533" s="81">
        <f>IF(X1533=1,HLOOKUP(R1533,データについて!$J$12:$M$18,7,FALSE),"*")</f>
        <v>2</v>
      </c>
      <c r="AD1533" s="81" t="str">
        <f>IF(X1533=2,HLOOKUP(R1533,データについて!$J$12:$M$18,7,FALSE),"*")</f>
        <v>*</v>
      </c>
    </row>
    <row r="1534" spans="1:30">
      <c r="A1534" s="30">
        <v>3658</v>
      </c>
      <c r="B1534" s="30" t="s">
        <v>1191</v>
      </c>
      <c r="C1534" s="30" t="s">
        <v>1192</v>
      </c>
      <c r="D1534" s="30" t="s">
        <v>106</v>
      </c>
      <c r="E1534" s="30"/>
      <c r="F1534" s="30" t="s">
        <v>107</v>
      </c>
      <c r="G1534" s="30" t="s">
        <v>106</v>
      </c>
      <c r="H1534" s="30"/>
      <c r="I1534" s="30" t="s">
        <v>191</v>
      </c>
      <c r="J1534" s="30"/>
      <c r="K1534" s="30" t="s">
        <v>949</v>
      </c>
      <c r="L1534" s="30" t="s">
        <v>108</v>
      </c>
      <c r="M1534" s="30" t="s">
        <v>113</v>
      </c>
      <c r="N1534" s="30" t="s">
        <v>114</v>
      </c>
      <c r="O1534" s="30" t="s">
        <v>115</v>
      </c>
      <c r="P1534" s="30" t="s">
        <v>112</v>
      </c>
      <c r="Q1534" s="30" t="s">
        <v>112</v>
      </c>
      <c r="R1534" s="30" t="s">
        <v>183</v>
      </c>
      <c r="S1534" s="81">
        <f>HLOOKUP(L1534,データについて!$J$6:$M$18,13,FALSE)</f>
        <v>1</v>
      </c>
      <c r="T1534" s="81">
        <f>HLOOKUP(M1534,データについて!$J$7:$M$18,12,FALSE)</f>
        <v>1</v>
      </c>
      <c r="U1534" s="81">
        <f>HLOOKUP(N1534,データについて!$J$8:$M$18,11,FALSE)</f>
        <v>1</v>
      </c>
      <c r="V1534" s="81">
        <f>HLOOKUP(O1534,データについて!$J$9:$M$18,10,FALSE)</f>
        <v>1</v>
      </c>
      <c r="W1534" s="81">
        <f>HLOOKUP(P1534,データについて!$J$10:$M$18,9,FALSE)</f>
        <v>1</v>
      </c>
      <c r="X1534" s="81">
        <f>HLOOKUP(Q1534,データについて!$J$11:$M$18,8,FALSE)</f>
        <v>1</v>
      </c>
      <c r="Y1534" s="81">
        <f>HLOOKUP(R1534,データについて!$J$12:$M$18,7,FALSE)</f>
        <v>1</v>
      </c>
      <c r="Z1534" s="81">
        <f>HLOOKUP(I1534,データについて!$J$3:$M$18,16,FALSE)</f>
        <v>2</v>
      </c>
      <c r="AA1534" s="81" t="str">
        <f>IFERROR(HLOOKUP(J1534,データについて!$J$4:$AH$19,16,FALSE),"")</f>
        <v/>
      </c>
      <c r="AB1534" s="81">
        <f>IFERROR(HLOOKUP(K1534,データについて!$J$5:$AH$20,14,FALSE),"")</f>
        <v>0</v>
      </c>
      <c r="AC1534" s="81">
        <f>IF(X1534=1,HLOOKUP(R1534,データについて!$J$12:$M$18,7,FALSE),"*")</f>
        <v>1</v>
      </c>
      <c r="AD1534" s="81" t="str">
        <f>IF(X1534=2,HLOOKUP(R1534,データについて!$J$12:$M$18,7,FALSE),"*")</f>
        <v>*</v>
      </c>
    </row>
    <row r="1535" spans="1:30">
      <c r="A1535" s="30">
        <v>3657</v>
      </c>
      <c r="B1535" s="30" t="s">
        <v>1193</v>
      </c>
      <c r="C1535" s="30" t="s">
        <v>1194</v>
      </c>
      <c r="D1535" s="30" t="s">
        <v>106</v>
      </c>
      <c r="E1535" s="30"/>
      <c r="F1535" s="30" t="s">
        <v>107</v>
      </c>
      <c r="G1535" s="30" t="s">
        <v>106</v>
      </c>
      <c r="H1535" s="30"/>
      <c r="I1535" s="30" t="s">
        <v>191</v>
      </c>
      <c r="J1535" s="30"/>
      <c r="K1535" s="30" t="s">
        <v>949</v>
      </c>
      <c r="L1535" s="30" t="s">
        <v>108</v>
      </c>
      <c r="M1535" s="30" t="s">
        <v>113</v>
      </c>
      <c r="N1535" s="30" t="s">
        <v>114</v>
      </c>
      <c r="O1535" s="30" t="s">
        <v>115</v>
      </c>
      <c r="P1535" s="30" t="s">
        <v>112</v>
      </c>
      <c r="Q1535" s="30" t="s">
        <v>112</v>
      </c>
      <c r="R1535" s="30" t="s">
        <v>183</v>
      </c>
      <c r="S1535" s="81">
        <f>HLOOKUP(L1535,データについて!$J$6:$M$18,13,FALSE)</f>
        <v>1</v>
      </c>
      <c r="T1535" s="81">
        <f>HLOOKUP(M1535,データについて!$J$7:$M$18,12,FALSE)</f>
        <v>1</v>
      </c>
      <c r="U1535" s="81">
        <f>HLOOKUP(N1535,データについて!$J$8:$M$18,11,FALSE)</f>
        <v>1</v>
      </c>
      <c r="V1535" s="81">
        <f>HLOOKUP(O1535,データについて!$J$9:$M$18,10,FALSE)</f>
        <v>1</v>
      </c>
      <c r="W1535" s="81">
        <f>HLOOKUP(P1535,データについて!$J$10:$M$18,9,FALSE)</f>
        <v>1</v>
      </c>
      <c r="X1535" s="81">
        <f>HLOOKUP(Q1535,データについて!$J$11:$M$18,8,FALSE)</f>
        <v>1</v>
      </c>
      <c r="Y1535" s="81">
        <f>HLOOKUP(R1535,データについて!$J$12:$M$18,7,FALSE)</f>
        <v>1</v>
      </c>
      <c r="Z1535" s="81">
        <f>HLOOKUP(I1535,データについて!$J$3:$M$18,16,FALSE)</f>
        <v>2</v>
      </c>
      <c r="AA1535" s="81" t="str">
        <f>IFERROR(HLOOKUP(J1535,データについて!$J$4:$AH$19,16,FALSE),"")</f>
        <v/>
      </c>
      <c r="AB1535" s="81">
        <f>IFERROR(HLOOKUP(K1535,データについて!$J$5:$AH$20,14,FALSE),"")</f>
        <v>0</v>
      </c>
      <c r="AC1535" s="81">
        <f>IF(X1535=1,HLOOKUP(R1535,データについて!$J$12:$M$18,7,FALSE),"*")</f>
        <v>1</v>
      </c>
      <c r="AD1535" s="81" t="str">
        <f>IF(X1535=2,HLOOKUP(R1535,データについて!$J$12:$M$18,7,FALSE),"*")</f>
        <v>*</v>
      </c>
    </row>
    <row r="1536" spans="1:30">
      <c r="A1536" s="30">
        <v>3656</v>
      </c>
      <c r="B1536" s="30" t="s">
        <v>1195</v>
      </c>
      <c r="C1536" s="30" t="s">
        <v>1196</v>
      </c>
      <c r="D1536" s="30" t="s">
        <v>106</v>
      </c>
      <c r="E1536" s="30"/>
      <c r="F1536" s="30" t="s">
        <v>107</v>
      </c>
      <c r="G1536" s="30" t="s">
        <v>106</v>
      </c>
      <c r="H1536" s="30"/>
      <c r="I1536" s="30" t="s">
        <v>191</v>
      </c>
      <c r="J1536" s="30"/>
      <c r="K1536" s="30" t="s">
        <v>949</v>
      </c>
      <c r="L1536" s="30" t="s">
        <v>117</v>
      </c>
      <c r="M1536" s="30" t="s">
        <v>113</v>
      </c>
      <c r="N1536" s="30" t="s">
        <v>114</v>
      </c>
      <c r="O1536" s="30" t="s">
        <v>115</v>
      </c>
      <c r="P1536" s="30" t="s">
        <v>112</v>
      </c>
      <c r="Q1536" s="30" t="s">
        <v>118</v>
      </c>
      <c r="R1536" s="30" t="s">
        <v>185</v>
      </c>
      <c r="S1536" s="81">
        <f>HLOOKUP(L1536,データについて!$J$6:$M$18,13,FALSE)</f>
        <v>2</v>
      </c>
      <c r="T1536" s="81">
        <f>HLOOKUP(M1536,データについて!$J$7:$M$18,12,FALSE)</f>
        <v>1</v>
      </c>
      <c r="U1536" s="81">
        <f>HLOOKUP(N1536,データについて!$J$8:$M$18,11,FALSE)</f>
        <v>1</v>
      </c>
      <c r="V1536" s="81">
        <f>HLOOKUP(O1536,データについて!$J$9:$M$18,10,FALSE)</f>
        <v>1</v>
      </c>
      <c r="W1536" s="81">
        <f>HLOOKUP(P1536,データについて!$J$10:$M$18,9,FALSE)</f>
        <v>1</v>
      </c>
      <c r="X1536" s="81">
        <f>HLOOKUP(Q1536,データについて!$J$11:$M$18,8,FALSE)</f>
        <v>2</v>
      </c>
      <c r="Y1536" s="81">
        <f>HLOOKUP(R1536,データについて!$J$12:$M$18,7,FALSE)</f>
        <v>2</v>
      </c>
      <c r="Z1536" s="81">
        <f>HLOOKUP(I1536,データについて!$J$3:$M$18,16,FALSE)</f>
        <v>2</v>
      </c>
      <c r="AA1536" s="81" t="str">
        <f>IFERROR(HLOOKUP(J1536,データについて!$J$4:$AH$19,16,FALSE),"")</f>
        <v/>
      </c>
      <c r="AB1536" s="81">
        <f>IFERROR(HLOOKUP(K1536,データについて!$J$5:$AH$20,14,FALSE),"")</f>
        <v>0</v>
      </c>
      <c r="AC1536" s="81" t="str">
        <f>IF(X1536=1,HLOOKUP(R1536,データについて!$J$12:$M$18,7,FALSE),"*")</f>
        <v>*</v>
      </c>
      <c r="AD1536" s="81">
        <f>IF(X1536=2,HLOOKUP(R1536,データについて!$J$12:$M$18,7,FALSE),"*")</f>
        <v>2</v>
      </c>
    </row>
    <row r="1537" spans="1:30">
      <c r="A1537" s="30">
        <v>3655</v>
      </c>
      <c r="B1537" s="30" t="s">
        <v>1197</v>
      </c>
      <c r="C1537" s="30" t="s">
        <v>1198</v>
      </c>
      <c r="D1537" s="30" t="s">
        <v>106</v>
      </c>
      <c r="E1537" s="30"/>
      <c r="F1537" s="30" t="s">
        <v>107</v>
      </c>
      <c r="G1537" s="30" t="s">
        <v>106</v>
      </c>
      <c r="H1537" s="30"/>
      <c r="I1537" s="30" t="s">
        <v>191</v>
      </c>
      <c r="J1537" s="30"/>
      <c r="K1537" s="30" t="s">
        <v>949</v>
      </c>
      <c r="L1537" s="30" t="s">
        <v>117</v>
      </c>
      <c r="M1537" s="30" t="s">
        <v>113</v>
      </c>
      <c r="N1537" s="30" t="s">
        <v>114</v>
      </c>
      <c r="O1537" s="30" t="s">
        <v>115</v>
      </c>
      <c r="P1537" s="30" t="s">
        <v>112</v>
      </c>
      <c r="Q1537" s="30" t="s">
        <v>112</v>
      </c>
      <c r="R1537" s="30" t="s">
        <v>185</v>
      </c>
      <c r="S1537" s="81">
        <f>HLOOKUP(L1537,データについて!$J$6:$M$18,13,FALSE)</f>
        <v>2</v>
      </c>
      <c r="T1537" s="81">
        <f>HLOOKUP(M1537,データについて!$J$7:$M$18,12,FALSE)</f>
        <v>1</v>
      </c>
      <c r="U1537" s="81">
        <f>HLOOKUP(N1537,データについて!$J$8:$M$18,11,FALSE)</f>
        <v>1</v>
      </c>
      <c r="V1537" s="81">
        <f>HLOOKUP(O1537,データについて!$J$9:$M$18,10,FALSE)</f>
        <v>1</v>
      </c>
      <c r="W1537" s="81">
        <f>HLOOKUP(P1537,データについて!$J$10:$M$18,9,FALSE)</f>
        <v>1</v>
      </c>
      <c r="X1537" s="81">
        <f>HLOOKUP(Q1537,データについて!$J$11:$M$18,8,FALSE)</f>
        <v>1</v>
      </c>
      <c r="Y1537" s="81">
        <f>HLOOKUP(R1537,データについて!$J$12:$M$18,7,FALSE)</f>
        <v>2</v>
      </c>
      <c r="Z1537" s="81">
        <f>HLOOKUP(I1537,データについて!$J$3:$M$18,16,FALSE)</f>
        <v>2</v>
      </c>
      <c r="AA1537" s="81" t="str">
        <f>IFERROR(HLOOKUP(J1537,データについて!$J$4:$AH$19,16,FALSE),"")</f>
        <v/>
      </c>
      <c r="AB1537" s="81">
        <f>IFERROR(HLOOKUP(K1537,データについて!$J$5:$AH$20,14,FALSE),"")</f>
        <v>0</v>
      </c>
      <c r="AC1537" s="81">
        <f>IF(X1537=1,HLOOKUP(R1537,データについて!$J$12:$M$18,7,FALSE),"*")</f>
        <v>2</v>
      </c>
      <c r="AD1537" s="81" t="str">
        <f>IF(X1537=2,HLOOKUP(R1537,データについて!$J$12:$M$18,7,FALSE),"*")</f>
        <v>*</v>
      </c>
    </row>
    <row r="1538" spans="1:30">
      <c r="A1538" s="30">
        <v>3654</v>
      </c>
      <c r="B1538" s="30" t="s">
        <v>1199</v>
      </c>
      <c r="C1538" s="30" t="s">
        <v>1198</v>
      </c>
      <c r="D1538" s="30" t="s">
        <v>106</v>
      </c>
      <c r="E1538" s="30"/>
      <c r="F1538" s="30" t="s">
        <v>107</v>
      </c>
      <c r="G1538" s="30" t="s">
        <v>106</v>
      </c>
      <c r="H1538" s="30"/>
      <c r="I1538" s="30" t="s">
        <v>191</v>
      </c>
      <c r="J1538" s="30"/>
      <c r="K1538" s="30" t="s">
        <v>949</v>
      </c>
      <c r="L1538" s="30" t="s">
        <v>117</v>
      </c>
      <c r="M1538" s="30" t="s">
        <v>109</v>
      </c>
      <c r="N1538" s="30" t="s">
        <v>110</v>
      </c>
      <c r="O1538" s="30" t="s">
        <v>115</v>
      </c>
      <c r="P1538" s="30" t="s">
        <v>112</v>
      </c>
      <c r="Q1538" s="30" t="s">
        <v>112</v>
      </c>
      <c r="R1538" s="30" t="s">
        <v>187</v>
      </c>
      <c r="S1538" s="81">
        <f>HLOOKUP(L1538,データについて!$J$6:$M$18,13,FALSE)</f>
        <v>2</v>
      </c>
      <c r="T1538" s="81">
        <f>HLOOKUP(M1538,データについて!$J$7:$M$18,12,FALSE)</f>
        <v>2</v>
      </c>
      <c r="U1538" s="81">
        <f>HLOOKUP(N1538,データについて!$J$8:$M$18,11,FALSE)</f>
        <v>2</v>
      </c>
      <c r="V1538" s="81">
        <f>HLOOKUP(O1538,データについて!$J$9:$M$18,10,FALSE)</f>
        <v>1</v>
      </c>
      <c r="W1538" s="81">
        <f>HLOOKUP(P1538,データについて!$J$10:$M$18,9,FALSE)</f>
        <v>1</v>
      </c>
      <c r="X1538" s="81">
        <f>HLOOKUP(Q1538,データについて!$J$11:$M$18,8,FALSE)</f>
        <v>1</v>
      </c>
      <c r="Y1538" s="81">
        <f>HLOOKUP(R1538,データについて!$J$12:$M$18,7,FALSE)</f>
        <v>3</v>
      </c>
      <c r="Z1538" s="81">
        <f>HLOOKUP(I1538,データについて!$J$3:$M$18,16,FALSE)</f>
        <v>2</v>
      </c>
      <c r="AA1538" s="81" t="str">
        <f>IFERROR(HLOOKUP(J1538,データについて!$J$4:$AH$19,16,FALSE),"")</f>
        <v/>
      </c>
      <c r="AB1538" s="81">
        <f>IFERROR(HLOOKUP(K1538,データについて!$J$5:$AH$20,14,FALSE),"")</f>
        <v>0</v>
      </c>
      <c r="AC1538" s="81">
        <f>IF(X1538=1,HLOOKUP(R1538,データについて!$J$12:$M$18,7,FALSE),"*")</f>
        <v>3</v>
      </c>
      <c r="AD1538" s="81" t="str">
        <f>IF(X1538=2,HLOOKUP(R1538,データについて!$J$12:$M$18,7,FALSE),"*")</f>
        <v>*</v>
      </c>
    </row>
    <row r="1539" spans="1:30">
      <c r="A1539" s="30">
        <v>3653</v>
      </c>
      <c r="B1539" s="30" t="s">
        <v>1200</v>
      </c>
      <c r="C1539" s="30" t="s">
        <v>1201</v>
      </c>
      <c r="D1539" s="30" t="s">
        <v>106</v>
      </c>
      <c r="E1539" s="30"/>
      <c r="F1539" s="30" t="s">
        <v>107</v>
      </c>
      <c r="G1539" s="30" t="s">
        <v>106</v>
      </c>
      <c r="H1539" s="30"/>
      <c r="I1539" s="30" t="s">
        <v>191</v>
      </c>
      <c r="J1539" s="30"/>
      <c r="K1539" s="30" t="s">
        <v>949</v>
      </c>
      <c r="L1539" s="30" t="s">
        <v>117</v>
      </c>
      <c r="M1539" s="30" t="s">
        <v>113</v>
      </c>
      <c r="N1539" s="30" t="s">
        <v>114</v>
      </c>
      <c r="O1539" s="30" t="s">
        <v>115</v>
      </c>
      <c r="P1539" s="30" t="s">
        <v>112</v>
      </c>
      <c r="Q1539" s="30" t="s">
        <v>112</v>
      </c>
      <c r="R1539" s="30" t="s">
        <v>183</v>
      </c>
      <c r="S1539" s="81">
        <f>HLOOKUP(L1539,データについて!$J$6:$M$18,13,FALSE)</f>
        <v>2</v>
      </c>
      <c r="T1539" s="81">
        <f>HLOOKUP(M1539,データについて!$J$7:$M$18,12,FALSE)</f>
        <v>1</v>
      </c>
      <c r="U1539" s="81">
        <f>HLOOKUP(N1539,データについて!$J$8:$M$18,11,FALSE)</f>
        <v>1</v>
      </c>
      <c r="V1539" s="81">
        <f>HLOOKUP(O1539,データについて!$J$9:$M$18,10,FALSE)</f>
        <v>1</v>
      </c>
      <c r="W1539" s="81">
        <f>HLOOKUP(P1539,データについて!$J$10:$M$18,9,FALSE)</f>
        <v>1</v>
      </c>
      <c r="X1539" s="81">
        <f>HLOOKUP(Q1539,データについて!$J$11:$M$18,8,FALSE)</f>
        <v>1</v>
      </c>
      <c r="Y1539" s="81">
        <f>HLOOKUP(R1539,データについて!$J$12:$M$18,7,FALSE)</f>
        <v>1</v>
      </c>
      <c r="Z1539" s="81">
        <f>HLOOKUP(I1539,データについて!$J$3:$M$18,16,FALSE)</f>
        <v>2</v>
      </c>
      <c r="AA1539" s="81" t="str">
        <f>IFERROR(HLOOKUP(J1539,データについて!$J$4:$AH$19,16,FALSE),"")</f>
        <v/>
      </c>
      <c r="AB1539" s="81">
        <f>IFERROR(HLOOKUP(K1539,データについて!$J$5:$AH$20,14,FALSE),"")</f>
        <v>0</v>
      </c>
      <c r="AC1539" s="81">
        <f>IF(X1539=1,HLOOKUP(R1539,データについて!$J$12:$M$18,7,FALSE),"*")</f>
        <v>1</v>
      </c>
      <c r="AD1539" s="81" t="str">
        <f>IF(X1539=2,HLOOKUP(R1539,データについて!$J$12:$M$18,7,FALSE),"*")</f>
        <v>*</v>
      </c>
    </row>
    <row r="1540" spans="1:30">
      <c r="A1540" s="30">
        <v>3652</v>
      </c>
      <c r="B1540" s="30" t="s">
        <v>1202</v>
      </c>
      <c r="C1540" s="30" t="s">
        <v>1203</v>
      </c>
      <c r="D1540" s="30" t="s">
        <v>106</v>
      </c>
      <c r="E1540" s="30"/>
      <c r="F1540" s="30" t="s">
        <v>107</v>
      </c>
      <c r="G1540" s="30" t="s">
        <v>106</v>
      </c>
      <c r="H1540" s="30"/>
      <c r="I1540" s="30" t="s">
        <v>192</v>
      </c>
      <c r="J1540" s="30" t="s">
        <v>635</v>
      </c>
      <c r="K1540" s="30"/>
      <c r="L1540" s="30" t="s">
        <v>117</v>
      </c>
      <c r="M1540" s="30" t="s">
        <v>109</v>
      </c>
      <c r="N1540" s="30" t="s">
        <v>122</v>
      </c>
      <c r="O1540" s="30" t="s">
        <v>115</v>
      </c>
      <c r="P1540" s="30" t="s">
        <v>112</v>
      </c>
      <c r="Q1540" s="30" t="s">
        <v>118</v>
      </c>
      <c r="R1540" s="30" t="s">
        <v>185</v>
      </c>
      <c r="S1540" s="81">
        <f>HLOOKUP(L1540,データについて!$J$6:$M$18,13,FALSE)</f>
        <v>2</v>
      </c>
      <c r="T1540" s="81">
        <f>HLOOKUP(M1540,データについて!$J$7:$M$18,12,FALSE)</f>
        <v>2</v>
      </c>
      <c r="U1540" s="81">
        <f>HLOOKUP(N1540,データについて!$J$8:$M$18,11,FALSE)</f>
        <v>3</v>
      </c>
      <c r="V1540" s="81">
        <f>HLOOKUP(O1540,データについて!$J$9:$M$18,10,FALSE)</f>
        <v>1</v>
      </c>
      <c r="W1540" s="81">
        <f>HLOOKUP(P1540,データについて!$J$10:$M$18,9,FALSE)</f>
        <v>1</v>
      </c>
      <c r="X1540" s="81">
        <f>HLOOKUP(Q1540,データについて!$J$11:$M$18,8,FALSE)</f>
        <v>2</v>
      </c>
      <c r="Y1540" s="81">
        <f>HLOOKUP(R1540,データについて!$J$12:$M$18,7,FALSE)</f>
        <v>2</v>
      </c>
      <c r="Z1540" s="81">
        <f>HLOOKUP(I1540,データについて!$J$3:$M$18,16,FALSE)</f>
        <v>1</v>
      </c>
      <c r="AA1540" s="81">
        <f>IFERROR(HLOOKUP(J1540,データについて!$J$4:$AH$19,16,FALSE),"")</f>
        <v>9</v>
      </c>
      <c r="AB1540" s="81" t="str">
        <f>IFERROR(HLOOKUP(K1540,データについて!$J$5:$AH$20,14,FALSE),"")</f>
        <v/>
      </c>
      <c r="AC1540" s="81" t="str">
        <f>IF(X1540=1,HLOOKUP(R1540,データについて!$J$12:$M$18,7,FALSE),"*")</f>
        <v>*</v>
      </c>
      <c r="AD1540" s="81">
        <f>IF(X1540=2,HLOOKUP(R1540,データについて!$J$12:$M$18,7,FALSE),"*")</f>
        <v>2</v>
      </c>
    </row>
    <row r="1541" spans="1:30">
      <c r="A1541" s="30">
        <v>3651</v>
      </c>
      <c r="B1541" s="30" t="s">
        <v>1204</v>
      </c>
      <c r="C1541" s="30" t="s">
        <v>1205</v>
      </c>
      <c r="D1541" s="30" t="s">
        <v>106</v>
      </c>
      <c r="E1541" s="30"/>
      <c r="F1541" s="30" t="s">
        <v>107</v>
      </c>
      <c r="G1541" s="30" t="s">
        <v>106</v>
      </c>
      <c r="H1541" s="30"/>
      <c r="I1541" s="30" t="s">
        <v>192</v>
      </c>
      <c r="J1541" s="30" t="s">
        <v>128</v>
      </c>
      <c r="K1541" s="30"/>
      <c r="L1541" s="30" t="s">
        <v>117</v>
      </c>
      <c r="M1541" s="30" t="s">
        <v>109</v>
      </c>
      <c r="N1541" s="30" t="s">
        <v>114</v>
      </c>
      <c r="O1541" s="30" t="s">
        <v>123</v>
      </c>
      <c r="P1541" s="30" t="s">
        <v>118</v>
      </c>
      <c r="Q1541" s="30" t="s">
        <v>112</v>
      </c>
      <c r="R1541" s="30" t="s">
        <v>185</v>
      </c>
      <c r="S1541" s="81">
        <f>HLOOKUP(L1541,データについて!$J$6:$M$18,13,FALSE)</f>
        <v>2</v>
      </c>
      <c r="T1541" s="81">
        <f>HLOOKUP(M1541,データについて!$J$7:$M$18,12,FALSE)</f>
        <v>2</v>
      </c>
      <c r="U1541" s="81">
        <f>HLOOKUP(N1541,データについて!$J$8:$M$18,11,FALSE)</f>
        <v>1</v>
      </c>
      <c r="V1541" s="81">
        <f>HLOOKUP(O1541,データについて!$J$9:$M$18,10,FALSE)</f>
        <v>4</v>
      </c>
      <c r="W1541" s="81">
        <f>HLOOKUP(P1541,データについて!$J$10:$M$18,9,FALSE)</f>
        <v>2</v>
      </c>
      <c r="X1541" s="81">
        <f>HLOOKUP(Q1541,データについて!$J$11:$M$18,8,FALSE)</f>
        <v>1</v>
      </c>
      <c r="Y1541" s="81">
        <f>HLOOKUP(R1541,データについて!$J$12:$M$18,7,FALSE)</f>
        <v>2</v>
      </c>
      <c r="Z1541" s="81">
        <f>HLOOKUP(I1541,データについて!$J$3:$M$18,16,FALSE)</f>
        <v>1</v>
      </c>
      <c r="AA1541" s="81">
        <f>IFERROR(HLOOKUP(J1541,データについて!$J$4:$AH$19,16,FALSE),"")</f>
        <v>1</v>
      </c>
      <c r="AB1541" s="81" t="str">
        <f>IFERROR(HLOOKUP(K1541,データについて!$J$5:$AH$20,14,FALSE),"")</f>
        <v/>
      </c>
      <c r="AC1541" s="81">
        <f>IF(X1541=1,HLOOKUP(R1541,データについて!$J$12:$M$18,7,FALSE),"*")</f>
        <v>2</v>
      </c>
      <c r="AD1541" s="81" t="str">
        <f>IF(X1541=2,HLOOKUP(R1541,データについて!$J$12:$M$18,7,FALSE),"*")</f>
        <v>*</v>
      </c>
    </row>
    <row r="1542" spans="1:30">
      <c r="A1542" s="30">
        <v>3650</v>
      </c>
      <c r="B1542" s="30" t="s">
        <v>1206</v>
      </c>
      <c r="C1542" s="30" t="s">
        <v>1207</v>
      </c>
      <c r="D1542" s="30" t="s">
        <v>106</v>
      </c>
      <c r="E1542" s="30"/>
      <c r="F1542" s="30" t="s">
        <v>107</v>
      </c>
      <c r="G1542" s="30" t="s">
        <v>106</v>
      </c>
      <c r="H1542" s="30"/>
      <c r="I1542" s="30" t="s">
        <v>192</v>
      </c>
      <c r="J1542" s="30" t="s">
        <v>128</v>
      </c>
      <c r="K1542" s="30"/>
      <c r="L1542" s="30" t="s">
        <v>108</v>
      </c>
      <c r="M1542" s="30" t="s">
        <v>109</v>
      </c>
      <c r="N1542" s="30" t="s">
        <v>114</v>
      </c>
      <c r="O1542" s="30" t="s">
        <v>115</v>
      </c>
      <c r="P1542" s="30" t="s">
        <v>112</v>
      </c>
      <c r="Q1542" s="30" t="s">
        <v>112</v>
      </c>
      <c r="R1542" s="30" t="s">
        <v>185</v>
      </c>
      <c r="S1542" s="81">
        <f>HLOOKUP(L1542,データについて!$J$6:$M$18,13,FALSE)</f>
        <v>1</v>
      </c>
      <c r="T1542" s="81">
        <f>HLOOKUP(M1542,データについて!$J$7:$M$18,12,FALSE)</f>
        <v>2</v>
      </c>
      <c r="U1542" s="81">
        <f>HLOOKUP(N1542,データについて!$J$8:$M$18,11,FALSE)</f>
        <v>1</v>
      </c>
      <c r="V1542" s="81">
        <f>HLOOKUP(O1542,データについて!$J$9:$M$18,10,FALSE)</f>
        <v>1</v>
      </c>
      <c r="W1542" s="81">
        <f>HLOOKUP(P1542,データについて!$J$10:$M$18,9,FALSE)</f>
        <v>1</v>
      </c>
      <c r="X1542" s="81">
        <f>HLOOKUP(Q1542,データについて!$J$11:$M$18,8,FALSE)</f>
        <v>1</v>
      </c>
      <c r="Y1542" s="81">
        <f>HLOOKUP(R1542,データについて!$J$12:$M$18,7,FALSE)</f>
        <v>2</v>
      </c>
      <c r="Z1542" s="81">
        <f>HLOOKUP(I1542,データについて!$J$3:$M$18,16,FALSE)</f>
        <v>1</v>
      </c>
      <c r="AA1542" s="81">
        <f>IFERROR(HLOOKUP(J1542,データについて!$J$4:$AH$19,16,FALSE),"")</f>
        <v>1</v>
      </c>
      <c r="AB1542" s="81" t="str">
        <f>IFERROR(HLOOKUP(K1542,データについて!$J$5:$AH$20,14,FALSE),"")</f>
        <v/>
      </c>
      <c r="AC1542" s="81">
        <f>IF(X1542=1,HLOOKUP(R1542,データについて!$J$12:$M$18,7,FALSE),"*")</f>
        <v>2</v>
      </c>
      <c r="AD1542" s="81" t="str">
        <f>IF(X1542=2,HLOOKUP(R1542,データについて!$J$12:$M$18,7,FALSE),"*")</f>
        <v>*</v>
      </c>
    </row>
    <row r="1543" spans="1:30">
      <c r="A1543" s="30">
        <v>3649</v>
      </c>
      <c r="B1543" s="30" t="s">
        <v>1208</v>
      </c>
      <c r="C1543" s="30" t="s">
        <v>1209</v>
      </c>
      <c r="D1543" s="30" t="s">
        <v>106</v>
      </c>
      <c r="E1543" s="30"/>
      <c r="F1543" s="30" t="s">
        <v>107</v>
      </c>
      <c r="G1543" s="30" t="s">
        <v>106</v>
      </c>
      <c r="H1543" s="30"/>
      <c r="I1543" s="30" t="s">
        <v>192</v>
      </c>
      <c r="J1543" s="30" t="s">
        <v>630</v>
      </c>
      <c r="K1543" s="30"/>
      <c r="L1543" s="30" t="s">
        <v>108</v>
      </c>
      <c r="M1543" s="30" t="s">
        <v>109</v>
      </c>
      <c r="N1543" s="30" t="s">
        <v>114</v>
      </c>
      <c r="O1543" s="30" t="s">
        <v>123</v>
      </c>
      <c r="P1543" s="30" t="s">
        <v>112</v>
      </c>
      <c r="Q1543" s="30" t="s">
        <v>112</v>
      </c>
      <c r="R1543" s="30" t="s">
        <v>185</v>
      </c>
      <c r="S1543" s="81">
        <f>HLOOKUP(L1543,データについて!$J$6:$M$18,13,FALSE)</f>
        <v>1</v>
      </c>
      <c r="T1543" s="81">
        <f>HLOOKUP(M1543,データについて!$J$7:$M$18,12,FALSE)</f>
        <v>2</v>
      </c>
      <c r="U1543" s="81">
        <f>HLOOKUP(N1543,データについて!$J$8:$M$18,11,FALSE)</f>
        <v>1</v>
      </c>
      <c r="V1543" s="81">
        <f>HLOOKUP(O1543,データについて!$J$9:$M$18,10,FALSE)</f>
        <v>4</v>
      </c>
      <c r="W1543" s="81">
        <f>HLOOKUP(P1543,データについて!$J$10:$M$18,9,FALSE)</f>
        <v>1</v>
      </c>
      <c r="X1543" s="81">
        <f>HLOOKUP(Q1543,データについて!$J$11:$M$18,8,FALSE)</f>
        <v>1</v>
      </c>
      <c r="Y1543" s="81">
        <f>HLOOKUP(R1543,データについて!$J$12:$M$18,7,FALSE)</f>
        <v>2</v>
      </c>
      <c r="Z1543" s="81">
        <f>HLOOKUP(I1543,データについて!$J$3:$M$18,16,FALSE)</f>
        <v>1</v>
      </c>
      <c r="AA1543" s="81">
        <f>IFERROR(HLOOKUP(J1543,データについて!$J$4:$AH$19,16,FALSE),"")</f>
        <v>4</v>
      </c>
      <c r="AB1543" s="81" t="str">
        <f>IFERROR(HLOOKUP(K1543,データについて!$J$5:$AH$20,14,FALSE),"")</f>
        <v/>
      </c>
      <c r="AC1543" s="81">
        <f>IF(X1543=1,HLOOKUP(R1543,データについて!$J$12:$M$18,7,FALSE),"*")</f>
        <v>2</v>
      </c>
      <c r="AD1543" s="81" t="str">
        <f>IF(X1543=2,HLOOKUP(R1543,データについて!$J$12:$M$18,7,FALSE),"*")</f>
        <v>*</v>
      </c>
    </row>
    <row r="1544" spans="1:30">
      <c r="A1544" s="30">
        <v>3648</v>
      </c>
      <c r="B1544" s="30" t="s">
        <v>1210</v>
      </c>
      <c r="C1544" s="30" t="s">
        <v>1211</v>
      </c>
      <c r="D1544" s="30" t="s">
        <v>106</v>
      </c>
      <c r="E1544" s="30"/>
      <c r="F1544" s="30" t="s">
        <v>107</v>
      </c>
      <c r="G1544" s="30" t="s">
        <v>106</v>
      </c>
      <c r="H1544" s="30"/>
      <c r="I1544" s="30" t="s">
        <v>192</v>
      </c>
      <c r="J1544" s="30" t="s">
        <v>630</v>
      </c>
      <c r="K1544" s="30"/>
      <c r="L1544" s="30" t="s">
        <v>108</v>
      </c>
      <c r="M1544" s="30" t="s">
        <v>109</v>
      </c>
      <c r="N1544" s="30" t="s">
        <v>114</v>
      </c>
      <c r="O1544" s="30" t="s">
        <v>115</v>
      </c>
      <c r="P1544" s="30" t="s">
        <v>112</v>
      </c>
      <c r="Q1544" s="30" t="s">
        <v>112</v>
      </c>
      <c r="R1544" s="30" t="s">
        <v>185</v>
      </c>
      <c r="S1544" s="81">
        <f>HLOOKUP(L1544,データについて!$J$6:$M$18,13,FALSE)</f>
        <v>1</v>
      </c>
      <c r="T1544" s="81">
        <f>HLOOKUP(M1544,データについて!$J$7:$M$18,12,FALSE)</f>
        <v>2</v>
      </c>
      <c r="U1544" s="81">
        <f>HLOOKUP(N1544,データについて!$J$8:$M$18,11,FALSE)</f>
        <v>1</v>
      </c>
      <c r="V1544" s="81">
        <f>HLOOKUP(O1544,データについて!$J$9:$M$18,10,FALSE)</f>
        <v>1</v>
      </c>
      <c r="W1544" s="81">
        <f>HLOOKUP(P1544,データについて!$J$10:$M$18,9,FALSE)</f>
        <v>1</v>
      </c>
      <c r="X1544" s="81">
        <f>HLOOKUP(Q1544,データについて!$J$11:$M$18,8,FALSE)</f>
        <v>1</v>
      </c>
      <c r="Y1544" s="81">
        <f>HLOOKUP(R1544,データについて!$J$12:$M$18,7,FALSE)</f>
        <v>2</v>
      </c>
      <c r="Z1544" s="81">
        <f>HLOOKUP(I1544,データについて!$J$3:$M$18,16,FALSE)</f>
        <v>1</v>
      </c>
      <c r="AA1544" s="81">
        <f>IFERROR(HLOOKUP(J1544,データについて!$J$4:$AH$19,16,FALSE),"")</f>
        <v>4</v>
      </c>
      <c r="AB1544" s="81" t="str">
        <f>IFERROR(HLOOKUP(K1544,データについて!$J$5:$AH$20,14,FALSE),"")</f>
        <v/>
      </c>
      <c r="AC1544" s="81">
        <f>IF(X1544=1,HLOOKUP(R1544,データについて!$J$12:$M$18,7,FALSE),"*")</f>
        <v>2</v>
      </c>
      <c r="AD1544" s="81" t="str">
        <f>IF(X1544=2,HLOOKUP(R1544,データについて!$J$12:$M$18,7,FALSE),"*")</f>
        <v>*</v>
      </c>
    </row>
    <row r="1545" spans="1:30">
      <c r="A1545" s="30">
        <v>3647</v>
      </c>
      <c r="B1545" s="30" t="s">
        <v>1212</v>
      </c>
      <c r="C1545" s="30" t="s">
        <v>1213</v>
      </c>
      <c r="D1545" s="30" t="s">
        <v>106</v>
      </c>
      <c r="E1545" s="30"/>
      <c r="F1545" s="30" t="s">
        <v>107</v>
      </c>
      <c r="G1545" s="30" t="s">
        <v>106</v>
      </c>
      <c r="H1545" s="30"/>
      <c r="I1545" s="30" t="s">
        <v>192</v>
      </c>
      <c r="J1545" s="30" t="s">
        <v>630</v>
      </c>
      <c r="K1545" s="30"/>
      <c r="L1545" s="30" t="s">
        <v>117</v>
      </c>
      <c r="M1545" s="30" t="s">
        <v>113</v>
      </c>
      <c r="N1545" s="30" t="s">
        <v>114</v>
      </c>
      <c r="O1545" s="30" t="s">
        <v>115</v>
      </c>
      <c r="P1545" s="30" t="s">
        <v>112</v>
      </c>
      <c r="Q1545" s="30" t="s">
        <v>112</v>
      </c>
      <c r="R1545" s="30" t="s">
        <v>185</v>
      </c>
      <c r="S1545" s="81">
        <f>HLOOKUP(L1545,データについて!$J$6:$M$18,13,FALSE)</f>
        <v>2</v>
      </c>
      <c r="T1545" s="81">
        <f>HLOOKUP(M1545,データについて!$J$7:$M$18,12,FALSE)</f>
        <v>1</v>
      </c>
      <c r="U1545" s="81">
        <f>HLOOKUP(N1545,データについて!$J$8:$M$18,11,FALSE)</f>
        <v>1</v>
      </c>
      <c r="V1545" s="81">
        <f>HLOOKUP(O1545,データについて!$J$9:$M$18,10,FALSE)</f>
        <v>1</v>
      </c>
      <c r="W1545" s="81">
        <f>HLOOKUP(P1545,データについて!$J$10:$M$18,9,FALSE)</f>
        <v>1</v>
      </c>
      <c r="X1545" s="81">
        <f>HLOOKUP(Q1545,データについて!$J$11:$M$18,8,FALSE)</f>
        <v>1</v>
      </c>
      <c r="Y1545" s="81">
        <f>HLOOKUP(R1545,データについて!$J$12:$M$18,7,FALSE)</f>
        <v>2</v>
      </c>
      <c r="Z1545" s="81">
        <f>HLOOKUP(I1545,データについて!$J$3:$M$18,16,FALSE)</f>
        <v>1</v>
      </c>
      <c r="AA1545" s="81">
        <f>IFERROR(HLOOKUP(J1545,データについて!$J$4:$AH$19,16,FALSE),"")</f>
        <v>4</v>
      </c>
      <c r="AB1545" s="81" t="str">
        <f>IFERROR(HLOOKUP(K1545,データについて!$J$5:$AH$20,14,FALSE),"")</f>
        <v/>
      </c>
      <c r="AC1545" s="81">
        <f>IF(X1545=1,HLOOKUP(R1545,データについて!$J$12:$M$18,7,FALSE),"*")</f>
        <v>2</v>
      </c>
      <c r="AD1545" s="81" t="str">
        <f>IF(X1545=2,HLOOKUP(R1545,データについて!$J$12:$M$18,7,FALSE),"*")</f>
        <v>*</v>
      </c>
    </row>
    <row r="1546" spans="1:30">
      <c r="A1546" s="30">
        <v>3646</v>
      </c>
      <c r="B1546" s="30" t="s">
        <v>1214</v>
      </c>
      <c r="C1546" s="30" t="s">
        <v>1215</v>
      </c>
      <c r="D1546" s="30" t="s">
        <v>106</v>
      </c>
      <c r="E1546" s="30"/>
      <c r="F1546" s="30" t="s">
        <v>107</v>
      </c>
      <c r="G1546" s="30" t="s">
        <v>106</v>
      </c>
      <c r="H1546" s="30"/>
      <c r="I1546" s="30" t="s">
        <v>192</v>
      </c>
      <c r="J1546" s="30" t="s">
        <v>630</v>
      </c>
      <c r="K1546" s="30"/>
      <c r="L1546" s="30" t="s">
        <v>117</v>
      </c>
      <c r="M1546" s="30" t="s">
        <v>113</v>
      </c>
      <c r="N1546" s="30" t="s">
        <v>114</v>
      </c>
      <c r="O1546" s="30" t="s">
        <v>115</v>
      </c>
      <c r="P1546" s="30" t="s">
        <v>112</v>
      </c>
      <c r="Q1546" s="30" t="s">
        <v>112</v>
      </c>
      <c r="R1546" s="30" t="s">
        <v>183</v>
      </c>
      <c r="S1546" s="81">
        <f>HLOOKUP(L1546,データについて!$J$6:$M$18,13,FALSE)</f>
        <v>2</v>
      </c>
      <c r="T1546" s="81">
        <f>HLOOKUP(M1546,データについて!$J$7:$M$18,12,FALSE)</f>
        <v>1</v>
      </c>
      <c r="U1546" s="81">
        <f>HLOOKUP(N1546,データについて!$J$8:$M$18,11,FALSE)</f>
        <v>1</v>
      </c>
      <c r="V1546" s="81">
        <f>HLOOKUP(O1546,データについて!$J$9:$M$18,10,FALSE)</f>
        <v>1</v>
      </c>
      <c r="W1546" s="81">
        <f>HLOOKUP(P1546,データについて!$J$10:$M$18,9,FALSE)</f>
        <v>1</v>
      </c>
      <c r="X1546" s="81">
        <f>HLOOKUP(Q1546,データについて!$J$11:$M$18,8,FALSE)</f>
        <v>1</v>
      </c>
      <c r="Y1546" s="81">
        <f>HLOOKUP(R1546,データについて!$J$12:$M$18,7,FALSE)</f>
        <v>1</v>
      </c>
      <c r="Z1546" s="81">
        <f>HLOOKUP(I1546,データについて!$J$3:$M$18,16,FALSE)</f>
        <v>1</v>
      </c>
      <c r="AA1546" s="81">
        <f>IFERROR(HLOOKUP(J1546,データについて!$J$4:$AH$19,16,FALSE),"")</f>
        <v>4</v>
      </c>
      <c r="AB1546" s="81" t="str">
        <f>IFERROR(HLOOKUP(K1546,データについて!$J$5:$AH$20,14,FALSE),"")</f>
        <v/>
      </c>
      <c r="AC1546" s="81">
        <f>IF(X1546=1,HLOOKUP(R1546,データについて!$J$12:$M$18,7,FALSE),"*")</f>
        <v>1</v>
      </c>
      <c r="AD1546" s="81" t="str">
        <f>IF(X1546=2,HLOOKUP(R1546,データについて!$J$12:$M$18,7,FALSE),"*")</f>
        <v>*</v>
      </c>
    </row>
    <row r="1547" spans="1:30">
      <c r="A1547" s="30">
        <v>3645</v>
      </c>
      <c r="B1547" s="30" t="s">
        <v>1216</v>
      </c>
      <c r="C1547" s="30" t="s">
        <v>1217</v>
      </c>
      <c r="D1547" s="30" t="s">
        <v>106</v>
      </c>
      <c r="E1547" s="30"/>
      <c r="F1547" s="30" t="s">
        <v>107</v>
      </c>
      <c r="G1547" s="30" t="s">
        <v>106</v>
      </c>
      <c r="H1547" s="30"/>
      <c r="I1547" s="30" t="s">
        <v>192</v>
      </c>
      <c r="J1547" s="30" t="s">
        <v>630</v>
      </c>
      <c r="K1547" s="30"/>
      <c r="L1547" s="30" t="s">
        <v>108</v>
      </c>
      <c r="M1547" s="30" t="s">
        <v>113</v>
      </c>
      <c r="N1547" s="30" t="s">
        <v>114</v>
      </c>
      <c r="O1547" s="30" t="s">
        <v>115</v>
      </c>
      <c r="P1547" s="30" t="s">
        <v>112</v>
      </c>
      <c r="Q1547" s="30" t="s">
        <v>112</v>
      </c>
      <c r="R1547" s="30" t="s">
        <v>183</v>
      </c>
      <c r="S1547" s="81">
        <f>HLOOKUP(L1547,データについて!$J$6:$M$18,13,FALSE)</f>
        <v>1</v>
      </c>
      <c r="T1547" s="81">
        <f>HLOOKUP(M1547,データについて!$J$7:$M$18,12,FALSE)</f>
        <v>1</v>
      </c>
      <c r="U1547" s="81">
        <f>HLOOKUP(N1547,データについて!$J$8:$M$18,11,FALSE)</f>
        <v>1</v>
      </c>
      <c r="V1547" s="81">
        <f>HLOOKUP(O1547,データについて!$J$9:$M$18,10,FALSE)</f>
        <v>1</v>
      </c>
      <c r="W1547" s="81">
        <f>HLOOKUP(P1547,データについて!$J$10:$M$18,9,FALSE)</f>
        <v>1</v>
      </c>
      <c r="X1547" s="81">
        <f>HLOOKUP(Q1547,データについて!$J$11:$M$18,8,FALSE)</f>
        <v>1</v>
      </c>
      <c r="Y1547" s="81">
        <f>HLOOKUP(R1547,データについて!$J$12:$M$18,7,FALSE)</f>
        <v>1</v>
      </c>
      <c r="Z1547" s="81">
        <f>HLOOKUP(I1547,データについて!$J$3:$M$18,16,FALSE)</f>
        <v>1</v>
      </c>
      <c r="AA1547" s="81">
        <f>IFERROR(HLOOKUP(J1547,データについて!$J$4:$AH$19,16,FALSE),"")</f>
        <v>4</v>
      </c>
      <c r="AB1547" s="81" t="str">
        <f>IFERROR(HLOOKUP(K1547,データについて!$J$5:$AH$20,14,FALSE),"")</f>
        <v/>
      </c>
      <c r="AC1547" s="81">
        <f>IF(X1547=1,HLOOKUP(R1547,データについて!$J$12:$M$18,7,FALSE),"*")</f>
        <v>1</v>
      </c>
      <c r="AD1547" s="81" t="str">
        <f>IF(X1547=2,HLOOKUP(R1547,データについて!$J$12:$M$18,7,FALSE),"*")</f>
        <v>*</v>
      </c>
    </row>
    <row r="1548" spans="1:30">
      <c r="A1548" s="30">
        <v>3644</v>
      </c>
      <c r="B1548" s="30" t="s">
        <v>1218</v>
      </c>
      <c r="C1548" s="30" t="s">
        <v>1219</v>
      </c>
      <c r="D1548" s="30" t="s">
        <v>106</v>
      </c>
      <c r="E1548" s="30"/>
      <c r="F1548" s="30" t="s">
        <v>107</v>
      </c>
      <c r="G1548" s="30" t="s">
        <v>106</v>
      </c>
      <c r="H1548" s="30"/>
      <c r="I1548" s="30" t="s">
        <v>192</v>
      </c>
      <c r="J1548" s="30" t="s">
        <v>630</v>
      </c>
      <c r="K1548" s="30"/>
      <c r="L1548" s="30" t="s">
        <v>117</v>
      </c>
      <c r="M1548" s="30" t="s">
        <v>113</v>
      </c>
      <c r="N1548" s="30" t="s">
        <v>110</v>
      </c>
      <c r="O1548" s="30" t="s">
        <v>115</v>
      </c>
      <c r="P1548" s="30" t="s">
        <v>112</v>
      </c>
      <c r="Q1548" s="30" t="s">
        <v>112</v>
      </c>
      <c r="R1548" s="30" t="s">
        <v>183</v>
      </c>
      <c r="S1548" s="81">
        <f>HLOOKUP(L1548,データについて!$J$6:$M$18,13,FALSE)</f>
        <v>2</v>
      </c>
      <c r="T1548" s="81">
        <f>HLOOKUP(M1548,データについて!$J$7:$M$18,12,FALSE)</f>
        <v>1</v>
      </c>
      <c r="U1548" s="81">
        <f>HLOOKUP(N1548,データについて!$J$8:$M$18,11,FALSE)</f>
        <v>2</v>
      </c>
      <c r="V1548" s="81">
        <f>HLOOKUP(O1548,データについて!$J$9:$M$18,10,FALSE)</f>
        <v>1</v>
      </c>
      <c r="W1548" s="81">
        <f>HLOOKUP(P1548,データについて!$J$10:$M$18,9,FALSE)</f>
        <v>1</v>
      </c>
      <c r="X1548" s="81">
        <f>HLOOKUP(Q1548,データについて!$J$11:$M$18,8,FALSE)</f>
        <v>1</v>
      </c>
      <c r="Y1548" s="81">
        <f>HLOOKUP(R1548,データについて!$J$12:$M$18,7,FALSE)</f>
        <v>1</v>
      </c>
      <c r="Z1548" s="81">
        <f>HLOOKUP(I1548,データについて!$J$3:$M$18,16,FALSE)</f>
        <v>1</v>
      </c>
      <c r="AA1548" s="81">
        <f>IFERROR(HLOOKUP(J1548,データについて!$J$4:$AH$19,16,FALSE),"")</f>
        <v>4</v>
      </c>
      <c r="AB1548" s="81" t="str">
        <f>IFERROR(HLOOKUP(K1548,データについて!$J$5:$AH$20,14,FALSE),"")</f>
        <v/>
      </c>
      <c r="AC1548" s="81">
        <f>IF(X1548=1,HLOOKUP(R1548,データについて!$J$12:$M$18,7,FALSE),"*")</f>
        <v>1</v>
      </c>
      <c r="AD1548" s="81" t="str">
        <f>IF(X1548=2,HLOOKUP(R1548,データについて!$J$12:$M$18,7,FALSE),"*")</f>
        <v>*</v>
      </c>
    </row>
    <row r="1549" spans="1:30">
      <c r="A1549" s="30">
        <v>3643</v>
      </c>
      <c r="B1549" s="30" t="s">
        <v>1220</v>
      </c>
      <c r="C1549" s="30" t="s">
        <v>1221</v>
      </c>
      <c r="D1549" s="30" t="s">
        <v>106</v>
      </c>
      <c r="E1549" s="30"/>
      <c r="F1549" s="30" t="s">
        <v>107</v>
      </c>
      <c r="G1549" s="30" t="s">
        <v>106</v>
      </c>
      <c r="H1549" s="30"/>
      <c r="I1549" s="30" t="s">
        <v>192</v>
      </c>
      <c r="J1549" s="30" t="s">
        <v>630</v>
      </c>
      <c r="K1549" s="30"/>
      <c r="L1549" s="30" t="s">
        <v>108</v>
      </c>
      <c r="M1549" s="30" t="s">
        <v>113</v>
      </c>
      <c r="N1549" s="30" t="s">
        <v>114</v>
      </c>
      <c r="O1549" s="30" t="s">
        <v>115</v>
      </c>
      <c r="P1549" s="30" t="s">
        <v>112</v>
      </c>
      <c r="Q1549" s="30" t="s">
        <v>112</v>
      </c>
      <c r="R1549" s="30" t="s">
        <v>183</v>
      </c>
      <c r="S1549" s="81">
        <f>HLOOKUP(L1549,データについて!$J$6:$M$18,13,FALSE)</f>
        <v>1</v>
      </c>
      <c r="T1549" s="81">
        <f>HLOOKUP(M1549,データについて!$J$7:$M$18,12,FALSE)</f>
        <v>1</v>
      </c>
      <c r="U1549" s="81">
        <f>HLOOKUP(N1549,データについて!$J$8:$M$18,11,FALSE)</f>
        <v>1</v>
      </c>
      <c r="V1549" s="81">
        <f>HLOOKUP(O1549,データについて!$J$9:$M$18,10,FALSE)</f>
        <v>1</v>
      </c>
      <c r="W1549" s="81">
        <f>HLOOKUP(P1549,データについて!$J$10:$M$18,9,FALSE)</f>
        <v>1</v>
      </c>
      <c r="X1549" s="81">
        <f>HLOOKUP(Q1549,データについて!$J$11:$M$18,8,FALSE)</f>
        <v>1</v>
      </c>
      <c r="Y1549" s="81">
        <f>HLOOKUP(R1549,データについて!$J$12:$M$18,7,FALSE)</f>
        <v>1</v>
      </c>
      <c r="Z1549" s="81">
        <f>HLOOKUP(I1549,データについて!$J$3:$M$18,16,FALSE)</f>
        <v>1</v>
      </c>
      <c r="AA1549" s="81">
        <f>IFERROR(HLOOKUP(J1549,データについて!$J$4:$AH$19,16,FALSE),"")</f>
        <v>4</v>
      </c>
      <c r="AB1549" s="81" t="str">
        <f>IFERROR(HLOOKUP(K1549,データについて!$J$5:$AH$20,14,FALSE),"")</f>
        <v/>
      </c>
      <c r="AC1549" s="81">
        <f>IF(X1549=1,HLOOKUP(R1549,データについて!$J$12:$M$18,7,FALSE),"*")</f>
        <v>1</v>
      </c>
      <c r="AD1549" s="81" t="str">
        <f>IF(X1549=2,HLOOKUP(R1549,データについて!$J$12:$M$18,7,FALSE),"*")</f>
        <v>*</v>
      </c>
    </row>
    <row r="1550" spans="1:30">
      <c r="A1550" s="30">
        <v>3642</v>
      </c>
      <c r="B1550" s="30" t="s">
        <v>1222</v>
      </c>
      <c r="C1550" s="30" t="s">
        <v>1223</v>
      </c>
      <c r="D1550" s="30" t="s">
        <v>106</v>
      </c>
      <c r="E1550" s="30"/>
      <c r="F1550" s="30" t="s">
        <v>107</v>
      </c>
      <c r="G1550" s="30" t="s">
        <v>106</v>
      </c>
      <c r="H1550" s="30"/>
      <c r="I1550" s="30" t="s">
        <v>192</v>
      </c>
      <c r="J1550" s="30" t="s">
        <v>630</v>
      </c>
      <c r="K1550" s="30"/>
      <c r="L1550" s="30" t="s">
        <v>108</v>
      </c>
      <c r="M1550" s="30" t="s">
        <v>109</v>
      </c>
      <c r="N1550" s="30" t="s">
        <v>110</v>
      </c>
      <c r="O1550" s="30" t="s">
        <v>115</v>
      </c>
      <c r="P1550" s="30" t="s">
        <v>112</v>
      </c>
      <c r="Q1550" s="30" t="s">
        <v>112</v>
      </c>
      <c r="R1550" s="30" t="s">
        <v>183</v>
      </c>
      <c r="S1550" s="81">
        <f>HLOOKUP(L1550,データについて!$J$6:$M$18,13,FALSE)</f>
        <v>1</v>
      </c>
      <c r="T1550" s="81">
        <f>HLOOKUP(M1550,データについて!$J$7:$M$18,12,FALSE)</f>
        <v>2</v>
      </c>
      <c r="U1550" s="81">
        <f>HLOOKUP(N1550,データについて!$J$8:$M$18,11,FALSE)</f>
        <v>2</v>
      </c>
      <c r="V1550" s="81">
        <f>HLOOKUP(O1550,データについて!$J$9:$M$18,10,FALSE)</f>
        <v>1</v>
      </c>
      <c r="W1550" s="81">
        <f>HLOOKUP(P1550,データについて!$J$10:$M$18,9,FALSE)</f>
        <v>1</v>
      </c>
      <c r="X1550" s="81">
        <f>HLOOKUP(Q1550,データについて!$J$11:$M$18,8,FALSE)</f>
        <v>1</v>
      </c>
      <c r="Y1550" s="81">
        <f>HLOOKUP(R1550,データについて!$J$12:$M$18,7,FALSE)</f>
        <v>1</v>
      </c>
      <c r="Z1550" s="81">
        <f>HLOOKUP(I1550,データについて!$J$3:$M$18,16,FALSE)</f>
        <v>1</v>
      </c>
      <c r="AA1550" s="81">
        <f>IFERROR(HLOOKUP(J1550,データについて!$J$4:$AH$19,16,FALSE),"")</f>
        <v>4</v>
      </c>
      <c r="AB1550" s="81" t="str">
        <f>IFERROR(HLOOKUP(K1550,データについて!$J$5:$AH$20,14,FALSE),"")</f>
        <v/>
      </c>
      <c r="AC1550" s="81">
        <f>IF(X1550=1,HLOOKUP(R1550,データについて!$J$12:$M$18,7,FALSE),"*")</f>
        <v>1</v>
      </c>
      <c r="AD1550" s="81" t="str">
        <f>IF(X1550=2,HLOOKUP(R1550,データについて!$J$12:$M$18,7,FALSE),"*")</f>
        <v>*</v>
      </c>
    </row>
    <row r="1551" spans="1:30">
      <c r="A1551" s="30">
        <v>3641</v>
      </c>
      <c r="B1551" s="30" t="s">
        <v>1224</v>
      </c>
      <c r="C1551" s="30" t="s">
        <v>1225</v>
      </c>
      <c r="D1551" s="30" t="s">
        <v>106</v>
      </c>
      <c r="E1551" s="30"/>
      <c r="F1551" s="30" t="s">
        <v>107</v>
      </c>
      <c r="G1551" s="30" t="s">
        <v>106</v>
      </c>
      <c r="H1551" s="30"/>
      <c r="I1551" s="30" t="s">
        <v>192</v>
      </c>
      <c r="J1551" s="30" t="s">
        <v>630</v>
      </c>
      <c r="K1551" s="30"/>
      <c r="L1551" s="30" t="s">
        <v>108</v>
      </c>
      <c r="M1551" s="30" t="s">
        <v>109</v>
      </c>
      <c r="N1551" s="30" t="s">
        <v>114</v>
      </c>
      <c r="O1551" s="30" t="s">
        <v>115</v>
      </c>
      <c r="P1551" s="30" t="s">
        <v>112</v>
      </c>
      <c r="Q1551" s="30" t="s">
        <v>112</v>
      </c>
      <c r="R1551" s="30" t="s">
        <v>189</v>
      </c>
      <c r="S1551" s="81">
        <f>HLOOKUP(L1551,データについて!$J$6:$M$18,13,FALSE)</f>
        <v>1</v>
      </c>
      <c r="T1551" s="81">
        <f>HLOOKUP(M1551,データについて!$J$7:$M$18,12,FALSE)</f>
        <v>2</v>
      </c>
      <c r="U1551" s="81">
        <f>HLOOKUP(N1551,データについて!$J$8:$M$18,11,FALSE)</f>
        <v>1</v>
      </c>
      <c r="V1551" s="81">
        <f>HLOOKUP(O1551,データについて!$J$9:$M$18,10,FALSE)</f>
        <v>1</v>
      </c>
      <c r="W1551" s="81">
        <f>HLOOKUP(P1551,データについて!$J$10:$M$18,9,FALSE)</f>
        <v>1</v>
      </c>
      <c r="X1551" s="81">
        <f>HLOOKUP(Q1551,データについて!$J$11:$M$18,8,FALSE)</f>
        <v>1</v>
      </c>
      <c r="Y1551" s="81">
        <f>HLOOKUP(R1551,データについて!$J$12:$M$18,7,FALSE)</f>
        <v>4</v>
      </c>
      <c r="Z1551" s="81">
        <f>HLOOKUP(I1551,データについて!$J$3:$M$18,16,FALSE)</f>
        <v>1</v>
      </c>
      <c r="AA1551" s="81">
        <f>IFERROR(HLOOKUP(J1551,データについて!$J$4:$AH$19,16,FALSE),"")</f>
        <v>4</v>
      </c>
      <c r="AB1551" s="81" t="str">
        <f>IFERROR(HLOOKUP(K1551,データについて!$J$5:$AH$20,14,FALSE),"")</f>
        <v/>
      </c>
      <c r="AC1551" s="81">
        <f>IF(X1551=1,HLOOKUP(R1551,データについて!$J$12:$M$18,7,FALSE),"*")</f>
        <v>4</v>
      </c>
      <c r="AD1551" s="81" t="str">
        <f>IF(X1551=2,HLOOKUP(R1551,データについて!$J$12:$M$18,7,FALSE),"*")</f>
        <v>*</v>
      </c>
    </row>
    <row r="1552" spans="1:30">
      <c r="A1552" s="30">
        <v>3640</v>
      </c>
      <c r="B1552" s="30" t="s">
        <v>1226</v>
      </c>
      <c r="C1552" s="30" t="s">
        <v>1227</v>
      </c>
      <c r="D1552" s="30" t="s">
        <v>106</v>
      </c>
      <c r="E1552" s="30"/>
      <c r="F1552" s="30" t="s">
        <v>107</v>
      </c>
      <c r="G1552" s="30" t="s">
        <v>106</v>
      </c>
      <c r="H1552" s="30"/>
      <c r="I1552" s="30" t="s">
        <v>192</v>
      </c>
      <c r="J1552" s="30" t="s">
        <v>630</v>
      </c>
      <c r="K1552" s="30"/>
      <c r="L1552" s="30" t="s">
        <v>117</v>
      </c>
      <c r="M1552" s="30" t="s">
        <v>113</v>
      </c>
      <c r="N1552" s="30" t="s">
        <v>110</v>
      </c>
      <c r="O1552" s="30" t="s">
        <v>115</v>
      </c>
      <c r="P1552" s="30" t="s">
        <v>112</v>
      </c>
      <c r="Q1552" s="30" t="s">
        <v>112</v>
      </c>
      <c r="R1552" s="30" t="s">
        <v>183</v>
      </c>
      <c r="S1552" s="81">
        <f>HLOOKUP(L1552,データについて!$J$6:$M$18,13,FALSE)</f>
        <v>2</v>
      </c>
      <c r="T1552" s="81">
        <f>HLOOKUP(M1552,データについて!$J$7:$M$18,12,FALSE)</f>
        <v>1</v>
      </c>
      <c r="U1552" s="81">
        <f>HLOOKUP(N1552,データについて!$J$8:$M$18,11,FALSE)</f>
        <v>2</v>
      </c>
      <c r="V1552" s="81">
        <f>HLOOKUP(O1552,データについて!$J$9:$M$18,10,FALSE)</f>
        <v>1</v>
      </c>
      <c r="W1552" s="81">
        <f>HLOOKUP(P1552,データについて!$J$10:$M$18,9,FALSE)</f>
        <v>1</v>
      </c>
      <c r="X1552" s="81">
        <f>HLOOKUP(Q1552,データについて!$J$11:$M$18,8,FALSE)</f>
        <v>1</v>
      </c>
      <c r="Y1552" s="81">
        <f>HLOOKUP(R1552,データについて!$J$12:$M$18,7,FALSE)</f>
        <v>1</v>
      </c>
      <c r="Z1552" s="81">
        <f>HLOOKUP(I1552,データについて!$J$3:$M$18,16,FALSE)</f>
        <v>1</v>
      </c>
      <c r="AA1552" s="81">
        <f>IFERROR(HLOOKUP(J1552,データについて!$J$4:$AH$19,16,FALSE),"")</f>
        <v>4</v>
      </c>
      <c r="AB1552" s="81" t="str">
        <f>IFERROR(HLOOKUP(K1552,データについて!$J$5:$AH$20,14,FALSE),"")</f>
        <v/>
      </c>
      <c r="AC1552" s="81">
        <f>IF(X1552=1,HLOOKUP(R1552,データについて!$J$12:$M$18,7,FALSE),"*")</f>
        <v>1</v>
      </c>
      <c r="AD1552" s="81" t="str">
        <f>IF(X1552=2,HLOOKUP(R1552,データについて!$J$12:$M$18,7,FALSE),"*")</f>
        <v>*</v>
      </c>
    </row>
    <row r="1553" spans="1:30">
      <c r="A1553" s="30">
        <v>3639</v>
      </c>
      <c r="B1553" s="30" t="s">
        <v>1228</v>
      </c>
      <c r="C1553" s="30" t="s">
        <v>1229</v>
      </c>
      <c r="D1553" s="30" t="s">
        <v>106</v>
      </c>
      <c r="E1553" s="30"/>
      <c r="F1553" s="30" t="s">
        <v>107</v>
      </c>
      <c r="G1553" s="30" t="s">
        <v>106</v>
      </c>
      <c r="H1553" s="30"/>
      <c r="I1553" s="30" t="s">
        <v>192</v>
      </c>
      <c r="J1553" s="30" t="s">
        <v>630</v>
      </c>
      <c r="K1553" s="30"/>
      <c r="L1553" s="30" t="s">
        <v>108</v>
      </c>
      <c r="M1553" s="30" t="s">
        <v>113</v>
      </c>
      <c r="N1553" s="30" t="s">
        <v>114</v>
      </c>
      <c r="O1553" s="30" t="s">
        <v>115</v>
      </c>
      <c r="P1553" s="30" t="s">
        <v>112</v>
      </c>
      <c r="Q1553" s="30" t="s">
        <v>112</v>
      </c>
      <c r="R1553" s="30" t="s">
        <v>183</v>
      </c>
      <c r="S1553" s="81">
        <f>HLOOKUP(L1553,データについて!$J$6:$M$18,13,FALSE)</f>
        <v>1</v>
      </c>
      <c r="T1553" s="81">
        <f>HLOOKUP(M1553,データについて!$J$7:$M$18,12,FALSE)</f>
        <v>1</v>
      </c>
      <c r="U1553" s="81">
        <f>HLOOKUP(N1553,データについて!$J$8:$M$18,11,FALSE)</f>
        <v>1</v>
      </c>
      <c r="V1553" s="81">
        <f>HLOOKUP(O1553,データについて!$J$9:$M$18,10,FALSE)</f>
        <v>1</v>
      </c>
      <c r="W1553" s="81">
        <f>HLOOKUP(P1553,データについて!$J$10:$M$18,9,FALSE)</f>
        <v>1</v>
      </c>
      <c r="X1553" s="81">
        <f>HLOOKUP(Q1553,データについて!$J$11:$M$18,8,FALSE)</f>
        <v>1</v>
      </c>
      <c r="Y1553" s="81">
        <f>HLOOKUP(R1553,データについて!$J$12:$M$18,7,FALSE)</f>
        <v>1</v>
      </c>
      <c r="Z1553" s="81">
        <f>HLOOKUP(I1553,データについて!$J$3:$M$18,16,FALSE)</f>
        <v>1</v>
      </c>
      <c r="AA1553" s="81">
        <f>IFERROR(HLOOKUP(J1553,データについて!$J$4:$AH$19,16,FALSE),"")</f>
        <v>4</v>
      </c>
      <c r="AB1553" s="81" t="str">
        <f>IFERROR(HLOOKUP(K1553,データについて!$J$5:$AH$20,14,FALSE),"")</f>
        <v/>
      </c>
      <c r="AC1553" s="81">
        <f>IF(X1553=1,HLOOKUP(R1553,データについて!$J$12:$M$18,7,FALSE),"*")</f>
        <v>1</v>
      </c>
      <c r="AD1553" s="81" t="str">
        <f>IF(X1553=2,HLOOKUP(R1553,データについて!$J$12:$M$18,7,FALSE),"*")</f>
        <v>*</v>
      </c>
    </row>
    <row r="1554" spans="1:30">
      <c r="A1554" s="30">
        <v>3638</v>
      </c>
      <c r="B1554" s="30" t="s">
        <v>1230</v>
      </c>
      <c r="C1554" s="30" t="s">
        <v>1229</v>
      </c>
      <c r="D1554" s="30" t="s">
        <v>106</v>
      </c>
      <c r="E1554" s="30"/>
      <c r="F1554" s="30" t="s">
        <v>107</v>
      </c>
      <c r="G1554" s="30" t="s">
        <v>106</v>
      </c>
      <c r="H1554" s="30"/>
      <c r="I1554" s="30" t="s">
        <v>192</v>
      </c>
      <c r="J1554" s="30" t="s">
        <v>630</v>
      </c>
      <c r="K1554" s="30"/>
      <c r="L1554" s="30" t="s">
        <v>117</v>
      </c>
      <c r="M1554" s="30" t="s">
        <v>109</v>
      </c>
      <c r="N1554" s="30" t="s">
        <v>114</v>
      </c>
      <c r="O1554" s="30" t="s">
        <v>115</v>
      </c>
      <c r="P1554" s="30" t="s">
        <v>112</v>
      </c>
      <c r="Q1554" s="30" t="s">
        <v>112</v>
      </c>
      <c r="R1554" s="30" t="s">
        <v>189</v>
      </c>
      <c r="S1554" s="81">
        <f>HLOOKUP(L1554,データについて!$J$6:$M$18,13,FALSE)</f>
        <v>2</v>
      </c>
      <c r="T1554" s="81">
        <f>HLOOKUP(M1554,データについて!$J$7:$M$18,12,FALSE)</f>
        <v>2</v>
      </c>
      <c r="U1554" s="81">
        <f>HLOOKUP(N1554,データについて!$J$8:$M$18,11,FALSE)</f>
        <v>1</v>
      </c>
      <c r="V1554" s="81">
        <f>HLOOKUP(O1554,データについて!$J$9:$M$18,10,FALSE)</f>
        <v>1</v>
      </c>
      <c r="W1554" s="81">
        <f>HLOOKUP(P1554,データについて!$J$10:$M$18,9,FALSE)</f>
        <v>1</v>
      </c>
      <c r="X1554" s="81">
        <f>HLOOKUP(Q1554,データについて!$J$11:$M$18,8,FALSE)</f>
        <v>1</v>
      </c>
      <c r="Y1554" s="81">
        <f>HLOOKUP(R1554,データについて!$J$12:$M$18,7,FALSE)</f>
        <v>4</v>
      </c>
      <c r="Z1554" s="81">
        <f>HLOOKUP(I1554,データについて!$J$3:$M$18,16,FALSE)</f>
        <v>1</v>
      </c>
      <c r="AA1554" s="81">
        <f>IFERROR(HLOOKUP(J1554,データについて!$J$4:$AH$19,16,FALSE),"")</f>
        <v>4</v>
      </c>
      <c r="AB1554" s="81" t="str">
        <f>IFERROR(HLOOKUP(K1554,データについて!$J$5:$AH$20,14,FALSE),"")</f>
        <v/>
      </c>
      <c r="AC1554" s="81">
        <f>IF(X1554=1,HLOOKUP(R1554,データについて!$J$12:$M$18,7,FALSE),"*")</f>
        <v>4</v>
      </c>
      <c r="AD1554" s="81" t="str">
        <f>IF(X1554=2,HLOOKUP(R1554,データについて!$J$12:$M$18,7,FALSE),"*")</f>
        <v>*</v>
      </c>
    </row>
    <row r="1555" spans="1:30">
      <c r="A1555" s="30">
        <v>3637</v>
      </c>
      <c r="B1555" s="30" t="s">
        <v>1231</v>
      </c>
      <c r="C1555" s="30" t="s">
        <v>1232</v>
      </c>
      <c r="D1555" s="30" t="s">
        <v>106</v>
      </c>
      <c r="E1555" s="30"/>
      <c r="F1555" s="30" t="s">
        <v>107</v>
      </c>
      <c r="G1555" s="30" t="s">
        <v>106</v>
      </c>
      <c r="H1555" s="30"/>
      <c r="I1555" s="30" t="s">
        <v>192</v>
      </c>
      <c r="J1555" s="30" t="s">
        <v>630</v>
      </c>
      <c r="K1555" s="30"/>
      <c r="L1555" s="30" t="s">
        <v>117</v>
      </c>
      <c r="M1555" s="30" t="s">
        <v>113</v>
      </c>
      <c r="N1555" s="30" t="s">
        <v>114</v>
      </c>
      <c r="O1555" s="30" t="s">
        <v>115</v>
      </c>
      <c r="P1555" s="30" t="s">
        <v>112</v>
      </c>
      <c r="Q1555" s="30" t="s">
        <v>112</v>
      </c>
      <c r="R1555" s="30" t="s">
        <v>185</v>
      </c>
      <c r="S1555" s="81">
        <f>HLOOKUP(L1555,データについて!$J$6:$M$18,13,FALSE)</f>
        <v>2</v>
      </c>
      <c r="T1555" s="81">
        <f>HLOOKUP(M1555,データについて!$J$7:$M$18,12,FALSE)</f>
        <v>1</v>
      </c>
      <c r="U1555" s="81">
        <f>HLOOKUP(N1555,データについて!$J$8:$M$18,11,FALSE)</f>
        <v>1</v>
      </c>
      <c r="V1555" s="81">
        <f>HLOOKUP(O1555,データについて!$J$9:$M$18,10,FALSE)</f>
        <v>1</v>
      </c>
      <c r="W1555" s="81">
        <f>HLOOKUP(P1555,データについて!$J$10:$M$18,9,FALSE)</f>
        <v>1</v>
      </c>
      <c r="X1555" s="81">
        <f>HLOOKUP(Q1555,データについて!$J$11:$M$18,8,FALSE)</f>
        <v>1</v>
      </c>
      <c r="Y1555" s="81">
        <f>HLOOKUP(R1555,データについて!$J$12:$M$18,7,FALSE)</f>
        <v>2</v>
      </c>
      <c r="Z1555" s="81">
        <f>HLOOKUP(I1555,データについて!$J$3:$M$18,16,FALSE)</f>
        <v>1</v>
      </c>
      <c r="AA1555" s="81">
        <f>IFERROR(HLOOKUP(J1555,データについて!$J$4:$AH$19,16,FALSE),"")</f>
        <v>4</v>
      </c>
      <c r="AB1555" s="81" t="str">
        <f>IFERROR(HLOOKUP(K1555,データについて!$J$5:$AH$20,14,FALSE),"")</f>
        <v/>
      </c>
      <c r="AC1555" s="81">
        <f>IF(X1555=1,HLOOKUP(R1555,データについて!$J$12:$M$18,7,FALSE),"*")</f>
        <v>2</v>
      </c>
      <c r="AD1555" s="81" t="str">
        <f>IF(X1555=2,HLOOKUP(R1555,データについて!$J$12:$M$18,7,FALSE),"*")</f>
        <v>*</v>
      </c>
    </row>
    <row r="1556" spans="1:30">
      <c r="A1556" s="30">
        <v>3636</v>
      </c>
      <c r="B1556" s="30" t="s">
        <v>1233</v>
      </c>
      <c r="C1556" s="30" t="s">
        <v>1234</v>
      </c>
      <c r="D1556" s="30" t="s">
        <v>106</v>
      </c>
      <c r="E1556" s="30"/>
      <c r="F1556" s="30" t="s">
        <v>107</v>
      </c>
      <c r="G1556" s="30" t="s">
        <v>106</v>
      </c>
      <c r="H1556" s="30"/>
      <c r="I1556" s="30" t="s">
        <v>192</v>
      </c>
      <c r="J1556" s="30" t="s">
        <v>630</v>
      </c>
      <c r="K1556" s="30"/>
      <c r="L1556" s="30" t="s">
        <v>117</v>
      </c>
      <c r="M1556" s="30" t="s">
        <v>113</v>
      </c>
      <c r="N1556" s="30" t="s">
        <v>114</v>
      </c>
      <c r="O1556" s="30" t="s">
        <v>115</v>
      </c>
      <c r="P1556" s="30" t="s">
        <v>112</v>
      </c>
      <c r="Q1556" s="30" t="s">
        <v>112</v>
      </c>
      <c r="R1556" s="30" t="s">
        <v>189</v>
      </c>
      <c r="S1556" s="81">
        <f>HLOOKUP(L1556,データについて!$J$6:$M$18,13,FALSE)</f>
        <v>2</v>
      </c>
      <c r="T1556" s="81">
        <f>HLOOKUP(M1556,データについて!$J$7:$M$18,12,FALSE)</f>
        <v>1</v>
      </c>
      <c r="U1556" s="81">
        <f>HLOOKUP(N1556,データについて!$J$8:$M$18,11,FALSE)</f>
        <v>1</v>
      </c>
      <c r="V1556" s="81">
        <f>HLOOKUP(O1556,データについて!$J$9:$M$18,10,FALSE)</f>
        <v>1</v>
      </c>
      <c r="W1556" s="81">
        <f>HLOOKUP(P1556,データについて!$J$10:$M$18,9,FALSE)</f>
        <v>1</v>
      </c>
      <c r="X1556" s="81">
        <f>HLOOKUP(Q1556,データについて!$J$11:$M$18,8,FALSE)</f>
        <v>1</v>
      </c>
      <c r="Y1556" s="81">
        <f>HLOOKUP(R1556,データについて!$J$12:$M$18,7,FALSE)</f>
        <v>4</v>
      </c>
      <c r="Z1556" s="81">
        <f>HLOOKUP(I1556,データについて!$J$3:$M$18,16,FALSE)</f>
        <v>1</v>
      </c>
      <c r="AA1556" s="81">
        <f>IFERROR(HLOOKUP(J1556,データについて!$J$4:$AH$19,16,FALSE),"")</f>
        <v>4</v>
      </c>
      <c r="AB1556" s="81" t="str">
        <f>IFERROR(HLOOKUP(K1556,データについて!$J$5:$AH$20,14,FALSE),"")</f>
        <v/>
      </c>
      <c r="AC1556" s="81">
        <f>IF(X1556=1,HLOOKUP(R1556,データについて!$J$12:$M$18,7,FALSE),"*")</f>
        <v>4</v>
      </c>
      <c r="AD1556" s="81" t="str">
        <f>IF(X1556=2,HLOOKUP(R1556,データについて!$J$12:$M$18,7,FALSE),"*")</f>
        <v>*</v>
      </c>
    </row>
    <row r="1557" spans="1:30">
      <c r="A1557" s="30">
        <v>3635</v>
      </c>
      <c r="B1557" s="30" t="s">
        <v>1235</v>
      </c>
      <c r="C1557" s="30" t="s">
        <v>1236</v>
      </c>
      <c r="D1557" s="30" t="s">
        <v>106</v>
      </c>
      <c r="E1557" s="30"/>
      <c r="F1557" s="30" t="s">
        <v>107</v>
      </c>
      <c r="G1557" s="30" t="s">
        <v>106</v>
      </c>
      <c r="H1557" s="30"/>
      <c r="I1557" s="30" t="s">
        <v>192</v>
      </c>
      <c r="J1557" s="30" t="s">
        <v>630</v>
      </c>
      <c r="K1557" s="30"/>
      <c r="L1557" s="30" t="s">
        <v>108</v>
      </c>
      <c r="M1557" s="30" t="s">
        <v>109</v>
      </c>
      <c r="N1557" s="30" t="s">
        <v>110</v>
      </c>
      <c r="O1557" s="30" t="s">
        <v>115</v>
      </c>
      <c r="P1557" s="30" t="s">
        <v>112</v>
      </c>
      <c r="Q1557" s="30" t="s">
        <v>112</v>
      </c>
      <c r="R1557" s="30" t="s">
        <v>189</v>
      </c>
      <c r="S1557" s="81">
        <f>HLOOKUP(L1557,データについて!$J$6:$M$18,13,FALSE)</f>
        <v>1</v>
      </c>
      <c r="T1557" s="81">
        <f>HLOOKUP(M1557,データについて!$J$7:$M$18,12,FALSE)</f>
        <v>2</v>
      </c>
      <c r="U1557" s="81">
        <f>HLOOKUP(N1557,データについて!$J$8:$M$18,11,FALSE)</f>
        <v>2</v>
      </c>
      <c r="V1557" s="81">
        <f>HLOOKUP(O1557,データについて!$J$9:$M$18,10,FALSE)</f>
        <v>1</v>
      </c>
      <c r="W1557" s="81">
        <f>HLOOKUP(P1557,データについて!$J$10:$M$18,9,FALSE)</f>
        <v>1</v>
      </c>
      <c r="X1557" s="81">
        <f>HLOOKUP(Q1557,データについて!$J$11:$M$18,8,FALSE)</f>
        <v>1</v>
      </c>
      <c r="Y1557" s="81">
        <f>HLOOKUP(R1557,データについて!$J$12:$M$18,7,FALSE)</f>
        <v>4</v>
      </c>
      <c r="Z1557" s="81">
        <f>HLOOKUP(I1557,データについて!$J$3:$M$18,16,FALSE)</f>
        <v>1</v>
      </c>
      <c r="AA1557" s="81">
        <f>IFERROR(HLOOKUP(J1557,データについて!$J$4:$AH$19,16,FALSE),"")</f>
        <v>4</v>
      </c>
      <c r="AB1557" s="81" t="str">
        <f>IFERROR(HLOOKUP(K1557,データについて!$J$5:$AH$20,14,FALSE),"")</f>
        <v/>
      </c>
      <c r="AC1557" s="81">
        <f>IF(X1557=1,HLOOKUP(R1557,データについて!$J$12:$M$18,7,FALSE),"*")</f>
        <v>4</v>
      </c>
      <c r="AD1557" s="81" t="str">
        <f>IF(X1557=2,HLOOKUP(R1557,データについて!$J$12:$M$18,7,FALSE),"*")</f>
        <v>*</v>
      </c>
    </row>
    <row r="1558" spans="1:30">
      <c r="A1558" s="30">
        <v>3634</v>
      </c>
      <c r="B1558" s="30" t="s">
        <v>1237</v>
      </c>
      <c r="C1558" s="30" t="s">
        <v>1238</v>
      </c>
      <c r="D1558" s="30" t="s">
        <v>106</v>
      </c>
      <c r="E1558" s="30"/>
      <c r="F1558" s="30" t="s">
        <v>107</v>
      </c>
      <c r="G1558" s="30" t="s">
        <v>106</v>
      </c>
      <c r="H1558" s="30"/>
      <c r="I1558" s="30" t="s">
        <v>192</v>
      </c>
      <c r="J1558" s="30" t="s">
        <v>630</v>
      </c>
      <c r="K1558" s="30"/>
      <c r="L1558" s="30" t="s">
        <v>108</v>
      </c>
      <c r="M1558" s="30" t="s">
        <v>109</v>
      </c>
      <c r="N1558" s="30" t="s">
        <v>114</v>
      </c>
      <c r="O1558" s="30" t="s">
        <v>115</v>
      </c>
      <c r="P1558" s="30" t="s">
        <v>112</v>
      </c>
      <c r="Q1558" s="30" t="s">
        <v>112</v>
      </c>
      <c r="R1558" s="30" t="s">
        <v>189</v>
      </c>
      <c r="S1558" s="81">
        <f>HLOOKUP(L1558,データについて!$J$6:$M$18,13,FALSE)</f>
        <v>1</v>
      </c>
      <c r="T1558" s="81">
        <f>HLOOKUP(M1558,データについて!$J$7:$M$18,12,FALSE)</f>
        <v>2</v>
      </c>
      <c r="U1558" s="81">
        <f>HLOOKUP(N1558,データについて!$J$8:$M$18,11,FALSE)</f>
        <v>1</v>
      </c>
      <c r="V1558" s="81">
        <f>HLOOKUP(O1558,データについて!$J$9:$M$18,10,FALSE)</f>
        <v>1</v>
      </c>
      <c r="W1558" s="81">
        <f>HLOOKUP(P1558,データについて!$J$10:$M$18,9,FALSE)</f>
        <v>1</v>
      </c>
      <c r="X1558" s="81">
        <f>HLOOKUP(Q1558,データについて!$J$11:$M$18,8,FALSE)</f>
        <v>1</v>
      </c>
      <c r="Y1558" s="81">
        <f>HLOOKUP(R1558,データについて!$J$12:$M$18,7,FALSE)</f>
        <v>4</v>
      </c>
      <c r="Z1558" s="81">
        <f>HLOOKUP(I1558,データについて!$J$3:$M$18,16,FALSE)</f>
        <v>1</v>
      </c>
      <c r="AA1558" s="81">
        <f>IFERROR(HLOOKUP(J1558,データについて!$J$4:$AH$19,16,FALSE),"")</f>
        <v>4</v>
      </c>
      <c r="AB1558" s="81" t="str">
        <f>IFERROR(HLOOKUP(K1558,データについて!$J$5:$AH$20,14,FALSE),"")</f>
        <v/>
      </c>
      <c r="AC1558" s="81">
        <f>IF(X1558=1,HLOOKUP(R1558,データについて!$J$12:$M$18,7,FALSE),"*")</f>
        <v>4</v>
      </c>
      <c r="AD1558" s="81" t="str">
        <f>IF(X1558=2,HLOOKUP(R1558,データについて!$J$12:$M$18,7,FALSE),"*")</f>
        <v>*</v>
      </c>
    </row>
    <row r="1559" spans="1:30">
      <c r="A1559" s="30">
        <v>3633</v>
      </c>
      <c r="B1559" s="30" t="s">
        <v>1239</v>
      </c>
      <c r="C1559" s="30" t="s">
        <v>1240</v>
      </c>
      <c r="D1559" s="30" t="s">
        <v>106</v>
      </c>
      <c r="E1559" s="30"/>
      <c r="F1559" s="30" t="s">
        <v>107</v>
      </c>
      <c r="G1559" s="30" t="s">
        <v>106</v>
      </c>
      <c r="H1559" s="30"/>
      <c r="I1559" s="30" t="s">
        <v>192</v>
      </c>
      <c r="J1559" s="30" t="s">
        <v>630</v>
      </c>
      <c r="K1559" s="30"/>
      <c r="L1559" s="30" t="s">
        <v>108</v>
      </c>
      <c r="M1559" s="30" t="s">
        <v>109</v>
      </c>
      <c r="N1559" s="30" t="s">
        <v>114</v>
      </c>
      <c r="O1559" s="30" t="s">
        <v>115</v>
      </c>
      <c r="P1559" s="30" t="s">
        <v>112</v>
      </c>
      <c r="Q1559" s="30" t="s">
        <v>112</v>
      </c>
      <c r="R1559" s="30" t="s">
        <v>187</v>
      </c>
      <c r="S1559" s="81">
        <f>HLOOKUP(L1559,データについて!$J$6:$M$18,13,FALSE)</f>
        <v>1</v>
      </c>
      <c r="T1559" s="81">
        <f>HLOOKUP(M1559,データについて!$J$7:$M$18,12,FALSE)</f>
        <v>2</v>
      </c>
      <c r="U1559" s="81">
        <f>HLOOKUP(N1559,データについて!$J$8:$M$18,11,FALSE)</f>
        <v>1</v>
      </c>
      <c r="V1559" s="81">
        <f>HLOOKUP(O1559,データについて!$J$9:$M$18,10,FALSE)</f>
        <v>1</v>
      </c>
      <c r="W1559" s="81">
        <f>HLOOKUP(P1559,データについて!$J$10:$M$18,9,FALSE)</f>
        <v>1</v>
      </c>
      <c r="X1559" s="81">
        <f>HLOOKUP(Q1559,データについて!$J$11:$M$18,8,FALSE)</f>
        <v>1</v>
      </c>
      <c r="Y1559" s="81">
        <f>HLOOKUP(R1559,データについて!$J$12:$M$18,7,FALSE)</f>
        <v>3</v>
      </c>
      <c r="Z1559" s="81">
        <f>HLOOKUP(I1559,データについて!$J$3:$M$18,16,FALSE)</f>
        <v>1</v>
      </c>
      <c r="AA1559" s="81">
        <f>IFERROR(HLOOKUP(J1559,データについて!$J$4:$AH$19,16,FALSE),"")</f>
        <v>4</v>
      </c>
      <c r="AB1559" s="81" t="str">
        <f>IFERROR(HLOOKUP(K1559,データについて!$J$5:$AH$20,14,FALSE),"")</f>
        <v/>
      </c>
      <c r="AC1559" s="81">
        <f>IF(X1559=1,HLOOKUP(R1559,データについて!$J$12:$M$18,7,FALSE),"*")</f>
        <v>3</v>
      </c>
      <c r="AD1559" s="81" t="str">
        <f>IF(X1559=2,HLOOKUP(R1559,データについて!$J$12:$M$18,7,FALSE),"*")</f>
        <v>*</v>
      </c>
    </row>
    <row r="1560" spans="1:30">
      <c r="A1560" s="30">
        <v>3632</v>
      </c>
      <c r="B1560" s="30" t="s">
        <v>1241</v>
      </c>
      <c r="C1560" s="30" t="s">
        <v>1242</v>
      </c>
      <c r="D1560" s="30" t="s">
        <v>106</v>
      </c>
      <c r="E1560" s="30"/>
      <c r="F1560" s="30" t="s">
        <v>107</v>
      </c>
      <c r="G1560" s="30" t="s">
        <v>106</v>
      </c>
      <c r="H1560" s="30"/>
      <c r="I1560" s="30" t="s">
        <v>192</v>
      </c>
      <c r="J1560" s="30" t="s">
        <v>630</v>
      </c>
      <c r="K1560" s="30"/>
      <c r="L1560" s="30" t="s">
        <v>108</v>
      </c>
      <c r="M1560" s="30" t="s">
        <v>113</v>
      </c>
      <c r="N1560" s="30" t="s">
        <v>114</v>
      </c>
      <c r="O1560" s="30" t="s">
        <v>115</v>
      </c>
      <c r="P1560" s="30" t="s">
        <v>112</v>
      </c>
      <c r="Q1560" s="30" t="s">
        <v>112</v>
      </c>
      <c r="R1560" s="30" t="s">
        <v>185</v>
      </c>
      <c r="S1560" s="81">
        <f>HLOOKUP(L1560,データについて!$J$6:$M$18,13,FALSE)</f>
        <v>1</v>
      </c>
      <c r="T1560" s="81">
        <f>HLOOKUP(M1560,データについて!$J$7:$M$18,12,FALSE)</f>
        <v>1</v>
      </c>
      <c r="U1560" s="81">
        <f>HLOOKUP(N1560,データについて!$J$8:$M$18,11,FALSE)</f>
        <v>1</v>
      </c>
      <c r="V1560" s="81">
        <f>HLOOKUP(O1560,データについて!$J$9:$M$18,10,FALSE)</f>
        <v>1</v>
      </c>
      <c r="W1560" s="81">
        <f>HLOOKUP(P1560,データについて!$J$10:$M$18,9,FALSE)</f>
        <v>1</v>
      </c>
      <c r="X1560" s="81">
        <f>HLOOKUP(Q1560,データについて!$J$11:$M$18,8,FALSE)</f>
        <v>1</v>
      </c>
      <c r="Y1560" s="81">
        <f>HLOOKUP(R1560,データについて!$J$12:$M$18,7,FALSE)</f>
        <v>2</v>
      </c>
      <c r="Z1560" s="81">
        <f>HLOOKUP(I1560,データについて!$J$3:$M$18,16,FALSE)</f>
        <v>1</v>
      </c>
      <c r="AA1560" s="81">
        <f>IFERROR(HLOOKUP(J1560,データについて!$J$4:$AH$19,16,FALSE),"")</f>
        <v>4</v>
      </c>
      <c r="AB1560" s="81" t="str">
        <f>IFERROR(HLOOKUP(K1560,データについて!$J$5:$AH$20,14,FALSE),"")</f>
        <v/>
      </c>
      <c r="AC1560" s="81">
        <f>IF(X1560=1,HLOOKUP(R1560,データについて!$J$12:$M$18,7,FALSE),"*")</f>
        <v>2</v>
      </c>
      <c r="AD1560" s="81" t="str">
        <f>IF(X1560=2,HLOOKUP(R1560,データについて!$J$12:$M$18,7,FALSE),"*")</f>
        <v>*</v>
      </c>
    </row>
    <row r="1561" spans="1:30">
      <c r="A1561" s="30">
        <v>3631</v>
      </c>
      <c r="B1561" s="30" t="s">
        <v>1243</v>
      </c>
      <c r="C1561" s="30" t="s">
        <v>1244</v>
      </c>
      <c r="D1561" s="30" t="s">
        <v>106</v>
      </c>
      <c r="E1561" s="30"/>
      <c r="F1561" s="30" t="s">
        <v>107</v>
      </c>
      <c r="G1561" s="30" t="s">
        <v>106</v>
      </c>
      <c r="H1561" s="30"/>
      <c r="I1561" s="30" t="s">
        <v>192</v>
      </c>
      <c r="J1561" s="30" t="s">
        <v>630</v>
      </c>
      <c r="K1561" s="30"/>
      <c r="L1561" s="30" t="s">
        <v>117</v>
      </c>
      <c r="M1561" s="30" t="s">
        <v>113</v>
      </c>
      <c r="N1561" s="30" t="s">
        <v>114</v>
      </c>
      <c r="O1561" s="30" t="s">
        <v>115</v>
      </c>
      <c r="P1561" s="30" t="s">
        <v>112</v>
      </c>
      <c r="Q1561" s="30" t="s">
        <v>112</v>
      </c>
      <c r="R1561" s="30" t="s">
        <v>183</v>
      </c>
      <c r="S1561" s="81">
        <f>HLOOKUP(L1561,データについて!$J$6:$M$18,13,FALSE)</f>
        <v>2</v>
      </c>
      <c r="T1561" s="81">
        <f>HLOOKUP(M1561,データについて!$J$7:$M$18,12,FALSE)</f>
        <v>1</v>
      </c>
      <c r="U1561" s="81">
        <f>HLOOKUP(N1561,データについて!$J$8:$M$18,11,FALSE)</f>
        <v>1</v>
      </c>
      <c r="V1561" s="81">
        <f>HLOOKUP(O1561,データについて!$J$9:$M$18,10,FALSE)</f>
        <v>1</v>
      </c>
      <c r="W1561" s="81">
        <f>HLOOKUP(P1561,データについて!$J$10:$M$18,9,FALSE)</f>
        <v>1</v>
      </c>
      <c r="X1561" s="81">
        <f>HLOOKUP(Q1561,データについて!$J$11:$M$18,8,FALSE)</f>
        <v>1</v>
      </c>
      <c r="Y1561" s="81">
        <f>HLOOKUP(R1561,データについて!$J$12:$M$18,7,FALSE)</f>
        <v>1</v>
      </c>
      <c r="Z1561" s="81">
        <f>HLOOKUP(I1561,データについて!$J$3:$M$18,16,FALSE)</f>
        <v>1</v>
      </c>
      <c r="AA1561" s="81">
        <f>IFERROR(HLOOKUP(J1561,データについて!$J$4:$AH$19,16,FALSE),"")</f>
        <v>4</v>
      </c>
      <c r="AB1561" s="81" t="str">
        <f>IFERROR(HLOOKUP(K1561,データについて!$J$5:$AH$20,14,FALSE),"")</f>
        <v/>
      </c>
      <c r="AC1561" s="81">
        <f>IF(X1561=1,HLOOKUP(R1561,データについて!$J$12:$M$18,7,FALSE),"*")</f>
        <v>1</v>
      </c>
      <c r="AD1561" s="81" t="str">
        <f>IF(X1561=2,HLOOKUP(R1561,データについて!$J$12:$M$18,7,FALSE),"*")</f>
        <v>*</v>
      </c>
    </row>
    <row r="1562" spans="1:30">
      <c r="A1562" s="30">
        <v>3630</v>
      </c>
      <c r="B1562" s="30" t="s">
        <v>1245</v>
      </c>
      <c r="C1562" s="30" t="s">
        <v>1246</v>
      </c>
      <c r="D1562" s="30" t="s">
        <v>106</v>
      </c>
      <c r="E1562" s="30"/>
      <c r="F1562" s="30" t="s">
        <v>107</v>
      </c>
      <c r="G1562" s="30" t="s">
        <v>106</v>
      </c>
      <c r="H1562" s="30"/>
      <c r="I1562" s="30" t="s">
        <v>192</v>
      </c>
      <c r="J1562" s="30" t="s">
        <v>630</v>
      </c>
      <c r="K1562" s="30"/>
      <c r="L1562" s="30" t="s">
        <v>117</v>
      </c>
      <c r="M1562" s="30" t="s">
        <v>113</v>
      </c>
      <c r="N1562" s="30" t="s">
        <v>114</v>
      </c>
      <c r="O1562" s="30" t="s">
        <v>111</v>
      </c>
      <c r="P1562" s="30" t="s">
        <v>112</v>
      </c>
      <c r="Q1562" s="30" t="s">
        <v>112</v>
      </c>
      <c r="R1562" s="30" t="s">
        <v>183</v>
      </c>
      <c r="S1562" s="81">
        <f>HLOOKUP(L1562,データについて!$J$6:$M$18,13,FALSE)</f>
        <v>2</v>
      </c>
      <c r="T1562" s="81">
        <f>HLOOKUP(M1562,データについて!$J$7:$M$18,12,FALSE)</f>
        <v>1</v>
      </c>
      <c r="U1562" s="81">
        <f>HLOOKUP(N1562,データについて!$J$8:$M$18,11,FALSE)</f>
        <v>1</v>
      </c>
      <c r="V1562" s="81">
        <f>HLOOKUP(O1562,データについて!$J$9:$M$18,10,FALSE)</f>
        <v>3</v>
      </c>
      <c r="W1562" s="81">
        <f>HLOOKUP(P1562,データについて!$J$10:$M$18,9,FALSE)</f>
        <v>1</v>
      </c>
      <c r="X1562" s="81">
        <f>HLOOKUP(Q1562,データについて!$J$11:$M$18,8,FALSE)</f>
        <v>1</v>
      </c>
      <c r="Y1562" s="81">
        <f>HLOOKUP(R1562,データについて!$J$12:$M$18,7,FALSE)</f>
        <v>1</v>
      </c>
      <c r="Z1562" s="81">
        <f>HLOOKUP(I1562,データについて!$J$3:$M$18,16,FALSE)</f>
        <v>1</v>
      </c>
      <c r="AA1562" s="81">
        <f>IFERROR(HLOOKUP(J1562,データについて!$J$4:$AH$19,16,FALSE),"")</f>
        <v>4</v>
      </c>
      <c r="AB1562" s="81" t="str">
        <f>IFERROR(HLOOKUP(K1562,データについて!$J$5:$AH$20,14,FALSE),"")</f>
        <v/>
      </c>
      <c r="AC1562" s="81">
        <f>IF(X1562=1,HLOOKUP(R1562,データについて!$J$12:$M$18,7,FALSE),"*")</f>
        <v>1</v>
      </c>
      <c r="AD1562" s="81" t="str">
        <f>IF(X1562=2,HLOOKUP(R1562,データについて!$J$12:$M$18,7,FALSE),"*")</f>
        <v>*</v>
      </c>
    </row>
    <row r="1563" spans="1:30">
      <c r="A1563" s="30">
        <v>3629</v>
      </c>
      <c r="B1563" s="30" t="s">
        <v>1247</v>
      </c>
      <c r="C1563" s="30" t="s">
        <v>1248</v>
      </c>
      <c r="D1563" s="30" t="s">
        <v>106</v>
      </c>
      <c r="E1563" s="30"/>
      <c r="F1563" s="30" t="s">
        <v>107</v>
      </c>
      <c r="G1563" s="30" t="s">
        <v>106</v>
      </c>
      <c r="H1563" s="30"/>
      <c r="I1563" s="30" t="s">
        <v>192</v>
      </c>
      <c r="J1563" s="30" t="s">
        <v>630</v>
      </c>
      <c r="K1563" s="30"/>
      <c r="L1563" s="30" t="s">
        <v>117</v>
      </c>
      <c r="M1563" s="30" t="s">
        <v>113</v>
      </c>
      <c r="N1563" s="30" t="s">
        <v>110</v>
      </c>
      <c r="O1563" s="30" t="s">
        <v>115</v>
      </c>
      <c r="P1563" s="30" t="s">
        <v>112</v>
      </c>
      <c r="Q1563" s="30" t="s">
        <v>112</v>
      </c>
      <c r="R1563" s="30" t="s">
        <v>183</v>
      </c>
      <c r="S1563" s="81">
        <f>HLOOKUP(L1563,データについて!$J$6:$M$18,13,FALSE)</f>
        <v>2</v>
      </c>
      <c r="T1563" s="81">
        <f>HLOOKUP(M1563,データについて!$J$7:$M$18,12,FALSE)</f>
        <v>1</v>
      </c>
      <c r="U1563" s="81">
        <f>HLOOKUP(N1563,データについて!$J$8:$M$18,11,FALSE)</f>
        <v>2</v>
      </c>
      <c r="V1563" s="81">
        <f>HLOOKUP(O1563,データについて!$J$9:$M$18,10,FALSE)</f>
        <v>1</v>
      </c>
      <c r="W1563" s="81">
        <f>HLOOKUP(P1563,データについて!$J$10:$M$18,9,FALSE)</f>
        <v>1</v>
      </c>
      <c r="X1563" s="81">
        <f>HLOOKUP(Q1563,データについて!$J$11:$M$18,8,FALSE)</f>
        <v>1</v>
      </c>
      <c r="Y1563" s="81">
        <f>HLOOKUP(R1563,データについて!$J$12:$M$18,7,FALSE)</f>
        <v>1</v>
      </c>
      <c r="Z1563" s="81">
        <f>HLOOKUP(I1563,データについて!$J$3:$M$18,16,FALSE)</f>
        <v>1</v>
      </c>
      <c r="AA1563" s="81">
        <f>IFERROR(HLOOKUP(J1563,データについて!$J$4:$AH$19,16,FALSE),"")</f>
        <v>4</v>
      </c>
      <c r="AB1563" s="81" t="str">
        <f>IFERROR(HLOOKUP(K1563,データについて!$J$5:$AH$20,14,FALSE),"")</f>
        <v/>
      </c>
      <c r="AC1563" s="81">
        <f>IF(X1563=1,HLOOKUP(R1563,データについて!$J$12:$M$18,7,FALSE),"*")</f>
        <v>1</v>
      </c>
      <c r="AD1563" s="81" t="str">
        <f>IF(X1563=2,HLOOKUP(R1563,データについて!$J$12:$M$18,7,FALSE),"*")</f>
        <v>*</v>
      </c>
    </row>
    <row r="1564" spans="1:30">
      <c r="A1564" s="30">
        <v>3628</v>
      </c>
      <c r="B1564" s="30" t="s">
        <v>1249</v>
      </c>
      <c r="C1564" s="30" t="s">
        <v>1250</v>
      </c>
      <c r="D1564" s="30" t="s">
        <v>106</v>
      </c>
      <c r="E1564" s="30"/>
      <c r="F1564" s="30" t="s">
        <v>107</v>
      </c>
      <c r="G1564" s="30" t="s">
        <v>106</v>
      </c>
      <c r="H1564" s="30"/>
      <c r="I1564" s="30" t="s">
        <v>192</v>
      </c>
      <c r="J1564" s="30" t="s">
        <v>630</v>
      </c>
      <c r="K1564" s="30"/>
      <c r="L1564" s="30" t="s">
        <v>108</v>
      </c>
      <c r="M1564" s="30" t="s">
        <v>113</v>
      </c>
      <c r="N1564" s="30" t="s">
        <v>114</v>
      </c>
      <c r="O1564" s="30" t="s">
        <v>115</v>
      </c>
      <c r="P1564" s="30" t="s">
        <v>112</v>
      </c>
      <c r="Q1564" s="30" t="s">
        <v>112</v>
      </c>
      <c r="R1564" s="30" t="s">
        <v>185</v>
      </c>
      <c r="S1564" s="81">
        <f>HLOOKUP(L1564,データについて!$J$6:$M$18,13,FALSE)</f>
        <v>1</v>
      </c>
      <c r="T1564" s="81">
        <f>HLOOKUP(M1564,データについて!$J$7:$M$18,12,FALSE)</f>
        <v>1</v>
      </c>
      <c r="U1564" s="81">
        <f>HLOOKUP(N1564,データについて!$J$8:$M$18,11,FALSE)</f>
        <v>1</v>
      </c>
      <c r="V1564" s="81">
        <f>HLOOKUP(O1564,データについて!$J$9:$M$18,10,FALSE)</f>
        <v>1</v>
      </c>
      <c r="W1564" s="81">
        <f>HLOOKUP(P1564,データについて!$J$10:$M$18,9,FALSE)</f>
        <v>1</v>
      </c>
      <c r="X1564" s="81">
        <f>HLOOKUP(Q1564,データについて!$J$11:$M$18,8,FALSE)</f>
        <v>1</v>
      </c>
      <c r="Y1564" s="81">
        <f>HLOOKUP(R1564,データについて!$J$12:$M$18,7,FALSE)</f>
        <v>2</v>
      </c>
      <c r="Z1564" s="81">
        <f>HLOOKUP(I1564,データについて!$J$3:$M$18,16,FALSE)</f>
        <v>1</v>
      </c>
      <c r="AA1564" s="81">
        <f>IFERROR(HLOOKUP(J1564,データについて!$J$4:$AH$19,16,FALSE),"")</f>
        <v>4</v>
      </c>
      <c r="AB1564" s="81" t="str">
        <f>IFERROR(HLOOKUP(K1564,データについて!$J$5:$AH$20,14,FALSE),"")</f>
        <v/>
      </c>
      <c r="AC1564" s="81">
        <f>IF(X1564=1,HLOOKUP(R1564,データについて!$J$12:$M$18,7,FALSE),"*")</f>
        <v>2</v>
      </c>
      <c r="AD1564" s="81" t="str">
        <f>IF(X1564=2,HLOOKUP(R1564,データについて!$J$12:$M$18,7,FALSE),"*")</f>
        <v>*</v>
      </c>
    </row>
    <row r="1565" spans="1:30">
      <c r="A1565" s="30">
        <v>3627</v>
      </c>
      <c r="B1565" s="30" t="s">
        <v>1251</v>
      </c>
      <c r="C1565" s="30" t="s">
        <v>1252</v>
      </c>
      <c r="D1565" s="30" t="s">
        <v>106</v>
      </c>
      <c r="E1565" s="30"/>
      <c r="F1565" s="30" t="s">
        <v>107</v>
      </c>
      <c r="G1565" s="30" t="s">
        <v>106</v>
      </c>
      <c r="H1565" s="30"/>
      <c r="I1565" s="30" t="s">
        <v>192</v>
      </c>
      <c r="J1565" s="30" t="s">
        <v>630</v>
      </c>
      <c r="K1565" s="30"/>
      <c r="L1565" s="30" t="s">
        <v>108</v>
      </c>
      <c r="M1565" s="30" t="s">
        <v>113</v>
      </c>
      <c r="N1565" s="30" t="s">
        <v>119</v>
      </c>
      <c r="O1565" s="30" t="s">
        <v>115</v>
      </c>
      <c r="P1565" s="30" t="s">
        <v>112</v>
      </c>
      <c r="Q1565" s="30" t="s">
        <v>112</v>
      </c>
      <c r="R1565" s="30" t="s">
        <v>183</v>
      </c>
      <c r="S1565" s="81">
        <f>HLOOKUP(L1565,データについて!$J$6:$M$18,13,FALSE)</f>
        <v>1</v>
      </c>
      <c r="T1565" s="81">
        <f>HLOOKUP(M1565,データについて!$J$7:$M$18,12,FALSE)</f>
        <v>1</v>
      </c>
      <c r="U1565" s="81">
        <f>HLOOKUP(N1565,データについて!$J$8:$M$18,11,FALSE)</f>
        <v>4</v>
      </c>
      <c r="V1565" s="81">
        <f>HLOOKUP(O1565,データについて!$J$9:$M$18,10,FALSE)</f>
        <v>1</v>
      </c>
      <c r="W1565" s="81">
        <f>HLOOKUP(P1565,データについて!$J$10:$M$18,9,FALSE)</f>
        <v>1</v>
      </c>
      <c r="X1565" s="81">
        <f>HLOOKUP(Q1565,データについて!$J$11:$M$18,8,FALSE)</f>
        <v>1</v>
      </c>
      <c r="Y1565" s="81">
        <f>HLOOKUP(R1565,データについて!$J$12:$M$18,7,FALSE)</f>
        <v>1</v>
      </c>
      <c r="Z1565" s="81">
        <f>HLOOKUP(I1565,データについて!$J$3:$M$18,16,FALSE)</f>
        <v>1</v>
      </c>
      <c r="AA1565" s="81">
        <f>IFERROR(HLOOKUP(J1565,データについて!$J$4:$AH$19,16,FALSE),"")</f>
        <v>4</v>
      </c>
      <c r="AB1565" s="81" t="str">
        <f>IFERROR(HLOOKUP(K1565,データについて!$J$5:$AH$20,14,FALSE),"")</f>
        <v/>
      </c>
      <c r="AC1565" s="81">
        <f>IF(X1565=1,HLOOKUP(R1565,データについて!$J$12:$M$18,7,FALSE),"*")</f>
        <v>1</v>
      </c>
      <c r="AD1565" s="81" t="str">
        <f>IF(X1565=2,HLOOKUP(R1565,データについて!$J$12:$M$18,7,FALSE),"*")</f>
        <v>*</v>
      </c>
    </row>
    <row r="1566" spans="1:30">
      <c r="A1566" s="30">
        <v>3626</v>
      </c>
      <c r="B1566" s="30" t="s">
        <v>1253</v>
      </c>
      <c r="C1566" s="30" t="s">
        <v>1254</v>
      </c>
      <c r="D1566" s="30" t="s">
        <v>106</v>
      </c>
      <c r="E1566" s="30"/>
      <c r="F1566" s="30" t="s">
        <v>107</v>
      </c>
      <c r="G1566" s="30" t="s">
        <v>106</v>
      </c>
      <c r="H1566" s="30"/>
      <c r="I1566" s="30" t="s">
        <v>192</v>
      </c>
      <c r="J1566" s="30" t="s">
        <v>630</v>
      </c>
      <c r="K1566" s="30"/>
      <c r="L1566" s="30" t="s">
        <v>117</v>
      </c>
      <c r="M1566" s="30" t="s">
        <v>109</v>
      </c>
      <c r="N1566" s="30" t="s">
        <v>114</v>
      </c>
      <c r="O1566" s="30" t="s">
        <v>115</v>
      </c>
      <c r="P1566" s="30" t="s">
        <v>112</v>
      </c>
      <c r="Q1566" s="30" t="s">
        <v>112</v>
      </c>
      <c r="R1566" s="30" t="s">
        <v>185</v>
      </c>
      <c r="S1566" s="81">
        <f>HLOOKUP(L1566,データについて!$J$6:$M$18,13,FALSE)</f>
        <v>2</v>
      </c>
      <c r="T1566" s="81">
        <f>HLOOKUP(M1566,データについて!$J$7:$M$18,12,FALSE)</f>
        <v>2</v>
      </c>
      <c r="U1566" s="81">
        <f>HLOOKUP(N1566,データについて!$J$8:$M$18,11,FALSE)</f>
        <v>1</v>
      </c>
      <c r="V1566" s="81">
        <f>HLOOKUP(O1566,データについて!$J$9:$M$18,10,FALSE)</f>
        <v>1</v>
      </c>
      <c r="W1566" s="81">
        <f>HLOOKUP(P1566,データについて!$J$10:$M$18,9,FALSE)</f>
        <v>1</v>
      </c>
      <c r="X1566" s="81">
        <f>HLOOKUP(Q1566,データについて!$J$11:$M$18,8,FALSE)</f>
        <v>1</v>
      </c>
      <c r="Y1566" s="81">
        <f>HLOOKUP(R1566,データについて!$J$12:$M$18,7,FALSE)</f>
        <v>2</v>
      </c>
      <c r="Z1566" s="81">
        <f>HLOOKUP(I1566,データについて!$J$3:$M$18,16,FALSE)</f>
        <v>1</v>
      </c>
      <c r="AA1566" s="81">
        <f>IFERROR(HLOOKUP(J1566,データについて!$J$4:$AH$19,16,FALSE),"")</f>
        <v>4</v>
      </c>
      <c r="AB1566" s="81" t="str">
        <f>IFERROR(HLOOKUP(K1566,データについて!$J$5:$AH$20,14,FALSE),"")</f>
        <v/>
      </c>
      <c r="AC1566" s="81">
        <f>IF(X1566=1,HLOOKUP(R1566,データについて!$J$12:$M$18,7,FALSE),"*")</f>
        <v>2</v>
      </c>
      <c r="AD1566" s="81" t="str">
        <f>IF(X1566=2,HLOOKUP(R1566,データについて!$J$12:$M$18,7,FALSE),"*")</f>
        <v>*</v>
      </c>
    </row>
    <row r="1567" spans="1:30">
      <c r="A1567" s="30">
        <v>3625</v>
      </c>
      <c r="B1567" s="30" t="s">
        <v>1255</v>
      </c>
      <c r="C1567" s="30" t="s">
        <v>1256</v>
      </c>
      <c r="D1567" s="30" t="s">
        <v>106</v>
      </c>
      <c r="E1567" s="30"/>
      <c r="F1567" s="30" t="s">
        <v>107</v>
      </c>
      <c r="G1567" s="30" t="s">
        <v>106</v>
      </c>
      <c r="H1567" s="30"/>
      <c r="I1567" s="30" t="s">
        <v>192</v>
      </c>
      <c r="J1567" s="30" t="s">
        <v>630</v>
      </c>
      <c r="K1567" s="30"/>
      <c r="L1567" s="30" t="s">
        <v>117</v>
      </c>
      <c r="M1567" s="30" t="s">
        <v>113</v>
      </c>
      <c r="N1567" s="30" t="s">
        <v>114</v>
      </c>
      <c r="O1567" s="30" t="s">
        <v>115</v>
      </c>
      <c r="P1567" s="30" t="s">
        <v>112</v>
      </c>
      <c r="Q1567" s="30" t="s">
        <v>112</v>
      </c>
      <c r="R1567" s="30" t="s">
        <v>185</v>
      </c>
      <c r="S1567" s="81">
        <f>HLOOKUP(L1567,データについて!$J$6:$M$18,13,FALSE)</f>
        <v>2</v>
      </c>
      <c r="T1567" s="81">
        <f>HLOOKUP(M1567,データについて!$J$7:$M$18,12,FALSE)</f>
        <v>1</v>
      </c>
      <c r="U1567" s="81">
        <f>HLOOKUP(N1567,データについて!$J$8:$M$18,11,FALSE)</f>
        <v>1</v>
      </c>
      <c r="V1567" s="81">
        <f>HLOOKUP(O1567,データについて!$J$9:$M$18,10,FALSE)</f>
        <v>1</v>
      </c>
      <c r="W1567" s="81">
        <f>HLOOKUP(P1567,データについて!$J$10:$M$18,9,FALSE)</f>
        <v>1</v>
      </c>
      <c r="X1567" s="81">
        <f>HLOOKUP(Q1567,データについて!$J$11:$M$18,8,FALSE)</f>
        <v>1</v>
      </c>
      <c r="Y1567" s="81">
        <f>HLOOKUP(R1567,データについて!$J$12:$M$18,7,FALSE)</f>
        <v>2</v>
      </c>
      <c r="Z1567" s="81">
        <f>HLOOKUP(I1567,データについて!$J$3:$M$18,16,FALSE)</f>
        <v>1</v>
      </c>
      <c r="AA1567" s="81">
        <f>IFERROR(HLOOKUP(J1567,データについて!$J$4:$AH$19,16,FALSE),"")</f>
        <v>4</v>
      </c>
      <c r="AB1567" s="81" t="str">
        <f>IFERROR(HLOOKUP(K1567,データについて!$J$5:$AH$20,14,FALSE),"")</f>
        <v/>
      </c>
      <c r="AC1567" s="81">
        <f>IF(X1567=1,HLOOKUP(R1567,データについて!$J$12:$M$18,7,FALSE),"*")</f>
        <v>2</v>
      </c>
      <c r="AD1567" s="81" t="str">
        <f>IF(X1567=2,HLOOKUP(R1567,データについて!$J$12:$M$18,7,FALSE),"*")</f>
        <v>*</v>
      </c>
    </row>
    <row r="1568" spans="1:30">
      <c r="A1568" s="30">
        <v>3624</v>
      </c>
      <c r="B1568" s="30" t="s">
        <v>1257</v>
      </c>
      <c r="C1568" s="30" t="s">
        <v>1258</v>
      </c>
      <c r="D1568" s="30" t="s">
        <v>106</v>
      </c>
      <c r="E1568" s="30"/>
      <c r="F1568" s="30" t="s">
        <v>107</v>
      </c>
      <c r="G1568" s="30" t="s">
        <v>106</v>
      </c>
      <c r="H1568" s="30"/>
      <c r="I1568" s="30" t="s">
        <v>192</v>
      </c>
      <c r="J1568" s="30" t="s">
        <v>630</v>
      </c>
      <c r="K1568" s="30"/>
      <c r="L1568" s="30" t="s">
        <v>108</v>
      </c>
      <c r="M1568" s="30" t="s">
        <v>113</v>
      </c>
      <c r="N1568" s="30" t="s">
        <v>110</v>
      </c>
      <c r="O1568" s="30" t="s">
        <v>115</v>
      </c>
      <c r="P1568" s="30" t="s">
        <v>112</v>
      </c>
      <c r="Q1568" s="30" t="s">
        <v>112</v>
      </c>
      <c r="R1568" s="30" t="s">
        <v>187</v>
      </c>
      <c r="S1568" s="81">
        <f>HLOOKUP(L1568,データについて!$J$6:$M$18,13,FALSE)</f>
        <v>1</v>
      </c>
      <c r="T1568" s="81">
        <f>HLOOKUP(M1568,データについて!$J$7:$M$18,12,FALSE)</f>
        <v>1</v>
      </c>
      <c r="U1568" s="81">
        <f>HLOOKUP(N1568,データについて!$J$8:$M$18,11,FALSE)</f>
        <v>2</v>
      </c>
      <c r="V1568" s="81">
        <f>HLOOKUP(O1568,データについて!$J$9:$M$18,10,FALSE)</f>
        <v>1</v>
      </c>
      <c r="W1568" s="81">
        <f>HLOOKUP(P1568,データについて!$J$10:$M$18,9,FALSE)</f>
        <v>1</v>
      </c>
      <c r="X1568" s="81">
        <f>HLOOKUP(Q1568,データについて!$J$11:$M$18,8,FALSE)</f>
        <v>1</v>
      </c>
      <c r="Y1568" s="81">
        <f>HLOOKUP(R1568,データについて!$J$12:$M$18,7,FALSE)</f>
        <v>3</v>
      </c>
      <c r="Z1568" s="81">
        <f>HLOOKUP(I1568,データについて!$J$3:$M$18,16,FALSE)</f>
        <v>1</v>
      </c>
      <c r="AA1568" s="81">
        <f>IFERROR(HLOOKUP(J1568,データについて!$J$4:$AH$19,16,FALSE),"")</f>
        <v>4</v>
      </c>
      <c r="AB1568" s="81" t="str">
        <f>IFERROR(HLOOKUP(K1568,データについて!$J$5:$AH$20,14,FALSE),"")</f>
        <v/>
      </c>
      <c r="AC1568" s="81">
        <f>IF(X1568=1,HLOOKUP(R1568,データについて!$J$12:$M$18,7,FALSE),"*")</f>
        <v>3</v>
      </c>
      <c r="AD1568" s="81" t="str">
        <f>IF(X1568=2,HLOOKUP(R1568,データについて!$J$12:$M$18,7,FALSE),"*")</f>
        <v>*</v>
      </c>
    </row>
    <row r="1569" spans="1:30">
      <c r="A1569" s="30">
        <v>3623</v>
      </c>
      <c r="B1569" s="30" t="s">
        <v>1259</v>
      </c>
      <c r="C1569" s="30" t="s">
        <v>1260</v>
      </c>
      <c r="D1569" s="30" t="s">
        <v>106</v>
      </c>
      <c r="E1569" s="30"/>
      <c r="F1569" s="30" t="s">
        <v>107</v>
      </c>
      <c r="G1569" s="30" t="s">
        <v>106</v>
      </c>
      <c r="H1569" s="30"/>
      <c r="I1569" s="30" t="s">
        <v>192</v>
      </c>
      <c r="J1569" s="30" t="s">
        <v>630</v>
      </c>
      <c r="K1569" s="30"/>
      <c r="L1569" s="30" t="s">
        <v>117</v>
      </c>
      <c r="M1569" s="30" t="s">
        <v>109</v>
      </c>
      <c r="N1569" s="30" t="s">
        <v>110</v>
      </c>
      <c r="O1569" s="30" t="s">
        <v>116</v>
      </c>
      <c r="P1569" s="30" t="s">
        <v>112</v>
      </c>
      <c r="Q1569" s="30" t="s">
        <v>112</v>
      </c>
      <c r="R1569" s="30" t="s">
        <v>189</v>
      </c>
      <c r="S1569" s="81">
        <f>HLOOKUP(L1569,データについて!$J$6:$M$18,13,FALSE)</f>
        <v>2</v>
      </c>
      <c r="T1569" s="81">
        <f>HLOOKUP(M1569,データについて!$J$7:$M$18,12,FALSE)</f>
        <v>2</v>
      </c>
      <c r="U1569" s="81">
        <f>HLOOKUP(N1569,データについて!$J$8:$M$18,11,FALSE)</f>
        <v>2</v>
      </c>
      <c r="V1569" s="81">
        <f>HLOOKUP(O1569,データについて!$J$9:$M$18,10,FALSE)</f>
        <v>2</v>
      </c>
      <c r="W1569" s="81">
        <f>HLOOKUP(P1569,データについて!$J$10:$M$18,9,FALSE)</f>
        <v>1</v>
      </c>
      <c r="X1569" s="81">
        <f>HLOOKUP(Q1569,データについて!$J$11:$M$18,8,FALSE)</f>
        <v>1</v>
      </c>
      <c r="Y1569" s="81">
        <f>HLOOKUP(R1569,データについて!$J$12:$M$18,7,FALSE)</f>
        <v>4</v>
      </c>
      <c r="Z1569" s="81">
        <f>HLOOKUP(I1569,データについて!$J$3:$M$18,16,FALSE)</f>
        <v>1</v>
      </c>
      <c r="AA1569" s="81">
        <f>IFERROR(HLOOKUP(J1569,データについて!$J$4:$AH$19,16,FALSE),"")</f>
        <v>4</v>
      </c>
      <c r="AB1569" s="81" t="str">
        <f>IFERROR(HLOOKUP(K1569,データについて!$J$5:$AH$20,14,FALSE),"")</f>
        <v/>
      </c>
      <c r="AC1569" s="81">
        <f>IF(X1569=1,HLOOKUP(R1569,データについて!$J$12:$M$18,7,FALSE),"*")</f>
        <v>4</v>
      </c>
      <c r="AD1569" s="81" t="str">
        <f>IF(X1569=2,HLOOKUP(R1569,データについて!$J$12:$M$18,7,FALSE),"*")</f>
        <v>*</v>
      </c>
    </row>
    <row r="1570" spans="1:30">
      <c r="A1570" s="30">
        <v>3622</v>
      </c>
      <c r="B1570" s="30" t="s">
        <v>1261</v>
      </c>
      <c r="C1570" s="30" t="s">
        <v>1262</v>
      </c>
      <c r="D1570" s="30" t="s">
        <v>106</v>
      </c>
      <c r="E1570" s="30"/>
      <c r="F1570" s="30" t="s">
        <v>107</v>
      </c>
      <c r="G1570" s="30" t="s">
        <v>106</v>
      </c>
      <c r="H1570" s="30"/>
      <c r="I1570" s="30" t="s">
        <v>192</v>
      </c>
      <c r="J1570" s="30" t="s">
        <v>630</v>
      </c>
      <c r="K1570" s="30"/>
      <c r="L1570" s="30" t="s">
        <v>117</v>
      </c>
      <c r="M1570" s="30" t="s">
        <v>113</v>
      </c>
      <c r="N1570" s="30" t="s">
        <v>110</v>
      </c>
      <c r="O1570" s="30" t="s">
        <v>115</v>
      </c>
      <c r="P1570" s="30" t="s">
        <v>112</v>
      </c>
      <c r="Q1570" s="30" t="s">
        <v>112</v>
      </c>
      <c r="R1570" s="30" t="s">
        <v>183</v>
      </c>
      <c r="S1570" s="81">
        <f>HLOOKUP(L1570,データについて!$J$6:$M$18,13,FALSE)</f>
        <v>2</v>
      </c>
      <c r="T1570" s="81">
        <f>HLOOKUP(M1570,データについて!$J$7:$M$18,12,FALSE)</f>
        <v>1</v>
      </c>
      <c r="U1570" s="81">
        <f>HLOOKUP(N1570,データについて!$J$8:$M$18,11,FALSE)</f>
        <v>2</v>
      </c>
      <c r="V1570" s="81">
        <f>HLOOKUP(O1570,データについて!$J$9:$M$18,10,FALSE)</f>
        <v>1</v>
      </c>
      <c r="W1570" s="81">
        <f>HLOOKUP(P1570,データについて!$J$10:$M$18,9,FALSE)</f>
        <v>1</v>
      </c>
      <c r="X1570" s="81">
        <f>HLOOKUP(Q1570,データについて!$J$11:$M$18,8,FALSE)</f>
        <v>1</v>
      </c>
      <c r="Y1570" s="81">
        <f>HLOOKUP(R1570,データについて!$J$12:$M$18,7,FALSE)</f>
        <v>1</v>
      </c>
      <c r="Z1570" s="81">
        <f>HLOOKUP(I1570,データについて!$J$3:$M$18,16,FALSE)</f>
        <v>1</v>
      </c>
      <c r="AA1570" s="81">
        <f>IFERROR(HLOOKUP(J1570,データについて!$J$4:$AH$19,16,FALSE),"")</f>
        <v>4</v>
      </c>
      <c r="AB1570" s="81" t="str">
        <f>IFERROR(HLOOKUP(K1570,データについて!$J$5:$AH$20,14,FALSE),"")</f>
        <v/>
      </c>
      <c r="AC1570" s="81">
        <f>IF(X1570=1,HLOOKUP(R1570,データについて!$J$12:$M$18,7,FALSE),"*")</f>
        <v>1</v>
      </c>
      <c r="AD1570" s="81" t="str">
        <f>IF(X1570=2,HLOOKUP(R1570,データについて!$J$12:$M$18,7,FALSE),"*")</f>
        <v>*</v>
      </c>
    </row>
    <row r="1571" spans="1:30">
      <c r="A1571" s="30">
        <v>3621</v>
      </c>
      <c r="B1571" s="30" t="s">
        <v>1263</v>
      </c>
      <c r="C1571" s="30" t="s">
        <v>1262</v>
      </c>
      <c r="D1571" s="30" t="s">
        <v>106</v>
      </c>
      <c r="E1571" s="30"/>
      <c r="F1571" s="30" t="s">
        <v>107</v>
      </c>
      <c r="G1571" s="30" t="s">
        <v>106</v>
      </c>
      <c r="H1571" s="30"/>
      <c r="I1571" s="30" t="s">
        <v>192</v>
      </c>
      <c r="J1571" s="30" t="s">
        <v>630</v>
      </c>
      <c r="K1571" s="30"/>
      <c r="L1571" s="30" t="s">
        <v>108</v>
      </c>
      <c r="M1571" s="30" t="s">
        <v>109</v>
      </c>
      <c r="N1571" s="30" t="s">
        <v>114</v>
      </c>
      <c r="O1571" s="30" t="s">
        <v>115</v>
      </c>
      <c r="P1571" s="30" t="s">
        <v>112</v>
      </c>
      <c r="Q1571" s="30" t="s">
        <v>112</v>
      </c>
      <c r="R1571" s="30" t="s">
        <v>187</v>
      </c>
      <c r="S1571" s="81">
        <f>HLOOKUP(L1571,データについて!$J$6:$M$18,13,FALSE)</f>
        <v>1</v>
      </c>
      <c r="T1571" s="81">
        <f>HLOOKUP(M1571,データについて!$J$7:$M$18,12,FALSE)</f>
        <v>2</v>
      </c>
      <c r="U1571" s="81">
        <f>HLOOKUP(N1571,データについて!$J$8:$M$18,11,FALSE)</f>
        <v>1</v>
      </c>
      <c r="V1571" s="81">
        <f>HLOOKUP(O1571,データについて!$J$9:$M$18,10,FALSE)</f>
        <v>1</v>
      </c>
      <c r="W1571" s="81">
        <f>HLOOKUP(P1571,データについて!$J$10:$M$18,9,FALSE)</f>
        <v>1</v>
      </c>
      <c r="X1571" s="81">
        <f>HLOOKUP(Q1571,データについて!$J$11:$M$18,8,FALSE)</f>
        <v>1</v>
      </c>
      <c r="Y1571" s="81">
        <f>HLOOKUP(R1571,データについて!$J$12:$M$18,7,FALSE)</f>
        <v>3</v>
      </c>
      <c r="Z1571" s="81">
        <f>HLOOKUP(I1571,データについて!$J$3:$M$18,16,FALSE)</f>
        <v>1</v>
      </c>
      <c r="AA1571" s="81">
        <f>IFERROR(HLOOKUP(J1571,データについて!$J$4:$AH$19,16,FALSE),"")</f>
        <v>4</v>
      </c>
      <c r="AB1571" s="81" t="str">
        <f>IFERROR(HLOOKUP(K1571,データについて!$J$5:$AH$20,14,FALSE),"")</f>
        <v/>
      </c>
      <c r="AC1571" s="81">
        <f>IF(X1571=1,HLOOKUP(R1571,データについて!$J$12:$M$18,7,FALSE),"*")</f>
        <v>3</v>
      </c>
      <c r="AD1571" s="81" t="str">
        <f>IF(X1571=2,HLOOKUP(R1571,データについて!$J$12:$M$18,7,FALSE),"*")</f>
        <v>*</v>
      </c>
    </row>
    <row r="1572" spans="1:30">
      <c r="A1572" s="30">
        <v>3620</v>
      </c>
      <c r="B1572" s="30" t="s">
        <v>1264</v>
      </c>
      <c r="C1572" s="30" t="s">
        <v>1265</v>
      </c>
      <c r="D1572" s="30" t="s">
        <v>106</v>
      </c>
      <c r="E1572" s="30"/>
      <c r="F1572" s="30" t="s">
        <v>107</v>
      </c>
      <c r="G1572" s="30" t="s">
        <v>106</v>
      </c>
      <c r="H1572" s="30"/>
      <c r="I1572" s="30" t="s">
        <v>192</v>
      </c>
      <c r="J1572" s="30" t="s">
        <v>630</v>
      </c>
      <c r="K1572" s="30"/>
      <c r="L1572" s="30" t="s">
        <v>108</v>
      </c>
      <c r="M1572" s="30" t="s">
        <v>109</v>
      </c>
      <c r="N1572" s="30" t="s">
        <v>110</v>
      </c>
      <c r="O1572" s="30" t="s">
        <v>115</v>
      </c>
      <c r="P1572" s="30" t="s">
        <v>112</v>
      </c>
      <c r="Q1572" s="30" t="s">
        <v>112</v>
      </c>
      <c r="R1572" s="30" t="s">
        <v>189</v>
      </c>
      <c r="S1572" s="81">
        <f>HLOOKUP(L1572,データについて!$J$6:$M$18,13,FALSE)</f>
        <v>1</v>
      </c>
      <c r="T1572" s="81">
        <f>HLOOKUP(M1572,データについて!$J$7:$M$18,12,FALSE)</f>
        <v>2</v>
      </c>
      <c r="U1572" s="81">
        <f>HLOOKUP(N1572,データについて!$J$8:$M$18,11,FALSE)</f>
        <v>2</v>
      </c>
      <c r="V1572" s="81">
        <f>HLOOKUP(O1572,データについて!$J$9:$M$18,10,FALSE)</f>
        <v>1</v>
      </c>
      <c r="W1572" s="81">
        <f>HLOOKUP(P1572,データについて!$J$10:$M$18,9,FALSE)</f>
        <v>1</v>
      </c>
      <c r="X1572" s="81">
        <f>HLOOKUP(Q1572,データについて!$J$11:$M$18,8,FALSE)</f>
        <v>1</v>
      </c>
      <c r="Y1572" s="81">
        <f>HLOOKUP(R1572,データについて!$J$12:$M$18,7,FALSE)</f>
        <v>4</v>
      </c>
      <c r="Z1572" s="81">
        <f>HLOOKUP(I1572,データについて!$J$3:$M$18,16,FALSE)</f>
        <v>1</v>
      </c>
      <c r="AA1572" s="81">
        <f>IFERROR(HLOOKUP(J1572,データについて!$J$4:$AH$19,16,FALSE),"")</f>
        <v>4</v>
      </c>
      <c r="AB1572" s="81" t="str">
        <f>IFERROR(HLOOKUP(K1572,データについて!$J$5:$AH$20,14,FALSE),"")</f>
        <v/>
      </c>
      <c r="AC1572" s="81">
        <f>IF(X1572=1,HLOOKUP(R1572,データについて!$J$12:$M$18,7,FALSE),"*")</f>
        <v>4</v>
      </c>
      <c r="AD1572" s="81" t="str">
        <f>IF(X1572=2,HLOOKUP(R1572,データについて!$J$12:$M$18,7,FALSE),"*")</f>
        <v>*</v>
      </c>
    </row>
    <row r="1573" spans="1:30">
      <c r="A1573" s="30">
        <v>3619</v>
      </c>
      <c r="B1573" s="30" t="s">
        <v>1266</v>
      </c>
      <c r="C1573" s="30" t="s">
        <v>1267</v>
      </c>
      <c r="D1573" s="30" t="s">
        <v>106</v>
      </c>
      <c r="E1573" s="30"/>
      <c r="F1573" s="30" t="s">
        <v>107</v>
      </c>
      <c r="G1573" s="30" t="s">
        <v>106</v>
      </c>
      <c r="H1573" s="30"/>
      <c r="I1573" s="30" t="s">
        <v>192</v>
      </c>
      <c r="J1573" s="30" t="s">
        <v>630</v>
      </c>
      <c r="K1573" s="30"/>
      <c r="L1573" s="30" t="s">
        <v>108</v>
      </c>
      <c r="M1573" s="30" t="s">
        <v>113</v>
      </c>
      <c r="N1573" s="30" t="s">
        <v>114</v>
      </c>
      <c r="O1573" s="30" t="s">
        <v>115</v>
      </c>
      <c r="P1573" s="30" t="s">
        <v>112</v>
      </c>
      <c r="Q1573" s="30" t="s">
        <v>112</v>
      </c>
      <c r="R1573" s="30" t="s">
        <v>185</v>
      </c>
      <c r="S1573" s="81">
        <f>HLOOKUP(L1573,データについて!$J$6:$M$18,13,FALSE)</f>
        <v>1</v>
      </c>
      <c r="T1573" s="81">
        <f>HLOOKUP(M1573,データについて!$J$7:$M$18,12,FALSE)</f>
        <v>1</v>
      </c>
      <c r="U1573" s="81">
        <f>HLOOKUP(N1573,データについて!$J$8:$M$18,11,FALSE)</f>
        <v>1</v>
      </c>
      <c r="V1573" s="81">
        <f>HLOOKUP(O1573,データについて!$J$9:$M$18,10,FALSE)</f>
        <v>1</v>
      </c>
      <c r="W1573" s="81">
        <f>HLOOKUP(P1573,データについて!$J$10:$M$18,9,FALSE)</f>
        <v>1</v>
      </c>
      <c r="X1573" s="81">
        <f>HLOOKUP(Q1573,データについて!$J$11:$M$18,8,FALSE)</f>
        <v>1</v>
      </c>
      <c r="Y1573" s="81">
        <f>HLOOKUP(R1573,データについて!$J$12:$M$18,7,FALSE)</f>
        <v>2</v>
      </c>
      <c r="Z1573" s="81">
        <f>HLOOKUP(I1573,データについて!$J$3:$M$18,16,FALSE)</f>
        <v>1</v>
      </c>
      <c r="AA1573" s="81">
        <f>IFERROR(HLOOKUP(J1573,データについて!$J$4:$AH$19,16,FALSE),"")</f>
        <v>4</v>
      </c>
      <c r="AB1573" s="81" t="str">
        <f>IFERROR(HLOOKUP(K1573,データについて!$J$5:$AH$20,14,FALSE),"")</f>
        <v/>
      </c>
      <c r="AC1573" s="81">
        <f>IF(X1573=1,HLOOKUP(R1573,データについて!$J$12:$M$18,7,FALSE),"*")</f>
        <v>2</v>
      </c>
      <c r="AD1573" s="81" t="str">
        <f>IF(X1573=2,HLOOKUP(R1573,データについて!$J$12:$M$18,7,FALSE),"*")</f>
        <v>*</v>
      </c>
    </row>
    <row r="1574" spans="1:30">
      <c r="A1574" s="30">
        <v>3618</v>
      </c>
      <c r="B1574" s="30" t="s">
        <v>1268</v>
      </c>
      <c r="C1574" s="30" t="s">
        <v>1269</v>
      </c>
      <c r="D1574" s="30" t="s">
        <v>106</v>
      </c>
      <c r="E1574" s="30"/>
      <c r="F1574" s="30" t="s">
        <v>107</v>
      </c>
      <c r="G1574" s="30" t="s">
        <v>106</v>
      </c>
      <c r="H1574" s="30"/>
      <c r="I1574" s="30" t="s">
        <v>192</v>
      </c>
      <c r="J1574" s="30" t="s">
        <v>630</v>
      </c>
      <c r="K1574" s="30"/>
      <c r="L1574" s="30" t="s">
        <v>117</v>
      </c>
      <c r="M1574" s="30" t="s">
        <v>113</v>
      </c>
      <c r="N1574" s="30" t="s">
        <v>110</v>
      </c>
      <c r="O1574" s="30" t="s">
        <v>115</v>
      </c>
      <c r="P1574" s="30" t="s">
        <v>112</v>
      </c>
      <c r="Q1574" s="30" t="s">
        <v>112</v>
      </c>
      <c r="R1574" s="30" t="s">
        <v>183</v>
      </c>
      <c r="S1574" s="81">
        <f>HLOOKUP(L1574,データについて!$J$6:$M$18,13,FALSE)</f>
        <v>2</v>
      </c>
      <c r="T1574" s="81">
        <f>HLOOKUP(M1574,データについて!$J$7:$M$18,12,FALSE)</f>
        <v>1</v>
      </c>
      <c r="U1574" s="81">
        <f>HLOOKUP(N1574,データについて!$J$8:$M$18,11,FALSE)</f>
        <v>2</v>
      </c>
      <c r="V1574" s="81">
        <f>HLOOKUP(O1574,データについて!$J$9:$M$18,10,FALSE)</f>
        <v>1</v>
      </c>
      <c r="W1574" s="81">
        <f>HLOOKUP(P1574,データについて!$J$10:$M$18,9,FALSE)</f>
        <v>1</v>
      </c>
      <c r="X1574" s="81">
        <f>HLOOKUP(Q1574,データについて!$J$11:$M$18,8,FALSE)</f>
        <v>1</v>
      </c>
      <c r="Y1574" s="81">
        <f>HLOOKUP(R1574,データについて!$J$12:$M$18,7,FALSE)</f>
        <v>1</v>
      </c>
      <c r="Z1574" s="81">
        <f>HLOOKUP(I1574,データについて!$J$3:$M$18,16,FALSE)</f>
        <v>1</v>
      </c>
      <c r="AA1574" s="81">
        <f>IFERROR(HLOOKUP(J1574,データについて!$J$4:$AH$19,16,FALSE),"")</f>
        <v>4</v>
      </c>
      <c r="AB1574" s="81" t="str">
        <f>IFERROR(HLOOKUP(K1574,データについて!$J$5:$AH$20,14,FALSE),"")</f>
        <v/>
      </c>
      <c r="AC1574" s="81">
        <f>IF(X1574=1,HLOOKUP(R1574,データについて!$J$12:$M$18,7,FALSE),"*")</f>
        <v>1</v>
      </c>
      <c r="AD1574" s="81" t="str">
        <f>IF(X1574=2,HLOOKUP(R1574,データについて!$J$12:$M$18,7,FALSE),"*")</f>
        <v>*</v>
      </c>
    </row>
    <row r="1575" spans="1:30">
      <c r="A1575" s="30">
        <v>3617</v>
      </c>
      <c r="B1575" s="30" t="s">
        <v>1270</v>
      </c>
      <c r="C1575" s="30" t="s">
        <v>1271</v>
      </c>
      <c r="D1575" s="30" t="s">
        <v>106</v>
      </c>
      <c r="E1575" s="30"/>
      <c r="F1575" s="30" t="s">
        <v>107</v>
      </c>
      <c r="G1575" s="30" t="s">
        <v>106</v>
      </c>
      <c r="H1575" s="30"/>
      <c r="I1575" s="30" t="s">
        <v>192</v>
      </c>
      <c r="J1575" s="30" t="s">
        <v>630</v>
      </c>
      <c r="K1575" s="30"/>
      <c r="L1575" s="30" t="s">
        <v>117</v>
      </c>
      <c r="M1575" s="30" t="s">
        <v>113</v>
      </c>
      <c r="N1575" s="30" t="s">
        <v>110</v>
      </c>
      <c r="O1575" s="30" t="s">
        <v>115</v>
      </c>
      <c r="P1575" s="30" t="s">
        <v>112</v>
      </c>
      <c r="Q1575" s="30" t="s">
        <v>112</v>
      </c>
      <c r="R1575" s="30" t="s">
        <v>189</v>
      </c>
      <c r="S1575" s="81">
        <f>HLOOKUP(L1575,データについて!$J$6:$M$18,13,FALSE)</f>
        <v>2</v>
      </c>
      <c r="T1575" s="81">
        <f>HLOOKUP(M1575,データについて!$J$7:$M$18,12,FALSE)</f>
        <v>1</v>
      </c>
      <c r="U1575" s="81">
        <f>HLOOKUP(N1575,データについて!$J$8:$M$18,11,FALSE)</f>
        <v>2</v>
      </c>
      <c r="V1575" s="81">
        <f>HLOOKUP(O1575,データについて!$J$9:$M$18,10,FALSE)</f>
        <v>1</v>
      </c>
      <c r="W1575" s="81">
        <f>HLOOKUP(P1575,データについて!$J$10:$M$18,9,FALSE)</f>
        <v>1</v>
      </c>
      <c r="X1575" s="81">
        <f>HLOOKUP(Q1575,データについて!$J$11:$M$18,8,FALSE)</f>
        <v>1</v>
      </c>
      <c r="Y1575" s="81">
        <f>HLOOKUP(R1575,データについて!$J$12:$M$18,7,FALSE)</f>
        <v>4</v>
      </c>
      <c r="Z1575" s="81">
        <f>HLOOKUP(I1575,データについて!$J$3:$M$18,16,FALSE)</f>
        <v>1</v>
      </c>
      <c r="AA1575" s="81">
        <f>IFERROR(HLOOKUP(J1575,データについて!$J$4:$AH$19,16,FALSE),"")</f>
        <v>4</v>
      </c>
      <c r="AB1575" s="81" t="str">
        <f>IFERROR(HLOOKUP(K1575,データについて!$J$5:$AH$20,14,FALSE),"")</f>
        <v/>
      </c>
      <c r="AC1575" s="81">
        <f>IF(X1575=1,HLOOKUP(R1575,データについて!$J$12:$M$18,7,FALSE),"*")</f>
        <v>4</v>
      </c>
      <c r="AD1575" s="81" t="str">
        <f>IF(X1575=2,HLOOKUP(R1575,データについて!$J$12:$M$18,7,FALSE),"*")</f>
        <v>*</v>
      </c>
    </row>
    <row r="1576" spans="1:30">
      <c r="A1576" s="30">
        <v>3616</v>
      </c>
      <c r="B1576" s="30" t="s">
        <v>1272</v>
      </c>
      <c r="C1576" s="30" t="s">
        <v>1273</v>
      </c>
      <c r="D1576" s="30" t="s">
        <v>106</v>
      </c>
      <c r="E1576" s="30"/>
      <c r="F1576" s="30" t="s">
        <v>107</v>
      </c>
      <c r="G1576" s="30" t="s">
        <v>106</v>
      </c>
      <c r="H1576" s="30"/>
      <c r="I1576" s="30" t="s">
        <v>192</v>
      </c>
      <c r="J1576" s="30" t="s">
        <v>125</v>
      </c>
      <c r="K1576" s="30"/>
      <c r="L1576" s="30" t="s">
        <v>108</v>
      </c>
      <c r="M1576" s="30" t="s">
        <v>113</v>
      </c>
      <c r="N1576" s="30" t="s">
        <v>114</v>
      </c>
      <c r="O1576" s="30" t="s">
        <v>115</v>
      </c>
      <c r="P1576" s="30" t="s">
        <v>112</v>
      </c>
      <c r="Q1576" s="30" t="s">
        <v>112</v>
      </c>
      <c r="R1576" s="30" t="s">
        <v>185</v>
      </c>
      <c r="S1576" s="81">
        <f>HLOOKUP(L1576,データについて!$J$6:$M$18,13,FALSE)</f>
        <v>1</v>
      </c>
      <c r="T1576" s="81">
        <f>HLOOKUP(M1576,データについて!$J$7:$M$18,12,FALSE)</f>
        <v>1</v>
      </c>
      <c r="U1576" s="81">
        <f>HLOOKUP(N1576,データについて!$J$8:$M$18,11,FALSE)</f>
        <v>1</v>
      </c>
      <c r="V1576" s="81">
        <f>HLOOKUP(O1576,データについて!$J$9:$M$18,10,FALSE)</f>
        <v>1</v>
      </c>
      <c r="W1576" s="81">
        <f>HLOOKUP(P1576,データについて!$J$10:$M$18,9,FALSE)</f>
        <v>1</v>
      </c>
      <c r="X1576" s="81">
        <f>HLOOKUP(Q1576,データについて!$J$11:$M$18,8,FALSE)</f>
        <v>1</v>
      </c>
      <c r="Y1576" s="81">
        <f>HLOOKUP(R1576,データについて!$J$12:$M$18,7,FALSE)</f>
        <v>2</v>
      </c>
      <c r="Z1576" s="81">
        <f>HLOOKUP(I1576,データについて!$J$3:$M$18,16,FALSE)</f>
        <v>1</v>
      </c>
      <c r="AA1576" s="81">
        <f>IFERROR(HLOOKUP(J1576,データについて!$J$4:$AH$19,16,FALSE),"")</f>
        <v>6</v>
      </c>
      <c r="AB1576" s="81" t="str">
        <f>IFERROR(HLOOKUP(K1576,データについて!$J$5:$AH$20,14,FALSE),"")</f>
        <v/>
      </c>
      <c r="AC1576" s="81">
        <f>IF(X1576=1,HLOOKUP(R1576,データについて!$J$12:$M$18,7,FALSE),"*")</f>
        <v>2</v>
      </c>
      <c r="AD1576" s="81" t="str">
        <f>IF(X1576=2,HLOOKUP(R1576,データについて!$J$12:$M$18,7,FALSE),"*")</f>
        <v>*</v>
      </c>
    </row>
    <row r="1577" spans="1:30">
      <c r="A1577" s="30">
        <v>3615</v>
      </c>
      <c r="B1577" s="30" t="s">
        <v>1274</v>
      </c>
      <c r="C1577" s="30" t="s">
        <v>1275</v>
      </c>
      <c r="D1577" s="30" t="s">
        <v>106</v>
      </c>
      <c r="E1577" s="30"/>
      <c r="F1577" s="30" t="s">
        <v>107</v>
      </c>
      <c r="G1577" s="30" t="s">
        <v>106</v>
      </c>
      <c r="H1577" s="30"/>
      <c r="I1577" s="30" t="s">
        <v>192</v>
      </c>
      <c r="J1577" s="30" t="s">
        <v>611</v>
      </c>
      <c r="K1577" s="30"/>
      <c r="L1577" s="30" t="s">
        <v>117</v>
      </c>
      <c r="M1577" s="30" t="s">
        <v>109</v>
      </c>
      <c r="N1577" s="30" t="s">
        <v>110</v>
      </c>
      <c r="O1577" s="30" t="s">
        <v>115</v>
      </c>
      <c r="P1577" s="30" t="s">
        <v>112</v>
      </c>
      <c r="Q1577" s="30" t="s">
        <v>118</v>
      </c>
      <c r="R1577" s="30" t="s">
        <v>189</v>
      </c>
      <c r="S1577" s="81">
        <f>HLOOKUP(L1577,データについて!$J$6:$M$18,13,FALSE)</f>
        <v>2</v>
      </c>
      <c r="T1577" s="81">
        <f>HLOOKUP(M1577,データについて!$J$7:$M$18,12,FALSE)</f>
        <v>2</v>
      </c>
      <c r="U1577" s="81">
        <f>HLOOKUP(N1577,データについて!$J$8:$M$18,11,FALSE)</f>
        <v>2</v>
      </c>
      <c r="V1577" s="81">
        <f>HLOOKUP(O1577,データについて!$J$9:$M$18,10,FALSE)</f>
        <v>1</v>
      </c>
      <c r="W1577" s="81">
        <f>HLOOKUP(P1577,データについて!$J$10:$M$18,9,FALSE)</f>
        <v>1</v>
      </c>
      <c r="X1577" s="81">
        <f>HLOOKUP(Q1577,データについて!$J$11:$M$18,8,FALSE)</f>
        <v>2</v>
      </c>
      <c r="Y1577" s="81">
        <f>HLOOKUP(R1577,データについて!$J$12:$M$18,7,FALSE)</f>
        <v>4</v>
      </c>
      <c r="Z1577" s="81">
        <f>HLOOKUP(I1577,データについて!$J$3:$M$18,16,FALSE)</f>
        <v>1</v>
      </c>
      <c r="AA1577" s="81">
        <f>IFERROR(HLOOKUP(J1577,データについて!$J$4:$AH$19,16,FALSE),"")</f>
        <v>15</v>
      </c>
      <c r="AB1577" s="81" t="str">
        <f>IFERROR(HLOOKUP(K1577,データについて!$J$5:$AH$20,14,FALSE),"")</f>
        <v/>
      </c>
      <c r="AC1577" s="81" t="str">
        <f>IF(X1577=1,HLOOKUP(R1577,データについて!$J$12:$M$18,7,FALSE),"*")</f>
        <v>*</v>
      </c>
      <c r="AD1577" s="81">
        <f>IF(X1577=2,HLOOKUP(R1577,データについて!$J$12:$M$18,7,FALSE),"*")</f>
        <v>4</v>
      </c>
    </row>
    <row r="1578" spans="1:30">
      <c r="A1578" s="30">
        <v>3614</v>
      </c>
      <c r="B1578" s="30" t="s">
        <v>1276</v>
      </c>
      <c r="C1578" s="30" t="s">
        <v>1277</v>
      </c>
      <c r="D1578" s="30" t="s">
        <v>106</v>
      </c>
      <c r="E1578" s="30"/>
      <c r="F1578" s="30" t="s">
        <v>107</v>
      </c>
      <c r="G1578" s="30" t="s">
        <v>106</v>
      </c>
      <c r="H1578" s="30"/>
      <c r="I1578" s="30" t="s">
        <v>192</v>
      </c>
      <c r="J1578" s="30" t="s">
        <v>611</v>
      </c>
      <c r="K1578" s="30"/>
      <c r="L1578" s="30" t="s">
        <v>117</v>
      </c>
      <c r="M1578" s="30" t="s">
        <v>113</v>
      </c>
      <c r="N1578" s="30" t="s">
        <v>114</v>
      </c>
      <c r="O1578" s="30" t="s">
        <v>115</v>
      </c>
      <c r="P1578" s="30" t="s">
        <v>112</v>
      </c>
      <c r="Q1578" s="30" t="s">
        <v>112</v>
      </c>
      <c r="R1578" s="30" t="s">
        <v>185</v>
      </c>
      <c r="S1578" s="81">
        <f>HLOOKUP(L1578,データについて!$J$6:$M$18,13,FALSE)</f>
        <v>2</v>
      </c>
      <c r="T1578" s="81">
        <f>HLOOKUP(M1578,データについて!$J$7:$M$18,12,FALSE)</f>
        <v>1</v>
      </c>
      <c r="U1578" s="81">
        <f>HLOOKUP(N1578,データについて!$J$8:$M$18,11,FALSE)</f>
        <v>1</v>
      </c>
      <c r="V1578" s="81">
        <f>HLOOKUP(O1578,データについて!$J$9:$M$18,10,FALSE)</f>
        <v>1</v>
      </c>
      <c r="W1578" s="81">
        <f>HLOOKUP(P1578,データについて!$J$10:$M$18,9,FALSE)</f>
        <v>1</v>
      </c>
      <c r="X1578" s="81">
        <f>HLOOKUP(Q1578,データについて!$J$11:$M$18,8,FALSE)</f>
        <v>1</v>
      </c>
      <c r="Y1578" s="81">
        <f>HLOOKUP(R1578,データについて!$J$12:$M$18,7,FALSE)</f>
        <v>2</v>
      </c>
      <c r="Z1578" s="81">
        <f>HLOOKUP(I1578,データについて!$J$3:$M$18,16,FALSE)</f>
        <v>1</v>
      </c>
      <c r="AA1578" s="81">
        <f>IFERROR(HLOOKUP(J1578,データについて!$J$4:$AH$19,16,FALSE),"")</f>
        <v>15</v>
      </c>
      <c r="AB1578" s="81" t="str">
        <f>IFERROR(HLOOKUP(K1578,データについて!$J$5:$AH$20,14,FALSE),"")</f>
        <v/>
      </c>
      <c r="AC1578" s="81">
        <f>IF(X1578=1,HLOOKUP(R1578,データについて!$J$12:$M$18,7,FALSE),"*")</f>
        <v>2</v>
      </c>
      <c r="AD1578" s="81" t="str">
        <f>IF(X1578=2,HLOOKUP(R1578,データについて!$J$12:$M$18,7,FALSE),"*")</f>
        <v>*</v>
      </c>
    </row>
    <row r="1579" spans="1:30">
      <c r="A1579" s="30">
        <v>3613</v>
      </c>
      <c r="B1579" s="30" t="s">
        <v>1278</v>
      </c>
      <c r="C1579" s="30" t="s">
        <v>1277</v>
      </c>
      <c r="D1579" s="30" t="s">
        <v>106</v>
      </c>
      <c r="E1579" s="30"/>
      <c r="F1579" s="30" t="s">
        <v>107</v>
      </c>
      <c r="G1579" s="30" t="s">
        <v>106</v>
      </c>
      <c r="H1579" s="30"/>
      <c r="I1579" s="30" t="s">
        <v>192</v>
      </c>
      <c r="J1579" s="30" t="s">
        <v>611</v>
      </c>
      <c r="K1579" s="30"/>
      <c r="L1579" s="30" t="s">
        <v>108</v>
      </c>
      <c r="M1579" s="30" t="s">
        <v>109</v>
      </c>
      <c r="N1579" s="30" t="s">
        <v>110</v>
      </c>
      <c r="O1579" s="30" t="s">
        <v>115</v>
      </c>
      <c r="P1579" s="30" t="s">
        <v>118</v>
      </c>
      <c r="Q1579" s="30" t="s">
        <v>112</v>
      </c>
      <c r="R1579" s="30" t="s">
        <v>185</v>
      </c>
      <c r="S1579" s="81">
        <f>HLOOKUP(L1579,データについて!$J$6:$M$18,13,FALSE)</f>
        <v>1</v>
      </c>
      <c r="T1579" s="81">
        <f>HLOOKUP(M1579,データについて!$J$7:$M$18,12,FALSE)</f>
        <v>2</v>
      </c>
      <c r="U1579" s="81">
        <f>HLOOKUP(N1579,データについて!$J$8:$M$18,11,FALSE)</f>
        <v>2</v>
      </c>
      <c r="V1579" s="81">
        <f>HLOOKUP(O1579,データについて!$J$9:$M$18,10,FALSE)</f>
        <v>1</v>
      </c>
      <c r="W1579" s="81">
        <f>HLOOKUP(P1579,データについて!$J$10:$M$18,9,FALSE)</f>
        <v>2</v>
      </c>
      <c r="X1579" s="81">
        <f>HLOOKUP(Q1579,データについて!$J$11:$M$18,8,FALSE)</f>
        <v>1</v>
      </c>
      <c r="Y1579" s="81">
        <f>HLOOKUP(R1579,データについて!$J$12:$M$18,7,FALSE)</f>
        <v>2</v>
      </c>
      <c r="Z1579" s="81">
        <f>HLOOKUP(I1579,データについて!$J$3:$M$18,16,FALSE)</f>
        <v>1</v>
      </c>
      <c r="AA1579" s="81">
        <f>IFERROR(HLOOKUP(J1579,データについて!$J$4:$AH$19,16,FALSE),"")</f>
        <v>15</v>
      </c>
      <c r="AB1579" s="81" t="str">
        <f>IFERROR(HLOOKUP(K1579,データについて!$J$5:$AH$20,14,FALSE),"")</f>
        <v/>
      </c>
      <c r="AC1579" s="81">
        <f>IF(X1579=1,HLOOKUP(R1579,データについて!$J$12:$M$18,7,FALSE),"*")</f>
        <v>2</v>
      </c>
      <c r="AD1579" s="81" t="str">
        <f>IF(X1579=2,HLOOKUP(R1579,データについて!$J$12:$M$18,7,FALSE),"*")</f>
        <v>*</v>
      </c>
    </row>
    <row r="1580" spans="1:30">
      <c r="A1580" s="30">
        <v>3612</v>
      </c>
      <c r="B1580" s="30" t="s">
        <v>1279</v>
      </c>
      <c r="C1580" s="30" t="s">
        <v>1280</v>
      </c>
      <c r="D1580" s="30" t="s">
        <v>106</v>
      </c>
      <c r="E1580" s="30"/>
      <c r="F1580" s="30" t="s">
        <v>107</v>
      </c>
      <c r="G1580" s="30" t="s">
        <v>106</v>
      </c>
      <c r="H1580" s="30"/>
      <c r="I1580" s="30" t="s">
        <v>192</v>
      </c>
      <c r="J1580" s="30" t="s">
        <v>611</v>
      </c>
      <c r="K1580" s="30"/>
      <c r="L1580" s="30" t="s">
        <v>117</v>
      </c>
      <c r="M1580" s="30" t="s">
        <v>113</v>
      </c>
      <c r="N1580" s="30" t="s">
        <v>110</v>
      </c>
      <c r="O1580" s="30" t="s">
        <v>115</v>
      </c>
      <c r="P1580" s="30" t="s">
        <v>112</v>
      </c>
      <c r="Q1580" s="30" t="s">
        <v>118</v>
      </c>
      <c r="R1580" s="30" t="s">
        <v>185</v>
      </c>
      <c r="S1580" s="81">
        <f>HLOOKUP(L1580,データについて!$J$6:$M$18,13,FALSE)</f>
        <v>2</v>
      </c>
      <c r="T1580" s="81">
        <f>HLOOKUP(M1580,データについて!$J$7:$M$18,12,FALSE)</f>
        <v>1</v>
      </c>
      <c r="U1580" s="81">
        <f>HLOOKUP(N1580,データについて!$J$8:$M$18,11,FALSE)</f>
        <v>2</v>
      </c>
      <c r="V1580" s="81">
        <f>HLOOKUP(O1580,データについて!$J$9:$M$18,10,FALSE)</f>
        <v>1</v>
      </c>
      <c r="W1580" s="81">
        <f>HLOOKUP(P1580,データについて!$J$10:$M$18,9,FALSE)</f>
        <v>1</v>
      </c>
      <c r="X1580" s="81">
        <f>HLOOKUP(Q1580,データについて!$J$11:$M$18,8,FALSE)</f>
        <v>2</v>
      </c>
      <c r="Y1580" s="81">
        <f>HLOOKUP(R1580,データについて!$J$12:$M$18,7,FALSE)</f>
        <v>2</v>
      </c>
      <c r="Z1580" s="81">
        <f>HLOOKUP(I1580,データについて!$J$3:$M$18,16,FALSE)</f>
        <v>1</v>
      </c>
      <c r="AA1580" s="81">
        <f>IFERROR(HLOOKUP(J1580,データについて!$J$4:$AH$19,16,FALSE),"")</f>
        <v>15</v>
      </c>
      <c r="AB1580" s="81" t="str">
        <f>IFERROR(HLOOKUP(K1580,データについて!$J$5:$AH$20,14,FALSE),"")</f>
        <v/>
      </c>
      <c r="AC1580" s="81" t="str">
        <f>IF(X1580=1,HLOOKUP(R1580,データについて!$J$12:$M$18,7,FALSE),"*")</f>
        <v>*</v>
      </c>
      <c r="AD1580" s="81">
        <f>IF(X1580=2,HLOOKUP(R1580,データについて!$J$12:$M$18,7,FALSE),"*")</f>
        <v>2</v>
      </c>
    </row>
    <row r="1581" spans="1:30">
      <c r="A1581" s="30">
        <v>3611</v>
      </c>
      <c r="B1581" s="30" t="s">
        <v>1281</v>
      </c>
      <c r="C1581" s="30" t="s">
        <v>1282</v>
      </c>
      <c r="D1581" s="30" t="s">
        <v>106</v>
      </c>
      <c r="E1581" s="30"/>
      <c r="F1581" s="30" t="s">
        <v>107</v>
      </c>
      <c r="G1581" s="30" t="s">
        <v>106</v>
      </c>
      <c r="H1581" s="30"/>
      <c r="I1581" s="30" t="s">
        <v>192</v>
      </c>
      <c r="J1581" s="30" t="s">
        <v>611</v>
      </c>
      <c r="K1581" s="30"/>
      <c r="L1581" s="30" t="s">
        <v>117</v>
      </c>
      <c r="M1581" s="30" t="s">
        <v>113</v>
      </c>
      <c r="N1581" s="30" t="s">
        <v>114</v>
      </c>
      <c r="O1581" s="30" t="s">
        <v>115</v>
      </c>
      <c r="P1581" s="30" t="s">
        <v>112</v>
      </c>
      <c r="Q1581" s="30" t="s">
        <v>112</v>
      </c>
      <c r="R1581" s="30" t="s">
        <v>183</v>
      </c>
      <c r="S1581" s="81">
        <f>HLOOKUP(L1581,データについて!$J$6:$M$18,13,FALSE)</f>
        <v>2</v>
      </c>
      <c r="T1581" s="81">
        <f>HLOOKUP(M1581,データについて!$J$7:$M$18,12,FALSE)</f>
        <v>1</v>
      </c>
      <c r="U1581" s="81">
        <f>HLOOKUP(N1581,データについて!$J$8:$M$18,11,FALSE)</f>
        <v>1</v>
      </c>
      <c r="V1581" s="81">
        <f>HLOOKUP(O1581,データについて!$J$9:$M$18,10,FALSE)</f>
        <v>1</v>
      </c>
      <c r="W1581" s="81">
        <f>HLOOKUP(P1581,データについて!$J$10:$M$18,9,FALSE)</f>
        <v>1</v>
      </c>
      <c r="X1581" s="81">
        <f>HLOOKUP(Q1581,データについて!$J$11:$M$18,8,FALSE)</f>
        <v>1</v>
      </c>
      <c r="Y1581" s="81">
        <f>HLOOKUP(R1581,データについて!$J$12:$M$18,7,FALSE)</f>
        <v>1</v>
      </c>
      <c r="Z1581" s="81">
        <f>HLOOKUP(I1581,データについて!$J$3:$M$18,16,FALSE)</f>
        <v>1</v>
      </c>
      <c r="AA1581" s="81">
        <f>IFERROR(HLOOKUP(J1581,データについて!$J$4:$AH$19,16,FALSE),"")</f>
        <v>15</v>
      </c>
      <c r="AB1581" s="81" t="str">
        <f>IFERROR(HLOOKUP(K1581,データについて!$J$5:$AH$20,14,FALSE),"")</f>
        <v/>
      </c>
      <c r="AC1581" s="81">
        <f>IF(X1581=1,HLOOKUP(R1581,データについて!$J$12:$M$18,7,FALSE),"*")</f>
        <v>1</v>
      </c>
      <c r="AD1581" s="81" t="str">
        <f>IF(X1581=2,HLOOKUP(R1581,データについて!$J$12:$M$18,7,FALSE),"*")</f>
        <v>*</v>
      </c>
    </row>
    <row r="1582" spans="1:30">
      <c r="A1582" s="30">
        <v>3610</v>
      </c>
      <c r="B1582" s="30" t="s">
        <v>1283</v>
      </c>
      <c r="C1582" s="30" t="s">
        <v>1284</v>
      </c>
      <c r="D1582" s="30" t="s">
        <v>106</v>
      </c>
      <c r="E1582" s="30"/>
      <c r="F1582" s="30" t="s">
        <v>107</v>
      </c>
      <c r="G1582" s="30" t="s">
        <v>106</v>
      </c>
      <c r="H1582" s="30"/>
      <c r="I1582" s="30" t="s">
        <v>192</v>
      </c>
      <c r="J1582" s="30" t="s">
        <v>611</v>
      </c>
      <c r="K1582" s="30"/>
      <c r="L1582" s="30" t="s">
        <v>117</v>
      </c>
      <c r="M1582" s="30" t="s">
        <v>113</v>
      </c>
      <c r="N1582" s="30" t="s">
        <v>114</v>
      </c>
      <c r="O1582" s="30" t="s">
        <v>115</v>
      </c>
      <c r="P1582" s="30" t="s">
        <v>112</v>
      </c>
      <c r="Q1582" s="30" t="s">
        <v>112</v>
      </c>
      <c r="R1582" s="30" t="s">
        <v>183</v>
      </c>
      <c r="S1582" s="81">
        <f>HLOOKUP(L1582,データについて!$J$6:$M$18,13,FALSE)</f>
        <v>2</v>
      </c>
      <c r="T1582" s="81">
        <f>HLOOKUP(M1582,データについて!$J$7:$M$18,12,FALSE)</f>
        <v>1</v>
      </c>
      <c r="U1582" s="81">
        <f>HLOOKUP(N1582,データについて!$J$8:$M$18,11,FALSE)</f>
        <v>1</v>
      </c>
      <c r="V1582" s="81">
        <f>HLOOKUP(O1582,データについて!$J$9:$M$18,10,FALSE)</f>
        <v>1</v>
      </c>
      <c r="W1582" s="81">
        <f>HLOOKUP(P1582,データについて!$J$10:$M$18,9,FALSE)</f>
        <v>1</v>
      </c>
      <c r="X1582" s="81">
        <f>HLOOKUP(Q1582,データについて!$J$11:$M$18,8,FALSE)</f>
        <v>1</v>
      </c>
      <c r="Y1582" s="81">
        <f>HLOOKUP(R1582,データについて!$J$12:$M$18,7,FALSE)</f>
        <v>1</v>
      </c>
      <c r="Z1582" s="81">
        <f>HLOOKUP(I1582,データについて!$J$3:$M$18,16,FALSE)</f>
        <v>1</v>
      </c>
      <c r="AA1582" s="81">
        <f>IFERROR(HLOOKUP(J1582,データについて!$J$4:$AH$19,16,FALSE),"")</f>
        <v>15</v>
      </c>
      <c r="AB1582" s="81" t="str">
        <f>IFERROR(HLOOKUP(K1582,データについて!$J$5:$AH$20,14,FALSE),"")</f>
        <v/>
      </c>
      <c r="AC1582" s="81">
        <f>IF(X1582=1,HLOOKUP(R1582,データについて!$J$12:$M$18,7,FALSE),"*")</f>
        <v>1</v>
      </c>
      <c r="AD1582" s="81" t="str">
        <f>IF(X1582=2,HLOOKUP(R1582,データについて!$J$12:$M$18,7,FALSE),"*")</f>
        <v>*</v>
      </c>
    </row>
    <row r="1583" spans="1:30">
      <c r="A1583" s="30">
        <v>3609</v>
      </c>
      <c r="B1583" s="30" t="s">
        <v>1285</v>
      </c>
      <c r="C1583" s="30" t="s">
        <v>1286</v>
      </c>
      <c r="D1583" s="30" t="s">
        <v>106</v>
      </c>
      <c r="E1583" s="30"/>
      <c r="F1583" s="30" t="s">
        <v>107</v>
      </c>
      <c r="G1583" s="30" t="s">
        <v>106</v>
      </c>
      <c r="H1583" s="30"/>
      <c r="I1583" s="30" t="s">
        <v>192</v>
      </c>
      <c r="J1583" s="30" t="s">
        <v>611</v>
      </c>
      <c r="K1583" s="30"/>
      <c r="L1583" s="30" t="s">
        <v>117</v>
      </c>
      <c r="M1583" s="30" t="s">
        <v>113</v>
      </c>
      <c r="N1583" s="30" t="s">
        <v>114</v>
      </c>
      <c r="O1583" s="30" t="s">
        <v>115</v>
      </c>
      <c r="P1583" s="30" t="s">
        <v>112</v>
      </c>
      <c r="Q1583" s="30" t="s">
        <v>112</v>
      </c>
      <c r="R1583" s="30" t="s">
        <v>183</v>
      </c>
      <c r="S1583" s="81">
        <f>HLOOKUP(L1583,データについて!$J$6:$M$18,13,FALSE)</f>
        <v>2</v>
      </c>
      <c r="T1583" s="81">
        <f>HLOOKUP(M1583,データについて!$J$7:$M$18,12,FALSE)</f>
        <v>1</v>
      </c>
      <c r="U1583" s="81">
        <f>HLOOKUP(N1583,データについて!$J$8:$M$18,11,FALSE)</f>
        <v>1</v>
      </c>
      <c r="V1583" s="81">
        <f>HLOOKUP(O1583,データについて!$J$9:$M$18,10,FALSE)</f>
        <v>1</v>
      </c>
      <c r="W1583" s="81">
        <f>HLOOKUP(P1583,データについて!$J$10:$M$18,9,FALSE)</f>
        <v>1</v>
      </c>
      <c r="X1583" s="81">
        <f>HLOOKUP(Q1583,データについて!$J$11:$M$18,8,FALSE)</f>
        <v>1</v>
      </c>
      <c r="Y1583" s="81">
        <f>HLOOKUP(R1583,データについて!$J$12:$M$18,7,FALSE)</f>
        <v>1</v>
      </c>
      <c r="Z1583" s="81">
        <f>HLOOKUP(I1583,データについて!$J$3:$M$18,16,FALSE)</f>
        <v>1</v>
      </c>
      <c r="AA1583" s="81">
        <f>IFERROR(HLOOKUP(J1583,データについて!$J$4:$AH$19,16,FALSE),"")</f>
        <v>15</v>
      </c>
      <c r="AB1583" s="81" t="str">
        <f>IFERROR(HLOOKUP(K1583,データについて!$J$5:$AH$20,14,FALSE),"")</f>
        <v/>
      </c>
      <c r="AC1583" s="81">
        <f>IF(X1583=1,HLOOKUP(R1583,データについて!$J$12:$M$18,7,FALSE),"*")</f>
        <v>1</v>
      </c>
      <c r="AD1583" s="81" t="str">
        <f>IF(X1583=2,HLOOKUP(R1583,データについて!$J$12:$M$18,7,FALSE),"*")</f>
        <v>*</v>
      </c>
    </row>
    <row r="1584" spans="1:30">
      <c r="A1584" s="30">
        <v>3608</v>
      </c>
      <c r="B1584" s="30" t="s">
        <v>1287</v>
      </c>
      <c r="C1584" s="30" t="s">
        <v>1288</v>
      </c>
      <c r="D1584" s="30" t="s">
        <v>106</v>
      </c>
      <c r="E1584" s="30"/>
      <c r="F1584" s="30" t="s">
        <v>107</v>
      </c>
      <c r="G1584" s="30" t="s">
        <v>106</v>
      </c>
      <c r="H1584" s="30"/>
      <c r="I1584" s="30" t="s">
        <v>192</v>
      </c>
      <c r="J1584" s="30" t="s">
        <v>611</v>
      </c>
      <c r="K1584" s="30"/>
      <c r="L1584" s="30" t="s">
        <v>108</v>
      </c>
      <c r="M1584" s="30" t="s">
        <v>109</v>
      </c>
      <c r="N1584" s="30" t="s">
        <v>110</v>
      </c>
      <c r="O1584" s="30" t="s">
        <v>115</v>
      </c>
      <c r="P1584" s="30" t="s">
        <v>112</v>
      </c>
      <c r="Q1584" s="30" t="s">
        <v>112</v>
      </c>
      <c r="R1584" s="30" t="s">
        <v>185</v>
      </c>
      <c r="S1584" s="81">
        <f>HLOOKUP(L1584,データについて!$J$6:$M$18,13,FALSE)</f>
        <v>1</v>
      </c>
      <c r="T1584" s="81">
        <f>HLOOKUP(M1584,データについて!$J$7:$M$18,12,FALSE)</f>
        <v>2</v>
      </c>
      <c r="U1584" s="81">
        <f>HLOOKUP(N1584,データについて!$J$8:$M$18,11,FALSE)</f>
        <v>2</v>
      </c>
      <c r="V1584" s="81">
        <f>HLOOKUP(O1584,データについて!$J$9:$M$18,10,FALSE)</f>
        <v>1</v>
      </c>
      <c r="W1584" s="81">
        <f>HLOOKUP(P1584,データについて!$J$10:$M$18,9,FALSE)</f>
        <v>1</v>
      </c>
      <c r="X1584" s="81">
        <f>HLOOKUP(Q1584,データについて!$J$11:$M$18,8,FALSE)</f>
        <v>1</v>
      </c>
      <c r="Y1584" s="81">
        <f>HLOOKUP(R1584,データについて!$J$12:$M$18,7,FALSE)</f>
        <v>2</v>
      </c>
      <c r="Z1584" s="81">
        <f>HLOOKUP(I1584,データについて!$J$3:$M$18,16,FALSE)</f>
        <v>1</v>
      </c>
      <c r="AA1584" s="81">
        <f>IFERROR(HLOOKUP(J1584,データについて!$J$4:$AH$19,16,FALSE),"")</f>
        <v>15</v>
      </c>
      <c r="AB1584" s="81" t="str">
        <f>IFERROR(HLOOKUP(K1584,データについて!$J$5:$AH$20,14,FALSE),"")</f>
        <v/>
      </c>
      <c r="AC1584" s="81">
        <f>IF(X1584=1,HLOOKUP(R1584,データについて!$J$12:$M$18,7,FALSE),"*")</f>
        <v>2</v>
      </c>
      <c r="AD1584" s="81" t="str">
        <f>IF(X1584=2,HLOOKUP(R1584,データについて!$J$12:$M$18,7,FALSE),"*")</f>
        <v>*</v>
      </c>
    </row>
    <row r="1585" spans="1:30">
      <c r="A1585" s="30">
        <v>3607</v>
      </c>
      <c r="B1585" s="30" t="s">
        <v>1289</v>
      </c>
      <c r="C1585" s="30" t="s">
        <v>1288</v>
      </c>
      <c r="D1585" s="30" t="s">
        <v>106</v>
      </c>
      <c r="E1585" s="30"/>
      <c r="F1585" s="30" t="s">
        <v>107</v>
      </c>
      <c r="G1585" s="30" t="s">
        <v>106</v>
      </c>
      <c r="H1585" s="30"/>
      <c r="I1585" s="30" t="s">
        <v>192</v>
      </c>
      <c r="J1585" s="30" t="s">
        <v>611</v>
      </c>
      <c r="K1585" s="30"/>
      <c r="L1585" s="30" t="s">
        <v>117</v>
      </c>
      <c r="M1585" s="30" t="s">
        <v>113</v>
      </c>
      <c r="N1585" s="30" t="s">
        <v>110</v>
      </c>
      <c r="O1585" s="30" t="s">
        <v>115</v>
      </c>
      <c r="P1585" s="30" t="s">
        <v>112</v>
      </c>
      <c r="Q1585" s="30" t="s">
        <v>112</v>
      </c>
      <c r="R1585" s="30" t="s">
        <v>189</v>
      </c>
      <c r="S1585" s="81">
        <f>HLOOKUP(L1585,データについて!$J$6:$M$18,13,FALSE)</f>
        <v>2</v>
      </c>
      <c r="T1585" s="81">
        <f>HLOOKUP(M1585,データについて!$J$7:$M$18,12,FALSE)</f>
        <v>1</v>
      </c>
      <c r="U1585" s="81">
        <f>HLOOKUP(N1585,データについて!$J$8:$M$18,11,FALSE)</f>
        <v>2</v>
      </c>
      <c r="V1585" s="81">
        <f>HLOOKUP(O1585,データについて!$J$9:$M$18,10,FALSE)</f>
        <v>1</v>
      </c>
      <c r="W1585" s="81">
        <f>HLOOKUP(P1585,データについて!$J$10:$M$18,9,FALSE)</f>
        <v>1</v>
      </c>
      <c r="X1585" s="81">
        <f>HLOOKUP(Q1585,データについて!$J$11:$M$18,8,FALSE)</f>
        <v>1</v>
      </c>
      <c r="Y1585" s="81">
        <f>HLOOKUP(R1585,データについて!$J$12:$M$18,7,FALSE)</f>
        <v>4</v>
      </c>
      <c r="Z1585" s="81">
        <f>HLOOKUP(I1585,データについて!$J$3:$M$18,16,FALSE)</f>
        <v>1</v>
      </c>
      <c r="AA1585" s="81">
        <f>IFERROR(HLOOKUP(J1585,データについて!$J$4:$AH$19,16,FALSE),"")</f>
        <v>15</v>
      </c>
      <c r="AB1585" s="81" t="str">
        <f>IFERROR(HLOOKUP(K1585,データについて!$J$5:$AH$20,14,FALSE),"")</f>
        <v/>
      </c>
      <c r="AC1585" s="81">
        <f>IF(X1585=1,HLOOKUP(R1585,データについて!$J$12:$M$18,7,FALSE),"*")</f>
        <v>4</v>
      </c>
      <c r="AD1585" s="81" t="str">
        <f>IF(X1585=2,HLOOKUP(R1585,データについて!$J$12:$M$18,7,FALSE),"*")</f>
        <v>*</v>
      </c>
    </row>
    <row r="1586" spans="1:30">
      <c r="A1586" s="30">
        <v>3606</v>
      </c>
      <c r="B1586" s="30" t="s">
        <v>1290</v>
      </c>
      <c r="C1586" s="30" t="s">
        <v>1288</v>
      </c>
      <c r="D1586" s="30" t="s">
        <v>106</v>
      </c>
      <c r="E1586" s="30"/>
      <c r="F1586" s="30" t="s">
        <v>107</v>
      </c>
      <c r="G1586" s="30" t="s">
        <v>106</v>
      </c>
      <c r="H1586" s="30"/>
      <c r="I1586" s="30" t="s">
        <v>192</v>
      </c>
      <c r="J1586" s="30" t="s">
        <v>611</v>
      </c>
      <c r="K1586" s="30"/>
      <c r="L1586" s="30" t="s">
        <v>117</v>
      </c>
      <c r="M1586" s="30" t="s">
        <v>113</v>
      </c>
      <c r="N1586" s="30" t="s">
        <v>110</v>
      </c>
      <c r="O1586" s="30" t="s">
        <v>115</v>
      </c>
      <c r="P1586" s="30" t="s">
        <v>112</v>
      </c>
      <c r="Q1586" s="30" t="s">
        <v>112</v>
      </c>
      <c r="R1586" s="30" t="s">
        <v>183</v>
      </c>
      <c r="S1586" s="81">
        <f>HLOOKUP(L1586,データについて!$J$6:$M$18,13,FALSE)</f>
        <v>2</v>
      </c>
      <c r="T1586" s="81">
        <f>HLOOKUP(M1586,データについて!$J$7:$M$18,12,FALSE)</f>
        <v>1</v>
      </c>
      <c r="U1586" s="81">
        <f>HLOOKUP(N1586,データについて!$J$8:$M$18,11,FALSE)</f>
        <v>2</v>
      </c>
      <c r="V1586" s="81">
        <f>HLOOKUP(O1586,データについて!$J$9:$M$18,10,FALSE)</f>
        <v>1</v>
      </c>
      <c r="W1586" s="81">
        <f>HLOOKUP(P1586,データについて!$J$10:$M$18,9,FALSE)</f>
        <v>1</v>
      </c>
      <c r="X1586" s="81">
        <f>HLOOKUP(Q1586,データについて!$J$11:$M$18,8,FALSE)</f>
        <v>1</v>
      </c>
      <c r="Y1586" s="81">
        <f>HLOOKUP(R1586,データについて!$J$12:$M$18,7,FALSE)</f>
        <v>1</v>
      </c>
      <c r="Z1586" s="81">
        <f>HLOOKUP(I1586,データについて!$J$3:$M$18,16,FALSE)</f>
        <v>1</v>
      </c>
      <c r="AA1586" s="81">
        <f>IFERROR(HLOOKUP(J1586,データについて!$J$4:$AH$19,16,FALSE),"")</f>
        <v>15</v>
      </c>
      <c r="AB1586" s="81" t="str">
        <f>IFERROR(HLOOKUP(K1586,データについて!$J$5:$AH$20,14,FALSE),"")</f>
        <v/>
      </c>
      <c r="AC1586" s="81">
        <f>IF(X1586=1,HLOOKUP(R1586,データについて!$J$12:$M$18,7,FALSE),"*")</f>
        <v>1</v>
      </c>
      <c r="AD1586" s="81" t="str">
        <f>IF(X1586=2,HLOOKUP(R1586,データについて!$J$12:$M$18,7,FALSE),"*")</f>
        <v>*</v>
      </c>
    </row>
    <row r="1587" spans="1:30">
      <c r="A1587" s="30">
        <v>3605</v>
      </c>
      <c r="B1587" s="30" t="s">
        <v>1291</v>
      </c>
      <c r="C1587" s="30" t="s">
        <v>1292</v>
      </c>
      <c r="D1587" s="30" t="s">
        <v>106</v>
      </c>
      <c r="E1587" s="30"/>
      <c r="F1587" s="30" t="s">
        <v>107</v>
      </c>
      <c r="G1587" s="30" t="s">
        <v>106</v>
      </c>
      <c r="H1587" s="30"/>
      <c r="I1587" s="30" t="s">
        <v>192</v>
      </c>
      <c r="J1587" s="30" t="s">
        <v>611</v>
      </c>
      <c r="K1587" s="30"/>
      <c r="L1587" s="30" t="s">
        <v>117</v>
      </c>
      <c r="M1587" s="30" t="s">
        <v>113</v>
      </c>
      <c r="N1587" s="30" t="s">
        <v>110</v>
      </c>
      <c r="O1587" s="30" t="s">
        <v>115</v>
      </c>
      <c r="P1587" s="30" t="s">
        <v>112</v>
      </c>
      <c r="Q1587" s="30" t="s">
        <v>112</v>
      </c>
      <c r="R1587" s="30" t="s">
        <v>185</v>
      </c>
      <c r="S1587" s="81">
        <f>HLOOKUP(L1587,データについて!$J$6:$M$18,13,FALSE)</f>
        <v>2</v>
      </c>
      <c r="T1587" s="81">
        <f>HLOOKUP(M1587,データについて!$J$7:$M$18,12,FALSE)</f>
        <v>1</v>
      </c>
      <c r="U1587" s="81">
        <f>HLOOKUP(N1587,データについて!$J$8:$M$18,11,FALSE)</f>
        <v>2</v>
      </c>
      <c r="V1587" s="81">
        <f>HLOOKUP(O1587,データについて!$J$9:$M$18,10,FALSE)</f>
        <v>1</v>
      </c>
      <c r="W1587" s="81">
        <f>HLOOKUP(P1587,データについて!$J$10:$M$18,9,FALSE)</f>
        <v>1</v>
      </c>
      <c r="X1587" s="81">
        <f>HLOOKUP(Q1587,データについて!$J$11:$M$18,8,FALSE)</f>
        <v>1</v>
      </c>
      <c r="Y1587" s="81">
        <f>HLOOKUP(R1587,データについて!$J$12:$M$18,7,FALSE)</f>
        <v>2</v>
      </c>
      <c r="Z1587" s="81">
        <f>HLOOKUP(I1587,データについて!$J$3:$M$18,16,FALSE)</f>
        <v>1</v>
      </c>
      <c r="AA1587" s="81">
        <f>IFERROR(HLOOKUP(J1587,データについて!$J$4:$AH$19,16,FALSE),"")</f>
        <v>15</v>
      </c>
      <c r="AB1587" s="81" t="str">
        <f>IFERROR(HLOOKUP(K1587,データについて!$J$5:$AH$20,14,FALSE),"")</f>
        <v/>
      </c>
      <c r="AC1587" s="81">
        <f>IF(X1587=1,HLOOKUP(R1587,データについて!$J$12:$M$18,7,FALSE),"*")</f>
        <v>2</v>
      </c>
      <c r="AD1587" s="81" t="str">
        <f>IF(X1587=2,HLOOKUP(R1587,データについて!$J$12:$M$18,7,FALSE),"*")</f>
        <v>*</v>
      </c>
    </row>
    <row r="1588" spans="1:30">
      <c r="A1588" s="30">
        <v>3604</v>
      </c>
      <c r="B1588" s="30" t="s">
        <v>1293</v>
      </c>
      <c r="C1588" s="30" t="s">
        <v>1294</v>
      </c>
      <c r="D1588" s="30" t="s">
        <v>106</v>
      </c>
      <c r="E1588" s="30"/>
      <c r="F1588" s="30" t="s">
        <v>107</v>
      </c>
      <c r="G1588" s="30" t="s">
        <v>106</v>
      </c>
      <c r="H1588" s="30"/>
      <c r="I1588" s="30" t="s">
        <v>192</v>
      </c>
      <c r="J1588" s="30" t="s">
        <v>611</v>
      </c>
      <c r="K1588" s="30"/>
      <c r="L1588" s="30" t="s">
        <v>108</v>
      </c>
      <c r="M1588" s="30" t="s">
        <v>113</v>
      </c>
      <c r="N1588" s="30" t="s">
        <v>114</v>
      </c>
      <c r="O1588" s="30" t="s">
        <v>116</v>
      </c>
      <c r="P1588" s="30" t="s">
        <v>112</v>
      </c>
      <c r="Q1588" s="30" t="s">
        <v>112</v>
      </c>
      <c r="R1588" s="30" t="s">
        <v>187</v>
      </c>
      <c r="S1588" s="81">
        <f>HLOOKUP(L1588,データについて!$J$6:$M$18,13,FALSE)</f>
        <v>1</v>
      </c>
      <c r="T1588" s="81">
        <f>HLOOKUP(M1588,データについて!$J$7:$M$18,12,FALSE)</f>
        <v>1</v>
      </c>
      <c r="U1588" s="81">
        <f>HLOOKUP(N1588,データについて!$J$8:$M$18,11,FALSE)</f>
        <v>1</v>
      </c>
      <c r="V1588" s="81">
        <f>HLOOKUP(O1588,データについて!$J$9:$M$18,10,FALSE)</f>
        <v>2</v>
      </c>
      <c r="W1588" s="81">
        <f>HLOOKUP(P1588,データについて!$J$10:$M$18,9,FALSE)</f>
        <v>1</v>
      </c>
      <c r="X1588" s="81">
        <f>HLOOKUP(Q1588,データについて!$J$11:$M$18,8,FALSE)</f>
        <v>1</v>
      </c>
      <c r="Y1588" s="81">
        <f>HLOOKUP(R1588,データについて!$J$12:$M$18,7,FALSE)</f>
        <v>3</v>
      </c>
      <c r="Z1588" s="81">
        <f>HLOOKUP(I1588,データについて!$J$3:$M$18,16,FALSE)</f>
        <v>1</v>
      </c>
      <c r="AA1588" s="81">
        <f>IFERROR(HLOOKUP(J1588,データについて!$J$4:$AH$19,16,FALSE),"")</f>
        <v>15</v>
      </c>
      <c r="AB1588" s="81" t="str">
        <f>IFERROR(HLOOKUP(K1588,データについて!$J$5:$AH$20,14,FALSE),"")</f>
        <v/>
      </c>
      <c r="AC1588" s="81">
        <f>IF(X1588=1,HLOOKUP(R1588,データについて!$J$12:$M$18,7,FALSE),"*")</f>
        <v>3</v>
      </c>
      <c r="AD1588" s="81" t="str">
        <f>IF(X1588=2,HLOOKUP(R1588,データについて!$J$12:$M$18,7,FALSE),"*")</f>
        <v>*</v>
      </c>
    </row>
    <row r="1589" spans="1:30">
      <c r="A1589" s="30">
        <v>3603</v>
      </c>
      <c r="B1589" s="30" t="s">
        <v>1295</v>
      </c>
      <c r="C1589" s="30" t="s">
        <v>1296</v>
      </c>
      <c r="D1589" s="30" t="s">
        <v>106</v>
      </c>
      <c r="E1589" s="30"/>
      <c r="F1589" s="30" t="s">
        <v>107</v>
      </c>
      <c r="G1589" s="30" t="s">
        <v>106</v>
      </c>
      <c r="H1589" s="30"/>
      <c r="I1589" s="30" t="s">
        <v>192</v>
      </c>
      <c r="J1589" s="30" t="s">
        <v>611</v>
      </c>
      <c r="K1589" s="30"/>
      <c r="L1589" s="30" t="s">
        <v>108</v>
      </c>
      <c r="M1589" s="30" t="s">
        <v>109</v>
      </c>
      <c r="N1589" s="30" t="s">
        <v>114</v>
      </c>
      <c r="O1589" s="30" t="s">
        <v>115</v>
      </c>
      <c r="P1589" s="30" t="s">
        <v>112</v>
      </c>
      <c r="Q1589" s="30" t="s">
        <v>112</v>
      </c>
      <c r="R1589" s="30" t="s">
        <v>183</v>
      </c>
      <c r="S1589" s="81">
        <f>HLOOKUP(L1589,データについて!$J$6:$M$18,13,FALSE)</f>
        <v>1</v>
      </c>
      <c r="T1589" s="81">
        <f>HLOOKUP(M1589,データについて!$J$7:$M$18,12,FALSE)</f>
        <v>2</v>
      </c>
      <c r="U1589" s="81">
        <f>HLOOKUP(N1589,データについて!$J$8:$M$18,11,FALSE)</f>
        <v>1</v>
      </c>
      <c r="V1589" s="81">
        <f>HLOOKUP(O1589,データについて!$J$9:$M$18,10,FALSE)</f>
        <v>1</v>
      </c>
      <c r="W1589" s="81">
        <f>HLOOKUP(P1589,データについて!$J$10:$M$18,9,FALSE)</f>
        <v>1</v>
      </c>
      <c r="X1589" s="81">
        <f>HLOOKUP(Q1589,データについて!$J$11:$M$18,8,FALSE)</f>
        <v>1</v>
      </c>
      <c r="Y1589" s="81">
        <f>HLOOKUP(R1589,データについて!$J$12:$M$18,7,FALSE)</f>
        <v>1</v>
      </c>
      <c r="Z1589" s="81">
        <f>HLOOKUP(I1589,データについて!$J$3:$M$18,16,FALSE)</f>
        <v>1</v>
      </c>
      <c r="AA1589" s="81">
        <f>IFERROR(HLOOKUP(J1589,データについて!$J$4:$AH$19,16,FALSE),"")</f>
        <v>15</v>
      </c>
      <c r="AB1589" s="81" t="str">
        <f>IFERROR(HLOOKUP(K1589,データについて!$J$5:$AH$20,14,FALSE),"")</f>
        <v/>
      </c>
      <c r="AC1589" s="81">
        <f>IF(X1589=1,HLOOKUP(R1589,データについて!$J$12:$M$18,7,FALSE),"*")</f>
        <v>1</v>
      </c>
      <c r="AD1589" s="81" t="str">
        <f>IF(X1589=2,HLOOKUP(R1589,データについて!$J$12:$M$18,7,FALSE),"*")</f>
        <v>*</v>
      </c>
    </row>
    <row r="1590" spans="1:30">
      <c r="A1590" s="30">
        <v>3602</v>
      </c>
      <c r="B1590" s="30" t="s">
        <v>1297</v>
      </c>
      <c r="C1590" s="30" t="s">
        <v>1298</v>
      </c>
      <c r="D1590" s="30" t="s">
        <v>106</v>
      </c>
      <c r="E1590" s="30"/>
      <c r="F1590" s="30" t="s">
        <v>107</v>
      </c>
      <c r="G1590" s="30" t="s">
        <v>106</v>
      </c>
      <c r="H1590" s="30"/>
      <c r="I1590" s="30" t="s">
        <v>192</v>
      </c>
      <c r="J1590" s="30" t="s">
        <v>611</v>
      </c>
      <c r="K1590" s="30"/>
      <c r="L1590" s="30" t="s">
        <v>108</v>
      </c>
      <c r="M1590" s="30" t="s">
        <v>109</v>
      </c>
      <c r="N1590" s="30" t="s">
        <v>114</v>
      </c>
      <c r="O1590" s="30" t="s">
        <v>111</v>
      </c>
      <c r="P1590" s="30" t="s">
        <v>112</v>
      </c>
      <c r="Q1590" s="30" t="s">
        <v>112</v>
      </c>
      <c r="R1590" s="30" t="s">
        <v>187</v>
      </c>
      <c r="S1590" s="81">
        <f>HLOOKUP(L1590,データについて!$J$6:$M$18,13,FALSE)</f>
        <v>1</v>
      </c>
      <c r="T1590" s="81">
        <f>HLOOKUP(M1590,データについて!$J$7:$M$18,12,FALSE)</f>
        <v>2</v>
      </c>
      <c r="U1590" s="81">
        <f>HLOOKUP(N1590,データについて!$J$8:$M$18,11,FALSE)</f>
        <v>1</v>
      </c>
      <c r="V1590" s="81">
        <f>HLOOKUP(O1590,データについて!$J$9:$M$18,10,FALSE)</f>
        <v>3</v>
      </c>
      <c r="W1590" s="81">
        <f>HLOOKUP(P1590,データについて!$J$10:$M$18,9,FALSE)</f>
        <v>1</v>
      </c>
      <c r="X1590" s="81">
        <f>HLOOKUP(Q1590,データについて!$J$11:$M$18,8,FALSE)</f>
        <v>1</v>
      </c>
      <c r="Y1590" s="81">
        <f>HLOOKUP(R1590,データについて!$J$12:$M$18,7,FALSE)</f>
        <v>3</v>
      </c>
      <c r="Z1590" s="81">
        <f>HLOOKUP(I1590,データについて!$J$3:$M$18,16,FALSE)</f>
        <v>1</v>
      </c>
      <c r="AA1590" s="81">
        <f>IFERROR(HLOOKUP(J1590,データについて!$J$4:$AH$19,16,FALSE),"")</f>
        <v>15</v>
      </c>
      <c r="AB1590" s="81" t="str">
        <f>IFERROR(HLOOKUP(K1590,データについて!$J$5:$AH$20,14,FALSE),"")</f>
        <v/>
      </c>
      <c r="AC1590" s="81">
        <f>IF(X1590=1,HLOOKUP(R1590,データについて!$J$12:$M$18,7,FALSE),"*")</f>
        <v>3</v>
      </c>
      <c r="AD1590" s="81" t="str">
        <f>IF(X1590=2,HLOOKUP(R1590,データについて!$J$12:$M$18,7,FALSE),"*")</f>
        <v>*</v>
      </c>
    </row>
    <row r="1591" spans="1:30">
      <c r="A1591" s="30">
        <v>3601</v>
      </c>
      <c r="B1591" s="30" t="s">
        <v>1299</v>
      </c>
      <c r="C1591" s="30" t="s">
        <v>1300</v>
      </c>
      <c r="D1591" s="30" t="s">
        <v>106</v>
      </c>
      <c r="E1591" s="30"/>
      <c r="F1591" s="30" t="s">
        <v>107</v>
      </c>
      <c r="G1591" s="30" t="s">
        <v>106</v>
      </c>
      <c r="H1591" s="30"/>
      <c r="I1591" s="30" t="s">
        <v>192</v>
      </c>
      <c r="J1591" s="30" t="s">
        <v>611</v>
      </c>
      <c r="K1591" s="30"/>
      <c r="L1591" s="30" t="s">
        <v>108</v>
      </c>
      <c r="M1591" s="30" t="s">
        <v>113</v>
      </c>
      <c r="N1591" s="30" t="s">
        <v>114</v>
      </c>
      <c r="O1591" s="30" t="s">
        <v>115</v>
      </c>
      <c r="P1591" s="30" t="s">
        <v>112</v>
      </c>
      <c r="Q1591" s="30" t="s">
        <v>112</v>
      </c>
      <c r="R1591" s="30" t="s">
        <v>185</v>
      </c>
      <c r="S1591" s="81">
        <f>HLOOKUP(L1591,データについて!$J$6:$M$18,13,FALSE)</f>
        <v>1</v>
      </c>
      <c r="T1591" s="81">
        <f>HLOOKUP(M1591,データについて!$J$7:$M$18,12,FALSE)</f>
        <v>1</v>
      </c>
      <c r="U1591" s="81">
        <f>HLOOKUP(N1591,データについて!$J$8:$M$18,11,FALSE)</f>
        <v>1</v>
      </c>
      <c r="V1591" s="81">
        <f>HLOOKUP(O1591,データについて!$J$9:$M$18,10,FALSE)</f>
        <v>1</v>
      </c>
      <c r="W1591" s="81">
        <f>HLOOKUP(P1591,データについて!$J$10:$M$18,9,FALSE)</f>
        <v>1</v>
      </c>
      <c r="X1591" s="81">
        <f>HLOOKUP(Q1591,データについて!$J$11:$M$18,8,FALSE)</f>
        <v>1</v>
      </c>
      <c r="Y1591" s="81">
        <f>HLOOKUP(R1591,データについて!$J$12:$M$18,7,FALSE)</f>
        <v>2</v>
      </c>
      <c r="Z1591" s="81">
        <f>HLOOKUP(I1591,データについて!$J$3:$M$18,16,FALSE)</f>
        <v>1</v>
      </c>
      <c r="AA1591" s="81">
        <f>IFERROR(HLOOKUP(J1591,データについて!$J$4:$AH$19,16,FALSE),"")</f>
        <v>15</v>
      </c>
      <c r="AB1591" s="81" t="str">
        <f>IFERROR(HLOOKUP(K1591,データについて!$J$5:$AH$20,14,FALSE),"")</f>
        <v/>
      </c>
      <c r="AC1591" s="81">
        <f>IF(X1591=1,HLOOKUP(R1591,データについて!$J$12:$M$18,7,FALSE),"*")</f>
        <v>2</v>
      </c>
      <c r="AD1591" s="81" t="str">
        <f>IF(X1591=2,HLOOKUP(R1591,データについて!$J$12:$M$18,7,FALSE),"*")</f>
        <v>*</v>
      </c>
    </row>
    <row r="1592" spans="1:30">
      <c r="A1592" s="30">
        <v>3600</v>
      </c>
      <c r="B1592" s="30" t="s">
        <v>1301</v>
      </c>
      <c r="C1592" s="30" t="s">
        <v>1302</v>
      </c>
      <c r="D1592" s="30" t="s">
        <v>106</v>
      </c>
      <c r="E1592" s="30"/>
      <c r="F1592" s="30" t="s">
        <v>107</v>
      </c>
      <c r="G1592" s="30" t="s">
        <v>106</v>
      </c>
      <c r="H1592" s="30"/>
      <c r="I1592" s="30" t="s">
        <v>192</v>
      </c>
      <c r="J1592" s="30" t="s">
        <v>611</v>
      </c>
      <c r="K1592" s="30"/>
      <c r="L1592" s="30" t="s">
        <v>108</v>
      </c>
      <c r="M1592" s="30" t="s">
        <v>109</v>
      </c>
      <c r="N1592" s="30" t="s">
        <v>110</v>
      </c>
      <c r="O1592" s="30" t="s">
        <v>115</v>
      </c>
      <c r="P1592" s="30" t="s">
        <v>112</v>
      </c>
      <c r="Q1592" s="30" t="s">
        <v>112</v>
      </c>
      <c r="R1592" s="30" t="s">
        <v>187</v>
      </c>
      <c r="S1592" s="81">
        <f>HLOOKUP(L1592,データについて!$J$6:$M$18,13,FALSE)</f>
        <v>1</v>
      </c>
      <c r="T1592" s="81">
        <f>HLOOKUP(M1592,データについて!$J$7:$M$18,12,FALSE)</f>
        <v>2</v>
      </c>
      <c r="U1592" s="81">
        <f>HLOOKUP(N1592,データについて!$J$8:$M$18,11,FALSE)</f>
        <v>2</v>
      </c>
      <c r="V1592" s="81">
        <f>HLOOKUP(O1592,データについて!$J$9:$M$18,10,FALSE)</f>
        <v>1</v>
      </c>
      <c r="W1592" s="81">
        <f>HLOOKUP(P1592,データについて!$J$10:$M$18,9,FALSE)</f>
        <v>1</v>
      </c>
      <c r="X1592" s="81">
        <f>HLOOKUP(Q1592,データについて!$J$11:$M$18,8,FALSE)</f>
        <v>1</v>
      </c>
      <c r="Y1592" s="81">
        <f>HLOOKUP(R1592,データについて!$J$12:$M$18,7,FALSE)</f>
        <v>3</v>
      </c>
      <c r="Z1592" s="81">
        <f>HLOOKUP(I1592,データについて!$J$3:$M$18,16,FALSE)</f>
        <v>1</v>
      </c>
      <c r="AA1592" s="81">
        <f>IFERROR(HLOOKUP(J1592,データについて!$J$4:$AH$19,16,FALSE),"")</f>
        <v>15</v>
      </c>
      <c r="AB1592" s="81" t="str">
        <f>IFERROR(HLOOKUP(K1592,データについて!$J$5:$AH$20,14,FALSE),"")</f>
        <v/>
      </c>
      <c r="AC1592" s="81">
        <f>IF(X1592=1,HLOOKUP(R1592,データについて!$J$12:$M$18,7,FALSE),"*")</f>
        <v>3</v>
      </c>
      <c r="AD1592" s="81" t="str">
        <f>IF(X1592=2,HLOOKUP(R1592,データについて!$J$12:$M$18,7,FALSE),"*")</f>
        <v>*</v>
      </c>
    </row>
    <row r="1593" spans="1:30">
      <c r="A1593" s="30">
        <v>3599</v>
      </c>
      <c r="B1593" s="30" t="s">
        <v>1303</v>
      </c>
      <c r="C1593" s="30" t="s">
        <v>1304</v>
      </c>
      <c r="D1593" s="30" t="s">
        <v>106</v>
      </c>
      <c r="E1593" s="30"/>
      <c r="F1593" s="30" t="s">
        <v>107</v>
      </c>
      <c r="G1593" s="30" t="s">
        <v>106</v>
      </c>
      <c r="H1593" s="30"/>
      <c r="I1593" s="30" t="s">
        <v>192</v>
      </c>
      <c r="J1593" s="30" t="s">
        <v>611</v>
      </c>
      <c r="K1593" s="30"/>
      <c r="L1593" s="30" t="s">
        <v>117</v>
      </c>
      <c r="M1593" s="30" t="s">
        <v>113</v>
      </c>
      <c r="N1593" s="30" t="s">
        <v>110</v>
      </c>
      <c r="O1593" s="30" t="s">
        <v>115</v>
      </c>
      <c r="P1593" s="30" t="s">
        <v>112</v>
      </c>
      <c r="Q1593" s="30" t="s">
        <v>112</v>
      </c>
      <c r="R1593" s="30" t="s">
        <v>189</v>
      </c>
      <c r="S1593" s="81">
        <f>HLOOKUP(L1593,データについて!$J$6:$M$18,13,FALSE)</f>
        <v>2</v>
      </c>
      <c r="T1593" s="81">
        <f>HLOOKUP(M1593,データについて!$J$7:$M$18,12,FALSE)</f>
        <v>1</v>
      </c>
      <c r="U1593" s="81">
        <f>HLOOKUP(N1593,データについて!$J$8:$M$18,11,FALSE)</f>
        <v>2</v>
      </c>
      <c r="V1593" s="81">
        <f>HLOOKUP(O1593,データについて!$J$9:$M$18,10,FALSE)</f>
        <v>1</v>
      </c>
      <c r="W1593" s="81">
        <f>HLOOKUP(P1593,データについて!$J$10:$M$18,9,FALSE)</f>
        <v>1</v>
      </c>
      <c r="X1593" s="81">
        <f>HLOOKUP(Q1593,データについて!$J$11:$M$18,8,FALSE)</f>
        <v>1</v>
      </c>
      <c r="Y1593" s="81">
        <f>HLOOKUP(R1593,データについて!$J$12:$M$18,7,FALSE)</f>
        <v>4</v>
      </c>
      <c r="Z1593" s="81">
        <f>HLOOKUP(I1593,データについて!$J$3:$M$18,16,FALSE)</f>
        <v>1</v>
      </c>
      <c r="AA1593" s="81">
        <f>IFERROR(HLOOKUP(J1593,データについて!$J$4:$AH$19,16,FALSE),"")</f>
        <v>15</v>
      </c>
      <c r="AB1593" s="81" t="str">
        <f>IFERROR(HLOOKUP(K1593,データについて!$J$5:$AH$20,14,FALSE),"")</f>
        <v/>
      </c>
      <c r="AC1593" s="81">
        <f>IF(X1593=1,HLOOKUP(R1593,データについて!$J$12:$M$18,7,FALSE),"*")</f>
        <v>4</v>
      </c>
      <c r="AD1593" s="81" t="str">
        <f>IF(X1593=2,HLOOKUP(R1593,データについて!$J$12:$M$18,7,FALSE),"*")</f>
        <v>*</v>
      </c>
    </row>
    <row r="1594" spans="1:30">
      <c r="A1594" s="30">
        <v>3598</v>
      </c>
      <c r="B1594" s="30" t="s">
        <v>1305</v>
      </c>
      <c r="C1594" s="30" t="s">
        <v>1306</v>
      </c>
      <c r="D1594" s="30" t="s">
        <v>106</v>
      </c>
      <c r="E1594" s="30"/>
      <c r="F1594" s="30" t="s">
        <v>107</v>
      </c>
      <c r="G1594" s="30" t="s">
        <v>106</v>
      </c>
      <c r="H1594" s="30"/>
      <c r="I1594" s="30" t="s">
        <v>192</v>
      </c>
      <c r="J1594" s="30" t="s">
        <v>611</v>
      </c>
      <c r="K1594" s="30"/>
      <c r="L1594" s="30" t="s">
        <v>108</v>
      </c>
      <c r="M1594" s="30" t="s">
        <v>109</v>
      </c>
      <c r="N1594" s="30" t="s">
        <v>114</v>
      </c>
      <c r="O1594" s="30" t="s">
        <v>115</v>
      </c>
      <c r="P1594" s="30" t="s">
        <v>112</v>
      </c>
      <c r="Q1594" s="30" t="s">
        <v>112</v>
      </c>
      <c r="R1594" s="30" t="s">
        <v>185</v>
      </c>
      <c r="S1594" s="81">
        <f>HLOOKUP(L1594,データについて!$J$6:$M$18,13,FALSE)</f>
        <v>1</v>
      </c>
      <c r="T1594" s="81">
        <f>HLOOKUP(M1594,データについて!$J$7:$M$18,12,FALSE)</f>
        <v>2</v>
      </c>
      <c r="U1594" s="81">
        <f>HLOOKUP(N1594,データについて!$J$8:$M$18,11,FALSE)</f>
        <v>1</v>
      </c>
      <c r="V1594" s="81">
        <f>HLOOKUP(O1594,データについて!$J$9:$M$18,10,FALSE)</f>
        <v>1</v>
      </c>
      <c r="W1594" s="81">
        <f>HLOOKUP(P1594,データについて!$J$10:$M$18,9,FALSE)</f>
        <v>1</v>
      </c>
      <c r="X1594" s="81">
        <f>HLOOKUP(Q1594,データについて!$J$11:$M$18,8,FALSE)</f>
        <v>1</v>
      </c>
      <c r="Y1594" s="81">
        <f>HLOOKUP(R1594,データについて!$J$12:$M$18,7,FALSE)</f>
        <v>2</v>
      </c>
      <c r="Z1594" s="81">
        <f>HLOOKUP(I1594,データについて!$J$3:$M$18,16,FALSE)</f>
        <v>1</v>
      </c>
      <c r="AA1594" s="81">
        <f>IFERROR(HLOOKUP(J1594,データについて!$J$4:$AH$19,16,FALSE),"")</f>
        <v>15</v>
      </c>
      <c r="AB1594" s="81" t="str">
        <f>IFERROR(HLOOKUP(K1594,データについて!$J$5:$AH$20,14,FALSE),"")</f>
        <v/>
      </c>
      <c r="AC1594" s="81">
        <f>IF(X1594=1,HLOOKUP(R1594,データについて!$J$12:$M$18,7,FALSE),"*")</f>
        <v>2</v>
      </c>
      <c r="AD1594" s="81" t="str">
        <f>IF(X1594=2,HLOOKUP(R1594,データについて!$J$12:$M$18,7,FALSE),"*")</f>
        <v>*</v>
      </c>
    </row>
    <row r="1595" spans="1:30">
      <c r="A1595" s="30">
        <v>3597</v>
      </c>
      <c r="B1595" s="30" t="s">
        <v>1307</v>
      </c>
      <c r="C1595" s="30" t="s">
        <v>1308</v>
      </c>
      <c r="D1595" s="30" t="s">
        <v>106</v>
      </c>
      <c r="E1595" s="30"/>
      <c r="F1595" s="30" t="s">
        <v>107</v>
      </c>
      <c r="G1595" s="30" t="s">
        <v>106</v>
      </c>
      <c r="H1595" s="30"/>
      <c r="I1595" s="30" t="s">
        <v>192</v>
      </c>
      <c r="J1595" s="30" t="s">
        <v>611</v>
      </c>
      <c r="K1595" s="30"/>
      <c r="L1595" s="30" t="s">
        <v>117</v>
      </c>
      <c r="M1595" s="30" t="s">
        <v>113</v>
      </c>
      <c r="N1595" s="30" t="s">
        <v>114</v>
      </c>
      <c r="O1595" s="30" t="s">
        <v>115</v>
      </c>
      <c r="P1595" s="30" t="s">
        <v>112</v>
      </c>
      <c r="Q1595" s="30" t="s">
        <v>112</v>
      </c>
      <c r="R1595" s="30" t="s">
        <v>183</v>
      </c>
      <c r="S1595" s="81">
        <f>HLOOKUP(L1595,データについて!$J$6:$M$18,13,FALSE)</f>
        <v>2</v>
      </c>
      <c r="T1595" s="81">
        <f>HLOOKUP(M1595,データについて!$J$7:$M$18,12,FALSE)</f>
        <v>1</v>
      </c>
      <c r="U1595" s="81">
        <f>HLOOKUP(N1595,データについて!$J$8:$M$18,11,FALSE)</f>
        <v>1</v>
      </c>
      <c r="V1595" s="81">
        <f>HLOOKUP(O1595,データについて!$J$9:$M$18,10,FALSE)</f>
        <v>1</v>
      </c>
      <c r="W1595" s="81">
        <f>HLOOKUP(P1595,データについて!$J$10:$M$18,9,FALSE)</f>
        <v>1</v>
      </c>
      <c r="X1595" s="81">
        <f>HLOOKUP(Q1595,データについて!$J$11:$M$18,8,FALSE)</f>
        <v>1</v>
      </c>
      <c r="Y1595" s="81">
        <f>HLOOKUP(R1595,データについて!$J$12:$M$18,7,FALSE)</f>
        <v>1</v>
      </c>
      <c r="Z1595" s="81">
        <f>HLOOKUP(I1595,データについて!$J$3:$M$18,16,FALSE)</f>
        <v>1</v>
      </c>
      <c r="AA1595" s="81">
        <f>IFERROR(HLOOKUP(J1595,データについて!$J$4:$AH$19,16,FALSE),"")</f>
        <v>15</v>
      </c>
      <c r="AB1595" s="81" t="str">
        <f>IFERROR(HLOOKUP(K1595,データについて!$J$5:$AH$20,14,FALSE),"")</f>
        <v/>
      </c>
      <c r="AC1595" s="81">
        <f>IF(X1595=1,HLOOKUP(R1595,データについて!$J$12:$M$18,7,FALSE),"*")</f>
        <v>1</v>
      </c>
      <c r="AD1595" s="81" t="str">
        <f>IF(X1595=2,HLOOKUP(R1595,データについて!$J$12:$M$18,7,FALSE),"*")</f>
        <v>*</v>
      </c>
    </row>
    <row r="1596" spans="1:30">
      <c r="A1596" s="30">
        <v>3596</v>
      </c>
      <c r="B1596" s="30" t="s">
        <v>1309</v>
      </c>
      <c r="C1596" s="30" t="s">
        <v>1310</v>
      </c>
      <c r="D1596" s="30" t="s">
        <v>106</v>
      </c>
      <c r="E1596" s="30"/>
      <c r="F1596" s="30" t="s">
        <v>107</v>
      </c>
      <c r="G1596" s="30" t="s">
        <v>106</v>
      </c>
      <c r="H1596" s="30"/>
      <c r="I1596" s="30" t="s">
        <v>192</v>
      </c>
      <c r="J1596" s="30" t="s">
        <v>611</v>
      </c>
      <c r="K1596" s="30"/>
      <c r="L1596" s="30" t="s">
        <v>117</v>
      </c>
      <c r="M1596" s="30" t="s">
        <v>113</v>
      </c>
      <c r="N1596" s="30" t="s">
        <v>110</v>
      </c>
      <c r="O1596" s="30" t="s">
        <v>115</v>
      </c>
      <c r="P1596" s="30" t="s">
        <v>112</v>
      </c>
      <c r="Q1596" s="30" t="s">
        <v>112</v>
      </c>
      <c r="R1596" s="30" t="s">
        <v>183</v>
      </c>
      <c r="S1596" s="81">
        <f>HLOOKUP(L1596,データについて!$J$6:$M$18,13,FALSE)</f>
        <v>2</v>
      </c>
      <c r="T1596" s="81">
        <f>HLOOKUP(M1596,データについて!$J$7:$M$18,12,FALSE)</f>
        <v>1</v>
      </c>
      <c r="U1596" s="81">
        <f>HLOOKUP(N1596,データについて!$J$8:$M$18,11,FALSE)</f>
        <v>2</v>
      </c>
      <c r="V1596" s="81">
        <f>HLOOKUP(O1596,データについて!$J$9:$M$18,10,FALSE)</f>
        <v>1</v>
      </c>
      <c r="W1596" s="81">
        <f>HLOOKUP(P1596,データについて!$J$10:$M$18,9,FALSE)</f>
        <v>1</v>
      </c>
      <c r="X1596" s="81">
        <f>HLOOKUP(Q1596,データについて!$J$11:$M$18,8,FALSE)</f>
        <v>1</v>
      </c>
      <c r="Y1596" s="81">
        <f>HLOOKUP(R1596,データについて!$J$12:$M$18,7,FALSE)</f>
        <v>1</v>
      </c>
      <c r="Z1596" s="81">
        <f>HLOOKUP(I1596,データについて!$J$3:$M$18,16,FALSE)</f>
        <v>1</v>
      </c>
      <c r="AA1596" s="81">
        <f>IFERROR(HLOOKUP(J1596,データについて!$J$4:$AH$19,16,FALSE),"")</f>
        <v>15</v>
      </c>
      <c r="AB1596" s="81" t="str">
        <f>IFERROR(HLOOKUP(K1596,データについて!$J$5:$AH$20,14,FALSE),"")</f>
        <v/>
      </c>
      <c r="AC1596" s="81">
        <f>IF(X1596=1,HLOOKUP(R1596,データについて!$J$12:$M$18,7,FALSE),"*")</f>
        <v>1</v>
      </c>
      <c r="AD1596" s="81" t="str">
        <f>IF(X1596=2,HLOOKUP(R1596,データについて!$J$12:$M$18,7,FALSE),"*")</f>
        <v>*</v>
      </c>
    </row>
    <row r="1597" spans="1:30">
      <c r="A1597" s="30">
        <v>3595</v>
      </c>
      <c r="B1597" s="30" t="s">
        <v>1311</v>
      </c>
      <c r="C1597" s="30" t="s">
        <v>1310</v>
      </c>
      <c r="D1597" s="30" t="s">
        <v>106</v>
      </c>
      <c r="E1597" s="30"/>
      <c r="F1597" s="30" t="s">
        <v>107</v>
      </c>
      <c r="G1597" s="30" t="s">
        <v>106</v>
      </c>
      <c r="H1597" s="30"/>
      <c r="I1597" s="30" t="s">
        <v>192</v>
      </c>
      <c r="J1597" s="30" t="s">
        <v>611</v>
      </c>
      <c r="K1597" s="30"/>
      <c r="L1597" s="30" t="s">
        <v>108</v>
      </c>
      <c r="M1597" s="30" t="s">
        <v>109</v>
      </c>
      <c r="N1597" s="30" t="s">
        <v>110</v>
      </c>
      <c r="O1597" s="30" t="s">
        <v>115</v>
      </c>
      <c r="P1597" s="30" t="s">
        <v>112</v>
      </c>
      <c r="Q1597" s="30" t="s">
        <v>112</v>
      </c>
      <c r="R1597" s="30" t="s">
        <v>187</v>
      </c>
      <c r="S1597" s="81">
        <f>HLOOKUP(L1597,データについて!$J$6:$M$18,13,FALSE)</f>
        <v>1</v>
      </c>
      <c r="T1597" s="81">
        <f>HLOOKUP(M1597,データについて!$J$7:$M$18,12,FALSE)</f>
        <v>2</v>
      </c>
      <c r="U1597" s="81">
        <f>HLOOKUP(N1597,データについて!$J$8:$M$18,11,FALSE)</f>
        <v>2</v>
      </c>
      <c r="V1597" s="81">
        <f>HLOOKUP(O1597,データについて!$J$9:$M$18,10,FALSE)</f>
        <v>1</v>
      </c>
      <c r="W1597" s="81">
        <f>HLOOKUP(P1597,データについて!$J$10:$M$18,9,FALSE)</f>
        <v>1</v>
      </c>
      <c r="X1597" s="81">
        <f>HLOOKUP(Q1597,データについて!$J$11:$M$18,8,FALSE)</f>
        <v>1</v>
      </c>
      <c r="Y1597" s="81">
        <f>HLOOKUP(R1597,データについて!$J$12:$M$18,7,FALSE)</f>
        <v>3</v>
      </c>
      <c r="Z1597" s="81">
        <f>HLOOKUP(I1597,データについて!$J$3:$M$18,16,FALSE)</f>
        <v>1</v>
      </c>
      <c r="AA1597" s="81">
        <f>IFERROR(HLOOKUP(J1597,データについて!$J$4:$AH$19,16,FALSE),"")</f>
        <v>15</v>
      </c>
      <c r="AB1597" s="81" t="str">
        <f>IFERROR(HLOOKUP(K1597,データについて!$J$5:$AH$20,14,FALSE),"")</f>
        <v/>
      </c>
      <c r="AC1597" s="81">
        <f>IF(X1597=1,HLOOKUP(R1597,データについて!$J$12:$M$18,7,FALSE),"*")</f>
        <v>3</v>
      </c>
      <c r="AD1597" s="81" t="str">
        <f>IF(X1597=2,HLOOKUP(R1597,データについて!$J$12:$M$18,7,FALSE),"*")</f>
        <v>*</v>
      </c>
    </row>
    <row r="1598" spans="1:30">
      <c r="A1598" s="30">
        <v>3594</v>
      </c>
      <c r="B1598" s="30" t="s">
        <v>1312</v>
      </c>
      <c r="C1598" s="30" t="s">
        <v>1310</v>
      </c>
      <c r="D1598" s="30" t="s">
        <v>106</v>
      </c>
      <c r="E1598" s="30"/>
      <c r="F1598" s="30" t="s">
        <v>107</v>
      </c>
      <c r="G1598" s="30" t="s">
        <v>106</v>
      </c>
      <c r="H1598" s="30"/>
      <c r="I1598" s="30" t="s">
        <v>192</v>
      </c>
      <c r="J1598" s="30" t="s">
        <v>611</v>
      </c>
      <c r="K1598" s="30"/>
      <c r="L1598" s="30" t="s">
        <v>117</v>
      </c>
      <c r="M1598" s="30" t="s">
        <v>113</v>
      </c>
      <c r="N1598" s="30" t="s">
        <v>114</v>
      </c>
      <c r="O1598" s="30" t="s">
        <v>115</v>
      </c>
      <c r="P1598" s="30" t="s">
        <v>112</v>
      </c>
      <c r="Q1598" s="30" t="s">
        <v>112</v>
      </c>
      <c r="R1598" s="30" t="s">
        <v>185</v>
      </c>
      <c r="S1598" s="81">
        <f>HLOOKUP(L1598,データについて!$J$6:$M$18,13,FALSE)</f>
        <v>2</v>
      </c>
      <c r="T1598" s="81">
        <f>HLOOKUP(M1598,データについて!$J$7:$M$18,12,FALSE)</f>
        <v>1</v>
      </c>
      <c r="U1598" s="81">
        <f>HLOOKUP(N1598,データについて!$J$8:$M$18,11,FALSE)</f>
        <v>1</v>
      </c>
      <c r="V1598" s="81">
        <f>HLOOKUP(O1598,データについて!$J$9:$M$18,10,FALSE)</f>
        <v>1</v>
      </c>
      <c r="W1598" s="81">
        <f>HLOOKUP(P1598,データについて!$J$10:$M$18,9,FALSE)</f>
        <v>1</v>
      </c>
      <c r="X1598" s="81">
        <f>HLOOKUP(Q1598,データについて!$J$11:$M$18,8,FALSE)</f>
        <v>1</v>
      </c>
      <c r="Y1598" s="81">
        <f>HLOOKUP(R1598,データについて!$J$12:$M$18,7,FALSE)</f>
        <v>2</v>
      </c>
      <c r="Z1598" s="81">
        <f>HLOOKUP(I1598,データについて!$J$3:$M$18,16,FALSE)</f>
        <v>1</v>
      </c>
      <c r="AA1598" s="81">
        <f>IFERROR(HLOOKUP(J1598,データについて!$J$4:$AH$19,16,FALSE),"")</f>
        <v>15</v>
      </c>
      <c r="AB1598" s="81" t="str">
        <f>IFERROR(HLOOKUP(K1598,データについて!$J$5:$AH$20,14,FALSE),"")</f>
        <v/>
      </c>
      <c r="AC1598" s="81">
        <f>IF(X1598=1,HLOOKUP(R1598,データについて!$J$12:$M$18,7,FALSE),"*")</f>
        <v>2</v>
      </c>
      <c r="AD1598" s="81" t="str">
        <f>IF(X1598=2,HLOOKUP(R1598,データについて!$J$12:$M$18,7,FALSE),"*")</f>
        <v>*</v>
      </c>
    </row>
    <row r="1599" spans="1:30">
      <c r="A1599" s="30">
        <v>3593</v>
      </c>
      <c r="B1599" s="30" t="s">
        <v>1313</v>
      </c>
      <c r="C1599" s="30" t="s">
        <v>1314</v>
      </c>
      <c r="D1599" s="30" t="s">
        <v>106</v>
      </c>
      <c r="E1599" s="30"/>
      <c r="F1599" s="30" t="s">
        <v>107</v>
      </c>
      <c r="G1599" s="30" t="s">
        <v>106</v>
      </c>
      <c r="H1599" s="30"/>
      <c r="I1599" s="30" t="s">
        <v>192</v>
      </c>
      <c r="J1599" s="30" t="s">
        <v>611</v>
      </c>
      <c r="K1599" s="30"/>
      <c r="L1599" s="30" t="s">
        <v>108</v>
      </c>
      <c r="M1599" s="30" t="s">
        <v>113</v>
      </c>
      <c r="N1599" s="30" t="s">
        <v>114</v>
      </c>
      <c r="O1599" s="30" t="s">
        <v>115</v>
      </c>
      <c r="P1599" s="30" t="s">
        <v>112</v>
      </c>
      <c r="Q1599" s="30" t="s">
        <v>118</v>
      </c>
      <c r="R1599" s="30" t="s">
        <v>183</v>
      </c>
      <c r="S1599" s="81">
        <f>HLOOKUP(L1599,データについて!$J$6:$M$18,13,FALSE)</f>
        <v>1</v>
      </c>
      <c r="T1599" s="81">
        <f>HLOOKUP(M1599,データについて!$J$7:$M$18,12,FALSE)</f>
        <v>1</v>
      </c>
      <c r="U1599" s="81">
        <f>HLOOKUP(N1599,データについて!$J$8:$M$18,11,FALSE)</f>
        <v>1</v>
      </c>
      <c r="V1599" s="81">
        <f>HLOOKUP(O1599,データについて!$J$9:$M$18,10,FALSE)</f>
        <v>1</v>
      </c>
      <c r="W1599" s="81">
        <f>HLOOKUP(P1599,データについて!$J$10:$M$18,9,FALSE)</f>
        <v>1</v>
      </c>
      <c r="X1599" s="81">
        <f>HLOOKUP(Q1599,データについて!$J$11:$M$18,8,FALSE)</f>
        <v>2</v>
      </c>
      <c r="Y1599" s="81">
        <f>HLOOKUP(R1599,データについて!$J$12:$M$18,7,FALSE)</f>
        <v>1</v>
      </c>
      <c r="Z1599" s="81">
        <f>HLOOKUP(I1599,データについて!$J$3:$M$18,16,FALSE)</f>
        <v>1</v>
      </c>
      <c r="AA1599" s="81">
        <f>IFERROR(HLOOKUP(J1599,データについて!$J$4:$AH$19,16,FALSE),"")</f>
        <v>15</v>
      </c>
      <c r="AB1599" s="81" t="str">
        <f>IFERROR(HLOOKUP(K1599,データについて!$J$5:$AH$20,14,FALSE),"")</f>
        <v/>
      </c>
      <c r="AC1599" s="81" t="str">
        <f>IF(X1599=1,HLOOKUP(R1599,データについて!$J$12:$M$18,7,FALSE),"*")</f>
        <v>*</v>
      </c>
      <c r="AD1599" s="81">
        <f>IF(X1599=2,HLOOKUP(R1599,データについて!$J$12:$M$18,7,FALSE),"*")</f>
        <v>1</v>
      </c>
    </row>
    <row r="1600" spans="1:30">
      <c r="A1600" s="30">
        <v>3592</v>
      </c>
      <c r="B1600" s="30" t="s">
        <v>1315</v>
      </c>
      <c r="C1600" s="30" t="s">
        <v>1316</v>
      </c>
      <c r="D1600" s="30" t="s">
        <v>106</v>
      </c>
      <c r="E1600" s="30"/>
      <c r="F1600" s="30" t="s">
        <v>107</v>
      </c>
      <c r="G1600" s="30" t="s">
        <v>106</v>
      </c>
      <c r="H1600" s="30"/>
      <c r="I1600" s="30" t="s">
        <v>192</v>
      </c>
      <c r="J1600" s="30" t="s">
        <v>611</v>
      </c>
      <c r="K1600" s="30"/>
      <c r="L1600" s="30" t="s">
        <v>117</v>
      </c>
      <c r="M1600" s="30" t="s">
        <v>109</v>
      </c>
      <c r="N1600" s="30" t="s">
        <v>122</v>
      </c>
      <c r="O1600" s="30" t="s">
        <v>115</v>
      </c>
      <c r="P1600" s="30" t="s">
        <v>112</v>
      </c>
      <c r="Q1600" s="30" t="s">
        <v>112</v>
      </c>
      <c r="R1600" s="30" t="s">
        <v>185</v>
      </c>
      <c r="S1600" s="81">
        <f>HLOOKUP(L1600,データについて!$J$6:$M$18,13,FALSE)</f>
        <v>2</v>
      </c>
      <c r="T1600" s="81">
        <f>HLOOKUP(M1600,データについて!$J$7:$M$18,12,FALSE)</f>
        <v>2</v>
      </c>
      <c r="U1600" s="81">
        <f>HLOOKUP(N1600,データについて!$J$8:$M$18,11,FALSE)</f>
        <v>3</v>
      </c>
      <c r="V1600" s="81">
        <f>HLOOKUP(O1600,データについて!$J$9:$M$18,10,FALSE)</f>
        <v>1</v>
      </c>
      <c r="W1600" s="81">
        <f>HLOOKUP(P1600,データについて!$J$10:$M$18,9,FALSE)</f>
        <v>1</v>
      </c>
      <c r="X1600" s="81">
        <f>HLOOKUP(Q1600,データについて!$J$11:$M$18,8,FALSE)</f>
        <v>1</v>
      </c>
      <c r="Y1600" s="81">
        <f>HLOOKUP(R1600,データについて!$J$12:$M$18,7,FALSE)</f>
        <v>2</v>
      </c>
      <c r="Z1600" s="81">
        <f>HLOOKUP(I1600,データについて!$J$3:$M$18,16,FALSE)</f>
        <v>1</v>
      </c>
      <c r="AA1600" s="81">
        <f>IFERROR(HLOOKUP(J1600,データについて!$J$4:$AH$19,16,FALSE),"")</f>
        <v>15</v>
      </c>
      <c r="AB1600" s="81" t="str">
        <f>IFERROR(HLOOKUP(K1600,データについて!$J$5:$AH$20,14,FALSE),"")</f>
        <v/>
      </c>
      <c r="AC1600" s="81">
        <f>IF(X1600=1,HLOOKUP(R1600,データについて!$J$12:$M$18,7,FALSE),"*")</f>
        <v>2</v>
      </c>
      <c r="AD1600" s="81" t="str">
        <f>IF(X1600=2,HLOOKUP(R1600,データについて!$J$12:$M$18,7,FALSE),"*")</f>
        <v>*</v>
      </c>
    </row>
    <row r="1601" spans="1:30">
      <c r="A1601" s="30">
        <v>3591</v>
      </c>
      <c r="B1601" s="30" t="s">
        <v>1317</v>
      </c>
      <c r="C1601" s="30" t="s">
        <v>1318</v>
      </c>
      <c r="D1601" s="30" t="s">
        <v>106</v>
      </c>
      <c r="E1601" s="30"/>
      <c r="F1601" s="30" t="s">
        <v>107</v>
      </c>
      <c r="G1601" s="30" t="s">
        <v>106</v>
      </c>
      <c r="H1601" s="30"/>
      <c r="I1601" s="30" t="s">
        <v>192</v>
      </c>
      <c r="J1601" s="30" t="s">
        <v>611</v>
      </c>
      <c r="K1601" s="30"/>
      <c r="L1601" s="30" t="s">
        <v>117</v>
      </c>
      <c r="M1601" s="30" t="s">
        <v>124</v>
      </c>
      <c r="N1601" s="30" t="s">
        <v>119</v>
      </c>
      <c r="O1601" s="30" t="s">
        <v>115</v>
      </c>
      <c r="P1601" s="30" t="s">
        <v>112</v>
      </c>
      <c r="Q1601" s="30" t="s">
        <v>112</v>
      </c>
      <c r="R1601" s="30" t="s">
        <v>185</v>
      </c>
      <c r="S1601" s="81">
        <f>HLOOKUP(L1601,データについて!$J$6:$M$18,13,FALSE)</f>
        <v>2</v>
      </c>
      <c r="T1601" s="81">
        <f>HLOOKUP(M1601,データについて!$J$7:$M$18,12,FALSE)</f>
        <v>3</v>
      </c>
      <c r="U1601" s="81">
        <f>HLOOKUP(N1601,データについて!$J$8:$M$18,11,FALSE)</f>
        <v>4</v>
      </c>
      <c r="V1601" s="81">
        <f>HLOOKUP(O1601,データについて!$J$9:$M$18,10,FALSE)</f>
        <v>1</v>
      </c>
      <c r="W1601" s="81">
        <f>HLOOKUP(P1601,データについて!$J$10:$M$18,9,FALSE)</f>
        <v>1</v>
      </c>
      <c r="X1601" s="81">
        <f>HLOOKUP(Q1601,データについて!$J$11:$M$18,8,FALSE)</f>
        <v>1</v>
      </c>
      <c r="Y1601" s="81">
        <f>HLOOKUP(R1601,データについて!$J$12:$M$18,7,FALSE)</f>
        <v>2</v>
      </c>
      <c r="Z1601" s="81">
        <f>HLOOKUP(I1601,データについて!$J$3:$M$18,16,FALSE)</f>
        <v>1</v>
      </c>
      <c r="AA1601" s="81">
        <f>IFERROR(HLOOKUP(J1601,データについて!$J$4:$AH$19,16,FALSE),"")</f>
        <v>15</v>
      </c>
      <c r="AB1601" s="81" t="str">
        <f>IFERROR(HLOOKUP(K1601,データについて!$J$5:$AH$20,14,FALSE),"")</f>
        <v/>
      </c>
      <c r="AC1601" s="81">
        <f>IF(X1601=1,HLOOKUP(R1601,データについて!$J$12:$M$18,7,FALSE),"*")</f>
        <v>2</v>
      </c>
      <c r="AD1601" s="81" t="str">
        <f>IF(X1601=2,HLOOKUP(R1601,データについて!$J$12:$M$18,7,FALSE),"*")</f>
        <v>*</v>
      </c>
    </row>
    <row r="1602" spans="1:30">
      <c r="A1602" s="30">
        <v>3590</v>
      </c>
      <c r="B1602" s="30" t="s">
        <v>1319</v>
      </c>
      <c r="C1602" s="30" t="s">
        <v>1320</v>
      </c>
      <c r="D1602" s="30" t="s">
        <v>106</v>
      </c>
      <c r="E1602" s="30"/>
      <c r="F1602" s="30" t="s">
        <v>107</v>
      </c>
      <c r="G1602" s="30" t="s">
        <v>106</v>
      </c>
      <c r="H1602" s="30"/>
      <c r="I1602" s="30" t="s">
        <v>192</v>
      </c>
      <c r="J1602" s="30" t="s">
        <v>611</v>
      </c>
      <c r="K1602" s="30"/>
      <c r="L1602" s="30" t="s">
        <v>108</v>
      </c>
      <c r="M1602" s="30" t="s">
        <v>113</v>
      </c>
      <c r="N1602" s="30" t="s">
        <v>114</v>
      </c>
      <c r="O1602" s="30" t="s">
        <v>115</v>
      </c>
      <c r="P1602" s="30" t="s">
        <v>112</v>
      </c>
      <c r="Q1602" s="30" t="s">
        <v>118</v>
      </c>
      <c r="R1602" s="30" t="s">
        <v>183</v>
      </c>
      <c r="S1602" s="81">
        <f>HLOOKUP(L1602,データについて!$J$6:$M$18,13,FALSE)</f>
        <v>1</v>
      </c>
      <c r="T1602" s="81">
        <f>HLOOKUP(M1602,データについて!$J$7:$M$18,12,FALSE)</f>
        <v>1</v>
      </c>
      <c r="U1602" s="81">
        <f>HLOOKUP(N1602,データについて!$J$8:$M$18,11,FALSE)</f>
        <v>1</v>
      </c>
      <c r="V1602" s="81">
        <f>HLOOKUP(O1602,データについて!$J$9:$M$18,10,FALSE)</f>
        <v>1</v>
      </c>
      <c r="W1602" s="81">
        <f>HLOOKUP(P1602,データについて!$J$10:$M$18,9,FALSE)</f>
        <v>1</v>
      </c>
      <c r="X1602" s="81">
        <f>HLOOKUP(Q1602,データについて!$J$11:$M$18,8,FALSE)</f>
        <v>2</v>
      </c>
      <c r="Y1602" s="81">
        <f>HLOOKUP(R1602,データについて!$J$12:$M$18,7,FALSE)</f>
        <v>1</v>
      </c>
      <c r="Z1602" s="81">
        <f>HLOOKUP(I1602,データについて!$J$3:$M$18,16,FALSE)</f>
        <v>1</v>
      </c>
      <c r="AA1602" s="81">
        <f>IFERROR(HLOOKUP(J1602,データについて!$J$4:$AH$19,16,FALSE),"")</f>
        <v>15</v>
      </c>
      <c r="AB1602" s="81" t="str">
        <f>IFERROR(HLOOKUP(K1602,データについて!$J$5:$AH$20,14,FALSE),"")</f>
        <v/>
      </c>
      <c r="AC1602" s="81" t="str">
        <f>IF(X1602=1,HLOOKUP(R1602,データについて!$J$12:$M$18,7,FALSE),"*")</f>
        <v>*</v>
      </c>
      <c r="AD1602" s="81">
        <f>IF(X1602=2,HLOOKUP(R1602,データについて!$J$12:$M$18,7,FALSE),"*")</f>
        <v>1</v>
      </c>
    </row>
    <row r="1603" spans="1:30">
      <c r="A1603" s="30">
        <v>3589</v>
      </c>
      <c r="B1603" s="30" t="s">
        <v>1321</v>
      </c>
      <c r="C1603" s="30" t="s">
        <v>1322</v>
      </c>
      <c r="D1603" s="30" t="s">
        <v>106</v>
      </c>
      <c r="E1603" s="30"/>
      <c r="F1603" s="30" t="s">
        <v>107</v>
      </c>
      <c r="G1603" s="30" t="s">
        <v>106</v>
      </c>
      <c r="H1603" s="30"/>
      <c r="I1603" s="30" t="s">
        <v>192</v>
      </c>
      <c r="J1603" s="30" t="s">
        <v>611</v>
      </c>
      <c r="K1603" s="30"/>
      <c r="L1603" s="30" t="s">
        <v>117</v>
      </c>
      <c r="M1603" s="30" t="s">
        <v>109</v>
      </c>
      <c r="N1603" s="30" t="s">
        <v>110</v>
      </c>
      <c r="O1603" s="30" t="s">
        <v>115</v>
      </c>
      <c r="P1603" s="30" t="s">
        <v>112</v>
      </c>
      <c r="Q1603" s="30" t="s">
        <v>112</v>
      </c>
      <c r="R1603" s="30" t="s">
        <v>187</v>
      </c>
      <c r="S1603" s="81">
        <f>HLOOKUP(L1603,データについて!$J$6:$M$18,13,FALSE)</f>
        <v>2</v>
      </c>
      <c r="T1603" s="81">
        <f>HLOOKUP(M1603,データについて!$J$7:$M$18,12,FALSE)</f>
        <v>2</v>
      </c>
      <c r="U1603" s="81">
        <f>HLOOKUP(N1603,データについて!$J$8:$M$18,11,FALSE)</f>
        <v>2</v>
      </c>
      <c r="V1603" s="81">
        <f>HLOOKUP(O1603,データについて!$J$9:$M$18,10,FALSE)</f>
        <v>1</v>
      </c>
      <c r="W1603" s="81">
        <f>HLOOKUP(P1603,データについて!$J$10:$M$18,9,FALSE)</f>
        <v>1</v>
      </c>
      <c r="X1603" s="81">
        <f>HLOOKUP(Q1603,データについて!$J$11:$M$18,8,FALSE)</f>
        <v>1</v>
      </c>
      <c r="Y1603" s="81">
        <f>HLOOKUP(R1603,データについて!$J$12:$M$18,7,FALSE)</f>
        <v>3</v>
      </c>
      <c r="Z1603" s="81">
        <f>HLOOKUP(I1603,データについて!$J$3:$M$18,16,FALSE)</f>
        <v>1</v>
      </c>
      <c r="AA1603" s="81">
        <f>IFERROR(HLOOKUP(J1603,データについて!$J$4:$AH$19,16,FALSE),"")</f>
        <v>15</v>
      </c>
      <c r="AB1603" s="81" t="str">
        <f>IFERROR(HLOOKUP(K1603,データについて!$J$5:$AH$20,14,FALSE),"")</f>
        <v/>
      </c>
      <c r="AC1603" s="81">
        <f>IF(X1603=1,HLOOKUP(R1603,データについて!$J$12:$M$18,7,FALSE),"*")</f>
        <v>3</v>
      </c>
      <c r="AD1603" s="81" t="str">
        <f>IF(X1603=2,HLOOKUP(R1603,データについて!$J$12:$M$18,7,FALSE),"*")</f>
        <v>*</v>
      </c>
    </row>
    <row r="1604" spans="1:30">
      <c r="A1604" s="30">
        <v>3588</v>
      </c>
      <c r="B1604" s="30" t="s">
        <v>1323</v>
      </c>
      <c r="C1604" s="30" t="s">
        <v>1324</v>
      </c>
      <c r="D1604" s="30" t="s">
        <v>106</v>
      </c>
      <c r="E1604" s="30"/>
      <c r="F1604" s="30" t="s">
        <v>107</v>
      </c>
      <c r="G1604" s="30" t="s">
        <v>106</v>
      </c>
      <c r="H1604" s="30"/>
      <c r="I1604" s="30" t="s">
        <v>192</v>
      </c>
      <c r="J1604" s="30" t="s">
        <v>611</v>
      </c>
      <c r="K1604" s="30"/>
      <c r="L1604" s="30" t="s">
        <v>108</v>
      </c>
      <c r="M1604" s="30" t="s">
        <v>113</v>
      </c>
      <c r="N1604" s="30" t="s">
        <v>114</v>
      </c>
      <c r="O1604" s="30" t="s">
        <v>115</v>
      </c>
      <c r="P1604" s="30" t="s">
        <v>112</v>
      </c>
      <c r="Q1604" s="30" t="s">
        <v>112</v>
      </c>
      <c r="R1604" s="30" t="s">
        <v>187</v>
      </c>
      <c r="S1604" s="81">
        <f>HLOOKUP(L1604,データについて!$J$6:$M$18,13,FALSE)</f>
        <v>1</v>
      </c>
      <c r="T1604" s="81">
        <f>HLOOKUP(M1604,データについて!$J$7:$M$18,12,FALSE)</f>
        <v>1</v>
      </c>
      <c r="U1604" s="81">
        <f>HLOOKUP(N1604,データについて!$J$8:$M$18,11,FALSE)</f>
        <v>1</v>
      </c>
      <c r="V1604" s="81">
        <f>HLOOKUP(O1604,データについて!$J$9:$M$18,10,FALSE)</f>
        <v>1</v>
      </c>
      <c r="W1604" s="81">
        <f>HLOOKUP(P1604,データについて!$J$10:$M$18,9,FALSE)</f>
        <v>1</v>
      </c>
      <c r="X1604" s="81">
        <f>HLOOKUP(Q1604,データについて!$J$11:$M$18,8,FALSE)</f>
        <v>1</v>
      </c>
      <c r="Y1604" s="81">
        <f>HLOOKUP(R1604,データについて!$J$12:$M$18,7,FALSE)</f>
        <v>3</v>
      </c>
      <c r="Z1604" s="81">
        <f>HLOOKUP(I1604,データについて!$J$3:$M$18,16,FALSE)</f>
        <v>1</v>
      </c>
      <c r="AA1604" s="81">
        <f>IFERROR(HLOOKUP(J1604,データについて!$J$4:$AH$19,16,FALSE),"")</f>
        <v>15</v>
      </c>
      <c r="AB1604" s="81" t="str">
        <f>IFERROR(HLOOKUP(K1604,データについて!$J$5:$AH$20,14,FALSE),"")</f>
        <v/>
      </c>
      <c r="AC1604" s="81">
        <f>IF(X1604=1,HLOOKUP(R1604,データについて!$J$12:$M$18,7,FALSE),"*")</f>
        <v>3</v>
      </c>
      <c r="AD1604" s="81" t="str">
        <f>IF(X1604=2,HLOOKUP(R1604,データについて!$J$12:$M$18,7,FALSE),"*")</f>
        <v>*</v>
      </c>
    </row>
    <row r="1605" spans="1:30">
      <c r="A1605" s="30">
        <v>3587</v>
      </c>
      <c r="B1605" s="30" t="s">
        <v>1325</v>
      </c>
      <c r="C1605" s="30" t="s">
        <v>1326</v>
      </c>
      <c r="D1605" s="30" t="s">
        <v>106</v>
      </c>
      <c r="E1605" s="30"/>
      <c r="F1605" s="30" t="s">
        <v>107</v>
      </c>
      <c r="G1605" s="30" t="s">
        <v>106</v>
      </c>
      <c r="H1605" s="30"/>
      <c r="I1605" s="30" t="s">
        <v>192</v>
      </c>
      <c r="J1605" s="30" t="s">
        <v>611</v>
      </c>
      <c r="K1605" s="30"/>
      <c r="L1605" s="30" t="s">
        <v>108</v>
      </c>
      <c r="M1605" s="30" t="s">
        <v>109</v>
      </c>
      <c r="N1605" s="30" t="s">
        <v>110</v>
      </c>
      <c r="O1605" s="30" t="s">
        <v>115</v>
      </c>
      <c r="P1605" s="30" t="s">
        <v>118</v>
      </c>
      <c r="Q1605" s="30" t="s">
        <v>112</v>
      </c>
      <c r="R1605" s="30" t="s">
        <v>185</v>
      </c>
      <c r="S1605" s="81">
        <f>HLOOKUP(L1605,データについて!$J$6:$M$18,13,FALSE)</f>
        <v>1</v>
      </c>
      <c r="T1605" s="81">
        <f>HLOOKUP(M1605,データについて!$J$7:$M$18,12,FALSE)</f>
        <v>2</v>
      </c>
      <c r="U1605" s="81">
        <f>HLOOKUP(N1605,データについて!$J$8:$M$18,11,FALSE)</f>
        <v>2</v>
      </c>
      <c r="V1605" s="81">
        <f>HLOOKUP(O1605,データについて!$J$9:$M$18,10,FALSE)</f>
        <v>1</v>
      </c>
      <c r="W1605" s="81">
        <f>HLOOKUP(P1605,データについて!$J$10:$M$18,9,FALSE)</f>
        <v>2</v>
      </c>
      <c r="X1605" s="81">
        <f>HLOOKUP(Q1605,データについて!$J$11:$M$18,8,FALSE)</f>
        <v>1</v>
      </c>
      <c r="Y1605" s="81">
        <f>HLOOKUP(R1605,データについて!$J$12:$M$18,7,FALSE)</f>
        <v>2</v>
      </c>
      <c r="Z1605" s="81">
        <f>HLOOKUP(I1605,データについて!$J$3:$M$18,16,FALSE)</f>
        <v>1</v>
      </c>
      <c r="AA1605" s="81">
        <f>IFERROR(HLOOKUP(J1605,データについて!$J$4:$AH$19,16,FALSE),"")</f>
        <v>15</v>
      </c>
      <c r="AB1605" s="81" t="str">
        <f>IFERROR(HLOOKUP(K1605,データについて!$J$5:$AH$20,14,FALSE),"")</f>
        <v/>
      </c>
      <c r="AC1605" s="81">
        <f>IF(X1605=1,HLOOKUP(R1605,データについて!$J$12:$M$18,7,FALSE),"*")</f>
        <v>2</v>
      </c>
      <c r="AD1605" s="81" t="str">
        <f>IF(X1605=2,HLOOKUP(R1605,データについて!$J$12:$M$18,7,FALSE),"*")</f>
        <v>*</v>
      </c>
    </row>
    <row r="1606" spans="1:30">
      <c r="A1606" s="30">
        <v>3586</v>
      </c>
      <c r="B1606" s="30" t="s">
        <v>1327</v>
      </c>
      <c r="C1606" s="30" t="s">
        <v>1328</v>
      </c>
      <c r="D1606" s="30" t="s">
        <v>106</v>
      </c>
      <c r="E1606" s="30"/>
      <c r="F1606" s="30" t="s">
        <v>107</v>
      </c>
      <c r="G1606" s="30" t="s">
        <v>106</v>
      </c>
      <c r="H1606" s="30"/>
      <c r="I1606" s="30" t="s">
        <v>192</v>
      </c>
      <c r="J1606" s="30" t="s">
        <v>611</v>
      </c>
      <c r="K1606" s="30"/>
      <c r="L1606" s="30" t="s">
        <v>108</v>
      </c>
      <c r="M1606" s="30" t="s">
        <v>121</v>
      </c>
      <c r="N1606" s="30" t="s">
        <v>119</v>
      </c>
      <c r="O1606" s="30" t="s">
        <v>115</v>
      </c>
      <c r="P1606" s="30" t="s">
        <v>118</v>
      </c>
      <c r="Q1606" s="30" t="s">
        <v>118</v>
      </c>
      <c r="R1606" s="30" t="s">
        <v>189</v>
      </c>
      <c r="S1606" s="81">
        <f>HLOOKUP(L1606,データについて!$J$6:$M$18,13,FALSE)</f>
        <v>1</v>
      </c>
      <c r="T1606" s="81">
        <f>HLOOKUP(M1606,データについて!$J$7:$M$18,12,FALSE)</f>
        <v>4</v>
      </c>
      <c r="U1606" s="81">
        <f>HLOOKUP(N1606,データについて!$J$8:$M$18,11,FALSE)</f>
        <v>4</v>
      </c>
      <c r="V1606" s="81">
        <f>HLOOKUP(O1606,データについて!$J$9:$M$18,10,FALSE)</f>
        <v>1</v>
      </c>
      <c r="W1606" s="81">
        <f>HLOOKUP(P1606,データについて!$J$10:$M$18,9,FALSE)</f>
        <v>2</v>
      </c>
      <c r="X1606" s="81">
        <f>HLOOKUP(Q1606,データについて!$J$11:$M$18,8,FALSE)</f>
        <v>2</v>
      </c>
      <c r="Y1606" s="81">
        <f>HLOOKUP(R1606,データについて!$J$12:$M$18,7,FALSE)</f>
        <v>4</v>
      </c>
      <c r="Z1606" s="81">
        <f>HLOOKUP(I1606,データについて!$J$3:$M$18,16,FALSE)</f>
        <v>1</v>
      </c>
      <c r="AA1606" s="81">
        <f>IFERROR(HLOOKUP(J1606,データについて!$J$4:$AH$19,16,FALSE),"")</f>
        <v>15</v>
      </c>
      <c r="AB1606" s="81" t="str">
        <f>IFERROR(HLOOKUP(K1606,データについて!$J$5:$AH$20,14,FALSE),"")</f>
        <v/>
      </c>
      <c r="AC1606" s="81" t="str">
        <f>IF(X1606=1,HLOOKUP(R1606,データについて!$J$12:$M$18,7,FALSE),"*")</f>
        <v>*</v>
      </c>
      <c r="AD1606" s="81">
        <f>IF(X1606=2,HLOOKUP(R1606,データについて!$J$12:$M$18,7,FALSE),"*")</f>
        <v>4</v>
      </c>
    </row>
    <row r="1607" spans="1:30">
      <c r="A1607" s="30">
        <v>3585</v>
      </c>
      <c r="B1607" s="30" t="s">
        <v>1329</v>
      </c>
      <c r="C1607" s="30" t="s">
        <v>1330</v>
      </c>
      <c r="D1607" s="30" t="s">
        <v>106</v>
      </c>
      <c r="E1607" s="30"/>
      <c r="F1607" s="30" t="s">
        <v>107</v>
      </c>
      <c r="G1607" s="30" t="s">
        <v>106</v>
      </c>
      <c r="H1607" s="30"/>
      <c r="I1607" s="30" t="s">
        <v>192</v>
      </c>
      <c r="J1607" s="30" t="s">
        <v>611</v>
      </c>
      <c r="K1607" s="30"/>
      <c r="L1607" s="30" t="s">
        <v>108</v>
      </c>
      <c r="M1607" s="30" t="s">
        <v>113</v>
      </c>
      <c r="N1607" s="30" t="s">
        <v>114</v>
      </c>
      <c r="O1607" s="30" t="s">
        <v>115</v>
      </c>
      <c r="P1607" s="30" t="s">
        <v>112</v>
      </c>
      <c r="Q1607" s="30" t="s">
        <v>112</v>
      </c>
      <c r="R1607" s="30" t="s">
        <v>185</v>
      </c>
      <c r="S1607" s="81">
        <f>HLOOKUP(L1607,データについて!$J$6:$M$18,13,FALSE)</f>
        <v>1</v>
      </c>
      <c r="T1607" s="81">
        <f>HLOOKUP(M1607,データについて!$J$7:$M$18,12,FALSE)</f>
        <v>1</v>
      </c>
      <c r="U1607" s="81">
        <f>HLOOKUP(N1607,データについて!$J$8:$M$18,11,FALSE)</f>
        <v>1</v>
      </c>
      <c r="V1607" s="81">
        <f>HLOOKUP(O1607,データについて!$J$9:$M$18,10,FALSE)</f>
        <v>1</v>
      </c>
      <c r="W1607" s="81">
        <f>HLOOKUP(P1607,データについて!$J$10:$M$18,9,FALSE)</f>
        <v>1</v>
      </c>
      <c r="X1607" s="81">
        <f>HLOOKUP(Q1607,データについて!$J$11:$M$18,8,FALSE)</f>
        <v>1</v>
      </c>
      <c r="Y1607" s="81">
        <f>HLOOKUP(R1607,データについて!$J$12:$M$18,7,FALSE)</f>
        <v>2</v>
      </c>
      <c r="Z1607" s="81">
        <f>HLOOKUP(I1607,データについて!$J$3:$M$18,16,FALSE)</f>
        <v>1</v>
      </c>
      <c r="AA1607" s="81">
        <f>IFERROR(HLOOKUP(J1607,データについて!$J$4:$AH$19,16,FALSE),"")</f>
        <v>15</v>
      </c>
      <c r="AB1607" s="81" t="str">
        <f>IFERROR(HLOOKUP(K1607,データについて!$J$5:$AH$20,14,FALSE),"")</f>
        <v/>
      </c>
      <c r="AC1607" s="81">
        <f>IF(X1607=1,HLOOKUP(R1607,データについて!$J$12:$M$18,7,FALSE),"*")</f>
        <v>2</v>
      </c>
      <c r="AD1607" s="81" t="str">
        <f>IF(X1607=2,HLOOKUP(R1607,データについて!$J$12:$M$18,7,FALSE),"*")</f>
        <v>*</v>
      </c>
    </row>
    <row r="1608" spans="1:30">
      <c r="A1608" s="30">
        <v>3584</v>
      </c>
      <c r="B1608" s="30" t="s">
        <v>1331</v>
      </c>
      <c r="C1608" s="30" t="s">
        <v>1332</v>
      </c>
      <c r="D1608" s="30" t="s">
        <v>106</v>
      </c>
      <c r="E1608" s="30"/>
      <c r="F1608" s="30" t="s">
        <v>107</v>
      </c>
      <c r="G1608" s="30" t="s">
        <v>106</v>
      </c>
      <c r="H1608" s="30"/>
      <c r="I1608" s="30" t="s">
        <v>192</v>
      </c>
      <c r="J1608" s="30" t="s">
        <v>611</v>
      </c>
      <c r="K1608" s="30"/>
      <c r="L1608" s="30" t="s">
        <v>108</v>
      </c>
      <c r="M1608" s="30" t="s">
        <v>109</v>
      </c>
      <c r="N1608" s="30" t="s">
        <v>114</v>
      </c>
      <c r="O1608" s="30" t="s">
        <v>115</v>
      </c>
      <c r="P1608" s="30" t="s">
        <v>112</v>
      </c>
      <c r="Q1608" s="30" t="s">
        <v>112</v>
      </c>
      <c r="R1608" s="30" t="s">
        <v>183</v>
      </c>
      <c r="S1608" s="81">
        <f>HLOOKUP(L1608,データについて!$J$6:$M$18,13,FALSE)</f>
        <v>1</v>
      </c>
      <c r="T1608" s="81">
        <f>HLOOKUP(M1608,データについて!$J$7:$M$18,12,FALSE)</f>
        <v>2</v>
      </c>
      <c r="U1608" s="81">
        <f>HLOOKUP(N1608,データについて!$J$8:$M$18,11,FALSE)</f>
        <v>1</v>
      </c>
      <c r="V1608" s="81">
        <f>HLOOKUP(O1608,データについて!$J$9:$M$18,10,FALSE)</f>
        <v>1</v>
      </c>
      <c r="W1608" s="81">
        <f>HLOOKUP(P1608,データについて!$J$10:$M$18,9,FALSE)</f>
        <v>1</v>
      </c>
      <c r="X1608" s="81">
        <f>HLOOKUP(Q1608,データについて!$J$11:$M$18,8,FALSE)</f>
        <v>1</v>
      </c>
      <c r="Y1608" s="81">
        <f>HLOOKUP(R1608,データについて!$J$12:$M$18,7,FALSE)</f>
        <v>1</v>
      </c>
      <c r="Z1608" s="81">
        <f>HLOOKUP(I1608,データについて!$J$3:$M$18,16,FALSE)</f>
        <v>1</v>
      </c>
      <c r="AA1608" s="81">
        <f>IFERROR(HLOOKUP(J1608,データについて!$J$4:$AH$19,16,FALSE),"")</f>
        <v>15</v>
      </c>
      <c r="AB1608" s="81" t="str">
        <f>IFERROR(HLOOKUP(K1608,データについて!$J$5:$AH$20,14,FALSE),"")</f>
        <v/>
      </c>
      <c r="AC1608" s="81">
        <f>IF(X1608=1,HLOOKUP(R1608,データについて!$J$12:$M$18,7,FALSE),"*")</f>
        <v>1</v>
      </c>
      <c r="AD1608" s="81" t="str">
        <f>IF(X1608=2,HLOOKUP(R1608,データについて!$J$12:$M$18,7,FALSE),"*")</f>
        <v>*</v>
      </c>
    </row>
    <row r="1609" spans="1:30">
      <c r="A1609" s="30">
        <v>3583</v>
      </c>
      <c r="B1609" s="30" t="s">
        <v>1333</v>
      </c>
      <c r="C1609" s="30" t="s">
        <v>1334</v>
      </c>
      <c r="D1609" s="30" t="s">
        <v>106</v>
      </c>
      <c r="E1609" s="30"/>
      <c r="F1609" s="30" t="s">
        <v>107</v>
      </c>
      <c r="G1609" s="30" t="s">
        <v>106</v>
      </c>
      <c r="H1609" s="30"/>
      <c r="I1609" s="30" t="s">
        <v>192</v>
      </c>
      <c r="J1609" s="30" t="s">
        <v>611</v>
      </c>
      <c r="K1609" s="30"/>
      <c r="L1609" s="30" t="s">
        <v>108</v>
      </c>
      <c r="M1609" s="30" t="s">
        <v>121</v>
      </c>
      <c r="N1609" s="30" t="s">
        <v>119</v>
      </c>
      <c r="O1609" s="30" t="s">
        <v>115</v>
      </c>
      <c r="P1609" s="30" t="s">
        <v>112</v>
      </c>
      <c r="Q1609" s="30" t="s">
        <v>112</v>
      </c>
      <c r="R1609" s="30" t="s">
        <v>189</v>
      </c>
      <c r="S1609" s="81">
        <f>HLOOKUP(L1609,データについて!$J$6:$M$18,13,FALSE)</f>
        <v>1</v>
      </c>
      <c r="T1609" s="81">
        <f>HLOOKUP(M1609,データについて!$J$7:$M$18,12,FALSE)</f>
        <v>4</v>
      </c>
      <c r="U1609" s="81">
        <f>HLOOKUP(N1609,データについて!$J$8:$M$18,11,FALSE)</f>
        <v>4</v>
      </c>
      <c r="V1609" s="81">
        <f>HLOOKUP(O1609,データについて!$J$9:$M$18,10,FALSE)</f>
        <v>1</v>
      </c>
      <c r="W1609" s="81">
        <f>HLOOKUP(P1609,データについて!$J$10:$M$18,9,FALSE)</f>
        <v>1</v>
      </c>
      <c r="X1609" s="81">
        <f>HLOOKUP(Q1609,データについて!$J$11:$M$18,8,FALSE)</f>
        <v>1</v>
      </c>
      <c r="Y1609" s="81">
        <f>HLOOKUP(R1609,データについて!$J$12:$M$18,7,FALSE)</f>
        <v>4</v>
      </c>
      <c r="Z1609" s="81">
        <f>HLOOKUP(I1609,データについて!$J$3:$M$18,16,FALSE)</f>
        <v>1</v>
      </c>
      <c r="AA1609" s="81">
        <f>IFERROR(HLOOKUP(J1609,データについて!$J$4:$AH$19,16,FALSE),"")</f>
        <v>15</v>
      </c>
      <c r="AB1609" s="81" t="str">
        <f>IFERROR(HLOOKUP(K1609,データについて!$J$5:$AH$20,14,FALSE),"")</f>
        <v/>
      </c>
      <c r="AC1609" s="81">
        <f>IF(X1609=1,HLOOKUP(R1609,データについて!$J$12:$M$18,7,FALSE),"*")</f>
        <v>4</v>
      </c>
      <c r="AD1609" s="81" t="str">
        <f>IF(X1609=2,HLOOKUP(R1609,データについて!$J$12:$M$18,7,FALSE),"*")</f>
        <v>*</v>
      </c>
    </row>
    <row r="1610" spans="1:30">
      <c r="A1610" s="30">
        <v>3582</v>
      </c>
      <c r="B1610" s="30" t="s">
        <v>1335</v>
      </c>
      <c r="C1610" s="30" t="s">
        <v>1336</v>
      </c>
      <c r="D1610" s="30" t="s">
        <v>106</v>
      </c>
      <c r="E1610" s="30"/>
      <c r="F1610" s="30" t="s">
        <v>107</v>
      </c>
      <c r="G1610" s="30" t="s">
        <v>106</v>
      </c>
      <c r="H1610" s="30"/>
      <c r="I1610" s="30" t="s">
        <v>192</v>
      </c>
      <c r="J1610" s="30" t="s">
        <v>611</v>
      </c>
      <c r="K1610" s="30"/>
      <c r="L1610" s="30" t="s">
        <v>108</v>
      </c>
      <c r="M1610" s="30" t="s">
        <v>124</v>
      </c>
      <c r="N1610" s="30" t="s">
        <v>122</v>
      </c>
      <c r="O1610" s="30" t="s">
        <v>115</v>
      </c>
      <c r="P1610" s="30" t="s">
        <v>118</v>
      </c>
      <c r="Q1610" s="30" t="s">
        <v>118</v>
      </c>
      <c r="R1610" s="30" t="s">
        <v>189</v>
      </c>
      <c r="S1610" s="81">
        <f>HLOOKUP(L1610,データについて!$J$6:$M$18,13,FALSE)</f>
        <v>1</v>
      </c>
      <c r="T1610" s="81">
        <f>HLOOKUP(M1610,データについて!$J$7:$M$18,12,FALSE)</f>
        <v>3</v>
      </c>
      <c r="U1610" s="81">
        <f>HLOOKUP(N1610,データについて!$J$8:$M$18,11,FALSE)</f>
        <v>3</v>
      </c>
      <c r="V1610" s="81">
        <f>HLOOKUP(O1610,データについて!$J$9:$M$18,10,FALSE)</f>
        <v>1</v>
      </c>
      <c r="W1610" s="81">
        <f>HLOOKUP(P1610,データについて!$J$10:$M$18,9,FALSE)</f>
        <v>2</v>
      </c>
      <c r="X1610" s="81">
        <f>HLOOKUP(Q1610,データについて!$J$11:$M$18,8,FALSE)</f>
        <v>2</v>
      </c>
      <c r="Y1610" s="81">
        <f>HLOOKUP(R1610,データについて!$J$12:$M$18,7,FALSE)</f>
        <v>4</v>
      </c>
      <c r="Z1610" s="81">
        <f>HLOOKUP(I1610,データについて!$J$3:$M$18,16,FALSE)</f>
        <v>1</v>
      </c>
      <c r="AA1610" s="81">
        <f>IFERROR(HLOOKUP(J1610,データについて!$J$4:$AH$19,16,FALSE),"")</f>
        <v>15</v>
      </c>
      <c r="AB1610" s="81" t="str">
        <f>IFERROR(HLOOKUP(K1610,データについて!$J$5:$AH$20,14,FALSE),"")</f>
        <v/>
      </c>
      <c r="AC1610" s="81" t="str">
        <f>IF(X1610=1,HLOOKUP(R1610,データについて!$J$12:$M$18,7,FALSE),"*")</f>
        <v>*</v>
      </c>
      <c r="AD1610" s="81">
        <f>IF(X1610=2,HLOOKUP(R1610,データについて!$J$12:$M$18,7,FALSE),"*")</f>
        <v>4</v>
      </c>
    </row>
    <row r="1611" spans="1:30">
      <c r="A1611" s="30">
        <v>3581</v>
      </c>
      <c r="B1611" s="30" t="s">
        <v>1337</v>
      </c>
      <c r="C1611" s="30" t="s">
        <v>1338</v>
      </c>
      <c r="D1611" s="30" t="s">
        <v>106</v>
      </c>
      <c r="E1611" s="30"/>
      <c r="F1611" s="30" t="s">
        <v>107</v>
      </c>
      <c r="G1611" s="30" t="s">
        <v>106</v>
      </c>
      <c r="H1611" s="30"/>
      <c r="I1611" s="30" t="s">
        <v>192</v>
      </c>
      <c r="J1611" s="30" t="s">
        <v>611</v>
      </c>
      <c r="K1611" s="30"/>
      <c r="L1611" s="30" t="s">
        <v>108</v>
      </c>
      <c r="M1611" s="30" t="s">
        <v>121</v>
      </c>
      <c r="N1611" s="30" t="s">
        <v>114</v>
      </c>
      <c r="O1611" s="30" t="s">
        <v>115</v>
      </c>
      <c r="P1611" s="30" t="s">
        <v>112</v>
      </c>
      <c r="Q1611" s="30" t="s">
        <v>112</v>
      </c>
      <c r="R1611" s="30" t="s">
        <v>189</v>
      </c>
      <c r="S1611" s="81">
        <f>HLOOKUP(L1611,データについて!$J$6:$M$18,13,FALSE)</f>
        <v>1</v>
      </c>
      <c r="T1611" s="81">
        <f>HLOOKUP(M1611,データについて!$J$7:$M$18,12,FALSE)</f>
        <v>4</v>
      </c>
      <c r="U1611" s="81">
        <f>HLOOKUP(N1611,データについて!$J$8:$M$18,11,FALSE)</f>
        <v>1</v>
      </c>
      <c r="V1611" s="81">
        <f>HLOOKUP(O1611,データについて!$J$9:$M$18,10,FALSE)</f>
        <v>1</v>
      </c>
      <c r="W1611" s="81">
        <f>HLOOKUP(P1611,データについて!$J$10:$M$18,9,FALSE)</f>
        <v>1</v>
      </c>
      <c r="X1611" s="81">
        <f>HLOOKUP(Q1611,データについて!$J$11:$M$18,8,FALSE)</f>
        <v>1</v>
      </c>
      <c r="Y1611" s="81">
        <f>HLOOKUP(R1611,データについて!$J$12:$M$18,7,FALSE)</f>
        <v>4</v>
      </c>
      <c r="Z1611" s="81">
        <f>HLOOKUP(I1611,データについて!$J$3:$M$18,16,FALSE)</f>
        <v>1</v>
      </c>
      <c r="AA1611" s="81">
        <f>IFERROR(HLOOKUP(J1611,データについて!$J$4:$AH$19,16,FALSE),"")</f>
        <v>15</v>
      </c>
      <c r="AB1611" s="81" t="str">
        <f>IFERROR(HLOOKUP(K1611,データについて!$J$5:$AH$20,14,FALSE),"")</f>
        <v/>
      </c>
      <c r="AC1611" s="81">
        <f>IF(X1611=1,HLOOKUP(R1611,データについて!$J$12:$M$18,7,FALSE),"*")</f>
        <v>4</v>
      </c>
      <c r="AD1611" s="81" t="str">
        <f>IF(X1611=2,HLOOKUP(R1611,データについて!$J$12:$M$18,7,FALSE),"*")</f>
        <v>*</v>
      </c>
    </row>
    <row r="1612" spans="1:30">
      <c r="A1612" s="30">
        <v>3580</v>
      </c>
      <c r="B1612" s="30" t="s">
        <v>1339</v>
      </c>
      <c r="C1612" s="30" t="s">
        <v>1340</v>
      </c>
      <c r="D1612" s="30" t="s">
        <v>106</v>
      </c>
      <c r="E1612" s="30"/>
      <c r="F1612" s="30" t="s">
        <v>107</v>
      </c>
      <c r="G1612" s="30" t="s">
        <v>106</v>
      </c>
      <c r="H1612" s="30"/>
      <c r="I1612" s="30" t="s">
        <v>192</v>
      </c>
      <c r="J1612" s="30" t="s">
        <v>611</v>
      </c>
      <c r="K1612" s="30"/>
      <c r="L1612" s="30" t="s">
        <v>108</v>
      </c>
      <c r="M1612" s="30" t="s">
        <v>109</v>
      </c>
      <c r="N1612" s="30" t="s">
        <v>110</v>
      </c>
      <c r="O1612" s="30" t="s">
        <v>115</v>
      </c>
      <c r="P1612" s="30" t="s">
        <v>118</v>
      </c>
      <c r="Q1612" s="30" t="s">
        <v>112</v>
      </c>
      <c r="R1612" s="30" t="s">
        <v>187</v>
      </c>
      <c r="S1612" s="81">
        <f>HLOOKUP(L1612,データについて!$J$6:$M$18,13,FALSE)</f>
        <v>1</v>
      </c>
      <c r="T1612" s="81">
        <f>HLOOKUP(M1612,データについて!$J$7:$M$18,12,FALSE)</f>
        <v>2</v>
      </c>
      <c r="U1612" s="81">
        <f>HLOOKUP(N1612,データについて!$J$8:$M$18,11,FALSE)</f>
        <v>2</v>
      </c>
      <c r="V1612" s="81">
        <f>HLOOKUP(O1612,データについて!$J$9:$M$18,10,FALSE)</f>
        <v>1</v>
      </c>
      <c r="W1612" s="81">
        <f>HLOOKUP(P1612,データについて!$J$10:$M$18,9,FALSE)</f>
        <v>2</v>
      </c>
      <c r="X1612" s="81">
        <f>HLOOKUP(Q1612,データについて!$J$11:$M$18,8,FALSE)</f>
        <v>1</v>
      </c>
      <c r="Y1612" s="81">
        <f>HLOOKUP(R1612,データについて!$J$12:$M$18,7,FALSE)</f>
        <v>3</v>
      </c>
      <c r="Z1612" s="81">
        <f>HLOOKUP(I1612,データについて!$J$3:$M$18,16,FALSE)</f>
        <v>1</v>
      </c>
      <c r="AA1612" s="81">
        <f>IFERROR(HLOOKUP(J1612,データについて!$J$4:$AH$19,16,FALSE),"")</f>
        <v>15</v>
      </c>
      <c r="AB1612" s="81" t="str">
        <f>IFERROR(HLOOKUP(K1612,データについて!$J$5:$AH$20,14,FALSE),"")</f>
        <v/>
      </c>
      <c r="AC1612" s="81">
        <f>IF(X1612=1,HLOOKUP(R1612,データについて!$J$12:$M$18,7,FALSE),"*")</f>
        <v>3</v>
      </c>
      <c r="AD1612" s="81" t="str">
        <f>IF(X1612=2,HLOOKUP(R1612,データについて!$J$12:$M$18,7,FALSE),"*")</f>
        <v>*</v>
      </c>
    </row>
    <row r="1613" spans="1:30">
      <c r="A1613" s="30">
        <v>3579</v>
      </c>
      <c r="B1613" s="30" t="s">
        <v>1341</v>
      </c>
      <c r="C1613" s="30" t="s">
        <v>1340</v>
      </c>
      <c r="D1613" s="30" t="s">
        <v>106</v>
      </c>
      <c r="E1613" s="30"/>
      <c r="F1613" s="30" t="s">
        <v>107</v>
      </c>
      <c r="G1613" s="30" t="s">
        <v>106</v>
      </c>
      <c r="H1613" s="30"/>
      <c r="I1613" s="30" t="s">
        <v>192</v>
      </c>
      <c r="J1613" s="30" t="s">
        <v>611</v>
      </c>
      <c r="K1613" s="30"/>
      <c r="L1613" s="30" t="s">
        <v>108</v>
      </c>
      <c r="M1613" s="30" t="s">
        <v>113</v>
      </c>
      <c r="N1613" s="30" t="s">
        <v>114</v>
      </c>
      <c r="O1613" s="30" t="s">
        <v>116</v>
      </c>
      <c r="P1613" s="30" t="s">
        <v>112</v>
      </c>
      <c r="Q1613" s="30" t="s">
        <v>112</v>
      </c>
      <c r="R1613" s="30" t="s">
        <v>187</v>
      </c>
      <c r="S1613" s="81">
        <f>HLOOKUP(L1613,データについて!$J$6:$M$18,13,FALSE)</f>
        <v>1</v>
      </c>
      <c r="T1613" s="81">
        <f>HLOOKUP(M1613,データについて!$J$7:$M$18,12,FALSE)</f>
        <v>1</v>
      </c>
      <c r="U1613" s="81">
        <f>HLOOKUP(N1613,データについて!$J$8:$M$18,11,FALSE)</f>
        <v>1</v>
      </c>
      <c r="V1613" s="81">
        <f>HLOOKUP(O1613,データについて!$J$9:$M$18,10,FALSE)</f>
        <v>2</v>
      </c>
      <c r="W1613" s="81">
        <f>HLOOKUP(P1613,データについて!$J$10:$M$18,9,FALSE)</f>
        <v>1</v>
      </c>
      <c r="X1613" s="81">
        <f>HLOOKUP(Q1613,データについて!$J$11:$M$18,8,FALSE)</f>
        <v>1</v>
      </c>
      <c r="Y1613" s="81">
        <f>HLOOKUP(R1613,データについて!$J$12:$M$18,7,FALSE)</f>
        <v>3</v>
      </c>
      <c r="Z1613" s="81">
        <f>HLOOKUP(I1613,データについて!$J$3:$M$18,16,FALSE)</f>
        <v>1</v>
      </c>
      <c r="AA1613" s="81">
        <f>IFERROR(HLOOKUP(J1613,データについて!$J$4:$AH$19,16,FALSE),"")</f>
        <v>15</v>
      </c>
      <c r="AB1613" s="81" t="str">
        <f>IFERROR(HLOOKUP(K1613,データについて!$J$5:$AH$20,14,FALSE),"")</f>
        <v/>
      </c>
      <c r="AC1613" s="81">
        <f>IF(X1613=1,HLOOKUP(R1613,データについて!$J$12:$M$18,7,FALSE),"*")</f>
        <v>3</v>
      </c>
      <c r="AD1613" s="81" t="str">
        <f>IF(X1613=2,HLOOKUP(R1613,データについて!$J$12:$M$18,7,FALSE),"*")</f>
        <v>*</v>
      </c>
    </row>
    <row r="1614" spans="1:30">
      <c r="A1614" s="30">
        <v>3578</v>
      </c>
      <c r="B1614" s="30" t="s">
        <v>1342</v>
      </c>
      <c r="C1614" s="30" t="s">
        <v>1343</v>
      </c>
      <c r="D1614" s="30" t="s">
        <v>106</v>
      </c>
      <c r="E1614" s="30"/>
      <c r="F1614" s="30" t="s">
        <v>107</v>
      </c>
      <c r="G1614" s="30" t="s">
        <v>106</v>
      </c>
      <c r="H1614" s="30"/>
      <c r="I1614" s="30" t="s">
        <v>192</v>
      </c>
      <c r="J1614" s="30" t="s">
        <v>611</v>
      </c>
      <c r="K1614" s="30"/>
      <c r="L1614" s="30" t="s">
        <v>108</v>
      </c>
      <c r="M1614" s="30" t="s">
        <v>121</v>
      </c>
      <c r="N1614" s="30" t="s">
        <v>122</v>
      </c>
      <c r="O1614" s="30" t="s">
        <v>115</v>
      </c>
      <c r="P1614" s="30" t="s">
        <v>118</v>
      </c>
      <c r="Q1614" s="30" t="s">
        <v>118</v>
      </c>
      <c r="R1614" s="30" t="s">
        <v>189</v>
      </c>
      <c r="S1614" s="81">
        <f>HLOOKUP(L1614,データについて!$J$6:$M$18,13,FALSE)</f>
        <v>1</v>
      </c>
      <c r="T1614" s="81">
        <f>HLOOKUP(M1614,データについて!$J$7:$M$18,12,FALSE)</f>
        <v>4</v>
      </c>
      <c r="U1614" s="81">
        <f>HLOOKUP(N1614,データについて!$J$8:$M$18,11,FALSE)</f>
        <v>3</v>
      </c>
      <c r="V1614" s="81">
        <f>HLOOKUP(O1614,データについて!$J$9:$M$18,10,FALSE)</f>
        <v>1</v>
      </c>
      <c r="W1614" s="81">
        <f>HLOOKUP(P1614,データについて!$J$10:$M$18,9,FALSE)</f>
        <v>2</v>
      </c>
      <c r="X1614" s="81">
        <f>HLOOKUP(Q1614,データについて!$J$11:$M$18,8,FALSE)</f>
        <v>2</v>
      </c>
      <c r="Y1614" s="81">
        <f>HLOOKUP(R1614,データについて!$J$12:$M$18,7,FALSE)</f>
        <v>4</v>
      </c>
      <c r="Z1614" s="81">
        <f>HLOOKUP(I1614,データについて!$J$3:$M$18,16,FALSE)</f>
        <v>1</v>
      </c>
      <c r="AA1614" s="81">
        <f>IFERROR(HLOOKUP(J1614,データについて!$J$4:$AH$19,16,FALSE),"")</f>
        <v>15</v>
      </c>
      <c r="AB1614" s="81" t="str">
        <f>IFERROR(HLOOKUP(K1614,データについて!$J$5:$AH$20,14,FALSE),"")</f>
        <v/>
      </c>
      <c r="AC1614" s="81" t="str">
        <f>IF(X1614=1,HLOOKUP(R1614,データについて!$J$12:$M$18,7,FALSE),"*")</f>
        <v>*</v>
      </c>
      <c r="AD1614" s="81">
        <f>IF(X1614=2,HLOOKUP(R1614,データについて!$J$12:$M$18,7,FALSE),"*")</f>
        <v>4</v>
      </c>
    </row>
    <row r="1615" spans="1:30">
      <c r="A1615" s="30">
        <v>3577</v>
      </c>
      <c r="B1615" s="30" t="s">
        <v>1344</v>
      </c>
      <c r="C1615" s="30" t="s">
        <v>1345</v>
      </c>
      <c r="D1615" s="30" t="s">
        <v>106</v>
      </c>
      <c r="E1615" s="30"/>
      <c r="F1615" s="30" t="s">
        <v>107</v>
      </c>
      <c r="G1615" s="30" t="s">
        <v>106</v>
      </c>
      <c r="H1615" s="30"/>
      <c r="I1615" s="30" t="s">
        <v>192</v>
      </c>
      <c r="J1615" s="30" t="s">
        <v>611</v>
      </c>
      <c r="K1615" s="30"/>
      <c r="L1615" s="30" t="s">
        <v>117</v>
      </c>
      <c r="M1615" s="30" t="s">
        <v>109</v>
      </c>
      <c r="N1615" s="30" t="s">
        <v>110</v>
      </c>
      <c r="O1615" s="30" t="s">
        <v>115</v>
      </c>
      <c r="P1615" s="30" t="s">
        <v>118</v>
      </c>
      <c r="Q1615" s="30" t="s">
        <v>112</v>
      </c>
      <c r="R1615" s="30" t="s">
        <v>185</v>
      </c>
      <c r="S1615" s="81">
        <f>HLOOKUP(L1615,データについて!$J$6:$M$18,13,FALSE)</f>
        <v>2</v>
      </c>
      <c r="T1615" s="81">
        <f>HLOOKUP(M1615,データについて!$J$7:$M$18,12,FALSE)</f>
        <v>2</v>
      </c>
      <c r="U1615" s="81">
        <f>HLOOKUP(N1615,データについて!$J$8:$M$18,11,FALSE)</f>
        <v>2</v>
      </c>
      <c r="V1615" s="81">
        <f>HLOOKUP(O1615,データについて!$J$9:$M$18,10,FALSE)</f>
        <v>1</v>
      </c>
      <c r="W1615" s="81">
        <f>HLOOKUP(P1615,データについて!$J$10:$M$18,9,FALSE)</f>
        <v>2</v>
      </c>
      <c r="X1615" s="81">
        <f>HLOOKUP(Q1615,データについて!$J$11:$M$18,8,FALSE)</f>
        <v>1</v>
      </c>
      <c r="Y1615" s="81">
        <f>HLOOKUP(R1615,データについて!$J$12:$M$18,7,FALSE)</f>
        <v>2</v>
      </c>
      <c r="Z1615" s="81">
        <f>HLOOKUP(I1615,データについて!$J$3:$M$18,16,FALSE)</f>
        <v>1</v>
      </c>
      <c r="AA1615" s="81">
        <f>IFERROR(HLOOKUP(J1615,データについて!$J$4:$AH$19,16,FALSE),"")</f>
        <v>15</v>
      </c>
      <c r="AB1615" s="81" t="str">
        <f>IFERROR(HLOOKUP(K1615,データについて!$J$5:$AH$20,14,FALSE),"")</f>
        <v/>
      </c>
      <c r="AC1615" s="81">
        <f>IF(X1615=1,HLOOKUP(R1615,データについて!$J$12:$M$18,7,FALSE),"*")</f>
        <v>2</v>
      </c>
      <c r="AD1615" s="81" t="str">
        <f>IF(X1615=2,HLOOKUP(R1615,データについて!$J$12:$M$18,7,FALSE),"*")</f>
        <v>*</v>
      </c>
    </row>
    <row r="1616" spans="1:30">
      <c r="A1616" s="30">
        <v>3576</v>
      </c>
      <c r="B1616" s="30" t="s">
        <v>1346</v>
      </c>
      <c r="C1616" s="30" t="s">
        <v>1347</v>
      </c>
      <c r="D1616" s="30" t="s">
        <v>106</v>
      </c>
      <c r="E1616" s="30"/>
      <c r="F1616" s="30" t="s">
        <v>107</v>
      </c>
      <c r="G1616" s="30" t="s">
        <v>106</v>
      </c>
      <c r="H1616" s="30"/>
      <c r="I1616" s="30" t="s">
        <v>192</v>
      </c>
      <c r="J1616" s="30" t="s">
        <v>611</v>
      </c>
      <c r="K1616" s="30"/>
      <c r="L1616" s="30" t="s">
        <v>108</v>
      </c>
      <c r="M1616" s="30" t="s">
        <v>113</v>
      </c>
      <c r="N1616" s="30" t="s">
        <v>110</v>
      </c>
      <c r="O1616" s="30" t="s">
        <v>115</v>
      </c>
      <c r="P1616" s="30" t="s">
        <v>112</v>
      </c>
      <c r="Q1616" s="30" t="s">
        <v>112</v>
      </c>
      <c r="R1616" s="30" t="s">
        <v>183</v>
      </c>
      <c r="S1616" s="81">
        <f>HLOOKUP(L1616,データについて!$J$6:$M$18,13,FALSE)</f>
        <v>1</v>
      </c>
      <c r="T1616" s="81">
        <f>HLOOKUP(M1616,データについて!$J$7:$M$18,12,FALSE)</f>
        <v>1</v>
      </c>
      <c r="U1616" s="81">
        <f>HLOOKUP(N1616,データについて!$J$8:$M$18,11,FALSE)</f>
        <v>2</v>
      </c>
      <c r="V1616" s="81">
        <f>HLOOKUP(O1616,データについて!$J$9:$M$18,10,FALSE)</f>
        <v>1</v>
      </c>
      <c r="W1616" s="81">
        <f>HLOOKUP(P1616,データについて!$J$10:$M$18,9,FALSE)</f>
        <v>1</v>
      </c>
      <c r="X1616" s="81">
        <f>HLOOKUP(Q1616,データについて!$J$11:$M$18,8,FALSE)</f>
        <v>1</v>
      </c>
      <c r="Y1616" s="81">
        <f>HLOOKUP(R1616,データについて!$J$12:$M$18,7,FALSE)</f>
        <v>1</v>
      </c>
      <c r="Z1616" s="81">
        <f>HLOOKUP(I1616,データについて!$J$3:$M$18,16,FALSE)</f>
        <v>1</v>
      </c>
      <c r="AA1616" s="81">
        <f>IFERROR(HLOOKUP(J1616,データについて!$J$4:$AH$19,16,FALSE),"")</f>
        <v>15</v>
      </c>
      <c r="AB1616" s="81" t="str">
        <f>IFERROR(HLOOKUP(K1616,データについて!$J$5:$AH$20,14,FALSE),"")</f>
        <v/>
      </c>
      <c r="AC1616" s="81">
        <f>IF(X1616=1,HLOOKUP(R1616,データについて!$J$12:$M$18,7,FALSE),"*")</f>
        <v>1</v>
      </c>
      <c r="AD1616" s="81" t="str">
        <f>IF(X1616=2,HLOOKUP(R1616,データについて!$J$12:$M$18,7,FALSE),"*")</f>
        <v>*</v>
      </c>
    </row>
    <row r="1617" spans="1:30">
      <c r="A1617" s="30">
        <v>3575</v>
      </c>
      <c r="B1617" s="30" t="s">
        <v>1348</v>
      </c>
      <c r="C1617" s="30" t="s">
        <v>1349</v>
      </c>
      <c r="D1617" s="30" t="s">
        <v>106</v>
      </c>
      <c r="E1617" s="30"/>
      <c r="F1617" s="30" t="s">
        <v>107</v>
      </c>
      <c r="G1617" s="30" t="s">
        <v>106</v>
      </c>
      <c r="H1617" s="30"/>
      <c r="I1617" s="30" t="s">
        <v>192</v>
      </c>
      <c r="J1617" s="30" t="s">
        <v>611</v>
      </c>
      <c r="K1617" s="30"/>
      <c r="L1617" s="30" t="s">
        <v>117</v>
      </c>
      <c r="M1617" s="30" t="s">
        <v>113</v>
      </c>
      <c r="N1617" s="30" t="s">
        <v>114</v>
      </c>
      <c r="O1617" s="30" t="s">
        <v>115</v>
      </c>
      <c r="P1617" s="30" t="s">
        <v>118</v>
      </c>
      <c r="Q1617" s="30" t="s">
        <v>112</v>
      </c>
      <c r="R1617" s="30" t="s">
        <v>183</v>
      </c>
      <c r="S1617" s="81">
        <f>HLOOKUP(L1617,データについて!$J$6:$M$18,13,FALSE)</f>
        <v>2</v>
      </c>
      <c r="T1617" s="81">
        <f>HLOOKUP(M1617,データについて!$J$7:$M$18,12,FALSE)</f>
        <v>1</v>
      </c>
      <c r="U1617" s="81">
        <f>HLOOKUP(N1617,データについて!$J$8:$M$18,11,FALSE)</f>
        <v>1</v>
      </c>
      <c r="V1617" s="81">
        <f>HLOOKUP(O1617,データについて!$J$9:$M$18,10,FALSE)</f>
        <v>1</v>
      </c>
      <c r="W1617" s="81">
        <f>HLOOKUP(P1617,データについて!$J$10:$M$18,9,FALSE)</f>
        <v>2</v>
      </c>
      <c r="X1617" s="81">
        <f>HLOOKUP(Q1617,データについて!$J$11:$M$18,8,FALSE)</f>
        <v>1</v>
      </c>
      <c r="Y1617" s="81">
        <f>HLOOKUP(R1617,データについて!$J$12:$M$18,7,FALSE)</f>
        <v>1</v>
      </c>
      <c r="Z1617" s="81">
        <f>HLOOKUP(I1617,データについて!$J$3:$M$18,16,FALSE)</f>
        <v>1</v>
      </c>
      <c r="AA1617" s="81">
        <f>IFERROR(HLOOKUP(J1617,データについて!$J$4:$AH$19,16,FALSE),"")</f>
        <v>15</v>
      </c>
      <c r="AB1617" s="81" t="str">
        <f>IFERROR(HLOOKUP(K1617,データについて!$J$5:$AH$20,14,FALSE),"")</f>
        <v/>
      </c>
      <c r="AC1617" s="81">
        <f>IF(X1617=1,HLOOKUP(R1617,データについて!$J$12:$M$18,7,FALSE),"*")</f>
        <v>1</v>
      </c>
      <c r="AD1617" s="81" t="str">
        <f>IF(X1617=2,HLOOKUP(R1617,データについて!$J$12:$M$18,7,FALSE),"*")</f>
        <v>*</v>
      </c>
    </row>
    <row r="1618" spans="1:30">
      <c r="A1618" s="30">
        <v>3574</v>
      </c>
      <c r="B1618" s="30" t="s">
        <v>1350</v>
      </c>
      <c r="C1618" s="30" t="s">
        <v>1351</v>
      </c>
      <c r="D1618" s="30" t="s">
        <v>106</v>
      </c>
      <c r="E1618" s="30"/>
      <c r="F1618" s="30" t="s">
        <v>107</v>
      </c>
      <c r="G1618" s="30" t="s">
        <v>106</v>
      </c>
      <c r="H1618" s="30"/>
      <c r="I1618" s="30" t="s">
        <v>192</v>
      </c>
      <c r="J1618" s="30" t="s">
        <v>611</v>
      </c>
      <c r="K1618" s="30"/>
      <c r="L1618" s="30" t="s">
        <v>108</v>
      </c>
      <c r="M1618" s="30" t="s">
        <v>109</v>
      </c>
      <c r="N1618" s="30" t="s">
        <v>119</v>
      </c>
      <c r="O1618" s="30" t="s">
        <v>123</v>
      </c>
      <c r="P1618" s="30" t="s">
        <v>112</v>
      </c>
      <c r="Q1618" s="30" t="s">
        <v>112</v>
      </c>
      <c r="R1618" s="30" t="s">
        <v>189</v>
      </c>
      <c r="S1618" s="81">
        <f>HLOOKUP(L1618,データについて!$J$6:$M$18,13,FALSE)</f>
        <v>1</v>
      </c>
      <c r="T1618" s="81">
        <f>HLOOKUP(M1618,データについて!$J$7:$M$18,12,FALSE)</f>
        <v>2</v>
      </c>
      <c r="U1618" s="81">
        <f>HLOOKUP(N1618,データについて!$J$8:$M$18,11,FALSE)</f>
        <v>4</v>
      </c>
      <c r="V1618" s="81">
        <f>HLOOKUP(O1618,データについて!$J$9:$M$18,10,FALSE)</f>
        <v>4</v>
      </c>
      <c r="W1618" s="81">
        <f>HLOOKUP(P1618,データについて!$J$10:$M$18,9,FALSE)</f>
        <v>1</v>
      </c>
      <c r="X1618" s="81">
        <f>HLOOKUP(Q1618,データについて!$J$11:$M$18,8,FALSE)</f>
        <v>1</v>
      </c>
      <c r="Y1618" s="81">
        <f>HLOOKUP(R1618,データについて!$J$12:$M$18,7,FALSE)</f>
        <v>4</v>
      </c>
      <c r="Z1618" s="81">
        <f>HLOOKUP(I1618,データについて!$J$3:$M$18,16,FALSE)</f>
        <v>1</v>
      </c>
      <c r="AA1618" s="81">
        <f>IFERROR(HLOOKUP(J1618,データについて!$J$4:$AH$19,16,FALSE),"")</f>
        <v>15</v>
      </c>
      <c r="AB1618" s="81" t="str">
        <f>IFERROR(HLOOKUP(K1618,データについて!$J$5:$AH$20,14,FALSE),"")</f>
        <v/>
      </c>
      <c r="AC1618" s="81">
        <f>IF(X1618=1,HLOOKUP(R1618,データについて!$J$12:$M$18,7,FALSE),"*")</f>
        <v>4</v>
      </c>
      <c r="AD1618" s="81" t="str">
        <f>IF(X1618=2,HLOOKUP(R1618,データについて!$J$12:$M$18,7,FALSE),"*")</f>
        <v>*</v>
      </c>
    </row>
    <row r="1619" spans="1:30">
      <c r="A1619" s="30">
        <v>3573</v>
      </c>
      <c r="B1619" s="30" t="s">
        <v>1352</v>
      </c>
      <c r="C1619" s="30" t="s">
        <v>1353</v>
      </c>
      <c r="D1619" s="30" t="s">
        <v>106</v>
      </c>
      <c r="E1619" s="30"/>
      <c r="F1619" s="30" t="s">
        <v>107</v>
      </c>
      <c r="G1619" s="30" t="s">
        <v>106</v>
      </c>
      <c r="H1619" s="30"/>
      <c r="I1619" s="30" t="s">
        <v>192</v>
      </c>
      <c r="J1619" s="30" t="s">
        <v>611</v>
      </c>
      <c r="K1619" s="30"/>
      <c r="L1619" s="30" t="s">
        <v>117</v>
      </c>
      <c r="M1619" s="30" t="s">
        <v>109</v>
      </c>
      <c r="N1619" s="30" t="s">
        <v>110</v>
      </c>
      <c r="O1619" s="30" t="s">
        <v>115</v>
      </c>
      <c r="P1619" s="30" t="s">
        <v>118</v>
      </c>
      <c r="Q1619" s="30" t="s">
        <v>112</v>
      </c>
      <c r="R1619" s="30" t="s">
        <v>185</v>
      </c>
      <c r="S1619" s="81">
        <f>HLOOKUP(L1619,データについて!$J$6:$M$18,13,FALSE)</f>
        <v>2</v>
      </c>
      <c r="T1619" s="81">
        <f>HLOOKUP(M1619,データについて!$J$7:$M$18,12,FALSE)</f>
        <v>2</v>
      </c>
      <c r="U1619" s="81">
        <f>HLOOKUP(N1619,データについて!$J$8:$M$18,11,FALSE)</f>
        <v>2</v>
      </c>
      <c r="V1619" s="81">
        <f>HLOOKUP(O1619,データについて!$J$9:$M$18,10,FALSE)</f>
        <v>1</v>
      </c>
      <c r="W1619" s="81">
        <f>HLOOKUP(P1619,データについて!$J$10:$M$18,9,FALSE)</f>
        <v>2</v>
      </c>
      <c r="X1619" s="81">
        <f>HLOOKUP(Q1619,データについて!$J$11:$M$18,8,FALSE)</f>
        <v>1</v>
      </c>
      <c r="Y1619" s="81">
        <f>HLOOKUP(R1619,データについて!$J$12:$M$18,7,FALSE)</f>
        <v>2</v>
      </c>
      <c r="Z1619" s="81">
        <f>HLOOKUP(I1619,データについて!$J$3:$M$18,16,FALSE)</f>
        <v>1</v>
      </c>
      <c r="AA1619" s="81">
        <f>IFERROR(HLOOKUP(J1619,データについて!$J$4:$AH$19,16,FALSE),"")</f>
        <v>15</v>
      </c>
      <c r="AB1619" s="81" t="str">
        <f>IFERROR(HLOOKUP(K1619,データについて!$J$5:$AH$20,14,FALSE),"")</f>
        <v/>
      </c>
      <c r="AC1619" s="81">
        <f>IF(X1619=1,HLOOKUP(R1619,データについて!$J$12:$M$18,7,FALSE),"*")</f>
        <v>2</v>
      </c>
      <c r="AD1619" s="81" t="str">
        <f>IF(X1619=2,HLOOKUP(R1619,データについて!$J$12:$M$18,7,FALSE),"*")</f>
        <v>*</v>
      </c>
    </row>
    <row r="1620" spans="1:30">
      <c r="A1620" s="30">
        <v>3572</v>
      </c>
      <c r="B1620" s="30" t="s">
        <v>1354</v>
      </c>
      <c r="C1620" s="30" t="s">
        <v>1355</v>
      </c>
      <c r="D1620" s="30" t="s">
        <v>106</v>
      </c>
      <c r="E1620" s="30"/>
      <c r="F1620" s="30" t="s">
        <v>107</v>
      </c>
      <c r="G1620" s="30" t="s">
        <v>106</v>
      </c>
      <c r="H1620" s="30"/>
      <c r="I1620" s="30" t="s">
        <v>192</v>
      </c>
      <c r="J1620" s="30" t="s">
        <v>611</v>
      </c>
      <c r="K1620" s="30"/>
      <c r="L1620" s="30" t="s">
        <v>108</v>
      </c>
      <c r="M1620" s="30" t="s">
        <v>113</v>
      </c>
      <c r="N1620" s="30" t="s">
        <v>110</v>
      </c>
      <c r="O1620" s="30" t="s">
        <v>115</v>
      </c>
      <c r="P1620" s="30" t="s">
        <v>112</v>
      </c>
      <c r="Q1620" s="30" t="s">
        <v>118</v>
      </c>
      <c r="R1620" s="30" t="s">
        <v>189</v>
      </c>
      <c r="S1620" s="81">
        <f>HLOOKUP(L1620,データについて!$J$6:$M$18,13,FALSE)</f>
        <v>1</v>
      </c>
      <c r="T1620" s="81">
        <f>HLOOKUP(M1620,データについて!$J$7:$M$18,12,FALSE)</f>
        <v>1</v>
      </c>
      <c r="U1620" s="81">
        <f>HLOOKUP(N1620,データについて!$J$8:$M$18,11,FALSE)</f>
        <v>2</v>
      </c>
      <c r="V1620" s="81">
        <f>HLOOKUP(O1620,データについて!$J$9:$M$18,10,FALSE)</f>
        <v>1</v>
      </c>
      <c r="W1620" s="81">
        <f>HLOOKUP(P1620,データについて!$J$10:$M$18,9,FALSE)</f>
        <v>1</v>
      </c>
      <c r="X1620" s="81">
        <f>HLOOKUP(Q1620,データについて!$J$11:$M$18,8,FALSE)</f>
        <v>2</v>
      </c>
      <c r="Y1620" s="81">
        <f>HLOOKUP(R1620,データについて!$J$12:$M$18,7,FALSE)</f>
        <v>4</v>
      </c>
      <c r="Z1620" s="81">
        <f>HLOOKUP(I1620,データについて!$J$3:$M$18,16,FALSE)</f>
        <v>1</v>
      </c>
      <c r="AA1620" s="81">
        <f>IFERROR(HLOOKUP(J1620,データについて!$J$4:$AH$19,16,FALSE),"")</f>
        <v>15</v>
      </c>
      <c r="AB1620" s="81" t="str">
        <f>IFERROR(HLOOKUP(K1620,データについて!$J$5:$AH$20,14,FALSE),"")</f>
        <v/>
      </c>
      <c r="AC1620" s="81" t="str">
        <f>IF(X1620=1,HLOOKUP(R1620,データについて!$J$12:$M$18,7,FALSE),"*")</f>
        <v>*</v>
      </c>
      <c r="AD1620" s="81">
        <f>IF(X1620=2,HLOOKUP(R1620,データについて!$J$12:$M$18,7,FALSE),"*")</f>
        <v>4</v>
      </c>
    </row>
    <row r="1621" spans="1:30">
      <c r="A1621" s="30">
        <v>3571</v>
      </c>
      <c r="B1621" s="30" t="s">
        <v>1356</v>
      </c>
      <c r="C1621" s="30" t="s">
        <v>1357</v>
      </c>
      <c r="D1621" s="30" t="s">
        <v>106</v>
      </c>
      <c r="E1621" s="30"/>
      <c r="F1621" s="30" t="s">
        <v>107</v>
      </c>
      <c r="G1621" s="30" t="s">
        <v>106</v>
      </c>
      <c r="H1621" s="30"/>
      <c r="I1621" s="30" t="s">
        <v>192</v>
      </c>
      <c r="J1621" s="30" t="s">
        <v>611</v>
      </c>
      <c r="K1621" s="30"/>
      <c r="L1621" s="30" t="s">
        <v>117</v>
      </c>
      <c r="M1621" s="30" t="s">
        <v>113</v>
      </c>
      <c r="N1621" s="30" t="s">
        <v>110</v>
      </c>
      <c r="O1621" s="30" t="s">
        <v>115</v>
      </c>
      <c r="P1621" s="30" t="s">
        <v>112</v>
      </c>
      <c r="Q1621" s="30" t="s">
        <v>112</v>
      </c>
      <c r="R1621" s="30" t="s">
        <v>185</v>
      </c>
      <c r="S1621" s="81">
        <f>HLOOKUP(L1621,データについて!$J$6:$M$18,13,FALSE)</f>
        <v>2</v>
      </c>
      <c r="T1621" s="81">
        <f>HLOOKUP(M1621,データについて!$J$7:$M$18,12,FALSE)</f>
        <v>1</v>
      </c>
      <c r="U1621" s="81">
        <f>HLOOKUP(N1621,データについて!$J$8:$M$18,11,FALSE)</f>
        <v>2</v>
      </c>
      <c r="V1621" s="81">
        <f>HLOOKUP(O1621,データについて!$J$9:$M$18,10,FALSE)</f>
        <v>1</v>
      </c>
      <c r="W1621" s="81">
        <f>HLOOKUP(P1621,データについて!$J$10:$M$18,9,FALSE)</f>
        <v>1</v>
      </c>
      <c r="X1621" s="81">
        <f>HLOOKUP(Q1621,データについて!$J$11:$M$18,8,FALSE)</f>
        <v>1</v>
      </c>
      <c r="Y1621" s="81">
        <f>HLOOKUP(R1621,データについて!$J$12:$M$18,7,FALSE)</f>
        <v>2</v>
      </c>
      <c r="Z1621" s="81">
        <f>HLOOKUP(I1621,データについて!$J$3:$M$18,16,FALSE)</f>
        <v>1</v>
      </c>
      <c r="AA1621" s="81">
        <f>IFERROR(HLOOKUP(J1621,データについて!$J$4:$AH$19,16,FALSE),"")</f>
        <v>15</v>
      </c>
      <c r="AB1621" s="81" t="str">
        <f>IFERROR(HLOOKUP(K1621,データについて!$J$5:$AH$20,14,FALSE),"")</f>
        <v/>
      </c>
      <c r="AC1621" s="81">
        <f>IF(X1621=1,HLOOKUP(R1621,データについて!$J$12:$M$18,7,FALSE),"*")</f>
        <v>2</v>
      </c>
      <c r="AD1621" s="81" t="str">
        <f>IF(X1621=2,HLOOKUP(R1621,データについて!$J$12:$M$18,7,FALSE),"*")</f>
        <v>*</v>
      </c>
    </row>
    <row r="1622" spans="1:30">
      <c r="A1622" s="30">
        <v>3570</v>
      </c>
      <c r="B1622" s="30" t="s">
        <v>1358</v>
      </c>
      <c r="C1622" s="30" t="s">
        <v>1359</v>
      </c>
      <c r="D1622" s="30" t="s">
        <v>106</v>
      </c>
      <c r="E1622" s="30"/>
      <c r="F1622" s="30" t="s">
        <v>107</v>
      </c>
      <c r="G1622" s="30" t="s">
        <v>106</v>
      </c>
      <c r="H1622" s="30"/>
      <c r="I1622" s="30" t="s">
        <v>192</v>
      </c>
      <c r="J1622" s="30" t="s">
        <v>611</v>
      </c>
      <c r="K1622" s="30"/>
      <c r="L1622" s="30" t="s">
        <v>117</v>
      </c>
      <c r="M1622" s="30" t="s">
        <v>124</v>
      </c>
      <c r="N1622" s="30" t="s">
        <v>122</v>
      </c>
      <c r="O1622" s="30" t="s">
        <v>115</v>
      </c>
      <c r="P1622" s="30" t="s">
        <v>112</v>
      </c>
      <c r="Q1622" s="30" t="s">
        <v>112</v>
      </c>
      <c r="R1622" s="30" t="s">
        <v>187</v>
      </c>
      <c r="S1622" s="81">
        <f>HLOOKUP(L1622,データについて!$J$6:$M$18,13,FALSE)</f>
        <v>2</v>
      </c>
      <c r="T1622" s="81">
        <f>HLOOKUP(M1622,データについて!$J$7:$M$18,12,FALSE)</f>
        <v>3</v>
      </c>
      <c r="U1622" s="81">
        <f>HLOOKUP(N1622,データについて!$J$8:$M$18,11,FALSE)</f>
        <v>3</v>
      </c>
      <c r="V1622" s="81">
        <f>HLOOKUP(O1622,データについて!$J$9:$M$18,10,FALSE)</f>
        <v>1</v>
      </c>
      <c r="W1622" s="81">
        <f>HLOOKUP(P1622,データについて!$J$10:$M$18,9,FALSE)</f>
        <v>1</v>
      </c>
      <c r="X1622" s="81">
        <f>HLOOKUP(Q1622,データについて!$J$11:$M$18,8,FALSE)</f>
        <v>1</v>
      </c>
      <c r="Y1622" s="81">
        <f>HLOOKUP(R1622,データについて!$J$12:$M$18,7,FALSE)</f>
        <v>3</v>
      </c>
      <c r="Z1622" s="81">
        <f>HLOOKUP(I1622,データについて!$J$3:$M$18,16,FALSE)</f>
        <v>1</v>
      </c>
      <c r="AA1622" s="81">
        <f>IFERROR(HLOOKUP(J1622,データについて!$J$4:$AH$19,16,FALSE),"")</f>
        <v>15</v>
      </c>
      <c r="AB1622" s="81" t="str">
        <f>IFERROR(HLOOKUP(K1622,データについて!$J$5:$AH$20,14,FALSE),"")</f>
        <v/>
      </c>
      <c r="AC1622" s="81">
        <f>IF(X1622=1,HLOOKUP(R1622,データについて!$J$12:$M$18,7,FALSE),"*")</f>
        <v>3</v>
      </c>
      <c r="AD1622" s="81" t="str">
        <f>IF(X1622=2,HLOOKUP(R1622,データについて!$J$12:$M$18,7,FALSE),"*")</f>
        <v>*</v>
      </c>
    </row>
    <row r="1623" spans="1:30">
      <c r="A1623" s="30">
        <v>3569</v>
      </c>
      <c r="B1623" s="30" t="s">
        <v>1360</v>
      </c>
      <c r="C1623" s="30" t="s">
        <v>1361</v>
      </c>
      <c r="D1623" s="30" t="s">
        <v>106</v>
      </c>
      <c r="E1623" s="30"/>
      <c r="F1623" s="30" t="s">
        <v>107</v>
      </c>
      <c r="G1623" s="30" t="s">
        <v>106</v>
      </c>
      <c r="H1623" s="30"/>
      <c r="I1623" s="30" t="s">
        <v>192</v>
      </c>
      <c r="J1623" s="30" t="s">
        <v>611</v>
      </c>
      <c r="K1623" s="30"/>
      <c r="L1623" s="30" t="s">
        <v>117</v>
      </c>
      <c r="M1623" s="30" t="s">
        <v>113</v>
      </c>
      <c r="N1623" s="30" t="s">
        <v>110</v>
      </c>
      <c r="O1623" s="30" t="s">
        <v>115</v>
      </c>
      <c r="P1623" s="30" t="s">
        <v>112</v>
      </c>
      <c r="Q1623" s="30" t="s">
        <v>112</v>
      </c>
      <c r="R1623" s="30" t="s">
        <v>187</v>
      </c>
      <c r="S1623" s="81">
        <f>HLOOKUP(L1623,データについて!$J$6:$M$18,13,FALSE)</f>
        <v>2</v>
      </c>
      <c r="T1623" s="81">
        <f>HLOOKUP(M1623,データについて!$J$7:$M$18,12,FALSE)</f>
        <v>1</v>
      </c>
      <c r="U1623" s="81">
        <f>HLOOKUP(N1623,データについて!$J$8:$M$18,11,FALSE)</f>
        <v>2</v>
      </c>
      <c r="V1623" s="81">
        <f>HLOOKUP(O1623,データについて!$J$9:$M$18,10,FALSE)</f>
        <v>1</v>
      </c>
      <c r="W1623" s="81">
        <f>HLOOKUP(P1623,データについて!$J$10:$M$18,9,FALSE)</f>
        <v>1</v>
      </c>
      <c r="X1623" s="81">
        <f>HLOOKUP(Q1623,データについて!$J$11:$M$18,8,FALSE)</f>
        <v>1</v>
      </c>
      <c r="Y1623" s="81">
        <f>HLOOKUP(R1623,データについて!$J$12:$M$18,7,FALSE)</f>
        <v>3</v>
      </c>
      <c r="Z1623" s="81">
        <f>HLOOKUP(I1623,データについて!$J$3:$M$18,16,FALSE)</f>
        <v>1</v>
      </c>
      <c r="AA1623" s="81">
        <f>IFERROR(HLOOKUP(J1623,データについて!$J$4:$AH$19,16,FALSE),"")</f>
        <v>15</v>
      </c>
      <c r="AB1623" s="81" t="str">
        <f>IFERROR(HLOOKUP(K1623,データについて!$J$5:$AH$20,14,FALSE),"")</f>
        <v/>
      </c>
      <c r="AC1623" s="81">
        <f>IF(X1623=1,HLOOKUP(R1623,データについて!$J$12:$M$18,7,FALSE),"*")</f>
        <v>3</v>
      </c>
      <c r="AD1623" s="81" t="str">
        <f>IF(X1623=2,HLOOKUP(R1623,データについて!$J$12:$M$18,7,FALSE),"*")</f>
        <v>*</v>
      </c>
    </row>
    <row r="1624" spans="1:30">
      <c r="A1624" s="30">
        <v>3568</v>
      </c>
      <c r="B1624" s="30" t="s">
        <v>1362</v>
      </c>
      <c r="C1624" s="30" t="s">
        <v>1363</v>
      </c>
      <c r="D1624" s="30" t="s">
        <v>106</v>
      </c>
      <c r="E1624" s="30"/>
      <c r="F1624" s="30" t="s">
        <v>107</v>
      </c>
      <c r="G1624" s="30" t="s">
        <v>106</v>
      </c>
      <c r="H1624" s="30"/>
      <c r="I1624" s="30" t="s">
        <v>192</v>
      </c>
      <c r="J1624" s="30" t="s">
        <v>611</v>
      </c>
      <c r="K1624" s="30"/>
      <c r="L1624" s="30" t="s">
        <v>108</v>
      </c>
      <c r="M1624" s="30" t="s">
        <v>109</v>
      </c>
      <c r="N1624" s="30" t="s">
        <v>110</v>
      </c>
      <c r="O1624" s="30" t="s">
        <v>115</v>
      </c>
      <c r="P1624" s="30" t="s">
        <v>112</v>
      </c>
      <c r="Q1624" s="30" t="s">
        <v>118</v>
      </c>
      <c r="R1624" s="30" t="s">
        <v>187</v>
      </c>
      <c r="S1624" s="81">
        <f>HLOOKUP(L1624,データについて!$J$6:$M$18,13,FALSE)</f>
        <v>1</v>
      </c>
      <c r="T1624" s="81">
        <f>HLOOKUP(M1624,データについて!$J$7:$M$18,12,FALSE)</f>
        <v>2</v>
      </c>
      <c r="U1624" s="81">
        <f>HLOOKUP(N1624,データについて!$J$8:$M$18,11,FALSE)</f>
        <v>2</v>
      </c>
      <c r="V1624" s="81">
        <f>HLOOKUP(O1624,データについて!$J$9:$M$18,10,FALSE)</f>
        <v>1</v>
      </c>
      <c r="W1624" s="81">
        <f>HLOOKUP(P1624,データについて!$J$10:$M$18,9,FALSE)</f>
        <v>1</v>
      </c>
      <c r="X1624" s="81">
        <f>HLOOKUP(Q1624,データについて!$J$11:$M$18,8,FALSE)</f>
        <v>2</v>
      </c>
      <c r="Y1624" s="81">
        <f>HLOOKUP(R1624,データについて!$J$12:$M$18,7,FALSE)</f>
        <v>3</v>
      </c>
      <c r="Z1624" s="81">
        <f>HLOOKUP(I1624,データについて!$J$3:$M$18,16,FALSE)</f>
        <v>1</v>
      </c>
      <c r="AA1624" s="81">
        <f>IFERROR(HLOOKUP(J1624,データについて!$J$4:$AH$19,16,FALSE),"")</f>
        <v>15</v>
      </c>
      <c r="AB1624" s="81" t="str">
        <f>IFERROR(HLOOKUP(K1624,データについて!$J$5:$AH$20,14,FALSE),"")</f>
        <v/>
      </c>
      <c r="AC1624" s="81" t="str">
        <f>IF(X1624=1,HLOOKUP(R1624,データについて!$J$12:$M$18,7,FALSE),"*")</f>
        <v>*</v>
      </c>
      <c r="AD1624" s="81">
        <f>IF(X1624=2,HLOOKUP(R1624,データについて!$J$12:$M$18,7,FALSE),"*")</f>
        <v>3</v>
      </c>
    </row>
    <row r="1625" spans="1:30">
      <c r="A1625" s="30">
        <v>3567</v>
      </c>
      <c r="B1625" s="30" t="s">
        <v>1364</v>
      </c>
      <c r="C1625" s="30" t="s">
        <v>1365</v>
      </c>
      <c r="D1625" s="30" t="s">
        <v>106</v>
      </c>
      <c r="E1625" s="30"/>
      <c r="F1625" s="30" t="s">
        <v>107</v>
      </c>
      <c r="G1625" s="30" t="s">
        <v>106</v>
      </c>
      <c r="H1625" s="30"/>
      <c r="I1625" s="30" t="s">
        <v>192</v>
      </c>
      <c r="J1625" s="30" t="s">
        <v>611</v>
      </c>
      <c r="K1625" s="30"/>
      <c r="L1625" s="30" t="s">
        <v>108</v>
      </c>
      <c r="M1625" s="30" t="s">
        <v>109</v>
      </c>
      <c r="N1625" s="30" t="s">
        <v>110</v>
      </c>
      <c r="O1625" s="30" t="s">
        <v>115</v>
      </c>
      <c r="P1625" s="30" t="s">
        <v>118</v>
      </c>
      <c r="Q1625" s="30" t="s">
        <v>112</v>
      </c>
      <c r="R1625" s="30" t="s">
        <v>187</v>
      </c>
      <c r="S1625" s="81">
        <f>HLOOKUP(L1625,データについて!$J$6:$M$18,13,FALSE)</f>
        <v>1</v>
      </c>
      <c r="T1625" s="81">
        <f>HLOOKUP(M1625,データについて!$J$7:$M$18,12,FALSE)</f>
        <v>2</v>
      </c>
      <c r="U1625" s="81">
        <f>HLOOKUP(N1625,データについて!$J$8:$M$18,11,FALSE)</f>
        <v>2</v>
      </c>
      <c r="V1625" s="81">
        <f>HLOOKUP(O1625,データについて!$J$9:$M$18,10,FALSE)</f>
        <v>1</v>
      </c>
      <c r="W1625" s="81">
        <f>HLOOKUP(P1625,データについて!$J$10:$M$18,9,FALSE)</f>
        <v>2</v>
      </c>
      <c r="X1625" s="81">
        <f>HLOOKUP(Q1625,データについて!$J$11:$M$18,8,FALSE)</f>
        <v>1</v>
      </c>
      <c r="Y1625" s="81">
        <f>HLOOKUP(R1625,データについて!$J$12:$M$18,7,FALSE)</f>
        <v>3</v>
      </c>
      <c r="Z1625" s="81">
        <f>HLOOKUP(I1625,データについて!$J$3:$M$18,16,FALSE)</f>
        <v>1</v>
      </c>
      <c r="AA1625" s="81">
        <f>IFERROR(HLOOKUP(J1625,データについて!$J$4:$AH$19,16,FALSE),"")</f>
        <v>15</v>
      </c>
      <c r="AB1625" s="81" t="str">
        <f>IFERROR(HLOOKUP(K1625,データについて!$J$5:$AH$20,14,FALSE),"")</f>
        <v/>
      </c>
      <c r="AC1625" s="81">
        <f>IF(X1625=1,HLOOKUP(R1625,データについて!$J$12:$M$18,7,FALSE),"*")</f>
        <v>3</v>
      </c>
      <c r="AD1625" s="81" t="str">
        <f>IF(X1625=2,HLOOKUP(R1625,データについて!$J$12:$M$18,7,FALSE),"*")</f>
        <v>*</v>
      </c>
    </row>
    <row r="1626" spans="1:30">
      <c r="A1626" s="30">
        <v>3566</v>
      </c>
      <c r="B1626" s="30" t="s">
        <v>1366</v>
      </c>
      <c r="C1626" s="30" t="s">
        <v>1365</v>
      </c>
      <c r="D1626" s="30" t="s">
        <v>106</v>
      </c>
      <c r="E1626" s="30"/>
      <c r="F1626" s="30" t="s">
        <v>107</v>
      </c>
      <c r="G1626" s="30" t="s">
        <v>106</v>
      </c>
      <c r="H1626" s="30"/>
      <c r="I1626" s="30" t="s">
        <v>192</v>
      </c>
      <c r="J1626" s="30" t="s">
        <v>611</v>
      </c>
      <c r="K1626" s="30"/>
      <c r="L1626" s="30" t="s">
        <v>108</v>
      </c>
      <c r="M1626" s="30" t="s">
        <v>109</v>
      </c>
      <c r="N1626" s="30" t="s">
        <v>110</v>
      </c>
      <c r="O1626" s="30" t="s">
        <v>116</v>
      </c>
      <c r="P1626" s="30" t="s">
        <v>112</v>
      </c>
      <c r="Q1626" s="30" t="s">
        <v>112</v>
      </c>
      <c r="R1626" s="30" t="s">
        <v>185</v>
      </c>
      <c r="S1626" s="81">
        <f>HLOOKUP(L1626,データについて!$J$6:$M$18,13,FALSE)</f>
        <v>1</v>
      </c>
      <c r="T1626" s="81">
        <f>HLOOKUP(M1626,データについて!$J$7:$M$18,12,FALSE)</f>
        <v>2</v>
      </c>
      <c r="U1626" s="81">
        <f>HLOOKUP(N1626,データについて!$J$8:$M$18,11,FALSE)</f>
        <v>2</v>
      </c>
      <c r="V1626" s="81">
        <f>HLOOKUP(O1626,データについて!$J$9:$M$18,10,FALSE)</f>
        <v>2</v>
      </c>
      <c r="W1626" s="81">
        <f>HLOOKUP(P1626,データについて!$J$10:$M$18,9,FALSE)</f>
        <v>1</v>
      </c>
      <c r="X1626" s="81">
        <f>HLOOKUP(Q1626,データについて!$J$11:$M$18,8,FALSE)</f>
        <v>1</v>
      </c>
      <c r="Y1626" s="81">
        <f>HLOOKUP(R1626,データについて!$J$12:$M$18,7,FALSE)</f>
        <v>2</v>
      </c>
      <c r="Z1626" s="81">
        <f>HLOOKUP(I1626,データについて!$J$3:$M$18,16,FALSE)</f>
        <v>1</v>
      </c>
      <c r="AA1626" s="81">
        <f>IFERROR(HLOOKUP(J1626,データについて!$J$4:$AH$19,16,FALSE),"")</f>
        <v>15</v>
      </c>
      <c r="AB1626" s="81" t="str">
        <f>IFERROR(HLOOKUP(K1626,データについて!$J$5:$AH$20,14,FALSE),"")</f>
        <v/>
      </c>
      <c r="AC1626" s="81">
        <f>IF(X1626=1,HLOOKUP(R1626,データについて!$J$12:$M$18,7,FALSE),"*")</f>
        <v>2</v>
      </c>
      <c r="AD1626" s="81" t="str">
        <f>IF(X1626=2,HLOOKUP(R1626,データについて!$J$12:$M$18,7,FALSE),"*")</f>
        <v>*</v>
      </c>
    </row>
    <row r="1627" spans="1:30">
      <c r="A1627" s="30">
        <v>3565</v>
      </c>
      <c r="B1627" s="30" t="s">
        <v>1367</v>
      </c>
      <c r="C1627" s="30" t="s">
        <v>1368</v>
      </c>
      <c r="D1627" s="30" t="s">
        <v>106</v>
      </c>
      <c r="E1627" s="30"/>
      <c r="F1627" s="30" t="s">
        <v>107</v>
      </c>
      <c r="G1627" s="30" t="s">
        <v>106</v>
      </c>
      <c r="H1627" s="30"/>
      <c r="I1627" s="30" t="s">
        <v>192</v>
      </c>
      <c r="J1627" s="30" t="s">
        <v>611</v>
      </c>
      <c r="K1627" s="30"/>
      <c r="L1627" s="30" t="s">
        <v>108</v>
      </c>
      <c r="M1627" s="30" t="s">
        <v>109</v>
      </c>
      <c r="N1627" s="30" t="s">
        <v>114</v>
      </c>
      <c r="O1627" s="30" t="s">
        <v>115</v>
      </c>
      <c r="P1627" s="30" t="s">
        <v>112</v>
      </c>
      <c r="Q1627" s="30" t="s">
        <v>112</v>
      </c>
      <c r="R1627" s="30" t="s">
        <v>185</v>
      </c>
      <c r="S1627" s="81">
        <f>HLOOKUP(L1627,データについて!$J$6:$M$18,13,FALSE)</f>
        <v>1</v>
      </c>
      <c r="T1627" s="81">
        <f>HLOOKUP(M1627,データについて!$J$7:$M$18,12,FALSE)</f>
        <v>2</v>
      </c>
      <c r="U1627" s="81">
        <f>HLOOKUP(N1627,データについて!$J$8:$M$18,11,FALSE)</f>
        <v>1</v>
      </c>
      <c r="V1627" s="81">
        <f>HLOOKUP(O1627,データについて!$J$9:$M$18,10,FALSE)</f>
        <v>1</v>
      </c>
      <c r="W1627" s="81">
        <f>HLOOKUP(P1627,データについて!$J$10:$M$18,9,FALSE)</f>
        <v>1</v>
      </c>
      <c r="X1627" s="81">
        <f>HLOOKUP(Q1627,データについて!$J$11:$M$18,8,FALSE)</f>
        <v>1</v>
      </c>
      <c r="Y1627" s="81">
        <f>HLOOKUP(R1627,データについて!$J$12:$M$18,7,FALSE)</f>
        <v>2</v>
      </c>
      <c r="Z1627" s="81">
        <f>HLOOKUP(I1627,データについて!$J$3:$M$18,16,FALSE)</f>
        <v>1</v>
      </c>
      <c r="AA1627" s="81">
        <f>IFERROR(HLOOKUP(J1627,データについて!$J$4:$AH$19,16,FALSE),"")</f>
        <v>15</v>
      </c>
      <c r="AB1627" s="81" t="str">
        <f>IFERROR(HLOOKUP(K1627,データについて!$J$5:$AH$20,14,FALSE),"")</f>
        <v/>
      </c>
      <c r="AC1627" s="81">
        <f>IF(X1627=1,HLOOKUP(R1627,データについて!$J$12:$M$18,7,FALSE),"*")</f>
        <v>2</v>
      </c>
      <c r="AD1627" s="81" t="str">
        <f>IF(X1627=2,HLOOKUP(R1627,データについて!$J$12:$M$18,7,FALSE),"*")</f>
        <v>*</v>
      </c>
    </row>
    <row r="1628" spans="1:30">
      <c r="A1628" s="30">
        <v>3564</v>
      </c>
      <c r="B1628" s="30" t="s">
        <v>1369</v>
      </c>
      <c r="C1628" s="30" t="s">
        <v>1370</v>
      </c>
      <c r="D1628" s="30" t="s">
        <v>106</v>
      </c>
      <c r="E1628" s="30"/>
      <c r="F1628" s="30" t="s">
        <v>107</v>
      </c>
      <c r="G1628" s="30" t="s">
        <v>106</v>
      </c>
      <c r="H1628" s="30"/>
      <c r="I1628" s="30" t="s">
        <v>192</v>
      </c>
      <c r="J1628" s="30" t="s">
        <v>611</v>
      </c>
      <c r="K1628" s="30"/>
      <c r="L1628" s="30" t="s">
        <v>108</v>
      </c>
      <c r="M1628" s="30" t="s">
        <v>113</v>
      </c>
      <c r="N1628" s="30" t="s">
        <v>110</v>
      </c>
      <c r="O1628" s="30" t="s">
        <v>115</v>
      </c>
      <c r="P1628" s="30" t="s">
        <v>112</v>
      </c>
      <c r="Q1628" s="30" t="s">
        <v>112</v>
      </c>
      <c r="R1628" s="30" t="s">
        <v>185</v>
      </c>
      <c r="S1628" s="81">
        <f>HLOOKUP(L1628,データについて!$J$6:$M$18,13,FALSE)</f>
        <v>1</v>
      </c>
      <c r="T1628" s="81">
        <f>HLOOKUP(M1628,データについて!$J$7:$M$18,12,FALSE)</f>
        <v>1</v>
      </c>
      <c r="U1628" s="81">
        <f>HLOOKUP(N1628,データについて!$J$8:$M$18,11,FALSE)</f>
        <v>2</v>
      </c>
      <c r="V1628" s="81">
        <f>HLOOKUP(O1628,データについて!$J$9:$M$18,10,FALSE)</f>
        <v>1</v>
      </c>
      <c r="W1628" s="81">
        <f>HLOOKUP(P1628,データについて!$J$10:$M$18,9,FALSE)</f>
        <v>1</v>
      </c>
      <c r="X1628" s="81">
        <f>HLOOKUP(Q1628,データについて!$J$11:$M$18,8,FALSE)</f>
        <v>1</v>
      </c>
      <c r="Y1628" s="81">
        <f>HLOOKUP(R1628,データについて!$J$12:$M$18,7,FALSE)</f>
        <v>2</v>
      </c>
      <c r="Z1628" s="81">
        <f>HLOOKUP(I1628,データについて!$J$3:$M$18,16,FALSE)</f>
        <v>1</v>
      </c>
      <c r="AA1628" s="81">
        <f>IFERROR(HLOOKUP(J1628,データについて!$J$4:$AH$19,16,FALSE),"")</f>
        <v>15</v>
      </c>
      <c r="AB1628" s="81" t="str">
        <f>IFERROR(HLOOKUP(K1628,データについて!$J$5:$AH$20,14,FALSE),"")</f>
        <v/>
      </c>
      <c r="AC1628" s="81">
        <f>IF(X1628=1,HLOOKUP(R1628,データについて!$J$12:$M$18,7,FALSE),"*")</f>
        <v>2</v>
      </c>
      <c r="AD1628" s="81" t="str">
        <f>IF(X1628=2,HLOOKUP(R1628,データについて!$J$12:$M$18,7,FALSE),"*")</f>
        <v>*</v>
      </c>
    </row>
    <row r="1629" spans="1:30">
      <c r="A1629" s="30">
        <v>3563</v>
      </c>
      <c r="B1629" s="30" t="s">
        <v>1371</v>
      </c>
      <c r="C1629" s="30" t="s">
        <v>1370</v>
      </c>
      <c r="D1629" s="30" t="s">
        <v>106</v>
      </c>
      <c r="E1629" s="30"/>
      <c r="F1629" s="30" t="s">
        <v>107</v>
      </c>
      <c r="G1629" s="30" t="s">
        <v>106</v>
      </c>
      <c r="H1629" s="30"/>
      <c r="I1629" s="30" t="s">
        <v>192</v>
      </c>
      <c r="J1629" s="30" t="s">
        <v>611</v>
      </c>
      <c r="K1629" s="30"/>
      <c r="L1629" s="30" t="s">
        <v>108</v>
      </c>
      <c r="M1629" s="30" t="s">
        <v>113</v>
      </c>
      <c r="N1629" s="30" t="s">
        <v>114</v>
      </c>
      <c r="O1629" s="30" t="s">
        <v>115</v>
      </c>
      <c r="P1629" s="30" t="s">
        <v>112</v>
      </c>
      <c r="Q1629" s="30" t="s">
        <v>112</v>
      </c>
      <c r="R1629" s="30" t="s">
        <v>183</v>
      </c>
      <c r="S1629" s="81">
        <f>HLOOKUP(L1629,データについて!$J$6:$M$18,13,FALSE)</f>
        <v>1</v>
      </c>
      <c r="T1629" s="81">
        <f>HLOOKUP(M1629,データについて!$J$7:$M$18,12,FALSE)</f>
        <v>1</v>
      </c>
      <c r="U1629" s="81">
        <f>HLOOKUP(N1629,データについて!$J$8:$M$18,11,FALSE)</f>
        <v>1</v>
      </c>
      <c r="V1629" s="81">
        <f>HLOOKUP(O1629,データについて!$J$9:$M$18,10,FALSE)</f>
        <v>1</v>
      </c>
      <c r="W1629" s="81">
        <f>HLOOKUP(P1629,データについて!$J$10:$M$18,9,FALSE)</f>
        <v>1</v>
      </c>
      <c r="X1629" s="81">
        <f>HLOOKUP(Q1629,データについて!$J$11:$M$18,8,FALSE)</f>
        <v>1</v>
      </c>
      <c r="Y1629" s="81">
        <f>HLOOKUP(R1629,データについて!$J$12:$M$18,7,FALSE)</f>
        <v>1</v>
      </c>
      <c r="Z1629" s="81">
        <f>HLOOKUP(I1629,データについて!$J$3:$M$18,16,FALSE)</f>
        <v>1</v>
      </c>
      <c r="AA1629" s="81">
        <f>IFERROR(HLOOKUP(J1629,データについて!$J$4:$AH$19,16,FALSE),"")</f>
        <v>15</v>
      </c>
      <c r="AB1629" s="81" t="str">
        <f>IFERROR(HLOOKUP(K1629,データについて!$J$5:$AH$20,14,FALSE),"")</f>
        <v/>
      </c>
      <c r="AC1629" s="81">
        <f>IF(X1629=1,HLOOKUP(R1629,データについて!$J$12:$M$18,7,FALSE),"*")</f>
        <v>1</v>
      </c>
      <c r="AD1629" s="81" t="str">
        <f>IF(X1629=2,HLOOKUP(R1629,データについて!$J$12:$M$18,7,FALSE),"*")</f>
        <v>*</v>
      </c>
    </row>
    <row r="1630" spans="1:30">
      <c r="A1630" s="30">
        <v>3562</v>
      </c>
      <c r="B1630" s="30" t="s">
        <v>1372</v>
      </c>
      <c r="C1630" s="30" t="s">
        <v>1373</v>
      </c>
      <c r="D1630" s="30" t="s">
        <v>106</v>
      </c>
      <c r="E1630" s="30"/>
      <c r="F1630" s="30" t="s">
        <v>107</v>
      </c>
      <c r="G1630" s="30" t="s">
        <v>106</v>
      </c>
      <c r="H1630" s="30"/>
      <c r="I1630" s="30" t="s">
        <v>192</v>
      </c>
      <c r="J1630" s="30" t="s">
        <v>611</v>
      </c>
      <c r="K1630" s="30"/>
      <c r="L1630" s="30" t="s">
        <v>108</v>
      </c>
      <c r="M1630" s="30" t="s">
        <v>109</v>
      </c>
      <c r="N1630" s="30" t="s">
        <v>110</v>
      </c>
      <c r="O1630" s="30" t="s">
        <v>115</v>
      </c>
      <c r="P1630" s="30" t="s">
        <v>118</v>
      </c>
      <c r="Q1630" s="30" t="s">
        <v>112</v>
      </c>
      <c r="R1630" s="30" t="s">
        <v>187</v>
      </c>
      <c r="S1630" s="81">
        <f>HLOOKUP(L1630,データについて!$J$6:$M$18,13,FALSE)</f>
        <v>1</v>
      </c>
      <c r="T1630" s="81">
        <f>HLOOKUP(M1630,データについて!$J$7:$M$18,12,FALSE)</f>
        <v>2</v>
      </c>
      <c r="U1630" s="81">
        <f>HLOOKUP(N1630,データについて!$J$8:$M$18,11,FALSE)</f>
        <v>2</v>
      </c>
      <c r="V1630" s="81">
        <f>HLOOKUP(O1630,データについて!$J$9:$M$18,10,FALSE)</f>
        <v>1</v>
      </c>
      <c r="W1630" s="81">
        <f>HLOOKUP(P1630,データについて!$J$10:$M$18,9,FALSE)</f>
        <v>2</v>
      </c>
      <c r="X1630" s="81">
        <f>HLOOKUP(Q1630,データについて!$J$11:$M$18,8,FALSE)</f>
        <v>1</v>
      </c>
      <c r="Y1630" s="81">
        <f>HLOOKUP(R1630,データについて!$J$12:$M$18,7,FALSE)</f>
        <v>3</v>
      </c>
      <c r="Z1630" s="81">
        <f>HLOOKUP(I1630,データについて!$J$3:$M$18,16,FALSE)</f>
        <v>1</v>
      </c>
      <c r="AA1630" s="81">
        <f>IFERROR(HLOOKUP(J1630,データについて!$J$4:$AH$19,16,FALSE),"")</f>
        <v>15</v>
      </c>
      <c r="AB1630" s="81" t="str">
        <f>IFERROR(HLOOKUP(K1630,データについて!$J$5:$AH$20,14,FALSE),"")</f>
        <v/>
      </c>
      <c r="AC1630" s="81">
        <f>IF(X1630=1,HLOOKUP(R1630,データについて!$J$12:$M$18,7,FALSE),"*")</f>
        <v>3</v>
      </c>
      <c r="AD1630" s="81" t="str">
        <f>IF(X1630=2,HLOOKUP(R1630,データについて!$J$12:$M$18,7,FALSE),"*")</f>
        <v>*</v>
      </c>
    </row>
    <row r="1631" spans="1:30">
      <c r="A1631" s="30">
        <v>3561</v>
      </c>
      <c r="B1631" s="30" t="s">
        <v>1374</v>
      </c>
      <c r="C1631" s="30" t="s">
        <v>1375</v>
      </c>
      <c r="D1631" s="30" t="s">
        <v>106</v>
      </c>
      <c r="E1631" s="30"/>
      <c r="F1631" s="30" t="s">
        <v>107</v>
      </c>
      <c r="G1631" s="30" t="s">
        <v>106</v>
      </c>
      <c r="H1631" s="30"/>
      <c r="I1631" s="30" t="s">
        <v>192</v>
      </c>
      <c r="J1631" s="30" t="s">
        <v>611</v>
      </c>
      <c r="K1631" s="30"/>
      <c r="L1631" s="30" t="s">
        <v>108</v>
      </c>
      <c r="M1631" s="30" t="s">
        <v>109</v>
      </c>
      <c r="N1631" s="30" t="s">
        <v>110</v>
      </c>
      <c r="O1631" s="30" t="s">
        <v>116</v>
      </c>
      <c r="P1631" s="30" t="s">
        <v>112</v>
      </c>
      <c r="Q1631" s="30" t="s">
        <v>112</v>
      </c>
      <c r="R1631" s="30" t="s">
        <v>185</v>
      </c>
      <c r="S1631" s="81">
        <f>HLOOKUP(L1631,データについて!$J$6:$M$18,13,FALSE)</f>
        <v>1</v>
      </c>
      <c r="T1631" s="81">
        <f>HLOOKUP(M1631,データについて!$J$7:$M$18,12,FALSE)</f>
        <v>2</v>
      </c>
      <c r="U1631" s="81">
        <f>HLOOKUP(N1631,データについて!$J$8:$M$18,11,FALSE)</f>
        <v>2</v>
      </c>
      <c r="V1631" s="81">
        <f>HLOOKUP(O1631,データについて!$J$9:$M$18,10,FALSE)</f>
        <v>2</v>
      </c>
      <c r="W1631" s="81">
        <f>HLOOKUP(P1631,データについて!$J$10:$M$18,9,FALSE)</f>
        <v>1</v>
      </c>
      <c r="X1631" s="81">
        <f>HLOOKUP(Q1631,データについて!$J$11:$M$18,8,FALSE)</f>
        <v>1</v>
      </c>
      <c r="Y1631" s="81">
        <f>HLOOKUP(R1631,データについて!$J$12:$M$18,7,FALSE)</f>
        <v>2</v>
      </c>
      <c r="Z1631" s="81">
        <f>HLOOKUP(I1631,データについて!$J$3:$M$18,16,FALSE)</f>
        <v>1</v>
      </c>
      <c r="AA1631" s="81">
        <f>IFERROR(HLOOKUP(J1631,データについて!$J$4:$AH$19,16,FALSE),"")</f>
        <v>15</v>
      </c>
      <c r="AB1631" s="81" t="str">
        <f>IFERROR(HLOOKUP(K1631,データについて!$J$5:$AH$20,14,FALSE),"")</f>
        <v/>
      </c>
      <c r="AC1631" s="81">
        <f>IF(X1631=1,HLOOKUP(R1631,データについて!$J$12:$M$18,7,FALSE),"*")</f>
        <v>2</v>
      </c>
      <c r="AD1631" s="81" t="str">
        <f>IF(X1631=2,HLOOKUP(R1631,データについて!$J$12:$M$18,7,FALSE),"*")</f>
        <v>*</v>
      </c>
    </row>
    <row r="1632" spans="1:30">
      <c r="A1632" s="30">
        <v>3560</v>
      </c>
      <c r="B1632" s="30" t="s">
        <v>1376</v>
      </c>
      <c r="C1632" s="30" t="s">
        <v>1377</v>
      </c>
      <c r="D1632" s="30" t="s">
        <v>106</v>
      </c>
      <c r="E1632" s="30"/>
      <c r="F1632" s="30" t="s">
        <v>107</v>
      </c>
      <c r="G1632" s="30" t="s">
        <v>106</v>
      </c>
      <c r="H1632" s="30"/>
      <c r="I1632" s="30" t="s">
        <v>192</v>
      </c>
      <c r="J1632" s="30" t="s">
        <v>611</v>
      </c>
      <c r="K1632" s="30"/>
      <c r="L1632" s="30" t="s">
        <v>108</v>
      </c>
      <c r="M1632" s="30" t="s">
        <v>124</v>
      </c>
      <c r="N1632" s="30" t="s">
        <v>122</v>
      </c>
      <c r="O1632" s="30" t="s">
        <v>115</v>
      </c>
      <c r="P1632" s="30" t="s">
        <v>112</v>
      </c>
      <c r="Q1632" s="30" t="s">
        <v>118</v>
      </c>
      <c r="R1632" s="30" t="s">
        <v>187</v>
      </c>
      <c r="S1632" s="81">
        <f>HLOOKUP(L1632,データについて!$J$6:$M$18,13,FALSE)</f>
        <v>1</v>
      </c>
      <c r="T1632" s="81">
        <f>HLOOKUP(M1632,データについて!$J$7:$M$18,12,FALSE)</f>
        <v>3</v>
      </c>
      <c r="U1632" s="81">
        <f>HLOOKUP(N1632,データについて!$J$8:$M$18,11,FALSE)</f>
        <v>3</v>
      </c>
      <c r="V1632" s="81">
        <f>HLOOKUP(O1632,データについて!$J$9:$M$18,10,FALSE)</f>
        <v>1</v>
      </c>
      <c r="W1632" s="81">
        <f>HLOOKUP(P1632,データについて!$J$10:$M$18,9,FALSE)</f>
        <v>1</v>
      </c>
      <c r="X1632" s="81">
        <f>HLOOKUP(Q1632,データについて!$J$11:$M$18,8,FALSE)</f>
        <v>2</v>
      </c>
      <c r="Y1632" s="81">
        <f>HLOOKUP(R1632,データについて!$J$12:$M$18,7,FALSE)</f>
        <v>3</v>
      </c>
      <c r="Z1632" s="81">
        <f>HLOOKUP(I1632,データについて!$J$3:$M$18,16,FALSE)</f>
        <v>1</v>
      </c>
      <c r="AA1632" s="81">
        <f>IFERROR(HLOOKUP(J1632,データについて!$J$4:$AH$19,16,FALSE),"")</f>
        <v>15</v>
      </c>
      <c r="AB1632" s="81" t="str">
        <f>IFERROR(HLOOKUP(K1632,データについて!$J$5:$AH$20,14,FALSE),"")</f>
        <v/>
      </c>
      <c r="AC1632" s="81" t="str">
        <f>IF(X1632=1,HLOOKUP(R1632,データについて!$J$12:$M$18,7,FALSE),"*")</f>
        <v>*</v>
      </c>
      <c r="AD1632" s="81">
        <f>IF(X1632=2,HLOOKUP(R1632,データについて!$J$12:$M$18,7,FALSE),"*")</f>
        <v>3</v>
      </c>
    </row>
    <row r="1633" spans="1:30">
      <c r="A1633" s="30">
        <v>3559</v>
      </c>
      <c r="B1633" s="30" t="s">
        <v>1378</v>
      </c>
      <c r="C1633" s="30" t="s">
        <v>1379</v>
      </c>
      <c r="D1633" s="30" t="s">
        <v>106</v>
      </c>
      <c r="E1633" s="30"/>
      <c r="F1633" s="30" t="s">
        <v>107</v>
      </c>
      <c r="G1633" s="30" t="s">
        <v>106</v>
      </c>
      <c r="H1633" s="30"/>
      <c r="I1633" s="30" t="s">
        <v>192</v>
      </c>
      <c r="J1633" s="30" t="s">
        <v>611</v>
      </c>
      <c r="K1633" s="30"/>
      <c r="L1633" s="30" t="s">
        <v>108</v>
      </c>
      <c r="M1633" s="30" t="s">
        <v>109</v>
      </c>
      <c r="N1633" s="30" t="s">
        <v>110</v>
      </c>
      <c r="O1633" s="30" t="s">
        <v>115</v>
      </c>
      <c r="P1633" s="30" t="s">
        <v>112</v>
      </c>
      <c r="Q1633" s="30" t="s">
        <v>112</v>
      </c>
      <c r="R1633" s="30" t="s">
        <v>187</v>
      </c>
      <c r="S1633" s="81">
        <f>HLOOKUP(L1633,データについて!$J$6:$M$18,13,FALSE)</f>
        <v>1</v>
      </c>
      <c r="T1633" s="81">
        <f>HLOOKUP(M1633,データについて!$J$7:$M$18,12,FALSE)</f>
        <v>2</v>
      </c>
      <c r="U1633" s="81">
        <f>HLOOKUP(N1633,データについて!$J$8:$M$18,11,FALSE)</f>
        <v>2</v>
      </c>
      <c r="V1633" s="81">
        <f>HLOOKUP(O1633,データについて!$J$9:$M$18,10,FALSE)</f>
        <v>1</v>
      </c>
      <c r="W1633" s="81">
        <f>HLOOKUP(P1633,データについて!$J$10:$M$18,9,FALSE)</f>
        <v>1</v>
      </c>
      <c r="X1633" s="81">
        <f>HLOOKUP(Q1633,データについて!$J$11:$M$18,8,FALSE)</f>
        <v>1</v>
      </c>
      <c r="Y1633" s="81">
        <f>HLOOKUP(R1633,データについて!$J$12:$M$18,7,FALSE)</f>
        <v>3</v>
      </c>
      <c r="Z1633" s="81">
        <f>HLOOKUP(I1633,データについて!$J$3:$M$18,16,FALSE)</f>
        <v>1</v>
      </c>
      <c r="AA1633" s="81">
        <f>IFERROR(HLOOKUP(J1633,データについて!$J$4:$AH$19,16,FALSE),"")</f>
        <v>15</v>
      </c>
      <c r="AB1633" s="81" t="str">
        <f>IFERROR(HLOOKUP(K1633,データについて!$J$5:$AH$20,14,FALSE),"")</f>
        <v/>
      </c>
      <c r="AC1633" s="81">
        <f>IF(X1633=1,HLOOKUP(R1633,データについて!$J$12:$M$18,7,FALSE),"*")</f>
        <v>3</v>
      </c>
      <c r="AD1633" s="81" t="str">
        <f>IF(X1633=2,HLOOKUP(R1633,データについて!$J$12:$M$18,7,FALSE),"*")</f>
        <v>*</v>
      </c>
    </row>
    <row r="1634" spans="1:30">
      <c r="A1634" s="30">
        <v>3558</v>
      </c>
      <c r="B1634" s="30" t="s">
        <v>1380</v>
      </c>
      <c r="C1634" s="30" t="s">
        <v>1381</v>
      </c>
      <c r="D1634" s="30" t="s">
        <v>106</v>
      </c>
      <c r="E1634" s="30"/>
      <c r="F1634" s="30" t="s">
        <v>107</v>
      </c>
      <c r="G1634" s="30" t="s">
        <v>106</v>
      </c>
      <c r="H1634" s="30"/>
      <c r="I1634" s="30" t="s">
        <v>192</v>
      </c>
      <c r="J1634" s="30" t="s">
        <v>611</v>
      </c>
      <c r="K1634" s="30"/>
      <c r="L1634" s="30" t="s">
        <v>108</v>
      </c>
      <c r="M1634" s="30" t="s">
        <v>109</v>
      </c>
      <c r="N1634" s="30" t="s">
        <v>110</v>
      </c>
      <c r="O1634" s="30" t="s">
        <v>115</v>
      </c>
      <c r="P1634" s="30" t="s">
        <v>112</v>
      </c>
      <c r="Q1634" s="30" t="s">
        <v>118</v>
      </c>
      <c r="R1634" s="30" t="s">
        <v>189</v>
      </c>
      <c r="S1634" s="81">
        <f>HLOOKUP(L1634,データについて!$J$6:$M$18,13,FALSE)</f>
        <v>1</v>
      </c>
      <c r="T1634" s="81">
        <f>HLOOKUP(M1634,データについて!$J$7:$M$18,12,FALSE)</f>
        <v>2</v>
      </c>
      <c r="U1634" s="81">
        <f>HLOOKUP(N1634,データについて!$J$8:$M$18,11,FALSE)</f>
        <v>2</v>
      </c>
      <c r="V1634" s="81">
        <f>HLOOKUP(O1634,データについて!$J$9:$M$18,10,FALSE)</f>
        <v>1</v>
      </c>
      <c r="W1634" s="81">
        <f>HLOOKUP(P1634,データについて!$J$10:$M$18,9,FALSE)</f>
        <v>1</v>
      </c>
      <c r="X1634" s="81">
        <f>HLOOKUP(Q1634,データについて!$J$11:$M$18,8,FALSE)</f>
        <v>2</v>
      </c>
      <c r="Y1634" s="81">
        <f>HLOOKUP(R1634,データについて!$J$12:$M$18,7,FALSE)</f>
        <v>4</v>
      </c>
      <c r="Z1634" s="81">
        <f>HLOOKUP(I1634,データについて!$J$3:$M$18,16,FALSE)</f>
        <v>1</v>
      </c>
      <c r="AA1634" s="81">
        <f>IFERROR(HLOOKUP(J1634,データについて!$J$4:$AH$19,16,FALSE),"")</f>
        <v>15</v>
      </c>
      <c r="AB1634" s="81" t="str">
        <f>IFERROR(HLOOKUP(K1634,データについて!$J$5:$AH$20,14,FALSE),"")</f>
        <v/>
      </c>
      <c r="AC1634" s="81" t="str">
        <f>IF(X1634=1,HLOOKUP(R1634,データについて!$J$12:$M$18,7,FALSE),"*")</f>
        <v>*</v>
      </c>
      <c r="AD1634" s="81">
        <f>IF(X1634=2,HLOOKUP(R1634,データについて!$J$12:$M$18,7,FALSE),"*")</f>
        <v>4</v>
      </c>
    </row>
    <row r="1635" spans="1:30">
      <c r="A1635" s="30">
        <v>3557</v>
      </c>
      <c r="B1635" s="30" t="s">
        <v>1382</v>
      </c>
      <c r="C1635" s="30" t="s">
        <v>1383</v>
      </c>
      <c r="D1635" s="30" t="s">
        <v>106</v>
      </c>
      <c r="E1635" s="30"/>
      <c r="F1635" s="30" t="s">
        <v>107</v>
      </c>
      <c r="G1635" s="30" t="s">
        <v>106</v>
      </c>
      <c r="H1635" s="30"/>
      <c r="I1635" s="30" t="s">
        <v>192</v>
      </c>
      <c r="J1635" s="30" t="s">
        <v>611</v>
      </c>
      <c r="K1635" s="30"/>
      <c r="L1635" s="30" t="s">
        <v>108</v>
      </c>
      <c r="M1635" s="30" t="s">
        <v>109</v>
      </c>
      <c r="N1635" s="30" t="s">
        <v>110</v>
      </c>
      <c r="O1635" s="30" t="s">
        <v>111</v>
      </c>
      <c r="P1635" s="30" t="s">
        <v>112</v>
      </c>
      <c r="Q1635" s="30" t="s">
        <v>118</v>
      </c>
      <c r="R1635" s="30" t="s">
        <v>187</v>
      </c>
      <c r="S1635" s="81">
        <f>HLOOKUP(L1635,データについて!$J$6:$M$18,13,FALSE)</f>
        <v>1</v>
      </c>
      <c r="T1635" s="81">
        <f>HLOOKUP(M1635,データについて!$J$7:$M$18,12,FALSE)</f>
        <v>2</v>
      </c>
      <c r="U1635" s="81">
        <f>HLOOKUP(N1635,データについて!$J$8:$M$18,11,FALSE)</f>
        <v>2</v>
      </c>
      <c r="V1635" s="81">
        <f>HLOOKUP(O1635,データについて!$J$9:$M$18,10,FALSE)</f>
        <v>3</v>
      </c>
      <c r="W1635" s="81">
        <f>HLOOKUP(P1635,データについて!$J$10:$M$18,9,FALSE)</f>
        <v>1</v>
      </c>
      <c r="X1635" s="81">
        <f>HLOOKUP(Q1635,データについて!$J$11:$M$18,8,FALSE)</f>
        <v>2</v>
      </c>
      <c r="Y1635" s="81">
        <f>HLOOKUP(R1635,データについて!$J$12:$M$18,7,FALSE)</f>
        <v>3</v>
      </c>
      <c r="Z1635" s="81">
        <f>HLOOKUP(I1635,データについて!$J$3:$M$18,16,FALSE)</f>
        <v>1</v>
      </c>
      <c r="AA1635" s="81">
        <f>IFERROR(HLOOKUP(J1635,データについて!$J$4:$AH$19,16,FALSE),"")</f>
        <v>15</v>
      </c>
      <c r="AB1635" s="81" t="str">
        <f>IFERROR(HLOOKUP(K1635,データについて!$J$5:$AH$20,14,FALSE),"")</f>
        <v/>
      </c>
      <c r="AC1635" s="81" t="str">
        <f>IF(X1635=1,HLOOKUP(R1635,データについて!$J$12:$M$18,7,FALSE),"*")</f>
        <v>*</v>
      </c>
      <c r="AD1635" s="81">
        <f>IF(X1635=2,HLOOKUP(R1635,データについて!$J$12:$M$18,7,FALSE),"*")</f>
        <v>3</v>
      </c>
    </row>
    <row r="1636" spans="1:30">
      <c r="A1636" s="30">
        <v>3556</v>
      </c>
      <c r="B1636" s="30" t="s">
        <v>1384</v>
      </c>
      <c r="C1636" s="30" t="s">
        <v>1385</v>
      </c>
      <c r="D1636" s="30" t="s">
        <v>106</v>
      </c>
      <c r="E1636" s="30"/>
      <c r="F1636" s="30" t="s">
        <v>107</v>
      </c>
      <c r="G1636" s="30" t="s">
        <v>106</v>
      </c>
      <c r="H1636" s="30"/>
      <c r="I1636" s="30" t="s">
        <v>192</v>
      </c>
      <c r="J1636" s="30" t="s">
        <v>611</v>
      </c>
      <c r="K1636" s="30"/>
      <c r="L1636" s="30" t="s">
        <v>117</v>
      </c>
      <c r="M1636" s="30" t="s">
        <v>113</v>
      </c>
      <c r="N1636" s="30" t="s">
        <v>114</v>
      </c>
      <c r="O1636" s="30" t="s">
        <v>115</v>
      </c>
      <c r="P1636" s="30" t="s">
        <v>112</v>
      </c>
      <c r="Q1636" s="30" t="s">
        <v>112</v>
      </c>
      <c r="R1636" s="30" t="s">
        <v>185</v>
      </c>
      <c r="S1636" s="81">
        <f>HLOOKUP(L1636,データについて!$J$6:$M$18,13,FALSE)</f>
        <v>2</v>
      </c>
      <c r="T1636" s="81">
        <f>HLOOKUP(M1636,データについて!$J$7:$M$18,12,FALSE)</f>
        <v>1</v>
      </c>
      <c r="U1636" s="81">
        <f>HLOOKUP(N1636,データについて!$J$8:$M$18,11,FALSE)</f>
        <v>1</v>
      </c>
      <c r="V1636" s="81">
        <f>HLOOKUP(O1636,データについて!$J$9:$M$18,10,FALSE)</f>
        <v>1</v>
      </c>
      <c r="W1636" s="81">
        <f>HLOOKUP(P1636,データについて!$J$10:$M$18,9,FALSE)</f>
        <v>1</v>
      </c>
      <c r="X1636" s="81">
        <f>HLOOKUP(Q1636,データについて!$J$11:$M$18,8,FALSE)</f>
        <v>1</v>
      </c>
      <c r="Y1636" s="81">
        <f>HLOOKUP(R1636,データについて!$J$12:$M$18,7,FALSE)</f>
        <v>2</v>
      </c>
      <c r="Z1636" s="81">
        <f>HLOOKUP(I1636,データについて!$J$3:$M$18,16,FALSE)</f>
        <v>1</v>
      </c>
      <c r="AA1636" s="81">
        <f>IFERROR(HLOOKUP(J1636,データについて!$J$4:$AH$19,16,FALSE),"")</f>
        <v>15</v>
      </c>
      <c r="AB1636" s="81" t="str">
        <f>IFERROR(HLOOKUP(K1636,データについて!$J$5:$AH$20,14,FALSE),"")</f>
        <v/>
      </c>
      <c r="AC1636" s="81">
        <f>IF(X1636=1,HLOOKUP(R1636,データについて!$J$12:$M$18,7,FALSE),"*")</f>
        <v>2</v>
      </c>
      <c r="AD1636" s="81" t="str">
        <f>IF(X1636=2,HLOOKUP(R1636,データについて!$J$12:$M$18,7,FALSE),"*")</f>
        <v>*</v>
      </c>
    </row>
    <row r="1637" spans="1:30">
      <c r="A1637" s="30">
        <v>3555</v>
      </c>
      <c r="B1637" s="30" t="s">
        <v>1386</v>
      </c>
      <c r="C1637" s="30" t="s">
        <v>1387</v>
      </c>
      <c r="D1637" s="30" t="s">
        <v>106</v>
      </c>
      <c r="E1637" s="30"/>
      <c r="F1637" s="30" t="s">
        <v>107</v>
      </c>
      <c r="G1637" s="30" t="s">
        <v>106</v>
      </c>
      <c r="H1637" s="30"/>
      <c r="I1637" s="30" t="s">
        <v>192</v>
      </c>
      <c r="J1637" s="30" t="s">
        <v>611</v>
      </c>
      <c r="K1637" s="30"/>
      <c r="L1637" s="30" t="s">
        <v>117</v>
      </c>
      <c r="M1637" s="30" t="s">
        <v>113</v>
      </c>
      <c r="N1637" s="30" t="s">
        <v>110</v>
      </c>
      <c r="O1637" s="30" t="s">
        <v>115</v>
      </c>
      <c r="P1637" s="30" t="s">
        <v>112</v>
      </c>
      <c r="Q1637" s="30" t="s">
        <v>112</v>
      </c>
      <c r="R1637" s="30" t="s">
        <v>185</v>
      </c>
      <c r="S1637" s="81">
        <f>HLOOKUP(L1637,データについて!$J$6:$M$18,13,FALSE)</f>
        <v>2</v>
      </c>
      <c r="T1637" s="81">
        <f>HLOOKUP(M1637,データについて!$J$7:$M$18,12,FALSE)</f>
        <v>1</v>
      </c>
      <c r="U1637" s="81">
        <f>HLOOKUP(N1637,データについて!$J$8:$M$18,11,FALSE)</f>
        <v>2</v>
      </c>
      <c r="V1637" s="81">
        <f>HLOOKUP(O1637,データについて!$J$9:$M$18,10,FALSE)</f>
        <v>1</v>
      </c>
      <c r="W1637" s="81">
        <f>HLOOKUP(P1637,データについて!$J$10:$M$18,9,FALSE)</f>
        <v>1</v>
      </c>
      <c r="X1637" s="81">
        <f>HLOOKUP(Q1637,データについて!$J$11:$M$18,8,FALSE)</f>
        <v>1</v>
      </c>
      <c r="Y1637" s="81">
        <f>HLOOKUP(R1637,データについて!$J$12:$M$18,7,FALSE)</f>
        <v>2</v>
      </c>
      <c r="Z1637" s="81">
        <f>HLOOKUP(I1637,データについて!$J$3:$M$18,16,FALSE)</f>
        <v>1</v>
      </c>
      <c r="AA1637" s="81">
        <f>IFERROR(HLOOKUP(J1637,データについて!$J$4:$AH$19,16,FALSE),"")</f>
        <v>15</v>
      </c>
      <c r="AB1637" s="81" t="str">
        <f>IFERROR(HLOOKUP(K1637,データについて!$J$5:$AH$20,14,FALSE),"")</f>
        <v/>
      </c>
      <c r="AC1637" s="81">
        <f>IF(X1637=1,HLOOKUP(R1637,データについて!$J$12:$M$18,7,FALSE),"*")</f>
        <v>2</v>
      </c>
      <c r="AD1637" s="81" t="str">
        <f>IF(X1637=2,HLOOKUP(R1637,データについて!$J$12:$M$18,7,FALSE),"*")</f>
        <v>*</v>
      </c>
    </row>
    <row r="1638" spans="1:30">
      <c r="A1638" s="30">
        <v>3554</v>
      </c>
      <c r="B1638" s="30" t="s">
        <v>1388</v>
      </c>
      <c r="C1638" s="30" t="s">
        <v>1389</v>
      </c>
      <c r="D1638" s="30" t="s">
        <v>106</v>
      </c>
      <c r="E1638" s="30"/>
      <c r="F1638" s="30" t="s">
        <v>107</v>
      </c>
      <c r="G1638" s="30" t="s">
        <v>106</v>
      </c>
      <c r="H1638" s="30"/>
      <c r="I1638" s="30" t="s">
        <v>192</v>
      </c>
      <c r="J1638" s="30" t="s">
        <v>611</v>
      </c>
      <c r="K1638" s="30"/>
      <c r="L1638" s="30" t="s">
        <v>117</v>
      </c>
      <c r="M1638" s="30" t="s">
        <v>113</v>
      </c>
      <c r="N1638" s="30" t="s">
        <v>114</v>
      </c>
      <c r="O1638" s="30" t="s">
        <v>115</v>
      </c>
      <c r="P1638" s="30" t="s">
        <v>112</v>
      </c>
      <c r="Q1638" s="30" t="s">
        <v>112</v>
      </c>
      <c r="R1638" s="30" t="s">
        <v>183</v>
      </c>
      <c r="S1638" s="81">
        <f>HLOOKUP(L1638,データについて!$J$6:$M$18,13,FALSE)</f>
        <v>2</v>
      </c>
      <c r="T1638" s="81">
        <f>HLOOKUP(M1638,データについて!$J$7:$M$18,12,FALSE)</f>
        <v>1</v>
      </c>
      <c r="U1638" s="81">
        <f>HLOOKUP(N1638,データについて!$J$8:$M$18,11,FALSE)</f>
        <v>1</v>
      </c>
      <c r="V1638" s="81">
        <f>HLOOKUP(O1638,データについて!$J$9:$M$18,10,FALSE)</f>
        <v>1</v>
      </c>
      <c r="W1638" s="81">
        <f>HLOOKUP(P1638,データについて!$J$10:$M$18,9,FALSE)</f>
        <v>1</v>
      </c>
      <c r="X1638" s="81">
        <f>HLOOKUP(Q1638,データについて!$J$11:$M$18,8,FALSE)</f>
        <v>1</v>
      </c>
      <c r="Y1638" s="81">
        <f>HLOOKUP(R1638,データについて!$J$12:$M$18,7,FALSE)</f>
        <v>1</v>
      </c>
      <c r="Z1638" s="81">
        <f>HLOOKUP(I1638,データについて!$J$3:$M$18,16,FALSE)</f>
        <v>1</v>
      </c>
      <c r="AA1638" s="81">
        <f>IFERROR(HLOOKUP(J1638,データについて!$J$4:$AH$19,16,FALSE),"")</f>
        <v>15</v>
      </c>
      <c r="AB1638" s="81" t="str">
        <f>IFERROR(HLOOKUP(K1638,データについて!$J$5:$AH$20,14,FALSE),"")</f>
        <v/>
      </c>
      <c r="AC1638" s="81">
        <f>IF(X1638=1,HLOOKUP(R1638,データについて!$J$12:$M$18,7,FALSE),"*")</f>
        <v>1</v>
      </c>
      <c r="AD1638" s="81" t="str">
        <f>IF(X1638=2,HLOOKUP(R1638,データについて!$J$12:$M$18,7,FALSE),"*")</f>
        <v>*</v>
      </c>
    </row>
    <row r="1639" spans="1:30">
      <c r="A1639" s="30">
        <v>3553</v>
      </c>
      <c r="B1639" s="30" t="s">
        <v>1390</v>
      </c>
      <c r="C1639" s="30" t="s">
        <v>1389</v>
      </c>
      <c r="D1639" s="30" t="s">
        <v>106</v>
      </c>
      <c r="E1639" s="30"/>
      <c r="F1639" s="30" t="s">
        <v>107</v>
      </c>
      <c r="G1639" s="30" t="s">
        <v>106</v>
      </c>
      <c r="H1639" s="30"/>
      <c r="I1639" s="30" t="s">
        <v>192</v>
      </c>
      <c r="J1639" s="30" t="s">
        <v>611</v>
      </c>
      <c r="K1639" s="30"/>
      <c r="L1639" s="30" t="s">
        <v>108</v>
      </c>
      <c r="M1639" s="30" t="s">
        <v>109</v>
      </c>
      <c r="N1639" s="30" t="s">
        <v>114</v>
      </c>
      <c r="O1639" s="30" t="s">
        <v>115</v>
      </c>
      <c r="P1639" s="30" t="s">
        <v>112</v>
      </c>
      <c r="Q1639" s="30" t="s">
        <v>112</v>
      </c>
      <c r="R1639" s="30" t="s">
        <v>183</v>
      </c>
      <c r="S1639" s="81">
        <f>HLOOKUP(L1639,データについて!$J$6:$M$18,13,FALSE)</f>
        <v>1</v>
      </c>
      <c r="T1639" s="81">
        <f>HLOOKUP(M1639,データについて!$J$7:$M$18,12,FALSE)</f>
        <v>2</v>
      </c>
      <c r="U1639" s="81">
        <f>HLOOKUP(N1639,データについて!$J$8:$M$18,11,FALSE)</f>
        <v>1</v>
      </c>
      <c r="V1639" s="81">
        <f>HLOOKUP(O1639,データについて!$J$9:$M$18,10,FALSE)</f>
        <v>1</v>
      </c>
      <c r="W1639" s="81">
        <f>HLOOKUP(P1639,データについて!$J$10:$M$18,9,FALSE)</f>
        <v>1</v>
      </c>
      <c r="X1639" s="81">
        <f>HLOOKUP(Q1639,データについて!$J$11:$M$18,8,FALSE)</f>
        <v>1</v>
      </c>
      <c r="Y1639" s="81">
        <f>HLOOKUP(R1639,データについて!$J$12:$M$18,7,FALSE)</f>
        <v>1</v>
      </c>
      <c r="Z1639" s="81">
        <f>HLOOKUP(I1639,データについて!$J$3:$M$18,16,FALSE)</f>
        <v>1</v>
      </c>
      <c r="AA1639" s="81">
        <f>IFERROR(HLOOKUP(J1639,データについて!$J$4:$AH$19,16,FALSE),"")</f>
        <v>15</v>
      </c>
      <c r="AB1639" s="81" t="str">
        <f>IFERROR(HLOOKUP(K1639,データについて!$J$5:$AH$20,14,FALSE),"")</f>
        <v/>
      </c>
      <c r="AC1639" s="81">
        <f>IF(X1639=1,HLOOKUP(R1639,データについて!$J$12:$M$18,7,FALSE),"*")</f>
        <v>1</v>
      </c>
      <c r="AD1639" s="81" t="str">
        <f>IF(X1639=2,HLOOKUP(R1639,データについて!$J$12:$M$18,7,FALSE),"*")</f>
        <v>*</v>
      </c>
    </row>
    <row r="1640" spans="1:30">
      <c r="A1640" s="30">
        <v>3552</v>
      </c>
      <c r="B1640" s="30" t="s">
        <v>1391</v>
      </c>
      <c r="C1640" s="30" t="s">
        <v>1392</v>
      </c>
      <c r="D1640" s="30" t="s">
        <v>106</v>
      </c>
      <c r="E1640" s="30"/>
      <c r="F1640" s="30" t="s">
        <v>107</v>
      </c>
      <c r="G1640" s="30" t="s">
        <v>106</v>
      </c>
      <c r="H1640" s="30"/>
      <c r="I1640" s="30" t="s">
        <v>192</v>
      </c>
      <c r="J1640" s="30" t="s">
        <v>611</v>
      </c>
      <c r="K1640" s="30"/>
      <c r="L1640" s="30" t="s">
        <v>117</v>
      </c>
      <c r="M1640" s="30" t="s">
        <v>113</v>
      </c>
      <c r="N1640" s="30" t="s">
        <v>122</v>
      </c>
      <c r="O1640" s="30" t="s">
        <v>115</v>
      </c>
      <c r="P1640" s="30" t="s">
        <v>112</v>
      </c>
      <c r="Q1640" s="30" t="s">
        <v>112</v>
      </c>
      <c r="R1640" s="30" t="s">
        <v>187</v>
      </c>
      <c r="S1640" s="81">
        <f>HLOOKUP(L1640,データについて!$J$6:$M$18,13,FALSE)</f>
        <v>2</v>
      </c>
      <c r="T1640" s="81">
        <f>HLOOKUP(M1640,データについて!$J$7:$M$18,12,FALSE)</f>
        <v>1</v>
      </c>
      <c r="U1640" s="81">
        <f>HLOOKUP(N1640,データについて!$J$8:$M$18,11,FALSE)</f>
        <v>3</v>
      </c>
      <c r="V1640" s="81">
        <f>HLOOKUP(O1640,データについて!$J$9:$M$18,10,FALSE)</f>
        <v>1</v>
      </c>
      <c r="W1640" s="81">
        <f>HLOOKUP(P1640,データについて!$J$10:$M$18,9,FALSE)</f>
        <v>1</v>
      </c>
      <c r="X1640" s="81">
        <f>HLOOKUP(Q1640,データについて!$J$11:$M$18,8,FALSE)</f>
        <v>1</v>
      </c>
      <c r="Y1640" s="81">
        <f>HLOOKUP(R1640,データについて!$J$12:$M$18,7,FALSE)</f>
        <v>3</v>
      </c>
      <c r="Z1640" s="81">
        <f>HLOOKUP(I1640,データについて!$J$3:$M$18,16,FALSE)</f>
        <v>1</v>
      </c>
      <c r="AA1640" s="81">
        <f>IFERROR(HLOOKUP(J1640,データについて!$J$4:$AH$19,16,FALSE),"")</f>
        <v>15</v>
      </c>
      <c r="AB1640" s="81" t="str">
        <f>IFERROR(HLOOKUP(K1640,データについて!$J$5:$AH$20,14,FALSE),"")</f>
        <v/>
      </c>
      <c r="AC1640" s="81">
        <f>IF(X1640=1,HLOOKUP(R1640,データについて!$J$12:$M$18,7,FALSE),"*")</f>
        <v>3</v>
      </c>
      <c r="AD1640" s="81" t="str">
        <f>IF(X1640=2,HLOOKUP(R1640,データについて!$J$12:$M$18,7,FALSE),"*")</f>
        <v>*</v>
      </c>
    </row>
    <row r="1641" spans="1:30">
      <c r="A1641" s="30">
        <v>3551</v>
      </c>
      <c r="B1641" s="30" t="s">
        <v>1393</v>
      </c>
      <c r="C1641" s="30" t="s">
        <v>1394</v>
      </c>
      <c r="D1641" s="30" t="s">
        <v>106</v>
      </c>
      <c r="E1641" s="30"/>
      <c r="F1641" s="30" t="s">
        <v>107</v>
      </c>
      <c r="G1641" s="30" t="s">
        <v>106</v>
      </c>
      <c r="H1641" s="30"/>
      <c r="I1641" s="30" t="s">
        <v>192</v>
      </c>
      <c r="J1641" s="30" t="s">
        <v>611</v>
      </c>
      <c r="K1641" s="30"/>
      <c r="L1641" s="30" t="s">
        <v>117</v>
      </c>
      <c r="M1641" s="30" t="s">
        <v>113</v>
      </c>
      <c r="N1641" s="30" t="s">
        <v>119</v>
      </c>
      <c r="O1641" s="30" t="s">
        <v>115</v>
      </c>
      <c r="P1641" s="30" t="s">
        <v>112</v>
      </c>
      <c r="Q1641" s="30" t="s">
        <v>112</v>
      </c>
      <c r="R1641" s="30" t="s">
        <v>187</v>
      </c>
      <c r="S1641" s="81">
        <f>HLOOKUP(L1641,データについて!$J$6:$M$18,13,FALSE)</f>
        <v>2</v>
      </c>
      <c r="T1641" s="81">
        <f>HLOOKUP(M1641,データについて!$J$7:$M$18,12,FALSE)</f>
        <v>1</v>
      </c>
      <c r="U1641" s="81">
        <f>HLOOKUP(N1641,データについて!$J$8:$M$18,11,FALSE)</f>
        <v>4</v>
      </c>
      <c r="V1641" s="81">
        <f>HLOOKUP(O1641,データについて!$J$9:$M$18,10,FALSE)</f>
        <v>1</v>
      </c>
      <c r="W1641" s="81">
        <f>HLOOKUP(P1641,データについて!$J$10:$M$18,9,FALSE)</f>
        <v>1</v>
      </c>
      <c r="X1641" s="81">
        <f>HLOOKUP(Q1641,データについて!$J$11:$M$18,8,FALSE)</f>
        <v>1</v>
      </c>
      <c r="Y1641" s="81">
        <f>HLOOKUP(R1641,データについて!$J$12:$M$18,7,FALSE)</f>
        <v>3</v>
      </c>
      <c r="Z1641" s="81">
        <f>HLOOKUP(I1641,データについて!$J$3:$M$18,16,FALSE)</f>
        <v>1</v>
      </c>
      <c r="AA1641" s="81">
        <f>IFERROR(HLOOKUP(J1641,データについて!$J$4:$AH$19,16,FALSE),"")</f>
        <v>15</v>
      </c>
      <c r="AB1641" s="81" t="str">
        <f>IFERROR(HLOOKUP(K1641,データについて!$J$5:$AH$20,14,FALSE),"")</f>
        <v/>
      </c>
      <c r="AC1641" s="81">
        <f>IF(X1641=1,HLOOKUP(R1641,データについて!$J$12:$M$18,7,FALSE),"*")</f>
        <v>3</v>
      </c>
      <c r="AD1641" s="81" t="str">
        <f>IF(X1641=2,HLOOKUP(R1641,データについて!$J$12:$M$18,7,FALSE),"*")</f>
        <v>*</v>
      </c>
    </row>
    <row r="1642" spans="1:30">
      <c r="A1642" s="30">
        <v>3550</v>
      </c>
      <c r="B1642" s="30" t="s">
        <v>1395</v>
      </c>
      <c r="C1642" s="30" t="s">
        <v>1396</v>
      </c>
      <c r="D1642" s="30" t="s">
        <v>106</v>
      </c>
      <c r="E1642" s="30"/>
      <c r="F1642" s="30" t="s">
        <v>107</v>
      </c>
      <c r="G1642" s="30" t="s">
        <v>106</v>
      </c>
      <c r="H1642" s="30"/>
      <c r="I1642" s="30" t="s">
        <v>192</v>
      </c>
      <c r="J1642" s="30" t="s">
        <v>611</v>
      </c>
      <c r="K1642" s="30"/>
      <c r="L1642" s="30" t="s">
        <v>117</v>
      </c>
      <c r="M1642" s="30" t="s">
        <v>113</v>
      </c>
      <c r="N1642" s="30" t="s">
        <v>114</v>
      </c>
      <c r="O1642" s="30" t="s">
        <v>115</v>
      </c>
      <c r="P1642" s="30" t="s">
        <v>112</v>
      </c>
      <c r="Q1642" s="30" t="s">
        <v>112</v>
      </c>
      <c r="R1642" s="30" t="s">
        <v>187</v>
      </c>
      <c r="S1642" s="81">
        <f>HLOOKUP(L1642,データについて!$J$6:$M$18,13,FALSE)</f>
        <v>2</v>
      </c>
      <c r="T1642" s="81">
        <f>HLOOKUP(M1642,データについて!$J$7:$M$18,12,FALSE)</f>
        <v>1</v>
      </c>
      <c r="U1642" s="81">
        <f>HLOOKUP(N1642,データについて!$J$8:$M$18,11,FALSE)</f>
        <v>1</v>
      </c>
      <c r="V1642" s="81">
        <f>HLOOKUP(O1642,データについて!$J$9:$M$18,10,FALSE)</f>
        <v>1</v>
      </c>
      <c r="W1642" s="81">
        <f>HLOOKUP(P1642,データについて!$J$10:$M$18,9,FALSE)</f>
        <v>1</v>
      </c>
      <c r="X1642" s="81">
        <f>HLOOKUP(Q1642,データについて!$J$11:$M$18,8,FALSE)</f>
        <v>1</v>
      </c>
      <c r="Y1642" s="81">
        <f>HLOOKUP(R1642,データについて!$J$12:$M$18,7,FALSE)</f>
        <v>3</v>
      </c>
      <c r="Z1642" s="81">
        <f>HLOOKUP(I1642,データについて!$J$3:$M$18,16,FALSE)</f>
        <v>1</v>
      </c>
      <c r="AA1642" s="81">
        <f>IFERROR(HLOOKUP(J1642,データについて!$J$4:$AH$19,16,FALSE),"")</f>
        <v>15</v>
      </c>
      <c r="AB1642" s="81" t="str">
        <f>IFERROR(HLOOKUP(K1642,データについて!$J$5:$AH$20,14,FALSE),"")</f>
        <v/>
      </c>
      <c r="AC1642" s="81">
        <f>IF(X1642=1,HLOOKUP(R1642,データについて!$J$12:$M$18,7,FALSE),"*")</f>
        <v>3</v>
      </c>
      <c r="AD1642" s="81" t="str">
        <f>IF(X1642=2,HLOOKUP(R1642,データについて!$J$12:$M$18,7,FALSE),"*")</f>
        <v>*</v>
      </c>
    </row>
    <row r="1643" spans="1:30">
      <c r="A1643" s="30">
        <v>3549</v>
      </c>
      <c r="B1643" s="30" t="s">
        <v>1397</v>
      </c>
      <c r="C1643" s="30" t="s">
        <v>1398</v>
      </c>
      <c r="D1643" s="30" t="s">
        <v>106</v>
      </c>
      <c r="E1643" s="30"/>
      <c r="F1643" s="30" t="s">
        <v>107</v>
      </c>
      <c r="G1643" s="30" t="s">
        <v>106</v>
      </c>
      <c r="H1643" s="30"/>
      <c r="I1643" s="30" t="s">
        <v>192</v>
      </c>
      <c r="J1643" s="30" t="s">
        <v>611</v>
      </c>
      <c r="K1643" s="30"/>
      <c r="L1643" s="30" t="s">
        <v>108</v>
      </c>
      <c r="M1643" s="30" t="s">
        <v>109</v>
      </c>
      <c r="N1643" s="30" t="s">
        <v>114</v>
      </c>
      <c r="O1643" s="30" t="s">
        <v>115</v>
      </c>
      <c r="P1643" s="30" t="s">
        <v>112</v>
      </c>
      <c r="Q1643" s="30" t="s">
        <v>112</v>
      </c>
      <c r="R1643" s="30" t="s">
        <v>185</v>
      </c>
      <c r="S1643" s="81">
        <f>HLOOKUP(L1643,データについて!$J$6:$M$18,13,FALSE)</f>
        <v>1</v>
      </c>
      <c r="T1643" s="81">
        <f>HLOOKUP(M1643,データについて!$J$7:$M$18,12,FALSE)</f>
        <v>2</v>
      </c>
      <c r="U1643" s="81">
        <f>HLOOKUP(N1643,データについて!$J$8:$M$18,11,FALSE)</f>
        <v>1</v>
      </c>
      <c r="V1643" s="81">
        <f>HLOOKUP(O1643,データについて!$J$9:$M$18,10,FALSE)</f>
        <v>1</v>
      </c>
      <c r="W1643" s="81">
        <f>HLOOKUP(P1643,データについて!$J$10:$M$18,9,FALSE)</f>
        <v>1</v>
      </c>
      <c r="X1643" s="81">
        <f>HLOOKUP(Q1643,データについて!$J$11:$M$18,8,FALSE)</f>
        <v>1</v>
      </c>
      <c r="Y1643" s="81">
        <f>HLOOKUP(R1643,データについて!$J$12:$M$18,7,FALSE)</f>
        <v>2</v>
      </c>
      <c r="Z1643" s="81">
        <f>HLOOKUP(I1643,データについて!$J$3:$M$18,16,FALSE)</f>
        <v>1</v>
      </c>
      <c r="AA1643" s="81">
        <f>IFERROR(HLOOKUP(J1643,データについて!$J$4:$AH$19,16,FALSE),"")</f>
        <v>15</v>
      </c>
      <c r="AB1643" s="81" t="str">
        <f>IFERROR(HLOOKUP(K1643,データについて!$J$5:$AH$20,14,FALSE),"")</f>
        <v/>
      </c>
      <c r="AC1643" s="81">
        <f>IF(X1643=1,HLOOKUP(R1643,データについて!$J$12:$M$18,7,FALSE),"*")</f>
        <v>2</v>
      </c>
      <c r="AD1643" s="81" t="str">
        <f>IF(X1643=2,HLOOKUP(R1643,データについて!$J$12:$M$18,7,FALSE),"*")</f>
        <v>*</v>
      </c>
    </row>
    <row r="1644" spans="1:30">
      <c r="A1644" s="30">
        <v>3548</v>
      </c>
      <c r="B1644" s="30" t="s">
        <v>1399</v>
      </c>
      <c r="C1644" s="30" t="s">
        <v>1400</v>
      </c>
      <c r="D1644" s="30" t="s">
        <v>106</v>
      </c>
      <c r="E1644" s="30"/>
      <c r="F1644" s="30" t="s">
        <v>107</v>
      </c>
      <c r="G1644" s="30" t="s">
        <v>106</v>
      </c>
      <c r="H1644" s="30"/>
      <c r="I1644" s="30" t="s">
        <v>192</v>
      </c>
      <c r="J1644" s="30" t="s">
        <v>611</v>
      </c>
      <c r="K1644" s="30"/>
      <c r="L1644" s="30" t="s">
        <v>117</v>
      </c>
      <c r="M1644" s="30" t="s">
        <v>113</v>
      </c>
      <c r="N1644" s="30" t="s">
        <v>114</v>
      </c>
      <c r="O1644" s="30" t="s">
        <v>115</v>
      </c>
      <c r="P1644" s="30" t="s">
        <v>112</v>
      </c>
      <c r="Q1644" s="30" t="s">
        <v>112</v>
      </c>
      <c r="R1644" s="30" t="s">
        <v>185</v>
      </c>
      <c r="S1644" s="81">
        <f>HLOOKUP(L1644,データについて!$J$6:$M$18,13,FALSE)</f>
        <v>2</v>
      </c>
      <c r="T1644" s="81">
        <f>HLOOKUP(M1644,データについて!$J$7:$M$18,12,FALSE)</f>
        <v>1</v>
      </c>
      <c r="U1644" s="81">
        <f>HLOOKUP(N1644,データについて!$J$8:$M$18,11,FALSE)</f>
        <v>1</v>
      </c>
      <c r="V1644" s="81">
        <f>HLOOKUP(O1644,データについて!$J$9:$M$18,10,FALSE)</f>
        <v>1</v>
      </c>
      <c r="W1644" s="81">
        <f>HLOOKUP(P1644,データについて!$J$10:$M$18,9,FALSE)</f>
        <v>1</v>
      </c>
      <c r="X1644" s="81">
        <f>HLOOKUP(Q1644,データについて!$J$11:$M$18,8,FALSE)</f>
        <v>1</v>
      </c>
      <c r="Y1644" s="81">
        <f>HLOOKUP(R1644,データについて!$J$12:$M$18,7,FALSE)</f>
        <v>2</v>
      </c>
      <c r="Z1644" s="81">
        <f>HLOOKUP(I1644,データについて!$J$3:$M$18,16,FALSE)</f>
        <v>1</v>
      </c>
      <c r="AA1644" s="81">
        <f>IFERROR(HLOOKUP(J1644,データについて!$J$4:$AH$19,16,FALSE),"")</f>
        <v>15</v>
      </c>
      <c r="AB1644" s="81" t="str">
        <f>IFERROR(HLOOKUP(K1644,データについて!$J$5:$AH$20,14,FALSE),"")</f>
        <v/>
      </c>
      <c r="AC1644" s="81">
        <f>IF(X1644=1,HLOOKUP(R1644,データについて!$J$12:$M$18,7,FALSE),"*")</f>
        <v>2</v>
      </c>
      <c r="AD1644" s="81" t="str">
        <f>IF(X1644=2,HLOOKUP(R1644,データについて!$J$12:$M$18,7,FALSE),"*")</f>
        <v>*</v>
      </c>
    </row>
    <row r="1645" spans="1:30">
      <c r="A1645" s="30">
        <v>3547</v>
      </c>
      <c r="B1645" s="30" t="s">
        <v>1401</v>
      </c>
      <c r="C1645" s="30" t="s">
        <v>1402</v>
      </c>
      <c r="D1645" s="30" t="s">
        <v>106</v>
      </c>
      <c r="E1645" s="30"/>
      <c r="F1645" s="30" t="s">
        <v>107</v>
      </c>
      <c r="G1645" s="30" t="s">
        <v>106</v>
      </c>
      <c r="H1645" s="30"/>
      <c r="I1645" s="30" t="s">
        <v>192</v>
      </c>
      <c r="J1645" s="30" t="s">
        <v>611</v>
      </c>
      <c r="K1645" s="30"/>
      <c r="L1645" s="30" t="s">
        <v>108</v>
      </c>
      <c r="M1645" s="30" t="s">
        <v>113</v>
      </c>
      <c r="N1645" s="30" t="s">
        <v>114</v>
      </c>
      <c r="O1645" s="30" t="s">
        <v>115</v>
      </c>
      <c r="P1645" s="30" t="s">
        <v>118</v>
      </c>
      <c r="Q1645" s="30" t="s">
        <v>112</v>
      </c>
      <c r="R1645" s="30" t="s">
        <v>185</v>
      </c>
      <c r="S1645" s="81">
        <f>HLOOKUP(L1645,データについて!$J$6:$M$18,13,FALSE)</f>
        <v>1</v>
      </c>
      <c r="T1645" s="81">
        <f>HLOOKUP(M1645,データについて!$J$7:$M$18,12,FALSE)</f>
        <v>1</v>
      </c>
      <c r="U1645" s="81">
        <f>HLOOKUP(N1645,データについて!$J$8:$M$18,11,FALSE)</f>
        <v>1</v>
      </c>
      <c r="V1645" s="81">
        <f>HLOOKUP(O1645,データについて!$J$9:$M$18,10,FALSE)</f>
        <v>1</v>
      </c>
      <c r="W1645" s="81">
        <f>HLOOKUP(P1645,データについて!$J$10:$M$18,9,FALSE)</f>
        <v>2</v>
      </c>
      <c r="X1645" s="81">
        <f>HLOOKUP(Q1645,データについて!$J$11:$M$18,8,FALSE)</f>
        <v>1</v>
      </c>
      <c r="Y1645" s="81">
        <f>HLOOKUP(R1645,データについて!$J$12:$M$18,7,FALSE)</f>
        <v>2</v>
      </c>
      <c r="Z1645" s="81">
        <f>HLOOKUP(I1645,データについて!$J$3:$M$18,16,FALSE)</f>
        <v>1</v>
      </c>
      <c r="AA1645" s="81">
        <f>IFERROR(HLOOKUP(J1645,データについて!$J$4:$AH$19,16,FALSE),"")</f>
        <v>15</v>
      </c>
      <c r="AB1645" s="81" t="str">
        <f>IFERROR(HLOOKUP(K1645,データについて!$J$5:$AH$20,14,FALSE),"")</f>
        <v/>
      </c>
      <c r="AC1645" s="81">
        <f>IF(X1645=1,HLOOKUP(R1645,データについて!$J$12:$M$18,7,FALSE),"*")</f>
        <v>2</v>
      </c>
      <c r="AD1645" s="81" t="str">
        <f>IF(X1645=2,HLOOKUP(R1645,データについて!$J$12:$M$18,7,FALSE),"*")</f>
        <v>*</v>
      </c>
    </row>
    <row r="1646" spans="1:30">
      <c r="A1646" s="30">
        <v>3546</v>
      </c>
      <c r="B1646" s="30" t="s">
        <v>1403</v>
      </c>
      <c r="C1646" s="30" t="s">
        <v>1402</v>
      </c>
      <c r="D1646" s="30" t="s">
        <v>106</v>
      </c>
      <c r="E1646" s="30"/>
      <c r="F1646" s="30" t="s">
        <v>107</v>
      </c>
      <c r="G1646" s="30" t="s">
        <v>106</v>
      </c>
      <c r="H1646" s="30"/>
      <c r="I1646" s="30" t="s">
        <v>192</v>
      </c>
      <c r="J1646" s="30" t="s">
        <v>611</v>
      </c>
      <c r="K1646" s="30"/>
      <c r="L1646" s="30" t="s">
        <v>108</v>
      </c>
      <c r="M1646" s="30" t="s">
        <v>113</v>
      </c>
      <c r="N1646" s="30" t="s">
        <v>114</v>
      </c>
      <c r="O1646" s="30" t="s">
        <v>115</v>
      </c>
      <c r="P1646" s="30" t="s">
        <v>112</v>
      </c>
      <c r="Q1646" s="30" t="s">
        <v>118</v>
      </c>
      <c r="R1646" s="30" t="s">
        <v>189</v>
      </c>
      <c r="S1646" s="81">
        <f>HLOOKUP(L1646,データについて!$J$6:$M$18,13,FALSE)</f>
        <v>1</v>
      </c>
      <c r="T1646" s="81">
        <f>HLOOKUP(M1646,データについて!$J$7:$M$18,12,FALSE)</f>
        <v>1</v>
      </c>
      <c r="U1646" s="81">
        <f>HLOOKUP(N1646,データについて!$J$8:$M$18,11,FALSE)</f>
        <v>1</v>
      </c>
      <c r="V1646" s="81">
        <f>HLOOKUP(O1646,データについて!$J$9:$M$18,10,FALSE)</f>
        <v>1</v>
      </c>
      <c r="W1646" s="81">
        <f>HLOOKUP(P1646,データについて!$J$10:$M$18,9,FALSE)</f>
        <v>1</v>
      </c>
      <c r="X1646" s="81">
        <f>HLOOKUP(Q1646,データについて!$J$11:$M$18,8,FALSE)</f>
        <v>2</v>
      </c>
      <c r="Y1646" s="81">
        <f>HLOOKUP(R1646,データについて!$J$12:$M$18,7,FALSE)</f>
        <v>4</v>
      </c>
      <c r="Z1646" s="81">
        <f>HLOOKUP(I1646,データについて!$J$3:$M$18,16,FALSE)</f>
        <v>1</v>
      </c>
      <c r="AA1646" s="81">
        <f>IFERROR(HLOOKUP(J1646,データについて!$J$4:$AH$19,16,FALSE),"")</f>
        <v>15</v>
      </c>
      <c r="AB1646" s="81" t="str">
        <f>IFERROR(HLOOKUP(K1646,データについて!$J$5:$AH$20,14,FALSE),"")</f>
        <v/>
      </c>
      <c r="AC1646" s="81" t="str">
        <f>IF(X1646=1,HLOOKUP(R1646,データについて!$J$12:$M$18,7,FALSE),"*")</f>
        <v>*</v>
      </c>
      <c r="AD1646" s="81">
        <f>IF(X1646=2,HLOOKUP(R1646,データについて!$J$12:$M$18,7,FALSE),"*")</f>
        <v>4</v>
      </c>
    </row>
    <row r="1647" spans="1:30">
      <c r="A1647" s="30">
        <v>3545</v>
      </c>
      <c r="B1647" s="30" t="s">
        <v>1404</v>
      </c>
      <c r="C1647" s="30" t="s">
        <v>1402</v>
      </c>
      <c r="D1647" s="30" t="s">
        <v>106</v>
      </c>
      <c r="E1647" s="30"/>
      <c r="F1647" s="30" t="s">
        <v>107</v>
      </c>
      <c r="G1647" s="30" t="s">
        <v>106</v>
      </c>
      <c r="H1647" s="30"/>
      <c r="I1647" s="30" t="s">
        <v>192</v>
      </c>
      <c r="J1647" s="30" t="s">
        <v>611</v>
      </c>
      <c r="K1647" s="30"/>
      <c r="L1647" s="30" t="s">
        <v>108</v>
      </c>
      <c r="M1647" s="30" t="s">
        <v>113</v>
      </c>
      <c r="N1647" s="30" t="s">
        <v>114</v>
      </c>
      <c r="O1647" s="30" t="s">
        <v>115</v>
      </c>
      <c r="P1647" s="30" t="s">
        <v>112</v>
      </c>
      <c r="Q1647" s="30" t="s">
        <v>112</v>
      </c>
      <c r="R1647" s="30" t="s">
        <v>183</v>
      </c>
      <c r="S1647" s="81">
        <f>HLOOKUP(L1647,データについて!$J$6:$M$18,13,FALSE)</f>
        <v>1</v>
      </c>
      <c r="T1647" s="81">
        <f>HLOOKUP(M1647,データについて!$J$7:$M$18,12,FALSE)</f>
        <v>1</v>
      </c>
      <c r="U1647" s="81">
        <f>HLOOKUP(N1647,データについて!$J$8:$M$18,11,FALSE)</f>
        <v>1</v>
      </c>
      <c r="V1647" s="81">
        <f>HLOOKUP(O1647,データについて!$J$9:$M$18,10,FALSE)</f>
        <v>1</v>
      </c>
      <c r="W1647" s="81">
        <f>HLOOKUP(P1647,データについて!$J$10:$M$18,9,FALSE)</f>
        <v>1</v>
      </c>
      <c r="X1647" s="81">
        <f>HLOOKUP(Q1647,データについて!$J$11:$M$18,8,FALSE)</f>
        <v>1</v>
      </c>
      <c r="Y1647" s="81">
        <f>HLOOKUP(R1647,データについて!$J$12:$M$18,7,FALSE)</f>
        <v>1</v>
      </c>
      <c r="Z1647" s="81">
        <f>HLOOKUP(I1647,データについて!$J$3:$M$18,16,FALSE)</f>
        <v>1</v>
      </c>
      <c r="AA1647" s="81">
        <f>IFERROR(HLOOKUP(J1647,データについて!$J$4:$AH$19,16,FALSE),"")</f>
        <v>15</v>
      </c>
      <c r="AB1647" s="81" t="str">
        <f>IFERROR(HLOOKUP(K1647,データについて!$J$5:$AH$20,14,FALSE),"")</f>
        <v/>
      </c>
      <c r="AC1647" s="81">
        <f>IF(X1647=1,HLOOKUP(R1647,データについて!$J$12:$M$18,7,FALSE),"*")</f>
        <v>1</v>
      </c>
      <c r="AD1647" s="81" t="str">
        <f>IF(X1647=2,HLOOKUP(R1647,データについて!$J$12:$M$18,7,FALSE),"*")</f>
        <v>*</v>
      </c>
    </row>
    <row r="1648" spans="1:30">
      <c r="A1648" s="30">
        <v>3544</v>
      </c>
      <c r="B1648" s="30" t="s">
        <v>1405</v>
      </c>
      <c r="C1648" s="30" t="s">
        <v>1406</v>
      </c>
      <c r="D1648" s="30" t="s">
        <v>106</v>
      </c>
      <c r="E1648" s="30"/>
      <c r="F1648" s="30" t="s">
        <v>107</v>
      </c>
      <c r="G1648" s="30" t="s">
        <v>106</v>
      </c>
      <c r="H1648" s="30"/>
      <c r="I1648" s="30" t="s">
        <v>192</v>
      </c>
      <c r="J1648" s="30" t="s">
        <v>611</v>
      </c>
      <c r="K1648" s="30"/>
      <c r="L1648" s="30" t="s">
        <v>117</v>
      </c>
      <c r="M1648" s="30" t="s">
        <v>113</v>
      </c>
      <c r="N1648" s="30" t="s">
        <v>114</v>
      </c>
      <c r="O1648" s="30" t="s">
        <v>115</v>
      </c>
      <c r="P1648" s="30" t="s">
        <v>118</v>
      </c>
      <c r="Q1648" s="30" t="s">
        <v>112</v>
      </c>
      <c r="R1648" s="30" t="s">
        <v>189</v>
      </c>
      <c r="S1648" s="81">
        <f>HLOOKUP(L1648,データについて!$J$6:$M$18,13,FALSE)</f>
        <v>2</v>
      </c>
      <c r="T1648" s="81">
        <f>HLOOKUP(M1648,データについて!$J$7:$M$18,12,FALSE)</f>
        <v>1</v>
      </c>
      <c r="U1648" s="81">
        <f>HLOOKUP(N1648,データについて!$J$8:$M$18,11,FALSE)</f>
        <v>1</v>
      </c>
      <c r="V1648" s="81">
        <f>HLOOKUP(O1648,データについて!$J$9:$M$18,10,FALSE)</f>
        <v>1</v>
      </c>
      <c r="W1648" s="81">
        <f>HLOOKUP(P1648,データについて!$J$10:$M$18,9,FALSE)</f>
        <v>2</v>
      </c>
      <c r="X1648" s="81">
        <f>HLOOKUP(Q1648,データについて!$J$11:$M$18,8,FALSE)</f>
        <v>1</v>
      </c>
      <c r="Y1648" s="81">
        <f>HLOOKUP(R1648,データについて!$J$12:$M$18,7,FALSE)</f>
        <v>4</v>
      </c>
      <c r="Z1648" s="81">
        <f>HLOOKUP(I1648,データについて!$J$3:$M$18,16,FALSE)</f>
        <v>1</v>
      </c>
      <c r="AA1648" s="81">
        <f>IFERROR(HLOOKUP(J1648,データについて!$J$4:$AH$19,16,FALSE),"")</f>
        <v>15</v>
      </c>
      <c r="AB1648" s="81" t="str">
        <f>IFERROR(HLOOKUP(K1648,データについて!$J$5:$AH$20,14,FALSE),"")</f>
        <v/>
      </c>
      <c r="AC1648" s="81">
        <f>IF(X1648=1,HLOOKUP(R1648,データについて!$J$12:$M$18,7,FALSE),"*")</f>
        <v>4</v>
      </c>
      <c r="AD1648" s="81" t="str">
        <f>IF(X1648=2,HLOOKUP(R1648,データについて!$J$12:$M$18,7,FALSE),"*")</f>
        <v>*</v>
      </c>
    </row>
    <row r="1649" spans="1:30">
      <c r="A1649" s="30">
        <v>3543</v>
      </c>
      <c r="B1649" s="30" t="s">
        <v>1407</v>
      </c>
      <c r="C1649" s="30" t="s">
        <v>1408</v>
      </c>
      <c r="D1649" s="30" t="s">
        <v>106</v>
      </c>
      <c r="E1649" s="30"/>
      <c r="F1649" s="30" t="s">
        <v>107</v>
      </c>
      <c r="G1649" s="30" t="s">
        <v>106</v>
      </c>
      <c r="H1649" s="30"/>
      <c r="I1649" s="30" t="s">
        <v>192</v>
      </c>
      <c r="J1649" s="30" t="s">
        <v>611</v>
      </c>
      <c r="K1649" s="30"/>
      <c r="L1649" s="30" t="s">
        <v>117</v>
      </c>
      <c r="M1649" s="30" t="s">
        <v>109</v>
      </c>
      <c r="N1649" s="30" t="s">
        <v>110</v>
      </c>
      <c r="O1649" s="30" t="s">
        <v>115</v>
      </c>
      <c r="P1649" s="30" t="s">
        <v>112</v>
      </c>
      <c r="Q1649" s="30" t="s">
        <v>118</v>
      </c>
      <c r="R1649" s="30" t="s">
        <v>185</v>
      </c>
      <c r="S1649" s="81">
        <f>HLOOKUP(L1649,データについて!$J$6:$M$18,13,FALSE)</f>
        <v>2</v>
      </c>
      <c r="T1649" s="81">
        <f>HLOOKUP(M1649,データについて!$J$7:$M$18,12,FALSE)</f>
        <v>2</v>
      </c>
      <c r="U1649" s="81">
        <f>HLOOKUP(N1649,データについて!$J$8:$M$18,11,FALSE)</f>
        <v>2</v>
      </c>
      <c r="V1649" s="81">
        <f>HLOOKUP(O1649,データについて!$J$9:$M$18,10,FALSE)</f>
        <v>1</v>
      </c>
      <c r="W1649" s="81">
        <f>HLOOKUP(P1649,データについて!$J$10:$M$18,9,FALSE)</f>
        <v>1</v>
      </c>
      <c r="X1649" s="81">
        <f>HLOOKUP(Q1649,データについて!$J$11:$M$18,8,FALSE)</f>
        <v>2</v>
      </c>
      <c r="Y1649" s="81">
        <f>HLOOKUP(R1649,データについて!$J$12:$M$18,7,FALSE)</f>
        <v>2</v>
      </c>
      <c r="Z1649" s="81">
        <f>HLOOKUP(I1649,データについて!$J$3:$M$18,16,FALSE)</f>
        <v>1</v>
      </c>
      <c r="AA1649" s="81">
        <f>IFERROR(HLOOKUP(J1649,データについて!$J$4:$AH$19,16,FALSE),"")</f>
        <v>15</v>
      </c>
      <c r="AB1649" s="81" t="str">
        <f>IFERROR(HLOOKUP(K1649,データについて!$J$5:$AH$20,14,FALSE),"")</f>
        <v/>
      </c>
      <c r="AC1649" s="81" t="str">
        <f>IF(X1649=1,HLOOKUP(R1649,データについて!$J$12:$M$18,7,FALSE),"*")</f>
        <v>*</v>
      </c>
      <c r="AD1649" s="81">
        <f>IF(X1649=2,HLOOKUP(R1649,データについて!$J$12:$M$18,7,FALSE),"*")</f>
        <v>2</v>
      </c>
    </row>
    <row r="1650" spans="1:30">
      <c r="A1650" s="30">
        <v>3542</v>
      </c>
      <c r="B1650" s="30" t="s">
        <v>1409</v>
      </c>
      <c r="C1650" s="30" t="s">
        <v>1410</v>
      </c>
      <c r="D1650" s="30" t="s">
        <v>106</v>
      </c>
      <c r="E1650" s="30"/>
      <c r="F1650" s="30" t="s">
        <v>107</v>
      </c>
      <c r="G1650" s="30" t="s">
        <v>106</v>
      </c>
      <c r="H1650" s="30"/>
      <c r="I1650" s="30" t="s">
        <v>192</v>
      </c>
      <c r="J1650" s="30" t="s">
        <v>611</v>
      </c>
      <c r="K1650" s="30"/>
      <c r="L1650" s="30" t="s">
        <v>108</v>
      </c>
      <c r="M1650" s="30" t="s">
        <v>113</v>
      </c>
      <c r="N1650" s="30" t="s">
        <v>114</v>
      </c>
      <c r="O1650" s="30" t="s">
        <v>115</v>
      </c>
      <c r="P1650" s="30" t="s">
        <v>112</v>
      </c>
      <c r="Q1650" s="30" t="s">
        <v>112</v>
      </c>
      <c r="R1650" s="30" t="s">
        <v>183</v>
      </c>
      <c r="S1650" s="81">
        <f>HLOOKUP(L1650,データについて!$J$6:$M$18,13,FALSE)</f>
        <v>1</v>
      </c>
      <c r="T1650" s="81">
        <f>HLOOKUP(M1650,データについて!$J$7:$M$18,12,FALSE)</f>
        <v>1</v>
      </c>
      <c r="U1650" s="81">
        <f>HLOOKUP(N1650,データについて!$J$8:$M$18,11,FALSE)</f>
        <v>1</v>
      </c>
      <c r="V1650" s="81">
        <f>HLOOKUP(O1650,データについて!$J$9:$M$18,10,FALSE)</f>
        <v>1</v>
      </c>
      <c r="W1650" s="81">
        <f>HLOOKUP(P1650,データについて!$J$10:$M$18,9,FALSE)</f>
        <v>1</v>
      </c>
      <c r="X1650" s="81">
        <f>HLOOKUP(Q1650,データについて!$J$11:$M$18,8,FALSE)</f>
        <v>1</v>
      </c>
      <c r="Y1650" s="81">
        <f>HLOOKUP(R1650,データについて!$J$12:$M$18,7,FALSE)</f>
        <v>1</v>
      </c>
      <c r="Z1650" s="81">
        <f>HLOOKUP(I1650,データについて!$J$3:$M$18,16,FALSE)</f>
        <v>1</v>
      </c>
      <c r="AA1650" s="81">
        <f>IFERROR(HLOOKUP(J1650,データについて!$J$4:$AH$19,16,FALSE),"")</f>
        <v>15</v>
      </c>
      <c r="AB1650" s="81" t="str">
        <f>IFERROR(HLOOKUP(K1650,データについて!$J$5:$AH$20,14,FALSE),"")</f>
        <v/>
      </c>
      <c r="AC1650" s="81">
        <f>IF(X1650=1,HLOOKUP(R1650,データについて!$J$12:$M$18,7,FALSE),"*")</f>
        <v>1</v>
      </c>
      <c r="AD1650" s="81" t="str">
        <f>IF(X1650=2,HLOOKUP(R1650,データについて!$J$12:$M$18,7,FALSE),"*")</f>
        <v>*</v>
      </c>
    </row>
    <row r="1651" spans="1:30">
      <c r="A1651" s="30">
        <v>3541</v>
      </c>
      <c r="B1651" s="30" t="s">
        <v>1411</v>
      </c>
      <c r="C1651" s="30" t="s">
        <v>1412</v>
      </c>
      <c r="D1651" s="30" t="s">
        <v>106</v>
      </c>
      <c r="E1651" s="30"/>
      <c r="F1651" s="30" t="s">
        <v>107</v>
      </c>
      <c r="G1651" s="30" t="s">
        <v>106</v>
      </c>
      <c r="H1651" s="30"/>
      <c r="I1651" s="30" t="s">
        <v>192</v>
      </c>
      <c r="J1651" s="30" t="s">
        <v>611</v>
      </c>
      <c r="K1651" s="30"/>
      <c r="L1651" s="30" t="s">
        <v>117</v>
      </c>
      <c r="M1651" s="30" t="s">
        <v>113</v>
      </c>
      <c r="N1651" s="30" t="s">
        <v>114</v>
      </c>
      <c r="O1651" s="30" t="s">
        <v>115</v>
      </c>
      <c r="P1651" s="30" t="s">
        <v>118</v>
      </c>
      <c r="Q1651" s="30" t="s">
        <v>118</v>
      </c>
      <c r="R1651" s="30" t="s">
        <v>189</v>
      </c>
      <c r="S1651" s="81">
        <f>HLOOKUP(L1651,データについて!$J$6:$M$18,13,FALSE)</f>
        <v>2</v>
      </c>
      <c r="T1651" s="81">
        <f>HLOOKUP(M1651,データについて!$J$7:$M$18,12,FALSE)</f>
        <v>1</v>
      </c>
      <c r="U1651" s="81">
        <f>HLOOKUP(N1651,データについて!$J$8:$M$18,11,FALSE)</f>
        <v>1</v>
      </c>
      <c r="V1651" s="81">
        <f>HLOOKUP(O1651,データについて!$J$9:$M$18,10,FALSE)</f>
        <v>1</v>
      </c>
      <c r="W1651" s="81">
        <f>HLOOKUP(P1651,データについて!$J$10:$M$18,9,FALSE)</f>
        <v>2</v>
      </c>
      <c r="X1651" s="81">
        <f>HLOOKUP(Q1651,データについて!$J$11:$M$18,8,FALSE)</f>
        <v>2</v>
      </c>
      <c r="Y1651" s="81">
        <f>HLOOKUP(R1651,データについて!$J$12:$M$18,7,FALSE)</f>
        <v>4</v>
      </c>
      <c r="Z1651" s="81">
        <f>HLOOKUP(I1651,データについて!$J$3:$M$18,16,FALSE)</f>
        <v>1</v>
      </c>
      <c r="AA1651" s="81">
        <f>IFERROR(HLOOKUP(J1651,データについて!$J$4:$AH$19,16,FALSE),"")</f>
        <v>15</v>
      </c>
      <c r="AB1651" s="81" t="str">
        <f>IFERROR(HLOOKUP(K1651,データについて!$J$5:$AH$20,14,FALSE),"")</f>
        <v/>
      </c>
      <c r="AC1651" s="81" t="str">
        <f>IF(X1651=1,HLOOKUP(R1651,データについて!$J$12:$M$18,7,FALSE),"*")</f>
        <v>*</v>
      </c>
      <c r="AD1651" s="81">
        <f>IF(X1651=2,HLOOKUP(R1651,データについて!$J$12:$M$18,7,FALSE),"*")</f>
        <v>4</v>
      </c>
    </row>
    <row r="1652" spans="1:30">
      <c r="A1652" s="30">
        <v>3540</v>
      </c>
      <c r="B1652" s="30" t="s">
        <v>1413</v>
      </c>
      <c r="C1652" s="30" t="s">
        <v>1414</v>
      </c>
      <c r="D1652" s="30" t="s">
        <v>106</v>
      </c>
      <c r="E1652" s="30"/>
      <c r="F1652" s="30" t="s">
        <v>107</v>
      </c>
      <c r="G1652" s="30" t="s">
        <v>106</v>
      </c>
      <c r="H1652" s="30"/>
      <c r="I1652" s="30" t="s">
        <v>192</v>
      </c>
      <c r="J1652" s="30" t="s">
        <v>1415</v>
      </c>
      <c r="K1652" s="30"/>
      <c r="L1652" s="30" t="s">
        <v>117</v>
      </c>
      <c r="M1652" s="30" t="s">
        <v>109</v>
      </c>
      <c r="N1652" s="30" t="s">
        <v>110</v>
      </c>
      <c r="O1652" s="30" t="s">
        <v>115</v>
      </c>
      <c r="P1652" s="30" t="s">
        <v>112</v>
      </c>
      <c r="Q1652" s="30" t="s">
        <v>112</v>
      </c>
      <c r="R1652" s="30" t="s">
        <v>187</v>
      </c>
      <c r="S1652" s="81">
        <f>HLOOKUP(L1652,データについて!$J$6:$M$18,13,FALSE)</f>
        <v>2</v>
      </c>
      <c r="T1652" s="81">
        <f>HLOOKUP(M1652,データについて!$J$7:$M$18,12,FALSE)</f>
        <v>2</v>
      </c>
      <c r="U1652" s="81">
        <f>HLOOKUP(N1652,データについて!$J$8:$M$18,11,FALSE)</f>
        <v>2</v>
      </c>
      <c r="V1652" s="81">
        <f>HLOOKUP(O1652,データについて!$J$9:$M$18,10,FALSE)</f>
        <v>1</v>
      </c>
      <c r="W1652" s="81">
        <f>HLOOKUP(P1652,データについて!$J$10:$M$18,9,FALSE)</f>
        <v>1</v>
      </c>
      <c r="X1652" s="81">
        <f>HLOOKUP(Q1652,データについて!$J$11:$M$18,8,FALSE)</f>
        <v>1</v>
      </c>
      <c r="Y1652" s="81">
        <f>HLOOKUP(R1652,データについて!$J$12:$M$18,7,FALSE)</f>
        <v>3</v>
      </c>
      <c r="Z1652" s="81">
        <f>HLOOKUP(I1652,データについて!$J$3:$M$18,16,FALSE)</f>
        <v>1</v>
      </c>
      <c r="AA1652" s="81">
        <f>IFERROR(HLOOKUP(J1652,データについて!$J$4:$AH$19,16,FALSE),"")</f>
        <v>5</v>
      </c>
      <c r="AB1652" s="81" t="str">
        <f>IFERROR(HLOOKUP(K1652,データについて!$J$5:$AH$20,14,FALSE),"")</f>
        <v/>
      </c>
      <c r="AC1652" s="81">
        <f>IF(X1652=1,HLOOKUP(R1652,データについて!$J$12:$M$18,7,FALSE),"*")</f>
        <v>3</v>
      </c>
      <c r="AD1652" s="81" t="str">
        <f>IF(X1652=2,HLOOKUP(R1652,データについて!$J$12:$M$18,7,FALSE),"*")</f>
        <v>*</v>
      </c>
    </row>
    <row r="1653" spans="1:30">
      <c r="A1653" s="30">
        <v>3539</v>
      </c>
      <c r="B1653" s="30" t="s">
        <v>1416</v>
      </c>
      <c r="C1653" s="30" t="s">
        <v>1417</v>
      </c>
      <c r="D1653" s="30" t="s">
        <v>106</v>
      </c>
      <c r="E1653" s="30"/>
      <c r="F1653" s="30" t="s">
        <v>107</v>
      </c>
      <c r="G1653" s="30" t="s">
        <v>106</v>
      </c>
      <c r="H1653" s="30"/>
      <c r="I1653" s="30" t="s">
        <v>192</v>
      </c>
      <c r="J1653" s="30" t="s">
        <v>1415</v>
      </c>
      <c r="K1653" s="30"/>
      <c r="L1653" s="30" t="s">
        <v>117</v>
      </c>
      <c r="M1653" s="30" t="s">
        <v>124</v>
      </c>
      <c r="N1653" s="30" t="s">
        <v>122</v>
      </c>
      <c r="O1653" s="30" t="s">
        <v>115</v>
      </c>
      <c r="P1653" s="30" t="s">
        <v>112</v>
      </c>
      <c r="Q1653" s="30" t="s">
        <v>112</v>
      </c>
      <c r="R1653" s="30" t="s">
        <v>187</v>
      </c>
      <c r="S1653" s="81">
        <f>HLOOKUP(L1653,データについて!$J$6:$M$18,13,FALSE)</f>
        <v>2</v>
      </c>
      <c r="T1653" s="81">
        <f>HLOOKUP(M1653,データについて!$J$7:$M$18,12,FALSE)</f>
        <v>3</v>
      </c>
      <c r="U1653" s="81">
        <f>HLOOKUP(N1653,データについて!$J$8:$M$18,11,FALSE)</f>
        <v>3</v>
      </c>
      <c r="V1653" s="81">
        <f>HLOOKUP(O1653,データについて!$J$9:$M$18,10,FALSE)</f>
        <v>1</v>
      </c>
      <c r="W1653" s="81">
        <f>HLOOKUP(P1653,データについて!$J$10:$M$18,9,FALSE)</f>
        <v>1</v>
      </c>
      <c r="X1653" s="81">
        <f>HLOOKUP(Q1653,データについて!$J$11:$M$18,8,FALSE)</f>
        <v>1</v>
      </c>
      <c r="Y1653" s="81">
        <f>HLOOKUP(R1653,データについて!$J$12:$M$18,7,FALSE)</f>
        <v>3</v>
      </c>
      <c r="Z1653" s="81">
        <f>HLOOKUP(I1653,データについて!$J$3:$M$18,16,FALSE)</f>
        <v>1</v>
      </c>
      <c r="AA1653" s="81">
        <f>IFERROR(HLOOKUP(J1653,データについて!$J$4:$AH$19,16,FALSE),"")</f>
        <v>5</v>
      </c>
      <c r="AB1653" s="81" t="str">
        <f>IFERROR(HLOOKUP(K1653,データについて!$J$5:$AH$20,14,FALSE),"")</f>
        <v/>
      </c>
      <c r="AC1653" s="81">
        <f>IF(X1653=1,HLOOKUP(R1653,データについて!$J$12:$M$18,7,FALSE),"*")</f>
        <v>3</v>
      </c>
      <c r="AD1653" s="81" t="str">
        <f>IF(X1653=2,HLOOKUP(R1653,データについて!$J$12:$M$18,7,FALSE),"*")</f>
        <v>*</v>
      </c>
    </row>
    <row r="1654" spans="1:30">
      <c r="A1654" s="30">
        <v>3538</v>
      </c>
      <c r="B1654" s="30" t="s">
        <v>1418</v>
      </c>
      <c r="C1654" s="30" t="s">
        <v>1419</v>
      </c>
      <c r="D1654" s="30" t="s">
        <v>106</v>
      </c>
      <c r="E1654" s="30"/>
      <c r="F1654" s="30" t="s">
        <v>107</v>
      </c>
      <c r="G1654" s="30" t="s">
        <v>106</v>
      </c>
      <c r="H1654" s="30"/>
      <c r="I1654" s="30" t="s">
        <v>192</v>
      </c>
      <c r="J1654" s="30" t="s">
        <v>1415</v>
      </c>
      <c r="K1654" s="30"/>
      <c r="L1654" s="30" t="s">
        <v>108</v>
      </c>
      <c r="M1654" s="30" t="s">
        <v>109</v>
      </c>
      <c r="N1654" s="30" t="s">
        <v>110</v>
      </c>
      <c r="O1654" s="30" t="s">
        <v>115</v>
      </c>
      <c r="P1654" s="30" t="s">
        <v>112</v>
      </c>
      <c r="Q1654" s="30" t="s">
        <v>112</v>
      </c>
      <c r="R1654" s="30" t="s">
        <v>185</v>
      </c>
      <c r="S1654" s="81">
        <f>HLOOKUP(L1654,データについて!$J$6:$M$18,13,FALSE)</f>
        <v>1</v>
      </c>
      <c r="T1654" s="81">
        <f>HLOOKUP(M1654,データについて!$J$7:$M$18,12,FALSE)</f>
        <v>2</v>
      </c>
      <c r="U1654" s="81">
        <f>HLOOKUP(N1654,データについて!$J$8:$M$18,11,FALSE)</f>
        <v>2</v>
      </c>
      <c r="V1654" s="81">
        <f>HLOOKUP(O1654,データについて!$J$9:$M$18,10,FALSE)</f>
        <v>1</v>
      </c>
      <c r="W1654" s="81">
        <f>HLOOKUP(P1654,データについて!$J$10:$M$18,9,FALSE)</f>
        <v>1</v>
      </c>
      <c r="X1654" s="81">
        <f>HLOOKUP(Q1654,データについて!$J$11:$M$18,8,FALSE)</f>
        <v>1</v>
      </c>
      <c r="Y1654" s="81">
        <f>HLOOKUP(R1654,データについて!$J$12:$M$18,7,FALSE)</f>
        <v>2</v>
      </c>
      <c r="Z1654" s="81">
        <f>HLOOKUP(I1654,データについて!$J$3:$M$18,16,FALSE)</f>
        <v>1</v>
      </c>
      <c r="AA1654" s="81">
        <f>IFERROR(HLOOKUP(J1654,データについて!$J$4:$AH$19,16,FALSE),"")</f>
        <v>5</v>
      </c>
      <c r="AB1654" s="81" t="str">
        <f>IFERROR(HLOOKUP(K1654,データについて!$J$5:$AH$20,14,FALSE),"")</f>
        <v/>
      </c>
      <c r="AC1654" s="81">
        <f>IF(X1654=1,HLOOKUP(R1654,データについて!$J$12:$M$18,7,FALSE),"*")</f>
        <v>2</v>
      </c>
      <c r="AD1654" s="81" t="str">
        <f>IF(X1654=2,HLOOKUP(R1654,データについて!$J$12:$M$18,7,FALSE),"*")</f>
        <v>*</v>
      </c>
    </row>
    <row r="1655" spans="1:30">
      <c r="A1655" s="30">
        <v>3537</v>
      </c>
      <c r="B1655" s="30" t="s">
        <v>1420</v>
      </c>
      <c r="C1655" s="30" t="s">
        <v>1421</v>
      </c>
      <c r="D1655" s="30" t="s">
        <v>106</v>
      </c>
      <c r="E1655" s="30"/>
      <c r="F1655" s="30" t="s">
        <v>107</v>
      </c>
      <c r="G1655" s="30" t="s">
        <v>106</v>
      </c>
      <c r="H1655" s="30"/>
      <c r="I1655" s="30" t="s">
        <v>192</v>
      </c>
      <c r="J1655" s="30" t="s">
        <v>1415</v>
      </c>
      <c r="K1655" s="30"/>
      <c r="L1655" s="30" t="s">
        <v>117</v>
      </c>
      <c r="M1655" s="30" t="s">
        <v>109</v>
      </c>
      <c r="N1655" s="30" t="s">
        <v>110</v>
      </c>
      <c r="O1655" s="30" t="s">
        <v>115</v>
      </c>
      <c r="P1655" s="30" t="s">
        <v>112</v>
      </c>
      <c r="Q1655" s="30" t="s">
        <v>112</v>
      </c>
      <c r="R1655" s="30" t="s">
        <v>185</v>
      </c>
      <c r="S1655" s="81">
        <f>HLOOKUP(L1655,データについて!$J$6:$M$18,13,FALSE)</f>
        <v>2</v>
      </c>
      <c r="T1655" s="81">
        <f>HLOOKUP(M1655,データについて!$J$7:$M$18,12,FALSE)</f>
        <v>2</v>
      </c>
      <c r="U1655" s="81">
        <f>HLOOKUP(N1655,データについて!$J$8:$M$18,11,FALSE)</f>
        <v>2</v>
      </c>
      <c r="V1655" s="81">
        <f>HLOOKUP(O1655,データについて!$J$9:$M$18,10,FALSE)</f>
        <v>1</v>
      </c>
      <c r="W1655" s="81">
        <f>HLOOKUP(P1655,データについて!$J$10:$M$18,9,FALSE)</f>
        <v>1</v>
      </c>
      <c r="X1655" s="81">
        <f>HLOOKUP(Q1655,データについて!$J$11:$M$18,8,FALSE)</f>
        <v>1</v>
      </c>
      <c r="Y1655" s="81">
        <f>HLOOKUP(R1655,データについて!$J$12:$M$18,7,FALSE)</f>
        <v>2</v>
      </c>
      <c r="Z1655" s="81">
        <f>HLOOKUP(I1655,データについて!$J$3:$M$18,16,FALSE)</f>
        <v>1</v>
      </c>
      <c r="AA1655" s="81">
        <f>IFERROR(HLOOKUP(J1655,データについて!$J$4:$AH$19,16,FALSE),"")</f>
        <v>5</v>
      </c>
      <c r="AB1655" s="81" t="str">
        <f>IFERROR(HLOOKUP(K1655,データについて!$J$5:$AH$20,14,FALSE),"")</f>
        <v/>
      </c>
      <c r="AC1655" s="81">
        <f>IF(X1655=1,HLOOKUP(R1655,データについて!$J$12:$M$18,7,FALSE),"*")</f>
        <v>2</v>
      </c>
      <c r="AD1655" s="81" t="str">
        <f>IF(X1655=2,HLOOKUP(R1655,データについて!$J$12:$M$18,7,FALSE),"*")</f>
        <v>*</v>
      </c>
    </row>
    <row r="1656" spans="1:30">
      <c r="A1656" s="30">
        <v>3536</v>
      </c>
      <c r="B1656" s="30" t="s">
        <v>1422</v>
      </c>
      <c r="C1656" s="30" t="s">
        <v>1423</v>
      </c>
      <c r="D1656" s="30" t="s">
        <v>106</v>
      </c>
      <c r="E1656" s="30"/>
      <c r="F1656" s="30" t="s">
        <v>107</v>
      </c>
      <c r="G1656" s="30" t="s">
        <v>106</v>
      </c>
      <c r="H1656" s="30"/>
      <c r="I1656" s="30" t="s">
        <v>192</v>
      </c>
      <c r="J1656" s="30" t="s">
        <v>1415</v>
      </c>
      <c r="K1656" s="30"/>
      <c r="L1656" s="30" t="s">
        <v>117</v>
      </c>
      <c r="M1656" s="30" t="s">
        <v>124</v>
      </c>
      <c r="N1656" s="30" t="s">
        <v>122</v>
      </c>
      <c r="O1656" s="30" t="s">
        <v>115</v>
      </c>
      <c r="P1656" s="30" t="s">
        <v>112</v>
      </c>
      <c r="Q1656" s="30" t="s">
        <v>112</v>
      </c>
      <c r="R1656" s="30" t="s">
        <v>187</v>
      </c>
      <c r="S1656" s="81">
        <f>HLOOKUP(L1656,データについて!$J$6:$M$18,13,FALSE)</f>
        <v>2</v>
      </c>
      <c r="T1656" s="81">
        <f>HLOOKUP(M1656,データについて!$J$7:$M$18,12,FALSE)</f>
        <v>3</v>
      </c>
      <c r="U1656" s="81">
        <f>HLOOKUP(N1656,データについて!$J$8:$M$18,11,FALSE)</f>
        <v>3</v>
      </c>
      <c r="V1656" s="81">
        <f>HLOOKUP(O1656,データについて!$J$9:$M$18,10,FALSE)</f>
        <v>1</v>
      </c>
      <c r="W1656" s="81">
        <f>HLOOKUP(P1656,データについて!$J$10:$M$18,9,FALSE)</f>
        <v>1</v>
      </c>
      <c r="X1656" s="81">
        <f>HLOOKUP(Q1656,データについて!$J$11:$M$18,8,FALSE)</f>
        <v>1</v>
      </c>
      <c r="Y1656" s="81">
        <f>HLOOKUP(R1656,データについて!$J$12:$M$18,7,FALSE)</f>
        <v>3</v>
      </c>
      <c r="Z1656" s="81">
        <f>HLOOKUP(I1656,データについて!$J$3:$M$18,16,FALSE)</f>
        <v>1</v>
      </c>
      <c r="AA1656" s="81">
        <f>IFERROR(HLOOKUP(J1656,データについて!$J$4:$AH$19,16,FALSE),"")</f>
        <v>5</v>
      </c>
      <c r="AB1656" s="81" t="str">
        <f>IFERROR(HLOOKUP(K1656,データについて!$J$5:$AH$20,14,FALSE),"")</f>
        <v/>
      </c>
      <c r="AC1656" s="81">
        <f>IF(X1656=1,HLOOKUP(R1656,データについて!$J$12:$M$18,7,FALSE),"*")</f>
        <v>3</v>
      </c>
      <c r="AD1656" s="81" t="str">
        <f>IF(X1656=2,HLOOKUP(R1656,データについて!$J$12:$M$18,7,FALSE),"*")</f>
        <v>*</v>
      </c>
    </row>
    <row r="1657" spans="1:30">
      <c r="A1657" s="30">
        <v>3535</v>
      </c>
      <c r="B1657" s="30" t="s">
        <v>1424</v>
      </c>
      <c r="C1657" s="30" t="s">
        <v>1425</v>
      </c>
      <c r="D1657" s="30" t="s">
        <v>106</v>
      </c>
      <c r="E1657" s="30"/>
      <c r="F1657" s="30" t="s">
        <v>107</v>
      </c>
      <c r="G1657" s="30" t="s">
        <v>106</v>
      </c>
      <c r="H1657" s="30"/>
      <c r="I1657" s="30" t="s">
        <v>192</v>
      </c>
      <c r="J1657" s="30" t="s">
        <v>1415</v>
      </c>
      <c r="K1657" s="30"/>
      <c r="L1657" s="30" t="s">
        <v>108</v>
      </c>
      <c r="M1657" s="30" t="s">
        <v>109</v>
      </c>
      <c r="N1657" s="30" t="s">
        <v>110</v>
      </c>
      <c r="O1657" s="30" t="s">
        <v>111</v>
      </c>
      <c r="P1657" s="30" t="s">
        <v>112</v>
      </c>
      <c r="Q1657" s="30" t="s">
        <v>118</v>
      </c>
      <c r="R1657" s="30" t="s">
        <v>187</v>
      </c>
      <c r="S1657" s="81">
        <f>HLOOKUP(L1657,データについて!$J$6:$M$18,13,FALSE)</f>
        <v>1</v>
      </c>
      <c r="T1657" s="81">
        <f>HLOOKUP(M1657,データについて!$J$7:$M$18,12,FALSE)</f>
        <v>2</v>
      </c>
      <c r="U1657" s="81">
        <f>HLOOKUP(N1657,データについて!$J$8:$M$18,11,FALSE)</f>
        <v>2</v>
      </c>
      <c r="V1657" s="81">
        <f>HLOOKUP(O1657,データについて!$J$9:$M$18,10,FALSE)</f>
        <v>3</v>
      </c>
      <c r="W1657" s="81">
        <f>HLOOKUP(P1657,データについて!$J$10:$M$18,9,FALSE)</f>
        <v>1</v>
      </c>
      <c r="X1657" s="81">
        <f>HLOOKUP(Q1657,データについて!$J$11:$M$18,8,FALSE)</f>
        <v>2</v>
      </c>
      <c r="Y1657" s="81">
        <f>HLOOKUP(R1657,データについて!$J$12:$M$18,7,FALSE)</f>
        <v>3</v>
      </c>
      <c r="Z1657" s="81">
        <f>HLOOKUP(I1657,データについて!$J$3:$M$18,16,FALSE)</f>
        <v>1</v>
      </c>
      <c r="AA1657" s="81">
        <f>IFERROR(HLOOKUP(J1657,データについて!$J$4:$AH$19,16,FALSE),"")</f>
        <v>5</v>
      </c>
      <c r="AB1657" s="81" t="str">
        <f>IFERROR(HLOOKUP(K1657,データについて!$J$5:$AH$20,14,FALSE),"")</f>
        <v/>
      </c>
      <c r="AC1657" s="81" t="str">
        <f>IF(X1657=1,HLOOKUP(R1657,データについて!$J$12:$M$18,7,FALSE),"*")</f>
        <v>*</v>
      </c>
      <c r="AD1657" s="81">
        <f>IF(X1657=2,HLOOKUP(R1657,データについて!$J$12:$M$18,7,FALSE),"*")</f>
        <v>3</v>
      </c>
    </row>
    <row r="1658" spans="1:30">
      <c r="A1658" s="30">
        <v>3534</v>
      </c>
      <c r="B1658" s="30" t="s">
        <v>1426</v>
      </c>
      <c r="C1658" s="30" t="s">
        <v>1427</v>
      </c>
      <c r="D1658" s="30" t="s">
        <v>106</v>
      </c>
      <c r="E1658" s="30"/>
      <c r="F1658" s="30" t="s">
        <v>107</v>
      </c>
      <c r="G1658" s="30" t="s">
        <v>106</v>
      </c>
      <c r="H1658" s="30"/>
      <c r="I1658" s="30" t="s">
        <v>192</v>
      </c>
      <c r="J1658" s="30" t="s">
        <v>125</v>
      </c>
      <c r="K1658" s="30"/>
      <c r="L1658" s="30" t="s">
        <v>108</v>
      </c>
      <c r="M1658" s="30" t="s">
        <v>109</v>
      </c>
      <c r="N1658" s="30" t="s">
        <v>114</v>
      </c>
      <c r="O1658" s="30" t="s">
        <v>115</v>
      </c>
      <c r="P1658" s="30" t="s">
        <v>112</v>
      </c>
      <c r="Q1658" s="30" t="s">
        <v>118</v>
      </c>
      <c r="R1658" s="30" t="s">
        <v>185</v>
      </c>
      <c r="S1658" s="81">
        <f>HLOOKUP(L1658,データについて!$J$6:$M$18,13,FALSE)</f>
        <v>1</v>
      </c>
      <c r="T1658" s="81">
        <f>HLOOKUP(M1658,データについて!$J$7:$M$18,12,FALSE)</f>
        <v>2</v>
      </c>
      <c r="U1658" s="81">
        <f>HLOOKUP(N1658,データについて!$J$8:$M$18,11,FALSE)</f>
        <v>1</v>
      </c>
      <c r="V1658" s="81">
        <f>HLOOKUP(O1658,データについて!$J$9:$M$18,10,FALSE)</f>
        <v>1</v>
      </c>
      <c r="W1658" s="81">
        <f>HLOOKUP(P1658,データについて!$J$10:$M$18,9,FALSE)</f>
        <v>1</v>
      </c>
      <c r="X1658" s="81">
        <f>HLOOKUP(Q1658,データについて!$J$11:$M$18,8,FALSE)</f>
        <v>2</v>
      </c>
      <c r="Y1658" s="81">
        <f>HLOOKUP(R1658,データについて!$J$12:$M$18,7,FALSE)</f>
        <v>2</v>
      </c>
      <c r="Z1658" s="81">
        <f>HLOOKUP(I1658,データについて!$J$3:$M$18,16,FALSE)</f>
        <v>1</v>
      </c>
      <c r="AA1658" s="81">
        <f>IFERROR(HLOOKUP(J1658,データについて!$J$4:$AH$19,16,FALSE),"")</f>
        <v>6</v>
      </c>
      <c r="AB1658" s="81" t="str">
        <f>IFERROR(HLOOKUP(K1658,データについて!$J$5:$AH$20,14,FALSE),"")</f>
        <v/>
      </c>
      <c r="AC1658" s="81" t="str">
        <f>IF(X1658=1,HLOOKUP(R1658,データについて!$J$12:$M$18,7,FALSE),"*")</f>
        <v>*</v>
      </c>
      <c r="AD1658" s="81">
        <f>IF(X1658=2,HLOOKUP(R1658,データについて!$J$12:$M$18,7,FALSE),"*")</f>
        <v>2</v>
      </c>
    </row>
    <row r="1659" spans="1:30">
      <c r="A1659" s="30">
        <v>3533</v>
      </c>
      <c r="B1659" s="30" t="s">
        <v>1428</v>
      </c>
      <c r="C1659" s="30" t="s">
        <v>1429</v>
      </c>
      <c r="D1659" s="30" t="s">
        <v>106</v>
      </c>
      <c r="E1659" s="30"/>
      <c r="F1659" s="30" t="s">
        <v>107</v>
      </c>
      <c r="G1659" s="30" t="s">
        <v>106</v>
      </c>
      <c r="H1659" s="30"/>
      <c r="I1659" s="30" t="s">
        <v>192</v>
      </c>
      <c r="J1659" s="30" t="s">
        <v>1415</v>
      </c>
      <c r="K1659" s="30"/>
      <c r="L1659" s="30" t="s">
        <v>108</v>
      </c>
      <c r="M1659" s="30" t="s">
        <v>124</v>
      </c>
      <c r="N1659" s="30" t="s">
        <v>114</v>
      </c>
      <c r="O1659" s="30" t="s">
        <v>115</v>
      </c>
      <c r="P1659" s="30" t="s">
        <v>112</v>
      </c>
      <c r="Q1659" s="30" t="s">
        <v>112</v>
      </c>
      <c r="R1659" s="30" t="s">
        <v>187</v>
      </c>
      <c r="S1659" s="81">
        <f>HLOOKUP(L1659,データについて!$J$6:$M$18,13,FALSE)</f>
        <v>1</v>
      </c>
      <c r="T1659" s="81">
        <f>HLOOKUP(M1659,データについて!$J$7:$M$18,12,FALSE)</f>
        <v>3</v>
      </c>
      <c r="U1659" s="81">
        <f>HLOOKUP(N1659,データについて!$J$8:$M$18,11,FALSE)</f>
        <v>1</v>
      </c>
      <c r="V1659" s="81">
        <f>HLOOKUP(O1659,データについて!$J$9:$M$18,10,FALSE)</f>
        <v>1</v>
      </c>
      <c r="W1659" s="81">
        <f>HLOOKUP(P1659,データについて!$J$10:$M$18,9,FALSE)</f>
        <v>1</v>
      </c>
      <c r="X1659" s="81">
        <f>HLOOKUP(Q1659,データについて!$J$11:$M$18,8,FALSE)</f>
        <v>1</v>
      </c>
      <c r="Y1659" s="81">
        <f>HLOOKUP(R1659,データについて!$J$12:$M$18,7,FALSE)</f>
        <v>3</v>
      </c>
      <c r="Z1659" s="81">
        <f>HLOOKUP(I1659,データについて!$J$3:$M$18,16,FALSE)</f>
        <v>1</v>
      </c>
      <c r="AA1659" s="81">
        <f>IFERROR(HLOOKUP(J1659,データについて!$J$4:$AH$19,16,FALSE),"")</f>
        <v>5</v>
      </c>
      <c r="AB1659" s="81" t="str">
        <f>IFERROR(HLOOKUP(K1659,データについて!$J$5:$AH$20,14,FALSE),"")</f>
        <v/>
      </c>
      <c r="AC1659" s="81">
        <f>IF(X1659=1,HLOOKUP(R1659,データについて!$J$12:$M$18,7,FALSE),"*")</f>
        <v>3</v>
      </c>
      <c r="AD1659" s="81" t="str">
        <f>IF(X1659=2,HLOOKUP(R1659,データについて!$J$12:$M$18,7,FALSE),"*")</f>
        <v>*</v>
      </c>
    </row>
    <row r="1660" spans="1:30">
      <c r="A1660" s="30">
        <v>3532</v>
      </c>
      <c r="B1660" s="30" t="s">
        <v>1430</v>
      </c>
      <c r="C1660" s="30" t="s">
        <v>1431</v>
      </c>
      <c r="D1660" s="30" t="s">
        <v>106</v>
      </c>
      <c r="E1660" s="30"/>
      <c r="F1660" s="30" t="s">
        <v>107</v>
      </c>
      <c r="G1660" s="30" t="s">
        <v>106</v>
      </c>
      <c r="H1660" s="30"/>
      <c r="I1660" s="30" t="s">
        <v>192</v>
      </c>
      <c r="J1660" s="30" t="s">
        <v>1415</v>
      </c>
      <c r="K1660" s="30"/>
      <c r="L1660" s="30" t="s">
        <v>108</v>
      </c>
      <c r="M1660" s="30" t="s">
        <v>109</v>
      </c>
      <c r="N1660" s="30" t="s">
        <v>110</v>
      </c>
      <c r="O1660" s="30" t="s">
        <v>115</v>
      </c>
      <c r="P1660" s="30" t="s">
        <v>112</v>
      </c>
      <c r="Q1660" s="30" t="s">
        <v>112</v>
      </c>
      <c r="R1660" s="30" t="s">
        <v>185</v>
      </c>
      <c r="S1660" s="81">
        <f>HLOOKUP(L1660,データについて!$J$6:$M$18,13,FALSE)</f>
        <v>1</v>
      </c>
      <c r="T1660" s="81">
        <f>HLOOKUP(M1660,データについて!$J$7:$M$18,12,FALSE)</f>
        <v>2</v>
      </c>
      <c r="U1660" s="81">
        <f>HLOOKUP(N1660,データについて!$J$8:$M$18,11,FALSE)</f>
        <v>2</v>
      </c>
      <c r="V1660" s="81">
        <f>HLOOKUP(O1660,データについて!$J$9:$M$18,10,FALSE)</f>
        <v>1</v>
      </c>
      <c r="W1660" s="81">
        <f>HLOOKUP(P1660,データについて!$J$10:$M$18,9,FALSE)</f>
        <v>1</v>
      </c>
      <c r="X1660" s="81">
        <f>HLOOKUP(Q1660,データについて!$J$11:$M$18,8,FALSE)</f>
        <v>1</v>
      </c>
      <c r="Y1660" s="81">
        <f>HLOOKUP(R1660,データについて!$J$12:$M$18,7,FALSE)</f>
        <v>2</v>
      </c>
      <c r="Z1660" s="81">
        <f>HLOOKUP(I1660,データについて!$J$3:$M$18,16,FALSE)</f>
        <v>1</v>
      </c>
      <c r="AA1660" s="81">
        <f>IFERROR(HLOOKUP(J1660,データについて!$J$4:$AH$19,16,FALSE),"")</f>
        <v>5</v>
      </c>
      <c r="AB1660" s="81" t="str">
        <f>IFERROR(HLOOKUP(K1660,データについて!$J$5:$AH$20,14,FALSE),"")</f>
        <v/>
      </c>
      <c r="AC1660" s="81">
        <f>IF(X1660=1,HLOOKUP(R1660,データについて!$J$12:$M$18,7,FALSE),"*")</f>
        <v>2</v>
      </c>
      <c r="AD1660" s="81" t="str">
        <f>IF(X1660=2,HLOOKUP(R1660,データについて!$J$12:$M$18,7,FALSE),"*")</f>
        <v>*</v>
      </c>
    </row>
    <row r="1661" spans="1:30">
      <c r="A1661" s="30">
        <v>3531</v>
      </c>
      <c r="B1661" s="30" t="s">
        <v>1432</v>
      </c>
      <c r="C1661" s="30" t="s">
        <v>1433</v>
      </c>
      <c r="D1661" s="30" t="s">
        <v>106</v>
      </c>
      <c r="E1661" s="30"/>
      <c r="F1661" s="30" t="s">
        <v>107</v>
      </c>
      <c r="G1661" s="30" t="s">
        <v>106</v>
      </c>
      <c r="H1661" s="30"/>
      <c r="I1661" s="30" t="s">
        <v>192</v>
      </c>
      <c r="J1661" s="30" t="s">
        <v>1415</v>
      </c>
      <c r="K1661" s="30"/>
      <c r="L1661" s="30" t="s">
        <v>117</v>
      </c>
      <c r="M1661" s="30" t="s">
        <v>109</v>
      </c>
      <c r="N1661" s="30" t="s">
        <v>110</v>
      </c>
      <c r="O1661" s="30" t="s">
        <v>115</v>
      </c>
      <c r="P1661" s="30" t="s">
        <v>112</v>
      </c>
      <c r="Q1661" s="30" t="s">
        <v>112</v>
      </c>
      <c r="R1661" s="30" t="s">
        <v>189</v>
      </c>
      <c r="S1661" s="81">
        <f>HLOOKUP(L1661,データについて!$J$6:$M$18,13,FALSE)</f>
        <v>2</v>
      </c>
      <c r="T1661" s="81">
        <f>HLOOKUP(M1661,データについて!$J$7:$M$18,12,FALSE)</f>
        <v>2</v>
      </c>
      <c r="U1661" s="81">
        <f>HLOOKUP(N1661,データについて!$J$8:$M$18,11,FALSE)</f>
        <v>2</v>
      </c>
      <c r="V1661" s="81">
        <f>HLOOKUP(O1661,データについて!$J$9:$M$18,10,FALSE)</f>
        <v>1</v>
      </c>
      <c r="W1661" s="81">
        <f>HLOOKUP(P1661,データについて!$J$10:$M$18,9,FALSE)</f>
        <v>1</v>
      </c>
      <c r="X1661" s="81">
        <f>HLOOKUP(Q1661,データについて!$J$11:$M$18,8,FALSE)</f>
        <v>1</v>
      </c>
      <c r="Y1661" s="81">
        <f>HLOOKUP(R1661,データについて!$J$12:$M$18,7,FALSE)</f>
        <v>4</v>
      </c>
      <c r="Z1661" s="81">
        <f>HLOOKUP(I1661,データについて!$J$3:$M$18,16,FALSE)</f>
        <v>1</v>
      </c>
      <c r="AA1661" s="81">
        <f>IFERROR(HLOOKUP(J1661,データについて!$J$4:$AH$19,16,FALSE),"")</f>
        <v>5</v>
      </c>
      <c r="AB1661" s="81" t="str">
        <f>IFERROR(HLOOKUP(K1661,データについて!$J$5:$AH$20,14,FALSE),"")</f>
        <v/>
      </c>
      <c r="AC1661" s="81">
        <f>IF(X1661=1,HLOOKUP(R1661,データについて!$J$12:$M$18,7,FALSE),"*")</f>
        <v>4</v>
      </c>
      <c r="AD1661" s="81" t="str">
        <f>IF(X1661=2,HLOOKUP(R1661,データについて!$J$12:$M$18,7,FALSE),"*")</f>
        <v>*</v>
      </c>
    </row>
    <row r="1662" spans="1:30">
      <c r="A1662" s="30">
        <v>3530</v>
      </c>
      <c r="B1662" s="30" t="s">
        <v>1434</v>
      </c>
      <c r="C1662" s="30" t="s">
        <v>1435</v>
      </c>
      <c r="D1662" s="30" t="s">
        <v>106</v>
      </c>
      <c r="E1662" s="30"/>
      <c r="F1662" s="30" t="s">
        <v>107</v>
      </c>
      <c r="G1662" s="30" t="s">
        <v>106</v>
      </c>
      <c r="H1662" s="30"/>
      <c r="I1662" s="30" t="s">
        <v>192</v>
      </c>
      <c r="J1662" s="30" t="s">
        <v>1415</v>
      </c>
      <c r="K1662" s="30"/>
      <c r="L1662" s="30" t="s">
        <v>108</v>
      </c>
      <c r="M1662" s="30" t="s">
        <v>109</v>
      </c>
      <c r="N1662" s="30" t="s">
        <v>114</v>
      </c>
      <c r="O1662" s="30" t="s">
        <v>115</v>
      </c>
      <c r="P1662" s="30" t="s">
        <v>112</v>
      </c>
      <c r="Q1662" s="30" t="s">
        <v>112</v>
      </c>
      <c r="R1662" s="30" t="s">
        <v>187</v>
      </c>
      <c r="S1662" s="81">
        <f>HLOOKUP(L1662,データについて!$J$6:$M$18,13,FALSE)</f>
        <v>1</v>
      </c>
      <c r="T1662" s="81">
        <f>HLOOKUP(M1662,データについて!$J$7:$M$18,12,FALSE)</f>
        <v>2</v>
      </c>
      <c r="U1662" s="81">
        <f>HLOOKUP(N1662,データについて!$J$8:$M$18,11,FALSE)</f>
        <v>1</v>
      </c>
      <c r="V1662" s="81">
        <f>HLOOKUP(O1662,データについて!$J$9:$M$18,10,FALSE)</f>
        <v>1</v>
      </c>
      <c r="W1662" s="81">
        <f>HLOOKUP(P1662,データについて!$J$10:$M$18,9,FALSE)</f>
        <v>1</v>
      </c>
      <c r="X1662" s="81">
        <f>HLOOKUP(Q1662,データについて!$J$11:$M$18,8,FALSE)</f>
        <v>1</v>
      </c>
      <c r="Y1662" s="81">
        <f>HLOOKUP(R1662,データについて!$J$12:$M$18,7,FALSE)</f>
        <v>3</v>
      </c>
      <c r="Z1662" s="81">
        <f>HLOOKUP(I1662,データについて!$J$3:$M$18,16,FALSE)</f>
        <v>1</v>
      </c>
      <c r="AA1662" s="81">
        <f>IFERROR(HLOOKUP(J1662,データについて!$J$4:$AH$19,16,FALSE),"")</f>
        <v>5</v>
      </c>
      <c r="AB1662" s="81" t="str">
        <f>IFERROR(HLOOKUP(K1662,データについて!$J$5:$AH$20,14,FALSE),"")</f>
        <v/>
      </c>
      <c r="AC1662" s="81">
        <f>IF(X1662=1,HLOOKUP(R1662,データについて!$J$12:$M$18,7,FALSE),"*")</f>
        <v>3</v>
      </c>
      <c r="AD1662" s="81" t="str">
        <f>IF(X1662=2,HLOOKUP(R1662,データについて!$J$12:$M$18,7,FALSE),"*")</f>
        <v>*</v>
      </c>
    </row>
    <row r="1663" spans="1:30">
      <c r="A1663" s="30">
        <v>3529</v>
      </c>
      <c r="B1663" s="30" t="s">
        <v>1436</v>
      </c>
      <c r="C1663" s="30" t="s">
        <v>1437</v>
      </c>
      <c r="D1663" s="30" t="s">
        <v>106</v>
      </c>
      <c r="E1663" s="30"/>
      <c r="F1663" s="30" t="s">
        <v>107</v>
      </c>
      <c r="G1663" s="30" t="s">
        <v>106</v>
      </c>
      <c r="H1663" s="30"/>
      <c r="I1663" s="30" t="s">
        <v>192</v>
      </c>
      <c r="J1663" s="30" t="s">
        <v>1415</v>
      </c>
      <c r="K1663" s="30"/>
      <c r="L1663" s="30" t="s">
        <v>108</v>
      </c>
      <c r="M1663" s="30" t="s">
        <v>124</v>
      </c>
      <c r="N1663" s="30" t="s">
        <v>122</v>
      </c>
      <c r="O1663" s="30" t="s">
        <v>115</v>
      </c>
      <c r="P1663" s="30" t="s">
        <v>112</v>
      </c>
      <c r="Q1663" s="30" t="s">
        <v>112</v>
      </c>
      <c r="R1663" s="30" t="s">
        <v>185</v>
      </c>
      <c r="S1663" s="81">
        <f>HLOOKUP(L1663,データについて!$J$6:$M$18,13,FALSE)</f>
        <v>1</v>
      </c>
      <c r="T1663" s="81">
        <f>HLOOKUP(M1663,データについて!$J$7:$M$18,12,FALSE)</f>
        <v>3</v>
      </c>
      <c r="U1663" s="81">
        <f>HLOOKUP(N1663,データについて!$J$8:$M$18,11,FALSE)</f>
        <v>3</v>
      </c>
      <c r="V1663" s="81">
        <f>HLOOKUP(O1663,データについて!$J$9:$M$18,10,FALSE)</f>
        <v>1</v>
      </c>
      <c r="W1663" s="81">
        <f>HLOOKUP(P1663,データについて!$J$10:$M$18,9,FALSE)</f>
        <v>1</v>
      </c>
      <c r="X1663" s="81">
        <f>HLOOKUP(Q1663,データについて!$J$11:$M$18,8,FALSE)</f>
        <v>1</v>
      </c>
      <c r="Y1663" s="81">
        <f>HLOOKUP(R1663,データについて!$J$12:$M$18,7,FALSE)</f>
        <v>2</v>
      </c>
      <c r="Z1663" s="81">
        <f>HLOOKUP(I1663,データについて!$J$3:$M$18,16,FALSE)</f>
        <v>1</v>
      </c>
      <c r="AA1663" s="81">
        <f>IFERROR(HLOOKUP(J1663,データについて!$J$4:$AH$19,16,FALSE),"")</f>
        <v>5</v>
      </c>
      <c r="AB1663" s="81" t="str">
        <f>IFERROR(HLOOKUP(K1663,データについて!$J$5:$AH$20,14,FALSE),"")</f>
        <v/>
      </c>
      <c r="AC1663" s="81">
        <f>IF(X1663=1,HLOOKUP(R1663,データについて!$J$12:$M$18,7,FALSE),"*")</f>
        <v>2</v>
      </c>
      <c r="AD1663" s="81" t="str">
        <f>IF(X1663=2,HLOOKUP(R1663,データについて!$J$12:$M$18,7,FALSE),"*")</f>
        <v>*</v>
      </c>
    </row>
    <row r="1664" spans="1:30">
      <c r="A1664" s="30">
        <v>3528</v>
      </c>
      <c r="B1664" s="30" t="s">
        <v>1438</v>
      </c>
      <c r="C1664" s="30" t="s">
        <v>1439</v>
      </c>
      <c r="D1664" s="30" t="s">
        <v>106</v>
      </c>
      <c r="E1664" s="30"/>
      <c r="F1664" s="30" t="s">
        <v>107</v>
      </c>
      <c r="G1664" s="30" t="s">
        <v>106</v>
      </c>
      <c r="H1664" s="30"/>
      <c r="I1664" s="30" t="s">
        <v>192</v>
      </c>
      <c r="J1664" s="30" t="s">
        <v>1415</v>
      </c>
      <c r="K1664" s="30"/>
      <c r="L1664" s="30" t="s">
        <v>117</v>
      </c>
      <c r="M1664" s="30" t="s">
        <v>109</v>
      </c>
      <c r="N1664" s="30" t="s">
        <v>122</v>
      </c>
      <c r="O1664" s="30" t="s">
        <v>115</v>
      </c>
      <c r="P1664" s="30" t="s">
        <v>112</v>
      </c>
      <c r="Q1664" s="30" t="s">
        <v>112</v>
      </c>
      <c r="R1664" s="30" t="s">
        <v>189</v>
      </c>
      <c r="S1664" s="81">
        <f>HLOOKUP(L1664,データについて!$J$6:$M$18,13,FALSE)</f>
        <v>2</v>
      </c>
      <c r="T1664" s="81">
        <f>HLOOKUP(M1664,データについて!$J$7:$M$18,12,FALSE)</f>
        <v>2</v>
      </c>
      <c r="U1664" s="81">
        <f>HLOOKUP(N1664,データについて!$J$8:$M$18,11,FALSE)</f>
        <v>3</v>
      </c>
      <c r="V1664" s="81">
        <f>HLOOKUP(O1664,データについて!$J$9:$M$18,10,FALSE)</f>
        <v>1</v>
      </c>
      <c r="W1664" s="81">
        <f>HLOOKUP(P1664,データについて!$J$10:$M$18,9,FALSE)</f>
        <v>1</v>
      </c>
      <c r="X1664" s="81">
        <f>HLOOKUP(Q1664,データについて!$J$11:$M$18,8,FALSE)</f>
        <v>1</v>
      </c>
      <c r="Y1664" s="81">
        <f>HLOOKUP(R1664,データについて!$J$12:$M$18,7,FALSE)</f>
        <v>4</v>
      </c>
      <c r="Z1664" s="81">
        <f>HLOOKUP(I1664,データについて!$J$3:$M$18,16,FALSE)</f>
        <v>1</v>
      </c>
      <c r="AA1664" s="81">
        <f>IFERROR(HLOOKUP(J1664,データについて!$J$4:$AH$19,16,FALSE),"")</f>
        <v>5</v>
      </c>
      <c r="AB1664" s="81" t="str">
        <f>IFERROR(HLOOKUP(K1664,データについて!$J$5:$AH$20,14,FALSE),"")</f>
        <v/>
      </c>
      <c r="AC1664" s="81">
        <f>IF(X1664=1,HLOOKUP(R1664,データについて!$J$12:$M$18,7,FALSE),"*")</f>
        <v>4</v>
      </c>
      <c r="AD1664" s="81" t="str">
        <f>IF(X1664=2,HLOOKUP(R1664,データについて!$J$12:$M$18,7,FALSE),"*")</f>
        <v>*</v>
      </c>
    </row>
    <row r="1665" spans="1:30">
      <c r="A1665" s="30">
        <v>3527</v>
      </c>
      <c r="B1665" s="30" t="s">
        <v>1440</v>
      </c>
      <c r="C1665" s="30" t="s">
        <v>1441</v>
      </c>
      <c r="D1665" s="30" t="s">
        <v>106</v>
      </c>
      <c r="E1665" s="30"/>
      <c r="F1665" s="30" t="s">
        <v>107</v>
      </c>
      <c r="G1665" s="30" t="s">
        <v>106</v>
      </c>
      <c r="H1665" s="30"/>
      <c r="I1665" s="30" t="s">
        <v>192</v>
      </c>
      <c r="J1665" s="30" t="s">
        <v>1415</v>
      </c>
      <c r="K1665" s="30"/>
      <c r="L1665" s="30" t="s">
        <v>108</v>
      </c>
      <c r="M1665" s="30" t="s">
        <v>113</v>
      </c>
      <c r="N1665" s="30" t="s">
        <v>114</v>
      </c>
      <c r="O1665" s="30" t="s">
        <v>115</v>
      </c>
      <c r="P1665" s="30" t="s">
        <v>112</v>
      </c>
      <c r="Q1665" s="30" t="s">
        <v>112</v>
      </c>
      <c r="R1665" s="30" t="s">
        <v>189</v>
      </c>
      <c r="S1665" s="81">
        <f>HLOOKUP(L1665,データについて!$J$6:$M$18,13,FALSE)</f>
        <v>1</v>
      </c>
      <c r="T1665" s="81">
        <f>HLOOKUP(M1665,データについて!$J$7:$M$18,12,FALSE)</f>
        <v>1</v>
      </c>
      <c r="U1665" s="81">
        <f>HLOOKUP(N1665,データについて!$J$8:$M$18,11,FALSE)</f>
        <v>1</v>
      </c>
      <c r="V1665" s="81">
        <f>HLOOKUP(O1665,データについて!$J$9:$M$18,10,FALSE)</f>
        <v>1</v>
      </c>
      <c r="W1665" s="81">
        <f>HLOOKUP(P1665,データについて!$J$10:$M$18,9,FALSE)</f>
        <v>1</v>
      </c>
      <c r="X1665" s="81">
        <f>HLOOKUP(Q1665,データについて!$J$11:$M$18,8,FALSE)</f>
        <v>1</v>
      </c>
      <c r="Y1665" s="81">
        <f>HLOOKUP(R1665,データについて!$J$12:$M$18,7,FALSE)</f>
        <v>4</v>
      </c>
      <c r="Z1665" s="81">
        <f>HLOOKUP(I1665,データについて!$J$3:$M$18,16,FALSE)</f>
        <v>1</v>
      </c>
      <c r="AA1665" s="81">
        <f>IFERROR(HLOOKUP(J1665,データについて!$J$4:$AH$19,16,FALSE),"")</f>
        <v>5</v>
      </c>
      <c r="AB1665" s="81" t="str">
        <f>IFERROR(HLOOKUP(K1665,データについて!$J$5:$AH$20,14,FALSE),"")</f>
        <v/>
      </c>
      <c r="AC1665" s="81">
        <f>IF(X1665=1,HLOOKUP(R1665,データについて!$J$12:$M$18,7,FALSE),"*")</f>
        <v>4</v>
      </c>
      <c r="AD1665" s="81" t="str">
        <f>IF(X1665=2,HLOOKUP(R1665,データについて!$J$12:$M$18,7,FALSE),"*")</f>
        <v>*</v>
      </c>
    </row>
    <row r="1666" spans="1:30">
      <c r="A1666" s="30">
        <v>3526</v>
      </c>
      <c r="B1666" s="30" t="s">
        <v>1442</v>
      </c>
      <c r="C1666" s="30" t="s">
        <v>1443</v>
      </c>
      <c r="D1666" s="30" t="s">
        <v>106</v>
      </c>
      <c r="E1666" s="30"/>
      <c r="F1666" s="30" t="s">
        <v>107</v>
      </c>
      <c r="G1666" s="30" t="s">
        <v>106</v>
      </c>
      <c r="H1666" s="30"/>
      <c r="I1666" s="30" t="s">
        <v>192</v>
      </c>
      <c r="J1666" s="30" t="s">
        <v>1415</v>
      </c>
      <c r="K1666" s="30"/>
      <c r="L1666" s="30" t="s">
        <v>117</v>
      </c>
      <c r="M1666" s="30" t="s">
        <v>109</v>
      </c>
      <c r="N1666" s="30" t="s">
        <v>114</v>
      </c>
      <c r="O1666" s="30" t="s">
        <v>123</v>
      </c>
      <c r="P1666" s="30" t="s">
        <v>112</v>
      </c>
      <c r="Q1666" s="30" t="s">
        <v>118</v>
      </c>
      <c r="R1666" s="30" t="s">
        <v>187</v>
      </c>
      <c r="S1666" s="81">
        <f>HLOOKUP(L1666,データについて!$J$6:$M$18,13,FALSE)</f>
        <v>2</v>
      </c>
      <c r="T1666" s="81">
        <f>HLOOKUP(M1666,データについて!$J$7:$M$18,12,FALSE)</f>
        <v>2</v>
      </c>
      <c r="U1666" s="81">
        <f>HLOOKUP(N1666,データについて!$J$8:$M$18,11,FALSE)</f>
        <v>1</v>
      </c>
      <c r="V1666" s="81">
        <f>HLOOKUP(O1666,データについて!$J$9:$M$18,10,FALSE)</f>
        <v>4</v>
      </c>
      <c r="W1666" s="81">
        <f>HLOOKUP(P1666,データについて!$J$10:$M$18,9,FALSE)</f>
        <v>1</v>
      </c>
      <c r="X1666" s="81">
        <f>HLOOKUP(Q1666,データについて!$J$11:$M$18,8,FALSE)</f>
        <v>2</v>
      </c>
      <c r="Y1666" s="81">
        <f>HLOOKUP(R1666,データについて!$J$12:$M$18,7,FALSE)</f>
        <v>3</v>
      </c>
      <c r="Z1666" s="81">
        <f>HLOOKUP(I1666,データについて!$J$3:$M$18,16,FALSE)</f>
        <v>1</v>
      </c>
      <c r="AA1666" s="81">
        <f>IFERROR(HLOOKUP(J1666,データについて!$J$4:$AH$19,16,FALSE),"")</f>
        <v>5</v>
      </c>
      <c r="AB1666" s="81" t="str">
        <f>IFERROR(HLOOKUP(K1666,データについて!$J$5:$AH$20,14,FALSE),"")</f>
        <v/>
      </c>
      <c r="AC1666" s="81" t="str">
        <f>IF(X1666=1,HLOOKUP(R1666,データについて!$J$12:$M$18,7,FALSE),"*")</f>
        <v>*</v>
      </c>
      <c r="AD1666" s="81">
        <f>IF(X1666=2,HLOOKUP(R1666,データについて!$J$12:$M$18,7,FALSE),"*")</f>
        <v>3</v>
      </c>
    </row>
    <row r="1667" spans="1:30">
      <c r="A1667" s="30">
        <v>3525</v>
      </c>
      <c r="B1667" s="30" t="s">
        <v>1444</v>
      </c>
      <c r="C1667" s="30" t="s">
        <v>1445</v>
      </c>
      <c r="D1667" s="30" t="s">
        <v>106</v>
      </c>
      <c r="E1667" s="30"/>
      <c r="F1667" s="30" t="s">
        <v>107</v>
      </c>
      <c r="G1667" s="30" t="s">
        <v>106</v>
      </c>
      <c r="H1667" s="30"/>
      <c r="I1667" s="30" t="s">
        <v>192</v>
      </c>
      <c r="J1667" s="30" t="s">
        <v>1415</v>
      </c>
      <c r="K1667" s="30"/>
      <c r="L1667" s="30" t="s">
        <v>108</v>
      </c>
      <c r="M1667" s="30" t="s">
        <v>113</v>
      </c>
      <c r="N1667" s="30" t="s">
        <v>114</v>
      </c>
      <c r="O1667" s="30" t="s">
        <v>115</v>
      </c>
      <c r="P1667" s="30" t="s">
        <v>112</v>
      </c>
      <c r="Q1667" s="30" t="s">
        <v>112</v>
      </c>
      <c r="R1667" s="30" t="s">
        <v>183</v>
      </c>
      <c r="S1667" s="81">
        <f>HLOOKUP(L1667,データについて!$J$6:$M$18,13,FALSE)</f>
        <v>1</v>
      </c>
      <c r="T1667" s="81">
        <f>HLOOKUP(M1667,データについて!$J$7:$M$18,12,FALSE)</f>
        <v>1</v>
      </c>
      <c r="U1667" s="81">
        <f>HLOOKUP(N1667,データについて!$J$8:$M$18,11,FALSE)</f>
        <v>1</v>
      </c>
      <c r="V1667" s="81">
        <f>HLOOKUP(O1667,データについて!$J$9:$M$18,10,FALSE)</f>
        <v>1</v>
      </c>
      <c r="W1667" s="81">
        <f>HLOOKUP(P1667,データについて!$J$10:$M$18,9,FALSE)</f>
        <v>1</v>
      </c>
      <c r="X1667" s="81">
        <f>HLOOKUP(Q1667,データについて!$J$11:$M$18,8,FALSE)</f>
        <v>1</v>
      </c>
      <c r="Y1667" s="81">
        <f>HLOOKUP(R1667,データについて!$J$12:$M$18,7,FALSE)</f>
        <v>1</v>
      </c>
      <c r="Z1667" s="81">
        <f>HLOOKUP(I1667,データについて!$J$3:$M$18,16,FALSE)</f>
        <v>1</v>
      </c>
      <c r="AA1667" s="81">
        <f>IFERROR(HLOOKUP(J1667,データについて!$J$4:$AH$19,16,FALSE),"")</f>
        <v>5</v>
      </c>
      <c r="AB1667" s="81" t="str">
        <f>IFERROR(HLOOKUP(K1667,データについて!$J$5:$AH$20,14,FALSE),"")</f>
        <v/>
      </c>
      <c r="AC1667" s="81">
        <f>IF(X1667=1,HLOOKUP(R1667,データについて!$J$12:$M$18,7,FALSE),"*")</f>
        <v>1</v>
      </c>
      <c r="AD1667" s="81" t="str">
        <f>IF(X1667=2,HLOOKUP(R1667,データについて!$J$12:$M$18,7,FALSE),"*")</f>
        <v>*</v>
      </c>
    </row>
    <row r="1668" spans="1:30">
      <c r="A1668" s="30">
        <v>3524</v>
      </c>
      <c r="B1668" s="30" t="s">
        <v>1446</v>
      </c>
      <c r="C1668" s="30" t="s">
        <v>1447</v>
      </c>
      <c r="D1668" s="30" t="s">
        <v>106</v>
      </c>
      <c r="E1668" s="30"/>
      <c r="F1668" s="30" t="s">
        <v>107</v>
      </c>
      <c r="G1668" s="30" t="s">
        <v>106</v>
      </c>
      <c r="H1668" s="30"/>
      <c r="I1668" s="30" t="s">
        <v>192</v>
      </c>
      <c r="J1668" s="30" t="s">
        <v>1415</v>
      </c>
      <c r="K1668" s="30"/>
      <c r="L1668" s="30" t="s">
        <v>117</v>
      </c>
      <c r="M1668" s="30" t="s">
        <v>113</v>
      </c>
      <c r="N1668" s="30" t="s">
        <v>110</v>
      </c>
      <c r="O1668" s="30" t="s">
        <v>115</v>
      </c>
      <c r="P1668" s="30" t="s">
        <v>112</v>
      </c>
      <c r="Q1668" s="30" t="s">
        <v>112</v>
      </c>
      <c r="R1668" s="30" t="s">
        <v>183</v>
      </c>
      <c r="S1668" s="81">
        <f>HLOOKUP(L1668,データについて!$J$6:$M$18,13,FALSE)</f>
        <v>2</v>
      </c>
      <c r="T1668" s="81">
        <f>HLOOKUP(M1668,データについて!$J$7:$M$18,12,FALSE)</f>
        <v>1</v>
      </c>
      <c r="U1668" s="81">
        <f>HLOOKUP(N1668,データについて!$J$8:$M$18,11,FALSE)</f>
        <v>2</v>
      </c>
      <c r="V1668" s="81">
        <f>HLOOKUP(O1668,データについて!$J$9:$M$18,10,FALSE)</f>
        <v>1</v>
      </c>
      <c r="W1668" s="81">
        <f>HLOOKUP(P1668,データについて!$J$10:$M$18,9,FALSE)</f>
        <v>1</v>
      </c>
      <c r="X1668" s="81">
        <f>HLOOKUP(Q1668,データについて!$J$11:$M$18,8,FALSE)</f>
        <v>1</v>
      </c>
      <c r="Y1668" s="81">
        <f>HLOOKUP(R1668,データについて!$J$12:$M$18,7,FALSE)</f>
        <v>1</v>
      </c>
      <c r="Z1668" s="81">
        <f>HLOOKUP(I1668,データについて!$J$3:$M$18,16,FALSE)</f>
        <v>1</v>
      </c>
      <c r="AA1668" s="81">
        <f>IFERROR(HLOOKUP(J1668,データについて!$J$4:$AH$19,16,FALSE),"")</f>
        <v>5</v>
      </c>
      <c r="AB1668" s="81" t="str">
        <f>IFERROR(HLOOKUP(K1668,データについて!$J$5:$AH$20,14,FALSE),"")</f>
        <v/>
      </c>
      <c r="AC1668" s="81">
        <f>IF(X1668=1,HLOOKUP(R1668,データについて!$J$12:$M$18,7,FALSE),"*")</f>
        <v>1</v>
      </c>
      <c r="AD1668" s="81" t="str">
        <f>IF(X1668=2,HLOOKUP(R1668,データについて!$J$12:$M$18,7,FALSE),"*")</f>
        <v>*</v>
      </c>
    </row>
    <row r="1669" spans="1:30">
      <c r="A1669" s="30">
        <v>3523</v>
      </c>
      <c r="B1669" s="30" t="s">
        <v>1448</v>
      </c>
      <c r="C1669" s="30" t="s">
        <v>1449</v>
      </c>
      <c r="D1669" s="30" t="s">
        <v>106</v>
      </c>
      <c r="E1669" s="30"/>
      <c r="F1669" s="30" t="s">
        <v>107</v>
      </c>
      <c r="G1669" s="30" t="s">
        <v>106</v>
      </c>
      <c r="H1669" s="30"/>
      <c r="I1669" s="30" t="s">
        <v>192</v>
      </c>
      <c r="J1669" s="30" t="s">
        <v>1415</v>
      </c>
      <c r="K1669" s="30"/>
      <c r="L1669" s="30" t="s">
        <v>108</v>
      </c>
      <c r="M1669" s="30" t="s">
        <v>109</v>
      </c>
      <c r="N1669" s="30" t="s">
        <v>110</v>
      </c>
      <c r="O1669" s="30" t="s">
        <v>115</v>
      </c>
      <c r="P1669" s="30" t="s">
        <v>112</v>
      </c>
      <c r="Q1669" s="30" t="s">
        <v>112</v>
      </c>
      <c r="R1669" s="30" t="s">
        <v>183</v>
      </c>
      <c r="S1669" s="81">
        <f>HLOOKUP(L1669,データについて!$J$6:$M$18,13,FALSE)</f>
        <v>1</v>
      </c>
      <c r="T1669" s="81">
        <f>HLOOKUP(M1669,データについて!$J$7:$M$18,12,FALSE)</f>
        <v>2</v>
      </c>
      <c r="U1669" s="81">
        <f>HLOOKUP(N1669,データについて!$J$8:$M$18,11,FALSE)</f>
        <v>2</v>
      </c>
      <c r="V1669" s="81">
        <f>HLOOKUP(O1669,データについて!$J$9:$M$18,10,FALSE)</f>
        <v>1</v>
      </c>
      <c r="W1669" s="81">
        <f>HLOOKUP(P1669,データについて!$J$10:$M$18,9,FALSE)</f>
        <v>1</v>
      </c>
      <c r="X1669" s="81">
        <f>HLOOKUP(Q1669,データについて!$J$11:$M$18,8,FALSE)</f>
        <v>1</v>
      </c>
      <c r="Y1669" s="81">
        <f>HLOOKUP(R1669,データについて!$J$12:$M$18,7,FALSE)</f>
        <v>1</v>
      </c>
      <c r="Z1669" s="81">
        <f>HLOOKUP(I1669,データについて!$J$3:$M$18,16,FALSE)</f>
        <v>1</v>
      </c>
      <c r="AA1669" s="81">
        <f>IFERROR(HLOOKUP(J1669,データについて!$J$4:$AH$19,16,FALSE),"")</f>
        <v>5</v>
      </c>
      <c r="AB1669" s="81" t="str">
        <f>IFERROR(HLOOKUP(K1669,データについて!$J$5:$AH$20,14,FALSE),"")</f>
        <v/>
      </c>
      <c r="AC1669" s="81">
        <f>IF(X1669=1,HLOOKUP(R1669,データについて!$J$12:$M$18,7,FALSE),"*")</f>
        <v>1</v>
      </c>
      <c r="AD1669" s="81" t="str">
        <f>IF(X1669=2,HLOOKUP(R1669,データについて!$J$12:$M$18,7,FALSE),"*")</f>
        <v>*</v>
      </c>
    </row>
    <row r="1670" spans="1:30">
      <c r="A1670" s="30">
        <v>3522</v>
      </c>
      <c r="B1670" s="30" t="s">
        <v>1450</v>
      </c>
      <c r="C1670" s="30" t="s">
        <v>1451</v>
      </c>
      <c r="D1670" s="30" t="s">
        <v>106</v>
      </c>
      <c r="E1670" s="30"/>
      <c r="F1670" s="30" t="s">
        <v>107</v>
      </c>
      <c r="G1670" s="30" t="s">
        <v>106</v>
      </c>
      <c r="H1670" s="30"/>
      <c r="I1670" s="30" t="s">
        <v>192</v>
      </c>
      <c r="J1670" s="30" t="s">
        <v>1415</v>
      </c>
      <c r="K1670" s="30"/>
      <c r="L1670" s="30" t="s">
        <v>108</v>
      </c>
      <c r="M1670" s="30" t="s">
        <v>113</v>
      </c>
      <c r="N1670" s="30" t="s">
        <v>110</v>
      </c>
      <c r="O1670" s="30" t="s">
        <v>115</v>
      </c>
      <c r="P1670" s="30" t="s">
        <v>112</v>
      </c>
      <c r="Q1670" s="30" t="s">
        <v>112</v>
      </c>
      <c r="R1670" s="30" t="s">
        <v>187</v>
      </c>
      <c r="S1670" s="81">
        <f>HLOOKUP(L1670,データについて!$J$6:$M$18,13,FALSE)</f>
        <v>1</v>
      </c>
      <c r="T1670" s="81">
        <f>HLOOKUP(M1670,データについて!$J$7:$M$18,12,FALSE)</f>
        <v>1</v>
      </c>
      <c r="U1670" s="81">
        <f>HLOOKUP(N1670,データについて!$J$8:$M$18,11,FALSE)</f>
        <v>2</v>
      </c>
      <c r="V1670" s="81">
        <f>HLOOKUP(O1670,データについて!$J$9:$M$18,10,FALSE)</f>
        <v>1</v>
      </c>
      <c r="W1670" s="81">
        <f>HLOOKUP(P1670,データについて!$J$10:$M$18,9,FALSE)</f>
        <v>1</v>
      </c>
      <c r="X1670" s="81">
        <f>HLOOKUP(Q1670,データについて!$J$11:$M$18,8,FALSE)</f>
        <v>1</v>
      </c>
      <c r="Y1670" s="81">
        <f>HLOOKUP(R1670,データについて!$J$12:$M$18,7,FALSE)</f>
        <v>3</v>
      </c>
      <c r="Z1670" s="81">
        <f>HLOOKUP(I1670,データについて!$J$3:$M$18,16,FALSE)</f>
        <v>1</v>
      </c>
      <c r="AA1670" s="81">
        <f>IFERROR(HLOOKUP(J1670,データについて!$J$4:$AH$19,16,FALSE),"")</f>
        <v>5</v>
      </c>
      <c r="AB1670" s="81" t="str">
        <f>IFERROR(HLOOKUP(K1670,データについて!$J$5:$AH$20,14,FALSE),"")</f>
        <v/>
      </c>
      <c r="AC1670" s="81">
        <f>IF(X1670=1,HLOOKUP(R1670,データについて!$J$12:$M$18,7,FALSE),"*")</f>
        <v>3</v>
      </c>
      <c r="AD1670" s="81" t="str">
        <f>IF(X1670=2,HLOOKUP(R1670,データについて!$J$12:$M$18,7,FALSE),"*")</f>
        <v>*</v>
      </c>
    </row>
    <row r="1671" spans="1:30">
      <c r="A1671" s="30">
        <v>3521</v>
      </c>
      <c r="B1671" s="30" t="s">
        <v>1452</v>
      </c>
      <c r="C1671" s="30" t="s">
        <v>1453</v>
      </c>
      <c r="D1671" s="30" t="s">
        <v>106</v>
      </c>
      <c r="E1671" s="30"/>
      <c r="F1671" s="30" t="s">
        <v>107</v>
      </c>
      <c r="G1671" s="30" t="s">
        <v>106</v>
      </c>
      <c r="H1671" s="30"/>
      <c r="I1671" s="30" t="s">
        <v>192</v>
      </c>
      <c r="J1671" s="30" t="s">
        <v>1415</v>
      </c>
      <c r="K1671" s="30"/>
      <c r="L1671" s="30" t="s">
        <v>117</v>
      </c>
      <c r="M1671" s="30" t="s">
        <v>109</v>
      </c>
      <c r="N1671" s="30" t="s">
        <v>110</v>
      </c>
      <c r="O1671" s="30" t="s">
        <v>115</v>
      </c>
      <c r="P1671" s="30" t="s">
        <v>112</v>
      </c>
      <c r="Q1671" s="30" t="s">
        <v>112</v>
      </c>
      <c r="R1671" s="30" t="s">
        <v>187</v>
      </c>
      <c r="S1671" s="81">
        <f>HLOOKUP(L1671,データについて!$J$6:$M$18,13,FALSE)</f>
        <v>2</v>
      </c>
      <c r="T1671" s="81">
        <f>HLOOKUP(M1671,データについて!$J$7:$M$18,12,FALSE)</f>
        <v>2</v>
      </c>
      <c r="U1671" s="81">
        <f>HLOOKUP(N1671,データについて!$J$8:$M$18,11,FALSE)</f>
        <v>2</v>
      </c>
      <c r="V1671" s="81">
        <f>HLOOKUP(O1671,データについて!$J$9:$M$18,10,FALSE)</f>
        <v>1</v>
      </c>
      <c r="W1671" s="81">
        <f>HLOOKUP(P1671,データについて!$J$10:$M$18,9,FALSE)</f>
        <v>1</v>
      </c>
      <c r="X1671" s="81">
        <f>HLOOKUP(Q1671,データについて!$J$11:$M$18,8,FALSE)</f>
        <v>1</v>
      </c>
      <c r="Y1671" s="81">
        <f>HLOOKUP(R1671,データについて!$J$12:$M$18,7,FALSE)</f>
        <v>3</v>
      </c>
      <c r="Z1671" s="81">
        <f>HLOOKUP(I1671,データについて!$J$3:$M$18,16,FALSE)</f>
        <v>1</v>
      </c>
      <c r="AA1671" s="81">
        <f>IFERROR(HLOOKUP(J1671,データについて!$J$4:$AH$19,16,FALSE),"")</f>
        <v>5</v>
      </c>
      <c r="AB1671" s="81" t="str">
        <f>IFERROR(HLOOKUP(K1671,データについて!$J$5:$AH$20,14,FALSE),"")</f>
        <v/>
      </c>
      <c r="AC1671" s="81">
        <f>IF(X1671=1,HLOOKUP(R1671,データについて!$J$12:$M$18,7,FALSE),"*")</f>
        <v>3</v>
      </c>
      <c r="AD1671" s="81" t="str">
        <f>IF(X1671=2,HLOOKUP(R1671,データについて!$J$12:$M$18,7,FALSE),"*")</f>
        <v>*</v>
      </c>
    </row>
    <row r="1672" spans="1:30">
      <c r="A1672" s="30">
        <v>3520</v>
      </c>
      <c r="B1672" s="30" t="s">
        <v>1454</v>
      </c>
      <c r="C1672" s="30" t="s">
        <v>1455</v>
      </c>
      <c r="D1672" s="30" t="s">
        <v>106</v>
      </c>
      <c r="E1672" s="30"/>
      <c r="F1672" s="30" t="s">
        <v>107</v>
      </c>
      <c r="G1672" s="30" t="s">
        <v>106</v>
      </c>
      <c r="H1672" s="30"/>
      <c r="I1672" s="30" t="s">
        <v>192</v>
      </c>
      <c r="J1672" s="30" t="s">
        <v>128</v>
      </c>
      <c r="K1672" s="30"/>
      <c r="L1672" s="30" t="s">
        <v>108</v>
      </c>
      <c r="M1672" s="30" t="s">
        <v>109</v>
      </c>
      <c r="N1672" s="30" t="s">
        <v>114</v>
      </c>
      <c r="O1672" s="30" t="s">
        <v>115</v>
      </c>
      <c r="P1672" s="30" t="s">
        <v>112</v>
      </c>
      <c r="Q1672" s="30" t="s">
        <v>112</v>
      </c>
      <c r="R1672" s="30" t="s">
        <v>185</v>
      </c>
      <c r="S1672" s="81">
        <f>HLOOKUP(L1672,データについて!$J$6:$M$18,13,FALSE)</f>
        <v>1</v>
      </c>
      <c r="T1672" s="81">
        <f>HLOOKUP(M1672,データについて!$J$7:$M$18,12,FALSE)</f>
        <v>2</v>
      </c>
      <c r="U1672" s="81">
        <f>HLOOKUP(N1672,データについて!$J$8:$M$18,11,FALSE)</f>
        <v>1</v>
      </c>
      <c r="V1672" s="81">
        <f>HLOOKUP(O1672,データについて!$J$9:$M$18,10,FALSE)</f>
        <v>1</v>
      </c>
      <c r="W1672" s="81">
        <f>HLOOKUP(P1672,データについて!$J$10:$M$18,9,FALSE)</f>
        <v>1</v>
      </c>
      <c r="X1672" s="81">
        <f>HLOOKUP(Q1672,データについて!$J$11:$M$18,8,FALSE)</f>
        <v>1</v>
      </c>
      <c r="Y1672" s="81">
        <f>HLOOKUP(R1672,データについて!$J$12:$M$18,7,FALSE)</f>
        <v>2</v>
      </c>
      <c r="Z1672" s="81">
        <f>HLOOKUP(I1672,データについて!$J$3:$M$18,16,FALSE)</f>
        <v>1</v>
      </c>
      <c r="AA1672" s="81">
        <f>IFERROR(HLOOKUP(J1672,データについて!$J$4:$AH$19,16,FALSE),"")</f>
        <v>1</v>
      </c>
      <c r="AB1672" s="81" t="str">
        <f>IFERROR(HLOOKUP(K1672,データについて!$J$5:$AH$20,14,FALSE),"")</f>
        <v/>
      </c>
      <c r="AC1672" s="81">
        <f>IF(X1672=1,HLOOKUP(R1672,データについて!$J$12:$M$18,7,FALSE),"*")</f>
        <v>2</v>
      </c>
      <c r="AD1672" s="81" t="str">
        <f>IF(X1672=2,HLOOKUP(R1672,データについて!$J$12:$M$18,7,FALSE),"*")</f>
        <v>*</v>
      </c>
    </row>
    <row r="1673" spans="1:30">
      <c r="A1673" s="30">
        <v>3519</v>
      </c>
      <c r="B1673" s="30" t="s">
        <v>1456</v>
      </c>
      <c r="C1673" s="30" t="s">
        <v>1457</v>
      </c>
      <c r="D1673" s="30" t="s">
        <v>106</v>
      </c>
      <c r="E1673" s="30"/>
      <c r="F1673" s="30" t="s">
        <v>107</v>
      </c>
      <c r="G1673" s="30" t="s">
        <v>106</v>
      </c>
      <c r="H1673" s="30"/>
      <c r="I1673" s="30" t="s">
        <v>192</v>
      </c>
      <c r="J1673" s="30" t="s">
        <v>942</v>
      </c>
      <c r="K1673" s="30"/>
      <c r="L1673" s="30" t="s">
        <v>108</v>
      </c>
      <c r="M1673" s="30" t="s">
        <v>113</v>
      </c>
      <c r="N1673" s="30" t="s">
        <v>122</v>
      </c>
      <c r="O1673" s="30" t="s">
        <v>115</v>
      </c>
      <c r="P1673" s="30" t="s">
        <v>112</v>
      </c>
      <c r="Q1673" s="30" t="s">
        <v>112</v>
      </c>
      <c r="R1673" s="30" t="s">
        <v>183</v>
      </c>
      <c r="S1673" s="81">
        <f>HLOOKUP(L1673,データについて!$J$6:$M$18,13,FALSE)</f>
        <v>1</v>
      </c>
      <c r="T1673" s="81">
        <f>HLOOKUP(M1673,データについて!$J$7:$M$18,12,FALSE)</f>
        <v>1</v>
      </c>
      <c r="U1673" s="81">
        <f>HLOOKUP(N1673,データについて!$J$8:$M$18,11,FALSE)</f>
        <v>3</v>
      </c>
      <c r="V1673" s="81">
        <f>HLOOKUP(O1673,データについて!$J$9:$M$18,10,FALSE)</f>
        <v>1</v>
      </c>
      <c r="W1673" s="81">
        <f>HLOOKUP(P1673,データについて!$J$10:$M$18,9,FALSE)</f>
        <v>1</v>
      </c>
      <c r="X1673" s="81">
        <f>HLOOKUP(Q1673,データについて!$J$11:$M$18,8,FALSE)</f>
        <v>1</v>
      </c>
      <c r="Y1673" s="81">
        <f>HLOOKUP(R1673,データについて!$J$12:$M$18,7,FALSE)</f>
        <v>1</v>
      </c>
      <c r="Z1673" s="81">
        <f>HLOOKUP(I1673,データについて!$J$3:$M$18,16,FALSE)</f>
        <v>1</v>
      </c>
      <c r="AA1673" s="81">
        <f>IFERROR(HLOOKUP(J1673,データについて!$J$4:$AH$19,16,FALSE),"")</f>
        <v>7</v>
      </c>
      <c r="AB1673" s="81" t="str">
        <f>IFERROR(HLOOKUP(K1673,データについて!$J$5:$AH$20,14,FALSE),"")</f>
        <v/>
      </c>
      <c r="AC1673" s="81">
        <f>IF(X1673=1,HLOOKUP(R1673,データについて!$J$12:$M$18,7,FALSE),"*")</f>
        <v>1</v>
      </c>
      <c r="AD1673" s="81" t="str">
        <f>IF(X1673=2,HLOOKUP(R1673,データについて!$J$12:$M$18,7,FALSE),"*")</f>
        <v>*</v>
      </c>
    </row>
    <row r="1674" spans="1:30">
      <c r="A1674" s="30">
        <v>3518</v>
      </c>
      <c r="B1674" s="30" t="s">
        <v>1458</v>
      </c>
      <c r="C1674" s="30" t="s">
        <v>1459</v>
      </c>
      <c r="D1674" s="30" t="s">
        <v>106</v>
      </c>
      <c r="E1674" s="30"/>
      <c r="F1674" s="30" t="s">
        <v>107</v>
      </c>
      <c r="G1674" s="30" t="s">
        <v>106</v>
      </c>
      <c r="H1674" s="30"/>
      <c r="I1674" s="30" t="s">
        <v>192</v>
      </c>
      <c r="J1674" s="30" t="s">
        <v>942</v>
      </c>
      <c r="K1674" s="30"/>
      <c r="L1674" s="30" t="s">
        <v>117</v>
      </c>
      <c r="M1674" s="30" t="s">
        <v>113</v>
      </c>
      <c r="N1674" s="30" t="s">
        <v>122</v>
      </c>
      <c r="O1674" s="30" t="s">
        <v>115</v>
      </c>
      <c r="P1674" s="30" t="s">
        <v>112</v>
      </c>
      <c r="Q1674" s="30" t="s">
        <v>118</v>
      </c>
      <c r="R1674" s="30" t="s">
        <v>185</v>
      </c>
      <c r="S1674" s="81">
        <f>HLOOKUP(L1674,データについて!$J$6:$M$18,13,FALSE)</f>
        <v>2</v>
      </c>
      <c r="T1674" s="81">
        <f>HLOOKUP(M1674,データについて!$J$7:$M$18,12,FALSE)</f>
        <v>1</v>
      </c>
      <c r="U1674" s="81">
        <f>HLOOKUP(N1674,データについて!$J$8:$M$18,11,FALSE)</f>
        <v>3</v>
      </c>
      <c r="V1674" s="81">
        <f>HLOOKUP(O1674,データについて!$J$9:$M$18,10,FALSE)</f>
        <v>1</v>
      </c>
      <c r="W1674" s="81">
        <f>HLOOKUP(P1674,データについて!$J$10:$M$18,9,FALSE)</f>
        <v>1</v>
      </c>
      <c r="X1674" s="81">
        <f>HLOOKUP(Q1674,データについて!$J$11:$M$18,8,FALSE)</f>
        <v>2</v>
      </c>
      <c r="Y1674" s="81">
        <f>HLOOKUP(R1674,データについて!$J$12:$M$18,7,FALSE)</f>
        <v>2</v>
      </c>
      <c r="Z1674" s="81">
        <f>HLOOKUP(I1674,データについて!$J$3:$M$18,16,FALSE)</f>
        <v>1</v>
      </c>
      <c r="AA1674" s="81">
        <f>IFERROR(HLOOKUP(J1674,データについて!$J$4:$AH$19,16,FALSE),"")</f>
        <v>7</v>
      </c>
      <c r="AB1674" s="81" t="str">
        <f>IFERROR(HLOOKUP(K1674,データについて!$J$5:$AH$20,14,FALSE),"")</f>
        <v/>
      </c>
      <c r="AC1674" s="81" t="str">
        <f>IF(X1674=1,HLOOKUP(R1674,データについて!$J$12:$M$18,7,FALSE),"*")</f>
        <v>*</v>
      </c>
      <c r="AD1674" s="81">
        <f>IF(X1674=2,HLOOKUP(R1674,データについて!$J$12:$M$18,7,FALSE),"*")</f>
        <v>2</v>
      </c>
    </row>
    <row r="1675" spans="1:30">
      <c r="A1675" s="30">
        <v>3517</v>
      </c>
      <c r="B1675" s="30" t="s">
        <v>1460</v>
      </c>
      <c r="C1675" s="30" t="s">
        <v>1461</v>
      </c>
      <c r="D1675" s="30" t="s">
        <v>106</v>
      </c>
      <c r="E1675" s="30"/>
      <c r="F1675" s="30" t="s">
        <v>107</v>
      </c>
      <c r="G1675" s="30" t="s">
        <v>106</v>
      </c>
      <c r="H1675" s="30"/>
      <c r="I1675" s="30" t="s">
        <v>192</v>
      </c>
      <c r="J1675" s="30" t="s">
        <v>128</v>
      </c>
      <c r="K1675" s="30"/>
      <c r="L1675" s="30" t="s">
        <v>108</v>
      </c>
      <c r="M1675" s="30" t="s">
        <v>113</v>
      </c>
      <c r="N1675" s="30" t="s">
        <v>114</v>
      </c>
      <c r="O1675" s="30" t="s">
        <v>115</v>
      </c>
      <c r="P1675" s="30" t="s">
        <v>112</v>
      </c>
      <c r="Q1675" s="30" t="s">
        <v>112</v>
      </c>
      <c r="R1675" s="30" t="s">
        <v>185</v>
      </c>
      <c r="S1675" s="81">
        <f>HLOOKUP(L1675,データについて!$J$6:$M$18,13,FALSE)</f>
        <v>1</v>
      </c>
      <c r="T1675" s="81">
        <f>HLOOKUP(M1675,データについて!$J$7:$M$18,12,FALSE)</f>
        <v>1</v>
      </c>
      <c r="U1675" s="81">
        <f>HLOOKUP(N1675,データについて!$J$8:$M$18,11,FALSE)</f>
        <v>1</v>
      </c>
      <c r="V1675" s="81">
        <f>HLOOKUP(O1675,データについて!$J$9:$M$18,10,FALSE)</f>
        <v>1</v>
      </c>
      <c r="W1675" s="81">
        <f>HLOOKUP(P1675,データについて!$J$10:$M$18,9,FALSE)</f>
        <v>1</v>
      </c>
      <c r="X1675" s="81">
        <f>HLOOKUP(Q1675,データについて!$J$11:$M$18,8,FALSE)</f>
        <v>1</v>
      </c>
      <c r="Y1675" s="81">
        <f>HLOOKUP(R1675,データについて!$J$12:$M$18,7,FALSE)</f>
        <v>2</v>
      </c>
      <c r="Z1675" s="81">
        <f>HLOOKUP(I1675,データについて!$J$3:$M$18,16,FALSE)</f>
        <v>1</v>
      </c>
      <c r="AA1675" s="81">
        <f>IFERROR(HLOOKUP(J1675,データについて!$J$4:$AH$19,16,FALSE),"")</f>
        <v>1</v>
      </c>
      <c r="AB1675" s="81" t="str">
        <f>IFERROR(HLOOKUP(K1675,データについて!$J$5:$AH$20,14,FALSE),"")</f>
        <v/>
      </c>
      <c r="AC1675" s="81">
        <f>IF(X1675=1,HLOOKUP(R1675,データについて!$J$12:$M$18,7,FALSE),"*")</f>
        <v>2</v>
      </c>
      <c r="AD1675" s="81" t="str">
        <f>IF(X1675=2,HLOOKUP(R1675,データについて!$J$12:$M$18,7,FALSE),"*")</f>
        <v>*</v>
      </c>
    </row>
    <row r="1676" spans="1:30">
      <c r="A1676" s="30">
        <v>3516</v>
      </c>
      <c r="B1676" s="30" t="s">
        <v>1462</v>
      </c>
      <c r="C1676" s="30" t="s">
        <v>1463</v>
      </c>
      <c r="D1676" s="30" t="s">
        <v>106</v>
      </c>
      <c r="E1676" s="30"/>
      <c r="F1676" s="30" t="s">
        <v>107</v>
      </c>
      <c r="G1676" s="30" t="s">
        <v>106</v>
      </c>
      <c r="H1676" s="30"/>
      <c r="I1676" s="30" t="s">
        <v>192</v>
      </c>
      <c r="J1676" s="30" t="s">
        <v>942</v>
      </c>
      <c r="K1676" s="30"/>
      <c r="L1676" s="30" t="s">
        <v>117</v>
      </c>
      <c r="M1676" s="30" t="s">
        <v>109</v>
      </c>
      <c r="N1676" s="30" t="s">
        <v>114</v>
      </c>
      <c r="O1676" s="30" t="s">
        <v>115</v>
      </c>
      <c r="P1676" s="30" t="s">
        <v>112</v>
      </c>
      <c r="Q1676" s="30" t="s">
        <v>112</v>
      </c>
      <c r="R1676" s="30" t="s">
        <v>187</v>
      </c>
      <c r="S1676" s="81">
        <f>HLOOKUP(L1676,データについて!$J$6:$M$18,13,FALSE)</f>
        <v>2</v>
      </c>
      <c r="T1676" s="81">
        <f>HLOOKUP(M1676,データについて!$J$7:$M$18,12,FALSE)</f>
        <v>2</v>
      </c>
      <c r="U1676" s="81">
        <f>HLOOKUP(N1676,データについて!$J$8:$M$18,11,FALSE)</f>
        <v>1</v>
      </c>
      <c r="V1676" s="81">
        <f>HLOOKUP(O1676,データについて!$J$9:$M$18,10,FALSE)</f>
        <v>1</v>
      </c>
      <c r="W1676" s="81">
        <f>HLOOKUP(P1676,データについて!$J$10:$M$18,9,FALSE)</f>
        <v>1</v>
      </c>
      <c r="X1676" s="81">
        <f>HLOOKUP(Q1676,データについて!$J$11:$M$18,8,FALSE)</f>
        <v>1</v>
      </c>
      <c r="Y1676" s="81">
        <f>HLOOKUP(R1676,データについて!$J$12:$M$18,7,FALSE)</f>
        <v>3</v>
      </c>
      <c r="Z1676" s="81">
        <f>HLOOKUP(I1676,データについて!$J$3:$M$18,16,FALSE)</f>
        <v>1</v>
      </c>
      <c r="AA1676" s="81">
        <f>IFERROR(HLOOKUP(J1676,データについて!$J$4:$AH$19,16,FALSE),"")</f>
        <v>7</v>
      </c>
      <c r="AB1676" s="81" t="str">
        <f>IFERROR(HLOOKUP(K1676,データについて!$J$5:$AH$20,14,FALSE),"")</f>
        <v/>
      </c>
      <c r="AC1676" s="81">
        <f>IF(X1676=1,HLOOKUP(R1676,データについて!$J$12:$M$18,7,FALSE),"*")</f>
        <v>3</v>
      </c>
      <c r="AD1676" s="81" t="str">
        <f>IF(X1676=2,HLOOKUP(R1676,データについて!$J$12:$M$18,7,FALSE),"*")</f>
        <v>*</v>
      </c>
    </row>
    <row r="1677" spans="1:30">
      <c r="A1677" s="30">
        <v>3515</v>
      </c>
      <c r="B1677" s="30" t="s">
        <v>1464</v>
      </c>
      <c r="C1677" s="30" t="s">
        <v>1465</v>
      </c>
      <c r="D1677" s="30" t="s">
        <v>106</v>
      </c>
      <c r="E1677" s="30"/>
      <c r="F1677" s="30" t="s">
        <v>107</v>
      </c>
      <c r="G1677" s="30" t="s">
        <v>106</v>
      </c>
      <c r="H1677" s="30"/>
      <c r="I1677" s="30" t="s">
        <v>192</v>
      </c>
      <c r="J1677" s="30" t="s">
        <v>942</v>
      </c>
      <c r="K1677" s="30"/>
      <c r="L1677" s="30" t="s">
        <v>117</v>
      </c>
      <c r="M1677" s="30" t="s">
        <v>113</v>
      </c>
      <c r="N1677" s="30" t="s">
        <v>122</v>
      </c>
      <c r="O1677" s="30" t="s">
        <v>115</v>
      </c>
      <c r="P1677" s="30" t="s">
        <v>112</v>
      </c>
      <c r="Q1677" s="30" t="s">
        <v>118</v>
      </c>
      <c r="R1677" s="30" t="s">
        <v>185</v>
      </c>
      <c r="S1677" s="81">
        <f>HLOOKUP(L1677,データについて!$J$6:$M$18,13,FALSE)</f>
        <v>2</v>
      </c>
      <c r="T1677" s="81">
        <f>HLOOKUP(M1677,データについて!$J$7:$M$18,12,FALSE)</f>
        <v>1</v>
      </c>
      <c r="U1677" s="81">
        <f>HLOOKUP(N1677,データについて!$J$8:$M$18,11,FALSE)</f>
        <v>3</v>
      </c>
      <c r="V1677" s="81">
        <f>HLOOKUP(O1677,データについて!$J$9:$M$18,10,FALSE)</f>
        <v>1</v>
      </c>
      <c r="W1677" s="81">
        <f>HLOOKUP(P1677,データについて!$J$10:$M$18,9,FALSE)</f>
        <v>1</v>
      </c>
      <c r="X1677" s="81">
        <f>HLOOKUP(Q1677,データについて!$J$11:$M$18,8,FALSE)</f>
        <v>2</v>
      </c>
      <c r="Y1677" s="81">
        <f>HLOOKUP(R1677,データについて!$J$12:$M$18,7,FALSE)</f>
        <v>2</v>
      </c>
      <c r="Z1677" s="81">
        <f>HLOOKUP(I1677,データについて!$J$3:$M$18,16,FALSE)</f>
        <v>1</v>
      </c>
      <c r="AA1677" s="81">
        <f>IFERROR(HLOOKUP(J1677,データについて!$J$4:$AH$19,16,FALSE),"")</f>
        <v>7</v>
      </c>
      <c r="AB1677" s="81" t="str">
        <f>IFERROR(HLOOKUP(K1677,データについて!$J$5:$AH$20,14,FALSE),"")</f>
        <v/>
      </c>
      <c r="AC1677" s="81" t="str">
        <f>IF(X1677=1,HLOOKUP(R1677,データについて!$J$12:$M$18,7,FALSE),"*")</f>
        <v>*</v>
      </c>
      <c r="AD1677" s="81">
        <f>IF(X1677=2,HLOOKUP(R1677,データについて!$J$12:$M$18,7,FALSE),"*")</f>
        <v>2</v>
      </c>
    </row>
    <row r="1678" spans="1:30">
      <c r="A1678" s="30">
        <v>3514</v>
      </c>
      <c r="B1678" s="30" t="s">
        <v>1466</v>
      </c>
      <c r="C1678" s="30" t="s">
        <v>1467</v>
      </c>
      <c r="D1678" s="30" t="s">
        <v>106</v>
      </c>
      <c r="E1678" s="30"/>
      <c r="F1678" s="30" t="s">
        <v>107</v>
      </c>
      <c r="G1678" s="30" t="s">
        <v>106</v>
      </c>
      <c r="H1678" s="30"/>
      <c r="I1678" s="30" t="s">
        <v>192</v>
      </c>
      <c r="J1678" s="30" t="s">
        <v>942</v>
      </c>
      <c r="K1678" s="30"/>
      <c r="L1678" s="30" t="s">
        <v>117</v>
      </c>
      <c r="M1678" s="30" t="s">
        <v>109</v>
      </c>
      <c r="N1678" s="30" t="s">
        <v>114</v>
      </c>
      <c r="O1678" s="30" t="s">
        <v>115</v>
      </c>
      <c r="P1678" s="30" t="s">
        <v>112</v>
      </c>
      <c r="Q1678" s="30" t="s">
        <v>112</v>
      </c>
      <c r="R1678" s="30" t="s">
        <v>187</v>
      </c>
      <c r="S1678" s="81">
        <f>HLOOKUP(L1678,データについて!$J$6:$M$18,13,FALSE)</f>
        <v>2</v>
      </c>
      <c r="T1678" s="81">
        <f>HLOOKUP(M1678,データについて!$J$7:$M$18,12,FALSE)</f>
        <v>2</v>
      </c>
      <c r="U1678" s="81">
        <f>HLOOKUP(N1678,データについて!$J$8:$M$18,11,FALSE)</f>
        <v>1</v>
      </c>
      <c r="V1678" s="81">
        <f>HLOOKUP(O1678,データについて!$J$9:$M$18,10,FALSE)</f>
        <v>1</v>
      </c>
      <c r="W1678" s="81">
        <f>HLOOKUP(P1678,データについて!$J$10:$M$18,9,FALSE)</f>
        <v>1</v>
      </c>
      <c r="X1678" s="81">
        <f>HLOOKUP(Q1678,データについて!$J$11:$M$18,8,FALSE)</f>
        <v>1</v>
      </c>
      <c r="Y1678" s="81">
        <f>HLOOKUP(R1678,データについて!$J$12:$M$18,7,FALSE)</f>
        <v>3</v>
      </c>
      <c r="Z1678" s="81">
        <f>HLOOKUP(I1678,データについて!$J$3:$M$18,16,FALSE)</f>
        <v>1</v>
      </c>
      <c r="AA1678" s="81">
        <f>IFERROR(HLOOKUP(J1678,データについて!$J$4:$AH$19,16,FALSE),"")</f>
        <v>7</v>
      </c>
      <c r="AB1678" s="81" t="str">
        <f>IFERROR(HLOOKUP(K1678,データについて!$J$5:$AH$20,14,FALSE),"")</f>
        <v/>
      </c>
      <c r="AC1678" s="81">
        <f>IF(X1678=1,HLOOKUP(R1678,データについて!$J$12:$M$18,7,FALSE),"*")</f>
        <v>3</v>
      </c>
      <c r="AD1678" s="81" t="str">
        <f>IF(X1678=2,HLOOKUP(R1678,データについて!$J$12:$M$18,7,FALSE),"*")</f>
        <v>*</v>
      </c>
    </row>
    <row r="1679" spans="1:30">
      <c r="A1679" s="30">
        <v>3513</v>
      </c>
      <c r="B1679" s="30" t="s">
        <v>1468</v>
      </c>
      <c r="C1679" s="30" t="s">
        <v>1469</v>
      </c>
      <c r="D1679" s="30" t="s">
        <v>106</v>
      </c>
      <c r="E1679" s="30"/>
      <c r="F1679" s="30" t="s">
        <v>107</v>
      </c>
      <c r="G1679" s="30" t="s">
        <v>106</v>
      </c>
      <c r="H1679" s="30"/>
      <c r="I1679" s="30" t="s">
        <v>192</v>
      </c>
      <c r="J1679" s="30" t="s">
        <v>942</v>
      </c>
      <c r="K1679" s="30"/>
      <c r="L1679" s="30" t="s">
        <v>108</v>
      </c>
      <c r="M1679" s="30" t="s">
        <v>113</v>
      </c>
      <c r="N1679" s="30" t="s">
        <v>110</v>
      </c>
      <c r="O1679" s="30" t="s">
        <v>115</v>
      </c>
      <c r="P1679" s="30" t="s">
        <v>112</v>
      </c>
      <c r="Q1679" s="30" t="s">
        <v>118</v>
      </c>
      <c r="R1679" s="30" t="s">
        <v>187</v>
      </c>
      <c r="S1679" s="81">
        <f>HLOOKUP(L1679,データについて!$J$6:$M$18,13,FALSE)</f>
        <v>1</v>
      </c>
      <c r="T1679" s="81">
        <f>HLOOKUP(M1679,データについて!$J$7:$M$18,12,FALSE)</f>
        <v>1</v>
      </c>
      <c r="U1679" s="81">
        <f>HLOOKUP(N1679,データについて!$J$8:$M$18,11,FALSE)</f>
        <v>2</v>
      </c>
      <c r="V1679" s="81">
        <f>HLOOKUP(O1679,データについて!$J$9:$M$18,10,FALSE)</f>
        <v>1</v>
      </c>
      <c r="W1679" s="81">
        <f>HLOOKUP(P1679,データについて!$J$10:$M$18,9,FALSE)</f>
        <v>1</v>
      </c>
      <c r="X1679" s="81">
        <f>HLOOKUP(Q1679,データについて!$J$11:$M$18,8,FALSE)</f>
        <v>2</v>
      </c>
      <c r="Y1679" s="81">
        <f>HLOOKUP(R1679,データについて!$J$12:$M$18,7,FALSE)</f>
        <v>3</v>
      </c>
      <c r="Z1679" s="81">
        <f>HLOOKUP(I1679,データについて!$J$3:$M$18,16,FALSE)</f>
        <v>1</v>
      </c>
      <c r="AA1679" s="81">
        <f>IFERROR(HLOOKUP(J1679,データについて!$J$4:$AH$19,16,FALSE),"")</f>
        <v>7</v>
      </c>
      <c r="AB1679" s="81" t="str">
        <f>IFERROR(HLOOKUP(K1679,データについて!$J$5:$AH$20,14,FALSE),"")</f>
        <v/>
      </c>
      <c r="AC1679" s="81" t="str">
        <f>IF(X1679=1,HLOOKUP(R1679,データについて!$J$12:$M$18,7,FALSE),"*")</f>
        <v>*</v>
      </c>
      <c r="AD1679" s="81">
        <f>IF(X1679=2,HLOOKUP(R1679,データについて!$J$12:$M$18,7,FALSE),"*")</f>
        <v>3</v>
      </c>
    </row>
    <row r="1680" spans="1:30">
      <c r="A1680" s="30">
        <v>3512</v>
      </c>
      <c r="B1680" s="30" t="s">
        <v>1470</v>
      </c>
      <c r="C1680" s="30" t="s">
        <v>1471</v>
      </c>
      <c r="D1680" s="30" t="s">
        <v>106</v>
      </c>
      <c r="E1680" s="30"/>
      <c r="F1680" s="30" t="s">
        <v>107</v>
      </c>
      <c r="G1680" s="30" t="s">
        <v>106</v>
      </c>
      <c r="H1680" s="30"/>
      <c r="I1680" s="30" t="s">
        <v>192</v>
      </c>
      <c r="J1680" s="30" t="s">
        <v>942</v>
      </c>
      <c r="K1680" s="30"/>
      <c r="L1680" s="30" t="s">
        <v>117</v>
      </c>
      <c r="M1680" s="30" t="s">
        <v>124</v>
      </c>
      <c r="N1680" s="30" t="s">
        <v>119</v>
      </c>
      <c r="O1680" s="30" t="s">
        <v>115</v>
      </c>
      <c r="P1680" s="30" t="s">
        <v>112</v>
      </c>
      <c r="Q1680" s="30" t="s">
        <v>112</v>
      </c>
      <c r="R1680" s="30" t="s">
        <v>187</v>
      </c>
      <c r="S1680" s="81">
        <f>HLOOKUP(L1680,データについて!$J$6:$M$18,13,FALSE)</f>
        <v>2</v>
      </c>
      <c r="T1680" s="81">
        <f>HLOOKUP(M1680,データについて!$J$7:$M$18,12,FALSE)</f>
        <v>3</v>
      </c>
      <c r="U1680" s="81">
        <f>HLOOKUP(N1680,データについて!$J$8:$M$18,11,FALSE)</f>
        <v>4</v>
      </c>
      <c r="V1680" s="81">
        <f>HLOOKUP(O1680,データについて!$J$9:$M$18,10,FALSE)</f>
        <v>1</v>
      </c>
      <c r="W1680" s="81">
        <f>HLOOKUP(P1680,データについて!$J$10:$M$18,9,FALSE)</f>
        <v>1</v>
      </c>
      <c r="X1680" s="81">
        <f>HLOOKUP(Q1680,データについて!$J$11:$M$18,8,FALSE)</f>
        <v>1</v>
      </c>
      <c r="Y1680" s="81">
        <f>HLOOKUP(R1680,データについて!$J$12:$M$18,7,FALSE)</f>
        <v>3</v>
      </c>
      <c r="Z1680" s="81">
        <f>HLOOKUP(I1680,データについて!$J$3:$M$18,16,FALSE)</f>
        <v>1</v>
      </c>
      <c r="AA1680" s="81">
        <f>IFERROR(HLOOKUP(J1680,データについて!$J$4:$AH$19,16,FALSE),"")</f>
        <v>7</v>
      </c>
      <c r="AB1680" s="81" t="str">
        <f>IFERROR(HLOOKUP(K1680,データについて!$J$5:$AH$20,14,FALSE),"")</f>
        <v/>
      </c>
      <c r="AC1680" s="81">
        <f>IF(X1680=1,HLOOKUP(R1680,データについて!$J$12:$M$18,7,FALSE),"*")</f>
        <v>3</v>
      </c>
      <c r="AD1680" s="81" t="str">
        <f>IF(X1680=2,HLOOKUP(R1680,データについて!$J$12:$M$18,7,FALSE),"*")</f>
        <v>*</v>
      </c>
    </row>
    <row r="1681" spans="1:30">
      <c r="A1681" s="30">
        <v>3511</v>
      </c>
      <c r="B1681" s="30" t="s">
        <v>1472</v>
      </c>
      <c r="C1681" s="30" t="s">
        <v>1473</v>
      </c>
      <c r="D1681" s="30" t="s">
        <v>106</v>
      </c>
      <c r="E1681" s="30"/>
      <c r="F1681" s="30" t="s">
        <v>107</v>
      </c>
      <c r="G1681" s="30" t="s">
        <v>106</v>
      </c>
      <c r="H1681" s="30"/>
      <c r="I1681" s="30" t="s">
        <v>192</v>
      </c>
      <c r="J1681" s="30" t="s">
        <v>128</v>
      </c>
      <c r="K1681" s="30"/>
      <c r="L1681" s="30" t="s">
        <v>108</v>
      </c>
      <c r="M1681" s="30" t="s">
        <v>113</v>
      </c>
      <c r="N1681" s="30" t="s">
        <v>114</v>
      </c>
      <c r="O1681" s="30" t="s">
        <v>115</v>
      </c>
      <c r="P1681" s="30" t="s">
        <v>112</v>
      </c>
      <c r="Q1681" s="30" t="s">
        <v>112</v>
      </c>
      <c r="R1681" s="30" t="s">
        <v>185</v>
      </c>
      <c r="S1681" s="81">
        <f>HLOOKUP(L1681,データについて!$J$6:$M$18,13,FALSE)</f>
        <v>1</v>
      </c>
      <c r="T1681" s="81">
        <f>HLOOKUP(M1681,データについて!$J$7:$M$18,12,FALSE)</f>
        <v>1</v>
      </c>
      <c r="U1681" s="81">
        <f>HLOOKUP(N1681,データについて!$J$8:$M$18,11,FALSE)</f>
        <v>1</v>
      </c>
      <c r="V1681" s="81">
        <f>HLOOKUP(O1681,データについて!$J$9:$M$18,10,FALSE)</f>
        <v>1</v>
      </c>
      <c r="W1681" s="81">
        <f>HLOOKUP(P1681,データについて!$J$10:$M$18,9,FALSE)</f>
        <v>1</v>
      </c>
      <c r="X1681" s="81">
        <f>HLOOKUP(Q1681,データについて!$J$11:$M$18,8,FALSE)</f>
        <v>1</v>
      </c>
      <c r="Y1681" s="81">
        <f>HLOOKUP(R1681,データについて!$J$12:$M$18,7,FALSE)</f>
        <v>2</v>
      </c>
      <c r="Z1681" s="81">
        <f>HLOOKUP(I1681,データについて!$J$3:$M$18,16,FALSE)</f>
        <v>1</v>
      </c>
      <c r="AA1681" s="81">
        <f>IFERROR(HLOOKUP(J1681,データについて!$J$4:$AH$19,16,FALSE),"")</f>
        <v>1</v>
      </c>
      <c r="AB1681" s="81" t="str">
        <f>IFERROR(HLOOKUP(K1681,データについて!$J$5:$AH$20,14,FALSE),"")</f>
        <v/>
      </c>
      <c r="AC1681" s="81">
        <f>IF(X1681=1,HLOOKUP(R1681,データについて!$J$12:$M$18,7,FALSE),"*")</f>
        <v>2</v>
      </c>
      <c r="AD1681" s="81" t="str">
        <f>IF(X1681=2,HLOOKUP(R1681,データについて!$J$12:$M$18,7,FALSE),"*")</f>
        <v>*</v>
      </c>
    </row>
    <row r="1682" spans="1:30">
      <c r="A1682" s="30">
        <v>3510</v>
      </c>
      <c r="B1682" s="30" t="s">
        <v>1474</v>
      </c>
      <c r="C1682" s="30" t="s">
        <v>1475</v>
      </c>
      <c r="D1682" s="30" t="s">
        <v>106</v>
      </c>
      <c r="E1682" s="30"/>
      <c r="F1682" s="30" t="s">
        <v>107</v>
      </c>
      <c r="G1682" s="30" t="s">
        <v>106</v>
      </c>
      <c r="H1682" s="30"/>
      <c r="I1682" s="30" t="s">
        <v>192</v>
      </c>
      <c r="J1682" s="30" t="s">
        <v>942</v>
      </c>
      <c r="K1682" s="30"/>
      <c r="L1682" s="30" t="s">
        <v>117</v>
      </c>
      <c r="M1682" s="30" t="s">
        <v>113</v>
      </c>
      <c r="N1682" s="30" t="s">
        <v>110</v>
      </c>
      <c r="O1682" s="30" t="s">
        <v>115</v>
      </c>
      <c r="P1682" s="30" t="s">
        <v>112</v>
      </c>
      <c r="Q1682" s="30" t="s">
        <v>112</v>
      </c>
      <c r="R1682" s="30" t="s">
        <v>185</v>
      </c>
      <c r="S1682" s="81">
        <f>HLOOKUP(L1682,データについて!$J$6:$M$18,13,FALSE)</f>
        <v>2</v>
      </c>
      <c r="T1682" s="81">
        <f>HLOOKUP(M1682,データについて!$J$7:$M$18,12,FALSE)</f>
        <v>1</v>
      </c>
      <c r="U1682" s="81">
        <f>HLOOKUP(N1682,データについて!$J$8:$M$18,11,FALSE)</f>
        <v>2</v>
      </c>
      <c r="V1682" s="81">
        <f>HLOOKUP(O1682,データについて!$J$9:$M$18,10,FALSE)</f>
        <v>1</v>
      </c>
      <c r="W1682" s="81">
        <f>HLOOKUP(P1682,データについて!$J$10:$M$18,9,FALSE)</f>
        <v>1</v>
      </c>
      <c r="X1682" s="81">
        <f>HLOOKUP(Q1682,データについて!$J$11:$M$18,8,FALSE)</f>
        <v>1</v>
      </c>
      <c r="Y1682" s="81">
        <f>HLOOKUP(R1682,データについて!$J$12:$M$18,7,FALSE)</f>
        <v>2</v>
      </c>
      <c r="Z1682" s="81">
        <f>HLOOKUP(I1682,データについて!$J$3:$M$18,16,FALSE)</f>
        <v>1</v>
      </c>
      <c r="AA1682" s="81">
        <f>IFERROR(HLOOKUP(J1682,データについて!$J$4:$AH$19,16,FALSE),"")</f>
        <v>7</v>
      </c>
      <c r="AB1682" s="81" t="str">
        <f>IFERROR(HLOOKUP(K1682,データについて!$J$5:$AH$20,14,FALSE),"")</f>
        <v/>
      </c>
      <c r="AC1682" s="81">
        <f>IF(X1682=1,HLOOKUP(R1682,データについて!$J$12:$M$18,7,FALSE),"*")</f>
        <v>2</v>
      </c>
      <c r="AD1682" s="81" t="str">
        <f>IF(X1682=2,HLOOKUP(R1682,データについて!$J$12:$M$18,7,FALSE),"*")</f>
        <v>*</v>
      </c>
    </row>
    <row r="1683" spans="1:30">
      <c r="A1683" s="30">
        <v>3509</v>
      </c>
      <c r="B1683" s="30" t="s">
        <v>1476</v>
      </c>
      <c r="C1683" s="30" t="s">
        <v>1477</v>
      </c>
      <c r="D1683" s="30" t="s">
        <v>106</v>
      </c>
      <c r="E1683" s="30"/>
      <c r="F1683" s="30" t="s">
        <v>107</v>
      </c>
      <c r="G1683" s="30" t="s">
        <v>106</v>
      </c>
      <c r="H1683" s="30"/>
      <c r="I1683" s="30" t="s">
        <v>192</v>
      </c>
      <c r="J1683" s="30" t="s">
        <v>942</v>
      </c>
      <c r="K1683" s="30"/>
      <c r="L1683" s="30" t="s">
        <v>108</v>
      </c>
      <c r="M1683" s="30" t="s">
        <v>124</v>
      </c>
      <c r="N1683" s="30" t="s">
        <v>110</v>
      </c>
      <c r="O1683" s="30" t="s">
        <v>115</v>
      </c>
      <c r="P1683" s="30" t="s">
        <v>112</v>
      </c>
      <c r="Q1683" s="30" t="s">
        <v>112</v>
      </c>
      <c r="R1683" s="30" t="s">
        <v>183</v>
      </c>
      <c r="S1683" s="81">
        <f>HLOOKUP(L1683,データについて!$J$6:$M$18,13,FALSE)</f>
        <v>1</v>
      </c>
      <c r="T1683" s="81">
        <f>HLOOKUP(M1683,データについて!$J$7:$M$18,12,FALSE)</f>
        <v>3</v>
      </c>
      <c r="U1683" s="81">
        <f>HLOOKUP(N1683,データについて!$J$8:$M$18,11,FALSE)</f>
        <v>2</v>
      </c>
      <c r="V1683" s="81">
        <f>HLOOKUP(O1683,データについて!$J$9:$M$18,10,FALSE)</f>
        <v>1</v>
      </c>
      <c r="W1683" s="81">
        <f>HLOOKUP(P1683,データについて!$J$10:$M$18,9,FALSE)</f>
        <v>1</v>
      </c>
      <c r="X1683" s="81">
        <f>HLOOKUP(Q1683,データについて!$J$11:$M$18,8,FALSE)</f>
        <v>1</v>
      </c>
      <c r="Y1683" s="81">
        <f>HLOOKUP(R1683,データについて!$J$12:$M$18,7,FALSE)</f>
        <v>1</v>
      </c>
      <c r="Z1683" s="81">
        <f>HLOOKUP(I1683,データについて!$J$3:$M$18,16,FALSE)</f>
        <v>1</v>
      </c>
      <c r="AA1683" s="81">
        <f>IFERROR(HLOOKUP(J1683,データについて!$J$4:$AH$19,16,FALSE),"")</f>
        <v>7</v>
      </c>
      <c r="AB1683" s="81" t="str">
        <f>IFERROR(HLOOKUP(K1683,データについて!$J$5:$AH$20,14,FALSE),"")</f>
        <v/>
      </c>
      <c r="AC1683" s="81">
        <f>IF(X1683=1,HLOOKUP(R1683,データについて!$J$12:$M$18,7,FALSE),"*")</f>
        <v>1</v>
      </c>
      <c r="AD1683" s="81" t="str">
        <f>IF(X1683=2,HLOOKUP(R1683,データについて!$J$12:$M$18,7,FALSE),"*")</f>
        <v>*</v>
      </c>
    </row>
    <row r="1684" spans="1:30">
      <c r="A1684" s="30">
        <v>3508</v>
      </c>
      <c r="B1684" s="30" t="s">
        <v>1478</v>
      </c>
      <c r="C1684" s="30" t="s">
        <v>1479</v>
      </c>
      <c r="D1684" s="30" t="s">
        <v>106</v>
      </c>
      <c r="E1684" s="30"/>
      <c r="F1684" s="30" t="s">
        <v>107</v>
      </c>
      <c r="G1684" s="30" t="s">
        <v>106</v>
      </c>
      <c r="H1684" s="30"/>
      <c r="I1684" s="30" t="s">
        <v>192</v>
      </c>
      <c r="J1684" s="30" t="s">
        <v>942</v>
      </c>
      <c r="K1684" s="30"/>
      <c r="L1684" s="30" t="s">
        <v>117</v>
      </c>
      <c r="M1684" s="30" t="s">
        <v>113</v>
      </c>
      <c r="N1684" s="30" t="s">
        <v>114</v>
      </c>
      <c r="O1684" s="30" t="s">
        <v>115</v>
      </c>
      <c r="P1684" s="30" t="s">
        <v>112</v>
      </c>
      <c r="Q1684" s="30" t="s">
        <v>112</v>
      </c>
      <c r="R1684" s="30" t="s">
        <v>183</v>
      </c>
      <c r="S1684" s="81">
        <f>HLOOKUP(L1684,データについて!$J$6:$M$18,13,FALSE)</f>
        <v>2</v>
      </c>
      <c r="T1684" s="81">
        <f>HLOOKUP(M1684,データについて!$J$7:$M$18,12,FALSE)</f>
        <v>1</v>
      </c>
      <c r="U1684" s="81">
        <f>HLOOKUP(N1684,データについて!$J$8:$M$18,11,FALSE)</f>
        <v>1</v>
      </c>
      <c r="V1684" s="81">
        <f>HLOOKUP(O1684,データについて!$J$9:$M$18,10,FALSE)</f>
        <v>1</v>
      </c>
      <c r="W1684" s="81">
        <f>HLOOKUP(P1684,データについて!$J$10:$M$18,9,FALSE)</f>
        <v>1</v>
      </c>
      <c r="X1684" s="81">
        <f>HLOOKUP(Q1684,データについて!$J$11:$M$18,8,FALSE)</f>
        <v>1</v>
      </c>
      <c r="Y1684" s="81">
        <f>HLOOKUP(R1684,データについて!$J$12:$M$18,7,FALSE)</f>
        <v>1</v>
      </c>
      <c r="Z1684" s="81">
        <f>HLOOKUP(I1684,データについて!$J$3:$M$18,16,FALSE)</f>
        <v>1</v>
      </c>
      <c r="AA1684" s="81">
        <f>IFERROR(HLOOKUP(J1684,データについて!$J$4:$AH$19,16,FALSE),"")</f>
        <v>7</v>
      </c>
      <c r="AB1684" s="81" t="str">
        <f>IFERROR(HLOOKUP(K1684,データについて!$J$5:$AH$20,14,FALSE),"")</f>
        <v/>
      </c>
      <c r="AC1684" s="81">
        <f>IF(X1684=1,HLOOKUP(R1684,データについて!$J$12:$M$18,7,FALSE),"*")</f>
        <v>1</v>
      </c>
      <c r="AD1684" s="81" t="str">
        <f>IF(X1684=2,HLOOKUP(R1684,データについて!$J$12:$M$18,7,FALSE),"*")</f>
        <v>*</v>
      </c>
    </row>
    <row r="1685" spans="1:30">
      <c r="A1685" s="30">
        <v>3507</v>
      </c>
      <c r="B1685" s="30" t="s">
        <v>1480</v>
      </c>
      <c r="C1685" s="30" t="s">
        <v>1481</v>
      </c>
      <c r="D1685" s="30" t="s">
        <v>106</v>
      </c>
      <c r="E1685" s="30"/>
      <c r="F1685" s="30" t="s">
        <v>107</v>
      </c>
      <c r="G1685" s="30" t="s">
        <v>106</v>
      </c>
      <c r="H1685" s="30"/>
      <c r="I1685" s="30" t="s">
        <v>192</v>
      </c>
      <c r="J1685" s="30" t="s">
        <v>942</v>
      </c>
      <c r="K1685" s="30"/>
      <c r="L1685" s="30" t="s">
        <v>117</v>
      </c>
      <c r="M1685" s="30" t="s">
        <v>113</v>
      </c>
      <c r="N1685" s="30" t="s">
        <v>110</v>
      </c>
      <c r="O1685" s="30" t="s">
        <v>115</v>
      </c>
      <c r="P1685" s="30" t="s">
        <v>112</v>
      </c>
      <c r="Q1685" s="30" t="s">
        <v>112</v>
      </c>
      <c r="R1685" s="30" t="s">
        <v>183</v>
      </c>
      <c r="S1685" s="81">
        <f>HLOOKUP(L1685,データについて!$J$6:$M$18,13,FALSE)</f>
        <v>2</v>
      </c>
      <c r="T1685" s="81">
        <f>HLOOKUP(M1685,データについて!$J$7:$M$18,12,FALSE)</f>
        <v>1</v>
      </c>
      <c r="U1685" s="81">
        <f>HLOOKUP(N1685,データについて!$J$8:$M$18,11,FALSE)</f>
        <v>2</v>
      </c>
      <c r="V1685" s="81">
        <f>HLOOKUP(O1685,データについて!$J$9:$M$18,10,FALSE)</f>
        <v>1</v>
      </c>
      <c r="W1685" s="81">
        <f>HLOOKUP(P1685,データについて!$J$10:$M$18,9,FALSE)</f>
        <v>1</v>
      </c>
      <c r="X1685" s="81">
        <f>HLOOKUP(Q1685,データについて!$J$11:$M$18,8,FALSE)</f>
        <v>1</v>
      </c>
      <c r="Y1685" s="81">
        <f>HLOOKUP(R1685,データについて!$J$12:$M$18,7,FALSE)</f>
        <v>1</v>
      </c>
      <c r="Z1685" s="81">
        <f>HLOOKUP(I1685,データについて!$J$3:$M$18,16,FALSE)</f>
        <v>1</v>
      </c>
      <c r="AA1685" s="81">
        <f>IFERROR(HLOOKUP(J1685,データについて!$J$4:$AH$19,16,FALSE),"")</f>
        <v>7</v>
      </c>
      <c r="AB1685" s="81" t="str">
        <f>IFERROR(HLOOKUP(K1685,データについて!$J$5:$AH$20,14,FALSE),"")</f>
        <v/>
      </c>
      <c r="AC1685" s="81">
        <f>IF(X1685=1,HLOOKUP(R1685,データについて!$J$12:$M$18,7,FALSE),"*")</f>
        <v>1</v>
      </c>
      <c r="AD1685" s="81" t="str">
        <f>IF(X1685=2,HLOOKUP(R1685,データについて!$J$12:$M$18,7,FALSE),"*")</f>
        <v>*</v>
      </c>
    </row>
    <row r="1686" spans="1:30">
      <c r="A1686" s="30">
        <v>3506</v>
      </c>
      <c r="B1686" s="30" t="s">
        <v>1482</v>
      </c>
      <c r="C1686" s="30" t="s">
        <v>1483</v>
      </c>
      <c r="D1686" s="30" t="s">
        <v>106</v>
      </c>
      <c r="E1686" s="30"/>
      <c r="F1686" s="30" t="s">
        <v>107</v>
      </c>
      <c r="G1686" s="30" t="s">
        <v>106</v>
      </c>
      <c r="H1686" s="30"/>
      <c r="I1686" s="30" t="s">
        <v>192</v>
      </c>
      <c r="J1686" s="30" t="s">
        <v>942</v>
      </c>
      <c r="K1686" s="30"/>
      <c r="L1686" s="30" t="s">
        <v>108</v>
      </c>
      <c r="M1686" s="30" t="s">
        <v>124</v>
      </c>
      <c r="N1686" s="30" t="s">
        <v>122</v>
      </c>
      <c r="O1686" s="30" t="s">
        <v>123</v>
      </c>
      <c r="P1686" s="30" t="s">
        <v>112</v>
      </c>
      <c r="Q1686" s="30" t="s">
        <v>112</v>
      </c>
      <c r="R1686" s="30" t="s">
        <v>185</v>
      </c>
      <c r="S1686" s="81">
        <f>HLOOKUP(L1686,データについて!$J$6:$M$18,13,FALSE)</f>
        <v>1</v>
      </c>
      <c r="T1686" s="81">
        <f>HLOOKUP(M1686,データについて!$J$7:$M$18,12,FALSE)</f>
        <v>3</v>
      </c>
      <c r="U1686" s="81">
        <f>HLOOKUP(N1686,データについて!$J$8:$M$18,11,FALSE)</f>
        <v>3</v>
      </c>
      <c r="V1686" s="81">
        <f>HLOOKUP(O1686,データについて!$J$9:$M$18,10,FALSE)</f>
        <v>4</v>
      </c>
      <c r="W1686" s="81">
        <f>HLOOKUP(P1686,データについて!$J$10:$M$18,9,FALSE)</f>
        <v>1</v>
      </c>
      <c r="X1686" s="81">
        <f>HLOOKUP(Q1686,データについて!$J$11:$M$18,8,FALSE)</f>
        <v>1</v>
      </c>
      <c r="Y1686" s="81">
        <f>HLOOKUP(R1686,データについて!$J$12:$M$18,7,FALSE)</f>
        <v>2</v>
      </c>
      <c r="Z1686" s="81">
        <f>HLOOKUP(I1686,データについて!$J$3:$M$18,16,FALSE)</f>
        <v>1</v>
      </c>
      <c r="AA1686" s="81">
        <f>IFERROR(HLOOKUP(J1686,データについて!$J$4:$AH$19,16,FALSE),"")</f>
        <v>7</v>
      </c>
      <c r="AB1686" s="81" t="str">
        <f>IFERROR(HLOOKUP(K1686,データについて!$J$5:$AH$20,14,FALSE),"")</f>
        <v/>
      </c>
      <c r="AC1686" s="81">
        <f>IF(X1686=1,HLOOKUP(R1686,データについて!$J$12:$M$18,7,FALSE),"*")</f>
        <v>2</v>
      </c>
      <c r="AD1686" s="81" t="str">
        <f>IF(X1686=2,HLOOKUP(R1686,データについて!$J$12:$M$18,7,FALSE),"*")</f>
        <v>*</v>
      </c>
    </row>
    <row r="1687" spans="1:30">
      <c r="A1687" s="30">
        <v>3505</v>
      </c>
      <c r="B1687" s="30" t="s">
        <v>1484</v>
      </c>
      <c r="C1687" s="30" t="s">
        <v>1485</v>
      </c>
      <c r="D1687" s="30" t="s">
        <v>106</v>
      </c>
      <c r="E1687" s="30"/>
      <c r="F1687" s="30" t="s">
        <v>107</v>
      </c>
      <c r="G1687" s="30" t="s">
        <v>106</v>
      </c>
      <c r="H1687" s="30"/>
      <c r="I1687" s="30" t="s">
        <v>192</v>
      </c>
      <c r="J1687" s="30" t="s">
        <v>942</v>
      </c>
      <c r="K1687" s="30"/>
      <c r="L1687" s="30" t="s">
        <v>108</v>
      </c>
      <c r="M1687" s="30" t="s">
        <v>109</v>
      </c>
      <c r="N1687" s="30" t="s">
        <v>110</v>
      </c>
      <c r="O1687" s="30" t="s">
        <v>115</v>
      </c>
      <c r="P1687" s="30" t="s">
        <v>112</v>
      </c>
      <c r="Q1687" s="30" t="s">
        <v>112</v>
      </c>
      <c r="R1687" s="30" t="s">
        <v>187</v>
      </c>
      <c r="S1687" s="81">
        <f>HLOOKUP(L1687,データについて!$J$6:$M$18,13,FALSE)</f>
        <v>1</v>
      </c>
      <c r="T1687" s="81">
        <f>HLOOKUP(M1687,データについて!$J$7:$M$18,12,FALSE)</f>
        <v>2</v>
      </c>
      <c r="U1687" s="81">
        <f>HLOOKUP(N1687,データについて!$J$8:$M$18,11,FALSE)</f>
        <v>2</v>
      </c>
      <c r="V1687" s="81">
        <f>HLOOKUP(O1687,データについて!$J$9:$M$18,10,FALSE)</f>
        <v>1</v>
      </c>
      <c r="W1687" s="81">
        <f>HLOOKUP(P1687,データについて!$J$10:$M$18,9,FALSE)</f>
        <v>1</v>
      </c>
      <c r="X1687" s="81">
        <f>HLOOKUP(Q1687,データについて!$J$11:$M$18,8,FALSE)</f>
        <v>1</v>
      </c>
      <c r="Y1687" s="81">
        <f>HLOOKUP(R1687,データについて!$J$12:$M$18,7,FALSE)</f>
        <v>3</v>
      </c>
      <c r="Z1687" s="81">
        <f>HLOOKUP(I1687,データについて!$J$3:$M$18,16,FALSE)</f>
        <v>1</v>
      </c>
      <c r="AA1687" s="81">
        <f>IFERROR(HLOOKUP(J1687,データについて!$J$4:$AH$19,16,FALSE),"")</f>
        <v>7</v>
      </c>
      <c r="AB1687" s="81" t="str">
        <f>IFERROR(HLOOKUP(K1687,データについて!$J$5:$AH$20,14,FALSE),"")</f>
        <v/>
      </c>
      <c r="AC1687" s="81">
        <f>IF(X1687=1,HLOOKUP(R1687,データについて!$J$12:$M$18,7,FALSE),"*")</f>
        <v>3</v>
      </c>
      <c r="AD1687" s="81" t="str">
        <f>IF(X1687=2,HLOOKUP(R1687,データについて!$J$12:$M$18,7,FALSE),"*")</f>
        <v>*</v>
      </c>
    </row>
    <row r="1688" spans="1:30">
      <c r="A1688" s="30">
        <v>3504</v>
      </c>
      <c r="B1688" s="30" t="s">
        <v>1486</v>
      </c>
      <c r="C1688" s="30" t="s">
        <v>1487</v>
      </c>
      <c r="D1688" s="30" t="s">
        <v>106</v>
      </c>
      <c r="E1688" s="30"/>
      <c r="F1688" s="30" t="s">
        <v>107</v>
      </c>
      <c r="G1688" s="30" t="s">
        <v>106</v>
      </c>
      <c r="H1688" s="30"/>
      <c r="I1688" s="30" t="s">
        <v>192</v>
      </c>
      <c r="J1688" s="30" t="s">
        <v>942</v>
      </c>
      <c r="K1688" s="30"/>
      <c r="L1688" s="30" t="s">
        <v>108</v>
      </c>
      <c r="M1688" s="30" t="s">
        <v>113</v>
      </c>
      <c r="N1688" s="30" t="s">
        <v>114</v>
      </c>
      <c r="O1688" s="30" t="s">
        <v>115</v>
      </c>
      <c r="P1688" s="30" t="s">
        <v>112</v>
      </c>
      <c r="Q1688" s="30" t="s">
        <v>112</v>
      </c>
      <c r="R1688" s="30" t="s">
        <v>183</v>
      </c>
      <c r="S1688" s="81">
        <f>HLOOKUP(L1688,データについて!$J$6:$M$18,13,FALSE)</f>
        <v>1</v>
      </c>
      <c r="T1688" s="81">
        <f>HLOOKUP(M1688,データについて!$J$7:$M$18,12,FALSE)</f>
        <v>1</v>
      </c>
      <c r="U1688" s="81">
        <f>HLOOKUP(N1688,データについて!$J$8:$M$18,11,FALSE)</f>
        <v>1</v>
      </c>
      <c r="V1688" s="81">
        <f>HLOOKUP(O1688,データについて!$J$9:$M$18,10,FALSE)</f>
        <v>1</v>
      </c>
      <c r="W1688" s="81">
        <f>HLOOKUP(P1688,データについて!$J$10:$M$18,9,FALSE)</f>
        <v>1</v>
      </c>
      <c r="X1688" s="81">
        <f>HLOOKUP(Q1688,データについて!$J$11:$M$18,8,FALSE)</f>
        <v>1</v>
      </c>
      <c r="Y1688" s="81">
        <f>HLOOKUP(R1688,データについて!$J$12:$M$18,7,FALSE)</f>
        <v>1</v>
      </c>
      <c r="Z1688" s="81">
        <f>HLOOKUP(I1688,データについて!$J$3:$M$18,16,FALSE)</f>
        <v>1</v>
      </c>
      <c r="AA1688" s="81">
        <f>IFERROR(HLOOKUP(J1688,データについて!$J$4:$AH$19,16,FALSE),"")</f>
        <v>7</v>
      </c>
      <c r="AB1688" s="81" t="str">
        <f>IFERROR(HLOOKUP(K1688,データについて!$J$5:$AH$20,14,FALSE),"")</f>
        <v/>
      </c>
      <c r="AC1688" s="81">
        <f>IF(X1688=1,HLOOKUP(R1688,データについて!$J$12:$M$18,7,FALSE),"*")</f>
        <v>1</v>
      </c>
      <c r="AD1688" s="81" t="str">
        <f>IF(X1688=2,HLOOKUP(R1688,データについて!$J$12:$M$18,7,FALSE),"*")</f>
        <v>*</v>
      </c>
    </row>
    <row r="1689" spans="1:30">
      <c r="A1689" s="30">
        <v>3503</v>
      </c>
      <c r="B1689" s="30" t="s">
        <v>1488</v>
      </c>
      <c r="C1689" s="30" t="s">
        <v>1489</v>
      </c>
      <c r="D1689" s="30" t="s">
        <v>106</v>
      </c>
      <c r="E1689" s="30"/>
      <c r="F1689" s="30" t="s">
        <v>107</v>
      </c>
      <c r="G1689" s="30" t="s">
        <v>106</v>
      </c>
      <c r="H1689" s="30"/>
      <c r="I1689" s="30" t="s">
        <v>192</v>
      </c>
      <c r="J1689" s="30" t="s">
        <v>942</v>
      </c>
      <c r="K1689" s="30"/>
      <c r="L1689" s="30" t="s">
        <v>117</v>
      </c>
      <c r="M1689" s="30" t="s">
        <v>113</v>
      </c>
      <c r="N1689" s="30" t="s">
        <v>110</v>
      </c>
      <c r="O1689" s="30" t="s">
        <v>115</v>
      </c>
      <c r="P1689" s="30" t="s">
        <v>112</v>
      </c>
      <c r="Q1689" s="30" t="s">
        <v>112</v>
      </c>
      <c r="R1689" s="30" t="s">
        <v>183</v>
      </c>
      <c r="S1689" s="81">
        <f>HLOOKUP(L1689,データについて!$J$6:$M$18,13,FALSE)</f>
        <v>2</v>
      </c>
      <c r="T1689" s="81">
        <f>HLOOKUP(M1689,データについて!$J$7:$M$18,12,FALSE)</f>
        <v>1</v>
      </c>
      <c r="U1689" s="81">
        <f>HLOOKUP(N1689,データについて!$J$8:$M$18,11,FALSE)</f>
        <v>2</v>
      </c>
      <c r="V1689" s="81">
        <f>HLOOKUP(O1689,データについて!$J$9:$M$18,10,FALSE)</f>
        <v>1</v>
      </c>
      <c r="W1689" s="81">
        <f>HLOOKUP(P1689,データについて!$J$10:$M$18,9,FALSE)</f>
        <v>1</v>
      </c>
      <c r="X1689" s="81">
        <f>HLOOKUP(Q1689,データについて!$J$11:$M$18,8,FALSE)</f>
        <v>1</v>
      </c>
      <c r="Y1689" s="81">
        <f>HLOOKUP(R1689,データについて!$J$12:$M$18,7,FALSE)</f>
        <v>1</v>
      </c>
      <c r="Z1689" s="81">
        <f>HLOOKUP(I1689,データについて!$J$3:$M$18,16,FALSE)</f>
        <v>1</v>
      </c>
      <c r="AA1689" s="81">
        <f>IFERROR(HLOOKUP(J1689,データについて!$J$4:$AH$19,16,FALSE),"")</f>
        <v>7</v>
      </c>
      <c r="AB1689" s="81" t="str">
        <f>IFERROR(HLOOKUP(K1689,データについて!$J$5:$AH$20,14,FALSE),"")</f>
        <v/>
      </c>
      <c r="AC1689" s="81">
        <f>IF(X1689=1,HLOOKUP(R1689,データについて!$J$12:$M$18,7,FALSE),"*")</f>
        <v>1</v>
      </c>
      <c r="AD1689" s="81" t="str">
        <f>IF(X1689=2,HLOOKUP(R1689,データについて!$J$12:$M$18,7,FALSE),"*")</f>
        <v>*</v>
      </c>
    </row>
    <row r="1690" spans="1:30">
      <c r="A1690" s="30">
        <v>3502</v>
      </c>
      <c r="B1690" s="30" t="s">
        <v>1490</v>
      </c>
      <c r="C1690" s="30" t="s">
        <v>1491</v>
      </c>
      <c r="D1690" s="30" t="s">
        <v>106</v>
      </c>
      <c r="E1690" s="30"/>
      <c r="F1690" s="30" t="s">
        <v>107</v>
      </c>
      <c r="G1690" s="30" t="s">
        <v>106</v>
      </c>
      <c r="H1690" s="30"/>
      <c r="I1690" s="30" t="s">
        <v>192</v>
      </c>
      <c r="J1690" s="30" t="s">
        <v>942</v>
      </c>
      <c r="K1690" s="30"/>
      <c r="L1690" s="30" t="s">
        <v>117</v>
      </c>
      <c r="M1690" s="30" t="s">
        <v>113</v>
      </c>
      <c r="N1690" s="30" t="s">
        <v>114</v>
      </c>
      <c r="O1690" s="30" t="s">
        <v>115</v>
      </c>
      <c r="P1690" s="30" t="s">
        <v>112</v>
      </c>
      <c r="Q1690" s="30" t="s">
        <v>112</v>
      </c>
      <c r="R1690" s="30" t="s">
        <v>183</v>
      </c>
      <c r="S1690" s="81">
        <f>HLOOKUP(L1690,データについて!$J$6:$M$18,13,FALSE)</f>
        <v>2</v>
      </c>
      <c r="T1690" s="81">
        <f>HLOOKUP(M1690,データについて!$J$7:$M$18,12,FALSE)</f>
        <v>1</v>
      </c>
      <c r="U1690" s="81">
        <f>HLOOKUP(N1690,データについて!$J$8:$M$18,11,FALSE)</f>
        <v>1</v>
      </c>
      <c r="V1690" s="81">
        <f>HLOOKUP(O1690,データについて!$J$9:$M$18,10,FALSE)</f>
        <v>1</v>
      </c>
      <c r="W1690" s="81">
        <f>HLOOKUP(P1690,データについて!$J$10:$M$18,9,FALSE)</f>
        <v>1</v>
      </c>
      <c r="X1690" s="81">
        <f>HLOOKUP(Q1690,データについて!$J$11:$M$18,8,FALSE)</f>
        <v>1</v>
      </c>
      <c r="Y1690" s="81">
        <f>HLOOKUP(R1690,データについて!$J$12:$M$18,7,FALSE)</f>
        <v>1</v>
      </c>
      <c r="Z1690" s="81">
        <f>HLOOKUP(I1690,データについて!$J$3:$M$18,16,FALSE)</f>
        <v>1</v>
      </c>
      <c r="AA1690" s="81">
        <f>IFERROR(HLOOKUP(J1690,データについて!$J$4:$AH$19,16,FALSE),"")</f>
        <v>7</v>
      </c>
      <c r="AB1690" s="81" t="str">
        <f>IFERROR(HLOOKUP(K1690,データについて!$J$5:$AH$20,14,FALSE),"")</f>
        <v/>
      </c>
      <c r="AC1690" s="81">
        <f>IF(X1690=1,HLOOKUP(R1690,データについて!$J$12:$M$18,7,FALSE),"*")</f>
        <v>1</v>
      </c>
      <c r="AD1690" s="81" t="str">
        <f>IF(X1690=2,HLOOKUP(R1690,データについて!$J$12:$M$18,7,FALSE),"*")</f>
        <v>*</v>
      </c>
    </row>
    <row r="1691" spans="1:30">
      <c r="A1691" s="30">
        <v>3501</v>
      </c>
      <c r="B1691" s="30" t="s">
        <v>1492</v>
      </c>
      <c r="C1691" s="30" t="s">
        <v>1493</v>
      </c>
      <c r="D1691" s="30" t="s">
        <v>106</v>
      </c>
      <c r="E1691" s="30"/>
      <c r="F1691" s="30" t="s">
        <v>107</v>
      </c>
      <c r="G1691" s="30" t="s">
        <v>106</v>
      </c>
      <c r="H1691" s="30"/>
      <c r="I1691" s="30" t="s">
        <v>192</v>
      </c>
      <c r="J1691" s="30" t="s">
        <v>942</v>
      </c>
      <c r="K1691" s="30"/>
      <c r="L1691" s="30" t="s">
        <v>117</v>
      </c>
      <c r="M1691" s="30" t="s">
        <v>109</v>
      </c>
      <c r="N1691" s="30" t="s">
        <v>114</v>
      </c>
      <c r="O1691" s="30" t="s">
        <v>115</v>
      </c>
      <c r="P1691" s="30" t="s">
        <v>112</v>
      </c>
      <c r="Q1691" s="30" t="s">
        <v>112</v>
      </c>
      <c r="R1691" s="30" t="s">
        <v>187</v>
      </c>
      <c r="S1691" s="81">
        <f>HLOOKUP(L1691,データについて!$J$6:$M$18,13,FALSE)</f>
        <v>2</v>
      </c>
      <c r="T1691" s="81">
        <f>HLOOKUP(M1691,データについて!$J$7:$M$18,12,FALSE)</f>
        <v>2</v>
      </c>
      <c r="U1691" s="81">
        <f>HLOOKUP(N1691,データについて!$J$8:$M$18,11,FALSE)</f>
        <v>1</v>
      </c>
      <c r="V1691" s="81">
        <f>HLOOKUP(O1691,データについて!$J$9:$M$18,10,FALSE)</f>
        <v>1</v>
      </c>
      <c r="W1691" s="81">
        <f>HLOOKUP(P1691,データについて!$J$10:$M$18,9,FALSE)</f>
        <v>1</v>
      </c>
      <c r="X1691" s="81">
        <f>HLOOKUP(Q1691,データについて!$J$11:$M$18,8,FALSE)</f>
        <v>1</v>
      </c>
      <c r="Y1691" s="81">
        <f>HLOOKUP(R1691,データについて!$J$12:$M$18,7,FALSE)</f>
        <v>3</v>
      </c>
      <c r="Z1691" s="81">
        <f>HLOOKUP(I1691,データについて!$J$3:$M$18,16,FALSE)</f>
        <v>1</v>
      </c>
      <c r="AA1691" s="81">
        <f>IFERROR(HLOOKUP(J1691,データについて!$J$4:$AH$19,16,FALSE),"")</f>
        <v>7</v>
      </c>
      <c r="AB1691" s="81" t="str">
        <f>IFERROR(HLOOKUP(K1691,データについて!$J$5:$AH$20,14,FALSE),"")</f>
        <v/>
      </c>
      <c r="AC1691" s="81">
        <f>IF(X1691=1,HLOOKUP(R1691,データについて!$J$12:$M$18,7,FALSE),"*")</f>
        <v>3</v>
      </c>
      <c r="AD1691" s="81" t="str">
        <f>IF(X1691=2,HLOOKUP(R1691,データについて!$J$12:$M$18,7,FALSE),"*")</f>
        <v>*</v>
      </c>
    </row>
    <row r="1692" spans="1:30">
      <c r="A1692" s="30">
        <v>3500</v>
      </c>
      <c r="B1692" s="30" t="s">
        <v>1494</v>
      </c>
      <c r="C1692" s="30" t="s">
        <v>1493</v>
      </c>
      <c r="D1692" s="30" t="s">
        <v>106</v>
      </c>
      <c r="E1692" s="30"/>
      <c r="F1692" s="30" t="s">
        <v>107</v>
      </c>
      <c r="G1692" s="30" t="s">
        <v>106</v>
      </c>
      <c r="H1692" s="30"/>
      <c r="I1692" s="30" t="s">
        <v>192</v>
      </c>
      <c r="J1692" s="30" t="s">
        <v>942</v>
      </c>
      <c r="K1692" s="30"/>
      <c r="L1692" s="30" t="s">
        <v>117</v>
      </c>
      <c r="M1692" s="30" t="s">
        <v>113</v>
      </c>
      <c r="N1692" s="30" t="s">
        <v>114</v>
      </c>
      <c r="O1692" s="30" t="s">
        <v>115</v>
      </c>
      <c r="P1692" s="30" t="s">
        <v>112</v>
      </c>
      <c r="Q1692" s="30" t="s">
        <v>112</v>
      </c>
      <c r="R1692" s="30" t="s">
        <v>183</v>
      </c>
      <c r="S1692" s="81">
        <f>HLOOKUP(L1692,データについて!$J$6:$M$18,13,FALSE)</f>
        <v>2</v>
      </c>
      <c r="T1692" s="81">
        <f>HLOOKUP(M1692,データについて!$J$7:$M$18,12,FALSE)</f>
        <v>1</v>
      </c>
      <c r="U1692" s="81">
        <f>HLOOKUP(N1692,データについて!$J$8:$M$18,11,FALSE)</f>
        <v>1</v>
      </c>
      <c r="V1692" s="81">
        <f>HLOOKUP(O1692,データについて!$J$9:$M$18,10,FALSE)</f>
        <v>1</v>
      </c>
      <c r="W1692" s="81">
        <f>HLOOKUP(P1692,データについて!$J$10:$M$18,9,FALSE)</f>
        <v>1</v>
      </c>
      <c r="X1692" s="81">
        <f>HLOOKUP(Q1692,データについて!$J$11:$M$18,8,FALSE)</f>
        <v>1</v>
      </c>
      <c r="Y1692" s="81">
        <f>HLOOKUP(R1692,データについて!$J$12:$M$18,7,FALSE)</f>
        <v>1</v>
      </c>
      <c r="Z1692" s="81">
        <f>HLOOKUP(I1692,データについて!$J$3:$M$18,16,FALSE)</f>
        <v>1</v>
      </c>
      <c r="AA1692" s="81">
        <f>IFERROR(HLOOKUP(J1692,データについて!$J$4:$AH$19,16,FALSE),"")</f>
        <v>7</v>
      </c>
      <c r="AB1692" s="81" t="str">
        <f>IFERROR(HLOOKUP(K1692,データについて!$J$5:$AH$20,14,FALSE),"")</f>
        <v/>
      </c>
      <c r="AC1692" s="81">
        <f>IF(X1692=1,HLOOKUP(R1692,データについて!$J$12:$M$18,7,FALSE),"*")</f>
        <v>1</v>
      </c>
      <c r="AD1692" s="81" t="str">
        <f>IF(X1692=2,HLOOKUP(R1692,データについて!$J$12:$M$18,7,FALSE),"*")</f>
        <v>*</v>
      </c>
    </row>
    <row r="1693" spans="1:30">
      <c r="A1693" s="30">
        <v>3499</v>
      </c>
      <c r="B1693" s="30" t="s">
        <v>1495</v>
      </c>
      <c r="C1693" s="30" t="s">
        <v>1496</v>
      </c>
      <c r="D1693" s="30" t="s">
        <v>106</v>
      </c>
      <c r="E1693" s="30"/>
      <c r="F1693" s="30" t="s">
        <v>107</v>
      </c>
      <c r="G1693" s="30" t="s">
        <v>106</v>
      </c>
      <c r="H1693" s="30"/>
      <c r="I1693" s="30" t="s">
        <v>192</v>
      </c>
      <c r="J1693" s="30" t="s">
        <v>128</v>
      </c>
      <c r="K1693" s="30"/>
      <c r="L1693" s="30" t="s">
        <v>108</v>
      </c>
      <c r="M1693" s="30" t="s">
        <v>109</v>
      </c>
      <c r="N1693" s="30" t="s">
        <v>114</v>
      </c>
      <c r="O1693" s="30" t="s">
        <v>115</v>
      </c>
      <c r="P1693" s="30" t="s">
        <v>112</v>
      </c>
      <c r="Q1693" s="30" t="s">
        <v>112</v>
      </c>
      <c r="R1693" s="30" t="s">
        <v>183</v>
      </c>
      <c r="S1693" s="81">
        <f>HLOOKUP(L1693,データについて!$J$6:$M$18,13,FALSE)</f>
        <v>1</v>
      </c>
      <c r="T1693" s="81">
        <f>HLOOKUP(M1693,データについて!$J$7:$M$18,12,FALSE)</f>
        <v>2</v>
      </c>
      <c r="U1693" s="81">
        <f>HLOOKUP(N1693,データについて!$J$8:$M$18,11,FALSE)</f>
        <v>1</v>
      </c>
      <c r="V1693" s="81">
        <f>HLOOKUP(O1693,データについて!$J$9:$M$18,10,FALSE)</f>
        <v>1</v>
      </c>
      <c r="W1693" s="81">
        <f>HLOOKUP(P1693,データについて!$J$10:$M$18,9,FALSE)</f>
        <v>1</v>
      </c>
      <c r="X1693" s="81">
        <f>HLOOKUP(Q1693,データについて!$J$11:$M$18,8,FALSE)</f>
        <v>1</v>
      </c>
      <c r="Y1693" s="81">
        <f>HLOOKUP(R1693,データについて!$J$12:$M$18,7,FALSE)</f>
        <v>1</v>
      </c>
      <c r="Z1693" s="81">
        <f>HLOOKUP(I1693,データについて!$J$3:$M$18,16,FALSE)</f>
        <v>1</v>
      </c>
      <c r="AA1693" s="81">
        <f>IFERROR(HLOOKUP(J1693,データについて!$J$4:$AH$19,16,FALSE),"")</f>
        <v>1</v>
      </c>
      <c r="AB1693" s="81" t="str">
        <f>IFERROR(HLOOKUP(K1693,データについて!$J$5:$AH$20,14,FALSE),"")</f>
        <v/>
      </c>
      <c r="AC1693" s="81">
        <f>IF(X1693=1,HLOOKUP(R1693,データについて!$J$12:$M$18,7,FALSE),"*")</f>
        <v>1</v>
      </c>
      <c r="AD1693" s="81" t="str">
        <f>IF(X1693=2,HLOOKUP(R1693,データについて!$J$12:$M$18,7,FALSE),"*")</f>
        <v>*</v>
      </c>
    </row>
    <row r="1694" spans="1:30">
      <c r="A1694" s="30">
        <v>3498</v>
      </c>
      <c r="B1694" s="30" t="s">
        <v>1497</v>
      </c>
      <c r="C1694" s="30" t="s">
        <v>1498</v>
      </c>
      <c r="D1694" s="30" t="s">
        <v>106</v>
      </c>
      <c r="E1694" s="30"/>
      <c r="F1694" s="30" t="s">
        <v>107</v>
      </c>
      <c r="G1694" s="30" t="s">
        <v>106</v>
      </c>
      <c r="H1694" s="30"/>
      <c r="I1694" s="30" t="s">
        <v>192</v>
      </c>
      <c r="J1694" s="30" t="s">
        <v>942</v>
      </c>
      <c r="K1694" s="30"/>
      <c r="L1694" s="30" t="s">
        <v>117</v>
      </c>
      <c r="M1694" s="30" t="s">
        <v>113</v>
      </c>
      <c r="N1694" s="30" t="s">
        <v>114</v>
      </c>
      <c r="O1694" s="30" t="s">
        <v>115</v>
      </c>
      <c r="P1694" s="30" t="s">
        <v>112</v>
      </c>
      <c r="Q1694" s="30" t="s">
        <v>112</v>
      </c>
      <c r="R1694" s="30" t="s">
        <v>185</v>
      </c>
      <c r="S1694" s="81">
        <f>HLOOKUP(L1694,データについて!$J$6:$M$18,13,FALSE)</f>
        <v>2</v>
      </c>
      <c r="T1694" s="81">
        <f>HLOOKUP(M1694,データについて!$J$7:$M$18,12,FALSE)</f>
        <v>1</v>
      </c>
      <c r="U1694" s="81">
        <f>HLOOKUP(N1694,データについて!$J$8:$M$18,11,FALSE)</f>
        <v>1</v>
      </c>
      <c r="V1694" s="81">
        <f>HLOOKUP(O1694,データについて!$J$9:$M$18,10,FALSE)</f>
        <v>1</v>
      </c>
      <c r="W1694" s="81">
        <f>HLOOKUP(P1694,データについて!$J$10:$M$18,9,FALSE)</f>
        <v>1</v>
      </c>
      <c r="X1694" s="81">
        <f>HLOOKUP(Q1694,データについて!$J$11:$M$18,8,FALSE)</f>
        <v>1</v>
      </c>
      <c r="Y1694" s="81">
        <f>HLOOKUP(R1694,データについて!$J$12:$M$18,7,FALSE)</f>
        <v>2</v>
      </c>
      <c r="Z1694" s="81">
        <f>HLOOKUP(I1694,データについて!$J$3:$M$18,16,FALSE)</f>
        <v>1</v>
      </c>
      <c r="AA1694" s="81">
        <f>IFERROR(HLOOKUP(J1694,データについて!$J$4:$AH$19,16,FALSE),"")</f>
        <v>7</v>
      </c>
      <c r="AB1694" s="81" t="str">
        <f>IFERROR(HLOOKUP(K1694,データについて!$J$5:$AH$20,14,FALSE),"")</f>
        <v/>
      </c>
      <c r="AC1694" s="81">
        <f>IF(X1694=1,HLOOKUP(R1694,データについて!$J$12:$M$18,7,FALSE),"*")</f>
        <v>2</v>
      </c>
      <c r="AD1694" s="81" t="str">
        <f>IF(X1694=2,HLOOKUP(R1694,データについて!$J$12:$M$18,7,FALSE),"*")</f>
        <v>*</v>
      </c>
    </row>
    <row r="1695" spans="1:30">
      <c r="A1695" s="30">
        <v>3497</v>
      </c>
      <c r="B1695" s="30" t="s">
        <v>1499</v>
      </c>
      <c r="C1695" s="30" t="s">
        <v>1500</v>
      </c>
      <c r="D1695" s="30" t="s">
        <v>106</v>
      </c>
      <c r="E1695" s="30"/>
      <c r="F1695" s="30" t="s">
        <v>107</v>
      </c>
      <c r="G1695" s="30" t="s">
        <v>106</v>
      </c>
      <c r="H1695" s="30"/>
      <c r="I1695" s="30" t="s">
        <v>192</v>
      </c>
      <c r="J1695" s="30" t="s">
        <v>942</v>
      </c>
      <c r="K1695" s="30"/>
      <c r="L1695" s="30" t="s">
        <v>108</v>
      </c>
      <c r="M1695" s="30" t="s">
        <v>113</v>
      </c>
      <c r="N1695" s="30" t="s">
        <v>114</v>
      </c>
      <c r="O1695" s="30" t="s">
        <v>115</v>
      </c>
      <c r="P1695" s="30" t="s">
        <v>112</v>
      </c>
      <c r="Q1695" s="30" t="s">
        <v>112</v>
      </c>
      <c r="R1695" s="30" t="s">
        <v>183</v>
      </c>
      <c r="S1695" s="81">
        <f>HLOOKUP(L1695,データについて!$J$6:$M$18,13,FALSE)</f>
        <v>1</v>
      </c>
      <c r="T1695" s="81">
        <f>HLOOKUP(M1695,データについて!$J$7:$M$18,12,FALSE)</f>
        <v>1</v>
      </c>
      <c r="U1695" s="81">
        <f>HLOOKUP(N1695,データについて!$J$8:$M$18,11,FALSE)</f>
        <v>1</v>
      </c>
      <c r="V1695" s="81">
        <f>HLOOKUP(O1695,データについて!$J$9:$M$18,10,FALSE)</f>
        <v>1</v>
      </c>
      <c r="W1695" s="81">
        <f>HLOOKUP(P1695,データについて!$J$10:$M$18,9,FALSE)</f>
        <v>1</v>
      </c>
      <c r="X1695" s="81">
        <f>HLOOKUP(Q1695,データについて!$J$11:$M$18,8,FALSE)</f>
        <v>1</v>
      </c>
      <c r="Y1695" s="81">
        <f>HLOOKUP(R1695,データについて!$J$12:$M$18,7,FALSE)</f>
        <v>1</v>
      </c>
      <c r="Z1695" s="81">
        <f>HLOOKUP(I1695,データについて!$J$3:$M$18,16,FALSE)</f>
        <v>1</v>
      </c>
      <c r="AA1695" s="81">
        <f>IFERROR(HLOOKUP(J1695,データについて!$J$4:$AH$19,16,FALSE),"")</f>
        <v>7</v>
      </c>
      <c r="AB1695" s="81" t="str">
        <f>IFERROR(HLOOKUP(K1695,データについて!$J$5:$AH$20,14,FALSE),"")</f>
        <v/>
      </c>
      <c r="AC1695" s="81">
        <f>IF(X1695=1,HLOOKUP(R1695,データについて!$J$12:$M$18,7,FALSE),"*")</f>
        <v>1</v>
      </c>
      <c r="AD1695" s="81" t="str">
        <f>IF(X1695=2,HLOOKUP(R1695,データについて!$J$12:$M$18,7,FALSE),"*")</f>
        <v>*</v>
      </c>
    </row>
    <row r="1696" spans="1:30">
      <c r="A1696" s="30">
        <v>3496</v>
      </c>
      <c r="B1696" s="30" t="s">
        <v>1501</v>
      </c>
      <c r="C1696" s="30" t="s">
        <v>1502</v>
      </c>
      <c r="D1696" s="30" t="s">
        <v>106</v>
      </c>
      <c r="E1696" s="30"/>
      <c r="F1696" s="30" t="s">
        <v>107</v>
      </c>
      <c r="G1696" s="30" t="s">
        <v>106</v>
      </c>
      <c r="H1696" s="30"/>
      <c r="I1696" s="30" t="s">
        <v>192</v>
      </c>
      <c r="J1696" s="30" t="s">
        <v>942</v>
      </c>
      <c r="K1696" s="30"/>
      <c r="L1696" s="30" t="s">
        <v>108</v>
      </c>
      <c r="M1696" s="30" t="s">
        <v>109</v>
      </c>
      <c r="N1696" s="30" t="s">
        <v>114</v>
      </c>
      <c r="O1696" s="30" t="s">
        <v>115</v>
      </c>
      <c r="P1696" s="30" t="s">
        <v>112</v>
      </c>
      <c r="Q1696" s="30" t="s">
        <v>112</v>
      </c>
      <c r="R1696" s="30" t="s">
        <v>183</v>
      </c>
      <c r="S1696" s="81">
        <f>HLOOKUP(L1696,データについて!$J$6:$M$18,13,FALSE)</f>
        <v>1</v>
      </c>
      <c r="T1696" s="81">
        <f>HLOOKUP(M1696,データについて!$J$7:$M$18,12,FALSE)</f>
        <v>2</v>
      </c>
      <c r="U1696" s="81">
        <f>HLOOKUP(N1696,データについて!$J$8:$M$18,11,FALSE)</f>
        <v>1</v>
      </c>
      <c r="V1696" s="81">
        <f>HLOOKUP(O1696,データについて!$J$9:$M$18,10,FALSE)</f>
        <v>1</v>
      </c>
      <c r="W1696" s="81">
        <f>HLOOKUP(P1696,データについて!$J$10:$M$18,9,FALSE)</f>
        <v>1</v>
      </c>
      <c r="X1696" s="81">
        <f>HLOOKUP(Q1696,データについて!$J$11:$M$18,8,FALSE)</f>
        <v>1</v>
      </c>
      <c r="Y1696" s="81">
        <f>HLOOKUP(R1696,データについて!$J$12:$M$18,7,FALSE)</f>
        <v>1</v>
      </c>
      <c r="Z1696" s="81">
        <f>HLOOKUP(I1696,データについて!$J$3:$M$18,16,FALSE)</f>
        <v>1</v>
      </c>
      <c r="AA1696" s="81">
        <f>IFERROR(HLOOKUP(J1696,データについて!$J$4:$AH$19,16,FALSE),"")</f>
        <v>7</v>
      </c>
      <c r="AB1696" s="81" t="str">
        <f>IFERROR(HLOOKUP(K1696,データについて!$J$5:$AH$20,14,FALSE),"")</f>
        <v/>
      </c>
      <c r="AC1696" s="81">
        <f>IF(X1696=1,HLOOKUP(R1696,データについて!$J$12:$M$18,7,FALSE),"*")</f>
        <v>1</v>
      </c>
      <c r="AD1696" s="81" t="str">
        <f>IF(X1696=2,HLOOKUP(R1696,データについて!$J$12:$M$18,7,FALSE),"*")</f>
        <v>*</v>
      </c>
    </row>
    <row r="1697" spans="1:30">
      <c r="A1697" s="30">
        <v>3495</v>
      </c>
      <c r="B1697" s="30" t="s">
        <v>1503</v>
      </c>
      <c r="C1697" s="30" t="s">
        <v>1504</v>
      </c>
      <c r="D1697" s="30" t="s">
        <v>106</v>
      </c>
      <c r="E1697" s="30"/>
      <c r="F1697" s="30" t="s">
        <v>107</v>
      </c>
      <c r="G1697" s="30" t="s">
        <v>106</v>
      </c>
      <c r="H1697" s="30"/>
      <c r="I1697" s="30" t="s">
        <v>192</v>
      </c>
      <c r="J1697" s="30" t="s">
        <v>942</v>
      </c>
      <c r="K1697" s="30"/>
      <c r="L1697" s="30" t="s">
        <v>117</v>
      </c>
      <c r="M1697" s="30" t="s">
        <v>109</v>
      </c>
      <c r="N1697" s="30" t="s">
        <v>110</v>
      </c>
      <c r="O1697" s="30" t="s">
        <v>115</v>
      </c>
      <c r="P1697" s="30" t="s">
        <v>112</v>
      </c>
      <c r="Q1697" s="30" t="s">
        <v>112</v>
      </c>
      <c r="R1697" s="30" t="s">
        <v>183</v>
      </c>
      <c r="S1697" s="81">
        <f>HLOOKUP(L1697,データについて!$J$6:$M$18,13,FALSE)</f>
        <v>2</v>
      </c>
      <c r="T1697" s="81">
        <f>HLOOKUP(M1697,データについて!$J$7:$M$18,12,FALSE)</f>
        <v>2</v>
      </c>
      <c r="U1697" s="81">
        <f>HLOOKUP(N1697,データについて!$J$8:$M$18,11,FALSE)</f>
        <v>2</v>
      </c>
      <c r="V1697" s="81">
        <f>HLOOKUP(O1697,データについて!$J$9:$M$18,10,FALSE)</f>
        <v>1</v>
      </c>
      <c r="W1697" s="81">
        <f>HLOOKUP(P1697,データについて!$J$10:$M$18,9,FALSE)</f>
        <v>1</v>
      </c>
      <c r="X1697" s="81">
        <f>HLOOKUP(Q1697,データについて!$J$11:$M$18,8,FALSE)</f>
        <v>1</v>
      </c>
      <c r="Y1697" s="81">
        <f>HLOOKUP(R1697,データについて!$J$12:$M$18,7,FALSE)</f>
        <v>1</v>
      </c>
      <c r="Z1697" s="81">
        <f>HLOOKUP(I1697,データについて!$J$3:$M$18,16,FALSE)</f>
        <v>1</v>
      </c>
      <c r="AA1697" s="81">
        <f>IFERROR(HLOOKUP(J1697,データについて!$J$4:$AH$19,16,FALSE),"")</f>
        <v>7</v>
      </c>
      <c r="AB1697" s="81" t="str">
        <f>IFERROR(HLOOKUP(K1697,データについて!$J$5:$AH$20,14,FALSE),"")</f>
        <v/>
      </c>
      <c r="AC1697" s="81">
        <f>IF(X1697=1,HLOOKUP(R1697,データについて!$J$12:$M$18,7,FALSE),"*")</f>
        <v>1</v>
      </c>
      <c r="AD1697" s="81" t="str">
        <f>IF(X1697=2,HLOOKUP(R1697,データについて!$J$12:$M$18,7,FALSE),"*")</f>
        <v>*</v>
      </c>
    </row>
    <row r="1698" spans="1:30">
      <c r="A1698" s="30">
        <v>3494</v>
      </c>
      <c r="B1698" s="30" t="s">
        <v>1505</v>
      </c>
      <c r="C1698" s="30" t="s">
        <v>1504</v>
      </c>
      <c r="D1698" s="30" t="s">
        <v>106</v>
      </c>
      <c r="E1698" s="30"/>
      <c r="F1698" s="30" t="s">
        <v>107</v>
      </c>
      <c r="G1698" s="30" t="s">
        <v>106</v>
      </c>
      <c r="H1698" s="30"/>
      <c r="I1698" s="30" t="s">
        <v>192</v>
      </c>
      <c r="J1698" s="30" t="s">
        <v>128</v>
      </c>
      <c r="K1698" s="30"/>
      <c r="L1698" s="30" t="s">
        <v>117</v>
      </c>
      <c r="M1698" s="30" t="s">
        <v>113</v>
      </c>
      <c r="N1698" s="30" t="s">
        <v>114</v>
      </c>
      <c r="O1698" s="30" t="s">
        <v>115</v>
      </c>
      <c r="P1698" s="30" t="s">
        <v>112</v>
      </c>
      <c r="Q1698" s="30" t="s">
        <v>112</v>
      </c>
      <c r="R1698" s="30" t="s">
        <v>183</v>
      </c>
      <c r="S1698" s="81">
        <f>HLOOKUP(L1698,データについて!$J$6:$M$18,13,FALSE)</f>
        <v>2</v>
      </c>
      <c r="T1698" s="81">
        <f>HLOOKUP(M1698,データについて!$J$7:$M$18,12,FALSE)</f>
        <v>1</v>
      </c>
      <c r="U1698" s="81">
        <f>HLOOKUP(N1698,データについて!$J$8:$M$18,11,FALSE)</f>
        <v>1</v>
      </c>
      <c r="V1698" s="81">
        <f>HLOOKUP(O1698,データについて!$J$9:$M$18,10,FALSE)</f>
        <v>1</v>
      </c>
      <c r="W1698" s="81">
        <f>HLOOKUP(P1698,データについて!$J$10:$M$18,9,FALSE)</f>
        <v>1</v>
      </c>
      <c r="X1698" s="81">
        <f>HLOOKUP(Q1698,データについて!$J$11:$M$18,8,FALSE)</f>
        <v>1</v>
      </c>
      <c r="Y1698" s="81">
        <f>HLOOKUP(R1698,データについて!$J$12:$M$18,7,FALSE)</f>
        <v>1</v>
      </c>
      <c r="Z1698" s="81">
        <f>HLOOKUP(I1698,データについて!$J$3:$M$18,16,FALSE)</f>
        <v>1</v>
      </c>
      <c r="AA1698" s="81">
        <f>IFERROR(HLOOKUP(J1698,データについて!$J$4:$AH$19,16,FALSE),"")</f>
        <v>1</v>
      </c>
      <c r="AB1698" s="81" t="str">
        <f>IFERROR(HLOOKUP(K1698,データについて!$J$5:$AH$20,14,FALSE),"")</f>
        <v/>
      </c>
      <c r="AC1698" s="81">
        <f>IF(X1698=1,HLOOKUP(R1698,データについて!$J$12:$M$18,7,FALSE),"*")</f>
        <v>1</v>
      </c>
      <c r="AD1698" s="81" t="str">
        <f>IF(X1698=2,HLOOKUP(R1698,データについて!$J$12:$M$18,7,FALSE),"*")</f>
        <v>*</v>
      </c>
    </row>
    <row r="1699" spans="1:30">
      <c r="A1699" s="30">
        <v>3493</v>
      </c>
      <c r="B1699" s="30" t="s">
        <v>1506</v>
      </c>
      <c r="C1699" s="30" t="s">
        <v>1504</v>
      </c>
      <c r="D1699" s="30" t="s">
        <v>106</v>
      </c>
      <c r="E1699" s="30"/>
      <c r="F1699" s="30" t="s">
        <v>107</v>
      </c>
      <c r="G1699" s="30" t="s">
        <v>106</v>
      </c>
      <c r="H1699" s="30"/>
      <c r="I1699" s="30" t="s">
        <v>192</v>
      </c>
      <c r="J1699" s="30" t="s">
        <v>128</v>
      </c>
      <c r="K1699" s="30"/>
      <c r="L1699" s="30" t="s">
        <v>117</v>
      </c>
      <c r="M1699" s="30" t="s">
        <v>113</v>
      </c>
      <c r="N1699" s="30" t="s">
        <v>114</v>
      </c>
      <c r="O1699" s="30" t="s">
        <v>115</v>
      </c>
      <c r="P1699" s="30" t="s">
        <v>112</v>
      </c>
      <c r="Q1699" s="30" t="s">
        <v>112</v>
      </c>
      <c r="R1699" s="30" t="s">
        <v>185</v>
      </c>
      <c r="S1699" s="81">
        <f>HLOOKUP(L1699,データについて!$J$6:$M$18,13,FALSE)</f>
        <v>2</v>
      </c>
      <c r="T1699" s="81">
        <f>HLOOKUP(M1699,データについて!$J$7:$M$18,12,FALSE)</f>
        <v>1</v>
      </c>
      <c r="U1699" s="81">
        <f>HLOOKUP(N1699,データについて!$J$8:$M$18,11,FALSE)</f>
        <v>1</v>
      </c>
      <c r="V1699" s="81">
        <f>HLOOKUP(O1699,データについて!$J$9:$M$18,10,FALSE)</f>
        <v>1</v>
      </c>
      <c r="W1699" s="81">
        <f>HLOOKUP(P1699,データについて!$J$10:$M$18,9,FALSE)</f>
        <v>1</v>
      </c>
      <c r="X1699" s="81">
        <f>HLOOKUP(Q1699,データについて!$J$11:$M$18,8,FALSE)</f>
        <v>1</v>
      </c>
      <c r="Y1699" s="81">
        <f>HLOOKUP(R1699,データについて!$J$12:$M$18,7,FALSE)</f>
        <v>2</v>
      </c>
      <c r="Z1699" s="81">
        <f>HLOOKUP(I1699,データについて!$J$3:$M$18,16,FALSE)</f>
        <v>1</v>
      </c>
      <c r="AA1699" s="81">
        <f>IFERROR(HLOOKUP(J1699,データについて!$J$4:$AH$19,16,FALSE),"")</f>
        <v>1</v>
      </c>
      <c r="AB1699" s="81" t="str">
        <f>IFERROR(HLOOKUP(K1699,データについて!$J$5:$AH$20,14,FALSE),"")</f>
        <v/>
      </c>
      <c r="AC1699" s="81">
        <f>IF(X1699=1,HLOOKUP(R1699,データについて!$J$12:$M$18,7,FALSE),"*")</f>
        <v>2</v>
      </c>
      <c r="AD1699" s="81" t="str">
        <f>IF(X1699=2,HLOOKUP(R1699,データについて!$J$12:$M$18,7,FALSE),"*")</f>
        <v>*</v>
      </c>
    </row>
    <row r="1700" spans="1:30">
      <c r="A1700" s="30">
        <v>3492</v>
      </c>
      <c r="B1700" s="30" t="s">
        <v>1507</v>
      </c>
      <c r="C1700" s="30" t="s">
        <v>1508</v>
      </c>
      <c r="D1700" s="30" t="s">
        <v>106</v>
      </c>
      <c r="E1700" s="30"/>
      <c r="F1700" s="30" t="s">
        <v>107</v>
      </c>
      <c r="G1700" s="30" t="s">
        <v>106</v>
      </c>
      <c r="H1700" s="30"/>
      <c r="I1700" s="30" t="s">
        <v>192</v>
      </c>
      <c r="J1700" s="30" t="s">
        <v>942</v>
      </c>
      <c r="K1700" s="30"/>
      <c r="L1700" s="30" t="s">
        <v>108</v>
      </c>
      <c r="M1700" s="30" t="s">
        <v>113</v>
      </c>
      <c r="N1700" s="30" t="s">
        <v>114</v>
      </c>
      <c r="O1700" s="30" t="s">
        <v>115</v>
      </c>
      <c r="P1700" s="30" t="s">
        <v>112</v>
      </c>
      <c r="Q1700" s="30" t="s">
        <v>112</v>
      </c>
      <c r="R1700" s="30" t="s">
        <v>185</v>
      </c>
      <c r="S1700" s="81">
        <f>HLOOKUP(L1700,データについて!$J$6:$M$18,13,FALSE)</f>
        <v>1</v>
      </c>
      <c r="T1700" s="81">
        <f>HLOOKUP(M1700,データについて!$J$7:$M$18,12,FALSE)</f>
        <v>1</v>
      </c>
      <c r="U1700" s="81">
        <f>HLOOKUP(N1700,データについて!$J$8:$M$18,11,FALSE)</f>
        <v>1</v>
      </c>
      <c r="V1700" s="81">
        <f>HLOOKUP(O1700,データについて!$J$9:$M$18,10,FALSE)</f>
        <v>1</v>
      </c>
      <c r="W1700" s="81">
        <f>HLOOKUP(P1700,データについて!$J$10:$M$18,9,FALSE)</f>
        <v>1</v>
      </c>
      <c r="X1700" s="81">
        <f>HLOOKUP(Q1700,データについて!$J$11:$M$18,8,FALSE)</f>
        <v>1</v>
      </c>
      <c r="Y1700" s="81">
        <f>HLOOKUP(R1700,データについて!$J$12:$M$18,7,FALSE)</f>
        <v>2</v>
      </c>
      <c r="Z1700" s="81">
        <f>HLOOKUP(I1700,データについて!$J$3:$M$18,16,FALSE)</f>
        <v>1</v>
      </c>
      <c r="AA1700" s="81">
        <f>IFERROR(HLOOKUP(J1700,データについて!$J$4:$AH$19,16,FALSE),"")</f>
        <v>7</v>
      </c>
      <c r="AB1700" s="81" t="str">
        <f>IFERROR(HLOOKUP(K1700,データについて!$J$5:$AH$20,14,FALSE),"")</f>
        <v/>
      </c>
      <c r="AC1700" s="81">
        <f>IF(X1700=1,HLOOKUP(R1700,データについて!$J$12:$M$18,7,FALSE),"*")</f>
        <v>2</v>
      </c>
      <c r="AD1700" s="81" t="str">
        <f>IF(X1700=2,HLOOKUP(R1700,データについて!$J$12:$M$18,7,FALSE),"*")</f>
        <v>*</v>
      </c>
    </row>
    <row r="1701" spans="1:30">
      <c r="A1701" s="30">
        <v>3491</v>
      </c>
      <c r="B1701" s="30" t="s">
        <v>1509</v>
      </c>
      <c r="C1701" s="30" t="s">
        <v>1510</v>
      </c>
      <c r="D1701" s="30" t="s">
        <v>106</v>
      </c>
      <c r="E1701" s="30"/>
      <c r="F1701" s="30" t="s">
        <v>107</v>
      </c>
      <c r="G1701" s="30" t="s">
        <v>106</v>
      </c>
      <c r="H1701" s="30"/>
      <c r="I1701" s="30" t="s">
        <v>192</v>
      </c>
      <c r="J1701" s="30" t="s">
        <v>942</v>
      </c>
      <c r="K1701" s="30"/>
      <c r="L1701" s="30" t="s">
        <v>108</v>
      </c>
      <c r="M1701" s="30" t="s">
        <v>113</v>
      </c>
      <c r="N1701" s="30" t="s">
        <v>114</v>
      </c>
      <c r="O1701" s="30" t="s">
        <v>115</v>
      </c>
      <c r="P1701" s="30" t="s">
        <v>112</v>
      </c>
      <c r="Q1701" s="30" t="s">
        <v>112</v>
      </c>
      <c r="R1701" s="30" t="s">
        <v>183</v>
      </c>
      <c r="S1701" s="81">
        <f>HLOOKUP(L1701,データについて!$J$6:$M$18,13,FALSE)</f>
        <v>1</v>
      </c>
      <c r="T1701" s="81">
        <f>HLOOKUP(M1701,データについて!$J$7:$M$18,12,FALSE)</f>
        <v>1</v>
      </c>
      <c r="U1701" s="81">
        <f>HLOOKUP(N1701,データについて!$J$8:$M$18,11,FALSE)</f>
        <v>1</v>
      </c>
      <c r="V1701" s="81">
        <f>HLOOKUP(O1701,データについて!$J$9:$M$18,10,FALSE)</f>
        <v>1</v>
      </c>
      <c r="W1701" s="81">
        <f>HLOOKUP(P1701,データについて!$J$10:$M$18,9,FALSE)</f>
        <v>1</v>
      </c>
      <c r="X1701" s="81">
        <f>HLOOKUP(Q1701,データについて!$J$11:$M$18,8,FALSE)</f>
        <v>1</v>
      </c>
      <c r="Y1701" s="81">
        <f>HLOOKUP(R1701,データについて!$J$12:$M$18,7,FALSE)</f>
        <v>1</v>
      </c>
      <c r="Z1701" s="81">
        <f>HLOOKUP(I1701,データについて!$J$3:$M$18,16,FALSE)</f>
        <v>1</v>
      </c>
      <c r="AA1701" s="81">
        <f>IFERROR(HLOOKUP(J1701,データについて!$J$4:$AH$19,16,FALSE),"")</f>
        <v>7</v>
      </c>
      <c r="AB1701" s="81" t="str">
        <f>IFERROR(HLOOKUP(K1701,データについて!$J$5:$AH$20,14,FALSE),"")</f>
        <v/>
      </c>
      <c r="AC1701" s="81">
        <f>IF(X1701=1,HLOOKUP(R1701,データについて!$J$12:$M$18,7,FALSE),"*")</f>
        <v>1</v>
      </c>
      <c r="AD1701" s="81" t="str">
        <f>IF(X1701=2,HLOOKUP(R1701,データについて!$J$12:$M$18,7,FALSE),"*")</f>
        <v>*</v>
      </c>
    </row>
    <row r="1702" spans="1:30">
      <c r="A1702" s="30">
        <v>3490</v>
      </c>
      <c r="B1702" s="30" t="s">
        <v>1511</v>
      </c>
      <c r="C1702" s="30" t="s">
        <v>1512</v>
      </c>
      <c r="D1702" s="30" t="s">
        <v>106</v>
      </c>
      <c r="E1702" s="30"/>
      <c r="F1702" s="30" t="s">
        <v>107</v>
      </c>
      <c r="G1702" s="30" t="s">
        <v>106</v>
      </c>
      <c r="H1702" s="30"/>
      <c r="I1702" s="30" t="s">
        <v>192</v>
      </c>
      <c r="J1702" s="30" t="s">
        <v>942</v>
      </c>
      <c r="K1702" s="30"/>
      <c r="L1702" s="30" t="s">
        <v>117</v>
      </c>
      <c r="M1702" s="30" t="s">
        <v>124</v>
      </c>
      <c r="N1702" s="30" t="s">
        <v>110</v>
      </c>
      <c r="O1702" s="30" t="s">
        <v>115</v>
      </c>
      <c r="P1702" s="30" t="s">
        <v>112</v>
      </c>
      <c r="Q1702" s="30" t="s">
        <v>112</v>
      </c>
      <c r="R1702" s="30" t="s">
        <v>187</v>
      </c>
      <c r="S1702" s="81">
        <f>HLOOKUP(L1702,データについて!$J$6:$M$18,13,FALSE)</f>
        <v>2</v>
      </c>
      <c r="T1702" s="81">
        <f>HLOOKUP(M1702,データについて!$J$7:$M$18,12,FALSE)</f>
        <v>3</v>
      </c>
      <c r="U1702" s="81">
        <f>HLOOKUP(N1702,データについて!$J$8:$M$18,11,FALSE)</f>
        <v>2</v>
      </c>
      <c r="V1702" s="81">
        <f>HLOOKUP(O1702,データについて!$J$9:$M$18,10,FALSE)</f>
        <v>1</v>
      </c>
      <c r="W1702" s="81">
        <f>HLOOKUP(P1702,データについて!$J$10:$M$18,9,FALSE)</f>
        <v>1</v>
      </c>
      <c r="X1702" s="81">
        <f>HLOOKUP(Q1702,データについて!$J$11:$M$18,8,FALSE)</f>
        <v>1</v>
      </c>
      <c r="Y1702" s="81">
        <f>HLOOKUP(R1702,データについて!$J$12:$M$18,7,FALSE)</f>
        <v>3</v>
      </c>
      <c r="Z1702" s="81">
        <f>HLOOKUP(I1702,データについて!$J$3:$M$18,16,FALSE)</f>
        <v>1</v>
      </c>
      <c r="AA1702" s="81">
        <f>IFERROR(HLOOKUP(J1702,データについて!$J$4:$AH$19,16,FALSE),"")</f>
        <v>7</v>
      </c>
      <c r="AB1702" s="81" t="str">
        <f>IFERROR(HLOOKUP(K1702,データについて!$J$5:$AH$20,14,FALSE),"")</f>
        <v/>
      </c>
      <c r="AC1702" s="81">
        <f>IF(X1702=1,HLOOKUP(R1702,データについて!$J$12:$M$18,7,FALSE),"*")</f>
        <v>3</v>
      </c>
      <c r="AD1702" s="81" t="str">
        <f>IF(X1702=2,HLOOKUP(R1702,データについて!$J$12:$M$18,7,FALSE),"*")</f>
        <v>*</v>
      </c>
    </row>
    <row r="1703" spans="1:30">
      <c r="A1703" s="30">
        <v>3489</v>
      </c>
      <c r="B1703" s="30" t="s">
        <v>1513</v>
      </c>
      <c r="C1703" s="30" t="s">
        <v>1512</v>
      </c>
      <c r="D1703" s="30" t="s">
        <v>106</v>
      </c>
      <c r="E1703" s="30"/>
      <c r="F1703" s="30" t="s">
        <v>107</v>
      </c>
      <c r="G1703" s="30" t="s">
        <v>106</v>
      </c>
      <c r="H1703" s="30"/>
      <c r="I1703" s="30" t="s">
        <v>192</v>
      </c>
      <c r="J1703" s="30" t="s">
        <v>942</v>
      </c>
      <c r="K1703" s="30"/>
      <c r="L1703" s="30" t="s">
        <v>117</v>
      </c>
      <c r="M1703" s="30" t="s">
        <v>113</v>
      </c>
      <c r="N1703" s="30" t="s">
        <v>114</v>
      </c>
      <c r="O1703" s="30" t="s">
        <v>115</v>
      </c>
      <c r="P1703" s="30" t="s">
        <v>112</v>
      </c>
      <c r="Q1703" s="30" t="s">
        <v>112</v>
      </c>
      <c r="R1703" s="30" t="s">
        <v>185</v>
      </c>
      <c r="S1703" s="81">
        <f>HLOOKUP(L1703,データについて!$J$6:$M$18,13,FALSE)</f>
        <v>2</v>
      </c>
      <c r="T1703" s="81">
        <f>HLOOKUP(M1703,データについて!$J$7:$M$18,12,FALSE)</f>
        <v>1</v>
      </c>
      <c r="U1703" s="81">
        <f>HLOOKUP(N1703,データについて!$J$8:$M$18,11,FALSE)</f>
        <v>1</v>
      </c>
      <c r="V1703" s="81">
        <f>HLOOKUP(O1703,データについて!$J$9:$M$18,10,FALSE)</f>
        <v>1</v>
      </c>
      <c r="W1703" s="81">
        <f>HLOOKUP(P1703,データについて!$J$10:$M$18,9,FALSE)</f>
        <v>1</v>
      </c>
      <c r="X1703" s="81">
        <f>HLOOKUP(Q1703,データについて!$J$11:$M$18,8,FALSE)</f>
        <v>1</v>
      </c>
      <c r="Y1703" s="81">
        <f>HLOOKUP(R1703,データについて!$J$12:$M$18,7,FALSE)</f>
        <v>2</v>
      </c>
      <c r="Z1703" s="81">
        <f>HLOOKUP(I1703,データについて!$J$3:$M$18,16,FALSE)</f>
        <v>1</v>
      </c>
      <c r="AA1703" s="81">
        <f>IFERROR(HLOOKUP(J1703,データについて!$J$4:$AH$19,16,FALSE),"")</f>
        <v>7</v>
      </c>
      <c r="AB1703" s="81" t="str">
        <f>IFERROR(HLOOKUP(K1703,データについて!$J$5:$AH$20,14,FALSE),"")</f>
        <v/>
      </c>
      <c r="AC1703" s="81">
        <f>IF(X1703=1,HLOOKUP(R1703,データについて!$J$12:$M$18,7,FALSE),"*")</f>
        <v>2</v>
      </c>
      <c r="AD1703" s="81" t="str">
        <f>IF(X1703=2,HLOOKUP(R1703,データについて!$J$12:$M$18,7,FALSE),"*")</f>
        <v>*</v>
      </c>
    </row>
    <row r="1704" spans="1:30">
      <c r="A1704" s="30">
        <v>3488</v>
      </c>
      <c r="B1704" s="30" t="s">
        <v>1514</v>
      </c>
      <c r="C1704" s="30" t="s">
        <v>1515</v>
      </c>
      <c r="D1704" s="30" t="s">
        <v>106</v>
      </c>
      <c r="E1704" s="30"/>
      <c r="F1704" s="30" t="s">
        <v>107</v>
      </c>
      <c r="G1704" s="30" t="s">
        <v>106</v>
      </c>
      <c r="H1704" s="30"/>
      <c r="I1704" s="30" t="s">
        <v>192</v>
      </c>
      <c r="J1704" s="30" t="s">
        <v>942</v>
      </c>
      <c r="K1704" s="30"/>
      <c r="L1704" s="30" t="s">
        <v>117</v>
      </c>
      <c r="M1704" s="30" t="s">
        <v>113</v>
      </c>
      <c r="N1704" s="30" t="s">
        <v>122</v>
      </c>
      <c r="O1704" s="30" t="s">
        <v>115</v>
      </c>
      <c r="P1704" s="30" t="s">
        <v>118</v>
      </c>
      <c r="Q1704" s="30" t="s">
        <v>112</v>
      </c>
      <c r="R1704" s="30" t="s">
        <v>187</v>
      </c>
      <c r="S1704" s="81">
        <f>HLOOKUP(L1704,データについて!$J$6:$M$18,13,FALSE)</f>
        <v>2</v>
      </c>
      <c r="T1704" s="81">
        <f>HLOOKUP(M1704,データについて!$J$7:$M$18,12,FALSE)</f>
        <v>1</v>
      </c>
      <c r="U1704" s="81">
        <f>HLOOKUP(N1704,データについて!$J$8:$M$18,11,FALSE)</f>
        <v>3</v>
      </c>
      <c r="V1704" s="81">
        <f>HLOOKUP(O1704,データについて!$J$9:$M$18,10,FALSE)</f>
        <v>1</v>
      </c>
      <c r="W1704" s="81">
        <f>HLOOKUP(P1704,データについて!$J$10:$M$18,9,FALSE)</f>
        <v>2</v>
      </c>
      <c r="X1704" s="81">
        <f>HLOOKUP(Q1704,データについて!$J$11:$M$18,8,FALSE)</f>
        <v>1</v>
      </c>
      <c r="Y1704" s="81">
        <f>HLOOKUP(R1704,データについて!$J$12:$M$18,7,FALSE)</f>
        <v>3</v>
      </c>
      <c r="Z1704" s="81">
        <f>HLOOKUP(I1704,データについて!$J$3:$M$18,16,FALSE)</f>
        <v>1</v>
      </c>
      <c r="AA1704" s="81">
        <f>IFERROR(HLOOKUP(J1704,データについて!$J$4:$AH$19,16,FALSE),"")</f>
        <v>7</v>
      </c>
      <c r="AB1704" s="81" t="str">
        <f>IFERROR(HLOOKUP(K1704,データについて!$J$5:$AH$20,14,FALSE),"")</f>
        <v/>
      </c>
      <c r="AC1704" s="81">
        <f>IF(X1704=1,HLOOKUP(R1704,データについて!$J$12:$M$18,7,FALSE),"*")</f>
        <v>3</v>
      </c>
      <c r="AD1704" s="81" t="str">
        <f>IF(X1704=2,HLOOKUP(R1704,データについて!$J$12:$M$18,7,FALSE),"*")</f>
        <v>*</v>
      </c>
    </row>
    <row r="1705" spans="1:30">
      <c r="A1705" s="30">
        <v>3487</v>
      </c>
      <c r="B1705" s="30" t="s">
        <v>1516</v>
      </c>
      <c r="C1705" s="30" t="s">
        <v>1517</v>
      </c>
      <c r="D1705" s="30" t="s">
        <v>106</v>
      </c>
      <c r="E1705" s="30"/>
      <c r="F1705" s="30" t="s">
        <v>107</v>
      </c>
      <c r="G1705" s="30" t="s">
        <v>106</v>
      </c>
      <c r="H1705" s="30"/>
      <c r="I1705" s="30" t="s">
        <v>192</v>
      </c>
      <c r="J1705" s="30" t="s">
        <v>942</v>
      </c>
      <c r="K1705" s="30"/>
      <c r="L1705" s="30" t="s">
        <v>117</v>
      </c>
      <c r="M1705" s="30" t="s">
        <v>113</v>
      </c>
      <c r="N1705" s="30" t="s">
        <v>114</v>
      </c>
      <c r="O1705" s="30" t="s">
        <v>115</v>
      </c>
      <c r="P1705" s="30" t="s">
        <v>112</v>
      </c>
      <c r="Q1705" s="30" t="s">
        <v>112</v>
      </c>
      <c r="R1705" s="30" t="s">
        <v>183</v>
      </c>
      <c r="S1705" s="81">
        <f>HLOOKUP(L1705,データについて!$J$6:$M$18,13,FALSE)</f>
        <v>2</v>
      </c>
      <c r="T1705" s="81">
        <f>HLOOKUP(M1705,データについて!$J$7:$M$18,12,FALSE)</f>
        <v>1</v>
      </c>
      <c r="U1705" s="81">
        <f>HLOOKUP(N1705,データについて!$J$8:$M$18,11,FALSE)</f>
        <v>1</v>
      </c>
      <c r="V1705" s="81">
        <f>HLOOKUP(O1705,データについて!$J$9:$M$18,10,FALSE)</f>
        <v>1</v>
      </c>
      <c r="W1705" s="81">
        <f>HLOOKUP(P1705,データについて!$J$10:$M$18,9,FALSE)</f>
        <v>1</v>
      </c>
      <c r="X1705" s="81">
        <f>HLOOKUP(Q1705,データについて!$J$11:$M$18,8,FALSE)</f>
        <v>1</v>
      </c>
      <c r="Y1705" s="81">
        <f>HLOOKUP(R1705,データについて!$J$12:$M$18,7,FALSE)</f>
        <v>1</v>
      </c>
      <c r="Z1705" s="81">
        <f>HLOOKUP(I1705,データについて!$J$3:$M$18,16,FALSE)</f>
        <v>1</v>
      </c>
      <c r="AA1705" s="81">
        <f>IFERROR(HLOOKUP(J1705,データについて!$J$4:$AH$19,16,FALSE),"")</f>
        <v>7</v>
      </c>
      <c r="AB1705" s="81" t="str">
        <f>IFERROR(HLOOKUP(K1705,データについて!$J$5:$AH$20,14,FALSE),"")</f>
        <v/>
      </c>
      <c r="AC1705" s="81">
        <f>IF(X1705=1,HLOOKUP(R1705,データについて!$J$12:$M$18,7,FALSE),"*")</f>
        <v>1</v>
      </c>
      <c r="AD1705" s="81" t="str">
        <f>IF(X1705=2,HLOOKUP(R1705,データについて!$J$12:$M$18,7,FALSE),"*")</f>
        <v>*</v>
      </c>
    </row>
    <row r="1706" spans="1:30">
      <c r="A1706" s="30">
        <v>3486</v>
      </c>
      <c r="B1706" s="30" t="s">
        <v>1518</v>
      </c>
      <c r="C1706" s="30" t="s">
        <v>1519</v>
      </c>
      <c r="D1706" s="30" t="s">
        <v>106</v>
      </c>
      <c r="E1706" s="30"/>
      <c r="F1706" s="30" t="s">
        <v>107</v>
      </c>
      <c r="G1706" s="30" t="s">
        <v>106</v>
      </c>
      <c r="H1706" s="30"/>
      <c r="I1706" s="30" t="s">
        <v>192</v>
      </c>
      <c r="J1706" s="30" t="s">
        <v>125</v>
      </c>
      <c r="K1706" s="30"/>
      <c r="L1706" s="30" t="s">
        <v>117</v>
      </c>
      <c r="M1706" s="30" t="s">
        <v>113</v>
      </c>
      <c r="N1706" s="30" t="s">
        <v>114</v>
      </c>
      <c r="O1706" s="30" t="s">
        <v>115</v>
      </c>
      <c r="P1706" s="30" t="s">
        <v>112</v>
      </c>
      <c r="Q1706" s="30" t="s">
        <v>112</v>
      </c>
      <c r="R1706" s="30" t="s">
        <v>185</v>
      </c>
      <c r="S1706" s="81">
        <f>HLOOKUP(L1706,データについて!$J$6:$M$18,13,FALSE)</f>
        <v>2</v>
      </c>
      <c r="T1706" s="81">
        <f>HLOOKUP(M1706,データについて!$J$7:$M$18,12,FALSE)</f>
        <v>1</v>
      </c>
      <c r="U1706" s="81">
        <f>HLOOKUP(N1706,データについて!$J$8:$M$18,11,FALSE)</f>
        <v>1</v>
      </c>
      <c r="V1706" s="81">
        <f>HLOOKUP(O1706,データについて!$J$9:$M$18,10,FALSE)</f>
        <v>1</v>
      </c>
      <c r="W1706" s="81">
        <f>HLOOKUP(P1706,データについて!$J$10:$M$18,9,FALSE)</f>
        <v>1</v>
      </c>
      <c r="X1706" s="81">
        <f>HLOOKUP(Q1706,データについて!$J$11:$M$18,8,FALSE)</f>
        <v>1</v>
      </c>
      <c r="Y1706" s="81">
        <f>HLOOKUP(R1706,データについて!$J$12:$M$18,7,FALSE)</f>
        <v>2</v>
      </c>
      <c r="Z1706" s="81">
        <f>HLOOKUP(I1706,データについて!$J$3:$M$18,16,FALSE)</f>
        <v>1</v>
      </c>
      <c r="AA1706" s="81">
        <f>IFERROR(HLOOKUP(J1706,データについて!$J$4:$AH$19,16,FALSE),"")</f>
        <v>6</v>
      </c>
      <c r="AB1706" s="81" t="str">
        <f>IFERROR(HLOOKUP(K1706,データについて!$J$5:$AH$20,14,FALSE),"")</f>
        <v/>
      </c>
      <c r="AC1706" s="81">
        <f>IF(X1706=1,HLOOKUP(R1706,データについて!$J$12:$M$18,7,FALSE),"*")</f>
        <v>2</v>
      </c>
      <c r="AD1706" s="81" t="str">
        <f>IF(X1706=2,HLOOKUP(R1706,データについて!$J$12:$M$18,7,FALSE),"*")</f>
        <v>*</v>
      </c>
    </row>
    <row r="1707" spans="1:30">
      <c r="A1707" s="30">
        <v>3485</v>
      </c>
      <c r="B1707" s="30" t="s">
        <v>1520</v>
      </c>
      <c r="C1707" s="30" t="s">
        <v>1521</v>
      </c>
      <c r="D1707" s="30" t="s">
        <v>106</v>
      </c>
      <c r="E1707" s="30"/>
      <c r="F1707" s="30" t="s">
        <v>107</v>
      </c>
      <c r="G1707" s="30" t="s">
        <v>106</v>
      </c>
      <c r="H1707" s="30"/>
      <c r="I1707" s="30" t="s">
        <v>192</v>
      </c>
      <c r="J1707" s="30" t="s">
        <v>128</v>
      </c>
      <c r="K1707" s="30"/>
      <c r="L1707" s="30" t="s">
        <v>108</v>
      </c>
      <c r="M1707" s="30" t="s">
        <v>109</v>
      </c>
      <c r="N1707" s="30" t="s">
        <v>114</v>
      </c>
      <c r="O1707" s="30" t="s">
        <v>115</v>
      </c>
      <c r="P1707" s="30" t="s">
        <v>112</v>
      </c>
      <c r="Q1707" s="30" t="s">
        <v>112</v>
      </c>
      <c r="R1707" s="30" t="s">
        <v>185</v>
      </c>
      <c r="S1707" s="81">
        <f>HLOOKUP(L1707,データについて!$J$6:$M$18,13,FALSE)</f>
        <v>1</v>
      </c>
      <c r="T1707" s="81">
        <f>HLOOKUP(M1707,データについて!$J$7:$M$18,12,FALSE)</f>
        <v>2</v>
      </c>
      <c r="U1707" s="81">
        <f>HLOOKUP(N1707,データについて!$J$8:$M$18,11,FALSE)</f>
        <v>1</v>
      </c>
      <c r="V1707" s="81">
        <f>HLOOKUP(O1707,データについて!$J$9:$M$18,10,FALSE)</f>
        <v>1</v>
      </c>
      <c r="W1707" s="81">
        <f>HLOOKUP(P1707,データについて!$J$10:$M$18,9,FALSE)</f>
        <v>1</v>
      </c>
      <c r="X1707" s="81">
        <f>HLOOKUP(Q1707,データについて!$J$11:$M$18,8,FALSE)</f>
        <v>1</v>
      </c>
      <c r="Y1707" s="81">
        <f>HLOOKUP(R1707,データについて!$J$12:$M$18,7,FALSE)</f>
        <v>2</v>
      </c>
      <c r="Z1707" s="81">
        <f>HLOOKUP(I1707,データについて!$J$3:$M$18,16,FALSE)</f>
        <v>1</v>
      </c>
      <c r="AA1707" s="81">
        <f>IFERROR(HLOOKUP(J1707,データについて!$J$4:$AH$19,16,FALSE),"")</f>
        <v>1</v>
      </c>
      <c r="AB1707" s="81" t="str">
        <f>IFERROR(HLOOKUP(K1707,データについて!$J$5:$AH$20,14,FALSE),"")</f>
        <v/>
      </c>
      <c r="AC1707" s="81">
        <f>IF(X1707=1,HLOOKUP(R1707,データについて!$J$12:$M$18,7,FALSE),"*")</f>
        <v>2</v>
      </c>
      <c r="AD1707" s="81" t="str">
        <f>IF(X1707=2,HLOOKUP(R1707,データについて!$J$12:$M$18,7,FALSE),"*")</f>
        <v>*</v>
      </c>
    </row>
    <row r="1708" spans="1:30">
      <c r="A1708" s="30">
        <v>3484</v>
      </c>
      <c r="B1708" s="30" t="s">
        <v>1522</v>
      </c>
      <c r="C1708" s="30" t="s">
        <v>1523</v>
      </c>
      <c r="D1708" s="30" t="s">
        <v>106</v>
      </c>
      <c r="E1708" s="30"/>
      <c r="F1708" s="30" t="s">
        <v>107</v>
      </c>
      <c r="G1708" s="30" t="s">
        <v>106</v>
      </c>
      <c r="H1708" s="30"/>
      <c r="I1708" s="30" t="s">
        <v>192</v>
      </c>
      <c r="J1708" s="30" t="s">
        <v>942</v>
      </c>
      <c r="K1708" s="30"/>
      <c r="L1708" s="30" t="s">
        <v>108</v>
      </c>
      <c r="M1708" s="30" t="s">
        <v>109</v>
      </c>
      <c r="N1708" s="30" t="s">
        <v>110</v>
      </c>
      <c r="O1708" s="30" t="s">
        <v>115</v>
      </c>
      <c r="P1708" s="30" t="s">
        <v>112</v>
      </c>
      <c r="Q1708" s="30" t="s">
        <v>112</v>
      </c>
      <c r="R1708" s="30" t="s">
        <v>183</v>
      </c>
      <c r="S1708" s="81">
        <f>HLOOKUP(L1708,データについて!$J$6:$M$18,13,FALSE)</f>
        <v>1</v>
      </c>
      <c r="T1708" s="81">
        <f>HLOOKUP(M1708,データについて!$J$7:$M$18,12,FALSE)</f>
        <v>2</v>
      </c>
      <c r="U1708" s="81">
        <f>HLOOKUP(N1708,データについて!$J$8:$M$18,11,FALSE)</f>
        <v>2</v>
      </c>
      <c r="V1708" s="81">
        <f>HLOOKUP(O1708,データについて!$J$9:$M$18,10,FALSE)</f>
        <v>1</v>
      </c>
      <c r="W1708" s="81">
        <f>HLOOKUP(P1708,データについて!$J$10:$M$18,9,FALSE)</f>
        <v>1</v>
      </c>
      <c r="X1708" s="81">
        <f>HLOOKUP(Q1708,データについて!$J$11:$M$18,8,FALSE)</f>
        <v>1</v>
      </c>
      <c r="Y1708" s="81">
        <f>HLOOKUP(R1708,データについて!$J$12:$M$18,7,FALSE)</f>
        <v>1</v>
      </c>
      <c r="Z1708" s="81">
        <f>HLOOKUP(I1708,データについて!$J$3:$M$18,16,FALSE)</f>
        <v>1</v>
      </c>
      <c r="AA1708" s="81">
        <f>IFERROR(HLOOKUP(J1708,データについて!$J$4:$AH$19,16,FALSE),"")</f>
        <v>7</v>
      </c>
      <c r="AB1708" s="81" t="str">
        <f>IFERROR(HLOOKUP(K1708,データについて!$J$5:$AH$20,14,FALSE),"")</f>
        <v/>
      </c>
      <c r="AC1708" s="81">
        <f>IF(X1708=1,HLOOKUP(R1708,データについて!$J$12:$M$18,7,FALSE),"*")</f>
        <v>1</v>
      </c>
      <c r="AD1708" s="81" t="str">
        <f>IF(X1708=2,HLOOKUP(R1708,データについて!$J$12:$M$18,7,FALSE),"*")</f>
        <v>*</v>
      </c>
    </row>
    <row r="1709" spans="1:30">
      <c r="A1709" s="30">
        <v>3483</v>
      </c>
      <c r="B1709" s="30" t="s">
        <v>1524</v>
      </c>
      <c r="C1709" s="30" t="s">
        <v>1525</v>
      </c>
      <c r="D1709" s="30" t="s">
        <v>106</v>
      </c>
      <c r="E1709" s="30"/>
      <c r="F1709" s="30" t="s">
        <v>107</v>
      </c>
      <c r="G1709" s="30" t="s">
        <v>106</v>
      </c>
      <c r="H1709" s="30"/>
      <c r="I1709" s="30" t="s">
        <v>192</v>
      </c>
      <c r="J1709" s="30" t="s">
        <v>128</v>
      </c>
      <c r="K1709" s="30"/>
      <c r="L1709" s="30" t="s">
        <v>117</v>
      </c>
      <c r="M1709" s="30" t="s">
        <v>113</v>
      </c>
      <c r="N1709" s="30" t="s">
        <v>114</v>
      </c>
      <c r="O1709" s="30" t="s">
        <v>115</v>
      </c>
      <c r="P1709" s="30" t="s">
        <v>112</v>
      </c>
      <c r="Q1709" s="30" t="s">
        <v>112</v>
      </c>
      <c r="R1709" s="30" t="s">
        <v>185</v>
      </c>
      <c r="S1709" s="81">
        <f>HLOOKUP(L1709,データについて!$J$6:$M$18,13,FALSE)</f>
        <v>2</v>
      </c>
      <c r="T1709" s="81">
        <f>HLOOKUP(M1709,データについて!$J$7:$M$18,12,FALSE)</f>
        <v>1</v>
      </c>
      <c r="U1709" s="81">
        <f>HLOOKUP(N1709,データについて!$J$8:$M$18,11,FALSE)</f>
        <v>1</v>
      </c>
      <c r="V1709" s="81">
        <f>HLOOKUP(O1709,データについて!$J$9:$M$18,10,FALSE)</f>
        <v>1</v>
      </c>
      <c r="W1709" s="81">
        <f>HLOOKUP(P1709,データについて!$J$10:$M$18,9,FALSE)</f>
        <v>1</v>
      </c>
      <c r="X1709" s="81">
        <f>HLOOKUP(Q1709,データについて!$J$11:$M$18,8,FALSE)</f>
        <v>1</v>
      </c>
      <c r="Y1709" s="81">
        <f>HLOOKUP(R1709,データについて!$J$12:$M$18,7,FALSE)</f>
        <v>2</v>
      </c>
      <c r="Z1709" s="81">
        <f>HLOOKUP(I1709,データについて!$J$3:$M$18,16,FALSE)</f>
        <v>1</v>
      </c>
      <c r="AA1709" s="81">
        <f>IFERROR(HLOOKUP(J1709,データについて!$J$4:$AH$19,16,FALSE),"")</f>
        <v>1</v>
      </c>
      <c r="AB1709" s="81" t="str">
        <f>IFERROR(HLOOKUP(K1709,データについて!$J$5:$AH$20,14,FALSE),"")</f>
        <v/>
      </c>
      <c r="AC1709" s="81">
        <f>IF(X1709=1,HLOOKUP(R1709,データについて!$J$12:$M$18,7,FALSE),"*")</f>
        <v>2</v>
      </c>
      <c r="AD1709" s="81" t="str">
        <f>IF(X1709=2,HLOOKUP(R1709,データについて!$J$12:$M$18,7,FALSE),"*")</f>
        <v>*</v>
      </c>
    </row>
    <row r="1710" spans="1:30">
      <c r="A1710" s="30">
        <v>3482</v>
      </c>
      <c r="B1710" s="30" t="s">
        <v>1526</v>
      </c>
      <c r="C1710" s="30" t="s">
        <v>1527</v>
      </c>
      <c r="D1710" s="30" t="s">
        <v>106</v>
      </c>
      <c r="E1710" s="30"/>
      <c r="F1710" s="30" t="s">
        <v>107</v>
      </c>
      <c r="G1710" s="30" t="s">
        <v>106</v>
      </c>
      <c r="H1710" s="30"/>
      <c r="I1710" s="30" t="s">
        <v>192</v>
      </c>
      <c r="J1710" s="30" t="s">
        <v>128</v>
      </c>
      <c r="K1710" s="30"/>
      <c r="L1710" s="30" t="s">
        <v>108</v>
      </c>
      <c r="M1710" s="30" t="s">
        <v>109</v>
      </c>
      <c r="N1710" s="30" t="s">
        <v>110</v>
      </c>
      <c r="O1710" s="30" t="s">
        <v>115</v>
      </c>
      <c r="P1710" s="30" t="s">
        <v>112</v>
      </c>
      <c r="Q1710" s="30" t="s">
        <v>112</v>
      </c>
      <c r="R1710" s="30" t="s">
        <v>183</v>
      </c>
      <c r="S1710" s="81">
        <f>HLOOKUP(L1710,データについて!$J$6:$M$18,13,FALSE)</f>
        <v>1</v>
      </c>
      <c r="T1710" s="81">
        <f>HLOOKUP(M1710,データについて!$J$7:$M$18,12,FALSE)</f>
        <v>2</v>
      </c>
      <c r="U1710" s="81">
        <f>HLOOKUP(N1710,データについて!$J$8:$M$18,11,FALSE)</f>
        <v>2</v>
      </c>
      <c r="V1710" s="81">
        <f>HLOOKUP(O1710,データについて!$J$9:$M$18,10,FALSE)</f>
        <v>1</v>
      </c>
      <c r="W1710" s="81">
        <f>HLOOKUP(P1710,データについて!$J$10:$M$18,9,FALSE)</f>
        <v>1</v>
      </c>
      <c r="X1710" s="81">
        <f>HLOOKUP(Q1710,データについて!$J$11:$M$18,8,FALSE)</f>
        <v>1</v>
      </c>
      <c r="Y1710" s="81">
        <f>HLOOKUP(R1710,データについて!$J$12:$M$18,7,FALSE)</f>
        <v>1</v>
      </c>
      <c r="Z1710" s="81">
        <f>HLOOKUP(I1710,データについて!$J$3:$M$18,16,FALSE)</f>
        <v>1</v>
      </c>
      <c r="AA1710" s="81">
        <f>IFERROR(HLOOKUP(J1710,データについて!$J$4:$AH$19,16,FALSE),"")</f>
        <v>1</v>
      </c>
      <c r="AB1710" s="81" t="str">
        <f>IFERROR(HLOOKUP(K1710,データについて!$J$5:$AH$20,14,FALSE),"")</f>
        <v/>
      </c>
      <c r="AC1710" s="81">
        <f>IF(X1710=1,HLOOKUP(R1710,データについて!$J$12:$M$18,7,FALSE),"*")</f>
        <v>1</v>
      </c>
      <c r="AD1710" s="81" t="str">
        <f>IF(X1710=2,HLOOKUP(R1710,データについて!$J$12:$M$18,7,FALSE),"*")</f>
        <v>*</v>
      </c>
    </row>
    <row r="1711" spans="1:30">
      <c r="A1711" s="30">
        <v>3481</v>
      </c>
      <c r="B1711" s="30" t="s">
        <v>1528</v>
      </c>
      <c r="C1711" s="30" t="s">
        <v>1529</v>
      </c>
      <c r="D1711" s="30" t="s">
        <v>106</v>
      </c>
      <c r="E1711" s="30"/>
      <c r="F1711" s="30" t="s">
        <v>107</v>
      </c>
      <c r="G1711" s="30" t="s">
        <v>106</v>
      </c>
      <c r="H1711" s="30"/>
      <c r="I1711" s="30" t="s">
        <v>192</v>
      </c>
      <c r="J1711" s="30" t="s">
        <v>942</v>
      </c>
      <c r="K1711" s="30"/>
      <c r="L1711" s="30" t="s">
        <v>117</v>
      </c>
      <c r="M1711" s="30" t="s">
        <v>113</v>
      </c>
      <c r="N1711" s="30" t="s">
        <v>114</v>
      </c>
      <c r="O1711" s="30" t="s">
        <v>115</v>
      </c>
      <c r="P1711" s="30" t="s">
        <v>112</v>
      </c>
      <c r="Q1711" s="30" t="s">
        <v>112</v>
      </c>
      <c r="R1711" s="30" t="s">
        <v>183</v>
      </c>
      <c r="S1711" s="81">
        <f>HLOOKUP(L1711,データについて!$J$6:$M$18,13,FALSE)</f>
        <v>2</v>
      </c>
      <c r="T1711" s="81">
        <f>HLOOKUP(M1711,データについて!$J$7:$M$18,12,FALSE)</f>
        <v>1</v>
      </c>
      <c r="U1711" s="81">
        <f>HLOOKUP(N1711,データについて!$J$8:$M$18,11,FALSE)</f>
        <v>1</v>
      </c>
      <c r="V1711" s="81">
        <f>HLOOKUP(O1711,データについて!$J$9:$M$18,10,FALSE)</f>
        <v>1</v>
      </c>
      <c r="W1711" s="81">
        <f>HLOOKUP(P1711,データについて!$J$10:$M$18,9,FALSE)</f>
        <v>1</v>
      </c>
      <c r="X1711" s="81">
        <f>HLOOKUP(Q1711,データについて!$J$11:$M$18,8,FALSE)</f>
        <v>1</v>
      </c>
      <c r="Y1711" s="81">
        <f>HLOOKUP(R1711,データについて!$J$12:$M$18,7,FALSE)</f>
        <v>1</v>
      </c>
      <c r="Z1711" s="81">
        <f>HLOOKUP(I1711,データについて!$J$3:$M$18,16,FALSE)</f>
        <v>1</v>
      </c>
      <c r="AA1711" s="81">
        <f>IFERROR(HLOOKUP(J1711,データについて!$J$4:$AH$19,16,FALSE),"")</f>
        <v>7</v>
      </c>
      <c r="AB1711" s="81" t="str">
        <f>IFERROR(HLOOKUP(K1711,データについて!$J$5:$AH$20,14,FALSE),"")</f>
        <v/>
      </c>
      <c r="AC1711" s="81">
        <f>IF(X1711=1,HLOOKUP(R1711,データについて!$J$12:$M$18,7,FALSE),"*")</f>
        <v>1</v>
      </c>
      <c r="AD1711" s="81" t="str">
        <f>IF(X1711=2,HLOOKUP(R1711,データについて!$J$12:$M$18,7,FALSE),"*")</f>
        <v>*</v>
      </c>
    </row>
    <row r="1712" spans="1:30">
      <c r="A1712" s="30">
        <v>3480</v>
      </c>
      <c r="B1712" s="30" t="s">
        <v>1530</v>
      </c>
      <c r="C1712" s="30" t="s">
        <v>1531</v>
      </c>
      <c r="D1712" s="30" t="s">
        <v>106</v>
      </c>
      <c r="E1712" s="30"/>
      <c r="F1712" s="30" t="s">
        <v>107</v>
      </c>
      <c r="G1712" s="30" t="s">
        <v>106</v>
      </c>
      <c r="H1712" s="30"/>
      <c r="I1712" s="30" t="s">
        <v>192</v>
      </c>
      <c r="J1712" s="30" t="s">
        <v>942</v>
      </c>
      <c r="K1712" s="30"/>
      <c r="L1712" s="30" t="s">
        <v>108</v>
      </c>
      <c r="M1712" s="30" t="s">
        <v>113</v>
      </c>
      <c r="N1712" s="30" t="s">
        <v>114</v>
      </c>
      <c r="O1712" s="30" t="s">
        <v>115</v>
      </c>
      <c r="P1712" s="30" t="s">
        <v>112</v>
      </c>
      <c r="Q1712" s="30" t="s">
        <v>112</v>
      </c>
      <c r="R1712" s="30" t="s">
        <v>185</v>
      </c>
      <c r="S1712" s="81">
        <f>HLOOKUP(L1712,データについて!$J$6:$M$18,13,FALSE)</f>
        <v>1</v>
      </c>
      <c r="T1712" s="81">
        <f>HLOOKUP(M1712,データについて!$J$7:$M$18,12,FALSE)</f>
        <v>1</v>
      </c>
      <c r="U1712" s="81">
        <f>HLOOKUP(N1712,データについて!$J$8:$M$18,11,FALSE)</f>
        <v>1</v>
      </c>
      <c r="V1712" s="81">
        <f>HLOOKUP(O1712,データについて!$J$9:$M$18,10,FALSE)</f>
        <v>1</v>
      </c>
      <c r="W1712" s="81">
        <f>HLOOKUP(P1712,データについて!$J$10:$M$18,9,FALSE)</f>
        <v>1</v>
      </c>
      <c r="X1712" s="81">
        <f>HLOOKUP(Q1712,データについて!$J$11:$M$18,8,FALSE)</f>
        <v>1</v>
      </c>
      <c r="Y1712" s="81">
        <f>HLOOKUP(R1712,データについて!$J$12:$M$18,7,FALSE)</f>
        <v>2</v>
      </c>
      <c r="Z1712" s="81">
        <f>HLOOKUP(I1712,データについて!$J$3:$M$18,16,FALSE)</f>
        <v>1</v>
      </c>
      <c r="AA1712" s="81">
        <f>IFERROR(HLOOKUP(J1712,データについて!$J$4:$AH$19,16,FALSE),"")</f>
        <v>7</v>
      </c>
      <c r="AB1712" s="81" t="str">
        <f>IFERROR(HLOOKUP(K1712,データについて!$J$5:$AH$20,14,FALSE),"")</f>
        <v/>
      </c>
      <c r="AC1712" s="81">
        <f>IF(X1712=1,HLOOKUP(R1712,データについて!$J$12:$M$18,7,FALSE),"*")</f>
        <v>2</v>
      </c>
      <c r="AD1712" s="81" t="str">
        <f>IF(X1712=2,HLOOKUP(R1712,データについて!$J$12:$M$18,7,FALSE),"*")</f>
        <v>*</v>
      </c>
    </row>
    <row r="1713" spans="1:30">
      <c r="A1713" s="30">
        <v>3479</v>
      </c>
      <c r="B1713" s="30" t="s">
        <v>1532</v>
      </c>
      <c r="C1713" s="30" t="s">
        <v>1533</v>
      </c>
      <c r="D1713" s="30" t="s">
        <v>106</v>
      </c>
      <c r="E1713" s="30"/>
      <c r="F1713" s="30" t="s">
        <v>107</v>
      </c>
      <c r="G1713" s="30" t="s">
        <v>106</v>
      </c>
      <c r="H1713" s="30"/>
      <c r="I1713" s="30" t="s">
        <v>192</v>
      </c>
      <c r="J1713" s="30" t="s">
        <v>942</v>
      </c>
      <c r="K1713" s="30"/>
      <c r="L1713" s="30" t="s">
        <v>108</v>
      </c>
      <c r="M1713" s="30" t="s">
        <v>109</v>
      </c>
      <c r="N1713" s="30" t="s">
        <v>114</v>
      </c>
      <c r="O1713" s="30" t="s">
        <v>115</v>
      </c>
      <c r="P1713" s="30" t="s">
        <v>112</v>
      </c>
      <c r="Q1713" s="30" t="s">
        <v>112</v>
      </c>
      <c r="R1713" s="30" t="s">
        <v>185</v>
      </c>
      <c r="S1713" s="81">
        <f>HLOOKUP(L1713,データについて!$J$6:$M$18,13,FALSE)</f>
        <v>1</v>
      </c>
      <c r="T1713" s="81">
        <f>HLOOKUP(M1713,データについて!$J$7:$M$18,12,FALSE)</f>
        <v>2</v>
      </c>
      <c r="U1713" s="81">
        <f>HLOOKUP(N1713,データについて!$J$8:$M$18,11,FALSE)</f>
        <v>1</v>
      </c>
      <c r="V1713" s="81">
        <f>HLOOKUP(O1713,データについて!$J$9:$M$18,10,FALSE)</f>
        <v>1</v>
      </c>
      <c r="W1713" s="81">
        <f>HLOOKUP(P1713,データについて!$J$10:$M$18,9,FALSE)</f>
        <v>1</v>
      </c>
      <c r="X1713" s="81">
        <f>HLOOKUP(Q1713,データについて!$J$11:$M$18,8,FALSE)</f>
        <v>1</v>
      </c>
      <c r="Y1713" s="81">
        <f>HLOOKUP(R1713,データについて!$J$12:$M$18,7,FALSE)</f>
        <v>2</v>
      </c>
      <c r="Z1713" s="81">
        <f>HLOOKUP(I1713,データについて!$J$3:$M$18,16,FALSE)</f>
        <v>1</v>
      </c>
      <c r="AA1713" s="81">
        <f>IFERROR(HLOOKUP(J1713,データについて!$J$4:$AH$19,16,FALSE),"")</f>
        <v>7</v>
      </c>
      <c r="AB1713" s="81" t="str">
        <f>IFERROR(HLOOKUP(K1713,データについて!$J$5:$AH$20,14,FALSE),"")</f>
        <v/>
      </c>
      <c r="AC1713" s="81">
        <f>IF(X1713=1,HLOOKUP(R1713,データについて!$J$12:$M$18,7,FALSE),"*")</f>
        <v>2</v>
      </c>
      <c r="AD1713" s="81" t="str">
        <f>IF(X1713=2,HLOOKUP(R1713,データについて!$J$12:$M$18,7,FALSE),"*")</f>
        <v>*</v>
      </c>
    </row>
    <row r="1714" spans="1:30">
      <c r="A1714" s="30">
        <v>3478</v>
      </c>
      <c r="B1714" s="30" t="s">
        <v>1534</v>
      </c>
      <c r="C1714" s="30" t="s">
        <v>1535</v>
      </c>
      <c r="D1714" s="30" t="s">
        <v>106</v>
      </c>
      <c r="E1714" s="30"/>
      <c r="F1714" s="30" t="s">
        <v>107</v>
      </c>
      <c r="G1714" s="30" t="s">
        <v>106</v>
      </c>
      <c r="H1714" s="30"/>
      <c r="I1714" s="30" t="s">
        <v>192</v>
      </c>
      <c r="J1714" s="30" t="s">
        <v>942</v>
      </c>
      <c r="K1714" s="30"/>
      <c r="L1714" s="30" t="s">
        <v>117</v>
      </c>
      <c r="M1714" s="30" t="s">
        <v>113</v>
      </c>
      <c r="N1714" s="30" t="s">
        <v>114</v>
      </c>
      <c r="O1714" s="30" t="s">
        <v>115</v>
      </c>
      <c r="P1714" s="30" t="s">
        <v>112</v>
      </c>
      <c r="Q1714" s="30" t="s">
        <v>112</v>
      </c>
      <c r="R1714" s="30" t="s">
        <v>183</v>
      </c>
      <c r="S1714" s="81">
        <f>HLOOKUP(L1714,データについて!$J$6:$M$18,13,FALSE)</f>
        <v>2</v>
      </c>
      <c r="T1714" s="81">
        <f>HLOOKUP(M1714,データについて!$J$7:$M$18,12,FALSE)</f>
        <v>1</v>
      </c>
      <c r="U1714" s="81">
        <f>HLOOKUP(N1714,データについて!$J$8:$M$18,11,FALSE)</f>
        <v>1</v>
      </c>
      <c r="V1714" s="81">
        <f>HLOOKUP(O1714,データについて!$J$9:$M$18,10,FALSE)</f>
        <v>1</v>
      </c>
      <c r="W1714" s="81">
        <f>HLOOKUP(P1714,データについて!$J$10:$M$18,9,FALSE)</f>
        <v>1</v>
      </c>
      <c r="X1714" s="81">
        <f>HLOOKUP(Q1714,データについて!$J$11:$M$18,8,FALSE)</f>
        <v>1</v>
      </c>
      <c r="Y1714" s="81">
        <f>HLOOKUP(R1714,データについて!$J$12:$M$18,7,FALSE)</f>
        <v>1</v>
      </c>
      <c r="Z1714" s="81">
        <f>HLOOKUP(I1714,データについて!$J$3:$M$18,16,FALSE)</f>
        <v>1</v>
      </c>
      <c r="AA1714" s="81">
        <f>IFERROR(HLOOKUP(J1714,データについて!$J$4:$AH$19,16,FALSE),"")</f>
        <v>7</v>
      </c>
      <c r="AB1714" s="81" t="str">
        <f>IFERROR(HLOOKUP(K1714,データについて!$J$5:$AH$20,14,FALSE),"")</f>
        <v/>
      </c>
      <c r="AC1714" s="81">
        <f>IF(X1714=1,HLOOKUP(R1714,データについて!$J$12:$M$18,7,FALSE),"*")</f>
        <v>1</v>
      </c>
      <c r="AD1714" s="81" t="str">
        <f>IF(X1714=2,HLOOKUP(R1714,データについて!$J$12:$M$18,7,FALSE),"*")</f>
        <v>*</v>
      </c>
    </row>
    <row r="1715" spans="1:30">
      <c r="A1715" s="30">
        <v>3477</v>
      </c>
      <c r="B1715" s="30" t="s">
        <v>1536</v>
      </c>
      <c r="C1715" s="30" t="s">
        <v>1537</v>
      </c>
      <c r="D1715" s="30" t="s">
        <v>106</v>
      </c>
      <c r="E1715" s="30"/>
      <c r="F1715" s="30" t="s">
        <v>107</v>
      </c>
      <c r="G1715" s="30" t="s">
        <v>106</v>
      </c>
      <c r="H1715" s="30"/>
      <c r="I1715" s="30" t="s">
        <v>192</v>
      </c>
      <c r="J1715" s="30" t="s">
        <v>128</v>
      </c>
      <c r="K1715" s="30"/>
      <c r="L1715" s="30" t="s">
        <v>108</v>
      </c>
      <c r="M1715" s="30" t="s">
        <v>113</v>
      </c>
      <c r="N1715" s="30" t="s">
        <v>110</v>
      </c>
      <c r="O1715" s="30" t="s">
        <v>115</v>
      </c>
      <c r="P1715" s="30" t="s">
        <v>112</v>
      </c>
      <c r="Q1715" s="30" t="s">
        <v>112</v>
      </c>
      <c r="R1715" s="30" t="s">
        <v>185</v>
      </c>
      <c r="S1715" s="81">
        <f>HLOOKUP(L1715,データについて!$J$6:$M$18,13,FALSE)</f>
        <v>1</v>
      </c>
      <c r="T1715" s="81">
        <f>HLOOKUP(M1715,データについて!$J$7:$M$18,12,FALSE)</f>
        <v>1</v>
      </c>
      <c r="U1715" s="81">
        <f>HLOOKUP(N1715,データについて!$J$8:$M$18,11,FALSE)</f>
        <v>2</v>
      </c>
      <c r="V1715" s="81">
        <f>HLOOKUP(O1715,データについて!$J$9:$M$18,10,FALSE)</f>
        <v>1</v>
      </c>
      <c r="W1715" s="81">
        <f>HLOOKUP(P1715,データについて!$J$10:$M$18,9,FALSE)</f>
        <v>1</v>
      </c>
      <c r="X1715" s="81">
        <f>HLOOKUP(Q1715,データについて!$J$11:$M$18,8,FALSE)</f>
        <v>1</v>
      </c>
      <c r="Y1715" s="81">
        <f>HLOOKUP(R1715,データについて!$J$12:$M$18,7,FALSE)</f>
        <v>2</v>
      </c>
      <c r="Z1715" s="81">
        <f>HLOOKUP(I1715,データについて!$J$3:$M$18,16,FALSE)</f>
        <v>1</v>
      </c>
      <c r="AA1715" s="81">
        <f>IFERROR(HLOOKUP(J1715,データについて!$J$4:$AH$19,16,FALSE),"")</f>
        <v>1</v>
      </c>
      <c r="AB1715" s="81" t="str">
        <f>IFERROR(HLOOKUP(K1715,データについて!$J$5:$AH$20,14,FALSE),"")</f>
        <v/>
      </c>
      <c r="AC1715" s="81">
        <f>IF(X1715=1,HLOOKUP(R1715,データについて!$J$12:$M$18,7,FALSE),"*")</f>
        <v>2</v>
      </c>
      <c r="AD1715" s="81" t="str">
        <f>IF(X1715=2,HLOOKUP(R1715,データについて!$J$12:$M$18,7,FALSE),"*")</f>
        <v>*</v>
      </c>
    </row>
    <row r="1716" spans="1:30">
      <c r="A1716" s="30">
        <v>3476</v>
      </c>
      <c r="B1716" s="30" t="s">
        <v>1538</v>
      </c>
      <c r="C1716" s="30" t="s">
        <v>1539</v>
      </c>
      <c r="D1716" s="30" t="s">
        <v>106</v>
      </c>
      <c r="E1716" s="30"/>
      <c r="F1716" s="30" t="s">
        <v>107</v>
      </c>
      <c r="G1716" s="30" t="s">
        <v>106</v>
      </c>
      <c r="H1716" s="30"/>
      <c r="I1716" s="30" t="s">
        <v>192</v>
      </c>
      <c r="J1716" s="30" t="s">
        <v>128</v>
      </c>
      <c r="K1716" s="30"/>
      <c r="L1716" s="30" t="s">
        <v>108</v>
      </c>
      <c r="M1716" s="30" t="s">
        <v>124</v>
      </c>
      <c r="N1716" s="30" t="s">
        <v>110</v>
      </c>
      <c r="O1716" s="30" t="s">
        <v>115</v>
      </c>
      <c r="P1716" s="30" t="s">
        <v>112</v>
      </c>
      <c r="Q1716" s="30" t="s">
        <v>112</v>
      </c>
      <c r="R1716" s="30" t="s">
        <v>185</v>
      </c>
      <c r="S1716" s="81">
        <f>HLOOKUP(L1716,データについて!$J$6:$M$18,13,FALSE)</f>
        <v>1</v>
      </c>
      <c r="T1716" s="81">
        <f>HLOOKUP(M1716,データについて!$J$7:$M$18,12,FALSE)</f>
        <v>3</v>
      </c>
      <c r="U1716" s="81">
        <f>HLOOKUP(N1716,データについて!$J$8:$M$18,11,FALSE)</f>
        <v>2</v>
      </c>
      <c r="V1716" s="81">
        <f>HLOOKUP(O1716,データについて!$J$9:$M$18,10,FALSE)</f>
        <v>1</v>
      </c>
      <c r="W1716" s="81">
        <f>HLOOKUP(P1716,データについて!$J$10:$M$18,9,FALSE)</f>
        <v>1</v>
      </c>
      <c r="X1716" s="81">
        <f>HLOOKUP(Q1716,データについて!$J$11:$M$18,8,FALSE)</f>
        <v>1</v>
      </c>
      <c r="Y1716" s="81">
        <f>HLOOKUP(R1716,データについて!$J$12:$M$18,7,FALSE)</f>
        <v>2</v>
      </c>
      <c r="Z1716" s="81">
        <f>HLOOKUP(I1716,データについて!$J$3:$M$18,16,FALSE)</f>
        <v>1</v>
      </c>
      <c r="AA1716" s="81">
        <f>IFERROR(HLOOKUP(J1716,データについて!$J$4:$AH$19,16,FALSE),"")</f>
        <v>1</v>
      </c>
      <c r="AB1716" s="81" t="str">
        <f>IFERROR(HLOOKUP(K1716,データについて!$J$5:$AH$20,14,FALSE),"")</f>
        <v/>
      </c>
      <c r="AC1716" s="81">
        <f>IF(X1716=1,HLOOKUP(R1716,データについて!$J$12:$M$18,7,FALSE),"*")</f>
        <v>2</v>
      </c>
      <c r="AD1716" s="81" t="str">
        <f>IF(X1716=2,HLOOKUP(R1716,データについて!$J$12:$M$18,7,FALSE),"*")</f>
        <v>*</v>
      </c>
    </row>
    <row r="1717" spans="1:30">
      <c r="A1717" s="30">
        <v>3475</v>
      </c>
      <c r="B1717" s="30" t="s">
        <v>1540</v>
      </c>
      <c r="C1717" s="30" t="s">
        <v>1539</v>
      </c>
      <c r="D1717" s="30" t="s">
        <v>106</v>
      </c>
      <c r="E1717" s="30"/>
      <c r="F1717" s="30" t="s">
        <v>107</v>
      </c>
      <c r="G1717" s="30" t="s">
        <v>106</v>
      </c>
      <c r="H1717" s="30"/>
      <c r="I1717" s="30" t="s">
        <v>192</v>
      </c>
      <c r="J1717" s="30" t="s">
        <v>128</v>
      </c>
      <c r="K1717" s="30"/>
      <c r="L1717" s="30" t="s">
        <v>108</v>
      </c>
      <c r="M1717" s="30" t="s">
        <v>124</v>
      </c>
      <c r="N1717" s="30" t="s">
        <v>119</v>
      </c>
      <c r="O1717" s="30" t="s">
        <v>115</v>
      </c>
      <c r="P1717" s="30" t="s">
        <v>112</v>
      </c>
      <c r="Q1717" s="30" t="s">
        <v>118</v>
      </c>
      <c r="R1717" s="30" t="s">
        <v>187</v>
      </c>
      <c r="S1717" s="81">
        <f>HLOOKUP(L1717,データについて!$J$6:$M$18,13,FALSE)</f>
        <v>1</v>
      </c>
      <c r="T1717" s="81">
        <f>HLOOKUP(M1717,データについて!$J$7:$M$18,12,FALSE)</f>
        <v>3</v>
      </c>
      <c r="U1717" s="81">
        <f>HLOOKUP(N1717,データについて!$J$8:$M$18,11,FALSE)</f>
        <v>4</v>
      </c>
      <c r="V1717" s="81">
        <f>HLOOKUP(O1717,データについて!$J$9:$M$18,10,FALSE)</f>
        <v>1</v>
      </c>
      <c r="W1717" s="81">
        <f>HLOOKUP(P1717,データについて!$J$10:$M$18,9,FALSE)</f>
        <v>1</v>
      </c>
      <c r="X1717" s="81">
        <f>HLOOKUP(Q1717,データについて!$J$11:$M$18,8,FALSE)</f>
        <v>2</v>
      </c>
      <c r="Y1717" s="81">
        <f>HLOOKUP(R1717,データについて!$J$12:$M$18,7,FALSE)</f>
        <v>3</v>
      </c>
      <c r="Z1717" s="81">
        <f>HLOOKUP(I1717,データについて!$J$3:$M$18,16,FALSE)</f>
        <v>1</v>
      </c>
      <c r="AA1717" s="81">
        <f>IFERROR(HLOOKUP(J1717,データについて!$J$4:$AH$19,16,FALSE),"")</f>
        <v>1</v>
      </c>
      <c r="AB1717" s="81" t="str">
        <f>IFERROR(HLOOKUP(K1717,データについて!$J$5:$AH$20,14,FALSE),"")</f>
        <v/>
      </c>
      <c r="AC1717" s="81" t="str">
        <f>IF(X1717=1,HLOOKUP(R1717,データについて!$J$12:$M$18,7,FALSE),"*")</f>
        <v>*</v>
      </c>
      <c r="AD1717" s="81">
        <f>IF(X1717=2,HLOOKUP(R1717,データについて!$J$12:$M$18,7,FALSE),"*")</f>
        <v>3</v>
      </c>
    </row>
    <row r="1718" spans="1:30">
      <c r="A1718" s="30">
        <v>3474</v>
      </c>
      <c r="B1718" s="30" t="s">
        <v>1541</v>
      </c>
      <c r="C1718" s="30" t="s">
        <v>1542</v>
      </c>
      <c r="D1718" s="30" t="s">
        <v>106</v>
      </c>
      <c r="E1718" s="30"/>
      <c r="F1718" s="30" t="s">
        <v>107</v>
      </c>
      <c r="G1718" s="30" t="s">
        <v>106</v>
      </c>
      <c r="H1718" s="30"/>
      <c r="I1718" s="30" t="s">
        <v>192</v>
      </c>
      <c r="J1718" s="30" t="s">
        <v>128</v>
      </c>
      <c r="K1718" s="30"/>
      <c r="L1718" s="30" t="s">
        <v>117</v>
      </c>
      <c r="M1718" s="30" t="s">
        <v>109</v>
      </c>
      <c r="N1718" s="30" t="s">
        <v>119</v>
      </c>
      <c r="O1718" s="30" t="s">
        <v>116</v>
      </c>
      <c r="P1718" s="30" t="s">
        <v>112</v>
      </c>
      <c r="Q1718" s="30" t="s">
        <v>112</v>
      </c>
      <c r="R1718" s="30" t="s">
        <v>185</v>
      </c>
      <c r="S1718" s="81">
        <f>HLOOKUP(L1718,データについて!$J$6:$M$18,13,FALSE)</f>
        <v>2</v>
      </c>
      <c r="T1718" s="81">
        <f>HLOOKUP(M1718,データについて!$J$7:$M$18,12,FALSE)</f>
        <v>2</v>
      </c>
      <c r="U1718" s="81">
        <f>HLOOKUP(N1718,データについて!$J$8:$M$18,11,FALSE)</f>
        <v>4</v>
      </c>
      <c r="V1718" s="81">
        <f>HLOOKUP(O1718,データについて!$J$9:$M$18,10,FALSE)</f>
        <v>2</v>
      </c>
      <c r="W1718" s="81">
        <f>HLOOKUP(P1718,データについて!$J$10:$M$18,9,FALSE)</f>
        <v>1</v>
      </c>
      <c r="X1718" s="81">
        <f>HLOOKUP(Q1718,データについて!$J$11:$M$18,8,FALSE)</f>
        <v>1</v>
      </c>
      <c r="Y1718" s="81">
        <f>HLOOKUP(R1718,データについて!$J$12:$M$18,7,FALSE)</f>
        <v>2</v>
      </c>
      <c r="Z1718" s="81">
        <f>HLOOKUP(I1718,データについて!$J$3:$M$18,16,FALSE)</f>
        <v>1</v>
      </c>
      <c r="AA1718" s="81">
        <f>IFERROR(HLOOKUP(J1718,データについて!$J$4:$AH$19,16,FALSE),"")</f>
        <v>1</v>
      </c>
      <c r="AB1718" s="81" t="str">
        <f>IFERROR(HLOOKUP(K1718,データについて!$J$5:$AH$20,14,FALSE),"")</f>
        <v/>
      </c>
      <c r="AC1718" s="81">
        <f>IF(X1718=1,HLOOKUP(R1718,データについて!$J$12:$M$18,7,FALSE),"*")</f>
        <v>2</v>
      </c>
      <c r="AD1718" s="81" t="str">
        <f>IF(X1718=2,HLOOKUP(R1718,データについて!$J$12:$M$18,7,FALSE),"*")</f>
        <v>*</v>
      </c>
    </row>
    <row r="1719" spans="1:30">
      <c r="A1719" s="30">
        <v>3473</v>
      </c>
      <c r="B1719" s="30" t="s">
        <v>1543</v>
      </c>
      <c r="C1719" s="30" t="s">
        <v>1542</v>
      </c>
      <c r="D1719" s="30" t="s">
        <v>106</v>
      </c>
      <c r="E1719" s="30"/>
      <c r="F1719" s="30" t="s">
        <v>107</v>
      </c>
      <c r="G1719" s="30" t="s">
        <v>106</v>
      </c>
      <c r="H1719" s="30"/>
      <c r="I1719" s="30" t="s">
        <v>192</v>
      </c>
      <c r="J1719" s="30" t="s">
        <v>942</v>
      </c>
      <c r="K1719" s="30"/>
      <c r="L1719" s="30" t="s">
        <v>108</v>
      </c>
      <c r="M1719" s="30" t="s">
        <v>113</v>
      </c>
      <c r="N1719" s="30" t="s">
        <v>114</v>
      </c>
      <c r="O1719" s="30" t="s">
        <v>115</v>
      </c>
      <c r="P1719" s="30" t="s">
        <v>112</v>
      </c>
      <c r="Q1719" s="30" t="s">
        <v>118</v>
      </c>
      <c r="R1719" s="30" t="s">
        <v>183</v>
      </c>
      <c r="S1719" s="81">
        <f>HLOOKUP(L1719,データについて!$J$6:$M$18,13,FALSE)</f>
        <v>1</v>
      </c>
      <c r="T1719" s="81">
        <f>HLOOKUP(M1719,データについて!$J$7:$M$18,12,FALSE)</f>
        <v>1</v>
      </c>
      <c r="U1719" s="81">
        <f>HLOOKUP(N1719,データについて!$J$8:$M$18,11,FALSE)</f>
        <v>1</v>
      </c>
      <c r="V1719" s="81">
        <f>HLOOKUP(O1719,データについて!$J$9:$M$18,10,FALSE)</f>
        <v>1</v>
      </c>
      <c r="W1719" s="81">
        <f>HLOOKUP(P1719,データについて!$J$10:$M$18,9,FALSE)</f>
        <v>1</v>
      </c>
      <c r="X1719" s="81">
        <f>HLOOKUP(Q1719,データについて!$J$11:$M$18,8,FALSE)</f>
        <v>2</v>
      </c>
      <c r="Y1719" s="81">
        <f>HLOOKUP(R1719,データについて!$J$12:$M$18,7,FALSE)</f>
        <v>1</v>
      </c>
      <c r="Z1719" s="81">
        <f>HLOOKUP(I1719,データについて!$J$3:$M$18,16,FALSE)</f>
        <v>1</v>
      </c>
      <c r="AA1719" s="81">
        <f>IFERROR(HLOOKUP(J1719,データについて!$J$4:$AH$19,16,FALSE),"")</f>
        <v>7</v>
      </c>
      <c r="AB1719" s="81" t="str">
        <f>IFERROR(HLOOKUP(K1719,データについて!$J$5:$AH$20,14,FALSE),"")</f>
        <v/>
      </c>
      <c r="AC1719" s="81" t="str">
        <f>IF(X1719=1,HLOOKUP(R1719,データについて!$J$12:$M$18,7,FALSE),"*")</f>
        <v>*</v>
      </c>
      <c r="AD1719" s="81">
        <f>IF(X1719=2,HLOOKUP(R1719,データについて!$J$12:$M$18,7,FALSE),"*")</f>
        <v>1</v>
      </c>
    </row>
    <row r="1720" spans="1:30">
      <c r="A1720" s="30">
        <v>3472</v>
      </c>
      <c r="B1720" s="30" t="s">
        <v>1544</v>
      </c>
      <c r="C1720" s="30" t="s">
        <v>1545</v>
      </c>
      <c r="D1720" s="30" t="s">
        <v>106</v>
      </c>
      <c r="E1720" s="30"/>
      <c r="F1720" s="30" t="s">
        <v>107</v>
      </c>
      <c r="G1720" s="30" t="s">
        <v>106</v>
      </c>
      <c r="H1720" s="30"/>
      <c r="I1720" s="30" t="s">
        <v>192</v>
      </c>
      <c r="J1720" s="30" t="s">
        <v>128</v>
      </c>
      <c r="K1720" s="30"/>
      <c r="L1720" s="30" t="s">
        <v>117</v>
      </c>
      <c r="M1720" s="30" t="s">
        <v>124</v>
      </c>
      <c r="N1720" s="30" t="s">
        <v>110</v>
      </c>
      <c r="O1720" s="30" t="s">
        <v>115</v>
      </c>
      <c r="P1720" s="30" t="s">
        <v>112</v>
      </c>
      <c r="Q1720" s="30" t="s">
        <v>112</v>
      </c>
      <c r="R1720" s="30" t="s">
        <v>187</v>
      </c>
      <c r="S1720" s="81">
        <f>HLOOKUP(L1720,データについて!$J$6:$M$18,13,FALSE)</f>
        <v>2</v>
      </c>
      <c r="T1720" s="81">
        <f>HLOOKUP(M1720,データについて!$J$7:$M$18,12,FALSE)</f>
        <v>3</v>
      </c>
      <c r="U1720" s="81">
        <f>HLOOKUP(N1720,データについて!$J$8:$M$18,11,FALSE)</f>
        <v>2</v>
      </c>
      <c r="V1720" s="81">
        <f>HLOOKUP(O1720,データについて!$J$9:$M$18,10,FALSE)</f>
        <v>1</v>
      </c>
      <c r="W1720" s="81">
        <f>HLOOKUP(P1720,データについて!$J$10:$M$18,9,FALSE)</f>
        <v>1</v>
      </c>
      <c r="X1720" s="81">
        <f>HLOOKUP(Q1720,データについて!$J$11:$M$18,8,FALSE)</f>
        <v>1</v>
      </c>
      <c r="Y1720" s="81">
        <f>HLOOKUP(R1720,データについて!$J$12:$M$18,7,FALSE)</f>
        <v>3</v>
      </c>
      <c r="Z1720" s="81">
        <f>HLOOKUP(I1720,データについて!$J$3:$M$18,16,FALSE)</f>
        <v>1</v>
      </c>
      <c r="AA1720" s="81">
        <f>IFERROR(HLOOKUP(J1720,データについて!$J$4:$AH$19,16,FALSE),"")</f>
        <v>1</v>
      </c>
      <c r="AB1720" s="81" t="str">
        <f>IFERROR(HLOOKUP(K1720,データについて!$J$5:$AH$20,14,FALSE),"")</f>
        <v/>
      </c>
      <c r="AC1720" s="81">
        <f>IF(X1720=1,HLOOKUP(R1720,データについて!$J$12:$M$18,7,FALSE),"*")</f>
        <v>3</v>
      </c>
      <c r="AD1720" s="81" t="str">
        <f>IF(X1720=2,HLOOKUP(R1720,データについて!$J$12:$M$18,7,FALSE),"*")</f>
        <v>*</v>
      </c>
    </row>
    <row r="1721" spans="1:30">
      <c r="A1721" s="30">
        <v>3471</v>
      </c>
      <c r="B1721" s="30" t="s">
        <v>1546</v>
      </c>
      <c r="C1721" s="30" t="s">
        <v>1545</v>
      </c>
      <c r="D1721" s="30" t="s">
        <v>106</v>
      </c>
      <c r="E1721" s="30"/>
      <c r="F1721" s="30" t="s">
        <v>107</v>
      </c>
      <c r="G1721" s="30" t="s">
        <v>106</v>
      </c>
      <c r="H1721" s="30"/>
      <c r="I1721" s="30" t="s">
        <v>192</v>
      </c>
      <c r="J1721" s="30" t="s">
        <v>128</v>
      </c>
      <c r="K1721" s="30"/>
      <c r="L1721" s="30" t="s">
        <v>117</v>
      </c>
      <c r="M1721" s="30" t="s">
        <v>124</v>
      </c>
      <c r="N1721" s="30" t="s">
        <v>110</v>
      </c>
      <c r="O1721" s="30" t="s">
        <v>115</v>
      </c>
      <c r="P1721" s="30" t="s">
        <v>112</v>
      </c>
      <c r="Q1721" s="30" t="s">
        <v>112</v>
      </c>
      <c r="R1721" s="30" t="s">
        <v>187</v>
      </c>
      <c r="S1721" s="81">
        <f>HLOOKUP(L1721,データについて!$J$6:$M$18,13,FALSE)</f>
        <v>2</v>
      </c>
      <c r="T1721" s="81">
        <f>HLOOKUP(M1721,データについて!$J$7:$M$18,12,FALSE)</f>
        <v>3</v>
      </c>
      <c r="U1721" s="81">
        <f>HLOOKUP(N1721,データについて!$J$8:$M$18,11,FALSE)</f>
        <v>2</v>
      </c>
      <c r="V1721" s="81">
        <f>HLOOKUP(O1721,データについて!$J$9:$M$18,10,FALSE)</f>
        <v>1</v>
      </c>
      <c r="W1721" s="81">
        <f>HLOOKUP(P1721,データについて!$J$10:$M$18,9,FALSE)</f>
        <v>1</v>
      </c>
      <c r="X1721" s="81">
        <f>HLOOKUP(Q1721,データについて!$J$11:$M$18,8,FALSE)</f>
        <v>1</v>
      </c>
      <c r="Y1721" s="81">
        <f>HLOOKUP(R1721,データについて!$J$12:$M$18,7,FALSE)</f>
        <v>3</v>
      </c>
      <c r="Z1721" s="81">
        <f>HLOOKUP(I1721,データについて!$J$3:$M$18,16,FALSE)</f>
        <v>1</v>
      </c>
      <c r="AA1721" s="81">
        <f>IFERROR(HLOOKUP(J1721,データについて!$J$4:$AH$19,16,FALSE),"")</f>
        <v>1</v>
      </c>
      <c r="AB1721" s="81" t="str">
        <f>IFERROR(HLOOKUP(K1721,データについて!$J$5:$AH$20,14,FALSE),"")</f>
        <v/>
      </c>
      <c r="AC1721" s="81">
        <f>IF(X1721=1,HLOOKUP(R1721,データについて!$J$12:$M$18,7,FALSE),"*")</f>
        <v>3</v>
      </c>
      <c r="AD1721" s="81" t="str">
        <f>IF(X1721=2,HLOOKUP(R1721,データについて!$J$12:$M$18,7,FALSE),"*")</f>
        <v>*</v>
      </c>
    </row>
    <row r="1722" spans="1:30">
      <c r="A1722" s="30">
        <v>3470</v>
      </c>
      <c r="B1722" s="30" t="s">
        <v>1547</v>
      </c>
      <c r="C1722" s="30" t="s">
        <v>1545</v>
      </c>
      <c r="D1722" s="30" t="s">
        <v>106</v>
      </c>
      <c r="E1722" s="30"/>
      <c r="F1722" s="30" t="s">
        <v>107</v>
      </c>
      <c r="G1722" s="30" t="s">
        <v>106</v>
      </c>
      <c r="H1722" s="30"/>
      <c r="I1722" s="30" t="s">
        <v>192</v>
      </c>
      <c r="J1722" s="30" t="s">
        <v>128</v>
      </c>
      <c r="K1722" s="30"/>
      <c r="L1722" s="30" t="s">
        <v>108</v>
      </c>
      <c r="M1722" s="30" t="s">
        <v>109</v>
      </c>
      <c r="N1722" s="30" t="s">
        <v>114</v>
      </c>
      <c r="O1722" s="30" t="s">
        <v>115</v>
      </c>
      <c r="P1722" s="30" t="s">
        <v>112</v>
      </c>
      <c r="Q1722" s="30" t="s">
        <v>118</v>
      </c>
      <c r="R1722" s="30" t="s">
        <v>189</v>
      </c>
      <c r="S1722" s="81">
        <f>HLOOKUP(L1722,データについて!$J$6:$M$18,13,FALSE)</f>
        <v>1</v>
      </c>
      <c r="T1722" s="81">
        <f>HLOOKUP(M1722,データについて!$J$7:$M$18,12,FALSE)</f>
        <v>2</v>
      </c>
      <c r="U1722" s="81">
        <f>HLOOKUP(N1722,データについて!$J$8:$M$18,11,FALSE)</f>
        <v>1</v>
      </c>
      <c r="V1722" s="81">
        <f>HLOOKUP(O1722,データについて!$J$9:$M$18,10,FALSE)</f>
        <v>1</v>
      </c>
      <c r="W1722" s="81">
        <f>HLOOKUP(P1722,データについて!$J$10:$M$18,9,FALSE)</f>
        <v>1</v>
      </c>
      <c r="X1722" s="81">
        <f>HLOOKUP(Q1722,データについて!$J$11:$M$18,8,FALSE)</f>
        <v>2</v>
      </c>
      <c r="Y1722" s="81">
        <f>HLOOKUP(R1722,データについて!$J$12:$M$18,7,FALSE)</f>
        <v>4</v>
      </c>
      <c r="Z1722" s="81">
        <f>HLOOKUP(I1722,データについて!$J$3:$M$18,16,FALSE)</f>
        <v>1</v>
      </c>
      <c r="AA1722" s="81">
        <f>IFERROR(HLOOKUP(J1722,データについて!$J$4:$AH$19,16,FALSE),"")</f>
        <v>1</v>
      </c>
      <c r="AB1722" s="81" t="str">
        <f>IFERROR(HLOOKUP(K1722,データについて!$J$5:$AH$20,14,FALSE),"")</f>
        <v/>
      </c>
      <c r="AC1722" s="81" t="str">
        <f>IF(X1722=1,HLOOKUP(R1722,データについて!$J$12:$M$18,7,FALSE),"*")</f>
        <v>*</v>
      </c>
      <c r="AD1722" s="81">
        <f>IF(X1722=2,HLOOKUP(R1722,データについて!$J$12:$M$18,7,FALSE),"*")</f>
        <v>4</v>
      </c>
    </row>
    <row r="1723" spans="1:30">
      <c r="A1723" s="30">
        <v>3469</v>
      </c>
      <c r="B1723" s="30" t="s">
        <v>1548</v>
      </c>
      <c r="C1723" s="30" t="s">
        <v>1549</v>
      </c>
      <c r="D1723" s="30" t="s">
        <v>106</v>
      </c>
      <c r="E1723" s="30"/>
      <c r="F1723" s="30" t="s">
        <v>107</v>
      </c>
      <c r="G1723" s="30" t="s">
        <v>106</v>
      </c>
      <c r="H1723" s="30"/>
      <c r="I1723" s="30" t="s">
        <v>192</v>
      </c>
      <c r="J1723" s="30" t="s">
        <v>942</v>
      </c>
      <c r="K1723" s="30"/>
      <c r="L1723" s="30" t="s">
        <v>108</v>
      </c>
      <c r="M1723" s="30" t="s">
        <v>113</v>
      </c>
      <c r="N1723" s="30" t="s">
        <v>114</v>
      </c>
      <c r="O1723" s="30" t="s">
        <v>115</v>
      </c>
      <c r="P1723" s="30" t="s">
        <v>112</v>
      </c>
      <c r="Q1723" s="30" t="s">
        <v>118</v>
      </c>
      <c r="R1723" s="30" t="s">
        <v>185</v>
      </c>
      <c r="S1723" s="81">
        <f>HLOOKUP(L1723,データについて!$J$6:$M$18,13,FALSE)</f>
        <v>1</v>
      </c>
      <c r="T1723" s="81">
        <f>HLOOKUP(M1723,データについて!$J$7:$M$18,12,FALSE)</f>
        <v>1</v>
      </c>
      <c r="U1723" s="81">
        <f>HLOOKUP(N1723,データについて!$J$8:$M$18,11,FALSE)</f>
        <v>1</v>
      </c>
      <c r="V1723" s="81">
        <f>HLOOKUP(O1723,データについて!$J$9:$M$18,10,FALSE)</f>
        <v>1</v>
      </c>
      <c r="W1723" s="81">
        <f>HLOOKUP(P1723,データについて!$J$10:$M$18,9,FALSE)</f>
        <v>1</v>
      </c>
      <c r="X1723" s="81">
        <f>HLOOKUP(Q1723,データについて!$J$11:$M$18,8,FALSE)</f>
        <v>2</v>
      </c>
      <c r="Y1723" s="81">
        <f>HLOOKUP(R1723,データについて!$J$12:$M$18,7,FALSE)</f>
        <v>2</v>
      </c>
      <c r="Z1723" s="81">
        <f>HLOOKUP(I1723,データについて!$J$3:$M$18,16,FALSE)</f>
        <v>1</v>
      </c>
      <c r="AA1723" s="81">
        <f>IFERROR(HLOOKUP(J1723,データについて!$J$4:$AH$19,16,FALSE),"")</f>
        <v>7</v>
      </c>
      <c r="AB1723" s="81" t="str">
        <f>IFERROR(HLOOKUP(K1723,データについて!$J$5:$AH$20,14,FALSE),"")</f>
        <v/>
      </c>
      <c r="AC1723" s="81" t="str">
        <f>IF(X1723=1,HLOOKUP(R1723,データについて!$J$12:$M$18,7,FALSE),"*")</f>
        <v>*</v>
      </c>
      <c r="AD1723" s="81">
        <f>IF(X1723=2,HLOOKUP(R1723,データについて!$J$12:$M$18,7,FALSE),"*")</f>
        <v>2</v>
      </c>
    </row>
    <row r="1724" spans="1:30">
      <c r="A1724" s="30">
        <v>3468</v>
      </c>
      <c r="B1724" s="30" t="s">
        <v>1550</v>
      </c>
      <c r="C1724" s="30" t="s">
        <v>1549</v>
      </c>
      <c r="D1724" s="30" t="s">
        <v>106</v>
      </c>
      <c r="E1724" s="30"/>
      <c r="F1724" s="30" t="s">
        <v>107</v>
      </c>
      <c r="G1724" s="30" t="s">
        <v>106</v>
      </c>
      <c r="H1724" s="30"/>
      <c r="I1724" s="30" t="s">
        <v>192</v>
      </c>
      <c r="J1724" s="30" t="s">
        <v>942</v>
      </c>
      <c r="K1724" s="30"/>
      <c r="L1724" s="30" t="s">
        <v>108</v>
      </c>
      <c r="M1724" s="30" t="s">
        <v>113</v>
      </c>
      <c r="N1724" s="30" t="s">
        <v>114</v>
      </c>
      <c r="O1724" s="30" t="s">
        <v>123</v>
      </c>
      <c r="P1724" s="30" t="s">
        <v>112</v>
      </c>
      <c r="Q1724" s="30" t="s">
        <v>112</v>
      </c>
      <c r="R1724" s="30" t="s">
        <v>183</v>
      </c>
      <c r="S1724" s="81">
        <f>HLOOKUP(L1724,データについて!$J$6:$M$18,13,FALSE)</f>
        <v>1</v>
      </c>
      <c r="T1724" s="81">
        <f>HLOOKUP(M1724,データについて!$J$7:$M$18,12,FALSE)</f>
        <v>1</v>
      </c>
      <c r="U1724" s="81">
        <f>HLOOKUP(N1724,データについて!$J$8:$M$18,11,FALSE)</f>
        <v>1</v>
      </c>
      <c r="V1724" s="81">
        <f>HLOOKUP(O1724,データについて!$J$9:$M$18,10,FALSE)</f>
        <v>4</v>
      </c>
      <c r="W1724" s="81">
        <f>HLOOKUP(P1724,データについて!$J$10:$M$18,9,FALSE)</f>
        <v>1</v>
      </c>
      <c r="X1724" s="81">
        <f>HLOOKUP(Q1724,データについて!$J$11:$M$18,8,FALSE)</f>
        <v>1</v>
      </c>
      <c r="Y1724" s="81">
        <f>HLOOKUP(R1724,データについて!$J$12:$M$18,7,FALSE)</f>
        <v>1</v>
      </c>
      <c r="Z1724" s="81">
        <f>HLOOKUP(I1724,データについて!$J$3:$M$18,16,FALSE)</f>
        <v>1</v>
      </c>
      <c r="AA1724" s="81">
        <f>IFERROR(HLOOKUP(J1724,データについて!$J$4:$AH$19,16,FALSE),"")</f>
        <v>7</v>
      </c>
      <c r="AB1724" s="81" t="str">
        <f>IFERROR(HLOOKUP(K1724,データについて!$J$5:$AH$20,14,FALSE),"")</f>
        <v/>
      </c>
      <c r="AC1724" s="81">
        <f>IF(X1724=1,HLOOKUP(R1724,データについて!$J$12:$M$18,7,FALSE),"*")</f>
        <v>1</v>
      </c>
      <c r="AD1724" s="81" t="str">
        <f>IF(X1724=2,HLOOKUP(R1724,データについて!$J$12:$M$18,7,FALSE),"*")</f>
        <v>*</v>
      </c>
    </row>
    <row r="1725" spans="1:30">
      <c r="A1725" s="30">
        <v>3467</v>
      </c>
      <c r="B1725" s="30" t="s">
        <v>1551</v>
      </c>
      <c r="C1725" s="30" t="s">
        <v>1552</v>
      </c>
      <c r="D1725" s="30" t="s">
        <v>106</v>
      </c>
      <c r="E1725" s="30"/>
      <c r="F1725" s="30" t="s">
        <v>107</v>
      </c>
      <c r="G1725" s="30" t="s">
        <v>106</v>
      </c>
      <c r="H1725" s="30"/>
      <c r="I1725" s="30" t="s">
        <v>192</v>
      </c>
      <c r="J1725" s="30" t="s">
        <v>128</v>
      </c>
      <c r="K1725" s="30"/>
      <c r="L1725" s="30" t="s">
        <v>117</v>
      </c>
      <c r="M1725" s="30" t="s">
        <v>113</v>
      </c>
      <c r="N1725" s="30" t="s">
        <v>114</v>
      </c>
      <c r="O1725" s="30" t="s">
        <v>115</v>
      </c>
      <c r="P1725" s="30" t="s">
        <v>112</v>
      </c>
      <c r="Q1725" s="30" t="s">
        <v>112</v>
      </c>
      <c r="R1725" s="30" t="s">
        <v>185</v>
      </c>
      <c r="S1725" s="81">
        <f>HLOOKUP(L1725,データについて!$J$6:$M$18,13,FALSE)</f>
        <v>2</v>
      </c>
      <c r="T1725" s="81">
        <f>HLOOKUP(M1725,データについて!$J$7:$M$18,12,FALSE)</f>
        <v>1</v>
      </c>
      <c r="U1725" s="81">
        <f>HLOOKUP(N1725,データについて!$J$8:$M$18,11,FALSE)</f>
        <v>1</v>
      </c>
      <c r="V1725" s="81">
        <f>HLOOKUP(O1725,データについて!$J$9:$M$18,10,FALSE)</f>
        <v>1</v>
      </c>
      <c r="W1725" s="81">
        <f>HLOOKUP(P1725,データについて!$J$10:$M$18,9,FALSE)</f>
        <v>1</v>
      </c>
      <c r="X1725" s="81">
        <f>HLOOKUP(Q1725,データについて!$J$11:$M$18,8,FALSE)</f>
        <v>1</v>
      </c>
      <c r="Y1725" s="81">
        <f>HLOOKUP(R1725,データについて!$J$12:$M$18,7,FALSE)</f>
        <v>2</v>
      </c>
      <c r="Z1725" s="81">
        <f>HLOOKUP(I1725,データについて!$J$3:$M$18,16,FALSE)</f>
        <v>1</v>
      </c>
      <c r="AA1725" s="81">
        <f>IFERROR(HLOOKUP(J1725,データについて!$J$4:$AH$19,16,FALSE),"")</f>
        <v>1</v>
      </c>
      <c r="AB1725" s="81" t="str">
        <f>IFERROR(HLOOKUP(K1725,データについて!$J$5:$AH$20,14,FALSE),"")</f>
        <v/>
      </c>
      <c r="AC1725" s="81">
        <f>IF(X1725=1,HLOOKUP(R1725,データについて!$J$12:$M$18,7,FALSE),"*")</f>
        <v>2</v>
      </c>
      <c r="AD1725" s="81" t="str">
        <f>IF(X1725=2,HLOOKUP(R1725,データについて!$J$12:$M$18,7,FALSE),"*")</f>
        <v>*</v>
      </c>
    </row>
    <row r="1726" spans="1:30">
      <c r="A1726" s="30">
        <v>3466</v>
      </c>
      <c r="B1726" s="30" t="s">
        <v>1553</v>
      </c>
      <c r="C1726" s="30" t="s">
        <v>1554</v>
      </c>
      <c r="D1726" s="30" t="s">
        <v>106</v>
      </c>
      <c r="E1726" s="30"/>
      <c r="F1726" s="30" t="s">
        <v>107</v>
      </c>
      <c r="G1726" s="30" t="s">
        <v>106</v>
      </c>
      <c r="H1726" s="30"/>
      <c r="I1726" s="30" t="s">
        <v>192</v>
      </c>
      <c r="J1726" s="30" t="s">
        <v>128</v>
      </c>
      <c r="K1726" s="30"/>
      <c r="L1726" s="30" t="s">
        <v>117</v>
      </c>
      <c r="M1726" s="30" t="s">
        <v>109</v>
      </c>
      <c r="N1726" s="30" t="s">
        <v>110</v>
      </c>
      <c r="O1726" s="30" t="s">
        <v>111</v>
      </c>
      <c r="P1726" s="30" t="s">
        <v>112</v>
      </c>
      <c r="Q1726" s="30" t="s">
        <v>112</v>
      </c>
      <c r="R1726" s="30" t="s">
        <v>189</v>
      </c>
      <c r="S1726" s="81">
        <f>HLOOKUP(L1726,データについて!$J$6:$M$18,13,FALSE)</f>
        <v>2</v>
      </c>
      <c r="T1726" s="81">
        <f>HLOOKUP(M1726,データについて!$J$7:$M$18,12,FALSE)</f>
        <v>2</v>
      </c>
      <c r="U1726" s="81">
        <f>HLOOKUP(N1726,データについて!$J$8:$M$18,11,FALSE)</f>
        <v>2</v>
      </c>
      <c r="V1726" s="81">
        <f>HLOOKUP(O1726,データについて!$J$9:$M$18,10,FALSE)</f>
        <v>3</v>
      </c>
      <c r="W1726" s="81">
        <f>HLOOKUP(P1726,データについて!$J$10:$M$18,9,FALSE)</f>
        <v>1</v>
      </c>
      <c r="X1726" s="81">
        <f>HLOOKUP(Q1726,データについて!$J$11:$M$18,8,FALSE)</f>
        <v>1</v>
      </c>
      <c r="Y1726" s="81">
        <f>HLOOKUP(R1726,データについて!$J$12:$M$18,7,FALSE)</f>
        <v>4</v>
      </c>
      <c r="Z1726" s="81">
        <f>HLOOKUP(I1726,データについて!$J$3:$M$18,16,FALSE)</f>
        <v>1</v>
      </c>
      <c r="AA1726" s="81">
        <f>IFERROR(HLOOKUP(J1726,データについて!$J$4:$AH$19,16,FALSE),"")</f>
        <v>1</v>
      </c>
      <c r="AB1726" s="81" t="str">
        <f>IFERROR(HLOOKUP(K1726,データについて!$J$5:$AH$20,14,FALSE),"")</f>
        <v/>
      </c>
      <c r="AC1726" s="81">
        <f>IF(X1726=1,HLOOKUP(R1726,データについて!$J$12:$M$18,7,FALSE),"*")</f>
        <v>4</v>
      </c>
      <c r="AD1726" s="81" t="str">
        <f>IF(X1726=2,HLOOKUP(R1726,データについて!$J$12:$M$18,7,FALSE),"*")</f>
        <v>*</v>
      </c>
    </row>
    <row r="1727" spans="1:30">
      <c r="A1727" s="30">
        <v>3465</v>
      </c>
      <c r="B1727" s="30" t="s">
        <v>1555</v>
      </c>
      <c r="C1727" s="30" t="s">
        <v>1556</v>
      </c>
      <c r="D1727" s="30" t="s">
        <v>106</v>
      </c>
      <c r="E1727" s="30"/>
      <c r="F1727" s="30" t="s">
        <v>107</v>
      </c>
      <c r="G1727" s="30" t="s">
        <v>106</v>
      </c>
      <c r="H1727" s="30"/>
      <c r="I1727" s="30" t="s">
        <v>192</v>
      </c>
      <c r="J1727" s="30" t="s">
        <v>128</v>
      </c>
      <c r="K1727" s="30"/>
      <c r="L1727" s="30" t="s">
        <v>108</v>
      </c>
      <c r="M1727" s="30" t="s">
        <v>109</v>
      </c>
      <c r="N1727" s="30" t="s">
        <v>110</v>
      </c>
      <c r="O1727" s="30" t="s">
        <v>115</v>
      </c>
      <c r="P1727" s="30" t="s">
        <v>112</v>
      </c>
      <c r="Q1727" s="30" t="s">
        <v>112</v>
      </c>
      <c r="R1727" s="30" t="s">
        <v>185</v>
      </c>
      <c r="S1727" s="81">
        <f>HLOOKUP(L1727,データについて!$J$6:$M$18,13,FALSE)</f>
        <v>1</v>
      </c>
      <c r="T1727" s="81">
        <f>HLOOKUP(M1727,データについて!$J$7:$M$18,12,FALSE)</f>
        <v>2</v>
      </c>
      <c r="U1727" s="81">
        <f>HLOOKUP(N1727,データについて!$J$8:$M$18,11,FALSE)</f>
        <v>2</v>
      </c>
      <c r="V1727" s="81">
        <f>HLOOKUP(O1727,データについて!$J$9:$M$18,10,FALSE)</f>
        <v>1</v>
      </c>
      <c r="W1727" s="81">
        <f>HLOOKUP(P1727,データについて!$J$10:$M$18,9,FALSE)</f>
        <v>1</v>
      </c>
      <c r="X1727" s="81">
        <f>HLOOKUP(Q1727,データについて!$J$11:$M$18,8,FALSE)</f>
        <v>1</v>
      </c>
      <c r="Y1727" s="81">
        <f>HLOOKUP(R1727,データについて!$J$12:$M$18,7,FALSE)</f>
        <v>2</v>
      </c>
      <c r="Z1727" s="81">
        <f>HLOOKUP(I1727,データについて!$J$3:$M$18,16,FALSE)</f>
        <v>1</v>
      </c>
      <c r="AA1727" s="81">
        <f>IFERROR(HLOOKUP(J1727,データについて!$J$4:$AH$19,16,FALSE),"")</f>
        <v>1</v>
      </c>
      <c r="AB1727" s="81" t="str">
        <f>IFERROR(HLOOKUP(K1727,データについて!$J$5:$AH$20,14,FALSE),"")</f>
        <v/>
      </c>
      <c r="AC1727" s="81">
        <f>IF(X1727=1,HLOOKUP(R1727,データについて!$J$12:$M$18,7,FALSE),"*")</f>
        <v>2</v>
      </c>
      <c r="AD1727" s="81" t="str">
        <f>IF(X1727=2,HLOOKUP(R1727,データについて!$J$12:$M$18,7,FALSE),"*")</f>
        <v>*</v>
      </c>
    </row>
    <row r="1728" spans="1:30">
      <c r="A1728" s="30">
        <v>3464</v>
      </c>
      <c r="B1728" s="30" t="s">
        <v>1557</v>
      </c>
      <c r="C1728" s="30" t="s">
        <v>1556</v>
      </c>
      <c r="D1728" s="30" t="s">
        <v>106</v>
      </c>
      <c r="E1728" s="30"/>
      <c r="F1728" s="30" t="s">
        <v>107</v>
      </c>
      <c r="G1728" s="30" t="s">
        <v>106</v>
      </c>
      <c r="H1728" s="30"/>
      <c r="I1728" s="30" t="s">
        <v>192</v>
      </c>
      <c r="J1728" s="30" t="s">
        <v>128</v>
      </c>
      <c r="K1728" s="30"/>
      <c r="L1728" s="30" t="s">
        <v>117</v>
      </c>
      <c r="M1728" s="30" t="s">
        <v>113</v>
      </c>
      <c r="N1728" s="30" t="s">
        <v>114</v>
      </c>
      <c r="O1728" s="30" t="s">
        <v>115</v>
      </c>
      <c r="P1728" s="30" t="s">
        <v>112</v>
      </c>
      <c r="Q1728" s="30" t="s">
        <v>112</v>
      </c>
      <c r="R1728" s="30" t="s">
        <v>185</v>
      </c>
      <c r="S1728" s="81">
        <f>HLOOKUP(L1728,データについて!$J$6:$M$18,13,FALSE)</f>
        <v>2</v>
      </c>
      <c r="T1728" s="81">
        <f>HLOOKUP(M1728,データについて!$J$7:$M$18,12,FALSE)</f>
        <v>1</v>
      </c>
      <c r="U1728" s="81">
        <f>HLOOKUP(N1728,データについて!$J$8:$M$18,11,FALSE)</f>
        <v>1</v>
      </c>
      <c r="V1728" s="81">
        <f>HLOOKUP(O1728,データについて!$J$9:$M$18,10,FALSE)</f>
        <v>1</v>
      </c>
      <c r="W1728" s="81">
        <f>HLOOKUP(P1728,データについて!$J$10:$M$18,9,FALSE)</f>
        <v>1</v>
      </c>
      <c r="X1728" s="81">
        <f>HLOOKUP(Q1728,データについて!$J$11:$M$18,8,FALSE)</f>
        <v>1</v>
      </c>
      <c r="Y1728" s="81">
        <f>HLOOKUP(R1728,データについて!$J$12:$M$18,7,FALSE)</f>
        <v>2</v>
      </c>
      <c r="Z1728" s="81">
        <f>HLOOKUP(I1728,データについて!$J$3:$M$18,16,FALSE)</f>
        <v>1</v>
      </c>
      <c r="AA1728" s="81">
        <f>IFERROR(HLOOKUP(J1728,データについて!$J$4:$AH$19,16,FALSE),"")</f>
        <v>1</v>
      </c>
      <c r="AB1728" s="81" t="str">
        <f>IFERROR(HLOOKUP(K1728,データについて!$J$5:$AH$20,14,FALSE),"")</f>
        <v/>
      </c>
      <c r="AC1728" s="81">
        <f>IF(X1728=1,HLOOKUP(R1728,データについて!$J$12:$M$18,7,FALSE),"*")</f>
        <v>2</v>
      </c>
      <c r="AD1728" s="81" t="str">
        <f>IF(X1728=2,HLOOKUP(R1728,データについて!$J$12:$M$18,7,FALSE),"*")</f>
        <v>*</v>
      </c>
    </row>
    <row r="1729" spans="1:30">
      <c r="A1729" s="30">
        <v>3463</v>
      </c>
      <c r="B1729" s="30" t="s">
        <v>1558</v>
      </c>
      <c r="C1729" s="30" t="s">
        <v>1559</v>
      </c>
      <c r="D1729" s="30" t="s">
        <v>106</v>
      </c>
      <c r="E1729" s="30"/>
      <c r="F1729" s="30" t="s">
        <v>107</v>
      </c>
      <c r="G1729" s="30" t="s">
        <v>106</v>
      </c>
      <c r="H1729" s="30"/>
      <c r="I1729" s="30" t="s">
        <v>192</v>
      </c>
      <c r="J1729" s="30" t="s">
        <v>942</v>
      </c>
      <c r="K1729" s="30"/>
      <c r="L1729" s="30" t="s">
        <v>108</v>
      </c>
      <c r="M1729" s="30" t="s">
        <v>113</v>
      </c>
      <c r="N1729" s="30" t="s">
        <v>114</v>
      </c>
      <c r="O1729" s="30" t="s">
        <v>116</v>
      </c>
      <c r="P1729" s="30" t="s">
        <v>112</v>
      </c>
      <c r="Q1729" s="30" t="s">
        <v>118</v>
      </c>
      <c r="R1729" s="30" t="s">
        <v>185</v>
      </c>
      <c r="S1729" s="81">
        <f>HLOOKUP(L1729,データについて!$J$6:$M$18,13,FALSE)</f>
        <v>1</v>
      </c>
      <c r="T1729" s="81">
        <f>HLOOKUP(M1729,データについて!$J$7:$M$18,12,FALSE)</f>
        <v>1</v>
      </c>
      <c r="U1729" s="81">
        <f>HLOOKUP(N1729,データについて!$J$8:$M$18,11,FALSE)</f>
        <v>1</v>
      </c>
      <c r="V1729" s="81">
        <f>HLOOKUP(O1729,データについて!$J$9:$M$18,10,FALSE)</f>
        <v>2</v>
      </c>
      <c r="W1729" s="81">
        <f>HLOOKUP(P1729,データについて!$J$10:$M$18,9,FALSE)</f>
        <v>1</v>
      </c>
      <c r="X1729" s="81">
        <f>HLOOKUP(Q1729,データについて!$J$11:$M$18,8,FALSE)</f>
        <v>2</v>
      </c>
      <c r="Y1729" s="81">
        <f>HLOOKUP(R1729,データについて!$J$12:$M$18,7,FALSE)</f>
        <v>2</v>
      </c>
      <c r="Z1729" s="81">
        <f>HLOOKUP(I1729,データについて!$J$3:$M$18,16,FALSE)</f>
        <v>1</v>
      </c>
      <c r="AA1729" s="81">
        <f>IFERROR(HLOOKUP(J1729,データについて!$J$4:$AH$19,16,FALSE),"")</f>
        <v>7</v>
      </c>
      <c r="AB1729" s="81" t="str">
        <f>IFERROR(HLOOKUP(K1729,データについて!$J$5:$AH$20,14,FALSE),"")</f>
        <v/>
      </c>
      <c r="AC1729" s="81" t="str">
        <f>IF(X1729=1,HLOOKUP(R1729,データについて!$J$12:$M$18,7,FALSE),"*")</f>
        <v>*</v>
      </c>
      <c r="AD1729" s="81">
        <f>IF(X1729=2,HLOOKUP(R1729,データについて!$J$12:$M$18,7,FALSE),"*")</f>
        <v>2</v>
      </c>
    </row>
    <row r="1730" spans="1:30">
      <c r="A1730" s="30">
        <v>3462</v>
      </c>
      <c r="B1730" s="30" t="s">
        <v>1560</v>
      </c>
      <c r="C1730" s="30" t="s">
        <v>1561</v>
      </c>
      <c r="D1730" s="30" t="s">
        <v>106</v>
      </c>
      <c r="E1730" s="30"/>
      <c r="F1730" s="30" t="s">
        <v>107</v>
      </c>
      <c r="G1730" s="30" t="s">
        <v>106</v>
      </c>
      <c r="H1730" s="30"/>
      <c r="I1730" s="30" t="s">
        <v>192</v>
      </c>
      <c r="J1730" s="30" t="s">
        <v>128</v>
      </c>
      <c r="K1730" s="30"/>
      <c r="L1730" s="30" t="s">
        <v>117</v>
      </c>
      <c r="M1730" s="30" t="s">
        <v>113</v>
      </c>
      <c r="N1730" s="30" t="s">
        <v>114</v>
      </c>
      <c r="O1730" s="30" t="s">
        <v>115</v>
      </c>
      <c r="P1730" s="30" t="s">
        <v>112</v>
      </c>
      <c r="Q1730" s="30" t="s">
        <v>112</v>
      </c>
      <c r="R1730" s="30" t="s">
        <v>185</v>
      </c>
      <c r="S1730" s="81">
        <f>HLOOKUP(L1730,データについて!$J$6:$M$18,13,FALSE)</f>
        <v>2</v>
      </c>
      <c r="T1730" s="81">
        <f>HLOOKUP(M1730,データについて!$J$7:$M$18,12,FALSE)</f>
        <v>1</v>
      </c>
      <c r="U1730" s="81">
        <f>HLOOKUP(N1730,データについて!$J$8:$M$18,11,FALSE)</f>
        <v>1</v>
      </c>
      <c r="V1730" s="81">
        <f>HLOOKUP(O1730,データについて!$J$9:$M$18,10,FALSE)</f>
        <v>1</v>
      </c>
      <c r="W1730" s="81">
        <f>HLOOKUP(P1730,データについて!$J$10:$M$18,9,FALSE)</f>
        <v>1</v>
      </c>
      <c r="X1730" s="81">
        <f>HLOOKUP(Q1730,データについて!$J$11:$M$18,8,FALSE)</f>
        <v>1</v>
      </c>
      <c r="Y1730" s="81">
        <f>HLOOKUP(R1730,データについて!$J$12:$M$18,7,FALSE)</f>
        <v>2</v>
      </c>
      <c r="Z1730" s="81">
        <f>HLOOKUP(I1730,データについて!$J$3:$M$18,16,FALSE)</f>
        <v>1</v>
      </c>
      <c r="AA1730" s="81">
        <f>IFERROR(HLOOKUP(J1730,データについて!$J$4:$AH$19,16,FALSE),"")</f>
        <v>1</v>
      </c>
      <c r="AB1730" s="81" t="str">
        <f>IFERROR(HLOOKUP(K1730,データについて!$J$5:$AH$20,14,FALSE),"")</f>
        <v/>
      </c>
      <c r="AC1730" s="81">
        <f>IF(X1730=1,HLOOKUP(R1730,データについて!$J$12:$M$18,7,FALSE),"*")</f>
        <v>2</v>
      </c>
      <c r="AD1730" s="81" t="str">
        <f>IF(X1730=2,HLOOKUP(R1730,データについて!$J$12:$M$18,7,FALSE),"*")</f>
        <v>*</v>
      </c>
    </row>
    <row r="1731" spans="1:30">
      <c r="A1731" s="30">
        <v>3461</v>
      </c>
      <c r="B1731" s="30" t="s">
        <v>1562</v>
      </c>
      <c r="C1731" s="30" t="s">
        <v>1563</v>
      </c>
      <c r="D1731" s="30" t="s">
        <v>106</v>
      </c>
      <c r="E1731" s="30"/>
      <c r="F1731" s="30" t="s">
        <v>107</v>
      </c>
      <c r="G1731" s="30" t="s">
        <v>106</v>
      </c>
      <c r="H1731" s="30"/>
      <c r="I1731" s="30" t="s">
        <v>192</v>
      </c>
      <c r="J1731" s="30" t="s">
        <v>942</v>
      </c>
      <c r="K1731" s="30"/>
      <c r="L1731" s="30" t="s">
        <v>117</v>
      </c>
      <c r="M1731" s="30" t="s">
        <v>113</v>
      </c>
      <c r="N1731" s="30" t="s">
        <v>110</v>
      </c>
      <c r="O1731" s="30" t="s">
        <v>115</v>
      </c>
      <c r="P1731" s="30" t="s">
        <v>112</v>
      </c>
      <c r="Q1731" s="30" t="s">
        <v>112</v>
      </c>
      <c r="R1731" s="30" t="s">
        <v>185</v>
      </c>
      <c r="S1731" s="81">
        <f>HLOOKUP(L1731,データについて!$J$6:$M$18,13,FALSE)</f>
        <v>2</v>
      </c>
      <c r="T1731" s="81">
        <f>HLOOKUP(M1731,データについて!$J$7:$M$18,12,FALSE)</f>
        <v>1</v>
      </c>
      <c r="U1731" s="81">
        <f>HLOOKUP(N1731,データについて!$J$8:$M$18,11,FALSE)</f>
        <v>2</v>
      </c>
      <c r="V1731" s="81">
        <f>HLOOKUP(O1731,データについて!$J$9:$M$18,10,FALSE)</f>
        <v>1</v>
      </c>
      <c r="W1731" s="81">
        <f>HLOOKUP(P1731,データについて!$J$10:$M$18,9,FALSE)</f>
        <v>1</v>
      </c>
      <c r="X1731" s="81">
        <f>HLOOKUP(Q1731,データについて!$J$11:$M$18,8,FALSE)</f>
        <v>1</v>
      </c>
      <c r="Y1731" s="81">
        <f>HLOOKUP(R1731,データについて!$J$12:$M$18,7,FALSE)</f>
        <v>2</v>
      </c>
      <c r="Z1731" s="81">
        <f>HLOOKUP(I1731,データについて!$J$3:$M$18,16,FALSE)</f>
        <v>1</v>
      </c>
      <c r="AA1731" s="81">
        <f>IFERROR(HLOOKUP(J1731,データについて!$J$4:$AH$19,16,FALSE),"")</f>
        <v>7</v>
      </c>
      <c r="AB1731" s="81" t="str">
        <f>IFERROR(HLOOKUP(K1731,データについて!$J$5:$AH$20,14,FALSE),"")</f>
        <v/>
      </c>
      <c r="AC1731" s="81">
        <f>IF(X1731=1,HLOOKUP(R1731,データについて!$J$12:$M$18,7,FALSE),"*")</f>
        <v>2</v>
      </c>
      <c r="AD1731" s="81" t="str">
        <f>IF(X1731=2,HLOOKUP(R1731,データについて!$J$12:$M$18,7,FALSE),"*")</f>
        <v>*</v>
      </c>
    </row>
    <row r="1732" spans="1:30">
      <c r="A1732" s="30">
        <v>3460</v>
      </c>
      <c r="B1732" s="30" t="s">
        <v>1564</v>
      </c>
      <c r="C1732" s="30" t="s">
        <v>1565</v>
      </c>
      <c r="D1732" s="30" t="s">
        <v>106</v>
      </c>
      <c r="E1732" s="30"/>
      <c r="F1732" s="30" t="s">
        <v>107</v>
      </c>
      <c r="G1732" s="30" t="s">
        <v>106</v>
      </c>
      <c r="H1732" s="30"/>
      <c r="I1732" s="30" t="s">
        <v>192</v>
      </c>
      <c r="J1732" s="30" t="s">
        <v>942</v>
      </c>
      <c r="K1732" s="30"/>
      <c r="L1732" s="30" t="s">
        <v>108</v>
      </c>
      <c r="M1732" s="30" t="s">
        <v>109</v>
      </c>
      <c r="N1732" s="30" t="s">
        <v>114</v>
      </c>
      <c r="O1732" s="30" t="s">
        <v>111</v>
      </c>
      <c r="P1732" s="30" t="s">
        <v>112</v>
      </c>
      <c r="Q1732" s="30" t="s">
        <v>112</v>
      </c>
      <c r="R1732" s="30" t="s">
        <v>185</v>
      </c>
      <c r="S1732" s="81">
        <f>HLOOKUP(L1732,データについて!$J$6:$M$18,13,FALSE)</f>
        <v>1</v>
      </c>
      <c r="T1732" s="81">
        <f>HLOOKUP(M1732,データについて!$J$7:$M$18,12,FALSE)</f>
        <v>2</v>
      </c>
      <c r="U1732" s="81">
        <f>HLOOKUP(N1732,データについて!$J$8:$M$18,11,FALSE)</f>
        <v>1</v>
      </c>
      <c r="V1732" s="81">
        <f>HLOOKUP(O1732,データについて!$J$9:$M$18,10,FALSE)</f>
        <v>3</v>
      </c>
      <c r="W1732" s="81">
        <f>HLOOKUP(P1732,データについて!$J$10:$M$18,9,FALSE)</f>
        <v>1</v>
      </c>
      <c r="X1732" s="81">
        <f>HLOOKUP(Q1732,データについて!$J$11:$M$18,8,FALSE)</f>
        <v>1</v>
      </c>
      <c r="Y1732" s="81">
        <f>HLOOKUP(R1732,データについて!$J$12:$M$18,7,FALSE)</f>
        <v>2</v>
      </c>
      <c r="Z1732" s="81">
        <f>HLOOKUP(I1732,データについて!$J$3:$M$18,16,FALSE)</f>
        <v>1</v>
      </c>
      <c r="AA1732" s="81">
        <f>IFERROR(HLOOKUP(J1732,データについて!$J$4:$AH$19,16,FALSE),"")</f>
        <v>7</v>
      </c>
      <c r="AB1732" s="81" t="str">
        <f>IFERROR(HLOOKUP(K1732,データについて!$J$5:$AH$20,14,FALSE),"")</f>
        <v/>
      </c>
      <c r="AC1732" s="81">
        <f>IF(X1732=1,HLOOKUP(R1732,データについて!$J$12:$M$18,7,FALSE),"*")</f>
        <v>2</v>
      </c>
      <c r="AD1732" s="81" t="str">
        <f>IF(X1732=2,HLOOKUP(R1732,データについて!$J$12:$M$18,7,FALSE),"*")</f>
        <v>*</v>
      </c>
    </row>
    <row r="1733" spans="1:30">
      <c r="A1733" s="30">
        <v>3459</v>
      </c>
      <c r="B1733" s="30" t="s">
        <v>1566</v>
      </c>
      <c r="C1733" s="30" t="s">
        <v>1565</v>
      </c>
      <c r="D1733" s="30" t="s">
        <v>106</v>
      </c>
      <c r="E1733" s="30"/>
      <c r="F1733" s="30" t="s">
        <v>107</v>
      </c>
      <c r="G1733" s="30" t="s">
        <v>106</v>
      </c>
      <c r="H1733" s="30"/>
      <c r="I1733" s="30" t="s">
        <v>192</v>
      </c>
      <c r="J1733" s="30" t="s">
        <v>128</v>
      </c>
      <c r="K1733" s="30"/>
      <c r="L1733" s="30" t="s">
        <v>117</v>
      </c>
      <c r="M1733" s="30" t="s">
        <v>113</v>
      </c>
      <c r="N1733" s="30" t="s">
        <v>114</v>
      </c>
      <c r="O1733" s="30" t="s">
        <v>115</v>
      </c>
      <c r="P1733" s="30" t="s">
        <v>112</v>
      </c>
      <c r="Q1733" s="30" t="s">
        <v>112</v>
      </c>
      <c r="R1733" s="30" t="s">
        <v>185</v>
      </c>
      <c r="S1733" s="81">
        <f>HLOOKUP(L1733,データについて!$J$6:$M$18,13,FALSE)</f>
        <v>2</v>
      </c>
      <c r="T1733" s="81">
        <f>HLOOKUP(M1733,データについて!$J$7:$M$18,12,FALSE)</f>
        <v>1</v>
      </c>
      <c r="U1733" s="81">
        <f>HLOOKUP(N1733,データについて!$J$8:$M$18,11,FALSE)</f>
        <v>1</v>
      </c>
      <c r="V1733" s="81">
        <f>HLOOKUP(O1733,データについて!$J$9:$M$18,10,FALSE)</f>
        <v>1</v>
      </c>
      <c r="W1733" s="81">
        <f>HLOOKUP(P1733,データについて!$J$10:$M$18,9,FALSE)</f>
        <v>1</v>
      </c>
      <c r="X1733" s="81">
        <f>HLOOKUP(Q1733,データについて!$J$11:$M$18,8,FALSE)</f>
        <v>1</v>
      </c>
      <c r="Y1733" s="81">
        <f>HLOOKUP(R1733,データについて!$J$12:$M$18,7,FALSE)</f>
        <v>2</v>
      </c>
      <c r="Z1733" s="81">
        <f>HLOOKUP(I1733,データについて!$J$3:$M$18,16,FALSE)</f>
        <v>1</v>
      </c>
      <c r="AA1733" s="81">
        <f>IFERROR(HLOOKUP(J1733,データについて!$J$4:$AH$19,16,FALSE),"")</f>
        <v>1</v>
      </c>
      <c r="AB1733" s="81" t="str">
        <f>IFERROR(HLOOKUP(K1733,データについて!$J$5:$AH$20,14,FALSE),"")</f>
        <v/>
      </c>
      <c r="AC1733" s="81">
        <f>IF(X1733=1,HLOOKUP(R1733,データについて!$J$12:$M$18,7,FALSE),"*")</f>
        <v>2</v>
      </c>
      <c r="AD1733" s="81" t="str">
        <f>IF(X1733=2,HLOOKUP(R1733,データについて!$J$12:$M$18,7,FALSE),"*")</f>
        <v>*</v>
      </c>
    </row>
    <row r="1734" spans="1:30">
      <c r="A1734" s="30">
        <v>3458</v>
      </c>
      <c r="B1734" s="30" t="s">
        <v>1567</v>
      </c>
      <c r="C1734" s="30" t="s">
        <v>1568</v>
      </c>
      <c r="D1734" s="30" t="s">
        <v>106</v>
      </c>
      <c r="E1734" s="30"/>
      <c r="F1734" s="30" t="s">
        <v>107</v>
      </c>
      <c r="G1734" s="30" t="s">
        <v>106</v>
      </c>
      <c r="H1734" s="30"/>
      <c r="I1734" s="30" t="s">
        <v>192</v>
      </c>
      <c r="J1734" s="30" t="s">
        <v>128</v>
      </c>
      <c r="K1734" s="30"/>
      <c r="L1734" s="30" t="s">
        <v>108</v>
      </c>
      <c r="M1734" s="30" t="s">
        <v>109</v>
      </c>
      <c r="N1734" s="30" t="s">
        <v>114</v>
      </c>
      <c r="O1734" s="30" t="s">
        <v>115</v>
      </c>
      <c r="P1734" s="30" t="s">
        <v>112</v>
      </c>
      <c r="Q1734" s="30" t="s">
        <v>118</v>
      </c>
      <c r="R1734" s="30" t="s">
        <v>189</v>
      </c>
      <c r="S1734" s="81">
        <f>HLOOKUP(L1734,データについて!$J$6:$M$18,13,FALSE)</f>
        <v>1</v>
      </c>
      <c r="T1734" s="81">
        <f>HLOOKUP(M1734,データについて!$J$7:$M$18,12,FALSE)</f>
        <v>2</v>
      </c>
      <c r="U1734" s="81">
        <f>HLOOKUP(N1734,データについて!$J$8:$M$18,11,FALSE)</f>
        <v>1</v>
      </c>
      <c r="V1734" s="81">
        <f>HLOOKUP(O1734,データについて!$J$9:$M$18,10,FALSE)</f>
        <v>1</v>
      </c>
      <c r="W1734" s="81">
        <f>HLOOKUP(P1734,データについて!$J$10:$M$18,9,FALSE)</f>
        <v>1</v>
      </c>
      <c r="X1734" s="81">
        <f>HLOOKUP(Q1734,データについて!$J$11:$M$18,8,FALSE)</f>
        <v>2</v>
      </c>
      <c r="Y1734" s="81">
        <f>HLOOKUP(R1734,データについて!$J$12:$M$18,7,FALSE)</f>
        <v>4</v>
      </c>
      <c r="Z1734" s="81">
        <f>HLOOKUP(I1734,データについて!$J$3:$M$18,16,FALSE)</f>
        <v>1</v>
      </c>
      <c r="AA1734" s="81">
        <f>IFERROR(HLOOKUP(J1734,データについて!$J$4:$AH$19,16,FALSE),"")</f>
        <v>1</v>
      </c>
      <c r="AB1734" s="81" t="str">
        <f>IFERROR(HLOOKUP(K1734,データについて!$J$5:$AH$20,14,FALSE),"")</f>
        <v/>
      </c>
      <c r="AC1734" s="81" t="str">
        <f>IF(X1734=1,HLOOKUP(R1734,データについて!$J$12:$M$18,7,FALSE),"*")</f>
        <v>*</v>
      </c>
      <c r="AD1734" s="81">
        <f>IF(X1734=2,HLOOKUP(R1734,データについて!$J$12:$M$18,7,FALSE),"*")</f>
        <v>4</v>
      </c>
    </row>
    <row r="1735" spans="1:30">
      <c r="A1735" s="30">
        <v>3457</v>
      </c>
      <c r="B1735" s="30" t="s">
        <v>1569</v>
      </c>
      <c r="C1735" s="30" t="s">
        <v>1568</v>
      </c>
      <c r="D1735" s="30" t="s">
        <v>106</v>
      </c>
      <c r="E1735" s="30"/>
      <c r="F1735" s="30" t="s">
        <v>107</v>
      </c>
      <c r="G1735" s="30" t="s">
        <v>106</v>
      </c>
      <c r="H1735" s="30"/>
      <c r="I1735" s="30" t="s">
        <v>192</v>
      </c>
      <c r="J1735" s="30" t="s">
        <v>128</v>
      </c>
      <c r="K1735" s="30"/>
      <c r="L1735" s="30" t="s">
        <v>108</v>
      </c>
      <c r="M1735" s="30" t="s">
        <v>113</v>
      </c>
      <c r="N1735" s="30" t="s">
        <v>114</v>
      </c>
      <c r="O1735" s="30" t="s">
        <v>115</v>
      </c>
      <c r="P1735" s="30" t="s">
        <v>112</v>
      </c>
      <c r="Q1735" s="30" t="s">
        <v>112</v>
      </c>
      <c r="R1735" s="30" t="s">
        <v>183</v>
      </c>
      <c r="S1735" s="81">
        <f>HLOOKUP(L1735,データについて!$J$6:$M$18,13,FALSE)</f>
        <v>1</v>
      </c>
      <c r="T1735" s="81">
        <f>HLOOKUP(M1735,データについて!$J$7:$M$18,12,FALSE)</f>
        <v>1</v>
      </c>
      <c r="U1735" s="81">
        <f>HLOOKUP(N1735,データについて!$J$8:$M$18,11,FALSE)</f>
        <v>1</v>
      </c>
      <c r="V1735" s="81">
        <f>HLOOKUP(O1735,データについて!$J$9:$M$18,10,FALSE)</f>
        <v>1</v>
      </c>
      <c r="W1735" s="81">
        <f>HLOOKUP(P1735,データについて!$J$10:$M$18,9,FALSE)</f>
        <v>1</v>
      </c>
      <c r="X1735" s="81">
        <f>HLOOKUP(Q1735,データについて!$J$11:$M$18,8,FALSE)</f>
        <v>1</v>
      </c>
      <c r="Y1735" s="81">
        <f>HLOOKUP(R1735,データについて!$J$12:$M$18,7,FALSE)</f>
        <v>1</v>
      </c>
      <c r="Z1735" s="81">
        <f>HLOOKUP(I1735,データについて!$J$3:$M$18,16,FALSE)</f>
        <v>1</v>
      </c>
      <c r="AA1735" s="81">
        <f>IFERROR(HLOOKUP(J1735,データについて!$J$4:$AH$19,16,FALSE),"")</f>
        <v>1</v>
      </c>
      <c r="AB1735" s="81" t="str">
        <f>IFERROR(HLOOKUP(K1735,データについて!$J$5:$AH$20,14,FALSE),"")</f>
        <v/>
      </c>
      <c r="AC1735" s="81">
        <f>IF(X1735=1,HLOOKUP(R1735,データについて!$J$12:$M$18,7,FALSE),"*")</f>
        <v>1</v>
      </c>
      <c r="AD1735" s="81" t="str">
        <f>IF(X1735=2,HLOOKUP(R1735,データについて!$J$12:$M$18,7,FALSE),"*")</f>
        <v>*</v>
      </c>
    </row>
    <row r="1736" spans="1:30">
      <c r="A1736" s="30">
        <v>3456</v>
      </c>
      <c r="B1736" s="30" t="s">
        <v>1570</v>
      </c>
      <c r="C1736" s="30" t="s">
        <v>1571</v>
      </c>
      <c r="D1736" s="30" t="s">
        <v>106</v>
      </c>
      <c r="E1736" s="30"/>
      <c r="F1736" s="30" t="s">
        <v>107</v>
      </c>
      <c r="G1736" s="30" t="s">
        <v>106</v>
      </c>
      <c r="H1736" s="30"/>
      <c r="I1736" s="30" t="s">
        <v>192</v>
      </c>
      <c r="J1736" s="30" t="s">
        <v>128</v>
      </c>
      <c r="K1736" s="30"/>
      <c r="L1736" s="30" t="s">
        <v>117</v>
      </c>
      <c r="M1736" s="30" t="s">
        <v>109</v>
      </c>
      <c r="N1736" s="30" t="s">
        <v>119</v>
      </c>
      <c r="O1736" s="30" t="s">
        <v>116</v>
      </c>
      <c r="P1736" s="30" t="s">
        <v>112</v>
      </c>
      <c r="Q1736" s="30" t="s">
        <v>112</v>
      </c>
      <c r="R1736" s="30" t="s">
        <v>185</v>
      </c>
      <c r="S1736" s="81">
        <f>HLOOKUP(L1736,データについて!$J$6:$M$18,13,FALSE)</f>
        <v>2</v>
      </c>
      <c r="T1736" s="81">
        <f>HLOOKUP(M1736,データについて!$J$7:$M$18,12,FALSE)</f>
        <v>2</v>
      </c>
      <c r="U1736" s="81">
        <f>HLOOKUP(N1736,データについて!$J$8:$M$18,11,FALSE)</f>
        <v>4</v>
      </c>
      <c r="V1736" s="81">
        <f>HLOOKUP(O1736,データについて!$J$9:$M$18,10,FALSE)</f>
        <v>2</v>
      </c>
      <c r="W1736" s="81">
        <f>HLOOKUP(P1736,データについて!$J$10:$M$18,9,FALSE)</f>
        <v>1</v>
      </c>
      <c r="X1736" s="81">
        <f>HLOOKUP(Q1736,データについて!$J$11:$M$18,8,FALSE)</f>
        <v>1</v>
      </c>
      <c r="Y1736" s="81">
        <f>HLOOKUP(R1736,データについて!$J$12:$M$18,7,FALSE)</f>
        <v>2</v>
      </c>
      <c r="Z1736" s="81">
        <f>HLOOKUP(I1736,データについて!$J$3:$M$18,16,FALSE)</f>
        <v>1</v>
      </c>
      <c r="AA1736" s="81">
        <f>IFERROR(HLOOKUP(J1736,データについて!$J$4:$AH$19,16,FALSE),"")</f>
        <v>1</v>
      </c>
      <c r="AB1736" s="81" t="str">
        <f>IFERROR(HLOOKUP(K1736,データについて!$J$5:$AH$20,14,FALSE),"")</f>
        <v/>
      </c>
      <c r="AC1736" s="81">
        <f>IF(X1736=1,HLOOKUP(R1736,データについて!$J$12:$M$18,7,FALSE),"*")</f>
        <v>2</v>
      </c>
      <c r="AD1736" s="81" t="str">
        <f>IF(X1736=2,HLOOKUP(R1736,データについて!$J$12:$M$18,7,FALSE),"*")</f>
        <v>*</v>
      </c>
    </row>
    <row r="1737" spans="1:30">
      <c r="A1737" s="30">
        <v>3455</v>
      </c>
      <c r="B1737" s="30" t="s">
        <v>1572</v>
      </c>
      <c r="C1737" s="30" t="s">
        <v>1573</v>
      </c>
      <c r="D1737" s="30" t="s">
        <v>106</v>
      </c>
      <c r="E1737" s="30"/>
      <c r="F1737" s="30" t="s">
        <v>107</v>
      </c>
      <c r="G1737" s="30" t="s">
        <v>106</v>
      </c>
      <c r="H1737" s="30"/>
      <c r="I1737" s="30" t="s">
        <v>192</v>
      </c>
      <c r="J1737" s="30" t="s">
        <v>128</v>
      </c>
      <c r="K1737" s="30"/>
      <c r="L1737" s="30" t="s">
        <v>117</v>
      </c>
      <c r="M1737" s="30" t="s">
        <v>113</v>
      </c>
      <c r="N1737" s="30" t="s">
        <v>110</v>
      </c>
      <c r="O1737" s="30" t="s">
        <v>116</v>
      </c>
      <c r="P1737" s="30" t="s">
        <v>112</v>
      </c>
      <c r="Q1737" s="30" t="s">
        <v>112</v>
      </c>
      <c r="R1737" s="30" t="s">
        <v>185</v>
      </c>
      <c r="S1737" s="81">
        <f>HLOOKUP(L1737,データについて!$J$6:$M$18,13,FALSE)</f>
        <v>2</v>
      </c>
      <c r="T1737" s="81">
        <f>HLOOKUP(M1737,データについて!$J$7:$M$18,12,FALSE)</f>
        <v>1</v>
      </c>
      <c r="U1737" s="81">
        <f>HLOOKUP(N1737,データについて!$J$8:$M$18,11,FALSE)</f>
        <v>2</v>
      </c>
      <c r="V1737" s="81">
        <f>HLOOKUP(O1737,データについて!$J$9:$M$18,10,FALSE)</f>
        <v>2</v>
      </c>
      <c r="W1737" s="81">
        <f>HLOOKUP(P1737,データについて!$J$10:$M$18,9,FALSE)</f>
        <v>1</v>
      </c>
      <c r="X1737" s="81">
        <f>HLOOKUP(Q1737,データについて!$J$11:$M$18,8,FALSE)</f>
        <v>1</v>
      </c>
      <c r="Y1737" s="81">
        <f>HLOOKUP(R1737,データについて!$J$12:$M$18,7,FALSE)</f>
        <v>2</v>
      </c>
      <c r="Z1737" s="81">
        <f>HLOOKUP(I1737,データについて!$J$3:$M$18,16,FALSE)</f>
        <v>1</v>
      </c>
      <c r="AA1737" s="81">
        <f>IFERROR(HLOOKUP(J1737,データについて!$J$4:$AH$19,16,FALSE),"")</f>
        <v>1</v>
      </c>
      <c r="AB1737" s="81" t="str">
        <f>IFERROR(HLOOKUP(K1737,データについて!$J$5:$AH$20,14,FALSE),"")</f>
        <v/>
      </c>
      <c r="AC1737" s="81">
        <f>IF(X1737=1,HLOOKUP(R1737,データについて!$J$12:$M$18,7,FALSE),"*")</f>
        <v>2</v>
      </c>
      <c r="AD1737" s="81" t="str">
        <f>IF(X1737=2,HLOOKUP(R1737,データについて!$J$12:$M$18,7,FALSE),"*")</f>
        <v>*</v>
      </c>
    </row>
    <row r="1738" spans="1:30">
      <c r="A1738" s="30">
        <v>3454</v>
      </c>
      <c r="B1738" s="30" t="s">
        <v>1574</v>
      </c>
      <c r="C1738" s="30" t="s">
        <v>1575</v>
      </c>
      <c r="D1738" s="30" t="s">
        <v>106</v>
      </c>
      <c r="E1738" s="30"/>
      <c r="F1738" s="30" t="s">
        <v>107</v>
      </c>
      <c r="G1738" s="30" t="s">
        <v>106</v>
      </c>
      <c r="H1738" s="30"/>
      <c r="I1738" s="30" t="s">
        <v>192</v>
      </c>
      <c r="J1738" s="30" t="s">
        <v>128</v>
      </c>
      <c r="K1738" s="30"/>
      <c r="L1738" s="30" t="s">
        <v>108</v>
      </c>
      <c r="M1738" s="30" t="s">
        <v>109</v>
      </c>
      <c r="N1738" s="30" t="s">
        <v>110</v>
      </c>
      <c r="O1738" s="30" t="s">
        <v>115</v>
      </c>
      <c r="P1738" s="30" t="s">
        <v>112</v>
      </c>
      <c r="Q1738" s="30" t="s">
        <v>118</v>
      </c>
      <c r="R1738" s="30" t="s">
        <v>187</v>
      </c>
      <c r="S1738" s="81">
        <f>HLOOKUP(L1738,データについて!$J$6:$M$18,13,FALSE)</f>
        <v>1</v>
      </c>
      <c r="T1738" s="81">
        <f>HLOOKUP(M1738,データについて!$J$7:$M$18,12,FALSE)</f>
        <v>2</v>
      </c>
      <c r="U1738" s="81">
        <f>HLOOKUP(N1738,データについて!$J$8:$M$18,11,FALSE)</f>
        <v>2</v>
      </c>
      <c r="V1738" s="81">
        <f>HLOOKUP(O1738,データについて!$J$9:$M$18,10,FALSE)</f>
        <v>1</v>
      </c>
      <c r="W1738" s="81">
        <f>HLOOKUP(P1738,データについて!$J$10:$M$18,9,FALSE)</f>
        <v>1</v>
      </c>
      <c r="X1738" s="81">
        <f>HLOOKUP(Q1738,データについて!$J$11:$M$18,8,FALSE)</f>
        <v>2</v>
      </c>
      <c r="Y1738" s="81">
        <f>HLOOKUP(R1738,データについて!$J$12:$M$18,7,FALSE)</f>
        <v>3</v>
      </c>
      <c r="Z1738" s="81">
        <f>HLOOKUP(I1738,データについて!$J$3:$M$18,16,FALSE)</f>
        <v>1</v>
      </c>
      <c r="AA1738" s="81">
        <f>IFERROR(HLOOKUP(J1738,データについて!$J$4:$AH$19,16,FALSE),"")</f>
        <v>1</v>
      </c>
      <c r="AB1738" s="81" t="str">
        <f>IFERROR(HLOOKUP(K1738,データについて!$J$5:$AH$20,14,FALSE),"")</f>
        <v/>
      </c>
      <c r="AC1738" s="81" t="str">
        <f>IF(X1738=1,HLOOKUP(R1738,データについて!$J$12:$M$18,7,FALSE),"*")</f>
        <v>*</v>
      </c>
      <c r="AD1738" s="81">
        <f>IF(X1738=2,HLOOKUP(R1738,データについて!$J$12:$M$18,7,FALSE),"*")</f>
        <v>3</v>
      </c>
    </row>
    <row r="1739" spans="1:30">
      <c r="A1739" s="30">
        <v>3453</v>
      </c>
      <c r="B1739" s="30" t="s">
        <v>1576</v>
      </c>
      <c r="C1739" s="30" t="s">
        <v>1575</v>
      </c>
      <c r="D1739" s="30" t="s">
        <v>106</v>
      </c>
      <c r="E1739" s="30"/>
      <c r="F1739" s="30" t="s">
        <v>107</v>
      </c>
      <c r="G1739" s="30" t="s">
        <v>106</v>
      </c>
      <c r="H1739" s="30"/>
      <c r="I1739" s="30" t="s">
        <v>192</v>
      </c>
      <c r="J1739" s="30" t="s">
        <v>128</v>
      </c>
      <c r="K1739" s="30"/>
      <c r="L1739" s="30" t="s">
        <v>117</v>
      </c>
      <c r="M1739" s="30" t="s">
        <v>113</v>
      </c>
      <c r="N1739" s="30" t="s">
        <v>110</v>
      </c>
      <c r="O1739" s="30" t="s">
        <v>115</v>
      </c>
      <c r="P1739" s="30" t="s">
        <v>112</v>
      </c>
      <c r="Q1739" s="30" t="s">
        <v>112</v>
      </c>
      <c r="R1739" s="30" t="s">
        <v>185</v>
      </c>
      <c r="S1739" s="81">
        <f>HLOOKUP(L1739,データについて!$J$6:$M$18,13,FALSE)</f>
        <v>2</v>
      </c>
      <c r="T1739" s="81">
        <f>HLOOKUP(M1739,データについて!$J$7:$M$18,12,FALSE)</f>
        <v>1</v>
      </c>
      <c r="U1739" s="81">
        <f>HLOOKUP(N1739,データについて!$J$8:$M$18,11,FALSE)</f>
        <v>2</v>
      </c>
      <c r="V1739" s="81">
        <f>HLOOKUP(O1739,データについて!$J$9:$M$18,10,FALSE)</f>
        <v>1</v>
      </c>
      <c r="W1739" s="81">
        <f>HLOOKUP(P1739,データについて!$J$10:$M$18,9,FALSE)</f>
        <v>1</v>
      </c>
      <c r="X1739" s="81">
        <f>HLOOKUP(Q1739,データについて!$J$11:$M$18,8,FALSE)</f>
        <v>1</v>
      </c>
      <c r="Y1739" s="81">
        <f>HLOOKUP(R1739,データについて!$J$12:$M$18,7,FALSE)</f>
        <v>2</v>
      </c>
      <c r="Z1739" s="81">
        <f>HLOOKUP(I1739,データについて!$J$3:$M$18,16,FALSE)</f>
        <v>1</v>
      </c>
      <c r="AA1739" s="81">
        <f>IFERROR(HLOOKUP(J1739,データについて!$J$4:$AH$19,16,FALSE),"")</f>
        <v>1</v>
      </c>
      <c r="AB1739" s="81" t="str">
        <f>IFERROR(HLOOKUP(K1739,データについて!$J$5:$AH$20,14,FALSE),"")</f>
        <v/>
      </c>
      <c r="AC1739" s="81">
        <f>IF(X1739=1,HLOOKUP(R1739,データについて!$J$12:$M$18,7,FALSE),"*")</f>
        <v>2</v>
      </c>
      <c r="AD1739" s="81" t="str">
        <f>IF(X1739=2,HLOOKUP(R1739,データについて!$J$12:$M$18,7,FALSE),"*")</f>
        <v>*</v>
      </c>
    </row>
    <row r="1740" spans="1:30">
      <c r="A1740" s="30">
        <v>3452</v>
      </c>
      <c r="B1740" s="30" t="s">
        <v>1577</v>
      </c>
      <c r="C1740" s="30" t="s">
        <v>1578</v>
      </c>
      <c r="D1740" s="30" t="s">
        <v>106</v>
      </c>
      <c r="E1740" s="30"/>
      <c r="F1740" s="30" t="s">
        <v>107</v>
      </c>
      <c r="G1740" s="30" t="s">
        <v>106</v>
      </c>
      <c r="H1740" s="30"/>
      <c r="I1740" s="30" t="s">
        <v>192</v>
      </c>
      <c r="J1740" s="30" t="s">
        <v>128</v>
      </c>
      <c r="K1740" s="30"/>
      <c r="L1740" s="30" t="s">
        <v>117</v>
      </c>
      <c r="M1740" s="30" t="s">
        <v>109</v>
      </c>
      <c r="N1740" s="30" t="s">
        <v>114</v>
      </c>
      <c r="O1740" s="30" t="s">
        <v>115</v>
      </c>
      <c r="P1740" s="30" t="s">
        <v>112</v>
      </c>
      <c r="Q1740" s="30" t="s">
        <v>112</v>
      </c>
      <c r="R1740" s="30" t="s">
        <v>185</v>
      </c>
      <c r="S1740" s="81">
        <f>HLOOKUP(L1740,データについて!$J$6:$M$18,13,FALSE)</f>
        <v>2</v>
      </c>
      <c r="T1740" s="81">
        <f>HLOOKUP(M1740,データについて!$J$7:$M$18,12,FALSE)</f>
        <v>2</v>
      </c>
      <c r="U1740" s="81">
        <f>HLOOKUP(N1740,データについて!$J$8:$M$18,11,FALSE)</f>
        <v>1</v>
      </c>
      <c r="V1740" s="81">
        <f>HLOOKUP(O1740,データについて!$J$9:$M$18,10,FALSE)</f>
        <v>1</v>
      </c>
      <c r="W1740" s="81">
        <f>HLOOKUP(P1740,データについて!$J$10:$M$18,9,FALSE)</f>
        <v>1</v>
      </c>
      <c r="X1740" s="81">
        <f>HLOOKUP(Q1740,データについて!$J$11:$M$18,8,FALSE)</f>
        <v>1</v>
      </c>
      <c r="Y1740" s="81">
        <f>HLOOKUP(R1740,データについて!$J$12:$M$18,7,FALSE)</f>
        <v>2</v>
      </c>
      <c r="Z1740" s="81">
        <f>HLOOKUP(I1740,データについて!$J$3:$M$18,16,FALSE)</f>
        <v>1</v>
      </c>
      <c r="AA1740" s="81">
        <f>IFERROR(HLOOKUP(J1740,データについて!$J$4:$AH$19,16,FALSE),"")</f>
        <v>1</v>
      </c>
      <c r="AB1740" s="81" t="str">
        <f>IFERROR(HLOOKUP(K1740,データについて!$J$5:$AH$20,14,FALSE),"")</f>
        <v/>
      </c>
      <c r="AC1740" s="81">
        <f>IF(X1740=1,HLOOKUP(R1740,データについて!$J$12:$M$18,7,FALSE),"*")</f>
        <v>2</v>
      </c>
      <c r="AD1740" s="81" t="str">
        <f>IF(X1740=2,HLOOKUP(R1740,データについて!$J$12:$M$18,7,FALSE),"*")</f>
        <v>*</v>
      </c>
    </row>
    <row r="1741" spans="1:30">
      <c r="A1741" s="30">
        <v>3451</v>
      </c>
      <c r="B1741" s="30" t="s">
        <v>1579</v>
      </c>
      <c r="C1741" s="30" t="s">
        <v>1578</v>
      </c>
      <c r="D1741" s="30" t="s">
        <v>106</v>
      </c>
      <c r="E1741" s="30"/>
      <c r="F1741" s="30" t="s">
        <v>107</v>
      </c>
      <c r="G1741" s="30" t="s">
        <v>106</v>
      </c>
      <c r="H1741" s="30"/>
      <c r="I1741" s="30" t="s">
        <v>192</v>
      </c>
      <c r="J1741" s="30" t="s">
        <v>128</v>
      </c>
      <c r="K1741" s="30"/>
      <c r="L1741" s="30" t="s">
        <v>117</v>
      </c>
      <c r="M1741" s="30" t="s">
        <v>109</v>
      </c>
      <c r="N1741" s="30" t="s">
        <v>119</v>
      </c>
      <c r="O1741" s="30" t="s">
        <v>115</v>
      </c>
      <c r="P1741" s="30" t="s">
        <v>112</v>
      </c>
      <c r="Q1741" s="30" t="s">
        <v>118</v>
      </c>
      <c r="R1741" s="30" t="s">
        <v>187</v>
      </c>
      <c r="S1741" s="81">
        <f>HLOOKUP(L1741,データについて!$J$6:$M$18,13,FALSE)</f>
        <v>2</v>
      </c>
      <c r="T1741" s="81">
        <f>HLOOKUP(M1741,データについて!$J$7:$M$18,12,FALSE)</f>
        <v>2</v>
      </c>
      <c r="U1741" s="81">
        <f>HLOOKUP(N1741,データについて!$J$8:$M$18,11,FALSE)</f>
        <v>4</v>
      </c>
      <c r="V1741" s="81">
        <f>HLOOKUP(O1741,データについて!$J$9:$M$18,10,FALSE)</f>
        <v>1</v>
      </c>
      <c r="W1741" s="81">
        <f>HLOOKUP(P1741,データについて!$J$10:$M$18,9,FALSE)</f>
        <v>1</v>
      </c>
      <c r="X1741" s="81">
        <f>HLOOKUP(Q1741,データについて!$J$11:$M$18,8,FALSE)</f>
        <v>2</v>
      </c>
      <c r="Y1741" s="81">
        <f>HLOOKUP(R1741,データについて!$J$12:$M$18,7,FALSE)</f>
        <v>3</v>
      </c>
      <c r="Z1741" s="81">
        <f>HLOOKUP(I1741,データについて!$J$3:$M$18,16,FALSE)</f>
        <v>1</v>
      </c>
      <c r="AA1741" s="81">
        <f>IFERROR(HLOOKUP(J1741,データについて!$J$4:$AH$19,16,FALSE),"")</f>
        <v>1</v>
      </c>
      <c r="AB1741" s="81" t="str">
        <f>IFERROR(HLOOKUP(K1741,データについて!$J$5:$AH$20,14,FALSE),"")</f>
        <v/>
      </c>
      <c r="AC1741" s="81" t="str">
        <f>IF(X1741=1,HLOOKUP(R1741,データについて!$J$12:$M$18,7,FALSE),"*")</f>
        <v>*</v>
      </c>
      <c r="AD1741" s="81">
        <f>IF(X1741=2,HLOOKUP(R1741,データについて!$J$12:$M$18,7,FALSE),"*")</f>
        <v>3</v>
      </c>
    </row>
    <row r="1742" spans="1:30">
      <c r="A1742" s="30">
        <v>3450</v>
      </c>
      <c r="B1742" s="30" t="s">
        <v>1580</v>
      </c>
      <c r="C1742" s="30" t="s">
        <v>1581</v>
      </c>
      <c r="D1742" s="30" t="s">
        <v>106</v>
      </c>
      <c r="E1742" s="30"/>
      <c r="F1742" s="30" t="s">
        <v>107</v>
      </c>
      <c r="G1742" s="30" t="s">
        <v>106</v>
      </c>
      <c r="H1742" s="30"/>
      <c r="I1742" s="30" t="s">
        <v>192</v>
      </c>
      <c r="J1742" s="30" t="s">
        <v>128</v>
      </c>
      <c r="K1742" s="30"/>
      <c r="L1742" s="30" t="s">
        <v>108</v>
      </c>
      <c r="M1742" s="30" t="s">
        <v>113</v>
      </c>
      <c r="N1742" s="30" t="s">
        <v>114</v>
      </c>
      <c r="O1742" s="30" t="s">
        <v>115</v>
      </c>
      <c r="P1742" s="30" t="s">
        <v>112</v>
      </c>
      <c r="Q1742" s="30" t="s">
        <v>112</v>
      </c>
      <c r="R1742" s="30" t="s">
        <v>183</v>
      </c>
      <c r="S1742" s="81">
        <f>HLOOKUP(L1742,データについて!$J$6:$M$18,13,FALSE)</f>
        <v>1</v>
      </c>
      <c r="T1742" s="81">
        <f>HLOOKUP(M1742,データについて!$J$7:$M$18,12,FALSE)</f>
        <v>1</v>
      </c>
      <c r="U1742" s="81">
        <f>HLOOKUP(N1742,データについて!$J$8:$M$18,11,FALSE)</f>
        <v>1</v>
      </c>
      <c r="V1742" s="81">
        <f>HLOOKUP(O1742,データについて!$J$9:$M$18,10,FALSE)</f>
        <v>1</v>
      </c>
      <c r="W1742" s="81">
        <f>HLOOKUP(P1742,データについて!$J$10:$M$18,9,FALSE)</f>
        <v>1</v>
      </c>
      <c r="X1742" s="81">
        <f>HLOOKUP(Q1742,データについて!$J$11:$M$18,8,FALSE)</f>
        <v>1</v>
      </c>
      <c r="Y1742" s="81">
        <f>HLOOKUP(R1742,データについて!$J$12:$M$18,7,FALSE)</f>
        <v>1</v>
      </c>
      <c r="Z1742" s="81">
        <f>HLOOKUP(I1742,データについて!$J$3:$M$18,16,FALSE)</f>
        <v>1</v>
      </c>
      <c r="AA1742" s="81">
        <f>IFERROR(HLOOKUP(J1742,データについて!$J$4:$AH$19,16,FALSE),"")</f>
        <v>1</v>
      </c>
      <c r="AB1742" s="81" t="str">
        <f>IFERROR(HLOOKUP(K1742,データについて!$J$5:$AH$20,14,FALSE),"")</f>
        <v/>
      </c>
      <c r="AC1742" s="81">
        <f>IF(X1742=1,HLOOKUP(R1742,データについて!$J$12:$M$18,7,FALSE),"*")</f>
        <v>1</v>
      </c>
      <c r="AD1742" s="81" t="str">
        <f>IF(X1742=2,HLOOKUP(R1742,データについて!$J$12:$M$18,7,FALSE),"*")</f>
        <v>*</v>
      </c>
    </row>
    <row r="1743" spans="1:30">
      <c r="A1743" s="30">
        <v>3449</v>
      </c>
      <c r="B1743" s="30" t="s">
        <v>1582</v>
      </c>
      <c r="C1743" s="30" t="s">
        <v>1583</v>
      </c>
      <c r="D1743" s="30" t="s">
        <v>106</v>
      </c>
      <c r="E1743" s="30"/>
      <c r="F1743" s="30" t="s">
        <v>107</v>
      </c>
      <c r="G1743" s="30" t="s">
        <v>106</v>
      </c>
      <c r="H1743" s="30"/>
      <c r="I1743" s="30" t="s">
        <v>192</v>
      </c>
      <c r="J1743" s="30" t="s">
        <v>128</v>
      </c>
      <c r="K1743" s="30"/>
      <c r="L1743" s="30" t="s">
        <v>117</v>
      </c>
      <c r="M1743" s="30" t="s">
        <v>109</v>
      </c>
      <c r="N1743" s="30" t="s">
        <v>110</v>
      </c>
      <c r="O1743" s="30" t="s">
        <v>115</v>
      </c>
      <c r="P1743" s="30" t="s">
        <v>112</v>
      </c>
      <c r="Q1743" s="30" t="s">
        <v>118</v>
      </c>
      <c r="R1743" s="30" t="s">
        <v>185</v>
      </c>
      <c r="S1743" s="81">
        <f>HLOOKUP(L1743,データについて!$J$6:$M$18,13,FALSE)</f>
        <v>2</v>
      </c>
      <c r="T1743" s="81">
        <f>HLOOKUP(M1743,データについて!$J$7:$M$18,12,FALSE)</f>
        <v>2</v>
      </c>
      <c r="U1743" s="81">
        <f>HLOOKUP(N1743,データについて!$J$8:$M$18,11,FALSE)</f>
        <v>2</v>
      </c>
      <c r="V1743" s="81">
        <f>HLOOKUP(O1743,データについて!$J$9:$M$18,10,FALSE)</f>
        <v>1</v>
      </c>
      <c r="W1743" s="81">
        <f>HLOOKUP(P1743,データについて!$J$10:$M$18,9,FALSE)</f>
        <v>1</v>
      </c>
      <c r="X1743" s="81">
        <f>HLOOKUP(Q1743,データについて!$J$11:$M$18,8,FALSE)</f>
        <v>2</v>
      </c>
      <c r="Y1743" s="81">
        <f>HLOOKUP(R1743,データについて!$J$12:$M$18,7,FALSE)</f>
        <v>2</v>
      </c>
      <c r="Z1743" s="81">
        <f>HLOOKUP(I1743,データについて!$J$3:$M$18,16,FALSE)</f>
        <v>1</v>
      </c>
      <c r="AA1743" s="81">
        <f>IFERROR(HLOOKUP(J1743,データについて!$J$4:$AH$19,16,FALSE),"")</f>
        <v>1</v>
      </c>
      <c r="AB1743" s="81" t="str">
        <f>IFERROR(HLOOKUP(K1743,データについて!$J$5:$AH$20,14,FALSE),"")</f>
        <v/>
      </c>
      <c r="AC1743" s="81" t="str">
        <f>IF(X1743=1,HLOOKUP(R1743,データについて!$J$12:$M$18,7,FALSE),"*")</f>
        <v>*</v>
      </c>
      <c r="AD1743" s="81">
        <f>IF(X1743=2,HLOOKUP(R1743,データについて!$J$12:$M$18,7,FALSE),"*")</f>
        <v>2</v>
      </c>
    </row>
    <row r="1744" spans="1:30">
      <c r="A1744" s="30">
        <v>3448</v>
      </c>
      <c r="B1744" s="30" t="s">
        <v>1584</v>
      </c>
      <c r="C1744" s="30" t="s">
        <v>1585</v>
      </c>
      <c r="D1744" s="30" t="s">
        <v>106</v>
      </c>
      <c r="E1744" s="30"/>
      <c r="F1744" s="30" t="s">
        <v>107</v>
      </c>
      <c r="G1744" s="30" t="s">
        <v>106</v>
      </c>
      <c r="H1744" s="30"/>
      <c r="I1744" s="30" t="s">
        <v>192</v>
      </c>
      <c r="J1744" s="30" t="s">
        <v>128</v>
      </c>
      <c r="K1744" s="30"/>
      <c r="L1744" s="30" t="s">
        <v>117</v>
      </c>
      <c r="M1744" s="30" t="s">
        <v>109</v>
      </c>
      <c r="N1744" s="30" t="s">
        <v>110</v>
      </c>
      <c r="O1744" s="30" t="s">
        <v>115</v>
      </c>
      <c r="P1744" s="30" t="s">
        <v>112</v>
      </c>
      <c r="Q1744" s="30" t="s">
        <v>112</v>
      </c>
      <c r="R1744" s="30" t="s">
        <v>189</v>
      </c>
      <c r="S1744" s="81">
        <f>HLOOKUP(L1744,データについて!$J$6:$M$18,13,FALSE)</f>
        <v>2</v>
      </c>
      <c r="T1744" s="81">
        <f>HLOOKUP(M1744,データについて!$J$7:$M$18,12,FALSE)</f>
        <v>2</v>
      </c>
      <c r="U1744" s="81">
        <f>HLOOKUP(N1744,データについて!$J$8:$M$18,11,FALSE)</f>
        <v>2</v>
      </c>
      <c r="V1744" s="81">
        <f>HLOOKUP(O1744,データについて!$J$9:$M$18,10,FALSE)</f>
        <v>1</v>
      </c>
      <c r="W1744" s="81">
        <f>HLOOKUP(P1744,データについて!$J$10:$M$18,9,FALSE)</f>
        <v>1</v>
      </c>
      <c r="X1744" s="81">
        <f>HLOOKUP(Q1744,データについて!$J$11:$M$18,8,FALSE)</f>
        <v>1</v>
      </c>
      <c r="Y1744" s="81">
        <f>HLOOKUP(R1744,データについて!$J$12:$M$18,7,FALSE)</f>
        <v>4</v>
      </c>
      <c r="Z1744" s="81">
        <f>HLOOKUP(I1744,データについて!$J$3:$M$18,16,FALSE)</f>
        <v>1</v>
      </c>
      <c r="AA1744" s="81">
        <f>IFERROR(HLOOKUP(J1744,データについて!$J$4:$AH$19,16,FALSE),"")</f>
        <v>1</v>
      </c>
      <c r="AB1744" s="81" t="str">
        <f>IFERROR(HLOOKUP(K1744,データについて!$J$5:$AH$20,14,FALSE),"")</f>
        <v/>
      </c>
      <c r="AC1744" s="81">
        <f>IF(X1744=1,HLOOKUP(R1744,データについて!$J$12:$M$18,7,FALSE),"*")</f>
        <v>4</v>
      </c>
      <c r="AD1744" s="81" t="str">
        <f>IF(X1744=2,HLOOKUP(R1744,データについて!$J$12:$M$18,7,FALSE),"*")</f>
        <v>*</v>
      </c>
    </row>
    <row r="1745" spans="1:30">
      <c r="A1745" s="30">
        <v>3447</v>
      </c>
      <c r="B1745" s="30" t="s">
        <v>1586</v>
      </c>
      <c r="C1745" s="30" t="s">
        <v>1587</v>
      </c>
      <c r="D1745" s="30" t="s">
        <v>106</v>
      </c>
      <c r="E1745" s="30"/>
      <c r="F1745" s="30" t="s">
        <v>107</v>
      </c>
      <c r="G1745" s="30" t="s">
        <v>106</v>
      </c>
      <c r="H1745" s="30"/>
      <c r="I1745" s="30" t="s">
        <v>192</v>
      </c>
      <c r="J1745" s="30" t="s">
        <v>128</v>
      </c>
      <c r="K1745" s="30"/>
      <c r="L1745" s="30" t="s">
        <v>117</v>
      </c>
      <c r="M1745" s="30" t="s">
        <v>109</v>
      </c>
      <c r="N1745" s="30" t="s">
        <v>114</v>
      </c>
      <c r="O1745" s="30" t="s">
        <v>115</v>
      </c>
      <c r="P1745" s="30" t="s">
        <v>112</v>
      </c>
      <c r="Q1745" s="30" t="s">
        <v>112</v>
      </c>
      <c r="R1745" s="30" t="s">
        <v>185</v>
      </c>
      <c r="S1745" s="81">
        <f>HLOOKUP(L1745,データについて!$J$6:$M$18,13,FALSE)</f>
        <v>2</v>
      </c>
      <c r="T1745" s="81">
        <f>HLOOKUP(M1745,データについて!$J$7:$M$18,12,FALSE)</f>
        <v>2</v>
      </c>
      <c r="U1745" s="81">
        <f>HLOOKUP(N1745,データについて!$J$8:$M$18,11,FALSE)</f>
        <v>1</v>
      </c>
      <c r="V1745" s="81">
        <f>HLOOKUP(O1745,データについて!$J$9:$M$18,10,FALSE)</f>
        <v>1</v>
      </c>
      <c r="W1745" s="81">
        <f>HLOOKUP(P1745,データについて!$J$10:$M$18,9,FALSE)</f>
        <v>1</v>
      </c>
      <c r="X1745" s="81">
        <f>HLOOKUP(Q1745,データについて!$J$11:$M$18,8,FALSE)</f>
        <v>1</v>
      </c>
      <c r="Y1745" s="81">
        <f>HLOOKUP(R1745,データについて!$J$12:$M$18,7,FALSE)</f>
        <v>2</v>
      </c>
      <c r="Z1745" s="81">
        <f>HLOOKUP(I1745,データについて!$J$3:$M$18,16,FALSE)</f>
        <v>1</v>
      </c>
      <c r="AA1745" s="81">
        <f>IFERROR(HLOOKUP(J1745,データについて!$J$4:$AH$19,16,FALSE),"")</f>
        <v>1</v>
      </c>
      <c r="AB1745" s="81" t="str">
        <f>IFERROR(HLOOKUP(K1745,データについて!$J$5:$AH$20,14,FALSE),"")</f>
        <v/>
      </c>
      <c r="AC1745" s="81">
        <f>IF(X1745=1,HLOOKUP(R1745,データについて!$J$12:$M$18,7,FALSE),"*")</f>
        <v>2</v>
      </c>
      <c r="AD1745" s="81" t="str">
        <f>IF(X1745=2,HLOOKUP(R1745,データについて!$J$12:$M$18,7,FALSE),"*")</f>
        <v>*</v>
      </c>
    </row>
    <row r="1746" spans="1:30">
      <c r="A1746" s="30">
        <v>3446</v>
      </c>
      <c r="B1746" s="30" t="s">
        <v>1588</v>
      </c>
      <c r="C1746" s="30" t="s">
        <v>1589</v>
      </c>
      <c r="D1746" s="30" t="s">
        <v>106</v>
      </c>
      <c r="E1746" s="30"/>
      <c r="F1746" s="30" t="s">
        <v>107</v>
      </c>
      <c r="G1746" s="30" t="s">
        <v>106</v>
      </c>
      <c r="H1746" s="30"/>
      <c r="I1746" s="30" t="s">
        <v>192</v>
      </c>
      <c r="J1746" s="30" t="s">
        <v>128</v>
      </c>
      <c r="K1746" s="30"/>
      <c r="L1746" s="30" t="s">
        <v>108</v>
      </c>
      <c r="M1746" s="30" t="s">
        <v>113</v>
      </c>
      <c r="N1746" s="30" t="s">
        <v>114</v>
      </c>
      <c r="O1746" s="30" t="s">
        <v>115</v>
      </c>
      <c r="P1746" s="30" t="s">
        <v>112</v>
      </c>
      <c r="Q1746" s="30" t="s">
        <v>112</v>
      </c>
      <c r="R1746" s="30" t="s">
        <v>183</v>
      </c>
      <c r="S1746" s="81">
        <f>HLOOKUP(L1746,データについて!$J$6:$M$18,13,FALSE)</f>
        <v>1</v>
      </c>
      <c r="T1746" s="81">
        <f>HLOOKUP(M1746,データについて!$J$7:$M$18,12,FALSE)</f>
        <v>1</v>
      </c>
      <c r="U1746" s="81">
        <f>HLOOKUP(N1746,データについて!$J$8:$M$18,11,FALSE)</f>
        <v>1</v>
      </c>
      <c r="V1746" s="81">
        <f>HLOOKUP(O1746,データについて!$J$9:$M$18,10,FALSE)</f>
        <v>1</v>
      </c>
      <c r="W1746" s="81">
        <f>HLOOKUP(P1746,データについて!$J$10:$M$18,9,FALSE)</f>
        <v>1</v>
      </c>
      <c r="X1746" s="81">
        <f>HLOOKUP(Q1746,データについて!$J$11:$M$18,8,FALSE)</f>
        <v>1</v>
      </c>
      <c r="Y1746" s="81">
        <f>HLOOKUP(R1746,データについて!$J$12:$M$18,7,FALSE)</f>
        <v>1</v>
      </c>
      <c r="Z1746" s="81">
        <f>HLOOKUP(I1746,データについて!$J$3:$M$18,16,FALSE)</f>
        <v>1</v>
      </c>
      <c r="AA1746" s="81">
        <f>IFERROR(HLOOKUP(J1746,データについて!$J$4:$AH$19,16,FALSE),"")</f>
        <v>1</v>
      </c>
      <c r="AB1746" s="81" t="str">
        <f>IFERROR(HLOOKUP(K1746,データについて!$J$5:$AH$20,14,FALSE),"")</f>
        <v/>
      </c>
      <c r="AC1746" s="81">
        <f>IF(X1746=1,HLOOKUP(R1746,データについて!$J$12:$M$18,7,FALSE),"*")</f>
        <v>1</v>
      </c>
      <c r="AD1746" s="81" t="str">
        <f>IF(X1746=2,HLOOKUP(R1746,データについて!$J$12:$M$18,7,FALSE),"*")</f>
        <v>*</v>
      </c>
    </row>
    <row r="1747" spans="1:30">
      <c r="A1747" s="30">
        <v>3445</v>
      </c>
      <c r="B1747" s="30" t="s">
        <v>1590</v>
      </c>
      <c r="C1747" s="30" t="s">
        <v>1591</v>
      </c>
      <c r="D1747" s="30" t="s">
        <v>106</v>
      </c>
      <c r="E1747" s="30"/>
      <c r="F1747" s="30" t="s">
        <v>107</v>
      </c>
      <c r="G1747" s="30" t="s">
        <v>106</v>
      </c>
      <c r="H1747" s="30"/>
      <c r="I1747" s="30" t="s">
        <v>192</v>
      </c>
      <c r="J1747" s="30" t="s">
        <v>125</v>
      </c>
      <c r="K1747" s="30"/>
      <c r="L1747" s="30" t="s">
        <v>108</v>
      </c>
      <c r="M1747" s="30" t="s">
        <v>113</v>
      </c>
      <c r="N1747" s="30" t="s">
        <v>110</v>
      </c>
      <c r="O1747" s="30" t="s">
        <v>115</v>
      </c>
      <c r="P1747" s="30" t="s">
        <v>112</v>
      </c>
      <c r="Q1747" s="30" t="s">
        <v>112</v>
      </c>
      <c r="R1747" s="30" t="s">
        <v>185</v>
      </c>
      <c r="S1747" s="81">
        <f>HLOOKUP(L1747,データについて!$J$6:$M$18,13,FALSE)</f>
        <v>1</v>
      </c>
      <c r="T1747" s="81">
        <f>HLOOKUP(M1747,データについて!$J$7:$M$18,12,FALSE)</f>
        <v>1</v>
      </c>
      <c r="U1747" s="81">
        <f>HLOOKUP(N1747,データについて!$J$8:$M$18,11,FALSE)</f>
        <v>2</v>
      </c>
      <c r="V1747" s="81">
        <f>HLOOKUP(O1747,データについて!$J$9:$M$18,10,FALSE)</f>
        <v>1</v>
      </c>
      <c r="W1747" s="81">
        <f>HLOOKUP(P1747,データについて!$J$10:$M$18,9,FALSE)</f>
        <v>1</v>
      </c>
      <c r="X1747" s="81">
        <f>HLOOKUP(Q1747,データについて!$J$11:$M$18,8,FALSE)</f>
        <v>1</v>
      </c>
      <c r="Y1747" s="81">
        <f>HLOOKUP(R1747,データについて!$J$12:$M$18,7,FALSE)</f>
        <v>2</v>
      </c>
      <c r="Z1747" s="81">
        <f>HLOOKUP(I1747,データについて!$J$3:$M$18,16,FALSE)</f>
        <v>1</v>
      </c>
      <c r="AA1747" s="81">
        <f>IFERROR(HLOOKUP(J1747,データについて!$J$4:$AH$19,16,FALSE),"")</f>
        <v>6</v>
      </c>
      <c r="AB1747" s="81" t="str">
        <f>IFERROR(HLOOKUP(K1747,データについて!$J$5:$AH$20,14,FALSE),"")</f>
        <v/>
      </c>
      <c r="AC1747" s="81">
        <f>IF(X1747=1,HLOOKUP(R1747,データについて!$J$12:$M$18,7,FALSE),"*")</f>
        <v>2</v>
      </c>
      <c r="AD1747" s="81" t="str">
        <f>IF(X1747=2,HLOOKUP(R1747,データについて!$J$12:$M$18,7,FALSE),"*")</f>
        <v>*</v>
      </c>
    </row>
    <row r="1748" spans="1:30">
      <c r="A1748" s="30">
        <v>3444</v>
      </c>
      <c r="B1748" s="30" t="s">
        <v>1592</v>
      </c>
      <c r="C1748" s="30" t="s">
        <v>1593</v>
      </c>
      <c r="D1748" s="30" t="s">
        <v>106</v>
      </c>
      <c r="E1748" s="30"/>
      <c r="F1748" s="30" t="s">
        <v>107</v>
      </c>
      <c r="G1748" s="30" t="s">
        <v>106</v>
      </c>
      <c r="H1748" s="30"/>
      <c r="I1748" s="30" t="s">
        <v>192</v>
      </c>
      <c r="J1748" s="30" t="s">
        <v>128</v>
      </c>
      <c r="K1748" s="30"/>
      <c r="L1748" s="30" t="s">
        <v>108</v>
      </c>
      <c r="M1748" s="30" t="s">
        <v>109</v>
      </c>
      <c r="N1748" s="30" t="s">
        <v>114</v>
      </c>
      <c r="O1748" s="30" t="s">
        <v>115</v>
      </c>
      <c r="P1748" s="30" t="s">
        <v>112</v>
      </c>
      <c r="Q1748" s="30" t="s">
        <v>112</v>
      </c>
      <c r="R1748" s="30" t="s">
        <v>185</v>
      </c>
      <c r="S1748" s="81">
        <f>HLOOKUP(L1748,データについて!$J$6:$M$18,13,FALSE)</f>
        <v>1</v>
      </c>
      <c r="T1748" s="81">
        <f>HLOOKUP(M1748,データについて!$J$7:$M$18,12,FALSE)</f>
        <v>2</v>
      </c>
      <c r="U1748" s="81">
        <f>HLOOKUP(N1748,データについて!$J$8:$M$18,11,FALSE)</f>
        <v>1</v>
      </c>
      <c r="V1748" s="81">
        <f>HLOOKUP(O1748,データについて!$J$9:$M$18,10,FALSE)</f>
        <v>1</v>
      </c>
      <c r="W1748" s="81">
        <f>HLOOKUP(P1748,データについて!$J$10:$M$18,9,FALSE)</f>
        <v>1</v>
      </c>
      <c r="X1748" s="81">
        <f>HLOOKUP(Q1748,データについて!$J$11:$M$18,8,FALSE)</f>
        <v>1</v>
      </c>
      <c r="Y1748" s="81">
        <f>HLOOKUP(R1748,データについて!$J$12:$M$18,7,FALSE)</f>
        <v>2</v>
      </c>
      <c r="Z1748" s="81">
        <f>HLOOKUP(I1748,データについて!$J$3:$M$18,16,FALSE)</f>
        <v>1</v>
      </c>
      <c r="AA1748" s="81">
        <f>IFERROR(HLOOKUP(J1748,データについて!$J$4:$AH$19,16,FALSE),"")</f>
        <v>1</v>
      </c>
      <c r="AB1748" s="81" t="str">
        <f>IFERROR(HLOOKUP(K1748,データについて!$J$5:$AH$20,14,FALSE),"")</f>
        <v/>
      </c>
      <c r="AC1748" s="81">
        <f>IF(X1748=1,HLOOKUP(R1748,データについて!$J$12:$M$18,7,FALSE),"*")</f>
        <v>2</v>
      </c>
      <c r="AD1748" s="81" t="str">
        <f>IF(X1748=2,HLOOKUP(R1748,データについて!$J$12:$M$18,7,FALSE),"*")</f>
        <v>*</v>
      </c>
    </row>
    <row r="1749" spans="1:30">
      <c r="A1749" s="30">
        <v>3443</v>
      </c>
      <c r="B1749" s="30" t="s">
        <v>1594</v>
      </c>
      <c r="C1749" s="30" t="s">
        <v>1595</v>
      </c>
      <c r="D1749" s="30" t="s">
        <v>106</v>
      </c>
      <c r="E1749" s="30"/>
      <c r="F1749" s="30" t="s">
        <v>107</v>
      </c>
      <c r="G1749" s="30" t="s">
        <v>106</v>
      </c>
      <c r="H1749" s="30"/>
      <c r="I1749" s="30" t="s">
        <v>192</v>
      </c>
      <c r="J1749" s="30" t="s">
        <v>125</v>
      </c>
      <c r="K1749" s="30"/>
      <c r="L1749" s="30" t="s">
        <v>108</v>
      </c>
      <c r="M1749" s="30" t="s">
        <v>113</v>
      </c>
      <c r="N1749" s="30" t="s">
        <v>114</v>
      </c>
      <c r="O1749" s="30" t="s">
        <v>115</v>
      </c>
      <c r="P1749" s="30" t="s">
        <v>112</v>
      </c>
      <c r="Q1749" s="30" t="s">
        <v>112</v>
      </c>
      <c r="R1749" s="30" t="s">
        <v>183</v>
      </c>
      <c r="S1749" s="81">
        <f>HLOOKUP(L1749,データについて!$J$6:$M$18,13,FALSE)</f>
        <v>1</v>
      </c>
      <c r="T1749" s="81">
        <f>HLOOKUP(M1749,データについて!$J$7:$M$18,12,FALSE)</f>
        <v>1</v>
      </c>
      <c r="U1749" s="81">
        <f>HLOOKUP(N1749,データについて!$J$8:$M$18,11,FALSE)</f>
        <v>1</v>
      </c>
      <c r="V1749" s="81">
        <f>HLOOKUP(O1749,データについて!$J$9:$M$18,10,FALSE)</f>
        <v>1</v>
      </c>
      <c r="W1749" s="81">
        <f>HLOOKUP(P1749,データについて!$J$10:$M$18,9,FALSE)</f>
        <v>1</v>
      </c>
      <c r="X1749" s="81">
        <f>HLOOKUP(Q1749,データについて!$J$11:$M$18,8,FALSE)</f>
        <v>1</v>
      </c>
      <c r="Y1749" s="81">
        <f>HLOOKUP(R1749,データについて!$J$12:$M$18,7,FALSE)</f>
        <v>1</v>
      </c>
      <c r="Z1749" s="81">
        <f>HLOOKUP(I1749,データについて!$J$3:$M$18,16,FALSE)</f>
        <v>1</v>
      </c>
      <c r="AA1749" s="81">
        <f>IFERROR(HLOOKUP(J1749,データについて!$J$4:$AH$19,16,FALSE),"")</f>
        <v>6</v>
      </c>
      <c r="AB1749" s="81" t="str">
        <f>IFERROR(HLOOKUP(K1749,データについて!$J$5:$AH$20,14,FALSE),"")</f>
        <v/>
      </c>
      <c r="AC1749" s="81">
        <f>IF(X1749=1,HLOOKUP(R1749,データについて!$J$12:$M$18,7,FALSE),"*")</f>
        <v>1</v>
      </c>
      <c r="AD1749" s="81" t="str">
        <f>IF(X1749=2,HLOOKUP(R1749,データについて!$J$12:$M$18,7,FALSE),"*")</f>
        <v>*</v>
      </c>
    </row>
    <row r="1750" spans="1:30">
      <c r="A1750" s="30">
        <v>3442</v>
      </c>
      <c r="B1750" s="30" t="s">
        <v>1596</v>
      </c>
      <c r="C1750" s="30" t="s">
        <v>1595</v>
      </c>
      <c r="D1750" s="30" t="s">
        <v>106</v>
      </c>
      <c r="E1750" s="30"/>
      <c r="F1750" s="30" t="s">
        <v>107</v>
      </c>
      <c r="G1750" s="30" t="s">
        <v>106</v>
      </c>
      <c r="H1750" s="30"/>
      <c r="I1750" s="30" t="s">
        <v>192</v>
      </c>
      <c r="J1750" s="30" t="s">
        <v>125</v>
      </c>
      <c r="K1750" s="30"/>
      <c r="L1750" s="30" t="s">
        <v>120</v>
      </c>
      <c r="M1750" s="30" t="s">
        <v>113</v>
      </c>
      <c r="N1750" s="30" t="s">
        <v>114</v>
      </c>
      <c r="O1750" s="30" t="s">
        <v>115</v>
      </c>
      <c r="P1750" s="30" t="s">
        <v>112</v>
      </c>
      <c r="Q1750" s="30" t="s">
        <v>118</v>
      </c>
      <c r="R1750" s="30" t="s">
        <v>187</v>
      </c>
      <c r="S1750" s="81">
        <f>HLOOKUP(L1750,データについて!$J$6:$M$18,13,FALSE)</f>
        <v>3</v>
      </c>
      <c r="T1750" s="81">
        <f>HLOOKUP(M1750,データについて!$J$7:$M$18,12,FALSE)</f>
        <v>1</v>
      </c>
      <c r="U1750" s="81">
        <f>HLOOKUP(N1750,データについて!$J$8:$M$18,11,FALSE)</f>
        <v>1</v>
      </c>
      <c r="V1750" s="81">
        <f>HLOOKUP(O1750,データについて!$J$9:$M$18,10,FALSE)</f>
        <v>1</v>
      </c>
      <c r="W1750" s="81">
        <f>HLOOKUP(P1750,データについて!$J$10:$M$18,9,FALSE)</f>
        <v>1</v>
      </c>
      <c r="X1750" s="81">
        <f>HLOOKUP(Q1750,データについて!$J$11:$M$18,8,FALSE)</f>
        <v>2</v>
      </c>
      <c r="Y1750" s="81">
        <f>HLOOKUP(R1750,データについて!$J$12:$M$18,7,FALSE)</f>
        <v>3</v>
      </c>
      <c r="Z1750" s="81">
        <f>HLOOKUP(I1750,データについて!$J$3:$M$18,16,FALSE)</f>
        <v>1</v>
      </c>
      <c r="AA1750" s="81">
        <f>IFERROR(HLOOKUP(J1750,データについて!$J$4:$AH$19,16,FALSE),"")</f>
        <v>6</v>
      </c>
      <c r="AB1750" s="81" t="str">
        <f>IFERROR(HLOOKUP(K1750,データについて!$J$5:$AH$20,14,FALSE),"")</f>
        <v/>
      </c>
      <c r="AC1750" s="81" t="str">
        <f>IF(X1750=1,HLOOKUP(R1750,データについて!$J$12:$M$18,7,FALSE),"*")</f>
        <v>*</v>
      </c>
      <c r="AD1750" s="81">
        <f>IF(X1750=2,HLOOKUP(R1750,データについて!$J$12:$M$18,7,FALSE),"*")</f>
        <v>3</v>
      </c>
    </row>
    <row r="1751" spans="1:30">
      <c r="A1751" s="30">
        <v>3441</v>
      </c>
      <c r="B1751" s="30" t="s">
        <v>1597</v>
      </c>
      <c r="C1751" s="30" t="s">
        <v>1598</v>
      </c>
      <c r="D1751" s="30" t="s">
        <v>106</v>
      </c>
      <c r="E1751" s="30"/>
      <c r="F1751" s="30" t="s">
        <v>107</v>
      </c>
      <c r="G1751" s="30" t="s">
        <v>106</v>
      </c>
      <c r="H1751" s="30"/>
      <c r="I1751" s="30" t="s">
        <v>192</v>
      </c>
      <c r="J1751" s="30" t="s">
        <v>125</v>
      </c>
      <c r="K1751" s="30"/>
      <c r="L1751" s="30" t="s">
        <v>117</v>
      </c>
      <c r="M1751" s="30" t="s">
        <v>113</v>
      </c>
      <c r="N1751" s="30" t="s">
        <v>122</v>
      </c>
      <c r="O1751" s="30" t="s">
        <v>115</v>
      </c>
      <c r="P1751" s="30" t="s">
        <v>112</v>
      </c>
      <c r="Q1751" s="30" t="s">
        <v>112</v>
      </c>
      <c r="R1751" s="30" t="s">
        <v>185</v>
      </c>
      <c r="S1751" s="81">
        <f>HLOOKUP(L1751,データについて!$J$6:$M$18,13,FALSE)</f>
        <v>2</v>
      </c>
      <c r="T1751" s="81">
        <f>HLOOKUP(M1751,データについて!$J$7:$M$18,12,FALSE)</f>
        <v>1</v>
      </c>
      <c r="U1751" s="81">
        <f>HLOOKUP(N1751,データについて!$J$8:$M$18,11,FALSE)</f>
        <v>3</v>
      </c>
      <c r="V1751" s="81">
        <f>HLOOKUP(O1751,データについて!$J$9:$M$18,10,FALSE)</f>
        <v>1</v>
      </c>
      <c r="W1751" s="81">
        <f>HLOOKUP(P1751,データについて!$J$10:$M$18,9,FALSE)</f>
        <v>1</v>
      </c>
      <c r="X1751" s="81">
        <f>HLOOKUP(Q1751,データについて!$J$11:$M$18,8,FALSE)</f>
        <v>1</v>
      </c>
      <c r="Y1751" s="81">
        <f>HLOOKUP(R1751,データについて!$J$12:$M$18,7,FALSE)</f>
        <v>2</v>
      </c>
      <c r="Z1751" s="81">
        <f>HLOOKUP(I1751,データについて!$J$3:$M$18,16,FALSE)</f>
        <v>1</v>
      </c>
      <c r="AA1751" s="81">
        <f>IFERROR(HLOOKUP(J1751,データについて!$J$4:$AH$19,16,FALSE),"")</f>
        <v>6</v>
      </c>
      <c r="AB1751" s="81" t="str">
        <f>IFERROR(HLOOKUP(K1751,データについて!$J$5:$AH$20,14,FALSE),"")</f>
        <v/>
      </c>
      <c r="AC1751" s="81">
        <f>IF(X1751=1,HLOOKUP(R1751,データについて!$J$12:$M$18,7,FALSE),"*")</f>
        <v>2</v>
      </c>
      <c r="AD1751" s="81" t="str">
        <f>IF(X1751=2,HLOOKUP(R1751,データについて!$J$12:$M$18,7,FALSE),"*")</f>
        <v>*</v>
      </c>
    </row>
    <row r="1752" spans="1:30">
      <c r="A1752" s="30">
        <v>3440</v>
      </c>
      <c r="B1752" s="30" t="s">
        <v>1599</v>
      </c>
      <c r="C1752" s="30" t="s">
        <v>1600</v>
      </c>
      <c r="D1752" s="30" t="s">
        <v>106</v>
      </c>
      <c r="E1752" s="30"/>
      <c r="F1752" s="30" t="s">
        <v>107</v>
      </c>
      <c r="G1752" s="30" t="s">
        <v>106</v>
      </c>
      <c r="H1752" s="30"/>
      <c r="I1752" s="30" t="s">
        <v>192</v>
      </c>
      <c r="J1752" s="30" t="s">
        <v>125</v>
      </c>
      <c r="K1752" s="30"/>
      <c r="L1752" s="30" t="s">
        <v>117</v>
      </c>
      <c r="M1752" s="30" t="s">
        <v>113</v>
      </c>
      <c r="N1752" s="30" t="s">
        <v>114</v>
      </c>
      <c r="O1752" s="30" t="s">
        <v>115</v>
      </c>
      <c r="P1752" s="30" t="s">
        <v>112</v>
      </c>
      <c r="Q1752" s="30" t="s">
        <v>112</v>
      </c>
      <c r="R1752" s="30" t="s">
        <v>185</v>
      </c>
      <c r="S1752" s="81">
        <f>HLOOKUP(L1752,データについて!$J$6:$M$18,13,FALSE)</f>
        <v>2</v>
      </c>
      <c r="T1752" s="81">
        <f>HLOOKUP(M1752,データについて!$J$7:$M$18,12,FALSE)</f>
        <v>1</v>
      </c>
      <c r="U1752" s="81">
        <f>HLOOKUP(N1752,データについて!$J$8:$M$18,11,FALSE)</f>
        <v>1</v>
      </c>
      <c r="V1752" s="81">
        <f>HLOOKUP(O1752,データについて!$J$9:$M$18,10,FALSE)</f>
        <v>1</v>
      </c>
      <c r="W1752" s="81">
        <f>HLOOKUP(P1752,データについて!$J$10:$M$18,9,FALSE)</f>
        <v>1</v>
      </c>
      <c r="X1752" s="81">
        <f>HLOOKUP(Q1752,データについて!$J$11:$M$18,8,FALSE)</f>
        <v>1</v>
      </c>
      <c r="Y1752" s="81">
        <f>HLOOKUP(R1752,データについて!$J$12:$M$18,7,FALSE)</f>
        <v>2</v>
      </c>
      <c r="Z1752" s="81">
        <f>HLOOKUP(I1752,データについて!$J$3:$M$18,16,FALSE)</f>
        <v>1</v>
      </c>
      <c r="AA1752" s="81">
        <f>IFERROR(HLOOKUP(J1752,データについて!$J$4:$AH$19,16,FALSE),"")</f>
        <v>6</v>
      </c>
      <c r="AB1752" s="81" t="str">
        <f>IFERROR(HLOOKUP(K1752,データについて!$J$5:$AH$20,14,FALSE),"")</f>
        <v/>
      </c>
      <c r="AC1752" s="81">
        <f>IF(X1752=1,HLOOKUP(R1752,データについて!$J$12:$M$18,7,FALSE),"*")</f>
        <v>2</v>
      </c>
      <c r="AD1752" s="81" t="str">
        <f>IF(X1752=2,HLOOKUP(R1752,データについて!$J$12:$M$18,7,FALSE),"*")</f>
        <v>*</v>
      </c>
    </row>
    <row r="1753" spans="1:30">
      <c r="A1753" s="30">
        <v>3439</v>
      </c>
      <c r="B1753" s="30" t="s">
        <v>1601</v>
      </c>
      <c r="C1753" s="30" t="s">
        <v>1602</v>
      </c>
      <c r="D1753" s="30" t="s">
        <v>106</v>
      </c>
      <c r="E1753" s="30"/>
      <c r="F1753" s="30" t="s">
        <v>107</v>
      </c>
      <c r="G1753" s="30" t="s">
        <v>106</v>
      </c>
      <c r="H1753" s="30"/>
      <c r="I1753" s="30" t="s">
        <v>192</v>
      </c>
      <c r="J1753" s="30" t="s">
        <v>125</v>
      </c>
      <c r="K1753" s="30"/>
      <c r="L1753" s="30" t="s">
        <v>117</v>
      </c>
      <c r="M1753" s="30" t="s">
        <v>109</v>
      </c>
      <c r="N1753" s="30" t="s">
        <v>114</v>
      </c>
      <c r="O1753" s="30" t="s">
        <v>116</v>
      </c>
      <c r="P1753" s="30" t="s">
        <v>118</v>
      </c>
      <c r="Q1753" s="30" t="s">
        <v>112</v>
      </c>
      <c r="R1753" s="30" t="s">
        <v>187</v>
      </c>
      <c r="S1753" s="81">
        <f>HLOOKUP(L1753,データについて!$J$6:$M$18,13,FALSE)</f>
        <v>2</v>
      </c>
      <c r="T1753" s="81">
        <f>HLOOKUP(M1753,データについて!$J$7:$M$18,12,FALSE)</f>
        <v>2</v>
      </c>
      <c r="U1753" s="81">
        <f>HLOOKUP(N1753,データについて!$J$8:$M$18,11,FALSE)</f>
        <v>1</v>
      </c>
      <c r="V1753" s="81">
        <f>HLOOKUP(O1753,データについて!$J$9:$M$18,10,FALSE)</f>
        <v>2</v>
      </c>
      <c r="W1753" s="81">
        <f>HLOOKUP(P1753,データについて!$J$10:$M$18,9,FALSE)</f>
        <v>2</v>
      </c>
      <c r="X1753" s="81">
        <f>HLOOKUP(Q1753,データについて!$J$11:$M$18,8,FALSE)</f>
        <v>1</v>
      </c>
      <c r="Y1753" s="81">
        <f>HLOOKUP(R1753,データについて!$J$12:$M$18,7,FALSE)</f>
        <v>3</v>
      </c>
      <c r="Z1753" s="81">
        <f>HLOOKUP(I1753,データについて!$J$3:$M$18,16,FALSE)</f>
        <v>1</v>
      </c>
      <c r="AA1753" s="81">
        <f>IFERROR(HLOOKUP(J1753,データについて!$J$4:$AH$19,16,FALSE),"")</f>
        <v>6</v>
      </c>
      <c r="AB1753" s="81" t="str">
        <f>IFERROR(HLOOKUP(K1753,データについて!$J$5:$AH$20,14,FALSE),"")</f>
        <v/>
      </c>
      <c r="AC1753" s="81">
        <f>IF(X1753=1,HLOOKUP(R1753,データについて!$J$12:$M$18,7,FALSE),"*")</f>
        <v>3</v>
      </c>
      <c r="AD1753" s="81" t="str">
        <f>IF(X1753=2,HLOOKUP(R1753,データについて!$J$12:$M$18,7,FALSE),"*")</f>
        <v>*</v>
      </c>
    </row>
    <row r="1754" spans="1:30">
      <c r="A1754" s="30">
        <v>3438</v>
      </c>
      <c r="B1754" s="30" t="s">
        <v>1603</v>
      </c>
      <c r="C1754" s="30" t="s">
        <v>1604</v>
      </c>
      <c r="D1754" s="30" t="s">
        <v>106</v>
      </c>
      <c r="E1754" s="30"/>
      <c r="F1754" s="30" t="s">
        <v>107</v>
      </c>
      <c r="G1754" s="30" t="s">
        <v>106</v>
      </c>
      <c r="H1754" s="30"/>
      <c r="I1754" s="30" t="s">
        <v>192</v>
      </c>
      <c r="J1754" s="30" t="s">
        <v>125</v>
      </c>
      <c r="K1754" s="30"/>
      <c r="L1754" s="30" t="s">
        <v>117</v>
      </c>
      <c r="M1754" s="30" t="s">
        <v>113</v>
      </c>
      <c r="N1754" s="30" t="s">
        <v>110</v>
      </c>
      <c r="O1754" s="30" t="s">
        <v>116</v>
      </c>
      <c r="P1754" s="30" t="s">
        <v>112</v>
      </c>
      <c r="Q1754" s="30" t="s">
        <v>112</v>
      </c>
      <c r="R1754" s="30" t="s">
        <v>187</v>
      </c>
      <c r="S1754" s="81">
        <f>HLOOKUP(L1754,データについて!$J$6:$M$18,13,FALSE)</f>
        <v>2</v>
      </c>
      <c r="T1754" s="81">
        <f>HLOOKUP(M1754,データについて!$J$7:$M$18,12,FALSE)</f>
        <v>1</v>
      </c>
      <c r="U1754" s="81">
        <f>HLOOKUP(N1754,データについて!$J$8:$M$18,11,FALSE)</f>
        <v>2</v>
      </c>
      <c r="V1754" s="81">
        <f>HLOOKUP(O1754,データについて!$J$9:$M$18,10,FALSE)</f>
        <v>2</v>
      </c>
      <c r="W1754" s="81">
        <f>HLOOKUP(P1754,データについて!$J$10:$M$18,9,FALSE)</f>
        <v>1</v>
      </c>
      <c r="X1754" s="81">
        <f>HLOOKUP(Q1754,データについて!$J$11:$M$18,8,FALSE)</f>
        <v>1</v>
      </c>
      <c r="Y1754" s="81">
        <f>HLOOKUP(R1754,データについて!$J$12:$M$18,7,FALSE)</f>
        <v>3</v>
      </c>
      <c r="Z1754" s="81">
        <f>HLOOKUP(I1754,データについて!$J$3:$M$18,16,FALSE)</f>
        <v>1</v>
      </c>
      <c r="AA1754" s="81">
        <f>IFERROR(HLOOKUP(J1754,データについて!$J$4:$AH$19,16,FALSE),"")</f>
        <v>6</v>
      </c>
      <c r="AB1754" s="81" t="str">
        <f>IFERROR(HLOOKUP(K1754,データについて!$J$5:$AH$20,14,FALSE),"")</f>
        <v/>
      </c>
      <c r="AC1754" s="81">
        <f>IF(X1754=1,HLOOKUP(R1754,データについて!$J$12:$M$18,7,FALSE),"*")</f>
        <v>3</v>
      </c>
      <c r="AD1754" s="81" t="str">
        <f>IF(X1754=2,HLOOKUP(R1754,データについて!$J$12:$M$18,7,FALSE),"*")</f>
        <v>*</v>
      </c>
    </row>
    <row r="1755" spans="1:30">
      <c r="A1755" s="30">
        <v>3437</v>
      </c>
      <c r="B1755" s="30" t="s">
        <v>1605</v>
      </c>
      <c r="C1755" s="30" t="s">
        <v>1606</v>
      </c>
      <c r="D1755" s="30" t="s">
        <v>106</v>
      </c>
      <c r="E1755" s="30"/>
      <c r="F1755" s="30" t="s">
        <v>107</v>
      </c>
      <c r="G1755" s="30" t="s">
        <v>106</v>
      </c>
      <c r="H1755" s="30"/>
      <c r="I1755" s="30" t="s">
        <v>192</v>
      </c>
      <c r="J1755" s="30" t="s">
        <v>125</v>
      </c>
      <c r="K1755" s="30"/>
      <c r="L1755" s="30" t="s">
        <v>108</v>
      </c>
      <c r="M1755" s="30" t="s">
        <v>109</v>
      </c>
      <c r="N1755" s="30" t="s">
        <v>110</v>
      </c>
      <c r="O1755" s="30" t="s">
        <v>115</v>
      </c>
      <c r="P1755" s="30" t="s">
        <v>112</v>
      </c>
      <c r="Q1755" s="30" t="s">
        <v>112</v>
      </c>
      <c r="R1755" s="30" t="s">
        <v>185</v>
      </c>
      <c r="S1755" s="81">
        <f>HLOOKUP(L1755,データについて!$J$6:$M$18,13,FALSE)</f>
        <v>1</v>
      </c>
      <c r="T1755" s="81">
        <f>HLOOKUP(M1755,データについて!$J$7:$M$18,12,FALSE)</f>
        <v>2</v>
      </c>
      <c r="U1755" s="81">
        <f>HLOOKUP(N1755,データについて!$J$8:$M$18,11,FALSE)</f>
        <v>2</v>
      </c>
      <c r="V1755" s="81">
        <f>HLOOKUP(O1755,データについて!$J$9:$M$18,10,FALSE)</f>
        <v>1</v>
      </c>
      <c r="W1755" s="81">
        <f>HLOOKUP(P1755,データについて!$J$10:$M$18,9,FALSE)</f>
        <v>1</v>
      </c>
      <c r="X1755" s="81">
        <f>HLOOKUP(Q1755,データについて!$J$11:$M$18,8,FALSE)</f>
        <v>1</v>
      </c>
      <c r="Y1755" s="81">
        <f>HLOOKUP(R1755,データについて!$J$12:$M$18,7,FALSE)</f>
        <v>2</v>
      </c>
      <c r="Z1755" s="81">
        <f>HLOOKUP(I1755,データについて!$J$3:$M$18,16,FALSE)</f>
        <v>1</v>
      </c>
      <c r="AA1755" s="81">
        <f>IFERROR(HLOOKUP(J1755,データについて!$J$4:$AH$19,16,FALSE),"")</f>
        <v>6</v>
      </c>
      <c r="AB1755" s="81" t="str">
        <f>IFERROR(HLOOKUP(K1755,データについて!$J$5:$AH$20,14,FALSE),"")</f>
        <v/>
      </c>
      <c r="AC1755" s="81">
        <f>IF(X1755=1,HLOOKUP(R1755,データについて!$J$12:$M$18,7,FALSE),"*")</f>
        <v>2</v>
      </c>
      <c r="AD1755" s="81" t="str">
        <f>IF(X1755=2,HLOOKUP(R1755,データについて!$J$12:$M$18,7,FALSE),"*")</f>
        <v>*</v>
      </c>
    </row>
    <row r="1756" spans="1:30">
      <c r="A1756" s="30">
        <v>3436</v>
      </c>
      <c r="B1756" s="30" t="s">
        <v>1607</v>
      </c>
      <c r="C1756" s="30" t="s">
        <v>1608</v>
      </c>
      <c r="D1756" s="30" t="s">
        <v>106</v>
      </c>
      <c r="E1756" s="30"/>
      <c r="F1756" s="30" t="s">
        <v>107</v>
      </c>
      <c r="G1756" s="30" t="s">
        <v>106</v>
      </c>
      <c r="H1756" s="30"/>
      <c r="I1756" s="30" t="s">
        <v>192</v>
      </c>
      <c r="J1756" s="30" t="s">
        <v>125</v>
      </c>
      <c r="K1756" s="30"/>
      <c r="L1756" s="30" t="s">
        <v>108</v>
      </c>
      <c r="M1756" s="30" t="s">
        <v>109</v>
      </c>
      <c r="N1756" s="30" t="s">
        <v>110</v>
      </c>
      <c r="O1756" s="30" t="s">
        <v>115</v>
      </c>
      <c r="P1756" s="30" t="s">
        <v>112</v>
      </c>
      <c r="Q1756" s="30" t="s">
        <v>112</v>
      </c>
      <c r="R1756" s="30" t="s">
        <v>183</v>
      </c>
      <c r="S1756" s="81">
        <f>HLOOKUP(L1756,データについて!$J$6:$M$18,13,FALSE)</f>
        <v>1</v>
      </c>
      <c r="T1756" s="81">
        <f>HLOOKUP(M1756,データについて!$J$7:$M$18,12,FALSE)</f>
        <v>2</v>
      </c>
      <c r="U1756" s="81">
        <f>HLOOKUP(N1756,データについて!$J$8:$M$18,11,FALSE)</f>
        <v>2</v>
      </c>
      <c r="V1756" s="81">
        <f>HLOOKUP(O1756,データについて!$J$9:$M$18,10,FALSE)</f>
        <v>1</v>
      </c>
      <c r="W1756" s="81">
        <f>HLOOKUP(P1756,データについて!$J$10:$M$18,9,FALSE)</f>
        <v>1</v>
      </c>
      <c r="X1756" s="81">
        <f>HLOOKUP(Q1756,データについて!$J$11:$M$18,8,FALSE)</f>
        <v>1</v>
      </c>
      <c r="Y1756" s="81">
        <f>HLOOKUP(R1756,データについて!$J$12:$M$18,7,FALSE)</f>
        <v>1</v>
      </c>
      <c r="Z1756" s="81">
        <f>HLOOKUP(I1756,データについて!$J$3:$M$18,16,FALSE)</f>
        <v>1</v>
      </c>
      <c r="AA1756" s="81">
        <f>IFERROR(HLOOKUP(J1756,データについて!$J$4:$AH$19,16,FALSE),"")</f>
        <v>6</v>
      </c>
      <c r="AB1756" s="81" t="str">
        <f>IFERROR(HLOOKUP(K1756,データについて!$J$5:$AH$20,14,FALSE),"")</f>
        <v/>
      </c>
      <c r="AC1756" s="81">
        <f>IF(X1756=1,HLOOKUP(R1756,データについて!$J$12:$M$18,7,FALSE),"*")</f>
        <v>1</v>
      </c>
      <c r="AD1756" s="81" t="str">
        <f>IF(X1756=2,HLOOKUP(R1756,データについて!$J$12:$M$18,7,FALSE),"*")</f>
        <v>*</v>
      </c>
    </row>
    <row r="1757" spans="1:30">
      <c r="A1757" s="30">
        <v>3435</v>
      </c>
      <c r="B1757" s="30" t="s">
        <v>1609</v>
      </c>
      <c r="C1757" s="30" t="s">
        <v>1610</v>
      </c>
      <c r="D1757" s="30" t="s">
        <v>106</v>
      </c>
      <c r="E1757" s="30"/>
      <c r="F1757" s="30" t="s">
        <v>107</v>
      </c>
      <c r="G1757" s="30" t="s">
        <v>106</v>
      </c>
      <c r="H1757" s="30"/>
      <c r="I1757" s="30" t="s">
        <v>192</v>
      </c>
      <c r="J1757" s="30" t="s">
        <v>125</v>
      </c>
      <c r="K1757" s="30"/>
      <c r="L1757" s="30" t="s">
        <v>108</v>
      </c>
      <c r="M1757" s="30" t="s">
        <v>109</v>
      </c>
      <c r="N1757" s="30" t="s">
        <v>114</v>
      </c>
      <c r="O1757" s="30" t="s">
        <v>111</v>
      </c>
      <c r="P1757" s="30" t="s">
        <v>118</v>
      </c>
      <c r="Q1757" s="30" t="s">
        <v>118</v>
      </c>
      <c r="R1757" s="30" t="s">
        <v>185</v>
      </c>
      <c r="S1757" s="81">
        <f>HLOOKUP(L1757,データについて!$J$6:$M$18,13,FALSE)</f>
        <v>1</v>
      </c>
      <c r="T1757" s="81">
        <f>HLOOKUP(M1757,データについて!$J$7:$M$18,12,FALSE)</f>
        <v>2</v>
      </c>
      <c r="U1757" s="81">
        <f>HLOOKUP(N1757,データについて!$J$8:$M$18,11,FALSE)</f>
        <v>1</v>
      </c>
      <c r="V1757" s="81">
        <f>HLOOKUP(O1757,データについて!$J$9:$M$18,10,FALSE)</f>
        <v>3</v>
      </c>
      <c r="W1757" s="81">
        <f>HLOOKUP(P1757,データについて!$J$10:$M$18,9,FALSE)</f>
        <v>2</v>
      </c>
      <c r="X1757" s="81">
        <f>HLOOKUP(Q1757,データについて!$J$11:$M$18,8,FALSE)</f>
        <v>2</v>
      </c>
      <c r="Y1757" s="81">
        <f>HLOOKUP(R1757,データについて!$J$12:$M$18,7,FALSE)</f>
        <v>2</v>
      </c>
      <c r="Z1757" s="81">
        <f>HLOOKUP(I1757,データについて!$J$3:$M$18,16,FALSE)</f>
        <v>1</v>
      </c>
      <c r="AA1757" s="81">
        <f>IFERROR(HLOOKUP(J1757,データについて!$J$4:$AH$19,16,FALSE),"")</f>
        <v>6</v>
      </c>
      <c r="AB1757" s="81" t="str">
        <f>IFERROR(HLOOKUP(K1757,データについて!$J$5:$AH$20,14,FALSE),"")</f>
        <v/>
      </c>
      <c r="AC1757" s="81" t="str">
        <f>IF(X1757=1,HLOOKUP(R1757,データについて!$J$12:$M$18,7,FALSE),"*")</f>
        <v>*</v>
      </c>
      <c r="AD1757" s="81">
        <f>IF(X1757=2,HLOOKUP(R1757,データについて!$J$12:$M$18,7,FALSE),"*")</f>
        <v>2</v>
      </c>
    </row>
    <row r="1758" spans="1:30">
      <c r="A1758" s="30">
        <v>3434</v>
      </c>
      <c r="B1758" s="30" t="s">
        <v>1611</v>
      </c>
      <c r="C1758" s="30" t="s">
        <v>1612</v>
      </c>
      <c r="D1758" s="30" t="s">
        <v>106</v>
      </c>
      <c r="E1758" s="30"/>
      <c r="F1758" s="30" t="s">
        <v>107</v>
      </c>
      <c r="G1758" s="30" t="s">
        <v>106</v>
      </c>
      <c r="H1758" s="30"/>
      <c r="I1758" s="30" t="s">
        <v>192</v>
      </c>
      <c r="J1758" s="30" t="s">
        <v>125</v>
      </c>
      <c r="K1758" s="30"/>
      <c r="L1758" s="30" t="s">
        <v>117</v>
      </c>
      <c r="M1758" s="30" t="s">
        <v>113</v>
      </c>
      <c r="N1758" s="30" t="s">
        <v>110</v>
      </c>
      <c r="O1758" s="30" t="s">
        <v>115</v>
      </c>
      <c r="P1758" s="30" t="s">
        <v>112</v>
      </c>
      <c r="Q1758" s="30" t="s">
        <v>112</v>
      </c>
      <c r="R1758" s="30" t="s">
        <v>187</v>
      </c>
      <c r="S1758" s="81">
        <f>HLOOKUP(L1758,データについて!$J$6:$M$18,13,FALSE)</f>
        <v>2</v>
      </c>
      <c r="T1758" s="81">
        <f>HLOOKUP(M1758,データについて!$J$7:$M$18,12,FALSE)</f>
        <v>1</v>
      </c>
      <c r="U1758" s="81">
        <f>HLOOKUP(N1758,データについて!$J$8:$M$18,11,FALSE)</f>
        <v>2</v>
      </c>
      <c r="V1758" s="81">
        <f>HLOOKUP(O1758,データについて!$J$9:$M$18,10,FALSE)</f>
        <v>1</v>
      </c>
      <c r="W1758" s="81">
        <f>HLOOKUP(P1758,データについて!$J$10:$M$18,9,FALSE)</f>
        <v>1</v>
      </c>
      <c r="X1758" s="81">
        <f>HLOOKUP(Q1758,データについて!$J$11:$M$18,8,FALSE)</f>
        <v>1</v>
      </c>
      <c r="Y1758" s="81">
        <f>HLOOKUP(R1758,データについて!$J$12:$M$18,7,FALSE)</f>
        <v>3</v>
      </c>
      <c r="Z1758" s="81">
        <f>HLOOKUP(I1758,データについて!$J$3:$M$18,16,FALSE)</f>
        <v>1</v>
      </c>
      <c r="AA1758" s="81">
        <f>IFERROR(HLOOKUP(J1758,データについて!$J$4:$AH$19,16,FALSE),"")</f>
        <v>6</v>
      </c>
      <c r="AB1758" s="81" t="str">
        <f>IFERROR(HLOOKUP(K1758,データについて!$J$5:$AH$20,14,FALSE),"")</f>
        <v/>
      </c>
      <c r="AC1758" s="81">
        <f>IF(X1758=1,HLOOKUP(R1758,データについて!$J$12:$M$18,7,FALSE),"*")</f>
        <v>3</v>
      </c>
      <c r="AD1758" s="81" t="str">
        <f>IF(X1758=2,HLOOKUP(R1758,データについて!$J$12:$M$18,7,FALSE),"*")</f>
        <v>*</v>
      </c>
    </row>
    <row r="1759" spans="1:30">
      <c r="A1759" s="30">
        <v>3433</v>
      </c>
      <c r="B1759" s="30" t="s">
        <v>1613</v>
      </c>
      <c r="C1759" s="30" t="s">
        <v>1614</v>
      </c>
      <c r="D1759" s="30" t="s">
        <v>106</v>
      </c>
      <c r="E1759" s="30"/>
      <c r="F1759" s="30" t="s">
        <v>107</v>
      </c>
      <c r="G1759" s="30" t="s">
        <v>106</v>
      </c>
      <c r="H1759" s="30"/>
      <c r="I1759" s="30" t="s">
        <v>192</v>
      </c>
      <c r="J1759" s="30" t="s">
        <v>125</v>
      </c>
      <c r="K1759" s="30"/>
      <c r="L1759" s="30" t="s">
        <v>117</v>
      </c>
      <c r="M1759" s="30" t="s">
        <v>113</v>
      </c>
      <c r="N1759" s="30" t="s">
        <v>114</v>
      </c>
      <c r="O1759" s="30" t="s">
        <v>115</v>
      </c>
      <c r="P1759" s="30" t="s">
        <v>112</v>
      </c>
      <c r="Q1759" s="30" t="s">
        <v>112</v>
      </c>
      <c r="R1759" s="30" t="s">
        <v>183</v>
      </c>
      <c r="S1759" s="81">
        <f>HLOOKUP(L1759,データについて!$J$6:$M$18,13,FALSE)</f>
        <v>2</v>
      </c>
      <c r="T1759" s="81">
        <f>HLOOKUP(M1759,データについて!$J$7:$M$18,12,FALSE)</f>
        <v>1</v>
      </c>
      <c r="U1759" s="81">
        <f>HLOOKUP(N1759,データについて!$J$8:$M$18,11,FALSE)</f>
        <v>1</v>
      </c>
      <c r="V1759" s="81">
        <f>HLOOKUP(O1759,データについて!$J$9:$M$18,10,FALSE)</f>
        <v>1</v>
      </c>
      <c r="W1759" s="81">
        <f>HLOOKUP(P1759,データについて!$J$10:$M$18,9,FALSE)</f>
        <v>1</v>
      </c>
      <c r="X1759" s="81">
        <f>HLOOKUP(Q1759,データについて!$J$11:$M$18,8,FALSE)</f>
        <v>1</v>
      </c>
      <c r="Y1759" s="81">
        <f>HLOOKUP(R1759,データについて!$J$12:$M$18,7,FALSE)</f>
        <v>1</v>
      </c>
      <c r="Z1759" s="81">
        <f>HLOOKUP(I1759,データについて!$J$3:$M$18,16,FALSE)</f>
        <v>1</v>
      </c>
      <c r="AA1759" s="81">
        <f>IFERROR(HLOOKUP(J1759,データについて!$J$4:$AH$19,16,FALSE),"")</f>
        <v>6</v>
      </c>
      <c r="AB1759" s="81" t="str">
        <f>IFERROR(HLOOKUP(K1759,データについて!$J$5:$AH$20,14,FALSE),"")</f>
        <v/>
      </c>
      <c r="AC1759" s="81">
        <f>IF(X1759=1,HLOOKUP(R1759,データについて!$J$12:$M$18,7,FALSE),"*")</f>
        <v>1</v>
      </c>
      <c r="AD1759" s="81" t="str">
        <f>IF(X1759=2,HLOOKUP(R1759,データについて!$J$12:$M$18,7,FALSE),"*")</f>
        <v>*</v>
      </c>
    </row>
    <row r="1760" spans="1:30">
      <c r="A1760" s="30">
        <v>3432</v>
      </c>
      <c r="B1760" s="30" t="s">
        <v>1615</v>
      </c>
      <c r="C1760" s="30" t="s">
        <v>1616</v>
      </c>
      <c r="D1760" s="30" t="s">
        <v>106</v>
      </c>
      <c r="E1760" s="30"/>
      <c r="F1760" s="30" t="s">
        <v>107</v>
      </c>
      <c r="G1760" s="30" t="s">
        <v>106</v>
      </c>
      <c r="H1760" s="30"/>
      <c r="I1760" s="30" t="s">
        <v>192</v>
      </c>
      <c r="J1760" s="30" t="s">
        <v>125</v>
      </c>
      <c r="K1760" s="30"/>
      <c r="L1760" s="30" t="s">
        <v>117</v>
      </c>
      <c r="M1760" s="30" t="s">
        <v>113</v>
      </c>
      <c r="N1760" s="30" t="s">
        <v>110</v>
      </c>
      <c r="O1760" s="30" t="s">
        <v>115</v>
      </c>
      <c r="P1760" s="30" t="s">
        <v>118</v>
      </c>
      <c r="Q1760" s="30" t="s">
        <v>112</v>
      </c>
      <c r="R1760" s="30" t="s">
        <v>185</v>
      </c>
      <c r="S1760" s="81">
        <f>HLOOKUP(L1760,データについて!$J$6:$M$18,13,FALSE)</f>
        <v>2</v>
      </c>
      <c r="T1760" s="81">
        <f>HLOOKUP(M1760,データについて!$J$7:$M$18,12,FALSE)</f>
        <v>1</v>
      </c>
      <c r="U1760" s="81">
        <f>HLOOKUP(N1760,データについて!$J$8:$M$18,11,FALSE)</f>
        <v>2</v>
      </c>
      <c r="V1760" s="81">
        <f>HLOOKUP(O1760,データについて!$J$9:$M$18,10,FALSE)</f>
        <v>1</v>
      </c>
      <c r="W1760" s="81">
        <f>HLOOKUP(P1760,データについて!$J$10:$M$18,9,FALSE)</f>
        <v>2</v>
      </c>
      <c r="X1760" s="81">
        <f>HLOOKUP(Q1760,データについて!$J$11:$M$18,8,FALSE)</f>
        <v>1</v>
      </c>
      <c r="Y1760" s="81">
        <f>HLOOKUP(R1760,データについて!$J$12:$M$18,7,FALSE)</f>
        <v>2</v>
      </c>
      <c r="Z1760" s="81">
        <f>HLOOKUP(I1760,データについて!$J$3:$M$18,16,FALSE)</f>
        <v>1</v>
      </c>
      <c r="AA1760" s="81">
        <f>IFERROR(HLOOKUP(J1760,データについて!$J$4:$AH$19,16,FALSE),"")</f>
        <v>6</v>
      </c>
      <c r="AB1760" s="81" t="str">
        <f>IFERROR(HLOOKUP(K1760,データについて!$J$5:$AH$20,14,FALSE),"")</f>
        <v/>
      </c>
      <c r="AC1760" s="81">
        <f>IF(X1760=1,HLOOKUP(R1760,データについて!$J$12:$M$18,7,FALSE),"*")</f>
        <v>2</v>
      </c>
      <c r="AD1760" s="81" t="str">
        <f>IF(X1760=2,HLOOKUP(R1760,データについて!$J$12:$M$18,7,FALSE),"*")</f>
        <v>*</v>
      </c>
    </row>
    <row r="1761" spans="1:30">
      <c r="A1761" s="30">
        <v>3431</v>
      </c>
      <c r="B1761" s="30" t="s">
        <v>1617</v>
      </c>
      <c r="C1761" s="30" t="s">
        <v>1618</v>
      </c>
      <c r="D1761" s="30" t="s">
        <v>106</v>
      </c>
      <c r="E1761" s="30"/>
      <c r="F1761" s="30" t="s">
        <v>107</v>
      </c>
      <c r="G1761" s="30" t="s">
        <v>106</v>
      </c>
      <c r="H1761" s="30"/>
      <c r="I1761" s="30" t="s">
        <v>192</v>
      </c>
      <c r="J1761" s="30" t="s">
        <v>125</v>
      </c>
      <c r="K1761" s="30"/>
      <c r="L1761" s="30" t="s">
        <v>117</v>
      </c>
      <c r="M1761" s="30" t="s">
        <v>113</v>
      </c>
      <c r="N1761" s="30" t="s">
        <v>110</v>
      </c>
      <c r="O1761" s="30" t="s">
        <v>116</v>
      </c>
      <c r="P1761" s="30" t="s">
        <v>112</v>
      </c>
      <c r="Q1761" s="30" t="s">
        <v>112</v>
      </c>
      <c r="R1761" s="30" t="s">
        <v>185</v>
      </c>
      <c r="S1761" s="81">
        <f>HLOOKUP(L1761,データについて!$J$6:$M$18,13,FALSE)</f>
        <v>2</v>
      </c>
      <c r="T1761" s="81">
        <f>HLOOKUP(M1761,データについて!$J$7:$M$18,12,FALSE)</f>
        <v>1</v>
      </c>
      <c r="U1761" s="81">
        <f>HLOOKUP(N1761,データについて!$J$8:$M$18,11,FALSE)</f>
        <v>2</v>
      </c>
      <c r="V1761" s="81">
        <f>HLOOKUP(O1761,データについて!$J$9:$M$18,10,FALSE)</f>
        <v>2</v>
      </c>
      <c r="W1761" s="81">
        <f>HLOOKUP(P1761,データについて!$J$10:$M$18,9,FALSE)</f>
        <v>1</v>
      </c>
      <c r="X1761" s="81">
        <f>HLOOKUP(Q1761,データについて!$J$11:$M$18,8,FALSE)</f>
        <v>1</v>
      </c>
      <c r="Y1761" s="81">
        <f>HLOOKUP(R1761,データについて!$J$12:$M$18,7,FALSE)</f>
        <v>2</v>
      </c>
      <c r="Z1761" s="81">
        <f>HLOOKUP(I1761,データについて!$J$3:$M$18,16,FALSE)</f>
        <v>1</v>
      </c>
      <c r="AA1761" s="81">
        <f>IFERROR(HLOOKUP(J1761,データについて!$J$4:$AH$19,16,FALSE),"")</f>
        <v>6</v>
      </c>
      <c r="AB1761" s="81" t="str">
        <f>IFERROR(HLOOKUP(K1761,データについて!$J$5:$AH$20,14,FALSE),"")</f>
        <v/>
      </c>
      <c r="AC1761" s="81">
        <f>IF(X1761=1,HLOOKUP(R1761,データについて!$J$12:$M$18,7,FALSE),"*")</f>
        <v>2</v>
      </c>
      <c r="AD1761" s="81" t="str">
        <f>IF(X1761=2,HLOOKUP(R1761,データについて!$J$12:$M$18,7,FALSE),"*")</f>
        <v>*</v>
      </c>
    </row>
    <row r="1762" spans="1:30">
      <c r="A1762" s="30">
        <v>3430</v>
      </c>
      <c r="B1762" s="30" t="s">
        <v>1619</v>
      </c>
      <c r="C1762" s="30" t="s">
        <v>1620</v>
      </c>
      <c r="D1762" s="30" t="s">
        <v>106</v>
      </c>
      <c r="E1762" s="30"/>
      <c r="F1762" s="30" t="s">
        <v>107</v>
      </c>
      <c r="G1762" s="30" t="s">
        <v>106</v>
      </c>
      <c r="H1762" s="30"/>
      <c r="I1762" s="30" t="s">
        <v>192</v>
      </c>
      <c r="J1762" s="30" t="s">
        <v>125</v>
      </c>
      <c r="K1762" s="30"/>
      <c r="L1762" s="30" t="s">
        <v>108</v>
      </c>
      <c r="M1762" s="30" t="s">
        <v>113</v>
      </c>
      <c r="N1762" s="30" t="s">
        <v>114</v>
      </c>
      <c r="O1762" s="30" t="s">
        <v>115</v>
      </c>
      <c r="P1762" s="30" t="s">
        <v>118</v>
      </c>
      <c r="Q1762" s="30" t="s">
        <v>112</v>
      </c>
      <c r="R1762" s="30" t="s">
        <v>183</v>
      </c>
      <c r="S1762" s="81">
        <f>HLOOKUP(L1762,データについて!$J$6:$M$18,13,FALSE)</f>
        <v>1</v>
      </c>
      <c r="T1762" s="81">
        <f>HLOOKUP(M1762,データについて!$J$7:$M$18,12,FALSE)</f>
        <v>1</v>
      </c>
      <c r="U1762" s="81">
        <f>HLOOKUP(N1762,データについて!$J$8:$M$18,11,FALSE)</f>
        <v>1</v>
      </c>
      <c r="V1762" s="81">
        <f>HLOOKUP(O1762,データについて!$J$9:$M$18,10,FALSE)</f>
        <v>1</v>
      </c>
      <c r="W1762" s="81">
        <f>HLOOKUP(P1762,データについて!$J$10:$M$18,9,FALSE)</f>
        <v>2</v>
      </c>
      <c r="X1762" s="81">
        <f>HLOOKUP(Q1762,データについて!$J$11:$M$18,8,FALSE)</f>
        <v>1</v>
      </c>
      <c r="Y1762" s="81">
        <f>HLOOKUP(R1762,データについて!$J$12:$M$18,7,FALSE)</f>
        <v>1</v>
      </c>
      <c r="Z1762" s="81">
        <f>HLOOKUP(I1762,データについて!$J$3:$M$18,16,FALSE)</f>
        <v>1</v>
      </c>
      <c r="AA1762" s="81">
        <f>IFERROR(HLOOKUP(J1762,データについて!$J$4:$AH$19,16,FALSE),"")</f>
        <v>6</v>
      </c>
      <c r="AB1762" s="81" t="str">
        <f>IFERROR(HLOOKUP(K1762,データについて!$J$5:$AH$20,14,FALSE),"")</f>
        <v/>
      </c>
      <c r="AC1762" s="81">
        <f>IF(X1762=1,HLOOKUP(R1762,データについて!$J$12:$M$18,7,FALSE),"*")</f>
        <v>1</v>
      </c>
      <c r="AD1762" s="81" t="str">
        <f>IF(X1762=2,HLOOKUP(R1762,データについて!$J$12:$M$18,7,FALSE),"*")</f>
        <v>*</v>
      </c>
    </row>
    <row r="1763" spans="1:30">
      <c r="A1763" s="30">
        <v>3429</v>
      </c>
      <c r="B1763" s="30" t="s">
        <v>1621</v>
      </c>
      <c r="C1763" s="30" t="s">
        <v>1622</v>
      </c>
      <c r="D1763" s="30" t="s">
        <v>106</v>
      </c>
      <c r="E1763" s="30"/>
      <c r="F1763" s="30" t="s">
        <v>107</v>
      </c>
      <c r="G1763" s="30" t="s">
        <v>106</v>
      </c>
      <c r="H1763" s="30"/>
      <c r="I1763" s="30" t="s">
        <v>192</v>
      </c>
      <c r="J1763" s="30" t="s">
        <v>125</v>
      </c>
      <c r="K1763" s="30"/>
      <c r="L1763" s="30" t="s">
        <v>117</v>
      </c>
      <c r="M1763" s="30" t="s">
        <v>113</v>
      </c>
      <c r="N1763" s="30" t="s">
        <v>114</v>
      </c>
      <c r="O1763" s="30" t="s">
        <v>115</v>
      </c>
      <c r="P1763" s="30" t="s">
        <v>112</v>
      </c>
      <c r="Q1763" s="30" t="s">
        <v>112</v>
      </c>
      <c r="R1763" s="30" t="s">
        <v>183</v>
      </c>
      <c r="S1763" s="81">
        <f>HLOOKUP(L1763,データについて!$J$6:$M$18,13,FALSE)</f>
        <v>2</v>
      </c>
      <c r="T1763" s="81">
        <f>HLOOKUP(M1763,データについて!$J$7:$M$18,12,FALSE)</f>
        <v>1</v>
      </c>
      <c r="U1763" s="81">
        <f>HLOOKUP(N1763,データについて!$J$8:$M$18,11,FALSE)</f>
        <v>1</v>
      </c>
      <c r="V1763" s="81">
        <f>HLOOKUP(O1763,データについて!$J$9:$M$18,10,FALSE)</f>
        <v>1</v>
      </c>
      <c r="W1763" s="81">
        <f>HLOOKUP(P1763,データについて!$J$10:$M$18,9,FALSE)</f>
        <v>1</v>
      </c>
      <c r="X1763" s="81">
        <f>HLOOKUP(Q1763,データについて!$J$11:$M$18,8,FALSE)</f>
        <v>1</v>
      </c>
      <c r="Y1763" s="81">
        <f>HLOOKUP(R1763,データについて!$J$12:$M$18,7,FALSE)</f>
        <v>1</v>
      </c>
      <c r="Z1763" s="81">
        <f>HLOOKUP(I1763,データについて!$J$3:$M$18,16,FALSE)</f>
        <v>1</v>
      </c>
      <c r="AA1763" s="81">
        <f>IFERROR(HLOOKUP(J1763,データについて!$J$4:$AH$19,16,FALSE),"")</f>
        <v>6</v>
      </c>
      <c r="AB1763" s="81" t="str">
        <f>IFERROR(HLOOKUP(K1763,データについて!$J$5:$AH$20,14,FALSE),"")</f>
        <v/>
      </c>
      <c r="AC1763" s="81">
        <f>IF(X1763=1,HLOOKUP(R1763,データについて!$J$12:$M$18,7,FALSE),"*")</f>
        <v>1</v>
      </c>
      <c r="AD1763" s="81" t="str">
        <f>IF(X1763=2,HLOOKUP(R1763,データについて!$J$12:$M$18,7,FALSE),"*")</f>
        <v>*</v>
      </c>
    </row>
    <row r="1764" spans="1:30">
      <c r="A1764" s="30">
        <v>3428</v>
      </c>
      <c r="B1764" s="30" t="s">
        <v>1623</v>
      </c>
      <c r="C1764" s="30" t="s">
        <v>1624</v>
      </c>
      <c r="D1764" s="30" t="s">
        <v>106</v>
      </c>
      <c r="E1764" s="30"/>
      <c r="F1764" s="30" t="s">
        <v>107</v>
      </c>
      <c r="G1764" s="30" t="s">
        <v>106</v>
      </c>
      <c r="H1764" s="30"/>
      <c r="I1764" s="30" t="s">
        <v>192</v>
      </c>
      <c r="J1764" s="30" t="s">
        <v>125</v>
      </c>
      <c r="K1764" s="30"/>
      <c r="L1764" s="30" t="s">
        <v>108</v>
      </c>
      <c r="M1764" s="30" t="s">
        <v>109</v>
      </c>
      <c r="N1764" s="30" t="s">
        <v>110</v>
      </c>
      <c r="O1764" s="30" t="s">
        <v>115</v>
      </c>
      <c r="P1764" s="30" t="s">
        <v>112</v>
      </c>
      <c r="Q1764" s="30" t="s">
        <v>118</v>
      </c>
      <c r="R1764" s="30" t="s">
        <v>185</v>
      </c>
      <c r="S1764" s="81">
        <f>HLOOKUP(L1764,データについて!$J$6:$M$18,13,FALSE)</f>
        <v>1</v>
      </c>
      <c r="T1764" s="81">
        <f>HLOOKUP(M1764,データについて!$J$7:$M$18,12,FALSE)</f>
        <v>2</v>
      </c>
      <c r="U1764" s="81">
        <f>HLOOKUP(N1764,データについて!$J$8:$M$18,11,FALSE)</f>
        <v>2</v>
      </c>
      <c r="V1764" s="81">
        <f>HLOOKUP(O1764,データについて!$J$9:$M$18,10,FALSE)</f>
        <v>1</v>
      </c>
      <c r="W1764" s="81">
        <f>HLOOKUP(P1764,データについて!$J$10:$M$18,9,FALSE)</f>
        <v>1</v>
      </c>
      <c r="X1764" s="81">
        <f>HLOOKUP(Q1764,データについて!$J$11:$M$18,8,FALSE)</f>
        <v>2</v>
      </c>
      <c r="Y1764" s="81">
        <f>HLOOKUP(R1764,データについて!$J$12:$M$18,7,FALSE)</f>
        <v>2</v>
      </c>
      <c r="Z1764" s="81">
        <f>HLOOKUP(I1764,データについて!$J$3:$M$18,16,FALSE)</f>
        <v>1</v>
      </c>
      <c r="AA1764" s="81">
        <f>IFERROR(HLOOKUP(J1764,データについて!$J$4:$AH$19,16,FALSE),"")</f>
        <v>6</v>
      </c>
      <c r="AB1764" s="81" t="str">
        <f>IFERROR(HLOOKUP(K1764,データについて!$J$5:$AH$20,14,FALSE),"")</f>
        <v/>
      </c>
      <c r="AC1764" s="81" t="str">
        <f>IF(X1764=1,HLOOKUP(R1764,データについて!$J$12:$M$18,7,FALSE),"*")</f>
        <v>*</v>
      </c>
      <c r="AD1764" s="81">
        <f>IF(X1764=2,HLOOKUP(R1764,データについて!$J$12:$M$18,7,FALSE),"*")</f>
        <v>2</v>
      </c>
    </row>
    <row r="1765" spans="1:30">
      <c r="A1765" s="30">
        <v>3427</v>
      </c>
      <c r="B1765" s="30" t="s">
        <v>1625</v>
      </c>
      <c r="C1765" s="30" t="s">
        <v>1626</v>
      </c>
      <c r="D1765" s="30" t="s">
        <v>106</v>
      </c>
      <c r="E1765" s="30"/>
      <c r="F1765" s="30" t="s">
        <v>107</v>
      </c>
      <c r="G1765" s="30" t="s">
        <v>106</v>
      </c>
      <c r="H1765" s="30"/>
      <c r="I1765" s="30" t="s">
        <v>192</v>
      </c>
      <c r="J1765" s="30" t="s">
        <v>125</v>
      </c>
      <c r="K1765" s="30"/>
      <c r="L1765" s="30" t="s">
        <v>108</v>
      </c>
      <c r="M1765" s="30" t="s">
        <v>109</v>
      </c>
      <c r="N1765" s="30" t="s">
        <v>114</v>
      </c>
      <c r="O1765" s="30" t="s">
        <v>115</v>
      </c>
      <c r="P1765" s="30" t="s">
        <v>112</v>
      </c>
      <c r="Q1765" s="30" t="s">
        <v>112</v>
      </c>
      <c r="R1765" s="30" t="s">
        <v>185</v>
      </c>
      <c r="S1765" s="81">
        <f>HLOOKUP(L1765,データについて!$J$6:$M$18,13,FALSE)</f>
        <v>1</v>
      </c>
      <c r="T1765" s="81">
        <f>HLOOKUP(M1765,データについて!$J$7:$M$18,12,FALSE)</f>
        <v>2</v>
      </c>
      <c r="U1765" s="81">
        <f>HLOOKUP(N1765,データについて!$J$8:$M$18,11,FALSE)</f>
        <v>1</v>
      </c>
      <c r="V1765" s="81">
        <f>HLOOKUP(O1765,データについて!$J$9:$M$18,10,FALSE)</f>
        <v>1</v>
      </c>
      <c r="W1765" s="81">
        <f>HLOOKUP(P1765,データについて!$J$10:$M$18,9,FALSE)</f>
        <v>1</v>
      </c>
      <c r="X1765" s="81">
        <f>HLOOKUP(Q1765,データについて!$J$11:$M$18,8,FALSE)</f>
        <v>1</v>
      </c>
      <c r="Y1765" s="81">
        <f>HLOOKUP(R1765,データについて!$J$12:$M$18,7,FALSE)</f>
        <v>2</v>
      </c>
      <c r="Z1765" s="81">
        <f>HLOOKUP(I1765,データについて!$J$3:$M$18,16,FALSE)</f>
        <v>1</v>
      </c>
      <c r="AA1765" s="81">
        <f>IFERROR(HLOOKUP(J1765,データについて!$J$4:$AH$19,16,FALSE),"")</f>
        <v>6</v>
      </c>
      <c r="AB1765" s="81" t="str">
        <f>IFERROR(HLOOKUP(K1765,データについて!$J$5:$AH$20,14,FALSE),"")</f>
        <v/>
      </c>
      <c r="AC1765" s="81">
        <f>IF(X1765=1,HLOOKUP(R1765,データについて!$J$12:$M$18,7,FALSE),"*")</f>
        <v>2</v>
      </c>
      <c r="AD1765" s="81" t="str">
        <f>IF(X1765=2,HLOOKUP(R1765,データについて!$J$12:$M$18,7,FALSE),"*")</f>
        <v>*</v>
      </c>
    </row>
    <row r="1766" spans="1:30">
      <c r="A1766" s="30">
        <v>3426</v>
      </c>
      <c r="B1766" s="30" t="s">
        <v>1627</v>
      </c>
      <c r="C1766" s="30" t="s">
        <v>1628</v>
      </c>
      <c r="D1766" s="30" t="s">
        <v>106</v>
      </c>
      <c r="E1766" s="30"/>
      <c r="F1766" s="30" t="s">
        <v>107</v>
      </c>
      <c r="G1766" s="30" t="s">
        <v>106</v>
      </c>
      <c r="H1766" s="30"/>
      <c r="I1766" s="30" t="s">
        <v>192</v>
      </c>
      <c r="J1766" s="30" t="s">
        <v>125</v>
      </c>
      <c r="K1766" s="30"/>
      <c r="L1766" s="30" t="s">
        <v>117</v>
      </c>
      <c r="M1766" s="30" t="s">
        <v>113</v>
      </c>
      <c r="N1766" s="30" t="s">
        <v>114</v>
      </c>
      <c r="O1766" s="30" t="s">
        <v>115</v>
      </c>
      <c r="P1766" s="30" t="s">
        <v>112</v>
      </c>
      <c r="Q1766" s="30" t="s">
        <v>112</v>
      </c>
      <c r="R1766" s="30" t="s">
        <v>185</v>
      </c>
      <c r="S1766" s="81">
        <f>HLOOKUP(L1766,データについて!$J$6:$M$18,13,FALSE)</f>
        <v>2</v>
      </c>
      <c r="T1766" s="81">
        <f>HLOOKUP(M1766,データについて!$J$7:$M$18,12,FALSE)</f>
        <v>1</v>
      </c>
      <c r="U1766" s="81">
        <f>HLOOKUP(N1766,データについて!$J$8:$M$18,11,FALSE)</f>
        <v>1</v>
      </c>
      <c r="V1766" s="81">
        <f>HLOOKUP(O1766,データについて!$J$9:$M$18,10,FALSE)</f>
        <v>1</v>
      </c>
      <c r="W1766" s="81">
        <f>HLOOKUP(P1766,データについて!$J$10:$M$18,9,FALSE)</f>
        <v>1</v>
      </c>
      <c r="X1766" s="81">
        <f>HLOOKUP(Q1766,データについて!$J$11:$M$18,8,FALSE)</f>
        <v>1</v>
      </c>
      <c r="Y1766" s="81">
        <f>HLOOKUP(R1766,データについて!$J$12:$M$18,7,FALSE)</f>
        <v>2</v>
      </c>
      <c r="Z1766" s="81">
        <f>HLOOKUP(I1766,データについて!$J$3:$M$18,16,FALSE)</f>
        <v>1</v>
      </c>
      <c r="AA1766" s="81">
        <f>IFERROR(HLOOKUP(J1766,データについて!$J$4:$AH$19,16,FALSE),"")</f>
        <v>6</v>
      </c>
      <c r="AB1766" s="81" t="str">
        <f>IFERROR(HLOOKUP(K1766,データについて!$J$5:$AH$20,14,FALSE),"")</f>
        <v/>
      </c>
      <c r="AC1766" s="81">
        <f>IF(X1766=1,HLOOKUP(R1766,データについて!$J$12:$M$18,7,FALSE),"*")</f>
        <v>2</v>
      </c>
      <c r="AD1766" s="81" t="str">
        <f>IF(X1766=2,HLOOKUP(R1766,データについて!$J$12:$M$18,7,FALSE),"*")</f>
        <v>*</v>
      </c>
    </row>
    <row r="1767" spans="1:30">
      <c r="A1767" s="30">
        <v>3425</v>
      </c>
      <c r="B1767" s="30" t="s">
        <v>1629</v>
      </c>
      <c r="C1767" s="30" t="s">
        <v>1630</v>
      </c>
      <c r="D1767" s="30" t="s">
        <v>106</v>
      </c>
      <c r="E1767" s="30"/>
      <c r="F1767" s="30" t="s">
        <v>107</v>
      </c>
      <c r="G1767" s="30" t="s">
        <v>106</v>
      </c>
      <c r="H1767" s="30"/>
      <c r="I1767" s="30" t="s">
        <v>192</v>
      </c>
      <c r="J1767" s="30" t="s">
        <v>125</v>
      </c>
      <c r="K1767" s="30"/>
      <c r="L1767" s="30" t="s">
        <v>117</v>
      </c>
      <c r="M1767" s="30" t="s">
        <v>113</v>
      </c>
      <c r="N1767" s="30" t="s">
        <v>110</v>
      </c>
      <c r="O1767" s="30" t="s">
        <v>115</v>
      </c>
      <c r="P1767" s="30" t="s">
        <v>112</v>
      </c>
      <c r="Q1767" s="30" t="s">
        <v>112</v>
      </c>
      <c r="R1767" s="30" t="s">
        <v>183</v>
      </c>
      <c r="S1767" s="81">
        <f>HLOOKUP(L1767,データについて!$J$6:$M$18,13,FALSE)</f>
        <v>2</v>
      </c>
      <c r="T1767" s="81">
        <f>HLOOKUP(M1767,データについて!$J$7:$M$18,12,FALSE)</f>
        <v>1</v>
      </c>
      <c r="U1767" s="81">
        <f>HLOOKUP(N1767,データについて!$J$8:$M$18,11,FALSE)</f>
        <v>2</v>
      </c>
      <c r="V1767" s="81">
        <f>HLOOKUP(O1767,データについて!$J$9:$M$18,10,FALSE)</f>
        <v>1</v>
      </c>
      <c r="W1767" s="81">
        <f>HLOOKUP(P1767,データについて!$J$10:$M$18,9,FALSE)</f>
        <v>1</v>
      </c>
      <c r="X1767" s="81">
        <f>HLOOKUP(Q1767,データについて!$J$11:$M$18,8,FALSE)</f>
        <v>1</v>
      </c>
      <c r="Y1767" s="81">
        <f>HLOOKUP(R1767,データについて!$J$12:$M$18,7,FALSE)</f>
        <v>1</v>
      </c>
      <c r="Z1767" s="81">
        <f>HLOOKUP(I1767,データについて!$J$3:$M$18,16,FALSE)</f>
        <v>1</v>
      </c>
      <c r="AA1767" s="81">
        <f>IFERROR(HLOOKUP(J1767,データについて!$J$4:$AH$19,16,FALSE),"")</f>
        <v>6</v>
      </c>
      <c r="AB1767" s="81" t="str">
        <f>IFERROR(HLOOKUP(K1767,データについて!$J$5:$AH$20,14,FALSE),"")</f>
        <v/>
      </c>
      <c r="AC1767" s="81">
        <f>IF(X1767=1,HLOOKUP(R1767,データについて!$J$12:$M$18,7,FALSE),"*")</f>
        <v>1</v>
      </c>
      <c r="AD1767" s="81" t="str">
        <f>IF(X1767=2,HLOOKUP(R1767,データについて!$J$12:$M$18,7,FALSE),"*")</f>
        <v>*</v>
      </c>
    </row>
    <row r="1768" spans="1:30">
      <c r="A1768" s="30">
        <v>3424</v>
      </c>
      <c r="B1768" s="30" t="s">
        <v>1631</v>
      </c>
      <c r="C1768" s="30" t="s">
        <v>1632</v>
      </c>
      <c r="D1768" s="30" t="s">
        <v>106</v>
      </c>
      <c r="E1768" s="30"/>
      <c r="F1768" s="30" t="s">
        <v>107</v>
      </c>
      <c r="G1768" s="30" t="s">
        <v>106</v>
      </c>
      <c r="H1768" s="30"/>
      <c r="I1768" s="30" t="s">
        <v>192</v>
      </c>
      <c r="J1768" s="30" t="s">
        <v>125</v>
      </c>
      <c r="K1768" s="30"/>
      <c r="L1768" s="30" t="s">
        <v>108</v>
      </c>
      <c r="M1768" s="30" t="s">
        <v>113</v>
      </c>
      <c r="N1768" s="30" t="s">
        <v>114</v>
      </c>
      <c r="O1768" s="30" t="s">
        <v>115</v>
      </c>
      <c r="P1768" s="30" t="s">
        <v>112</v>
      </c>
      <c r="Q1768" s="30" t="s">
        <v>112</v>
      </c>
      <c r="R1768" s="30" t="s">
        <v>185</v>
      </c>
      <c r="S1768" s="81">
        <f>HLOOKUP(L1768,データについて!$J$6:$M$18,13,FALSE)</f>
        <v>1</v>
      </c>
      <c r="T1768" s="81">
        <f>HLOOKUP(M1768,データについて!$J$7:$M$18,12,FALSE)</f>
        <v>1</v>
      </c>
      <c r="U1768" s="81">
        <f>HLOOKUP(N1768,データについて!$J$8:$M$18,11,FALSE)</f>
        <v>1</v>
      </c>
      <c r="V1768" s="81">
        <f>HLOOKUP(O1768,データについて!$J$9:$M$18,10,FALSE)</f>
        <v>1</v>
      </c>
      <c r="W1768" s="81">
        <f>HLOOKUP(P1768,データについて!$J$10:$M$18,9,FALSE)</f>
        <v>1</v>
      </c>
      <c r="X1768" s="81">
        <f>HLOOKUP(Q1768,データについて!$J$11:$M$18,8,FALSE)</f>
        <v>1</v>
      </c>
      <c r="Y1768" s="81">
        <f>HLOOKUP(R1768,データについて!$J$12:$M$18,7,FALSE)</f>
        <v>2</v>
      </c>
      <c r="Z1768" s="81">
        <f>HLOOKUP(I1768,データについて!$J$3:$M$18,16,FALSE)</f>
        <v>1</v>
      </c>
      <c r="AA1768" s="81">
        <f>IFERROR(HLOOKUP(J1768,データについて!$J$4:$AH$19,16,FALSE),"")</f>
        <v>6</v>
      </c>
      <c r="AB1768" s="81" t="str">
        <f>IFERROR(HLOOKUP(K1768,データについて!$J$5:$AH$20,14,FALSE),"")</f>
        <v/>
      </c>
      <c r="AC1768" s="81">
        <f>IF(X1768=1,HLOOKUP(R1768,データについて!$J$12:$M$18,7,FALSE),"*")</f>
        <v>2</v>
      </c>
      <c r="AD1768" s="81" t="str">
        <f>IF(X1768=2,HLOOKUP(R1768,データについて!$J$12:$M$18,7,FALSE),"*")</f>
        <v>*</v>
      </c>
    </row>
    <row r="1769" spans="1:30">
      <c r="A1769" s="30">
        <v>3423</v>
      </c>
      <c r="B1769" s="30" t="s">
        <v>1633</v>
      </c>
      <c r="C1769" s="30" t="s">
        <v>1634</v>
      </c>
      <c r="D1769" s="30" t="s">
        <v>106</v>
      </c>
      <c r="E1769" s="30"/>
      <c r="F1769" s="30" t="s">
        <v>107</v>
      </c>
      <c r="G1769" s="30" t="s">
        <v>106</v>
      </c>
      <c r="H1769" s="30"/>
      <c r="I1769" s="30" t="s">
        <v>192</v>
      </c>
      <c r="J1769" s="30" t="s">
        <v>125</v>
      </c>
      <c r="K1769" s="30"/>
      <c r="L1769" s="30" t="s">
        <v>117</v>
      </c>
      <c r="M1769" s="30" t="s">
        <v>109</v>
      </c>
      <c r="N1769" s="30" t="s">
        <v>110</v>
      </c>
      <c r="O1769" s="30" t="s">
        <v>115</v>
      </c>
      <c r="P1769" s="30" t="s">
        <v>112</v>
      </c>
      <c r="Q1769" s="30" t="s">
        <v>112</v>
      </c>
      <c r="R1769" s="30" t="s">
        <v>185</v>
      </c>
      <c r="S1769" s="81">
        <f>HLOOKUP(L1769,データについて!$J$6:$M$18,13,FALSE)</f>
        <v>2</v>
      </c>
      <c r="T1769" s="81">
        <f>HLOOKUP(M1769,データについて!$J$7:$M$18,12,FALSE)</f>
        <v>2</v>
      </c>
      <c r="U1769" s="81">
        <f>HLOOKUP(N1769,データについて!$J$8:$M$18,11,FALSE)</f>
        <v>2</v>
      </c>
      <c r="V1769" s="81">
        <f>HLOOKUP(O1769,データについて!$J$9:$M$18,10,FALSE)</f>
        <v>1</v>
      </c>
      <c r="W1769" s="81">
        <f>HLOOKUP(P1769,データについて!$J$10:$M$18,9,FALSE)</f>
        <v>1</v>
      </c>
      <c r="X1769" s="81">
        <f>HLOOKUP(Q1769,データについて!$J$11:$M$18,8,FALSE)</f>
        <v>1</v>
      </c>
      <c r="Y1769" s="81">
        <f>HLOOKUP(R1769,データについて!$J$12:$M$18,7,FALSE)</f>
        <v>2</v>
      </c>
      <c r="Z1769" s="81">
        <f>HLOOKUP(I1769,データについて!$J$3:$M$18,16,FALSE)</f>
        <v>1</v>
      </c>
      <c r="AA1769" s="81">
        <f>IFERROR(HLOOKUP(J1769,データについて!$J$4:$AH$19,16,FALSE),"")</f>
        <v>6</v>
      </c>
      <c r="AB1769" s="81" t="str">
        <f>IFERROR(HLOOKUP(K1769,データについて!$J$5:$AH$20,14,FALSE),"")</f>
        <v/>
      </c>
      <c r="AC1769" s="81">
        <f>IF(X1769=1,HLOOKUP(R1769,データについて!$J$12:$M$18,7,FALSE),"*")</f>
        <v>2</v>
      </c>
      <c r="AD1769" s="81" t="str">
        <f>IF(X1769=2,HLOOKUP(R1769,データについて!$J$12:$M$18,7,FALSE),"*")</f>
        <v>*</v>
      </c>
    </row>
    <row r="1770" spans="1:30">
      <c r="A1770" s="30">
        <v>3422</v>
      </c>
      <c r="B1770" s="30" t="s">
        <v>1635</v>
      </c>
      <c r="C1770" s="30" t="s">
        <v>1636</v>
      </c>
      <c r="D1770" s="30" t="s">
        <v>106</v>
      </c>
      <c r="E1770" s="30"/>
      <c r="F1770" s="30" t="s">
        <v>107</v>
      </c>
      <c r="G1770" s="30" t="s">
        <v>106</v>
      </c>
      <c r="H1770" s="30"/>
      <c r="I1770" s="30" t="s">
        <v>192</v>
      </c>
      <c r="J1770" s="30" t="s">
        <v>125</v>
      </c>
      <c r="K1770" s="30"/>
      <c r="L1770" s="30" t="s">
        <v>117</v>
      </c>
      <c r="M1770" s="30" t="s">
        <v>113</v>
      </c>
      <c r="N1770" s="30" t="s">
        <v>114</v>
      </c>
      <c r="O1770" s="30" t="s">
        <v>115</v>
      </c>
      <c r="P1770" s="30" t="s">
        <v>112</v>
      </c>
      <c r="Q1770" s="30" t="s">
        <v>112</v>
      </c>
      <c r="R1770" s="30" t="s">
        <v>183</v>
      </c>
      <c r="S1770" s="81">
        <f>HLOOKUP(L1770,データについて!$J$6:$M$18,13,FALSE)</f>
        <v>2</v>
      </c>
      <c r="T1770" s="81">
        <f>HLOOKUP(M1770,データについて!$J$7:$M$18,12,FALSE)</f>
        <v>1</v>
      </c>
      <c r="U1770" s="81">
        <f>HLOOKUP(N1770,データについて!$J$8:$M$18,11,FALSE)</f>
        <v>1</v>
      </c>
      <c r="V1770" s="81">
        <f>HLOOKUP(O1770,データについて!$J$9:$M$18,10,FALSE)</f>
        <v>1</v>
      </c>
      <c r="W1770" s="81">
        <f>HLOOKUP(P1770,データについて!$J$10:$M$18,9,FALSE)</f>
        <v>1</v>
      </c>
      <c r="X1770" s="81">
        <f>HLOOKUP(Q1770,データについて!$J$11:$M$18,8,FALSE)</f>
        <v>1</v>
      </c>
      <c r="Y1770" s="81">
        <f>HLOOKUP(R1770,データについて!$J$12:$M$18,7,FALSE)</f>
        <v>1</v>
      </c>
      <c r="Z1770" s="81">
        <f>HLOOKUP(I1770,データについて!$J$3:$M$18,16,FALSE)</f>
        <v>1</v>
      </c>
      <c r="AA1770" s="81">
        <f>IFERROR(HLOOKUP(J1770,データについて!$J$4:$AH$19,16,FALSE),"")</f>
        <v>6</v>
      </c>
      <c r="AB1770" s="81" t="str">
        <f>IFERROR(HLOOKUP(K1770,データについて!$J$5:$AH$20,14,FALSE),"")</f>
        <v/>
      </c>
      <c r="AC1770" s="81">
        <f>IF(X1770=1,HLOOKUP(R1770,データについて!$J$12:$M$18,7,FALSE),"*")</f>
        <v>1</v>
      </c>
      <c r="AD1770" s="81" t="str">
        <f>IF(X1770=2,HLOOKUP(R1770,データについて!$J$12:$M$18,7,FALSE),"*")</f>
        <v>*</v>
      </c>
    </row>
    <row r="1771" spans="1:30">
      <c r="A1771" s="30">
        <v>3421</v>
      </c>
      <c r="B1771" s="30" t="s">
        <v>1637</v>
      </c>
      <c r="C1771" s="30" t="s">
        <v>1638</v>
      </c>
      <c r="D1771" s="30" t="s">
        <v>106</v>
      </c>
      <c r="E1771" s="30"/>
      <c r="F1771" s="30" t="s">
        <v>107</v>
      </c>
      <c r="G1771" s="30" t="s">
        <v>106</v>
      </c>
      <c r="H1771" s="30"/>
      <c r="I1771" s="30" t="s">
        <v>192</v>
      </c>
      <c r="J1771" s="30" t="s">
        <v>125</v>
      </c>
      <c r="K1771" s="30"/>
      <c r="L1771" s="30" t="s">
        <v>117</v>
      </c>
      <c r="M1771" s="30" t="s">
        <v>113</v>
      </c>
      <c r="N1771" s="30" t="s">
        <v>110</v>
      </c>
      <c r="O1771" s="30" t="s">
        <v>115</v>
      </c>
      <c r="P1771" s="30" t="s">
        <v>112</v>
      </c>
      <c r="Q1771" s="30" t="s">
        <v>112</v>
      </c>
      <c r="R1771" s="30" t="s">
        <v>185</v>
      </c>
      <c r="S1771" s="81">
        <f>HLOOKUP(L1771,データについて!$J$6:$M$18,13,FALSE)</f>
        <v>2</v>
      </c>
      <c r="T1771" s="81">
        <f>HLOOKUP(M1771,データについて!$J$7:$M$18,12,FALSE)</f>
        <v>1</v>
      </c>
      <c r="U1771" s="81">
        <f>HLOOKUP(N1771,データについて!$J$8:$M$18,11,FALSE)</f>
        <v>2</v>
      </c>
      <c r="V1771" s="81">
        <f>HLOOKUP(O1771,データについて!$J$9:$M$18,10,FALSE)</f>
        <v>1</v>
      </c>
      <c r="W1771" s="81">
        <f>HLOOKUP(P1771,データについて!$J$10:$M$18,9,FALSE)</f>
        <v>1</v>
      </c>
      <c r="X1771" s="81">
        <f>HLOOKUP(Q1771,データについて!$J$11:$M$18,8,FALSE)</f>
        <v>1</v>
      </c>
      <c r="Y1771" s="81">
        <f>HLOOKUP(R1771,データについて!$J$12:$M$18,7,FALSE)</f>
        <v>2</v>
      </c>
      <c r="Z1771" s="81">
        <f>HLOOKUP(I1771,データについて!$J$3:$M$18,16,FALSE)</f>
        <v>1</v>
      </c>
      <c r="AA1771" s="81">
        <f>IFERROR(HLOOKUP(J1771,データについて!$J$4:$AH$19,16,FALSE),"")</f>
        <v>6</v>
      </c>
      <c r="AB1771" s="81" t="str">
        <f>IFERROR(HLOOKUP(K1771,データについて!$J$5:$AH$20,14,FALSE),"")</f>
        <v/>
      </c>
      <c r="AC1771" s="81">
        <f>IF(X1771=1,HLOOKUP(R1771,データについて!$J$12:$M$18,7,FALSE),"*")</f>
        <v>2</v>
      </c>
      <c r="AD1771" s="81" t="str">
        <f>IF(X1771=2,HLOOKUP(R1771,データについて!$J$12:$M$18,7,FALSE),"*")</f>
        <v>*</v>
      </c>
    </row>
    <row r="1772" spans="1:30">
      <c r="A1772" s="30">
        <v>3420</v>
      </c>
      <c r="B1772" s="30" t="s">
        <v>1639</v>
      </c>
      <c r="C1772" s="30" t="s">
        <v>1640</v>
      </c>
      <c r="D1772" s="30" t="s">
        <v>106</v>
      </c>
      <c r="E1772" s="30"/>
      <c r="F1772" s="30" t="s">
        <v>107</v>
      </c>
      <c r="G1772" s="30" t="s">
        <v>106</v>
      </c>
      <c r="H1772" s="30"/>
      <c r="I1772" s="30" t="s">
        <v>192</v>
      </c>
      <c r="J1772" s="30" t="s">
        <v>125</v>
      </c>
      <c r="K1772" s="30"/>
      <c r="L1772" s="30" t="s">
        <v>117</v>
      </c>
      <c r="M1772" s="30" t="s">
        <v>113</v>
      </c>
      <c r="N1772" s="30" t="s">
        <v>114</v>
      </c>
      <c r="O1772" s="30" t="s">
        <v>115</v>
      </c>
      <c r="P1772" s="30" t="s">
        <v>112</v>
      </c>
      <c r="Q1772" s="30" t="s">
        <v>112</v>
      </c>
      <c r="R1772" s="30" t="s">
        <v>183</v>
      </c>
      <c r="S1772" s="81">
        <f>HLOOKUP(L1772,データについて!$J$6:$M$18,13,FALSE)</f>
        <v>2</v>
      </c>
      <c r="T1772" s="81">
        <f>HLOOKUP(M1772,データについて!$J$7:$M$18,12,FALSE)</f>
        <v>1</v>
      </c>
      <c r="U1772" s="81">
        <f>HLOOKUP(N1772,データについて!$J$8:$M$18,11,FALSE)</f>
        <v>1</v>
      </c>
      <c r="V1772" s="81">
        <f>HLOOKUP(O1772,データについて!$J$9:$M$18,10,FALSE)</f>
        <v>1</v>
      </c>
      <c r="W1772" s="81">
        <f>HLOOKUP(P1772,データについて!$J$10:$M$18,9,FALSE)</f>
        <v>1</v>
      </c>
      <c r="X1772" s="81">
        <f>HLOOKUP(Q1772,データについて!$J$11:$M$18,8,FALSE)</f>
        <v>1</v>
      </c>
      <c r="Y1772" s="81">
        <f>HLOOKUP(R1772,データについて!$J$12:$M$18,7,FALSE)</f>
        <v>1</v>
      </c>
      <c r="Z1772" s="81">
        <f>HLOOKUP(I1772,データについて!$J$3:$M$18,16,FALSE)</f>
        <v>1</v>
      </c>
      <c r="AA1772" s="81">
        <f>IFERROR(HLOOKUP(J1772,データについて!$J$4:$AH$19,16,FALSE),"")</f>
        <v>6</v>
      </c>
      <c r="AB1772" s="81" t="str">
        <f>IFERROR(HLOOKUP(K1772,データについて!$J$5:$AH$20,14,FALSE),"")</f>
        <v/>
      </c>
      <c r="AC1772" s="81">
        <f>IF(X1772=1,HLOOKUP(R1772,データについて!$J$12:$M$18,7,FALSE),"*")</f>
        <v>1</v>
      </c>
      <c r="AD1772" s="81" t="str">
        <f>IF(X1772=2,HLOOKUP(R1772,データについて!$J$12:$M$18,7,FALSE),"*")</f>
        <v>*</v>
      </c>
    </row>
    <row r="1773" spans="1:30">
      <c r="A1773" s="30">
        <v>3419</v>
      </c>
      <c r="B1773" s="30" t="s">
        <v>1641</v>
      </c>
      <c r="C1773" s="30" t="s">
        <v>1642</v>
      </c>
      <c r="D1773" s="30" t="s">
        <v>106</v>
      </c>
      <c r="E1773" s="30"/>
      <c r="F1773" s="30" t="s">
        <v>107</v>
      </c>
      <c r="G1773" s="30" t="s">
        <v>106</v>
      </c>
      <c r="H1773" s="30"/>
      <c r="I1773" s="30" t="s">
        <v>192</v>
      </c>
      <c r="J1773" s="30" t="s">
        <v>125</v>
      </c>
      <c r="K1773" s="30"/>
      <c r="L1773" s="30" t="s">
        <v>108</v>
      </c>
      <c r="M1773" s="30" t="s">
        <v>124</v>
      </c>
      <c r="N1773" s="30" t="s">
        <v>114</v>
      </c>
      <c r="O1773" s="30" t="s">
        <v>116</v>
      </c>
      <c r="P1773" s="30" t="s">
        <v>112</v>
      </c>
      <c r="Q1773" s="30" t="s">
        <v>118</v>
      </c>
      <c r="R1773" s="30" t="s">
        <v>185</v>
      </c>
      <c r="S1773" s="81">
        <f>HLOOKUP(L1773,データについて!$J$6:$M$18,13,FALSE)</f>
        <v>1</v>
      </c>
      <c r="T1773" s="81">
        <f>HLOOKUP(M1773,データについて!$J$7:$M$18,12,FALSE)</f>
        <v>3</v>
      </c>
      <c r="U1773" s="81">
        <f>HLOOKUP(N1773,データについて!$J$8:$M$18,11,FALSE)</f>
        <v>1</v>
      </c>
      <c r="V1773" s="81">
        <f>HLOOKUP(O1773,データについて!$J$9:$M$18,10,FALSE)</f>
        <v>2</v>
      </c>
      <c r="W1773" s="81">
        <f>HLOOKUP(P1773,データについて!$J$10:$M$18,9,FALSE)</f>
        <v>1</v>
      </c>
      <c r="X1773" s="81">
        <f>HLOOKUP(Q1773,データについて!$J$11:$M$18,8,FALSE)</f>
        <v>2</v>
      </c>
      <c r="Y1773" s="81">
        <f>HLOOKUP(R1773,データについて!$J$12:$M$18,7,FALSE)</f>
        <v>2</v>
      </c>
      <c r="Z1773" s="81">
        <f>HLOOKUP(I1773,データについて!$J$3:$M$18,16,FALSE)</f>
        <v>1</v>
      </c>
      <c r="AA1773" s="81">
        <f>IFERROR(HLOOKUP(J1773,データについて!$J$4:$AH$19,16,FALSE),"")</f>
        <v>6</v>
      </c>
      <c r="AB1773" s="81" t="str">
        <f>IFERROR(HLOOKUP(K1773,データについて!$J$5:$AH$20,14,FALSE),"")</f>
        <v/>
      </c>
      <c r="AC1773" s="81" t="str">
        <f>IF(X1773=1,HLOOKUP(R1773,データについて!$J$12:$M$18,7,FALSE),"*")</f>
        <v>*</v>
      </c>
      <c r="AD1773" s="81">
        <f>IF(X1773=2,HLOOKUP(R1773,データについて!$J$12:$M$18,7,FALSE),"*")</f>
        <v>2</v>
      </c>
    </row>
    <row r="1774" spans="1:30">
      <c r="A1774" s="30">
        <v>3418</v>
      </c>
      <c r="B1774" s="30" t="s">
        <v>1643</v>
      </c>
      <c r="C1774" s="30" t="s">
        <v>1644</v>
      </c>
      <c r="D1774" s="30" t="s">
        <v>106</v>
      </c>
      <c r="E1774" s="30"/>
      <c r="F1774" s="30" t="s">
        <v>107</v>
      </c>
      <c r="G1774" s="30" t="s">
        <v>106</v>
      </c>
      <c r="H1774" s="30"/>
      <c r="I1774" s="30" t="s">
        <v>192</v>
      </c>
      <c r="J1774" s="30" t="s">
        <v>125</v>
      </c>
      <c r="K1774" s="30"/>
      <c r="L1774" s="30" t="s">
        <v>117</v>
      </c>
      <c r="M1774" s="30" t="s">
        <v>113</v>
      </c>
      <c r="N1774" s="30" t="s">
        <v>114</v>
      </c>
      <c r="O1774" s="30" t="s">
        <v>115</v>
      </c>
      <c r="P1774" s="30" t="s">
        <v>112</v>
      </c>
      <c r="Q1774" s="30" t="s">
        <v>112</v>
      </c>
      <c r="R1774" s="30" t="s">
        <v>183</v>
      </c>
      <c r="S1774" s="81">
        <f>HLOOKUP(L1774,データについて!$J$6:$M$18,13,FALSE)</f>
        <v>2</v>
      </c>
      <c r="T1774" s="81">
        <f>HLOOKUP(M1774,データについて!$J$7:$M$18,12,FALSE)</f>
        <v>1</v>
      </c>
      <c r="U1774" s="81">
        <f>HLOOKUP(N1774,データについて!$J$8:$M$18,11,FALSE)</f>
        <v>1</v>
      </c>
      <c r="V1774" s="81">
        <f>HLOOKUP(O1774,データについて!$J$9:$M$18,10,FALSE)</f>
        <v>1</v>
      </c>
      <c r="W1774" s="81">
        <f>HLOOKUP(P1774,データについて!$J$10:$M$18,9,FALSE)</f>
        <v>1</v>
      </c>
      <c r="X1774" s="81">
        <f>HLOOKUP(Q1774,データについて!$J$11:$M$18,8,FALSE)</f>
        <v>1</v>
      </c>
      <c r="Y1774" s="81">
        <f>HLOOKUP(R1774,データについて!$J$12:$M$18,7,FALSE)</f>
        <v>1</v>
      </c>
      <c r="Z1774" s="81">
        <f>HLOOKUP(I1774,データについて!$J$3:$M$18,16,FALSE)</f>
        <v>1</v>
      </c>
      <c r="AA1774" s="81">
        <f>IFERROR(HLOOKUP(J1774,データについて!$J$4:$AH$19,16,FALSE),"")</f>
        <v>6</v>
      </c>
      <c r="AB1774" s="81" t="str">
        <f>IFERROR(HLOOKUP(K1774,データについて!$J$5:$AH$20,14,FALSE),"")</f>
        <v/>
      </c>
      <c r="AC1774" s="81">
        <f>IF(X1774=1,HLOOKUP(R1774,データについて!$J$12:$M$18,7,FALSE),"*")</f>
        <v>1</v>
      </c>
      <c r="AD1774" s="81" t="str">
        <f>IF(X1774=2,HLOOKUP(R1774,データについて!$J$12:$M$18,7,FALSE),"*")</f>
        <v>*</v>
      </c>
    </row>
    <row r="1775" spans="1:30">
      <c r="A1775" s="30">
        <v>3417</v>
      </c>
      <c r="B1775" s="30" t="s">
        <v>1645</v>
      </c>
      <c r="C1775" s="30" t="s">
        <v>1646</v>
      </c>
      <c r="D1775" s="30" t="s">
        <v>106</v>
      </c>
      <c r="E1775" s="30"/>
      <c r="F1775" s="30" t="s">
        <v>107</v>
      </c>
      <c r="G1775" s="30" t="s">
        <v>106</v>
      </c>
      <c r="H1775" s="30"/>
      <c r="I1775" s="30" t="s">
        <v>192</v>
      </c>
      <c r="J1775" s="30" t="s">
        <v>125</v>
      </c>
      <c r="K1775" s="30"/>
      <c r="L1775" s="30" t="s">
        <v>117</v>
      </c>
      <c r="M1775" s="30" t="s">
        <v>113</v>
      </c>
      <c r="N1775" s="30" t="s">
        <v>110</v>
      </c>
      <c r="O1775" s="30" t="s">
        <v>115</v>
      </c>
      <c r="P1775" s="30" t="s">
        <v>112</v>
      </c>
      <c r="Q1775" s="30" t="s">
        <v>112</v>
      </c>
      <c r="R1775" s="30" t="s">
        <v>185</v>
      </c>
      <c r="S1775" s="81">
        <f>HLOOKUP(L1775,データについて!$J$6:$M$18,13,FALSE)</f>
        <v>2</v>
      </c>
      <c r="T1775" s="81">
        <f>HLOOKUP(M1775,データについて!$J$7:$M$18,12,FALSE)</f>
        <v>1</v>
      </c>
      <c r="U1775" s="81">
        <f>HLOOKUP(N1775,データについて!$J$8:$M$18,11,FALSE)</f>
        <v>2</v>
      </c>
      <c r="V1775" s="81">
        <f>HLOOKUP(O1775,データについて!$J$9:$M$18,10,FALSE)</f>
        <v>1</v>
      </c>
      <c r="W1775" s="81">
        <f>HLOOKUP(P1775,データについて!$J$10:$M$18,9,FALSE)</f>
        <v>1</v>
      </c>
      <c r="X1775" s="81">
        <f>HLOOKUP(Q1775,データについて!$J$11:$M$18,8,FALSE)</f>
        <v>1</v>
      </c>
      <c r="Y1775" s="81">
        <f>HLOOKUP(R1775,データについて!$J$12:$M$18,7,FALSE)</f>
        <v>2</v>
      </c>
      <c r="Z1775" s="81">
        <f>HLOOKUP(I1775,データについて!$J$3:$M$18,16,FALSE)</f>
        <v>1</v>
      </c>
      <c r="AA1775" s="81">
        <f>IFERROR(HLOOKUP(J1775,データについて!$J$4:$AH$19,16,FALSE),"")</f>
        <v>6</v>
      </c>
      <c r="AB1775" s="81" t="str">
        <f>IFERROR(HLOOKUP(K1775,データについて!$J$5:$AH$20,14,FALSE),"")</f>
        <v/>
      </c>
      <c r="AC1775" s="81">
        <f>IF(X1775=1,HLOOKUP(R1775,データについて!$J$12:$M$18,7,FALSE),"*")</f>
        <v>2</v>
      </c>
      <c r="AD1775" s="81" t="str">
        <f>IF(X1775=2,HLOOKUP(R1775,データについて!$J$12:$M$18,7,FALSE),"*")</f>
        <v>*</v>
      </c>
    </row>
    <row r="1776" spans="1:30">
      <c r="A1776" s="30">
        <v>3416</v>
      </c>
      <c r="B1776" s="30" t="s">
        <v>1647</v>
      </c>
      <c r="C1776" s="30" t="s">
        <v>1648</v>
      </c>
      <c r="D1776" s="30" t="s">
        <v>106</v>
      </c>
      <c r="E1776" s="30"/>
      <c r="F1776" s="30" t="s">
        <v>107</v>
      </c>
      <c r="G1776" s="30" t="s">
        <v>106</v>
      </c>
      <c r="H1776" s="30"/>
      <c r="I1776" s="30" t="s">
        <v>192</v>
      </c>
      <c r="J1776" s="30" t="s">
        <v>125</v>
      </c>
      <c r="K1776" s="30"/>
      <c r="L1776" s="30" t="s">
        <v>108</v>
      </c>
      <c r="M1776" s="30" t="s">
        <v>109</v>
      </c>
      <c r="N1776" s="30" t="s">
        <v>114</v>
      </c>
      <c r="O1776" s="30" t="s">
        <v>115</v>
      </c>
      <c r="P1776" s="30" t="s">
        <v>112</v>
      </c>
      <c r="Q1776" s="30" t="s">
        <v>118</v>
      </c>
      <c r="R1776" s="30" t="s">
        <v>183</v>
      </c>
      <c r="S1776" s="81">
        <f>HLOOKUP(L1776,データについて!$J$6:$M$18,13,FALSE)</f>
        <v>1</v>
      </c>
      <c r="T1776" s="81">
        <f>HLOOKUP(M1776,データについて!$J$7:$M$18,12,FALSE)</f>
        <v>2</v>
      </c>
      <c r="U1776" s="81">
        <f>HLOOKUP(N1776,データについて!$J$8:$M$18,11,FALSE)</f>
        <v>1</v>
      </c>
      <c r="V1776" s="81">
        <f>HLOOKUP(O1776,データについて!$J$9:$M$18,10,FALSE)</f>
        <v>1</v>
      </c>
      <c r="W1776" s="81">
        <f>HLOOKUP(P1776,データについて!$J$10:$M$18,9,FALSE)</f>
        <v>1</v>
      </c>
      <c r="X1776" s="81">
        <f>HLOOKUP(Q1776,データについて!$J$11:$M$18,8,FALSE)</f>
        <v>2</v>
      </c>
      <c r="Y1776" s="81">
        <f>HLOOKUP(R1776,データについて!$J$12:$M$18,7,FALSE)</f>
        <v>1</v>
      </c>
      <c r="Z1776" s="81">
        <f>HLOOKUP(I1776,データについて!$J$3:$M$18,16,FALSE)</f>
        <v>1</v>
      </c>
      <c r="AA1776" s="81">
        <f>IFERROR(HLOOKUP(J1776,データについて!$J$4:$AH$19,16,FALSE),"")</f>
        <v>6</v>
      </c>
      <c r="AB1776" s="81" t="str">
        <f>IFERROR(HLOOKUP(K1776,データについて!$J$5:$AH$20,14,FALSE),"")</f>
        <v/>
      </c>
      <c r="AC1776" s="81" t="str">
        <f>IF(X1776=1,HLOOKUP(R1776,データについて!$J$12:$M$18,7,FALSE),"*")</f>
        <v>*</v>
      </c>
      <c r="AD1776" s="81">
        <f>IF(X1776=2,HLOOKUP(R1776,データについて!$J$12:$M$18,7,FALSE),"*")</f>
        <v>1</v>
      </c>
    </row>
    <row r="1777" spans="1:30">
      <c r="A1777" s="30">
        <v>3415</v>
      </c>
      <c r="B1777" s="30" t="s">
        <v>1649</v>
      </c>
      <c r="C1777" s="30" t="s">
        <v>1650</v>
      </c>
      <c r="D1777" s="30" t="s">
        <v>106</v>
      </c>
      <c r="E1777" s="30"/>
      <c r="F1777" s="30" t="s">
        <v>107</v>
      </c>
      <c r="G1777" s="30" t="s">
        <v>106</v>
      </c>
      <c r="H1777" s="30"/>
      <c r="I1777" s="30" t="s">
        <v>192</v>
      </c>
      <c r="J1777" s="30" t="s">
        <v>125</v>
      </c>
      <c r="K1777" s="30"/>
      <c r="L1777" s="30" t="s">
        <v>108</v>
      </c>
      <c r="M1777" s="30" t="s">
        <v>113</v>
      </c>
      <c r="N1777" s="30" t="s">
        <v>114</v>
      </c>
      <c r="O1777" s="30" t="s">
        <v>115</v>
      </c>
      <c r="P1777" s="30" t="s">
        <v>118</v>
      </c>
      <c r="Q1777" s="30" t="s">
        <v>118</v>
      </c>
      <c r="R1777" s="30" t="s">
        <v>183</v>
      </c>
      <c r="S1777" s="81">
        <f>HLOOKUP(L1777,データについて!$J$6:$M$18,13,FALSE)</f>
        <v>1</v>
      </c>
      <c r="T1777" s="81">
        <f>HLOOKUP(M1777,データについて!$J$7:$M$18,12,FALSE)</f>
        <v>1</v>
      </c>
      <c r="U1777" s="81">
        <f>HLOOKUP(N1777,データについて!$J$8:$M$18,11,FALSE)</f>
        <v>1</v>
      </c>
      <c r="V1777" s="81">
        <f>HLOOKUP(O1777,データについて!$J$9:$M$18,10,FALSE)</f>
        <v>1</v>
      </c>
      <c r="W1777" s="81">
        <f>HLOOKUP(P1777,データについて!$J$10:$M$18,9,FALSE)</f>
        <v>2</v>
      </c>
      <c r="X1777" s="81">
        <f>HLOOKUP(Q1777,データについて!$J$11:$M$18,8,FALSE)</f>
        <v>2</v>
      </c>
      <c r="Y1777" s="81">
        <f>HLOOKUP(R1777,データについて!$J$12:$M$18,7,FALSE)</f>
        <v>1</v>
      </c>
      <c r="Z1777" s="81">
        <f>HLOOKUP(I1777,データについて!$J$3:$M$18,16,FALSE)</f>
        <v>1</v>
      </c>
      <c r="AA1777" s="81">
        <f>IFERROR(HLOOKUP(J1777,データについて!$J$4:$AH$19,16,FALSE),"")</f>
        <v>6</v>
      </c>
      <c r="AB1777" s="81" t="str">
        <f>IFERROR(HLOOKUP(K1777,データについて!$J$5:$AH$20,14,FALSE),"")</f>
        <v/>
      </c>
      <c r="AC1777" s="81" t="str">
        <f>IF(X1777=1,HLOOKUP(R1777,データについて!$J$12:$M$18,7,FALSE),"*")</f>
        <v>*</v>
      </c>
      <c r="AD1777" s="81">
        <f>IF(X1777=2,HLOOKUP(R1777,データについて!$J$12:$M$18,7,FALSE),"*")</f>
        <v>1</v>
      </c>
    </row>
    <row r="1778" spans="1:30">
      <c r="A1778" s="30">
        <v>3414</v>
      </c>
      <c r="B1778" s="30" t="s">
        <v>1651</v>
      </c>
      <c r="C1778" s="30" t="s">
        <v>1652</v>
      </c>
      <c r="D1778" s="30" t="s">
        <v>106</v>
      </c>
      <c r="E1778" s="30"/>
      <c r="F1778" s="30" t="s">
        <v>107</v>
      </c>
      <c r="G1778" s="30" t="s">
        <v>106</v>
      </c>
      <c r="H1778" s="30"/>
      <c r="I1778" s="30" t="s">
        <v>192</v>
      </c>
      <c r="J1778" s="30" t="s">
        <v>125</v>
      </c>
      <c r="K1778" s="30"/>
      <c r="L1778" s="30" t="s">
        <v>108</v>
      </c>
      <c r="M1778" s="30" t="s">
        <v>113</v>
      </c>
      <c r="N1778" s="30" t="s">
        <v>114</v>
      </c>
      <c r="O1778" s="30" t="s">
        <v>115</v>
      </c>
      <c r="P1778" s="30" t="s">
        <v>112</v>
      </c>
      <c r="Q1778" s="30" t="s">
        <v>112</v>
      </c>
      <c r="R1778" s="30" t="s">
        <v>189</v>
      </c>
      <c r="S1778" s="81">
        <f>HLOOKUP(L1778,データについて!$J$6:$M$18,13,FALSE)</f>
        <v>1</v>
      </c>
      <c r="T1778" s="81">
        <f>HLOOKUP(M1778,データについて!$J$7:$M$18,12,FALSE)</f>
        <v>1</v>
      </c>
      <c r="U1778" s="81">
        <f>HLOOKUP(N1778,データについて!$J$8:$M$18,11,FALSE)</f>
        <v>1</v>
      </c>
      <c r="V1778" s="81">
        <f>HLOOKUP(O1778,データについて!$J$9:$M$18,10,FALSE)</f>
        <v>1</v>
      </c>
      <c r="W1778" s="81">
        <f>HLOOKUP(P1778,データについて!$J$10:$M$18,9,FALSE)</f>
        <v>1</v>
      </c>
      <c r="X1778" s="81">
        <f>HLOOKUP(Q1778,データについて!$J$11:$M$18,8,FALSE)</f>
        <v>1</v>
      </c>
      <c r="Y1778" s="81">
        <f>HLOOKUP(R1778,データについて!$J$12:$M$18,7,FALSE)</f>
        <v>4</v>
      </c>
      <c r="Z1778" s="81">
        <f>HLOOKUP(I1778,データについて!$J$3:$M$18,16,FALSE)</f>
        <v>1</v>
      </c>
      <c r="AA1778" s="81">
        <f>IFERROR(HLOOKUP(J1778,データについて!$J$4:$AH$19,16,FALSE),"")</f>
        <v>6</v>
      </c>
      <c r="AB1778" s="81" t="str">
        <f>IFERROR(HLOOKUP(K1778,データについて!$J$5:$AH$20,14,FALSE),"")</f>
        <v/>
      </c>
      <c r="AC1778" s="81">
        <f>IF(X1778=1,HLOOKUP(R1778,データについて!$J$12:$M$18,7,FALSE),"*")</f>
        <v>4</v>
      </c>
      <c r="AD1778" s="81" t="str">
        <f>IF(X1778=2,HLOOKUP(R1778,データについて!$J$12:$M$18,7,FALSE),"*")</f>
        <v>*</v>
      </c>
    </row>
    <row r="1779" spans="1:30">
      <c r="A1779" s="30">
        <v>3413</v>
      </c>
      <c r="B1779" s="30" t="s">
        <v>1653</v>
      </c>
      <c r="C1779" s="30" t="s">
        <v>1654</v>
      </c>
      <c r="D1779" s="30" t="s">
        <v>106</v>
      </c>
      <c r="E1779" s="30"/>
      <c r="F1779" s="30" t="s">
        <v>107</v>
      </c>
      <c r="G1779" s="30" t="s">
        <v>106</v>
      </c>
      <c r="H1779" s="30"/>
      <c r="I1779" s="30" t="s">
        <v>192</v>
      </c>
      <c r="J1779" s="30" t="s">
        <v>125</v>
      </c>
      <c r="K1779" s="30"/>
      <c r="L1779" s="30" t="s">
        <v>117</v>
      </c>
      <c r="M1779" s="30" t="s">
        <v>109</v>
      </c>
      <c r="N1779" s="30" t="s">
        <v>114</v>
      </c>
      <c r="O1779" s="30" t="s">
        <v>115</v>
      </c>
      <c r="P1779" s="30" t="s">
        <v>118</v>
      </c>
      <c r="Q1779" s="30" t="s">
        <v>112</v>
      </c>
      <c r="R1779" s="30" t="s">
        <v>183</v>
      </c>
      <c r="S1779" s="81">
        <f>HLOOKUP(L1779,データについて!$J$6:$M$18,13,FALSE)</f>
        <v>2</v>
      </c>
      <c r="T1779" s="81">
        <f>HLOOKUP(M1779,データについて!$J$7:$M$18,12,FALSE)</f>
        <v>2</v>
      </c>
      <c r="U1779" s="81">
        <f>HLOOKUP(N1779,データについて!$J$8:$M$18,11,FALSE)</f>
        <v>1</v>
      </c>
      <c r="V1779" s="81">
        <f>HLOOKUP(O1779,データについて!$J$9:$M$18,10,FALSE)</f>
        <v>1</v>
      </c>
      <c r="W1779" s="81">
        <f>HLOOKUP(P1779,データについて!$J$10:$M$18,9,FALSE)</f>
        <v>2</v>
      </c>
      <c r="X1779" s="81">
        <f>HLOOKUP(Q1779,データについて!$J$11:$M$18,8,FALSE)</f>
        <v>1</v>
      </c>
      <c r="Y1779" s="81">
        <f>HLOOKUP(R1779,データについて!$J$12:$M$18,7,FALSE)</f>
        <v>1</v>
      </c>
      <c r="Z1779" s="81">
        <f>HLOOKUP(I1779,データについて!$J$3:$M$18,16,FALSE)</f>
        <v>1</v>
      </c>
      <c r="AA1779" s="81">
        <f>IFERROR(HLOOKUP(J1779,データについて!$J$4:$AH$19,16,FALSE),"")</f>
        <v>6</v>
      </c>
      <c r="AB1779" s="81" t="str">
        <f>IFERROR(HLOOKUP(K1779,データについて!$J$5:$AH$20,14,FALSE),"")</f>
        <v/>
      </c>
      <c r="AC1779" s="81">
        <f>IF(X1779=1,HLOOKUP(R1779,データについて!$J$12:$M$18,7,FALSE),"*")</f>
        <v>1</v>
      </c>
      <c r="AD1779" s="81" t="str">
        <f>IF(X1779=2,HLOOKUP(R1779,データについて!$J$12:$M$18,7,FALSE),"*")</f>
        <v>*</v>
      </c>
    </row>
    <row r="1780" spans="1:30">
      <c r="A1780" s="30">
        <v>3412</v>
      </c>
      <c r="B1780" s="30" t="s">
        <v>1655</v>
      </c>
      <c r="C1780" s="30" t="s">
        <v>1656</v>
      </c>
      <c r="D1780" s="30" t="s">
        <v>106</v>
      </c>
      <c r="E1780" s="30"/>
      <c r="F1780" s="30" t="s">
        <v>107</v>
      </c>
      <c r="G1780" s="30" t="s">
        <v>106</v>
      </c>
      <c r="H1780" s="30"/>
      <c r="I1780" s="30" t="s">
        <v>192</v>
      </c>
      <c r="J1780" s="30" t="s">
        <v>125</v>
      </c>
      <c r="K1780" s="30"/>
      <c r="L1780" s="30" t="s">
        <v>108</v>
      </c>
      <c r="M1780" s="30" t="s">
        <v>109</v>
      </c>
      <c r="N1780" s="30" t="s">
        <v>114</v>
      </c>
      <c r="O1780" s="30" t="s">
        <v>115</v>
      </c>
      <c r="P1780" s="30" t="s">
        <v>112</v>
      </c>
      <c r="Q1780" s="30" t="s">
        <v>118</v>
      </c>
      <c r="R1780" s="30" t="s">
        <v>185</v>
      </c>
      <c r="S1780" s="81">
        <f>HLOOKUP(L1780,データについて!$J$6:$M$18,13,FALSE)</f>
        <v>1</v>
      </c>
      <c r="T1780" s="81">
        <f>HLOOKUP(M1780,データについて!$J$7:$M$18,12,FALSE)</f>
        <v>2</v>
      </c>
      <c r="U1780" s="81">
        <f>HLOOKUP(N1780,データについて!$J$8:$M$18,11,FALSE)</f>
        <v>1</v>
      </c>
      <c r="V1780" s="81">
        <f>HLOOKUP(O1780,データについて!$J$9:$M$18,10,FALSE)</f>
        <v>1</v>
      </c>
      <c r="W1780" s="81">
        <f>HLOOKUP(P1780,データについて!$J$10:$M$18,9,FALSE)</f>
        <v>1</v>
      </c>
      <c r="X1780" s="81">
        <f>HLOOKUP(Q1780,データについて!$J$11:$M$18,8,FALSE)</f>
        <v>2</v>
      </c>
      <c r="Y1780" s="81">
        <f>HLOOKUP(R1780,データについて!$J$12:$M$18,7,FALSE)</f>
        <v>2</v>
      </c>
      <c r="Z1780" s="81">
        <f>HLOOKUP(I1780,データについて!$J$3:$M$18,16,FALSE)</f>
        <v>1</v>
      </c>
      <c r="AA1780" s="81">
        <f>IFERROR(HLOOKUP(J1780,データについて!$J$4:$AH$19,16,FALSE),"")</f>
        <v>6</v>
      </c>
      <c r="AB1780" s="81" t="str">
        <f>IFERROR(HLOOKUP(K1780,データについて!$J$5:$AH$20,14,FALSE),"")</f>
        <v/>
      </c>
      <c r="AC1780" s="81" t="str">
        <f>IF(X1780=1,HLOOKUP(R1780,データについて!$J$12:$M$18,7,FALSE),"*")</f>
        <v>*</v>
      </c>
      <c r="AD1780" s="81">
        <f>IF(X1780=2,HLOOKUP(R1780,データについて!$J$12:$M$18,7,FALSE),"*")</f>
        <v>2</v>
      </c>
    </row>
    <row r="1781" spans="1:30">
      <c r="A1781" s="30">
        <v>3411</v>
      </c>
      <c r="B1781" s="30" t="s">
        <v>1657</v>
      </c>
      <c r="C1781" s="30" t="s">
        <v>1658</v>
      </c>
      <c r="D1781" s="30" t="s">
        <v>106</v>
      </c>
      <c r="E1781" s="30"/>
      <c r="F1781" s="30" t="s">
        <v>107</v>
      </c>
      <c r="G1781" s="30" t="s">
        <v>106</v>
      </c>
      <c r="H1781" s="30"/>
      <c r="I1781" s="30" t="s">
        <v>192</v>
      </c>
      <c r="J1781" s="30" t="s">
        <v>125</v>
      </c>
      <c r="K1781" s="30"/>
      <c r="L1781" s="30" t="s">
        <v>108</v>
      </c>
      <c r="M1781" s="30" t="s">
        <v>113</v>
      </c>
      <c r="N1781" s="30" t="s">
        <v>114</v>
      </c>
      <c r="O1781" s="30" t="s">
        <v>115</v>
      </c>
      <c r="P1781" s="30" t="s">
        <v>112</v>
      </c>
      <c r="Q1781" s="30" t="s">
        <v>112</v>
      </c>
      <c r="R1781" s="30" t="s">
        <v>183</v>
      </c>
      <c r="S1781" s="81">
        <f>HLOOKUP(L1781,データについて!$J$6:$M$18,13,FALSE)</f>
        <v>1</v>
      </c>
      <c r="T1781" s="81">
        <f>HLOOKUP(M1781,データについて!$J$7:$M$18,12,FALSE)</f>
        <v>1</v>
      </c>
      <c r="U1781" s="81">
        <f>HLOOKUP(N1781,データについて!$J$8:$M$18,11,FALSE)</f>
        <v>1</v>
      </c>
      <c r="V1781" s="81">
        <f>HLOOKUP(O1781,データについて!$J$9:$M$18,10,FALSE)</f>
        <v>1</v>
      </c>
      <c r="W1781" s="81">
        <f>HLOOKUP(P1781,データについて!$J$10:$M$18,9,FALSE)</f>
        <v>1</v>
      </c>
      <c r="X1781" s="81">
        <f>HLOOKUP(Q1781,データについて!$J$11:$M$18,8,FALSE)</f>
        <v>1</v>
      </c>
      <c r="Y1781" s="81">
        <f>HLOOKUP(R1781,データについて!$J$12:$M$18,7,FALSE)</f>
        <v>1</v>
      </c>
      <c r="Z1781" s="81">
        <f>HLOOKUP(I1781,データについて!$J$3:$M$18,16,FALSE)</f>
        <v>1</v>
      </c>
      <c r="AA1781" s="81">
        <f>IFERROR(HLOOKUP(J1781,データについて!$J$4:$AH$19,16,FALSE),"")</f>
        <v>6</v>
      </c>
      <c r="AB1781" s="81" t="str">
        <f>IFERROR(HLOOKUP(K1781,データについて!$J$5:$AH$20,14,FALSE),"")</f>
        <v/>
      </c>
      <c r="AC1781" s="81">
        <f>IF(X1781=1,HLOOKUP(R1781,データについて!$J$12:$M$18,7,FALSE),"*")</f>
        <v>1</v>
      </c>
      <c r="AD1781" s="81" t="str">
        <f>IF(X1781=2,HLOOKUP(R1781,データについて!$J$12:$M$18,7,FALSE),"*")</f>
        <v>*</v>
      </c>
    </row>
    <row r="1782" spans="1:30">
      <c r="A1782" s="30">
        <v>3410</v>
      </c>
      <c r="B1782" s="30" t="s">
        <v>1659</v>
      </c>
      <c r="C1782" s="30" t="s">
        <v>1660</v>
      </c>
      <c r="D1782" s="30" t="s">
        <v>106</v>
      </c>
      <c r="E1782" s="30"/>
      <c r="F1782" s="30" t="s">
        <v>107</v>
      </c>
      <c r="G1782" s="30" t="s">
        <v>106</v>
      </c>
      <c r="H1782" s="30"/>
      <c r="I1782" s="30" t="s">
        <v>192</v>
      </c>
      <c r="J1782" s="30" t="s">
        <v>125</v>
      </c>
      <c r="K1782" s="30"/>
      <c r="L1782" s="30" t="s">
        <v>108</v>
      </c>
      <c r="M1782" s="30" t="s">
        <v>113</v>
      </c>
      <c r="N1782" s="30" t="s">
        <v>114</v>
      </c>
      <c r="O1782" s="30" t="s">
        <v>115</v>
      </c>
      <c r="P1782" s="30" t="s">
        <v>118</v>
      </c>
      <c r="Q1782" s="30" t="s">
        <v>118</v>
      </c>
      <c r="R1782" s="30" t="s">
        <v>183</v>
      </c>
      <c r="S1782" s="81">
        <f>HLOOKUP(L1782,データについて!$J$6:$M$18,13,FALSE)</f>
        <v>1</v>
      </c>
      <c r="T1782" s="81">
        <f>HLOOKUP(M1782,データについて!$J$7:$M$18,12,FALSE)</f>
        <v>1</v>
      </c>
      <c r="U1782" s="81">
        <f>HLOOKUP(N1782,データについて!$J$8:$M$18,11,FALSE)</f>
        <v>1</v>
      </c>
      <c r="V1782" s="81">
        <f>HLOOKUP(O1782,データについて!$J$9:$M$18,10,FALSE)</f>
        <v>1</v>
      </c>
      <c r="W1782" s="81">
        <f>HLOOKUP(P1782,データについて!$J$10:$M$18,9,FALSE)</f>
        <v>2</v>
      </c>
      <c r="X1782" s="81">
        <f>HLOOKUP(Q1782,データについて!$J$11:$M$18,8,FALSE)</f>
        <v>2</v>
      </c>
      <c r="Y1782" s="81">
        <f>HLOOKUP(R1782,データについて!$J$12:$M$18,7,FALSE)</f>
        <v>1</v>
      </c>
      <c r="Z1782" s="81">
        <f>HLOOKUP(I1782,データについて!$J$3:$M$18,16,FALSE)</f>
        <v>1</v>
      </c>
      <c r="AA1782" s="81">
        <f>IFERROR(HLOOKUP(J1782,データについて!$J$4:$AH$19,16,FALSE),"")</f>
        <v>6</v>
      </c>
      <c r="AB1782" s="81" t="str">
        <f>IFERROR(HLOOKUP(K1782,データについて!$J$5:$AH$20,14,FALSE),"")</f>
        <v/>
      </c>
      <c r="AC1782" s="81" t="str">
        <f>IF(X1782=1,HLOOKUP(R1782,データについて!$J$12:$M$18,7,FALSE),"*")</f>
        <v>*</v>
      </c>
      <c r="AD1782" s="81">
        <f>IF(X1782=2,HLOOKUP(R1782,データについて!$J$12:$M$18,7,FALSE),"*")</f>
        <v>1</v>
      </c>
    </row>
    <row r="1783" spans="1:30">
      <c r="A1783" s="30">
        <v>3409</v>
      </c>
      <c r="B1783" s="30" t="s">
        <v>1661</v>
      </c>
      <c r="C1783" s="30" t="s">
        <v>1662</v>
      </c>
      <c r="D1783" s="30" t="s">
        <v>106</v>
      </c>
      <c r="E1783" s="30"/>
      <c r="F1783" s="30" t="s">
        <v>107</v>
      </c>
      <c r="G1783" s="30" t="s">
        <v>106</v>
      </c>
      <c r="H1783" s="30"/>
      <c r="I1783" s="30" t="s">
        <v>192</v>
      </c>
      <c r="J1783" s="30" t="s">
        <v>125</v>
      </c>
      <c r="K1783" s="30"/>
      <c r="L1783" s="30" t="s">
        <v>117</v>
      </c>
      <c r="M1783" s="30" t="s">
        <v>113</v>
      </c>
      <c r="N1783" s="30" t="s">
        <v>110</v>
      </c>
      <c r="O1783" s="30" t="s">
        <v>115</v>
      </c>
      <c r="P1783" s="30" t="s">
        <v>112</v>
      </c>
      <c r="Q1783" s="30" t="s">
        <v>112</v>
      </c>
      <c r="R1783" s="30" t="s">
        <v>185</v>
      </c>
      <c r="S1783" s="81">
        <f>HLOOKUP(L1783,データについて!$J$6:$M$18,13,FALSE)</f>
        <v>2</v>
      </c>
      <c r="T1783" s="81">
        <f>HLOOKUP(M1783,データについて!$J$7:$M$18,12,FALSE)</f>
        <v>1</v>
      </c>
      <c r="U1783" s="81">
        <f>HLOOKUP(N1783,データについて!$J$8:$M$18,11,FALSE)</f>
        <v>2</v>
      </c>
      <c r="V1783" s="81">
        <f>HLOOKUP(O1783,データについて!$J$9:$M$18,10,FALSE)</f>
        <v>1</v>
      </c>
      <c r="W1783" s="81">
        <f>HLOOKUP(P1783,データについて!$J$10:$M$18,9,FALSE)</f>
        <v>1</v>
      </c>
      <c r="X1783" s="81">
        <f>HLOOKUP(Q1783,データについて!$J$11:$M$18,8,FALSE)</f>
        <v>1</v>
      </c>
      <c r="Y1783" s="81">
        <f>HLOOKUP(R1783,データについて!$J$12:$M$18,7,FALSE)</f>
        <v>2</v>
      </c>
      <c r="Z1783" s="81">
        <f>HLOOKUP(I1783,データについて!$J$3:$M$18,16,FALSE)</f>
        <v>1</v>
      </c>
      <c r="AA1783" s="81">
        <f>IFERROR(HLOOKUP(J1783,データについて!$J$4:$AH$19,16,FALSE),"")</f>
        <v>6</v>
      </c>
      <c r="AB1783" s="81" t="str">
        <f>IFERROR(HLOOKUP(K1783,データについて!$J$5:$AH$20,14,FALSE),"")</f>
        <v/>
      </c>
      <c r="AC1783" s="81">
        <f>IF(X1783=1,HLOOKUP(R1783,データについて!$J$12:$M$18,7,FALSE),"*")</f>
        <v>2</v>
      </c>
      <c r="AD1783" s="81" t="str">
        <f>IF(X1783=2,HLOOKUP(R1783,データについて!$J$12:$M$18,7,FALSE),"*")</f>
        <v>*</v>
      </c>
    </row>
    <row r="1784" spans="1:30">
      <c r="A1784" s="30">
        <v>3408</v>
      </c>
      <c r="B1784" s="30" t="s">
        <v>1663</v>
      </c>
      <c r="C1784" s="30" t="s">
        <v>1664</v>
      </c>
      <c r="D1784" s="30" t="s">
        <v>106</v>
      </c>
      <c r="E1784" s="30"/>
      <c r="F1784" s="30" t="s">
        <v>107</v>
      </c>
      <c r="G1784" s="30" t="s">
        <v>106</v>
      </c>
      <c r="H1784" s="30"/>
      <c r="I1784" s="30" t="s">
        <v>192</v>
      </c>
      <c r="J1784" s="30" t="s">
        <v>125</v>
      </c>
      <c r="K1784" s="30"/>
      <c r="L1784" s="30" t="s">
        <v>117</v>
      </c>
      <c r="M1784" s="30" t="s">
        <v>113</v>
      </c>
      <c r="N1784" s="30" t="s">
        <v>110</v>
      </c>
      <c r="O1784" s="30" t="s">
        <v>115</v>
      </c>
      <c r="P1784" s="30" t="s">
        <v>112</v>
      </c>
      <c r="Q1784" s="30" t="s">
        <v>112</v>
      </c>
      <c r="R1784" s="30" t="s">
        <v>183</v>
      </c>
      <c r="S1784" s="81">
        <f>HLOOKUP(L1784,データについて!$J$6:$M$18,13,FALSE)</f>
        <v>2</v>
      </c>
      <c r="T1784" s="81">
        <f>HLOOKUP(M1784,データについて!$J$7:$M$18,12,FALSE)</f>
        <v>1</v>
      </c>
      <c r="U1784" s="81">
        <f>HLOOKUP(N1784,データについて!$J$8:$M$18,11,FALSE)</f>
        <v>2</v>
      </c>
      <c r="V1784" s="81">
        <f>HLOOKUP(O1784,データについて!$J$9:$M$18,10,FALSE)</f>
        <v>1</v>
      </c>
      <c r="W1784" s="81">
        <f>HLOOKUP(P1784,データについて!$J$10:$M$18,9,FALSE)</f>
        <v>1</v>
      </c>
      <c r="X1784" s="81">
        <f>HLOOKUP(Q1784,データについて!$J$11:$M$18,8,FALSE)</f>
        <v>1</v>
      </c>
      <c r="Y1784" s="81">
        <f>HLOOKUP(R1784,データについて!$J$12:$M$18,7,FALSE)</f>
        <v>1</v>
      </c>
      <c r="Z1784" s="81">
        <f>HLOOKUP(I1784,データについて!$J$3:$M$18,16,FALSE)</f>
        <v>1</v>
      </c>
      <c r="AA1784" s="81">
        <f>IFERROR(HLOOKUP(J1784,データについて!$J$4:$AH$19,16,FALSE),"")</f>
        <v>6</v>
      </c>
      <c r="AB1784" s="81" t="str">
        <f>IFERROR(HLOOKUP(K1784,データについて!$J$5:$AH$20,14,FALSE),"")</f>
        <v/>
      </c>
      <c r="AC1784" s="81">
        <f>IF(X1784=1,HLOOKUP(R1784,データについて!$J$12:$M$18,7,FALSE),"*")</f>
        <v>1</v>
      </c>
      <c r="AD1784" s="81" t="str">
        <f>IF(X1784=2,HLOOKUP(R1784,データについて!$J$12:$M$18,7,FALSE),"*")</f>
        <v>*</v>
      </c>
    </row>
    <row r="1785" spans="1:30">
      <c r="A1785" s="30">
        <v>3407</v>
      </c>
      <c r="B1785" s="30" t="s">
        <v>1665</v>
      </c>
      <c r="C1785" s="30" t="s">
        <v>1666</v>
      </c>
      <c r="D1785" s="30" t="s">
        <v>106</v>
      </c>
      <c r="E1785" s="30"/>
      <c r="F1785" s="30" t="s">
        <v>107</v>
      </c>
      <c r="G1785" s="30" t="s">
        <v>106</v>
      </c>
      <c r="H1785" s="30"/>
      <c r="I1785" s="30" t="s">
        <v>191</v>
      </c>
      <c r="J1785" s="30"/>
      <c r="K1785" s="30" t="s">
        <v>949</v>
      </c>
      <c r="L1785" s="30" t="s">
        <v>108</v>
      </c>
      <c r="M1785" s="30" t="s">
        <v>113</v>
      </c>
      <c r="N1785" s="30" t="s">
        <v>114</v>
      </c>
      <c r="O1785" s="30" t="s">
        <v>115</v>
      </c>
      <c r="P1785" s="30" t="s">
        <v>112</v>
      </c>
      <c r="Q1785" s="30" t="s">
        <v>118</v>
      </c>
      <c r="R1785" s="30" t="s">
        <v>185</v>
      </c>
      <c r="S1785" s="81">
        <f>HLOOKUP(L1785,データについて!$J$6:$M$18,13,FALSE)</f>
        <v>1</v>
      </c>
      <c r="T1785" s="81">
        <f>HLOOKUP(M1785,データについて!$J$7:$M$18,12,FALSE)</f>
        <v>1</v>
      </c>
      <c r="U1785" s="81">
        <f>HLOOKUP(N1785,データについて!$J$8:$M$18,11,FALSE)</f>
        <v>1</v>
      </c>
      <c r="V1785" s="81">
        <f>HLOOKUP(O1785,データについて!$J$9:$M$18,10,FALSE)</f>
        <v>1</v>
      </c>
      <c r="W1785" s="81">
        <f>HLOOKUP(P1785,データについて!$J$10:$M$18,9,FALSE)</f>
        <v>1</v>
      </c>
      <c r="X1785" s="81">
        <f>HLOOKUP(Q1785,データについて!$J$11:$M$18,8,FALSE)</f>
        <v>2</v>
      </c>
      <c r="Y1785" s="81">
        <f>HLOOKUP(R1785,データについて!$J$12:$M$18,7,FALSE)</f>
        <v>2</v>
      </c>
      <c r="Z1785" s="81">
        <f>HLOOKUP(I1785,データについて!$J$3:$M$18,16,FALSE)</f>
        <v>2</v>
      </c>
      <c r="AA1785" s="81" t="str">
        <f>IFERROR(HLOOKUP(J1785,データについて!$J$4:$AH$19,16,FALSE),"")</f>
        <v/>
      </c>
      <c r="AB1785" s="81">
        <f>IFERROR(HLOOKUP(K1785,データについて!$J$5:$AH$20,14,FALSE),"")</f>
        <v>0</v>
      </c>
      <c r="AC1785" s="81" t="str">
        <f>IF(X1785=1,HLOOKUP(R1785,データについて!$J$12:$M$18,7,FALSE),"*")</f>
        <v>*</v>
      </c>
      <c r="AD1785" s="81">
        <f>IF(X1785=2,HLOOKUP(R1785,データについて!$J$12:$M$18,7,FALSE),"*")</f>
        <v>2</v>
      </c>
    </row>
    <row r="1786" spans="1:30">
      <c r="A1786" s="30">
        <v>3406</v>
      </c>
      <c r="B1786" s="30" t="s">
        <v>1667</v>
      </c>
      <c r="C1786" s="30" t="s">
        <v>1668</v>
      </c>
      <c r="D1786" s="30" t="s">
        <v>106</v>
      </c>
      <c r="E1786" s="30"/>
      <c r="F1786" s="30" t="s">
        <v>107</v>
      </c>
      <c r="G1786" s="30" t="s">
        <v>106</v>
      </c>
      <c r="H1786" s="30"/>
      <c r="I1786" s="30" t="s">
        <v>192</v>
      </c>
      <c r="J1786" s="30" t="s">
        <v>125</v>
      </c>
      <c r="K1786" s="30"/>
      <c r="L1786" s="30" t="s">
        <v>117</v>
      </c>
      <c r="M1786" s="30" t="s">
        <v>109</v>
      </c>
      <c r="N1786" s="30" t="s">
        <v>114</v>
      </c>
      <c r="O1786" s="30" t="s">
        <v>115</v>
      </c>
      <c r="P1786" s="30" t="s">
        <v>112</v>
      </c>
      <c r="Q1786" s="30" t="s">
        <v>112</v>
      </c>
      <c r="R1786" s="30" t="s">
        <v>183</v>
      </c>
      <c r="S1786" s="81">
        <f>HLOOKUP(L1786,データについて!$J$6:$M$18,13,FALSE)</f>
        <v>2</v>
      </c>
      <c r="T1786" s="81">
        <f>HLOOKUP(M1786,データについて!$J$7:$M$18,12,FALSE)</f>
        <v>2</v>
      </c>
      <c r="U1786" s="81">
        <f>HLOOKUP(N1786,データについて!$J$8:$M$18,11,FALSE)</f>
        <v>1</v>
      </c>
      <c r="V1786" s="81">
        <f>HLOOKUP(O1786,データについて!$J$9:$M$18,10,FALSE)</f>
        <v>1</v>
      </c>
      <c r="W1786" s="81">
        <f>HLOOKUP(P1786,データについて!$J$10:$M$18,9,FALSE)</f>
        <v>1</v>
      </c>
      <c r="X1786" s="81">
        <f>HLOOKUP(Q1786,データについて!$J$11:$M$18,8,FALSE)</f>
        <v>1</v>
      </c>
      <c r="Y1786" s="81">
        <f>HLOOKUP(R1786,データについて!$J$12:$M$18,7,FALSE)</f>
        <v>1</v>
      </c>
      <c r="Z1786" s="81">
        <f>HLOOKUP(I1786,データについて!$J$3:$M$18,16,FALSE)</f>
        <v>1</v>
      </c>
      <c r="AA1786" s="81">
        <f>IFERROR(HLOOKUP(J1786,データについて!$J$4:$AH$19,16,FALSE),"")</f>
        <v>6</v>
      </c>
      <c r="AB1786" s="81" t="str">
        <f>IFERROR(HLOOKUP(K1786,データについて!$J$5:$AH$20,14,FALSE),"")</f>
        <v/>
      </c>
      <c r="AC1786" s="81">
        <f>IF(X1786=1,HLOOKUP(R1786,データについて!$J$12:$M$18,7,FALSE),"*")</f>
        <v>1</v>
      </c>
      <c r="AD1786" s="81" t="str">
        <f>IF(X1786=2,HLOOKUP(R1786,データについて!$J$12:$M$18,7,FALSE),"*")</f>
        <v>*</v>
      </c>
    </row>
    <row r="1787" spans="1:30">
      <c r="A1787" s="30">
        <v>3405</v>
      </c>
      <c r="B1787" s="30" t="s">
        <v>1669</v>
      </c>
      <c r="C1787" s="30" t="s">
        <v>1670</v>
      </c>
      <c r="D1787" s="30" t="s">
        <v>106</v>
      </c>
      <c r="E1787" s="30"/>
      <c r="F1787" s="30" t="s">
        <v>107</v>
      </c>
      <c r="G1787" s="30" t="s">
        <v>106</v>
      </c>
      <c r="H1787" s="30"/>
      <c r="I1787" s="30" t="s">
        <v>192</v>
      </c>
      <c r="J1787" s="30" t="s">
        <v>125</v>
      </c>
      <c r="K1787" s="30"/>
      <c r="L1787" s="30" t="s">
        <v>108</v>
      </c>
      <c r="M1787" s="30" t="s">
        <v>124</v>
      </c>
      <c r="N1787" s="30" t="s">
        <v>110</v>
      </c>
      <c r="O1787" s="30" t="s">
        <v>115</v>
      </c>
      <c r="P1787" s="30" t="s">
        <v>112</v>
      </c>
      <c r="Q1787" s="30" t="s">
        <v>118</v>
      </c>
      <c r="R1787" s="30" t="s">
        <v>185</v>
      </c>
      <c r="S1787" s="81">
        <f>HLOOKUP(L1787,データについて!$J$6:$M$18,13,FALSE)</f>
        <v>1</v>
      </c>
      <c r="T1787" s="81">
        <f>HLOOKUP(M1787,データについて!$J$7:$M$18,12,FALSE)</f>
        <v>3</v>
      </c>
      <c r="U1787" s="81">
        <f>HLOOKUP(N1787,データについて!$J$8:$M$18,11,FALSE)</f>
        <v>2</v>
      </c>
      <c r="V1787" s="81">
        <f>HLOOKUP(O1787,データについて!$J$9:$M$18,10,FALSE)</f>
        <v>1</v>
      </c>
      <c r="W1787" s="81">
        <f>HLOOKUP(P1787,データについて!$J$10:$M$18,9,FALSE)</f>
        <v>1</v>
      </c>
      <c r="X1787" s="81">
        <f>HLOOKUP(Q1787,データについて!$J$11:$M$18,8,FALSE)</f>
        <v>2</v>
      </c>
      <c r="Y1787" s="81">
        <f>HLOOKUP(R1787,データについて!$J$12:$M$18,7,FALSE)</f>
        <v>2</v>
      </c>
      <c r="Z1787" s="81">
        <f>HLOOKUP(I1787,データについて!$J$3:$M$18,16,FALSE)</f>
        <v>1</v>
      </c>
      <c r="AA1787" s="81">
        <f>IFERROR(HLOOKUP(J1787,データについて!$J$4:$AH$19,16,FALSE),"")</f>
        <v>6</v>
      </c>
      <c r="AB1787" s="81" t="str">
        <f>IFERROR(HLOOKUP(K1787,データについて!$J$5:$AH$20,14,FALSE),"")</f>
        <v/>
      </c>
      <c r="AC1787" s="81" t="str">
        <f>IF(X1787=1,HLOOKUP(R1787,データについて!$J$12:$M$18,7,FALSE),"*")</f>
        <v>*</v>
      </c>
      <c r="AD1787" s="81">
        <f>IF(X1787=2,HLOOKUP(R1787,データについて!$J$12:$M$18,7,FALSE),"*")</f>
        <v>2</v>
      </c>
    </row>
    <row r="1788" spans="1:30">
      <c r="A1788" s="30">
        <v>3404</v>
      </c>
      <c r="B1788" s="30" t="s">
        <v>1671</v>
      </c>
      <c r="C1788" s="30" t="s">
        <v>1672</v>
      </c>
      <c r="D1788" s="30" t="s">
        <v>106</v>
      </c>
      <c r="E1788" s="30"/>
      <c r="F1788" s="30" t="s">
        <v>107</v>
      </c>
      <c r="G1788" s="30" t="s">
        <v>106</v>
      </c>
      <c r="H1788" s="30"/>
      <c r="I1788" s="30" t="s">
        <v>192</v>
      </c>
      <c r="J1788" s="30" t="s">
        <v>125</v>
      </c>
      <c r="K1788" s="30"/>
      <c r="L1788" s="30" t="s">
        <v>117</v>
      </c>
      <c r="M1788" s="30" t="s">
        <v>113</v>
      </c>
      <c r="N1788" s="30" t="s">
        <v>110</v>
      </c>
      <c r="O1788" s="30" t="s">
        <v>115</v>
      </c>
      <c r="P1788" s="30" t="s">
        <v>112</v>
      </c>
      <c r="Q1788" s="30" t="s">
        <v>112</v>
      </c>
      <c r="R1788" s="30" t="s">
        <v>185</v>
      </c>
      <c r="S1788" s="81">
        <f>HLOOKUP(L1788,データについて!$J$6:$M$18,13,FALSE)</f>
        <v>2</v>
      </c>
      <c r="T1788" s="81">
        <f>HLOOKUP(M1788,データについて!$J$7:$M$18,12,FALSE)</f>
        <v>1</v>
      </c>
      <c r="U1788" s="81">
        <f>HLOOKUP(N1788,データについて!$J$8:$M$18,11,FALSE)</f>
        <v>2</v>
      </c>
      <c r="V1788" s="81">
        <f>HLOOKUP(O1788,データについて!$J$9:$M$18,10,FALSE)</f>
        <v>1</v>
      </c>
      <c r="W1788" s="81">
        <f>HLOOKUP(P1788,データについて!$J$10:$M$18,9,FALSE)</f>
        <v>1</v>
      </c>
      <c r="X1788" s="81">
        <f>HLOOKUP(Q1788,データについて!$J$11:$M$18,8,FALSE)</f>
        <v>1</v>
      </c>
      <c r="Y1788" s="81">
        <f>HLOOKUP(R1788,データについて!$J$12:$M$18,7,FALSE)</f>
        <v>2</v>
      </c>
      <c r="Z1788" s="81">
        <f>HLOOKUP(I1788,データについて!$J$3:$M$18,16,FALSE)</f>
        <v>1</v>
      </c>
      <c r="AA1788" s="81">
        <f>IFERROR(HLOOKUP(J1788,データについて!$J$4:$AH$19,16,FALSE),"")</f>
        <v>6</v>
      </c>
      <c r="AB1788" s="81" t="str">
        <f>IFERROR(HLOOKUP(K1788,データについて!$J$5:$AH$20,14,FALSE),"")</f>
        <v/>
      </c>
      <c r="AC1788" s="81">
        <f>IF(X1788=1,HLOOKUP(R1788,データについて!$J$12:$M$18,7,FALSE),"*")</f>
        <v>2</v>
      </c>
      <c r="AD1788" s="81" t="str">
        <f>IF(X1788=2,HLOOKUP(R1788,データについて!$J$12:$M$18,7,FALSE),"*")</f>
        <v>*</v>
      </c>
    </row>
    <row r="1789" spans="1:30">
      <c r="A1789" s="30">
        <v>3403</v>
      </c>
      <c r="B1789" s="30" t="s">
        <v>1673</v>
      </c>
      <c r="C1789" s="30" t="s">
        <v>1674</v>
      </c>
      <c r="D1789" s="30" t="s">
        <v>106</v>
      </c>
      <c r="E1789" s="30"/>
      <c r="F1789" s="30" t="s">
        <v>107</v>
      </c>
      <c r="G1789" s="30" t="s">
        <v>106</v>
      </c>
      <c r="H1789" s="30"/>
      <c r="I1789" s="30" t="s">
        <v>192</v>
      </c>
      <c r="J1789" s="30" t="s">
        <v>125</v>
      </c>
      <c r="K1789" s="30"/>
      <c r="L1789" s="30" t="s">
        <v>117</v>
      </c>
      <c r="M1789" s="30" t="s">
        <v>109</v>
      </c>
      <c r="N1789" s="30" t="s">
        <v>110</v>
      </c>
      <c r="O1789" s="30" t="s">
        <v>115</v>
      </c>
      <c r="P1789" s="30" t="s">
        <v>112</v>
      </c>
      <c r="Q1789" s="30" t="s">
        <v>112</v>
      </c>
      <c r="R1789" s="30" t="s">
        <v>183</v>
      </c>
      <c r="S1789" s="81">
        <f>HLOOKUP(L1789,データについて!$J$6:$M$18,13,FALSE)</f>
        <v>2</v>
      </c>
      <c r="T1789" s="81">
        <f>HLOOKUP(M1789,データについて!$J$7:$M$18,12,FALSE)</f>
        <v>2</v>
      </c>
      <c r="U1789" s="81">
        <f>HLOOKUP(N1789,データについて!$J$8:$M$18,11,FALSE)</f>
        <v>2</v>
      </c>
      <c r="V1789" s="81">
        <f>HLOOKUP(O1789,データについて!$J$9:$M$18,10,FALSE)</f>
        <v>1</v>
      </c>
      <c r="W1789" s="81">
        <f>HLOOKUP(P1789,データについて!$J$10:$M$18,9,FALSE)</f>
        <v>1</v>
      </c>
      <c r="X1789" s="81">
        <f>HLOOKUP(Q1789,データについて!$J$11:$M$18,8,FALSE)</f>
        <v>1</v>
      </c>
      <c r="Y1789" s="81">
        <f>HLOOKUP(R1789,データについて!$J$12:$M$18,7,FALSE)</f>
        <v>1</v>
      </c>
      <c r="Z1789" s="81">
        <f>HLOOKUP(I1789,データについて!$J$3:$M$18,16,FALSE)</f>
        <v>1</v>
      </c>
      <c r="AA1789" s="81">
        <f>IFERROR(HLOOKUP(J1789,データについて!$J$4:$AH$19,16,FALSE),"")</f>
        <v>6</v>
      </c>
      <c r="AB1789" s="81" t="str">
        <f>IFERROR(HLOOKUP(K1789,データについて!$J$5:$AH$20,14,FALSE),"")</f>
        <v/>
      </c>
      <c r="AC1789" s="81">
        <f>IF(X1789=1,HLOOKUP(R1789,データについて!$J$12:$M$18,7,FALSE),"*")</f>
        <v>1</v>
      </c>
      <c r="AD1789" s="81" t="str">
        <f>IF(X1789=2,HLOOKUP(R1789,データについて!$J$12:$M$18,7,FALSE),"*")</f>
        <v>*</v>
      </c>
    </row>
    <row r="1790" spans="1:30">
      <c r="A1790" s="30">
        <v>3402</v>
      </c>
      <c r="B1790" s="30" t="s">
        <v>1675</v>
      </c>
      <c r="C1790" s="30" t="s">
        <v>1676</v>
      </c>
      <c r="D1790" s="30" t="s">
        <v>106</v>
      </c>
      <c r="E1790" s="30"/>
      <c r="F1790" s="30" t="s">
        <v>107</v>
      </c>
      <c r="G1790" s="30" t="s">
        <v>106</v>
      </c>
      <c r="H1790" s="30"/>
      <c r="I1790" s="30" t="s">
        <v>192</v>
      </c>
      <c r="J1790" s="30" t="s">
        <v>125</v>
      </c>
      <c r="K1790" s="30"/>
      <c r="L1790" s="30" t="s">
        <v>108</v>
      </c>
      <c r="M1790" s="30" t="s">
        <v>109</v>
      </c>
      <c r="N1790" s="30" t="s">
        <v>114</v>
      </c>
      <c r="O1790" s="30" t="s">
        <v>115</v>
      </c>
      <c r="P1790" s="30" t="s">
        <v>112</v>
      </c>
      <c r="Q1790" s="30" t="s">
        <v>112</v>
      </c>
      <c r="R1790" s="30" t="s">
        <v>189</v>
      </c>
      <c r="S1790" s="81">
        <f>HLOOKUP(L1790,データについて!$J$6:$M$18,13,FALSE)</f>
        <v>1</v>
      </c>
      <c r="T1790" s="81">
        <f>HLOOKUP(M1790,データについて!$J$7:$M$18,12,FALSE)</f>
        <v>2</v>
      </c>
      <c r="U1790" s="81">
        <f>HLOOKUP(N1790,データについて!$J$8:$M$18,11,FALSE)</f>
        <v>1</v>
      </c>
      <c r="V1790" s="81">
        <f>HLOOKUP(O1790,データについて!$J$9:$M$18,10,FALSE)</f>
        <v>1</v>
      </c>
      <c r="W1790" s="81">
        <f>HLOOKUP(P1790,データについて!$J$10:$M$18,9,FALSE)</f>
        <v>1</v>
      </c>
      <c r="X1790" s="81">
        <f>HLOOKUP(Q1790,データについて!$J$11:$M$18,8,FALSE)</f>
        <v>1</v>
      </c>
      <c r="Y1790" s="81">
        <f>HLOOKUP(R1790,データについて!$J$12:$M$18,7,FALSE)</f>
        <v>4</v>
      </c>
      <c r="Z1790" s="81">
        <f>HLOOKUP(I1790,データについて!$J$3:$M$18,16,FALSE)</f>
        <v>1</v>
      </c>
      <c r="AA1790" s="81">
        <f>IFERROR(HLOOKUP(J1790,データについて!$J$4:$AH$19,16,FALSE),"")</f>
        <v>6</v>
      </c>
      <c r="AB1790" s="81" t="str">
        <f>IFERROR(HLOOKUP(K1790,データについて!$J$5:$AH$20,14,FALSE),"")</f>
        <v/>
      </c>
      <c r="AC1790" s="81">
        <f>IF(X1790=1,HLOOKUP(R1790,データについて!$J$12:$M$18,7,FALSE),"*")</f>
        <v>4</v>
      </c>
      <c r="AD1790" s="81" t="str">
        <f>IF(X1790=2,HLOOKUP(R1790,データについて!$J$12:$M$18,7,FALSE),"*")</f>
        <v>*</v>
      </c>
    </row>
    <row r="1791" spans="1:30">
      <c r="A1791" s="30">
        <v>3401</v>
      </c>
      <c r="B1791" s="30" t="s">
        <v>1677</v>
      </c>
      <c r="C1791" s="30" t="s">
        <v>1678</v>
      </c>
      <c r="D1791" s="30" t="s">
        <v>106</v>
      </c>
      <c r="E1791" s="30"/>
      <c r="F1791" s="30" t="s">
        <v>107</v>
      </c>
      <c r="G1791" s="30" t="s">
        <v>106</v>
      </c>
      <c r="H1791" s="30"/>
      <c r="I1791" s="30" t="s">
        <v>192</v>
      </c>
      <c r="J1791" s="30" t="s">
        <v>125</v>
      </c>
      <c r="K1791" s="30"/>
      <c r="L1791" s="30" t="s">
        <v>117</v>
      </c>
      <c r="M1791" s="30" t="s">
        <v>113</v>
      </c>
      <c r="N1791" s="30" t="s">
        <v>110</v>
      </c>
      <c r="O1791" s="30" t="s">
        <v>115</v>
      </c>
      <c r="P1791" s="30" t="s">
        <v>112</v>
      </c>
      <c r="Q1791" s="30" t="s">
        <v>112</v>
      </c>
      <c r="R1791" s="30" t="s">
        <v>185</v>
      </c>
      <c r="S1791" s="81">
        <f>HLOOKUP(L1791,データについて!$J$6:$M$18,13,FALSE)</f>
        <v>2</v>
      </c>
      <c r="T1791" s="81">
        <f>HLOOKUP(M1791,データについて!$J$7:$M$18,12,FALSE)</f>
        <v>1</v>
      </c>
      <c r="U1791" s="81">
        <f>HLOOKUP(N1791,データについて!$J$8:$M$18,11,FALSE)</f>
        <v>2</v>
      </c>
      <c r="V1791" s="81">
        <f>HLOOKUP(O1791,データについて!$J$9:$M$18,10,FALSE)</f>
        <v>1</v>
      </c>
      <c r="W1791" s="81">
        <f>HLOOKUP(P1791,データについて!$J$10:$M$18,9,FALSE)</f>
        <v>1</v>
      </c>
      <c r="X1791" s="81">
        <f>HLOOKUP(Q1791,データについて!$J$11:$M$18,8,FALSE)</f>
        <v>1</v>
      </c>
      <c r="Y1791" s="81">
        <f>HLOOKUP(R1791,データについて!$J$12:$M$18,7,FALSE)</f>
        <v>2</v>
      </c>
      <c r="Z1791" s="81">
        <f>HLOOKUP(I1791,データについて!$J$3:$M$18,16,FALSE)</f>
        <v>1</v>
      </c>
      <c r="AA1791" s="81">
        <f>IFERROR(HLOOKUP(J1791,データについて!$J$4:$AH$19,16,FALSE),"")</f>
        <v>6</v>
      </c>
      <c r="AB1791" s="81" t="str">
        <f>IFERROR(HLOOKUP(K1791,データについて!$J$5:$AH$20,14,FALSE),"")</f>
        <v/>
      </c>
      <c r="AC1791" s="81">
        <f>IF(X1791=1,HLOOKUP(R1791,データについて!$J$12:$M$18,7,FALSE),"*")</f>
        <v>2</v>
      </c>
      <c r="AD1791" s="81" t="str">
        <f>IF(X1791=2,HLOOKUP(R1791,データについて!$J$12:$M$18,7,FALSE),"*")</f>
        <v>*</v>
      </c>
    </row>
    <row r="1792" spans="1:30">
      <c r="A1792" s="30">
        <v>3400</v>
      </c>
      <c r="B1792" s="30" t="s">
        <v>1679</v>
      </c>
      <c r="C1792" s="30" t="s">
        <v>1680</v>
      </c>
      <c r="D1792" s="30" t="s">
        <v>106</v>
      </c>
      <c r="E1792" s="30"/>
      <c r="F1792" s="30" t="s">
        <v>107</v>
      </c>
      <c r="G1792" s="30" t="s">
        <v>106</v>
      </c>
      <c r="H1792" s="30"/>
      <c r="I1792" s="30" t="s">
        <v>192</v>
      </c>
      <c r="J1792" s="30" t="s">
        <v>125</v>
      </c>
      <c r="K1792" s="30"/>
      <c r="L1792" s="30" t="s">
        <v>108</v>
      </c>
      <c r="M1792" s="30" t="s">
        <v>109</v>
      </c>
      <c r="N1792" s="30" t="s">
        <v>114</v>
      </c>
      <c r="O1792" s="30" t="s">
        <v>115</v>
      </c>
      <c r="P1792" s="30" t="s">
        <v>112</v>
      </c>
      <c r="Q1792" s="30" t="s">
        <v>118</v>
      </c>
      <c r="R1792" s="30" t="s">
        <v>185</v>
      </c>
      <c r="S1792" s="81">
        <f>HLOOKUP(L1792,データについて!$J$6:$M$18,13,FALSE)</f>
        <v>1</v>
      </c>
      <c r="T1792" s="81">
        <f>HLOOKUP(M1792,データについて!$J$7:$M$18,12,FALSE)</f>
        <v>2</v>
      </c>
      <c r="U1792" s="81">
        <f>HLOOKUP(N1792,データについて!$J$8:$M$18,11,FALSE)</f>
        <v>1</v>
      </c>
      <c r="V1792" s="81">
        <f>HLOOKUP(O1792,データについて!$J$9:$M$18,10,FALSE)</f>
        <v>1</v>
      </c>
      <c r="W1792" s="81">
        <f>HLOOKUP(P1792,データについて!$J$10:$M$18,9,FALSE)</f>
        <v>1</v>
      </c>
      <c r="X1792" s="81">
        <f>HLOOKUP(Q1792,データについて!$J$11:$M$18,8,FALSE)</f>
        <v>2</v>
      </c>
      <c r="Y1792" s="81">
        <f>HLOOKUP(R1792,データについて!$J$12:$M$18,7,FALSE)</f>
        <v>2</v>
      </c>
      <c r="Z1792" s="81">
        <f>HLOOKUP(I1792,データについて!$J$3:$M$18,16,FALSE)</f>
        <v>1</v>
      </c>
      <c r="AA1792" s="81">
        <f>IFERROR(HLOOKUP(J1792,データについて!$J$4:$AH$19,16,FALSE),"")</f>
        <v>6</v>
      </c>
      <c r="AB1792" s="81" t="str">
        <f>IFERROR(HLOOKUP(K1792,データについて!$J$5:$AH$20,14,FALSE),"")</f>
        <v/>
      </c>
      <c r="AC1792" s="81" t="str">
        <f>IF(X1792=1,HLOOKUP(R1792,データについて!$J$12:$M$18,7,FALSE),"*")</f>
        <v>*</v>
      </c>
      <c r="AD1792" s="81">
        <f>IF(X1792=2,HLOOKUP(R1792,データについて!$J$12:$M$18,7,FALSE),"*")</f>
        <v>2</v>
      </c>
    </row>
    <row r="1793" spans="1:30">
      <c r="A1793" s="30">
        <v>3399</v>
      </c>
      <c r="B1793" s="30" t="s">
        <v>1681</v>
      </c>
      <c r="C1793" s="30" t="s">
        <v>1682</v>
      </c>
      <c r="D1793" s="30" t="s">
        <v>106</v>
      </c>
      <c r="E1793" s="30"/>
      <c r="F1793" s="30" t="s">
        <v>107</v>
      </c>
      <c r="G1793" s="30" t="s">
        <v>106</v>
      </c>
      <c r="H1793" s="30"/>
      <c r="I1793" s="30" t="s">
        <v>192</v>
      </c>
      <c r="J1793" s="30" t="s">
        <v>125</v>
      </c>
      <c r="K1793" s="30"/>
      <c r="L1793" s="30" t="s">
        <v>108</v>
      </c>
      <c r="M1793" s="30" t="s">
        <v>109</v>
      </c>
      <c r="N1793" s="30" t="s">
        <v>114</v>
      </c>
      <c r="O1793" s="30" t="s">
        <v>115</v>
      </c>
      <c r="P1793" s="30" t="s">
        <v>112</v>
      </c>
      <c r="Q1793" s="30" t="s">
        <v>118</v>
      </c>
      <c r="R1793" s="30" t="s">
        <v>187</v>
      </c>
      <c r="S1793" s="81">
        <f>HLOOKUP(L1793,データについて!$J$6:$M$18,13,FALSE)</f>
        <v>1</v>
      </c>
      <c r="T1793" s="81">
        <f>HLOOKUP(M1793,データについて!$J$7:$M$18,12,FALSE)</f>
        <v>2</v>
      </c>
      <c r="U1793" s="81">
        <f>HLOOKUP(N1793,データについて!$J$8:$M$18,11,FALSE)</f>
        <v>1</v>
      </c>
      <c r="V1793" s="81">
        <f>HLOOKUP(O1793,データについて!$J$9:$M$18,10,FALSE)</f>
        <v>1</v>
      </c>
      <c r="W1793" s="81">
        <f>HLOOKUP(P1793,データについて!$J$10:$M$18,9,FALSE)</f>
        <v>1</v>
      </c>
      <c r="X1793" s="81">
        <f>HLOOKUP(Q1793,データについて!$J$11:$M$18,8,FALSE)</f>
        <v>2</v>
      </c>
      <c r="Y1793" s="81">
        <f>HLOOKUP(R1793,データについて!$J$12:$M$18,7,FALSE)</f>
        <v>3</v>
      </c>
      <c r="Z1793" s="81">
        <f>HLOOKUP(I1793,データについて!$J$3:$M$18,16,FALSE)</f>
        <v>1</v>
      </c>
      <c r="AA1793" s="81">
        <f>IFERROR(HLOOKUP(J1793,データについて!$J$4:$AH$19,16,FALSE),"")</f>
        <v>6</v>
      </c>
      <c r="AB1793" s="81" t="str">
        <f>IFERROR(HLOOKUP(K1793,データについて!$J$5:$AH$20,14,FALSE),"")</f>
        <v/>
      </c>
      <c r="AC1793" s="81" t="str">
        <f>IF(X1793=1,HLOOKUP(R1793,データについて!$J$12:$M$18,7,FALSE),"*")</f>
        <v>*</v>
      </c>
      <c r="AD1793" s="81">
        <f>IF(X1793=2,HLOOKUP(R1793,データについて!$J$12:$M$18,7,FALSE),"*")</f>
        <v>3</v>
      </c>
    </row>
    <row r="1794" spans="1:30">
      <c r="A1794" s="30">
        <v>3398</v>
      </c>
      <c r="B1794" s="30" t="s">
        <v>1683</v>
      </c>
      <c r="C1794" s="30" t="s">
        <v>1684</v>
      </c>
      <c r="D1794" s="30" t="s">
        <v>106</v>
      </c>
      <c r="E1794" s="30"/>
      <c r="F1794" s="30" t="s">
        <v>107</v>
      </c>
      <c r="G1794" s="30" t="s">
        <v>106</v>
      </c>
      <c r="H1794" s="30"/>
      <c r="I1794" s="30" t="s">
        <v>192</v>
      </c>
      <c r="J1794" s="30" t="s">
        <v>125</v>
      </c>
      <c r="K1794" s="30"/>
      <c r="L1794" s="30" t="s">
        <v>108</v>
      </c>
      <c r="M1794" s="30" t="s">
        <v>113</v>
      </c>
      <c r="N1794" s="30" t="s">
        <v>114</v>
      </c>
      <c r="O1794" s="30" t="s">
        <v>115</v>
      </c>
      <c r="P1794" s="30" t="s">
        <v>112</v>
      </c>
      <c r="Q1794" s="30" t="s">
        <v>112</v>
      </c>
      <c r="R1794" s="30" t="s">
        <v>183</v>
      </c>
      <c r="S1794" s="81">
        <f>HLOOKUP(L1794,データについて!$J$6:$M$18,13,FALSE)</f>
        <v>1</v>
      </c>
      <c r="T1794" s="81">
        <f>HLOOKUP(M1794,データについて!$J$7:$M$18,12,FALSE)</f>
        <v>1</v>
      </c>
      <c r="U1794" s="81">
        <f>HLOOKUP(N1794,データについて!$J$8:$M$18,11,FALSE)</f>
        <v>1</v>
      </c>
      <c r="V1794" s="81">
        <f>HLOOKUP(O1794,データについて!$J$9:$M$18,10,FALSE)</f>
        <v>1</v>
      </c>
      <c r="W1794" s="81">
        <f>HLOOKUP(P1794,データについて!$J$10:$M$18,9,FALSE)</f>
        <v>1</v>
      </c>
      <c r="X1794" s="81">
        <f>HLOOKUP(Q1794,データについて!$J$11:$M$18,8,FALSE)</f>
        <v>1</v>
      </c>
      <c r="Y1794" s="81">
        <f>HLOOKUP(R1794,データについて!$J$12:$M$18,7,FALSE)</f>
        <v>1</v>
      </c>
      <c r="Z1794" s="81">
        <f>HLOOKUP(I1794,データについて!$J$3:$M$18,16,FALSE)</f>
        <v>1</v>
      </c>
      <c r="AA1794" s="81">
        <f>IFERROR(HLOOKUP(J1794,データについて!$J$4:$AH$19,16,FALSE),"")</f>
        <v>6</v>
      </c>
      <c r="AB1794" s="81" t="str">
        <f>IFERROR(HLOOKUP(K1794,データについて!$J$5:$AH$20,14,FALSE),"")</f>
        <v/>
      </c>
      <c r="AC1794" s="81">
        <f>IF(X1794=1,HLOOKUP(R1794,データについて!$J$12:$M$18,7,FALSE),"*")</f>
        <v>1</v>
      </c>
      <c r="AD1794" s="81" t="str">
        <f>IF(X1794=2,HLOOKUP(R1794,データについて!$J$12:$M$18,7,FALSE),"*")</f>
        <v>*</v>
      </c>
    </row>
    <row r="1795" spans="1:30">
      <c r="A1795" s="30">
        <v>3397</v>
      </c>
      <c r="B1795" s="30" t="s">
        <v>1685</v>
      </c>
      <c r="C1795" s="30" t="s">
        <v>1686</v>
      </c>
      <c r="D1795" s="30" t="s">
        <v>106</v>
      </c>
      <c r="E1795" s="30"/>
      <c r="F1795" s="30" t="s">
        <v>107</v>
      </c>
      <c r="G1795" s="30" t="s">
        <v>106</v>
      </c>
      <c r="H1795" s="30"/>
      <c r="I1795" s="30" t="s">
        <v>192</v>
      </c>
      <c r="J1795" s="30" t="s">
        <v>125</v>
      </c>
      <c r="K1795" s="30"/>
      <c r="L1795" s="30" t="s">
        <v>108</v>
      </c>
      <c r="M1795" s="30" t="s">
        <v>124</v>
      </c>
      <c r="N1795" s="30" t="s">
        <v>110</v>
      </c>
      <c r="O1795" s="30" t="s">
        <v>115</v>
      </c>
      <c r="P1795" s="30" t="s">
        <v>112</v>
      </c>
      <c r="Q1795" s="30" t="s">
        <v>118</v>
      </c>
      <c r="R1795" s="30" t="s">
        <v>187</v>
      </c>
      <c r="S1795" s="81">
        <f>HLOOKUP(L1795,データについて!$J$6:$M$18,13,FALSE)</f>
        <v>1</v>
      </c>
      <c r="T1795" s="81">
        <f>HLOOKUP(M1795,データについて!$J$7:$M$18,12,FALSE)</f>
        <v>3</v>
      </c>
      <c r="U1795" s="81">
        <f>HLOOKUP(N1795,データについて!$J$8:$M$18,11,FALSE)</f>
        <v>2</v>
      </c>
      <c r="V1795" s="81">
        <f>HLOOKUP(O1795,データについて!$J$9:$M$18,10,FALSE)</f>
        <v>1</v>
      </c>
      <c r="W1795" s="81">
        <f>HLOOKUP(P1795,データについて!$J$10:$M$18,9,FALSE)</f>
        <v>1</v>
      </c>
      <c r="X1795" s="81">
        <f>HLOOKUP(Q1795,データについて!$J$11:$M$18,8,FALSE)</f>
        <v>2</v>
      </c>
      <c r="Y1795" s="81">
        <f>HLOOKUP(R1795,データについて!$J$12:$M$18,7,FALSE)</f>
        <v>3</v>
      </c>
      <c r="Z1795" s="81">
        <f>HLOOKUP(I1795,データについて!$J$3:$M$18,16,FALSE)</f>
        <v>1</v>
      </c>
      <c r="AA1795" s="81">
        <f>IFERROR(HLOOKUP(J1795,データについて!$J$4:$AH$19,16,FALSE),"")</f>
        <v>6</v>
      </c>
      <c r="AB1795" s="81" t="str">
        <f>IFERROR(HLOOKUP(K1795,データについて!$J$5:$AH$20,14,FALSE),"")</f>
        <v/>
      </c>
      <c r="AC1795" s="81" t="str">
        <f>IF(X1795=1,HLOOKUP(R1795,データについて!$J$12:$M$18,7,FALSE),"*")</f>
        <v>*</v>
      </c>
      <c r="AD1795" s="81">
        <f>IF(X1795=2,HLOOKUP(R1795,データについて!$J$12:$M$18,7,FALSE),"*")</f>
        <v>3</v>
      </c>
    </row>
    <row r="1796" spans="1:30">
      <c r="A1796" s="30">
        <v>3396</v>
      </c>
      <c r="B1796" s="30" t="s">
        <v>1687</v>
      </c>
      <c r="C1796" s="30" t="s">
        <v>1688</v>
      </c>
      <c r="D1796" s="30" t="s">
        <v>106</v>
      </c>
      <c r="E1796" s="30"/>
      <c r="F1796" s="30" t="s">
        <v>107</v>
      </c>
      <c r="G1796" s="30" t="s">
        <v>106</v>
      </c>
      <c r="H1796" s="30"/>
      <c r="I1796" s="30" t="s">
        <v>192</v>
      </c>
      <c r="J1796" s="30" t="s">
        <v>125</v>
      </c>
      <c r="K1796" s="30"/>
      <c r="L1796" s="30" t="s">
        <v>117</v>
      </c>
      <c r="M1796" s="30" t="s">
        <v>113</v>
      </c>
      <c r="N1796" s="30" t="s">
        <v>114</v>
      </c>
      <c r="O1796" s="30" t="s">
        <v>115</v>
      </c>
      <c r="P1796" s="30" t="s">
        <v>112</v>
      </c>
      <c r="Q1796" s="30" t="s">
        <v>112</v>
      </c>
      <c r="R1796" s="30" t="s">
        <v>185</v>
      </c>
      <c r="S1796" s="81">
        <f>HLOOKUP(L1796,データについて!$J$6:$M$18,13,FALSE)</f>
        <v>2</v>
      </c>
      <c r="T1796" s="81">
        <f>HLOOKUP(M1796,データについて!$J$7:$M$18,12,FALSE)</f>
        <v>1</v>
      </c>
      <c r="U1796" s="81">
        <f>HLOOKUP(N1796,データについて!$J$8:$M$18,11,FALSE)</f>
        <v>1</v>
      </c>
      <c r="V1796" s="81">
        <f>HLOOKUP(O1796,データについて!$J$9:$M$18,10,FALSE)</f>
        <v>1</v>
      </c>
      <c r="W1796" s="81">
        <f>HLOOKUP(P1796,データについて!$J$10:$M$18,9,FALSE)</f>
        <v>1</v>
      </c>
      <c r="X1796" s="81">
        <f>HLOOKUP(Q1796,データについて!$J$11:$M$18,8,FALSE)</f>
        <v>1</v>
      </c>
      <c r="Y1796" s="81">
        <f>HLOOKUP(R1796,データについて!$J$12:$M$18,7,FALSE)</f>
        <v>2</v>
      </c>
      <c r="Z1796" s="81">
        <f>HLOOKUP(I1796,データについて!$J$3:$M$18,16,FALSE)</f>
        <v>1</v>
      </c>
      <c r="AA1796" s="81">
        <f>IFERROR(HLOOKUP(J1796,データについて!$J$4:$AH$19,16,FALSE),"")</f>
        <v>6</v>
      </c>
      <c r="AB1796" s="81" t="str">
        <f>IFERROR(HLOOKUP(K1796,データについて!$J$5:$AH$20,14,FALSE),"")</f>
        <v/>
      </c>
      <c r="AC1796" s="81">
        <f>IF(X1796=1,HLOOKUP(R1796,データについて!$J$12:$M$18,7,FALSE),"*")</f>
        <v>2</v>
      </c>
      <c r="AD1796" s="81" t="str">
        <f>IF(X1796=2,HLOOKUP(R1796,データについて!$J$12:$M$18,7,FALSE),"*")</f>
        <v>*</v>
      </c>
    </row>
    <row r="1797" spans="1:30">
      <c r="A1797" s="30">
        <v>3395</v>
      </c>
      <c r="B1797" s="30" t="s">
        <v>1689</v>
      </c>
      <c r="C1797" s="30" t="s">
        <v>1690</v>
      </c>
      <c r="D1797" s="30" t="s">
        <v>106</v>
      </c>
      <c r="E1797" s="30"/>
      <c r="F1797" s="30" t="s">
        <v>107</v>
      </c>
      <c r="G1797" s="30" t="s">
        <v>106</v>
      </c>
      <c r="H1797" s="30"/>
      <c r="I1797" s="30" t="s">
        <v>192</v>
      </c>
      <c r="J1797" s="30" t="s">
        <v>125</v>
      </c>
      <c r="K1797" s="30"/>
      <c r="L1797" s="30" t="s">
        <v>117</v>
      </c>
      <c r="M1797" s="30" t="s">
        <v>113</v>
      </c>
      <c r="N1797" s="30" t="s">
        <v>114</v>
      </c>
      <c r="O1797" s="30" t="s">
        <v>115</v>
      </c>
      <c r="P1797" s="30" t="s">
        <v>112</v>
      </c>
      <c r="Q1797" s="30" t="s">
        <v>112</v>
      </c>
      <c r="R1797" s="30" t="s">
        <v>185</v>
      </c>
      <c r="S1797" s="81">
        <f>HLOOKUP(L1797,データについて!$J$6:$M$18,13,FALSE)</f>
        <v>2</v>
      </c>
      <c r="T1797" s="81">
        <f>HLOOKUP(M1797,データについて!$J$7:$M$18,12,FALSE)</f>
        <v>1</v>
      </c>
      <c r="U1797" s="81">
        <f>HLOOKUP(N1797,データについて!$J$8:$M$18,11,FALSE)</f>
        <v>1</v>
      </c>
      <c r="V1797" s="81">
        <f>HLOOKUP(O1797,データについて!$J$9:$M$18,10,FALSE)</f>
        <v>1</v>
      </c>
      <c r="W1797" s="81">
        <f>HLOOKUP(P1797,データについて!$J$10:$M$18,9,FALSE)</f>
        <v>1</v>
      </c>
      <c r="X1797" s="81">
        <f>HLOOKUP(Q1797,データについて!$J$11:$M$18,8,FALSE)</f>
        <v>1</v>
      </c>
      <c r="Y1797" s="81">
        <f>HLOOKUP(R1797,データについて!$J$12:$M$18,7,FALSE)</f>
        <v>2</v>
      </c>
      <c r="Z1797" s="81">
        <f>HLOOKUP(I1797,データについて!$J$3:$M$18,16,FALSE)</f>
        <v>1</v>
      </c>
      <c r="AA1797" s="81">
        <f>IFERROR(HLOOKUP(J1797,データについて!$J$4:$AH$19,16,FALSE),"")</f>
        <v>6</v>
      </c>
      <c r="AB1797" s="81" t="str">
        <f>IFERROR(HLOOKUP(K1797,データについて!$J$5:$AH$20,14,FALSE),"")</f>
        <v/>
      </c>
      <c r="AC1797" s="81">
        <f>IF(X1797=1,HLOOKUP(R1797,データについて!$J$12:$M$18,7,FALSE),"*")</f>
        <v>2</v>
      </c>
      <c r="AD1797" s="81" t="str">
        <f>IF(X1797=2,HLOOKUP(R1797,データについて!$J$12:$M$18,7,FALSE),"*")</f>
        <v>*</v>
      </c>
    </row>
    <row r="1798" spans="1:30">
      <c r="A1798" s="30">
        <v>3394</v>
      </c>
      <c r="B1798" s="30" t="s">
        <v>1691</v>
      </c>
      <c r="C1798" s="30" t="s">
        <v>1692</v>
      </c>
      <c r="D1798" s="30" t="s">
        <v>106</v>
      </c>
      <c r="E1798" s="30"/>
      <c r="F1798" s="30" t="s">
        <v>107</v>
      </c>
      <c r="G1798" s="30" t="s">
        <v>106</v>
      </c>
      <c r="H1798" s="30"/>
      <c r="I1798" s="30" t="s">
        <v>192</v>
      </c>
      <c r="J1798" s="30" t="s">
        <v>125</v>
      </c>
      <c r="K1798" s="30"/>
      <c r="L1798" s="30" t="s">
        <v>108</v>
      </c>
      <c r="M1798" s="30" t="s">
        <v>113</v>
      </c>
      <c r="N1798" s="30" t="s">
        <v>114</v>
      </c>
      <c r="O1798" s="30" t="s">
        <v>115</v>
      </c>
      <c r="P1798" s="30" t="s">
        <v>112</v>
      </c>
      <c r="Q1798" s="30" t="s">
        <v>112</v>
      </c>
      <c r="R1798" s="30" t="s">
        <v>183</v>
      </c>
      <c r="S1798" s="81">
        <f>HLOOKUP(L1798,データについて!$J$6:$M$18,13,FALSE)</f>
        <v>1</v>
      </c>
      <c r="T1798" s="81">
        <f>HLOOKUP(M1798,データについて!$J$7:$M$18,12,FALSE)</f>
        <v>1</v>
      </c>
      <c r="U1798" s="81">
        <f>HLOOKUP(N1798,データについて!$J$8:$M$18,11,FALSE)</f>
        <v>1</v>
      </c>
      <c r="V1798" s="81">
        <f>HLOOKUP(O1798,データについて!$J$9:$M$18,10,FALSE)</f>
        <v>1</v>
      </c>
      <c r="W1798" s="81">
        <f>HLOOKUP(P1798,データについて!$J$10:$M$18,9,FALSE)</f>
        <v>1</v>
      </c>
      <c r="X1798" s="81">
        <f>HLOOKUP(Q1798,データについて!$J$11:$M$18,8,FALSE)</f>
        <v>1</v>
      </c>
      <c r="Y1798" s="81">
        <f>HLOOKUP(R1798,データについて!$J$12:$M$18,7,FALSE)</f>
        <v>1</v>
      </c>
      <c r="Z1798" s="81">
        <f>HLOOKUP(I1798,データについて!$J$3:$M$18,16,FALSE)</f>
        <v>1</v>
      </c>
      <c r="AA1798" s="81">
        <f>IFERROR(HLOOKUP(J1798,データについて!$J$4:$AH$19,16,FALSE),"")</f>
        <v>6</v>
      </c>
      <c r="AB1798" s="81" t="str">
        <f>IFERROR(HLOOKUP(K1798,データについて!$J$5:$AH$20,14,FALSE),"")</f>
        <v/>
      </c>
      <c r="AC1798" s="81">
        <f>IF(X1798=1,HLOOKUP(R1798,データについて!$J$12:$M$18,7,FALSE),"*")</f>
        <v>1</v>
      </c>
      <c r="AD1798" s="81" t="str">
        <f>IF(X1798=2,HLOOKUP(R1798,データについて!$J$12:$M$18,7,FALSE),"*")</f>
        <v>*</v>
      </c>
    </row>
    <row r="1799" spans="1:30">
      <c r="A1799" s="30">
        <v>3393</v>
      </c>
      <c r="B1799" s="30" t="s">
        <v>1693</v>
      </c>
      <c r="C1799" s="30" t="s">
        <v>1694</v>
      </c>
      <c r="D1799" s="30" t="s">
        <v>106</v>
      </c>
      <c r="E1799" s="30"/>
      <c r="F1799" s="30" t="s">
        <v>107</v>
      </c>
      <c r="G1799" s="30" t="s">
        <v>106</v>
      </c>
      <c r="H1799" s="30"/>
      <c r="I1799" s="30" t="s">
        <v>192</v>
      </c>
      <c r="J1799" s="30" t="s">
        <v>125</v>
      </c>
      <c r="K1799" s="30"/>
      <c r="L1799" s="30" t="s">
        <v>117</v>
      </c>
      <c r="M1799" s="30" t="s">
        <v>113</v>
      </c>
      <c r="N1799" s="30" t="s">
        <v>110</v>
      </c>
      <c r="O1799" s="30" t="s">
        <v>115</v>
      </c>
      <c r="P1799" s="30" t="s">
        <v>112</v>
      </c>
      <c r="Q1799" s="30" t="s">
        <v>112</v>
      </c>
      <c r="R1799" s="30" t="s">
        <v>183</v>
      </c>
      <c r="S1799" s="81">
        <f>HLOOKUP(L1799,データについて!$J$6:$M$18,13,FALSE)</f>
        <v>2</v>
      </c>
      <c r="T1799" s="81">
        <f>HLOOKUP(M1799,データについて!$J$7:$M$18,12,FALSE)</f>
        <v>1</v>
      </c>
      <c r="U1799" s="81">
        <f>HLOOKUP(N1799,データについて!$J$8:$M$18,11,FALSE)</f>
        <v>2</v>
      </c>
      <c r="V1799" s="81">
        <f>HLOOKUP(O1799,データについて!$J$9:$M$18,10,FALSE)</f>
        <v>1</v>
      </c>
      <c r="W1799" s="81">
        <f>HLOOKUP(P1799,データについて!$J$10:$M$18,9,FALSE)</f>
        <v>1</v>
      </c>
      <c r="X1799" s="81">
        <f>HLOOKUP(Q1799,データについて!$J$11:$M$18,8,FALSE)</f>
        <v>1</v>
      </c>
      <c r="Y1799" s="81">
        <f>HLOOKUP(R1799,データについて!$J$12:$M$18,7,FALSE)</f>
        <v>1</v>
      </c>
      <c r="Z1799" s="81">
        <f>HLOOKUP(I1799,データについて!$J$3:$M$18,16,FALSE)</f>
        <v>1</v>
      </c>
      <c r="AA1799" s="81">
        <f>IFERROR(HLOOKUP(J1799,データについて!$J$4:$AH$19,16,FALSE),"")</f>
        <v>6</v>
      </c>
      <c r="AB1799" s="81" t="str">
        <f>IFERROR(HLOOKUP(K1799,データについて!$J$5:$AH$20,14,FALSE),"")</f>
        <v/>
      </c>
      <c r="AC1799" s="81">
        <f>IF(X1799=1,HLOOKUP(R1799,データについて!$J$12:$M$18,7,FALSE),"*")</f>
        <v>1</v>
      </c>
      <c r="AD1799" s="81" t="str">
        <f>IF(X1799=2,HLOOKUP(R1799,データについて!$J$12:$M$18,7,FALSE),"*")</f>
        <v>*</v>
      </c>
    </row>
    <row r="1800" spans="1:30">
      <c r="A1800" s="30">
        <v>3392</v>
      </c>
      <c r="B1800" s="30" t="s">
        <v>1695</v>
      </c>
      <c r="C1800" s="30" t="s">
        <v>1696</v>
      </c>
      <c r="D1800" s="30" t="s">
        <v>106</v>
      </c>
      <c r="E1800" s="30"/>
      <c r="F1800" s="30" t="s">
        <v>107</v>
      </c>
      <c r="G1800" s="30" t="s">
        <v>106</v>
      </c>
      <c r="H1800" s="30"/>
      <c r="I1800" s="30" t="s">
        <v>192</v>
      </c>
      <c r="J1800" s="30" t="s">
        <v>125</v>
      </c>
      <c r="K1800" s="30"/>
      <c r="L1800" s="30" t="s">
        <v>117</v>
      </c>
      <c r="M1800" s="30" t="s">
        <v>113</v>
      </c>
      <c r="N1800" s="30" t="s">
        <v>110</v>
      </c>
      <c r="O1800" s="30" t="s">
        <v>116</v>
      </c>
      <c r="P1800" s="30" t="s">
        <v>112</v>
      </c>
      <c r="Q1800" s="30" t="s">
        <v>112</v>
      </c>
      <c r="R1800" s="30" t="s">
        <v>185</v>
      </c>
      <c r="S1800" s="81">
        <f>HLOOKUP(L1800,データについて!$J$6:$M$18,13,FALSE)</f>
        <v>2</v>
      </c>
      <c r="T1800" s="81">
        <f>HLOOKUP(M1800,データについて!$J$7:$M$18,12,FALSE)</f>
        <v>1</v>
      </c>
      <c r="U1800" s="81">
        <f>HLOOKUP(N1800,データについて!$J$8:$M$18,11,FALSE)</f>
        <v>2</v>
      </c>
      <c r="V1800" s="81">
        <f>HLOOKUP(O1800,データについて!$J$9:$M$18,10,FALSE)</f>
        <v>2</v>
      </c>
      <c r="W1800" s="81">
        <f>HLOOKUP(P1800,データについて!$J$10:$M$18,9,FALSE)</f>
        <v>1</v>
      </c>
      <c r="X1800" s="81">
        <f>HLOOKUP(Q1800,データについて!$J$11:$M$18,8,FALSE)</f>
        <v>1</v>
      </c>
      <c r="Y1800" s="81">
        <f>HLOOKUP(R1800,データについて!$J$12:$M$18,7,FALSE)</f>
        <v>2</v>
      </c>
      <c r="Z1800" s="81">
        <f>HLOOKUP(I1800,データについて!$J$3:$M$18,16,FALSE)</f>
        <v>1</v>
      </c>
      <c r="AA1800" s="81">
        <f>IFERROR(HLOOKUP(J1800,データについて!$J$4:$AH$19,16,FALSE),"")</f>
        <v>6</v>
      </c>
      <c r="AB1800" s="81" t="str">
        <f>IFERROR(HLOOKUP(K1800,データについて!$J$5:$AH$20,14,FALSE),"")</f>
        <v/>
      </c>
      <c r="AC1800" s="81">
        <f>IF(X1800=1,HLOOKUP(R1800,データについて!$J$12:$M$18,7,FALSE),"*")</f>
        <v>2</v>
      </c>
      <c r="AD1800" s="81" t="str">
        <f>IF(X1800=2,HLOOKUP(R1800,データについて!$J$12:$M$18,7,FALSE),"*")</f>
        <v>*</v>
      </c>
    </row>
    <row r="1801" spans="1:30">
      <c r="A1801" s="30">
        <v>3391</v>
      </c>
      <c r="B1801" s="30" t="s">
        <v>1697</v>
      </c>
      <c r="C1801" s="30" t="s">
        <v>1698</v>
      </c>
      <c r="D1801" s="30" t="s">
        <v>106</v>
      </c>
      <c r="E1801" s="30"/>
      <c r="F1801" s="30" t="s">
        <v>107</v>
      </c>
      <c r="G1801" s="30" t="s">
        <v>106</v>
      </c>
      <c r="H1801" s="30"/>
      <c r="I1801" s="30" t="s">
        <v>192</v>
      </c>
      <c r="J1801" s="30" t="s">
        <v>125</v>
      </c>
      <c r="K1801" s="30"/>
      <c r="L1801" s="30" t="s">
        <v>117</v>
      </c>
      <c r="M1801" s="30" t="s">
        <v>113</v>
      </c>
      <c r="N1801" s="30" t="s">
        <v>110</v>
      </c>
      <c r="O1801" s="30" t="s">
        <v>115</v>
      </c>
      <c r="P1801" s="30" t="s">
        <v>112</v>
      </c>
      <c r="Q1801" s="30" t="s">
        <v>112</v>
      </c>
      <c r="R1801" s="30" t="s">
        <v>183</v>
      </c>
      <c r="S1801" s="81">
        <f>HLOOKUP(L1801,データについて!$J$6:$M$18,13,FALSE)</f>
        <v>2</v>
      </c>
      <c r="T1801" s="81">
        <f>HLOOKUP(M1801,データについて!$J$7:$M$18,12,FALSE)</f>
        <v>1</v>
      </c>
      <c r="U1801" s="81">
        <f>HLOOKUP(N1801,データについて!$J$8:$M$18,11,FALSE)</f>
        <v>2</v>
      </c>
      <c r="V1801" s="81">
        <f>HLOOKUP(O1801,データについて!$J$9:$M$18,10,FALSE)</f>
        <v>1</v>
      </c>
      <c r="W1801" s="81">
        <f>HLOOKUP(P1801,データについて!$J$10:$M$18,9,FALSE)</f>
        <v>1</v>
      </c>
      <c r="X1801" s="81">
        <f>HLOOKUP(Q1801,データについて!$J$11:$M$18,8,FALSE)</f>
        <v>1</v>
      </c>
      <c r="Y1801" s="81">
        <f>HLOOKUP(R1801,データについて!$J$12:$M$18,7,FALSE)</f>
        <v>1</v>
      </c>
      <c r="Z1801" s="81">
        <f>HLOOKUP(I1801,データについて!$J$3:$M$18,16,FALSE)</f>
        <v>1</v>
      </c>
      <c r="AA1801" s="81">
        <f>IFERROR(HLOOKUP(J1801,データについて!$J$4:$AH$19,16,FALSE),"")</f>
        <v>6</v>
      </c>
      <c r="AB1801" s="81" t="str">
        <f>IFERROR(HLOOKUP(K1801,データについて!$J$5:$AH$20,14,FALSE),"")</f>
        <v/>
      </c>
      <c r="AC1801" s="81">
        <f>IF(X1801=1,HLOOKUP(R1801,データについて!$J$12:$M$18,7,FALSE),"*")</f>
        <v>1</v>
      </c>
      <c r="AD1801" s="81" t="str">
        <f>IF(X1801=2,HLOOKUP(R1801,データについて!$J$12:$M$18,7,FALSE),"*")</f>
        <v>*</v>
      </c>
    </row>
    <row r="1802" spans="1:30">
      <c r="A1802" s="30">
        <v>3390</v>
      </c>
      <c r="B1802" s="30" t="s">
        <v>1699</v>
      </c>
      <c r="C1802" s="30" t="s">
        <v>1700</v>
      </c>
      <c r="D1802" s="30" t="s">
        <v>106</v>
      </c>
      <c r="E1802" s="30"/>
      <c r="F1802" s="30" t="s">
        <v>107</v>
      </c>
      <c r="G1802" s="30" t="s">
        <v>106</v>
      </c>
      <c r="H1802" s="30"/>
      <c r="I1802" s="30" t="s">
        <v>192</v>
      </c>
      <c r="J1802" s="30" t="s">
        <v>125</v>
      </c>
      <c r="K1802" s="30"/>
      <c r="L1802" s="30" t="s">
        <v>108</v>
      </c>
      <c r="M1802" s="30" t="s">
        <v>113</v>
      </c>
      <c r="N1802" s="30" t="s">
        <v>110</v>
      </c>
      <c r="O1802" s="30" t="s">
        <v>115</v>
      </c>
      <c r="P1802" s="30" t="s">
        <v>112</v>
      </c>
      <c r="Q1802" s="30" t="s">
        <v>112</v>
      </c>
      <c r="R1802" s="30" t="s">
        <v>183</v>
      </c>
      <c r="S1802" s="81">
        <f>HLOOKUP(L1802,データについて!$J$6:$M$18,13,FALSE)</f>
        <v>1</v>
      </c>
      <c r="T1802" s="81">
        <f>HLOOKUP(M1802,データについて!$J$7:$M$18,12,FALSE)</f>
        <v>1</v>
      </c>
      <c r="U1802" s="81">
        <f>HLOOKUP(N1802,データについて!$J$8:$M$18,11,FALSE)</f>
        <v>2</v>
      </c>
      <c r="V1802" s="81">
        <f>HLOOKUP(O1802,データについて!$J$9:$M$18,10,FALSE)</f>
        <v>1</v>
      </c>
      <c r="W1802" s="81">
        <f>HLOOKUP(P1802,データについて!$J$10:$M$18,9,FALSE)</f>
        <v>1</v>
      </c>
      <c r="X1802" s="81">
        <f>HLOOKUP(Q1802,データについて!$J$11:$M$18,8,FALSE)</f>
        <v>1</v>
      </c>
      <c r="Y1802" s="81">
        <f>HLOOKUP(R1802,データについて!$J$12:$M$18,7,FALSE)</f>
        <v>1</v>
      </c>
      <c r="Z1802" s="81">
        <f>HLOOKUP(I1802,データについて!$J$3:$M$18,16,FALSE)</f>
        <v>1</v>
      </c>
      <c r="AA1802" s="81">
        <f>IFERROR(HLOOKUP(J1802,データについて!$J$4:$AH$19,16,FALSE),"")</f>
        <v>6</v>
      </c>
      <c r="AB1802" s="81" t="str">
        <f>IFERROR(HLOOKUP(K1802,データについて!$J$5:$AH$20,14,FALSE),"")</f>
        <v/>
      </c>
      <c r="AC1802" s="81">
        <f>IF(X1802=1,HLOOKUP(R1802,データについて!$J$12:$M$18,7,FALSE),"*")</f>
        <v>1</v>
      </c>
      <c r="AD1802" s="81" t="str">
        <f>IF(X1802=2,HLOOKUP(R1802,データについて!$J$12:$M$18,7,FALSE),"*")</f>
        <v>*</v>
      </c>
    </row>
    <row r="1803" spans="1:30">
      <c r="A1803" s="30">
        <v>3389</v>
      </c>
      <c r="B1803" s="30" t="s">
        <v>1701</v>
      </c>
      <c r="C1803" s="30" t="s">
        <v>1702</v>
      </c>
      <c r="D1803" s="30" t="s">
        <v>106</v>
      </c>
      <c r="E1803" s="30"/>
      <c r="F1803" s="30" t="s">
        <v>107</v>
      </c>
      <c r="G1803" s="30" t="s">
        <v>106</v>
      </c>
      <c r="H1803" s="30"/>
      <c r="I1803" s="30" t="s">
        <v>192</v>
      </c>
      <c r="J1803" s="30" t="s">
        <v>125</v>
      </c>
      <c r="K1803" s="30"/>
      <c r="L1803" s="30" t="s">
        <v>117</v>
      </c>
      <c r="M1803" s="30" t="s">
        <v>113</v>
      </c>
      <c r="N1803" s="30" t="s">
        <v>110</v>
      </c>
      <c r="O1803" s="30" t="s">
        <v>115</v>
      </c>
      <c r="P1803" s="30" t="s">
        <v>112</v>
      </c>
      <c r="Q1803" s="30" t="s">
        <v>112</v>
      </c>
      <c r="R1803" s="30" t="s">
        <v>183</v>
      </c>
      <c r="S1803" s="81">
        <f>HLOOKUP(L1803,データについて!$J$6:$M$18,13,FALSE)</f>
        <v>2</v>
      </c>
      <c r="T1803" s="81">
        <f>HLOOKUP(M1803,データについて!$J$7:$M$18,12,FALSE)</f>
        <v>1</v>
      </c>
      <c r="U1803" s="81">
        <f>HLOOKUP(N1803,データについて!$J$8:$M$18,11,FALSE)</f>
        <v>2</v>
      </c>
      <c r="V1803" s="81">
        <f>HLOOKUP(O1803,データについて!$J$9:$M$18,10,FALSE)</f>
        <v>1</v>
      </c>
      <c r="W1803" s="81">
        <f>HLOOKUP(P1803,データについて!$J$10:$M$18,9,FALSE)</f>
        <v>1</v>
      </c>
      <c r="X1803" s="81">
        <f>HLOOKUP(Q1803,データについて!$J$11:$M$18,8,FALSE)</f>
        <v>1</v>
      </c>
      <c r="Y1803" s="81">
        <f>HLOOKUP(R1803,データについて!$J$12:$M$18,7,FALSE)</f>
        <v>1</v>
      </c>
      <c r="Z1803" s="81">
        <f>HLOOKUP(I1803,データについて!$J$3:$M$18,16,FALSE)</f>
        <v>1</v>
      </c>
      <c r="AA1803" s="81">
        <f>IFERROR(HLOOKUP(J1803,データについて!$J$4:$AH$19,16,FALSE),"")</f>
        <v>6</v>
      </c>
      <c r="AB1803" s="81" t="str">
        <f>IFERROR(HLOOKUP(K1803,データについて!$J$5:$AH$20,14,FALSE),"")</f>
        <v/>
      </c>
      <c r="AC1803" s="81">
        <f>IF(X1803=1,HLOOKUP(R1803,データについて!$J$12:$M$18,7,FALSE),"*")</f>
        <v>1</v>
      </c>
      <c r="AD1803" s="81" t="str">
        <f>IF(X1803=2,HLOOKUP(R1803,データについて!$J$12:$M$18,7,FALSE),"*")</f>
        <v>*</v>
      </c>
    </row>
    <row r="1804" spans="1:30">
      <c r="A1804" s="30">
        <v>3388</v>
      </c>
      <c r="B1804" s="30" t="s">
        <v>1703</v>
      </c>
      <c r="C1804" s="30" t="s">
        <v>1704</v>
      </c>
      <c r="D1804" s="30" t="s">
        <v>106</v>
      </c>
      <c r="E1804" s="30"/>
      <c r="F1804" s="30" t="s">
        <v>107</v>
      </c>
      <c r="G1804" s="30" t="s">
        <v>106</v>
      </c>
      <c r="H1804" s="30"/>
      <c r="I1804" s="30" t="s">
        <v>192</v>
      </c>
      <c r="J1804" s="30" t="s">
        <v>125</v>
      </c>
      <c r="K1804" s="30"/>
      <c r="L1804" s="30" t="s">
        <v>108</v>
      </c>
      <c r="M1804" s="30" t="s">
        <v>124</v>
      </c>
      <c r="N1804" s="30" t="s">
        <v>114</v>
      </c>
      <c r="O1804" s="30" t="s">
        <v>115</v>
      </c>
      <c r="P1804" s="30" t="s">
        <v>118</v>
      </c>
      <c r="Q1804" s="30" t="s">
        <v>112</v>
      </c>
      <c r="R1804" s="30" t="s">
        <v>185</v>
      </c>
      <c r="S1804" s="81">
        <f>HLOOKUP(L1804,データについて!$J$6:$M$18,13,FALSE)</f>
        <v>1</v>
      </c>
      <c r="T1804" s="81">
        <f>HLOOKUP(M1804,データについて!$J$7:$M$18,12,FALSE)</f>
        <v>3</v>
      </c>
      <c r="U1804" s="81">
        <f>HLOOKUP(N1804,データについて!$J$8:$M$18,11,FALSE)</f>
        <v>1</v>
      </c>
      <c r="V1804" s="81">
        <f>HLOOKUP(O1804,データについて!$J$9:$M$18,10,FALSE)</f>
        <v>1</v>
      </c>
      <c r="W1804" s="81">
        <f>HLOOKUP(P1804,データについて!$J$10:$M$18,9,FALSE)</f>
        <v>2</v>
      </c>
      <c r="X1804" s="81">
        <f>HLOOKUP(Q1804,データについて!$J$11:$M$18,8,FALSE)</f>
        <v>1</v>
      </c>
      <c r="Y1804" s="81">
        <f>HLOOKUP(R1804,データについて!$J$12:$M$18,7,FALSE)</f>
        <v>2</v>
      </c>
      <c r="Z1804" s="81">
        <f>HLOOKUP(I1804,データについて!$J$3:$M$18,16,FALSE)</f>
        <v>1</v>
      </c>
      <c r="AA1804" s="81">
        <f>IFERROR(HLOOKUP(J1804,データについて!$J$4:$AH$19,16,FALSE),"")</f>
        <v>6</v>
      </c>
      <c r="AB1804" s="81" t="str">
        <f>IFERROR(HLOOKUP(K1804,データについて!$J$5:$AH$20,14,FALSE),"")</f>
        <v/>
      </c>
      <c r="AC1804" s="81">
        <f>IF(X1804=1,HLOOKUP(R1804,データについて!$J$12:$M$18,7,FALSE),"*")</f>
        <v>2</v>
      </c>
      <c r="AD1804" s="81" t="str">
        <f>IF(X1804=2,HLOOKUP(R1804,データについて!$J$12:$M$18,7,FALSE),"*")</f>
        <v>*</v>
      </c>
    </row>
    <row r="1805" spans="1:30">
      <c r="A1805" s="30">
        <v>3387</v>
      </c>
      <c r="B1805" s="30" t="s">
        <v>1705</v>
      </c>
      <c r="C1805" s="30" t="s">
        <v>1706</v>
      </c>
      <c r="D1805" s="30" t="s">
        <v>106</v>
      </c>
      <c r="E1805" s="30"/>
      <c r="F1805" s="30" t="s">
        <v>107</v>
      </c>
      <c r="G1805" s="30" t="s">
        <v>106</v>
      </c>
      <c r="H1805" s="30"/>
      <c r="I1805" s="30" t="s">
        <v>192</v>
      </c>
      <c r="J1805" s="30" t="s">
        <v>125</v>
      </c>
      <c r="K1805" s="30"/>
      <c r="L1805" s="30" t="s">
        <v>117</v>
      </c>
      <c r="M1805" s="30" t="s">
        <v>113</v>
      </c>
      <c r="N1805" s="30" t="s">
        <v>114</v>
      </c>
      <c r="O1805" s="30" t="s">
        <v>115</v>
      </c>
      <c r="P1805" s="30" t="s">
        <v>112</v>
      </c>
      <c r="Q1805" s="30" t="s">
        <v>112</v>
      </c>
      <c r="R1805" s="30" t="s">
        <v>183</v>
      </c>
      <c r="S1805" s="81">
        <f>HLOOKUP(L1805,データについて!$J$6:$M$18,13,FALSE)</f>
        <v>2</v>
      </c>
      <c r="T1805" s="81">
        <f>HLOOKUP(M1805,データについて!$J$7:$M$18,12,FALSE)</f>
        <v>1</v>
      </c>
      <c r="U1805" s="81">
        <f>HLOOKUP(N1805,データについて!$J$8:$M$18,11,FALSE)</f>
        <v>1</v>
      </c>
      <c r="V1805" s="81">
        <f>HLOOKUP(O1805,データについて!$J$9:$M$18,10,FALSE)</f>
        <v>1</v>
      </c>
      <c r="W1805" s="81">
        <f>HLOOKUP(P1805,データについて!$J$10:$M$18,9,FALSE)</f>
        <v>1</v>
      </c>
      <c r="X1805" s="81">
        <f>HLOOKUP(Q1805,データについて!$J$11:$M$18,8,FALSE)</f>
        <v>1</v>
      </c>
      <c r="Y1805" s="81">
        <f>HLOOKUP(R1805,データについて!$J$12:$M$18,7,FALSE)</f>
        <v>1</v>
      </c>
      <c r="Z1805" s="81">
        <f>HLOOKUP(I1805,データについて!$J$3:$M$18,16,FALSE)</f>
        <v>1</v>
      </c>
      <c r="AA1805" s="81">
        <f>IFERROR(HLOOKUP(J1805,データについて!$J$4:$AH$19,16,FALSE),"")</f>
        <v>6</v>
      </c>
      <c r="AB1805" s="81" t="str">
        <f>IFERROR(HLOOKUP(K1805,データについて!$J$5:$AH$20,14,FALSE),"")</f>
        <v/>
      </c>
      <c r="AC1805" s="81">
        <f>IF(X1805=1,HLOOKUP(R1805,データについて!$J$12:$M$18,7,FALSE),"*")</f>
        <v>1</v>
      </c>
      <c r="AD1805" s="81" t="str">
        <f>IF(X1805=2,HLOOKUP(R1805,データについて!$J$12:$M$18,7,FALSE),"*")</f>
        <v>*</v>
      </c>
    </row>
    <row r="1806" spans="1:30">
      <c r="A1806" s="30">
        <v>3386</v>
      </c>
      <c r="B1806" s="30" t="s">
        <v>1707</v>
      </c>
      <c r="C1806" s="30" t="s">
        <v>1708</v>
      </c>
      <c r="D1806" s="30" t="s">
        <v>106</v>
      </c>
      <c r="E1806" s="30"/>
      <c r="F1806" s="30" t="s">
        <v>107</v>
      </c>
      <c r="G1806" s="30" t="s">
        <v>106</v>
      </c>
      <c r="H1806" s="30"/>
      <c r="I1806" s="30" t="s">
        <v>192</v>
      </c>
      <c r="J1806" s="30" t="s">
        <v>125</v>
      </c>
      <c r="K1806" s="30"/>
      <c r="L1806" s="30" t="s">
        <v>117</v>
      </c>
      <c r="M1806" s="30" t="s">
        <v>121</v>
      </c>
      <c r="N1806" s="30" t="s">
        <v>119</v>
      </c>
      <c r="O1806" s="30" t="s">
        <v>116</v>
      </c>
      <c r="P1806" s="30" t="s">
        <v>112</v>
      </c>
      <c r="Q1806" s="30" t="s">
        <v>112</v>
      </c>
      <c r="R1806" s="30" t="s">
        <v>189</v>
      </c>
      <c r="S1806" s="81">
        <f>HLOOKUP(L1806,データについて!$J$6:$M$18,13,FALSE)</f>
        <v>2</v>
      </c>
      <c r="T1806" s="81">
        <f>HLOOKUP(M1806,データについて!$J$7:$M$18,12,FALSE)</f>
        <v>4</v>
      </c>
      <c r="U1806" s="81">
        <f>HLOOKUP(N1806,データについて!$J$8:$M$18,11,FALSE)</f>
        <v>4</v>
      </c>
      <c r="V1806" s="81">
        <f>HLOOKUP(O1806,データについて!$J$9:$M$18,10,FALSE)</f>
        <v>2</v>
      </c>
      <c r="W1806" s="81">
        <f>HLOOKUP(P1806,データについて!$J$10:$M$18,9,FALSE)</f>
        <v>1</v>
      </c>
      <c r="X1806" s="81">
        <f>HLOOKUP(Q1806,データについて!$J$11:$M$18,8,FALSE)</f>
        <v>1</v>
      </c>
      <c r="Y1806" s="81">
        <f>HLOOKUP(R1806,データについて!$J$12:$M$18,7,FALSE)</f>
        <v>4</v>
      </c>
      <c r="Z1806" s="81">
        <f>HLOOKUP(I1806,データについて!$J$3:$M$18,16,FALSE)</f>
        <v>1</v>
      </c>
      <c r="AA1806" s="81">
        <f>IFERROR(HLOOKUP(J1806,データについて!$J$4:$AH$19,16,FALSE),"")</f>
        <v>6</v>
      </c>
      <c r="AB1806" s="81" t="str">
        <f>IFERROR(HLOOKUP(K1806,データについて!$J$5:$AH$20,14,FALSE),"")</f>
        <v/>
      </c>
      <c r="AC1806" s="81">
        <f>IF(X1806=1,HLOOKUP(R1806,データについて!$J$12:$M$18,7,FALSE),"*")</f>
        <v>4</v>
      </c>
      <c r="AD1806" s="81" t="str">
        <f>IF(X1806=2,HLOOKUP(R1806,データについて!$J$12:$M$18,7,FALSE),"*")</f>
        <v>*</v>
      </c>
    </row>
    <row r="1807" spans="1:30">
      <c r="A1807" s="30">
        <v>3385</v>
      </c>
      <c r="B1807" s="30" t="s">
        <v>1709</v>
      </c>
      <c r="C1807" s="30" t="s">
        <v>1710</v>
      </c>
      <c r="D1807" s="30" t="s">
        <v>106</v>
      </c>
      <c r="E1807" s="30"/>
      <c r="F1807" s="30" t="s">
        <v>107</v>
      </c>
      <c r="G1807" s="30" t="s">
        <v>106</v>
      </c>
      <c r="H1807" s="30"/>
      <c r="I1807" s="30" t="s">
        <v>192</v>
      </c>
      <c r="J1807" s="30" t="s">
        <v>125</v>
      </c>
      <c r="K1807" s="30"/>
      <c r="L1807" s="30" t="s">
        <v>108</v>
      </c>
      <c r="M1807" s="30" t="s">
        <v>109</v>
      </c>
      <c r="N1807" s="30" t="s">
        <v>114</v>
      </c>
      <c r="O1807" s="30" t="s">
        <v>115</v>
      </c>
      <c r="P1807" s="30" t="s">
        <v>112</v>
      </c>
      <c r="Q1807" s="30" t="s">
        <v>112</v>
      </c>
      <c r="R1807" s="30" t="s">
        <v>187</v>
      </c>
      <c r="S1807" s="81">
        <f>HLOOKUP(L1807,データについて!$J$6:$M$18,13,FALSE)</f>
        <v>1</v>
      </c>
      <c r="T1807" s="81">
        <f>HLOOKUP(M1807,データについて!$J$7:$M$18,12,FALSE)</f>
        <v>2</v>
      </c>
      <c r="U1807" s="81">
        <f>HLOOKUP(N1807,データについて!$J$8:$M$18,11,FALSE)</f>
        <v>1</v>
      </c>
      <c r="V1807" s="81">
        <f>HLOOKUP(O1807,データについて!$J$9:$M$18,10,FALSE)</f>
        <v>1</v>
      </c>
      <c r="W1807" s="81">
        <f>HLOOKUP(P1807,データについて!$J$10:$M$18,9,FALSE)</f>
        <v>1</v>
      </c>
      <c r="X1807" s="81">
        <f>HLOOKUP(Q1807,データについて!$J$11:$M$18,8,FALSE)</f>
        <v>1</v>
      </c>
      <c r="Y1807" s="81">
        <f>HLOOKUP(R1807,データについて!$J$12:$M$18,7,FALSE)</f>
        <v>3</v>
      </c>
      <c r="Z1807" s="81">
        <f>HLOOKUP(I1807,データについて!$J$3:$M$18,16,FALSE)</f>
        <v>1</v>
      </c>
      <c r="AA1807" s="81">
        <f>IFERROR(HLOOKUP(J1807,データについて!$J$4:$AH$19,16,FALSE),"")</f>
        <v>6</v>
      </c>
      <c r="AB1807" s="81" t="str">
        <f>IFERROR(HLOOKUP(K1807,データについて!$J$5:$AH$20,14,FALSE),"")</f>
        <v/>
      </c>
      <c r="AC1807" s="81">
        <f>IF(X1807=1,HLOOKUP(R1807,データについて!$J$12:$M$18,7,FALSE),"*")</f>
        <v>3</v>
      </c>
      <c r="AD1807" s="81" t="str">
        <f>IF(X1807=2,HLOOKUP(R1807,データについて!$J$12:$M$18,7,FALSE),"*")</f>
        <v>*</v>
      </c>
    </row>
    <row r="1808" spans="1:30">
      <c r="A1808" s="30">
        <v>3384</v>
      </c>
      <c r="B1808" s="30" t="s">
        <v>1711</v>
      </c>
      <c r="C1808" s="30" t="s">
        <v>1712</v>
      </c>
      <c r="D1808" s="30" t="s">
        <v>106</v>
      </c>
      <c r="E1808" s="30"/>
      <c r="F1808" s="30" t="s">
        <v>107</v>
      </c>
      <c r="G1808" s="30" t="s">
        <v>106</v>
      </c>
      <c r="H1808" s="30"/>
      <c r="I1808" s="30" t="s">
        <v>191</v>
      </c>
      <c r="J1808" s="30"/>
      <c r="K1808" s="30" t="s">
        <v>1713</v>
      </c>
      <c r="L1808" s="30" t="s">
        <v>108</v>
      </c>
      <c r="M1808" s="30" t="s">
        <v>109</v>
      </c>
      <c r="N1808" s="30" t="s">
        <v>114</v>
      </c>
      <c r="O1808" s="30" t="s">
        <v>115</v>
      </c>
      <c r="P1808" s="30" t="s">
        <v>118</v>
      </c>
      <c r="Q1808" s="30" t="s">
        <v>118</v>
      </c>
      <c r="R1808" s="30" t="s">
        <v>185</v>
      </c>
      <c r="S1808" s="81">
        <f>HLOOKUP(L1808,データについて!$J$6:$M$18,13,FALSE)</f>
        <v>1</v>
      </c>
      <c r="T1808" s="81">
        <f>HLOOKUP(M1808,データについて!$J$7:$M$18,12,FALSE)</f>
        <v>2</v>
      </c>
      <c r="U1808" s="81">
        <f>HLOOKUP(N1808,データについて!$J$8:$M$18,11,FALSE)</f>
        <v>1</v>
      </c>
      <c r="V1808" s="81">
        <f>HLOOKUP(O1808,データについて!$J$9:$M$18,10,FALSE)</f>
        <v>1</v>
      </c>
      <c r="W1808" s="81">
        <f>HLOOKUP(P1808,データについて!$J$10:$M$18,9,FALSE)</f>
        <v>2</v>
      </c>
      <c r="X1808" s="81">
        <f>HLOOKUP(Q1808,データについて!$J$11:$M$18,8,FALSE)</f>
        <v>2</v>
      </c>
      <c r="Y1808" s="81">
        <f>HLOOKUP(R1808,データについて!$J$12:$M$18,7,FALSE)</f>
        <v>2</v>
      </c>
      <c r="Z1808" s="81">
        <f>HLOOKUP(I1808,データについて!$J$3:$M$18,16,FALSE)</f>
        <v>2</v>
      </c>
      <c r="AA1808" s="81" t="str">
        <f>IFERROR(HLOOKUP(J1808,データについて!$J$4:$AH$19,16,FALSE),"")</f>
        <v/>
      </c>
      <c r="AB1808" s="81">
        <f>IFERROR(HLOOKUP(K1808,データについて!$J$5:$AH$20,14,FALSE),"")</f>
        <v>2</v>
      </c>
      <c r="AC1808" s="81" t="str">
        <f>IF(X1808=1,HLOOKUP(R1808,データについて!$J$12:$M$18,7,FALSE),"*")</f>
        <v>*</v>
      </c>
      <c r="AD1808" s="81">
        <f>IF(X1808=2,HLOOKUP(R1808,データについて!$J$12:$M$18,7,FALSE),"*")</f>
        <v>2</v>
      </c>
    </row>
    <row r="1809" spans="1:30">
      <c r="A1809" s="30">
        <v>3383</v>
      </c>
      <c r="B1809" s="30" t="s">
        <v>1714</v>
      </c>
      <c r="C1809" s="30" t="s">
        <v>1715</v>
      </c>
      <c r="D1809" s="30" t="s">
        <v>106</v>
      </c>
      <c r="E1809" s="30"/>
      <c r="F1809" s="30" t="s">
        <v>107</v>
      </c>
      <c r="G1809" s="30" t="s">
        <v>106</v>
      </c>
      <c r="H1809" s="30"/>
      <c r="I1809" s="30" t="s">
        <v>192</v>
      </c>
      <c r="J1809" s="30" t="s">
        <v>127</v>
      </c>
      <c r="K1809" s="30"/>
      <c r="L1809" s="30" t="s">
        <v>108</v>
      </c>
      <c r="M1809" s="30" t="s">
        <v>109</v>
      </c>
      <c r="N1809" s="30" t="s">
        <v>114</v>
      </c>
      <c r="O1809" s="30" t="s">
        <v>111</v>
      </c>
      <c r="P1809" s="30" t="s">
        <v>112</v>
      </c>
      <c r="Q1809" s="30" t="s">
        <v>112</v>
      </c>
      <c r="R1809" s="30" t="s">
        <v>183</v>
      </c>
      <c r="S1809" s="81">
        <f>HLOOKUP(L1809,データについて!$J$6:$M$18,13,FALSE)</f>
        <v>1</v>
      </c>
      <c r="T1809" s="81">
        <f>HLOOKUP(M1809,データについて!$J$7:$M$18,12,FALSE)</f>
        <v>2</v>
      </c>
      <c r="U1809" s="81">
        <f>HLOOKUP(N1809,データについて!$J$8:$M$18,11,FALSE)</f>
        <v>1</v>
      </c>
      <c r="V1809" s="81">
        <f>HLOOKUP(O1809,データについて!$J$9:$M$18,10,FALSE)</f>
        <v>3</v>
      </c>
      <c r="W1809" s="81">
        <f>HLOOKUP(P1809,データについて!$J$10:$M$18,9,FALSE)</f>
        <v>1</v>
      </c>
      <c r="X1809" s="81">
        <f>HLOOKUP(Q1809,データについて!$J$11:$M$18,8,FALSE)</f>
        <v>1</v>
      </c>
      <c r="Y1809" s="81">
        <f>HLOOKUP(R1809,データについて!$J$12:$M$18,7,FALSE)</f>
        <v>1</v>
      </c>
      <c r="Z1809" s="81">
        <f>HLOOKUP(I1809,データについて!$J$3:$M$18,16,FALSE)</f>
        <v>1</v>
      </c>
      <c r="AA1809" s="81">
        <f>IFERROR(HLOOKUP(J1809,データについて!$J$4:$AH$19,16,FALSE),"")</f>
        <v>14</v>
      </c>
      <c r="AB1809" s="81" t="str">
        <f>IFERROR(HLOOKUP(K1809,データについて!$J$5:$AH$20,14,FALSE),"")</f>
        <v/>
      </c>
      <c r="AC1809" s="81">
        <f>IF(X1809=1,HLOOKUP(R1809,データについて!$J$12:$M$18,7,FALSE),"*")</f>
        <v>1</v>
      </c>
      <c r="AD1809" s="81" t="str">
        <f>IF(X1809=2,HLOOKUP(R1809,データについて!$J$12:$M$18,7,FALSE),"*")</f>
        <v>*</v>
      </c>
    </row>
    <row r="1810" spans="1:30">
      <c r="A1810" s="30">
        <v>3382</v>
      </c>
      <c r="B1810" s="30" t="s">
        <v>1716</v>
      </c>
      <c r="C1810" s="30" t="s">
        <v>1717</v>
      </c>
      <c r="D1810" s="30" t="s">
        <v>106</v>
      </c>
      <c r="E1810" s="30"/>
      <c r="F1810" s="30" t="s">
        <v>107</v>
      </c>
      <c r="G1810" s="30" t="s">
        <v>106</v>
      </c>
      <c r="H1810" s="30"/>
      <c r="I1810" s="30" t="s">
        <v>192</v>
      </c>
      <c r="J1810" s="30" t="s">
        <v>611</v>
      </c>
      <c r="K1810" s="30"/>
      <c r="L1810" s="30" t="s">
        <v>108</v>
      </c>
      <c r="M1810" s="30" t="s">
        <v>113</v>
      </c>
      <c r="N1810" s="30" t="s">
        <v>122</v>
      </c>
      <c r="O1810" s="30" t="s">
        <v>115</v>
      </c>
      <c r="P1810" s="30" t="s">
        <v>118</v>
      </c>
      <c r="Q1810" s="30" t="s">
        <v>118</v>
      </c>
      <c r="R1810" s="30" t="s">
        <v>189</v>
      </c>
      <c r="S1810" s="81">
        <f>HLOOKUP(L1810,データについて!$J$6:$M$18,13,FALSE)</f>
        <v>1</v>
      </c>
      <c r="T1810" s="81">
        <f>HLOOKUP(M1810,データについて!$J$7:$M$18,12,FALSE)</f>
        <v>1</v>
      </c>
      <c r="U1810" s="81">
        <f>HLOOKUP(N1810,データについて!$J$8:$M$18,11,FALSE)</f>
        <v>3</v>
      </c>
      <c r="V1810" s="81">
        <f>HLOOKUP(O1810,データについて!$J$9:$M$18,10,FALSE)</f>
        <v>1</v>
      </c>
      <c r="W1810" s="81">
        <f>HLOOKUP(P1810,データについて!$J$10:$M$18,9,FALSE)</f>
        <v>2</v>
      </c>
      <c r="X1810" s="81">
        <f>HLOOKUP(Q1810,データについて!$J$11:$M$18,8,FALSE)</f>
        <v>2</v>
      </c>
      <c r="Y1810" s="81">
        <f>HLOOKUP(R1810,データについて!$J$12:$M$18,7,FALSE)</f>
        <v>4</v>
      </c>
      <c r="Z1810" s="81">
        <f>HLOOKUP(I1810,データについて!$J$3:$M$18,16,FALSE)</f>
        <v>1</v>
      </c>
      <c r="AA1810" s="81">
        <f>IFERROR(HLOOKUP(J1810,データについて!$J$4:$AH$19,16,FALSE),"")</f>
        <v>15</v>
      </c>
      <c r="AB1810" s="81" t="str">
        <f>IFERROR(HLOOKUP(K1810,データについて!$J$5:$AH$20,14,FALSE),"")</f>
        <v/>
      </c>
      <c r="AC1810" s="81" t="str">
        <f>IF(X1810=1,HLOOKUP(R1810,データについて!$J$12:$M$18,7,FALSE),"*")</f>
        <v>*</v>
      </c>
      <c r="AD1810" s="81">
        <f>IF(X1810=2,HLOOKUP(R1810,データについて!$J$12:$M$18,7,FALSE),"*")</f>
        <v>4</v>
      </c>
    </row>
    <row r="1811" spans="1:30">
      <c r="A1811" s="30">
        <v>3381</v>
      </c>
      <c r="B1811" s="30" t="s">
        <v>1718</v>
      </c>
      <c r="C1811" s="30" t="s">
        <v>1719</v>
      </c>
      <c r="D1811" s="30" t="s">
        <v>106</v>
      </c>
      <c r="E1811" s="30"/>
      <c r="F1811" s="30" t="s">
        <v>107</v>
      </c>
      <c r="G1811" s="30" t="s">
        <v>106</v>
      </c>
      <c r="H1811" s="30"/>
      <c r="I1811" s="30" t="s">
        <v>192</v>
      </c>
      <c r="J1811" s="30" t="s">
        <v>611</v>
      </c>
      <c r="K1811" s="30"/>
      <c r="L1811" s="30" t="s">
        <v>108</v>
      </c>
      <c r="M1811" s="30" t="s">
        <v>109</v>
      </c>
      <c r="N1811" s="30" t="s">
        <v>114</v>
      </c>
      <c r="O1811" s="30" t="s">
        <v>115</v>
      </c>
      <c r="P1811" s="30" t="s">
        <v>112</v>
      </c>
      <c r="Q1811" s="30" t="s">
        <v>112</v>
      </c>
      <c r="R1811" s="30" t="s">
        <v>185</v>
      </c>
      <c r="S1811" s="81">
        <f>HLOOKUP(L1811,データについて!$J$6:$M$18,13,FALSE)</f>
        <v>1</v>
      </c>
      <c r="T1811" s="81">
        <f>HLOOKUP(M1811,データについて!$J$7:$M$18,12,FALSE)</f>
        <v>2</v>
      </c>
      <c r="U1811" s="81">
        <f>HLOOKUP(N1811,データについて!$J$8:$M$18,11,FALSE)</f>
        <v>1</v>
      </c>
      <c r="V1811" s="81">
        <f>HLOOKUP(O1811,データについて!$J$9:$M$18,10,FALSE)</f>
        <v>1</v>
      </c>
      <c r="W1811" s="81">
        <f>HLOOKUP(P1811,データについて!$J$10:$M$18,9,FALSE)</f>
        <v>1</v>
      </c>
      <c r="X1811" s="81">
        <f>HLOOKUP(Q1811,データについて!$J$11:$M$18,8,FALSE)</f>
        <v>1</v>
      </c>
      <c r="Y1811" s="81">
        <f>HLOOKUP(R1811,データについて!$J$12:$M$18,7,FALSE)</f>
        <v>2</v>
      </c>
      <c r="Z1811" s="81">
        <f>HLOOKUP(I1811,データについて!$J$3:$M$18,16,FALSE)</f>
        <v>1</v>
      </c>
      <c r="AA1811" s="81">
        <f>IFERROR(HLOOKUP(J1811,データについて!$J$4:$AH$19,16,FALSE),"")</f>
        <v>15</v>
      </c>
      <c r="AB1811" s="81" t="str">
        <f>IFERROR(HLOOKUP(K1811,データについて!$J$5:$AH$20,14,FALSE),"")</f>
        <v/>
      </c>
      <c r="AC1811" s="81">
        <f>IF(X1811=1,HLOOKUP(R1811,データについて!$J$12:$M$18,7,FALSE),"*")</f>
        <v>2</v>
      </c>
      <c r="AD1811" s="81" t="str">
        <f>IF(X1811=2,HLOOKUP(R1811,データについて!$J$12:$M$18,7,FALSE),"*")</f>
        <v>*</v>
      </c>
    </row>
    <row r="1812" spans="1:30">
      <c r="A1812" s="30">
        <v>3380</v>
      </c>
      <c r="B1812" s="30" t="s">
        <v>1720</v>
      </c>
      <c r="C1812" s="30" t="s">
        <v>1721</v>
      </c>
      <c r="D1812" s="30" t="s">
        <v>106</v>
      </c>
      <c r="E1812" s="30"/>
      <c r="F1812" s="30" t="s">
        <v>107</v>
      </c>
      <c r="G1812" s="30" t="s">
        <v>106</v>
      </c>
      <c r="H1812" s="30"/>
      <c r="I1812" s="30" t="s">
        <v>192</v>
      </c>
      <c r="J1812" s="30" t="s">
        <v>635</v>
      </c>
      <c r="K1812" s="30"/>
      <c r="L1812" s="30" t="s">
        <v>108</v>
      </c>
      <c r="M1812" s="30" t="s">
        <v>113</v>
      </c>
      <c r="N1812" s="30" t="s">
        <v>114</v>
      </c>
      <c r="O1812" s="30" t="s">
        <v>115</v>
      </c>
      <c r="P1812" s="30" t="s">
        <v>112</v>
      </c>
      <c r="Q1812" s="30" t="s">
        <v>118</v>
      </c>
      <c r="R1812" s="30" t="s">
        <v>183</v>
      </c>
      <c r="S1812" s="81">
        <f>HLOOKUP(L1812,データについて!$J$6:$M$18,13,FALSE)</f>
        <v>1</v>
      </c>
      <c r="T1812" s="81">
        <f>HLOOKUP(M1812,データについて!$J$7:$M$18,12,FALSE)</f>
        <v>1</v>
      </c>
      <c r="U1812" s="81">
        <f>HLOOKUP(N1812,データについて!$J$8:$M$18,11,FALSE)</f>
        <v>1</v>
      </c>
      <c r="V1812" s="81">
        <f>HLOOKUP(O1812,データについて!$J$9:$M$18,10,FALSE)</f>
        <v>1</v>
      </c>
      <c r="W1812" s="81">
        <f>HLOOKUP(P1812,データについて!$J$10:$M$18,9,FALSE)</f>
        <v>1</v>
      </c>
      <c r="X1812" s="81">
        <f>HLOOKUP(Q1812,データについて!$J$11:$M$18,8,FALSE)</f>
        <v>2</v>
      </c>
      <c r="Y1812" s="81">
        <f>HLOOKUP(R1812,データについて!$J$12:$M$18,7,FALSE)</f>
        <v>1</v>
      </c>
      <c r="Z1812" s="81">
        <f>HLOOKUP(I1812,データについて!$J$3:$M$18,16,FALSE)</f>
        <v>1</v>
      </c>
      <c r="AA1812" s="81">
        <f>IFERROR(HLOOKUP(J1812,データについて!$J$4:$AH$19,16,FALSE),"")</f>
        <v>9</v>
      </c>
      <c r="AB1812" s="81" t="str">
        <f>IFERROR(HLOOKUP(K1812,データについて!$J$5:$AH$20,14,FALSE),"")</f>
        <v/>
      </c>
      <c r="AC1812" s="81" t="str">
        <f>IF(X1812=1,HLOOKUP(R1812,データについて!$J$12:$M$18,7,FALSE),"*")</f>
        <v>*</v>
      </c>
      <c r="AD1812" s="81">
        <f>IF(X1812=2,HLOOKUP(R1812,データについて!$J$12:$M$18,7,FALSE),"*")</f>
        <v>1</v>
      </c>
    </row>
    <row r="1813" spans="1:30">
      <c r="A1813" s="30">
        <v>3379</v>
      </c>
      <c r="B1813" s="30" t="s">
        <v>1722</v>
      </c>
      <c r="C1813" s="30" t="s">
        <v>1723</v>
      </c>
      <c r="D1813" s="30" t="s">
        <v>106</v>
      </c>
      <c r="E1813" s="30"/>
      <c r="F1813" s="30" t="s">
        <v>107</v>
      </c>
      <c r="G1813" s="30" t="s">
        <v>106</v>
      </c>
      <c r="H1813" s="30"/>
      <c r="I1813" s="30" t="s">
        <v>192</v>
      </c>
      <c r="J1813" s="30" t="s">
        <v>635</v>
      </c>
      <c r="K1813" s="30"/>
      <c r="L1813" s="30" t="s">
        <v>108</v>
      </c>
      <c r="M1813" s="30" t="s">
        <v>113</v>
      </c>
      <c r="N1813" s="30" t="s">
        <v>110</v>
      </c>
      <c r="O1813" s="30" t="s">
        <v>115</v>
      </c>
      <c r="P1813" s="30" t="s">
        <v>112</v>
      </c>
      <c r="Q1813" s="30" t="s">
        <v>112</v>
      </c>
      <c r="R1813" s="30" t="s">
        <v>183</v>
      </c>
      <c r="S1813" s="81">
        <f>HLOOKUP(L1813,データについて!$J$6:$M$18,13,FALSE)</f>
        <v>1</v>
      </c>
      <c r="T1813" s="81">
        <f>HLOOKUP(M1813,データについて!$J$7:$M$18,12,FALSE)</f>
        <v>1</v>
      </c>
      <c r="U1813" s="81">
        <f>HLOOKUP(N1813,データについて!$J$8:$M$18,11,FALSE)</f>
        <v>2</v>
      </c>
      <c r="V1813" s="81">
        <f>HLOOKUP(O1813,データについて!$J$9:$M$18,10,FALSE)</f>
        <v>1</v>
      </c>
      <c r="W1813" s="81">
        <f>HLOOKUP(P1813,データについて!$J$10:$M$18,9,FALSE)</f>
        <v>1</v>
      </c>
      <c r="X1813" s="81">
        <f>HLOOKUP(Q1813,データについて!$J$11:$M$18,8,FALSE)</f>
        <v>1</v>
      </c>
      <c r="Y1813" s="81">
        <f>HLOOKUP(R1813,データについて!$J$12:$M$18,7,FALSE)</f>
        <v>1</v>
      </c>
      <c r="Z1813" s="81">
        <f>HLOOKUP(I1813,データについて!$J$3:$M$18,16,FALSE)</f>
        <v>1</v>
      </c>
      <c r="AA1813" s="81">
        <f>IFERROR(HLOOKUP(J1813,データについて!$J$4:$AH$19,16,FALSE),"")</f>
        <v>9</v>
      </c>
      <c r="AB1813" s="81" t="str">
        <f>IFERROR(HLOOKUP(K1813,データについて!$J$5:$AH$20,14,FALSE),"")</f>
        <v/>
      </c>
      <c r="AC1813" s="81">
        <f>IF(X1813=1,HLOOKUP(R1813,データについて!$J$12:$M$18,7,FALSE),"*")</f>
        <v>1</v>
      </c>
      <c r="AD1813" s="81" t="str">
        <f>IF(X1813=2,HLOOKUP(R1813,データについて!$J$12:$M$18,7,FALSE),"*")</f>
        <v>*</v>
      </c>
    </row>
    <row r="1814" spans="1:30">
      <c r="A1814" s="30">
        <v>3378</v>
      </c>
      <c r="B1814" s="30" t="s">
        <v>1724</v>
      </c>
      <c r="C1814" s="30" t="s">
        <v>1725</v>
      </c>
      <c r="D1814" s="30" t="s">
        <v>106</v>
      </c>
      <c r="E1814" s="30"/>
      <c r="F1814" s="30" t="s">
        <v>107</v>
      </c>
      <c r="G1814" s="30" t="s">
        <v>106</v>
      </c>
      <c r="H1814" s="30"/>
      <c r="I1814" s="30" t="s">
        <v>192</v>
      </c>
      <c r="J1814" s="30" t="s">
        <v>635</v>
      </c>
      <c r="K1814" s="30"/>
      <c r="L1814" s="30" t="s">
        <v>108</v>
      </c>
      <c r="M1814" s="30" t="s">
        <v>113</v>
      </c>
      <c r="N1814" s="30" t="s">
        <v>114</v>
      </c>
      <c r="O1814" s="30" t="s">
        <v>115</v>
      </c>
      <c r="P1814" s="30" t="s">
        <v>112</v>
      </c>
      <c r="Q1814" s="30" t="s">
        <v>112</v>
      </c>
      <c r="R1814" s="30" t="s">
        <v>183</v>
      </c>
      <c r="S1814" s="81">
        <f>HLOOKUP(L1814,データについて!$J$6:$M$18,13,FALSE)</f>
        <v>1</v>
      </c>
      <c r="T1814" s="81">
        <f>HLOOKUP(M1814,データについて!$J$7:$M$18,12,FALSE)</f>
        <v>1</v>
      </c>
      <c r="U1814" s="81">
        <f>HLOOKUP(N1814,データについて!$J$8:$M$18,11,FALSE)</f>
        <v>1</v>
      </c>
      <c r="V1814" s="81">
        <f>HLOOKUP(O1814,データについて!$J$9:$M$18,10,FALSE)</f>
        <v>1</v>
      </c>
      <c r="W1814" s="81">
        <f>HLOOKUP(P1814,データについて!$J$10:$M$18,9,FALSE)</f>
        <v>1</v>
      </c>
      <c r="X1814" s="81">
        <f>HLOOKUP(Q1814,データについて!$J$11:$M$18,8,FALSE)</f>
        <v>1</v>
      </c>
      <c r="Y1814" s="81">
        <f>HLOOKUP(R1814,データについて!$J$12:$M$18,7,FALSE)</f>
        <v>1</v>
      </c>
      <c r="Z1814" s="81">
        <f>HLOOKUP(I1814,データについて!$J$3:$M$18,16,FALSE)</f>
        <v>1</v>
      </c>
      <c r="AA1814" s="81">
        <f>IFERROR(HLOOKUP(J1814,データについて!$J$4:$AH$19,16,FALSE),"")</f>
        <v>9</v>
      </c>
      <c r="AB1814" s="81" t="str">
        <f>IFERROR(HLOOKUP(K1814,データについて!$J$5:$AH$20,14,FALSE),"")</f>
        <v/>
      </c>
      <c r="AC1814" s="81">
        <f>IF(X1814=1,HLOOKUP(R1814,データについて!$J$12:$M$18,7,FALSE),"*")</f>
        <v>1</v>
      </c>
      <c r="AD1814" s="81" t="str">
        <f>IF(X1814=2,HLOOKUP(R1814,データについて!$J$12:$M$18,7,FALSE),"*")</f>
        <v>*</v>
      </c>
    </row>
    <row r="1815" spans="1:30">
      <c r="A1815" s="30">
        <v>3377</v>
      </c>
      <c r="B1815" s="30" t="s">
        <v>1726</v>
      </c>
      <c r="C1815" s="30" t="s">
        <v>1727</v>
      </c>
      <c r="D1815" s="30" t="s">
        <v>106</v>
      </c>
      <c r="E1815" s="30"/>
      <c r="F1815" s="30" t="s">
        <v>107</v>
      </c>
      <c r="G1815" s="30" t="s">
        <v>106</v>
      </c>
      <c r="H1815" s="30"/>
      <c r="I1815" s="30" t="s">
        <v>192</v>
      </c>
      <c r="J1815" s="30" t="s">
        <v>635</v>
      </c>
      <c r="K1815" s="30"/>
      <c r="L1815" s="30" t="s">
        <v>108</v>
      </c>
      <c r="M1815" s="30" t="s">
        <v>113</v>
      </c>
      <c r="N1815" s="30" t="s">
        <v>110</v>
      </c>
      <c r="O1815" s="30" t="s">
        <v>115</v>
      </c>
      <c r="P1815" s="30" t="s">
        <v>112</v>
      </c>
      <c r="Q1815" s="30" t="s">
        <v>112</v>
      </c>
      <c r="R1815" s="30" t="s">
        <v>187</v>
      </c>
      <c r="S1815" s="81">
        <f>HLOOKUP(L1815,データについて!$J$6:$M$18,13,FALSE)</f>
        <v>1</v>
      </c>
      <c r="T1815" s="81">
        <f>HLOOKUP(M1815,データについて!$J$7:$M$18,12,FALSE)</f>
        <v>1</v>
      </c>
      <c r="U1815" s="81">
        <f>HLOOKUP(N1815,データについて!$J$8:$M$18,11,FALSE)</f>
        <v>2</v>
      </c>
      <c r="V1815" s="81">
        <f>HLOOKUP(O1815,データについて!$J$9:$M$18,10,FALSE)</f>
        <v>1</v>
      </c>
      <c r="W1815" s="81">
        <f>HLOOKUP(P1815,データについて!$J$10:$M$18,9,FALSE)</f>
        <v>1</v>
      </c>
      <c r="X1815" s="81">
        <f>HLOOKUP(Q1815,データについて!$J$11:$M$18,8,FALSE)</f>
        <v>1</v>
      </c>
      <c r="Y1815" s="81">
        <f>HLOOKUP(R1815,データについて!$J$12:$M$18,7,FALSE)</f>
        <v>3</v>
      </c>
      <c r="Z1815" s="81">
        <f>HLOOKUP(I1815,データについて!$J$3:$M$18,16,FALSE)</f>
        <v>1</v>
      </c>
      <c r="AA1815" s="81">
        <f>IFERROR(HLOOKUP(J1815,データについて!$J$4:$AH$19,16,FALSE),"")</f>
        <v>9</v>
      </c>
      <c r="AB1815" s="81" t="str">
        <f>IFERROR(HLOOKUP(K1815,データについて!$J$5:$AH$20,14,FALSE),"")</f>
        <v/>
      </c>
      <c r="AC1815" s="81">
        <f>IF(X1815=1,HLOOKUP(R1815,データについて!$J$12:$M$18,7,FALSE),"*")</f>
        <v>3</v>
      </c>
      <c r="AD1815" s="81" t="str">
        <f>IF(X1815=2,HLOOKUP(R1815,データについて!$J$12:$M$18,7,FALSE),"*")</f>
        <v>*</v>
      </c>
    </row>
    <row r="1816" spans="1:30">
      <c r="A1816" s="30">
        <v>3376</v>
      </c>
      <c r="B1816" s="30" t="s">
        <v>1728</v>
      </c>
      <c r="C1816" s="30" t="s">
        <v>1729</v>
      </c>
      <c r="D1816" s="30" t="s">
        <v>106</v>
      </c>
      <c r="E1816" s="30"/>
      <c r="F1816" s="30" t="s">
        <v>107</v>
      </c>
      <c r="G1816" s="30" t="s">
        <v>106</v>
      </c>
      <c r="H1816" s="30"/>
      <c r="I1816" s="30" t="s">
        <v>192</v>
      </c>
      <c r="J1816" s="30" t="s">
        <v>635</v>
      </c>
      <c r="K1816" s="30"/>
      <c r="L1816" s="30" t="s">
        <v>117</v>
      </c>
      <c r="M1816" s="30" t="s">
        <v>113</v>
      </c>
      <c r="N1816" s="30" t="s">
        <v>114</v>
      </c>
      <c r="O1816" s="30" t="s">
        <v>116</v>
      </c>
      <c r="P1816" s="30" t="s">
        <v>112</v>
      </c>
      <c r="Q1816" s="30" t="s">
        <v>112</v>
      </c>
      <c r="R1816" s="30" t="s">
        <v>185</v>
      </c>
      <c r="S1816" s="81">
        <f>HLOOKUP(L1816,データについて!$J$6:$M$18,13,FALSE)</f>
        <v>2</v>
      </c>
      <c r="T1816" s="81">
        <f>HLOOKUP(M1816,データについて!$J$7:$M$18,12,FALSE)</f>
        <v>1</v>
      </c>
      <c r="U1816" s="81">
        <f>HLOOKUP(N1816,データについて!$J$8:$M$18,11,FALSE)</f>
        <v>1</v>
      </c>
      <c r="V1816" s="81">
        <f>HLOOKUP(O1816,データについて!$J$9:$M$18,10,FALSE)</f>
        <v>2</v>
      </c>
      <c r="W1816" s="81">
        <f>HLOOKUP(P1816,データについて!$J$10:$M$18,9,FALSE)</f>
        <v>1</v>
      </c>
      <c r="X1816" s="81">
        <f>HLOOKUP(Q1816,データについて!$J$11:$M$18,8,FALSE)</f>
        <v>1</v>
      </c>
      <c r="Y1816" s="81">
        <f>HLOOKUP(R1816,データについて!$J$12:$M$18,7,FALSE)</f>
        <v>2</v>
      </c>
      <c r="Z1816" s="81">
        <f>HLOOKUP(I1816,データについて!$J$3:$M$18,16,FALSE)</f>
        <v>1</v>
      </c>
      <c r="AA1816" s="81">
        <f>IFERROR(HLOOKUP(J1816,データについて!$J$4:$AH$19,16,FALSE),"")</f>
        <v>9</v>
      </c>
      <c r="AB1816" s="81" t="str">
        <f>IFERROR(HLOOKUP(K1816,データについて!$J$5:$AH$20,14,FALSE),"")</f>
        <v/>
      </c>
      <c r="AC1816" s="81">
        <f>IF(X1816=1,HLOOKUP(R1816,データについて!$J$12:$M$18,7,FALSE),"*")</f>
        <v>2</v>
      </c>
      <c r="AD1816" s="81" t="str">
        <f>IF(X1816=2,HLOOKUP(R1816,データについて!$J$12:$M$18,7,FALSE),"*")</f>
        <v>*</v>
      </c>
    </row>
    <row r="1817" spans="1:30">
      <c r="A1817" s="30">
        <v>3375</v>
      </c>
      <c r="B1817" s="30" t="s">
        <v>1730</v>
      </c>
      <c r="C1817" s="30" t="s">
        <v>1729</v>
      </c>
      <c r="D1817" s="30" t="s">
        <v>106</v>
      </c>
      <c r="E1817" s="30"/>
      <c r="F1817" s="30" t="s">
        <v>107</v>
      </c>
      <c r="G1817" s="30" t="s">
        <v>106</v>
      </c>
      <c r="H1817" s="30"/>
      <c r="I1817" s="30" t="s">
        <v>192</v>
      </c>
      <c r="J1817" s="30" t="s">
        <v>635</v>
      </c>
      <c r="K1817" s="30"/>
      <c r="L1817" s="30" t="s">
        <v>117</v>
      </c>
      <c r="M1817" s="30" t="s">
        <v>109</v>
      </c>
      <c r="N1817" s="30" t="s">
        <v>110</v>
      </c>
      <c r="O1817" s="30" t="s">
        <v>115</v>
      </c>
      <c r="P1817" s="30" t="s">
        <v>112</v>
      </c>
      <c r="Q1817" s="30" t="s">
        <v>112</v>
      </c>
      <c r="R1817" s="30" t="s">
        <v>185</v>
      </c>
      <c r="S1817" s="81">
        <f>HLOOKUP(L1817,データについて!$J$6:$M$18,13,FALSE)</f>
        <v>2</v>
      </c>
      <c r="T1817" s="81">
        <f>HLOOKUP(M1817,データについて!$J$7:$M$18,12,FALSE)</f>
        <v>2</v>
      </c>
      <c r="U1817" s="81">
        <f>HLOOKUP(N1817,データについて!$J$8:$M$18,11,FALSE)</f>
        <v>2</v>
      </c>
      <c r="V1817" s="81">
        <f>HLOOKUP(O1817,データについて!$J$9:$M$18,10,FALSE)</f>
        <v>1</v>
      </c>
      <c r="W1817" s="81">
        <f>HLOOKUP(P1817,データについて!$J$10:$M$18,9,FALSE)</f>
        <v>1</v>
      </c>
      <c r="X1817" s="81">
        <f>HLOOKUP(Q1817,データについて!$J$11:$M$18,8,FALSE)</f>
        <v>1</v>
      </c>
      <c r="Y1817" s="81">
        <f>HLOOKUP(R1817,データについて!$J$12:$M$18,7,FALSE)</f>
        <v>2</v>
      </c>
      <c r="Z1817" s="81">
        <f>HLOOKUP(I1817,データについて!$J$3:$M$18,16,FALSE)</f>
        <v>1</v>
      </c>
      <c r="AA1817" s="81">
        <f>IFERROR(HLOOKUP(J1817,データについて!$J$4:$AH$19,16,FALSE),"")</f>
        <v>9</v>
      </c>
      <c r="AB1817" s="81" t="str">
        <f>IFERROR(HLOOKUP(K1817,データについて!$J$5:$AH$20,14,FALSE),"")</f>
        <v/>
      </c>
      <c r="AC1817" s="81">
        <f>IF(X1817=1,HLOOKUP(R1817,データについて!$J$12:$M$18,7,FALSE),"*")</f>
        <v>2</v>
      </c>
      <c r="AD1817" s="81" t="str">
        <f>IF(X1817=2,HLOOKUP(R1817,データについて!$J$12:$M$18,7,FALSE),"*")</f>
        <v>*</v>
      </c>
    </row>
    <row r="1818" spans="1:30">
      <c r="A1818" s="30">
        <v>3374</v>
      </c>
      <c r="B1818" s="30" t="s">
        <v>1731</v>
      </c>
      <c r="C1818" s="30" t="s">
        <v>1729</v>
      </c>
      <c r="D1818" s="30" t="s">
        <v>106</v>
      </c>
      <c r="E1818" s="30"/>
      <c r="F1818" s="30" t="s">
        <v>107</v>
      </c>
      <c r="G1818" s="30" t="s">
        <v>106</v>
      </c>
      <c r="H1818" s="30"/>
      <c r="I1818" s="30" t="s">
        <v>192</v>
      </c>
      <c r="J1818" s="30" t="s">
        <v>635</v>
      </c>
      <c r="K1818" s="30"/>
      <c r="L1818" s="30" t="s">
        <v>108</v>
      </c>
      <c r="M1818" s="30" t="s">
        <v>124</v>
      </c>
      <c r="N1818" s="30" t="s">
        <v>122</v>
      </c>
      <c r="O1818" s="30" t="s">
        <v>115</v>
      </c>
      <c r="P1818" s="30" t="s">
        <v>118</v>
      </c>
      <c r="Q1818" s="30" t="s">
        <v>118</v>
      </c>
      <c r="R1818" s="30" t="s">
        <v>189</v>
      </c>
      <c r="S1818" s="81">
        <f>HLOOKUP(L1818,データについて!$J$6:$M$18,13,FALSE)</f>
        <v>1</v>
      </c>
      <c r="T1818" s="81">
        <f>HLOOKUP(M1818,データについて!$J$7:$M$18,12,FALSE)</f>
        <v>3</v>
      </c>
      <c r="U1818" s="81">
        <f>HLOOKUP(N1818,データについて!$J$8:$M$18,11,FALSE)</f>
        <v>3</v>
      </c>
      <c r="V1818" s="81">
        <f>HLOOKUP(O1818,データについて!$J$9:$M$18,10,FALSE)</f>
        <v>1</v>
      </c>
      <c r="W1818" s="81">
        <f>HLOOKUP(P1818,データについて!$J$10:$M$18,9,FALSE)</f>
        <v>2</v>
      </c>
      <c r="X1818" s="81">
        <f>HLOOKUP(Q1818,データについて!$J$11:$M$18,8,FALSE)</f>
        <v>2</v>
      </c>
      <c r="Y1818" s="81">
        <f>HLOOKUP(R1818,データについて!$J$12:$M$18,7,FALSE)</f>
        <v>4</v>
      </c>
      <c r="Z1818" s="81">
        <f>HLOOKUP(I1818,データについて!$J$3:$M$18,16,FALSE)</f>
        <v>1</v>
      </c>
      <c r="AA1818" s="81">
        <f>IFERROR(HLOOKUP(J1818,データについて!$J$4:$AH$19,16,FALSE),"")</f>
        <v>9</v>
      </c>
      <c r="AB1818" s="81" t="str">
        <f>IFERROR(HLOOKUP(K1818,データについて!$J$5:$AH$20,14,FALSE),"")</f>
        <v/>
      </c>
      <c r="AC1818" s="81" t="str">
        <f>IF(X1818=1,HLOOKUP(R1818,データについて!$J$12:$M$18,7,FALSE),"*")</f>
        <v>*</v>
      </c>
      <c r="AD1818" s="81">
        <f>IF(X1818=2,HLOOKUP(R1818,データについて!$J$12:$M$18,7,FALSE),"*")</f>
        <v>4</v>
      </c>
    </row>
    <row r="1819" spans="1:30">
      <c r="A1819" s="30">
        <v>3373</v>
      </c>
      <c r="B1819" s="30" t="s">
        <v>1732</v>
      </c>
      <c r="C1819" s="30" t="s">
        <v>1733</v>
      </c>
      <c r="D1819" s="30" t="s">
        <v>106</v>
      </c>
      <c r="E1819" s="30"/>
      <c r="F1819" s="30" t="s">
        <v>107</v>
      </c>
      <c r="G1819" s="30" t="s">
        <v>106</v>
      </c>
      <c r="H1819" s="30"/>
      <c r="I1819" s="30" t="s">
        <v>192</v>
      </c>
      <c r="J1819" s="30" t="s">
        <v>635</v>
      </c>
      <c r="K1819" s="30"/>
      <c r="L1819" s="30" t="s">
        <v>108</v>
      </c>
      <c r="M1819" s="30" t="s">
        <v>113</v>
      </c>
      <c r="N1819" s="30" t="s">
        <v>110</v>
      </c>
      <c r="O1819" s="30" t="s">
        <v>115</v>
      </c>
      <c r="P1819" s="30" t="s">
        <v>112</v>
      </c>
      <c r="Q1819" s="30" t="s">
        <v>118</v>
      </c>
      <c r="R1819" s="30" t="s">
        <v>187</v>
      </c>
      <c r="S1819" s="81">
        <f>HLOOKUP(L1819,データについて!$J$6:$M$18,13,FALSE)</f>
        <v>1</v>
      </c>
      <c r="T1819" s="81">
        <f>HLOOKUP(M1819,データについて!$J$7:$M$18,12,FALSE)</f>
        <v>1</v>
      </c>
      <c r="U1819" s="81">
        <f>HLOOKUP(N1819,データについて!$J$8:$M$18,11,FALSE)</f>
        <v>2</v>
      </c>
      <c r="V1819" s="81">
        <f>HLOOKUP(O1819,データについて!$J$9:$M$18,10,FALSE)</f>
        <v>1</v>
      </c>
      <c r="W1819" s="81">
        <f>HLOOKUP(P1819,データについて!$J$10:$M$18,9,FALSE)</f>
        <v>1</v>
      </c>
      <c r="X1819" s="81">
        <f>HLOOKUP(Q1819,データについて!$J$11:$M$18,8,FALSE)</f>
        <v>2</v>
      </c>
      <c r="Y1819" s="81">
        <f>HLOOKUP(R1819,データについて!$J$12:$M$18,7,FALSE)</f>
        <v>3</v>
      </c>
      <c r="Z1819" s="81">
        <f>HLOOKUP(I1819,データについて!$J$3:$M$18,16,FALSE)</f>
        <v>1</v>
      </c>
      <c r="AA1819" s="81">
        <f>IFERROR(HLOOKUP(J1819,データについて!$J$4:$AH$19,16,FALSE),"")</f>
        <v>9</v>
      </c>
      <c r="AB1819" s="81" t="str">
        <f>IFERROR(HLOOKUP(K1819,データについて!$J$5:$AH$20,14,FALSE),"")</f>
        <v/>
      </c>
      <c r="AC1819" s="81" t="str">
        <f>IF(X1819=1,HLOOKUP(R1819,データについて!$J$12:$M$18,7,FALSE),"*")</f>
        <v>*</v>
      </c>
      <c r="AD1819" s="81">
        <f>IF(X1819=2,HLOOKUP(R1819,データについて!$J$12:$M$18,7,FALSE),"*")</f>
        <v>3</v>
      </c>
    </row>
    <row r="1820" spans="1:30">
      <c r="A1820" s="30">
        <v>3372</v>
      </c>
      <c r="B1820" s="30" t="s">
        <v>1734</v>
      </c>
      <c r="C1820" s="30" t="s">
        <v>1735</v>
      </c>
      <c r="D1820" s="30" t="s">
        <v>106</v>
      </c>
      <c r="E1820" s="30"/>
      <c r="F1820" s="30" t="s">
        <v>107</v>
      </c>
      <c r="G1820" s="30" t="s">
        <v>106</v>
      </c>
      <c r="H1820" s="30"/>
      <c r="I1820" s="30" t="s">
        <v>192</v>
      </c>
      <c r="J1820" s="30" t="s">
        <v>635</v>
      </c>
      <c r="K1820" s="30"/>
      <c r="L1820" s="30" t="s">
        <v>108</v>
      </c>
      <c r="M1820" s="30" t="s">
        <v>113</v>
      </c>
      <c r="N1820" s="30" t="s">
        <v>119</v>
      </c>
      <c r="O1820" s="30" t="s">
        <v>115</v>
      </c>
      <c r="P1820" s="30" t="s">
        <v>112</v>
      </c>
      <c r="Q1820" s="30" t="s">
        <v>112</v>
      </c>
      <c r="R1820" s="30" t="s">
        <v>183</v>
      </c>
      <c r="S1820" s="81">
        <f>HLOOKUP(L1820,データについて!$J$6:$M$18,13,FALSE)</f>
        <v>1</v>
      </c>
      <c r="T1820" s="81">
        <f>HLOOKUP(M1820,データについて!$J$7:$M$18,12,FALSE)</f>
        <v>1</v>
      </c>
      <c r="U1820" s="81">
        <f>HLOOKUP(N1820,データについて!$J$8:$M$18,11,FALSE)</f>
        <v>4</v>
      </c>
      <c r="V1820" s="81">
        <f>HLOOKUP(O1820,データについて!$J$9:$M$18,10,FALSE)</f>
        <v>1</v>
      </c>
      <c r="W1820" s="81">
        <f>HLOOKUP(P1820,データについて!$J$10:$M$18,9,FALSE)</f>
        <v>1</v>
      </c>
      <c r="X1820" s="81">
        <f>HLOOKUP(Q1820,データについて!$J$11:$M$18,8,FALSE)</f>
        <v>1</v>
      </c>
      <c r="Y1820" s="81">
        <f>HLOOKUP(R1820,データについて!$J$12:$M$18,7,FALSE)</f>
        <v>1</v>
      </c>
      <c r="Z1820" s="81">
        <f>HLOOKUP(I1820,データについて!$J$3:$M$18,16,FALSE)</f>
        <v>1</v>
      </c>
      <c r="AA1820" s="81">
        <f>IFERROR(HLOOKUP(J1820,データについて!$J$4:$AH$19,16,FALSE),"")</f>
        <v>9</v>
      </c>
      <c r="AB1820" s="81" t="str">
        <f>IFERROR(HLOOKUP(K1820,データについて!$J$5:$AH$20,14,FALSE),"")</f>
        <v/>
      </c>
      <c r="AC1820" s="81">
        <f>IF(X1820=1,HLOOKUP(R1820,データについて!$J$12:$M$18,7,FALSE),"*")</f>
        <v>1</v>
      </c>
      <c r="AD1820" s="81" t="str">
        <f>IF(X1820=2,HLOOKUP(R1820,データについて!$J$12:$M$18,7,FALSE),"*")</f>
        <v>*</v>
      </c>
    </row>
    <row r="1821" spans="1:30">
      <c r="A1821" s="30">
        <v>3371</v>
      </c>
      <c r="B1821" s="30" t="s">
        <v>1736</v>
      </c>
      <c r="C1821" s="30" t="s">
        <v>1735</v>
      </c>
      <c r="D1821" s="30" t="s">
        <v>106</v>
      </c>
      <c r="E1821" s="30"/>
      <c r="F1821" s="30" t="s">
        <v>107</v>
      </c>
      <c r="G1821" s="30" t="s">
        <v>106</v>
      </c>
      <c r="H1821" s="30"/>
      <c r="I1821" s="30" t="s">
        <v>192</v>
      </c>
      <c r="J1821" s="30" t="s">
        <v>635</v>
      </c>
      <c r="K1821" s="30"/>
      <c r="L1821" s="30" t="s">
        <v>108</v>
      </c>
      <c r="M1821" s="30" t="s">
        <v>113</v>
      </c>
      <c r="N1821" s="30" t="s">
        <v>114</v>
      </c>
      <c r="O1821" s="30" t="s">
        <v>115</v>
      </c>
      <c r="P1821" s="30" t="s">
        <v>112</v>
      </c>
      <c r="Q1821" s="30" t="s">
        <v>112</v>
      </c>
      <c r="R1821" s="30" t="s">
        <v>185</v>
      </c>
      <c r="S1821" s="81">
        <f>HLOOKUP(L1821,データについて!$J$6:$M$18,13,FALSE)</f>
        <v>1</v>
      </c>
      <c r="T1821" s="81">
        <f>HLOOKUP(M1821,データについて!$J$7:$M$18,12,FALSE)</f>
        <v>1</v>
      </c>
      <c r="U1821" s="81">
        <f>HLOOKUP(N1821,データについて!$J$8:$M$18,11,FALSE)</f>
        <v>1</v>
      </c>
      <c r="V1821" s="81">
        <f>HLOOKUP(O1821,データについて!$J$9:$M$18,10,FALSE)</f>
        <v>1</v>
      </c>
      <c r="W1821" s="81">
        <f>HLOOKUP(P1821,データについて!$J$10:$M$18,9,FALSE)</f>
        <v>1</v>
      </c>
      <c r="X1821" s="81">
        <f>HLOOKUP(Q1821,データについて!$J$11:$M$18,8,FALSE)</f>
        <v>1</v>
      </c>
      <c r="Y1821" s="81">
        <f>HLOOKUP(R1821,データについて!$J$12:$M$18,7,FALSE)</f>
        <v>2</v>
      </c>
      <c r="Z1821" s="81">
        <f>HLOOKUP(I1821,データについて!$J$3:$M$18,16,FALSE)</f>
        <v>1</v>
      </c>
      <c r="AA1821" s="81">
        <f>IFERROR(HLOOKUP(J1821,データについて!$J$4:$AH$19,16,FALSE),"")</f>
        <v>9</v>
      </c>
      <c r="AB1821" s="81" t="str">
        <f>IFERROR(HLOOKUP(K1821,データについて!$J$5:$AH$20,14,FALSE),"")</f>
        <v/>
      </c>
      <c r="AC1821" s="81">
        <f>IF(X1821=1,HLOOKUP(R1821,データについて!$J$12:$M$18,7,FALSE),"*")</f>
        <v>2</v>
      </c>
      <c r="AD1821" s="81" t="str">
        <f>IF(X1821=2,HLOOKUP(R1821,データについて!$J$12:$M$18,7,FALSE),"*")</f>
        <v>*</v>
      </c>
    </row>
    <row r="1822" spans="1:30">
      <c r="A1822" s="30">
        <v>3370</v>
      </c>
      <c r="B1822" s="30" t="s">
        <v>1737</v>
      </c>
      <c r="C1822" s="30" t="s">
        <v>1735</v>
      </c>
      <c r="D1822" s="30" t="s">
        <v>106</v>
      </c>
      <c r="E1822" s="30"/>
      <c r="F1822" s="30" t="s">
        <v>107</v>
      </c>
      <c r="G1822" s="30" t="s">
        <v>106</v>
      </c>
      <c r="H1822" s="30"/>
      <c r="I1822" s="30" t="s">
        <v>192</v>
      </c>
      <c r="J1822" s="30" t="s">
        <v>635</v>
      </c>
      <c r="K1822" s="30"/>
      <c r="L1822" s="30" t="s">
        <v>117</v>
      </c>
      <c r="M1822" s="30" t="s">
        <v>124</v>
      </c>
      <c r="N1822" s="30" t="s">
        <v>110</v>
      </c>
      <c r="O1822" s="30" t="s">
        <v>115</v>
      </c>
      <c r="P1822" s="30" t="s">
        <v>112</v>
      </c>
      <c r="Q1822" s="30" t="s">
        <v>112</v>
      </c>
      <c r="R1822" s="30" t="s">
        <v>189</v>
      </c>
      <c r="S1822" s="81">
        <f>HLOOKUP(L1822,データについて!$J$6:$M$18,13,FALSE)</f>
        <v>2</v>
      </c>
      <c r="T1822" s="81">
        <f>HLOOKUP(M1822,データについて!$J$7:$M$18,12,FALSE)</f>
        <v>3</v>
      </c>
      <c r="U1822" s="81">
        <f>HLOOKUP(N1822,データについて!$J$8:$M$18,11,FALSE)</f>
        <v>2</v>
      </c>
      <c r="V1822" s="81">
        <f>HLOOKUP(O1822,データについて!$J$9:$M$18,10,FALSE)</f>
        <v>1</v>
      </c>
      <c r="W1822" s="81">
        <f>HLOOKUP(P1822,データについて!$J$10:$M$18,9,FALSE)</f>
        <v>1</v>
      </c>
      <c r="X1822" s="81">
        <f>HLOOKUP(Q1822,データについて!$J$11:$M$18,8,FALSE)</f>
        <v>1</v>
      </c>
      <c r="Y1822" s="81">
        <f>HLOOKUP(R1822,データについて!$J$12:$M$18,7,FALSE)</f>
        <v>4</v>
      </c>
      <c r="Z1822" s="81">
        <f>HLOOKUP(I1822,データについて!$J$3:$M$18,16,FALSE)</f>
        <v>1</v>
      </c>
      <c r="AA1822" s="81">
        <f>IFERROR(HLOOKUP(J1822,データについて!$J$4:$AH$19,16,FALSE),"")</f>
        <v>9</v>
      </c>
      <c r="AB1822" s="81" t="str">
        <f>IFERROR(HLOOKUP(K1822,データについて!$J$5:$AH$20,14,FALSE),"")</f>
        <v/>
      </c>
      <c r="AC1822" s="81">
        <f>IF(X1822=1,HLOOKUP(R1822,データについて!$J$12:$M$18,7,FALSE),"*")</f>
        <v>4</v>
      </c>
      <c r="AD1822" s="81" t="str">
        <f>IF(X1822=2,HLOOKUP(R1822,データについて!$J$12:$M$18,7,FALSE),"*")</f>
        <v>*</v>
      </c>
    </row>
    <row r="1823" spans="1:30">
      <c r="A1823" s="30">
        <v>3369</v>
      </c>
      <c r="B1823" s="30" t="s">
        <v>1738</v>
      </c>
      <c r="C1823" s="30" t="s">
        <v>1739</v>
      </c>
      <c r="D1823" s="30" t="s">
        <v>106</v>
      </c>
      <c r="E1823" s="30"/>
      <c r="F1823" s="30" t="s">
        <v>107</v>
      </c>
      <c r="G1823" s="30" t="s">
        <v>106</v>
      </c>
      <c r="H1823" s="30"/>
      <c r="I1823" s="30" t="s">
        <v>192</v>
      </c>
      <c r="J1823" s="30" t="s">
        <v>635</v>
      </c>
      <c r="K1823" s="30"/>
      <c r="L1823" s="30" t="s">
        <v>108</v>
      </c>
      <c r="M1823" s="30" t="s">
        <v>109</v>
      </c>
      <c r="N1823" s="30" t="s">
        <v>114</v>
      </c>
      <c r="O1823" s="30" t="s">
        <v>115</v>
      </c>
      <c r="P1823" s="30" t="s">
        <v>118</v>
      </c>
      <c r="Q1823" s="30" t="s">
        <v>112</v>
      </c>
      <c r="R1823" s="30" t="s">
        <v>183</v>
      </c>
      <c r="S1823" s="81">
        <f>HLOOKUP(L1823,データについて!$J$6:$M$18,13,FALSE)</f>
        <v>1</v>
      </c>
      <c r="T1823" s="81">
        <f>HLOOKUP(M1823,データについて!$J$7:$M$18,12,FALSE)</f>
        <v>2</v>
      </c>
      <c r="U1823" s="81">
        <f>HLOOKUP(N1823,データについて!$J$8:$M$18,11,FALSE)</f>
        <v>1</v>
      </c>
      <c r="V1823" s="81">
        <f>HLOOKUP(O1823,データについて!$J$9:$M$18,10,FALSE)</f>
        <v>1</v>
      </c>
      <c r="W1823" s="81">
        <f>HLOOKUP(P1823,データについて!$J$10:$M$18,9,FALSE)</f>
        <v>2</v>
      </c>
      <c r="X1823" s="81">
        <f>HLOOKUP(Q1823,データについて!$J$11:$M$18,8,FALSE)</f>
        <v>1</v>
      </c>
      <c r="Y1823" s="81">
        <f>HLOOKUP(R1823,データについて!$J$12:$M$18,7,FALSE)</f>
        <v>1</v>
      </c>
      <c r="Z1823" s="81">
        <f>HLOOKUP(I1823,データについて!$J$3:$M$18,16,FALSE)</f>
        <v>1</v>
      </c>
      <c r="AA1823" s="81">
        <f>IFERROR(HLOOKUP(J1823,データについて!$J$4:$AH$19,16,FALSE),"")</f>
        <v>9</v>
      </c>
      <c r="AB1823" s="81" t="str">
        <f>IFERROR(HLOOKUP(K1823,データについて!$J$5:$AH$20,14,FALSE),"")</f>
        <v/>
      </c>
      <c r="AC1823" s="81">
        <f>IF(X1823=1,HLOOKUP(R1823,データについて!$J$12:$M$18,7,FALSE),"*")</f>
        <v>1</v>
      </c>
      <c r="AD1823" s="81" t="str">
        <f>IF(X1823=2,HLOOKUP(R1823,データについて!$J$12:$M$18,7,FALSE),"*")</f>
        <v>*</v>
      </c>
    </row>
    <row r="1824" spans="1:30">
      <c r="A1824" s="30">
        <v>3368</v>
      </c>
      <c r="B1824" s="30" t="s">
        <v>1740</v>
      </c>
      <c r="C1824" s="30" t="s">
        <v>1739</v>
      </c>
      <c r="D1824" s="30" t="s">
        <v>106</v>
      </c>
      <c r="E1824" s="30"/>
      <c r="F1824" s="30" t="s">
        <v>107</v>
      </c>
      <c r="G1824" s="30" t="s">
        <v>106</v>
      </c>
      <c r="H1824" s="30"/>
      <c r="I1824" s="30" t="s">
        <v>192</v>
      </c>
      <c r="J1824" s="30" t="s">
        <v>635</v>
      </c>
      <c r="K1824" s="30"/>
      <c r="L1824" s="30" t="s">
        <v>108</v>
      </c>
      <c r="M1824" s="30" t="s">
        <v>113</v>
      </c>
      <c r="N1824" s="30" t="s">
        <v>110</v>
      </c>
      <c r="O1824" s="30" t="s">
        <v>115</v>
      </c>
      <c r="P1824" s="30" t="s">
        <v>112</v>
      </c>
      <c r="Q1824" s="30" t="s">
        <v>112</v>
      </c>
      <c r="R1824" s="30" t="s">
        <v>185</v>
      </c>
      <c r="S1824" s="81">
        <f>HLOOKUP(L1824,データについて!$J$6:$M$18,13,FALSE)</f>
        <v>1</v>
      </c>
      <c r="T1824" s="81">
        <f>HLOOKUP(M1824,データについて!$J$7:$M$18,12,FALSE)</f>
        <v>1</v>
      </c>
      <c r="U1824" s="81">
        <f>HLOOKUP(N1824,データについて!$J$8:$M$18,11,FALSE)</f>
        <v>2</v>
      </c>
      <c r="V1824" s="81">
        <f>HLOOKUP(O1824,データについて!$J$9:$M$18,10,FALSE)</f>
        <v>1</v>
      </c>
      <c r="W1824" s="81">
        <f>HLOOKUP(P1824,データについて!$J$10:$M$18,9,FALSE)</f>
        <v>1</v>
      </c>
      <c r="X1824" s="81">
        <f>HLOOKUP(Q1824,データについて!$J$11:$M$18,8,FALSE)</f>
        <v>1</v>
      </c>
      <c r="Y1824" s="81">
        <f>HLOOKUP(R1824,データについて!$J$12:$M$18,7,FALSE)</f>
        <v>2</v>
      </c>
      <c r="Z1824" s="81">
        <f>HLOOKUP(I1824,データについて!$J$3:$M$18,16,FALSE)</f>
        <v>1</v>
      </c>
      <c r="AA1824" s="81">
        <f>IFERROR(HLOOKUP(J1824,データについて!$J$4:$AH$19,16,FALSE),"")</f>
        <v>9</v>
      </c>
      <c r="AB1824" s="81" t="str">
        <f>IFERROR(HLOOKUP(K1824,データについて!$J$5:$AH$20,14,FALSE),"")</f>
        <v/>
      </c>
      <c r="AC1824" s="81">
        <f>IF(X1824=1,HLOOKUP(R1824,データについて!$J$12:$M$18,7,FALSE),"*")</f>
        <v>2</v>
      </c>
      <c r="AD1824" s="81" t="str">
        <f>IF(X1824=2,HLOOKUP(R1824,データについて!$J$12:$M$18,7,FALSE),"*")</f>
        <v>*</v>
      </c>
    </row>
    <row r="1825" spans="1:30">
      <c r="A1825" s="30">
        <v>3367</v>
      </c>
      <c r="B1825" s="30" t="s">
        <v>1741</v>
      </c>
      <c r="C1825" s="30" t="s">
        <v>1742</v>
      </c>
      <c r="D1825" s="30" t="s">
        <v>106</v>
      </c>
      <c r="E1825" s="30"/>
      <c r="F1825" s="30" t="s">
        <v>107</v>
      </c>
      <c r="G1825" s="30" t="s">
        <v>106</v>
      </c>
      <c r="H1825" s="30"/>
      <c r="I1825" s="30" t="s">
        <v>192</v>
      </c>
      <c r="J1825" s="30" t="s">
        <v>635</v>
      </c>
      <c r="K1825" s="30"/>
      <c r="L1825" s="30" t="s">
        <v>117</v>
      </c>
      <c r="M1825" s="30" t="s">
        <v>113</v>
      </c>
      <c r="N1825" s="30" t="s">
        <v>110</v>
      </c>
      <c r="O1825" s="30" t="s">
        <v>115</v>
      </c>
      <c r="P1825" s="30" t="s">
        <v>112</v>
      </c>
      <c r="Q1825" s="30" t="s">
        <v>112</v>
      </c>
      <c r="R1825" s="30" t="s">
        <v>187</v>
      </c>
      <c r="S1825" s="81">
        <f>HLOOKUP(L1825,データについて!$J$6:$M$18,13,FALSE)</f>
        <v>2</v>
      </c>
      <c r="T1825" s="81">
        <f>HLOOKUP(M1825,データについて!$J$7:$M$18,12,FALSE)</f>
        <v>1</v>
      </c>
      <c r="U1825" s="81">
        <f>HLOOKUP(N1825,データについて!$J$8:$M$18,11,FALSE)</f>
        <v>2</v>
      </c>
      <c r="V1825" s="81">
        <f>HLOOKUP(O1825,データについて!$J$9:$M$18,10,FALSE)</f>
        <v>1</v>
      </c>
      <c r="W1825" s="81">
        <f>HLOOKUP(P1825,データについて!$J$10:$M$18,9,FALSE)</f>
        <v>1</v>
      </c>
      <c r="X1825" s="81">
        <f>HLOOKUP(Q1825,データについて!$J$11:$M$18,8,FALSE)</f>
        <v>1</v>
      </c>
      <c r="Y1825" s="81">
        <f>HLOOKUP(R1825,データについて!$J$12:$M$18,7,FALSE)</f>
        <v>3</v>
      </c>
      <c r="Z1825" s="81">
        <f>HLOOKUP(I1825,データについて!$J$3:$M$18,16,FALSE)</f>
        <v>1</v>
      </c>
      <c r="AA1825" s="81">
        <f>IFERROR(HLOOKUP(J1825,データについて!$J$4:$AH$19,16,FALSE),"")</f>
        <v>9</v>
      </c>
      <c r="AB1825" s="81" t="str">
        <f>IFERROR(HLOOKUP(K1825,データについて!$J$5:$AH$20,14,FALSE),"")</f>
        <v/>
      </c>
      <c r="AC1825" s="81">
        <f>IF(X1825=1,HLOOKUP(R1825,データについて!$J$12:$M$18,7,FALSE),"*")</f>
        <v>3</v>
      </c>
      <c r="AD1825" s="81" t="str">
        <f>IF(X1825=2,HLOOKUP(R1825,データについて!$J$12:$M$18,7,FALSE),"*")</f>
        <v>*</v>
      </c>
    </row>
    <row r="1826" spans="1:30">
      <c r="A1826" s="30">
        <v>3366</v>
      </c>
      <c r="B1826" s="30" t="s">
        <v>1743</v>
      </c>
      <c r="C1826" s="30" t="s">
        <v>1744</v>
      </c>
      <c r="D1826" s="30" t="s">
        <v>106</v>
      </c>
      <c r="E1826" s="30"/>
      <c r="F1826" s="30" t="s">
        <v>107</v>
      </c>
      <c r="G1826" s="30" t="s">
        <v>106</v>
      </c>
      <c r="H1826" s="30"/>
      <c r="I1826" s="30" t="s">
        <v>192</v>
      </c>
      <c r="J1826" s="30" t="s">
        <v>635</v>
      </c>
      <c r="K1826" s="30"/>
      <c r="L1826" s="30" t="s">
        <v>117</v>
      </c>
      <c r="M1826" s="30" t="s">
        <v>109</v>
      </c>
      <c r="N1826" s="30" t="s">
        <v>110</v>
      </c>
      <c r="O1826" s="30" t="s">
        <v>115</v>
      </c>
      <c r="P1826" s="30" t="s">
        <v>112</v>
      </c>
      <c r="Q1826" s="30" t="s">
        <v>112</v>
      </c>
      <c r="R1826" s="30" t="s">
        <v>185</v>
      </c>
      <c r="S1826" s="81">
        <f>HLOOKUP(L1826,データについて!$J$6:$M$18,13,FALSE)</f>
        <v>2</v>
      </c>
      <c r="T1826" s="81">
        <f>HLOOKUP(M1826,データについて!$J$7:$M$18,12,FALSE)</f>
        <v>2</v>
      </c>
      <c r="U1826" s="81">
        <f>HLOOKUP(N1826,データについて!$J$8:$M$18,11,FALSE)</f>
        <v>2</v>
      </c>
      <c r="V1826" s="81">
        <f>HLOOKUP(O1826,データについて!$J$9:$M$18,10,FALSE)</f>
        <v>1</v>
      </c>
      <c r="W1826" s="81">
        <f>HLOOKUP(P1826,データについて!$J$10:$M$18,9,FALSE)</f>
        <v>1</v>
      </c>
      <c r="X1826" s="81">
        <f>HLOOKUP(Q1826,データについて!$J$11:$M$18,8,FALSE)</f>
        <v>1</v>
      </c>
      <c r="Y1826" s="81">
        <f>HLOOKUP(R1826,データについて!$J$12:$M$18,7,FALSE)</f>
        <v>2</v>
      </c>
      <c r="Z1826" s="81">
        <f>HLOOKUP(I1826,データについて!$J$3:$M$18,16,FALSE)</f>
        <v>1</v>
      </c>
      <c r="AA1826" s="81">
        <f>IFERROR(HLOOKUP(J1826,データについて!$J$4:$AH$19,16,FALSE),"")</f>
        <v>9</v>
      </c>
      <c r="AB1826" s="81" t="str">
        <f>IFERROR(HLOOKUP(K1826,データについて!$J$5:$AH$20,14,FALSE),"")</f>
        <v/>
      </c>
      <c r="AC1826" s="81">
        <f>IF(X1826=1,HLOOKUP(R1826,データについて!$J$12:$M$18,7,FALSE),"*")</f>
        <v>2</v>
      </c>
      <c r="AD1826" s="81" t="str">
        <f>IF(X1826=2,HLOOKUP(R1826,データについて!$J$12:$M$18,7,FALSE),"*")</f>
        <v>*</v>
      </c>
    </row>
    <row r="1827" spans="1:30">
      <c r="A1827" s="30">
        <v>3365</v>
      </c>
      <c r="B1827" s="30" t="s">
        <v>1745</v>
      </c>
      <c r="C1827" s="30" t="s">
        <v>1746</v>
      </c>
      <c r="D1827" s="30" t="s">
        <v>106</v>
      </c>
      <c r="E1827" s="30"/>
      <c r="F1827" s="30" t="s">
        <v>107</v>
      </c>
      <c r="G1827" s="30" t="s">
        <v>106</v>
      </c>
      <c r="H1827" s="30"/>
      <c r="I1827" s="30" t="s">
        <v>192</v>
      </c>
      <c r="J1827" s="30" t="s">
        <v>635</v>
      </c>
      <c r="K1827" s="30"/>
      <c r="L1827" s="30" t="s">
        <v>117</v>
      </c>
      <c r="M1827" s="30" t="s">
        <v>109</v>
      </c>
      <c r="N1827" s="30" t="s">
        <v>122</v>
      </c>
      <c r="O1827" s="30" t="s">
        <v>115</v>
      </c>
      <c r="P1827" s="30" t="s">
        <v>112</v>
      </c>
      <c r="Q1827" s="30" t="s">
        <v>112</v>
      </c>
      <c r="R1827" s="30" t="s">
        <v>187</v>
      </c>
      <c r="S1827" s="81">
        <f>HLOOKUP(L1827,データについて!$J$6:$M$18,13,FALSE)</f>
        <v>2</v>
      </c>
      <c r="T1827" s="81">
        <f>HLOOKUP(M1827,データについて!$J$7:$M$18,12,FALSE)</f>
        <v>2</v>
      </c>
      <c r="U1827" s="81">
        <f>HLOOKUP(N1827,データについて!$J$8:$M$18,11,FALSE)</f>
        <v>3</v>
      </c>
      <c r="V1827" s="81">
        <f>HLOOKUP(O1827,データについて!$J$9:$M$18,10,FALSE)</f>
        <v>1</v>
      </c>
      <c r="W1827" s="81">
        <f>HLOOKUP(P1827,データについて!$J$10:$M$18,9,FALSE)</f>
        <v>1</v>
      </c>
      <c r="X1827" s="81">
        <f>HLOOKUP(Q1827,データについて!$J$11:$M$18,8,FALSE)</f>
        <v>1</v>
      </c>
      <c r="Y1827" s="81">
        <f>HLOOKUP(R1827,データについて!$J$12:$M$18,7,FALSE)</f>
        <v>3</v>
      </c>
      <c r="Z1827" s="81">
        <f>HLOOKUP(I1827,データについて!$J$3:$M$18,16,FALSE)</f>
        <v>1</v>
      </c>
      <c r="AA1827" s="81">
        <f>IFERROR(HLOOKUP(J1827,データについて!$J$4:$AH$19,16,FALSE),"")</f>
        <v>9</v>
      </c>
      <c r="AB1827" s="81" t="str">
        <f>IFERROR(HLOOKUP(K1827,データについて!$J$5:$AH$20,14,FALSE),"")</f>
        <v/>
      </c>
      <c r="AC1827" s="81">
        <f>IF(X1827=1,HLOOKUP(R1827,データについて!$J$12:$M$18,7,FALSE),"*")</f>
        <v>3</v>
      </c>
      <c r="AD1827" s="81" t="str">
        <f>IF(X1827=2,HLOOKUP(R1827,データについて!$J$12:$M$18,7,FALSE),"*")</f>
        <v>*</v>
      </c>
    </row>
    <row r="1828" spans="1:30">
      <c r="A1828" s="30">
        <v>3364</v>
      </c>
      <c r="B1828" s="30" t="s">
        <v>1747</v>
      </c>
      <c r="C1828" s="30" t="s">
        <v>1746</v>
      </c>
      <c r="D1828" s="30" t="s">
        <v>106</v>
      </c>
      <c r="E1828" s="30"/>
      <c r="F1828" s="30" t="s">
        <v>107</v>
      </c>
      <c r="G1828" s="30" t="s">
        <v>106</v>
      </c>
      <c r="H1828" s="30"/>
      <c r="I1828" s="30" t="s">
        <v>192</v>
      </c>
      <c r="J1828" s="30" t="s">
        <v>635</v>
      </c>
      <c r="K1828" s="30"/>
      <c r="L1828" s="30" t="s">
        <v>117</v>
      </c>
      <c r="M1828" s="30" t="s">
        <v>113</v>
      </c>
      <c r="N1828" s="30" t="s">
        <v>114</v>
      </c>
      <c r="O1828" s="30" t="s">
        <v>115</v>
      </c>
      <c r="P1828" s="30" t="s">
        <v>112</v>
      </c>
      <c r="Q1828" s="30" t="s">
        <v>112</v>
      </c>
      <c r="R1828" s="30" t="s">
        <v>183</v>
      </c>
      <c r="S1828" s="81">
        <f>HLOOKUP(L1828,データについて!$J$6:$M$18,13,FALSE)</f>
        <v>2</v>
      </c>
      <c r="T1828" s="81">
        <f>HLOOKUP(M1828,データについて!$J$7:$M$18,12,FALSE)</f>
        <v>1</v>
      </c>
      <c r="U1828" s="81">
        <f>HLOOKUP(N1828,データについて!$J$8:$M$18,11,FALSE)</f>
        <v>1</v>
      </c>
      <c r="V1828" s="81">
        <f>HLOOKUP(O1828,データについて!$J$9:$M$18,10,FALSE)</f>
        <v>1</v>
      </c>
      <c r="W1828" s="81">
        <f>HLOOKUP(P1828,データについて!$J$10:$M$18,9,FALSE)</f>
        <v>1</v>
      </c>
      <c r="X1828" s="81">
        <f>HLOOKUP(Q1828,データについて!$J$11:$M$18,8,FALSE)</f>
        <v>1</v>
      </c>
      <c r="Y1828" s="81">
        <f>HLOOKUP(R1828,データについて!$J$12:$M$18,7,FALSE)</f>
        <v>1</v>
      </c>
      <c r="Z1828" s="81">
        <f>HLOOKUP(I1828,データについて!$J$3:$M$18,16,FALSE)</f>
        <v>1</v>
      </c>
      <c r="AA1828" s="81">
        <f>IFERROR(HLOOKUP(J1828,データについて!$J$4:$AH$19,16,FALSE),"")</f>
        <v>9</v>
      </c>
      <c r="AB1828" s="81" t="str">
        <f>IFERROR(HLOOKUP(K1828,データについて!$J$5:$AH$20,14,FALSE),"")</f>
        <v/>
      </c>
      <c r="AC1828" s="81">
        <f>IF(X1828=1,HLOOKUP(R1828,データについて!$J$12:$M$18,7,FALSE),"*")</f>
        <v>1</v>
      </c>
      <c r="AD1828" s="81" t="str">
        <f>IF(X1828=2,HLOOKUP(R1828,データについて!$J$12:$M$18,7,FALSE),"*")</f>
        <v>*</v>
      </c>
    </row>
    <row r="1829" spans="1:30">
      <c r="A1829" s="30">
        <v>3363</v>
      </c>
      <c r="B1829" s="30" t="s">
        <v>1748</v>
      </c>
      <c r="C1829" s="30" t="s">
        <v>1746</v>
      </c>
      <c r="D1829" s="30" t="s">
        <v>106</v>
      </c>
      <c r="E1829" s="30"/>
      <c r="F1829" s="30" t="s">
        <v>107</v>
      </c>
      <c r="G1829" s="30" t="s">
        <v>106</v>
      </c>
      <c r="H1829" s="30"/>
      <c r="I1829" s="30" t="s">
        <v>192</v>
      </c>
      <c r="J1829" s="30" t="s">
        <v>635</v>
      </c>
      <c r="K1829" s="30"/>
      <c r="L1829" s="30" t="s">
        <v>117</v>
      </c>
      <c r="M1829" s="30" t="s">
        <v>109</v>
      </c>
      <c r="N1829" s="30" t="s">
        <v>114</v>
      </c>
      <c r="O1829" s="30" t="s">
        <v>115</v>
      </c>
      <c r="P1829" s="30" t="s">
        <v>112</v>
      </c>
      <c r="Q1829" s="30" t="s">
        <v>118</v>
      </c>
      <c r="R1829" s="30" t="s">
        <v>189</v>
      </c>
      <c r="S1829" s="81">
        <f>HLOOKUP(L1829,データについて!$J$6:$M$18,13,FALSE)</f>
        <v>2</v>
      </c>
      <c r="T1829" s="81">
        <f>HLOOKUP(M1829,データについて!$J$7:$M$18,12,FALSE)</f>
        <v>2</v>
      </c>
      <c r="U1829" s="81">
        <f>HLOOKUP(N1829,データについて!$J$8:$M$18,11,FALSE)</f>
        <v>1</v>
      </c>
      <c r="V1829" s="81">
        <f>HLOOKUP(O1829,データについて!$J$9:$M$18,10,FALSE)</f>
        <v>1</v>
      </c>
      <c r="W1829" s="81">
        <f>HLOOKUP(P1829,データについて!$J$10:$M$18,9,FALSE)</f>
        <v>1</v>
      </c>
      <c r="X1829" s="81">
        <f>HLOOKUP(Q1829,データについて!$J$11:$M$18,8,FALSE)</f>
        <v>2</v>
      </c>
      <c r="Y1829" s="81">
        <f>HLOOKUP(R1829,データについて!$J$12:$M$18,7,FALSE)</f>
        <v>4</v>
      </c>
      <c r="Z1829" s="81">
        <f>HLOOKUP(I1829,データについて!$J$3:$M$18,16,FALSE)</f>
        <v>1</v>
      </c>
      <c r="AA1829" s="81">
        <f>IFERROR(HLOOKUP(J1829,データについて!$J$4:$AH$19,16,FALSE),"")</f>
        <v>9</v>
      </c>
      <c r="AB1829" s="81" t="str">
        <f>IFERROR(HLOOKUP(K1829,データについて!$J$5:$AH$20,14,FALSE),"")</f>
        <v/>
      </c>
      <c r="AC1829" s="81" t="str">
        <f>IF(X1829=1,HLOOKUP(R1829,データについて!$J$12:$M$18,7,FALSE),"*")</f>
        <v>*</v>
      </c>
      <c r="AD1829" s="81">
        <f>IF(X1829=2,HLOOKUP(R1829,データについて!$J$12:$M$18,7,FALSE),"*")</f>
        <v>4</v>
      </c>
    </row>
    <row r="1830" spans="1:30">
      <c r="A1830" s="30">
        <v>3362</v>
      </c>
      <c r="B1830" s="30" t="s">
        <v>1749</v>
      </c>
      <c r="C1830" s="30" t="s">
        <v>1746</v>
      </c>
      <c r="D1830" s="30" t="s">
        <v>106</v>
      </c>
      <c r="E1830" s="30"/>
      <c r="F1830" s="30" t="s">
        <v>107</v>
      </c>
      <c r="G1830" s="30" t="s">
        <v>106</v>
      </c>
      <c r="H1830" s="30"/>
      <c r="I1830" s="30" t="s">
        <v>192</v>
      </c>
      <c r="J1830" s="30" t="s">
        <v>635</v>
      </c>
      <c r="K1830" s="30"/>
      <c r="L1830" s="30" t="s">
        <v>117</v>
      </c>
      <c r="M1830" s="30" t="s">
        <v>113</v>
      </c>
      <c r="N1830" s="30" t="s">
        <v>114</v>
      </c>
      <c r="O1830" s="30" t="s">
        <v>115</v>
      </c>
      <c r="P1830" s="30" t="s">
        <v>112</v>
      </c>
      <c r="Q1830" s="30" t="s">
        <v>112</v>
      </c>
      <c r="R1830" s="30" t="s">
        <v>183</v>
      </c>
      <c r="S1830" s="81">
        <f>HLOOKUP(L1830,データについて!$J$6:$M$18,13,FALSE)</f>
        <v>2</v>
      </c>
      <c r="T1830" s="81">
        <f>HLOOKUP(M1830,データについて!$J$7:$M$18,12,FALSE)</f>
        <v>1</v>
      </c>
      <c r="U1830" s="81">
        <f>HLOOKUP(N1830,データについて!$J$8:$M$18,11,FALSE)</f>
        <v>1</v>
      </c>
      <c r="V1830" s="81">
        <f>HLOOKUP(O1830,データについて!$J$9:$M$18,10,FALSE)</f>
        <v>1</v>
      </c>
      <c r="W1830" s="81">
        <f>HLOOKUP(P1830,データについて!$J$10:$M$18,9,FALSE)</f>
        <v>1</v>
      </c>
      <c r="X1830" s="81">
        <f>HLOOKUP(Q1830,データについて!$J$11:$M$18,8,FALSE)</f>
        <v>1</v>
      </c>
      <c r="Y1830" s="81">
        <f>HLOOKUP(R1830,データについて!$J$12:$M$18,7,FALSE)</f>
        <v>1</v>
      </c>
      <c r="Z1830" s="81">
        <f>HLOOKUP(I1830,データについて!$J$3:$M$18,16,FALSE)</f>
        <v>1</v>
      </c>
      <c r="AA1830" s="81">
        <f>IFERROR(HLOOKUP(J1830,データについて!$J$4:$AH$19,16,FALSE),"")</f>
        <v>9</v>
      </c>
      <c r="AB1830" s="81" t="str">
        <f>IFERROR(HLOOKUP(K1830,データについて!$J$5:$AH$20,14,FALSE),"")</f>
        <v/>
      </c>
      <c r="AC1830" s="81">
        <f>IF(X1830=1,HLOOKUP(R1830,データについて!$J$12:$M$18,7,FALSE),"*")</f>
        <v>1</v>
      </c>
      <c r="AD1830" s="81" t="str">
        <f>IF(X1830=2,HLOOKUP(R1830,データについて!$J$12:$M$18,7,FALSE),"*")</f>
        <v>*</v>
      </c>
    </row>
    <row r="1831" spans="1:30">
      <c r="A1831" s="30">
        <v>3361</v>
      </c>
      <c r="B1831" s="30" t="s">
        <v>1750</v>
      </c>
      <c r="C1831" s="30" t="s">
        <v>1751</v>
      </c>
      <c r="D1831" s="30" t="s">
        <v>106</v>
      </c>
      <c r="E1831" s="30"/>
      <c r="F1831" s="30" t="s">
        <v>107</v>
      </c>
      <c r="G1831" s="30" t="s">
        <v>106</v>
      </c>
      <c r="H1831" s="30"/>
      <c r="I1831" s="30" t="s">
        <v>192</v>
      </c>
      <c r="J1831" s="30" t="s">
        <v>635</v>
      </c>
      <c r="K1831" s="30"/>
      <c r="L1831" s="30" t="s">
        <v>108</v>
      </c>
      <c r="M1831" s="30" t="s">
        <v>109</v>
      </c>
      <c r="N1831" s="30" t="s">
        <v>110</v>
      </c>
      <c r="O1831" s="30" t="s">
        <v>115</v>
      </c>
      <c r="P1831" s="30" t="s">
        <v>118</v>
      </c>
      <c r="Q1831" s="30" t="s">
        <v>118</v>
      </c>
      <c r="R1831" s="30" t="s">
        <v>187</v>
      </c>
      <c r="S1831" s="81">
        <f>HLOOKUP(L1831,データについて!$J$6:$M$18,13,FALSE)</f>
        <v>1</v>
      </c>
      <c r="T1831" s="81">
        <f>HLOOKUP(M1831,データについて!$J$7:$M$18,12,FALSE)</f>
        <v>2</v>
      </c>
      <c r="U1831" s="81">
        <f>HLOOKUP(N1831,データについて!$J$8:$M$18,11,FALSE)</f>
        <v>2</v>
      </c>
      <c r="V1831" s="81">
        <f>HLOOKUP(O1831,データについて!$J$9:$M$18,10,FALSE)</f>
        <v>1</v>
      </c>
      <c r="W1831" s="81">
        <f>HLOOKUP(P1831,データについて!$J$10:$M$18,9,FALSE)</f>
        <v>2</v>
      </c>
      <c r="X1831" s="81">
        <f>HLOOKUP(Q1831,データについて!$J$11:$M$18,8,FALSE)</f>
        <v>2</v>
      </c>
      <c r="Y1831" s="81">
        <f>HLOOKUP(R1831,データについて!$J$12:$M$18,7,FALSE)</f>
        <v>3</v>
      </c>
      <c r="Z1831" s="81">
        <f>HLOOKUP(I1831,データについて!$J$3:$M$18,16,FALSE)</f>
        <v>1</v>
      </c>
      <c r="AA1831" s="81">
        <f>IFERROR(HLOOKUP(J1831,データについて!$J$4:$AH$19,16,FALSE),"")</f>
        <v>9</v>
      </c>
      <c r="AB1831" s="81" t="str">
        <f>IFERROR(HLOOKUP(K1831,データについて!$J$5:$AH$20,14,FALSE),"")</f>
        <v/>
      </c>
      <c r="AC1831" s="81" t="str">
        <f>IF(X1831=1,HLOOKUP(R1831,データについて!$J$12:$M$18,7,FALSE),"*")</f>
        <v>*</v>
      </c>
      <c r="AD1831" s="81">
        <f>IF(X1831=2,HLOOKUP(R1831,データについて!$J$12:$M$18,7,FALSE),"*")</f>
        <v>3</v>
      </c>
    </row>
    <row r="1832" spans="1:30">
      <c r="A1832" s="30">
        <v>3360</v>
      </c>
      <c r="B1832" s="30" t="s">
        <v>1752</v>
      </c>
      <c r="C1832" s="30" t="s">
        <v>1751</v>
      </c>
      <c r="D1832" s="30" t="s">
        <v>106</v>
      </c>
      <c r="E1832" s="30"/>
      <c r="F1832" s="30" t="s">
        <v>107</v>
      </c>
      <c r="G1832" s="30" t="s">
        <v>106</v>
      </c>
      <c r="H1832" s="30"/>
      <c r="I1832" s="30" t="s">
        <v>192</v>
      </c>
      <c r="J1832" s="30" t="s">
        <v>635</v>
      </c>
      <c r="K1832" s="30"/>
      <c r="L1832" s="30" t="s">
        <v>108</v>
      </c>
      <c r="M1832" s="30" t="s">
        <v>113</v>
      </c>
      <c r="N1832" s="30" t="s">
        <v>114</v>
      </c>
      <c r="O1832" s="30" t="s">
        <v>116</v>
      </c>
      <c r="P1832" s="30" t="s">
        <v>112</v>
      </c>
      <c r="Q1832" s="30" t="s">
        <v>118</v>
      </c>
      <c r="R1832" s="30" t="s">
        <v>185</v>
      </c>
      <c r="S1832" s="81">
        <f>HLOOKUP(L1832,データについて!$J$6:$M$18,13,FALSE)</f>
        <v>1</v>
      </c>
      <c r="T1832" s="81">
        <f>HLOOKUP(M1832,データについて!$J$7:$M$18,12,FALSE)</f>
        <v>1</v>
      </c>
      <c r="U1832" s="81">
        <f>HLOOKUP(N1832,データについて!$J$8:$M$18,11,FALSE)</f>
        <v>1</v>
      </c>
      <c r="V1832" s="81">
        <f>HLOOKUP(O1832,データについて!$J$9:$M$18,10,FALSE)</f>
        <v>2</v>
      </c>
      <c r="W1832" s="81">
        <f>HLOOKUP(P1832,データについて!$J$10:$M$18,9,FALSE)</f>
        <v>1</v>
      </c>
      <c r="X1832" s="81">
        <f>HLOOKUP(Q1832,データについて!$J$11:$M$18,8,FALSE)</f>
        <v>2</v>
      </c>
      <c r="Y1832" s="81">
        <f>HLOOKUP(R1832,データについて!$J$12:$M$18,7,FALSE)</f>
        <v>2</v>
      </c>
      <c r="Z1832" s="81">
        <f>HLOOKUP(I1832,データについて!$J$3:$M$18,16,FALSE)</f>
        <v>1</v>
      </c>
      <c r="AA1832" s="81">
        <f>IFERROR(HLOOKUP(J1832,データについて!$J$4:$AH$19,16,FALSE),"")</f>
        <v>9</v>
      </c>
      <c r="AB1832" s="81" t="str">
        <f>IFERROR(HLOOKUP(K1832,データについて!$J$5:$AH$20,14,FALSE),"")</f>
        <v/>
      </c>
      <c r="AC1832" s="81" t="str">
        <f>IF(X1832=1,HLOOKUP(R1832,データについて!$J$12:$M$18,7,FALSE),"*")</f>
        <v>*</v>
      </c>
      <c r="AD1832" s="81">
        <f>IF(X1832=2,HLOOKUP(R1832,データについて!$J$12:$M$18,7,FALSE),"*")</f>
        <v>2</v>
      </c>
    </row>
    <row r="1833" spans="1:30">
      <c r="A1833" s="30">
        <v>3359</v>
      </c>
      <c r="B1833" s="30" t="s">
        <v>1753</v>
      </c>
      <c r="C1833" s="30" t="s">
        <v>1751</v>
      </c>
      <c r="D1833" s="30" t="s">
        <v>106</v>
      </c>
      <c r="E1833" s="30"/>
      <c r="F1833" s="30" t="s">
        <v>107</v>
      </c>
      <c r="G1833" s="30" t="s">
        <v>106</v>
      </c>
      <c r="H1833" s="30"/>
      <c r="I1833" s="30" t="s">
        <v>192</v>
      </c>
      <c r="J1833" s="30" t="s">
        <v>635</v>
      </c>
      <c r="K1833" s="30"/>
      <c r="L1833" s="30" t="s">
        <v>108</v>
      </c>
      <c r="M1833" s="30" t="s">
        <v>113</v>
      </c>
      <c r="N1833" s="30" t="s">
        <v>114</v>
      </c>
      <c r="O1833" s="30" t="s">
        <v>115</v>
      </c>
      <c r="P1833" s="30" t="s">
        <v>112</v>
      </c>
      <c r="Q1833" s="30" t="s">
        <v>112</v>
      </c>
      <c r="R1833" s="30" t="s">
        <v>183</v>
      </c>
      <c r="S1833" s="81">
        <f>HLOOKUP(L1833,データについて!$J$6:$M$18,13,FALSE)</f>
        <v>1</v>
      </c>
      <c r="T1833" s="81">
        <f>HLOOKUP(M1833,データについて!$J$7:$M$18,12,FALSE)</f>
        <v>1</v>
      </c>
      <c r="U1833" s="81">
        <f>HLOOKUP(N1833,データについて!$J$8:$M$18,11,FALSE)</f>
        <v>1</v>
      </c>
      <c r="V1833" s="81">
        <f>HLOOKUP(O1833,データについて!$J$9:$M$18,10,FALSE)</f>
        <v>1</v>
      </c>
      <c r="W1833" s="81">
        <f>HLOOKUP(P1833,データについて!$J$10:$M$18,9,FALSE)</f>
        <v>1</v>
      </c>
      <c r="X1833" s="81">
        <f>HLOOKUP(Q1833,データについて!$J$11:$M$18,8,FALSE)</f>
        <v>1</v>
      </c>
      <c r="Y1833" s="81">
        <f>HLOOKUP(R1833,データについて!$J$12:$M$18,7,FALSE)</f>
        <v>1</v>
      </c>
      <c r="Z1833" s="81">
        <f>HLOOKUP(I1833,データについて!$J$3:$M$18,16,FALSE)</f>
        <v>1</v>
      </c>
      <c r="AA1833" s="81">
        <f>IFERROR(HLOOKUP(J1833,データについて!$J$4:$AH$19,16,FALSE),"")</f>
        <v>9</v>
      </c>
      <c r="AB1833" s="81" t="str">
        <f>IFERROR(HLOOKUP(K1833,データについて!$J$5:$AH$20,14,FALSE),"")</f>
        <v/>
      </c>
      <c r="AC1833" s="81">
        <f>IF(X1833=1,HLOOKUP(R1833,データについて!$J$12:$M$18,7,FALSE),"*")</f>
        <v>1</v>
      </c>
      <c r="AD1833" s="81" t="str">
        <f>IF(X1833=2,HLOOKUP(R1833,データについて!$J$12:$M$18,7,FALSE),"*")</f>
        <v>*</v>
      </c>
    </row>
    <row r="1834" spans="1:30">
      <c r="A1834" s="30">
        <v>3358</v>
      </c>
      <c r="B1834" s="30" t="s">
        <v>1754</v>
      </c>
      <c r="C1834" s="30" t="s">
        <v>1751</v>
      </c>
      <c r="D1834" s="30" t="s">
        <v>106</v>
      </c>
      <c r="E1834" s="30"/>
      <c r="F1834" s="30" t="s">
        <v>107</v>
      </c>
      <c r="G1834" s="30" t="s">
        <v>106</v>
      </c>
      <c r="H1834" s="30"/>
      <c r="I1834" s="30" t="s">
        <v>192</v>
      </c>
      <c r="J1834" s="30" t="s">
        <v>635</v>
      </c>
      <c r="K1834" s="30"/>
      <c r="L1834" s="30" t="s">
        <v>117</v>
      </c>
      <c r="M1834" s="30" t="s">
        <v>113</v>
      </c>
      <c r="N1834" s="30" t="s">
        <v>122</v>
      </c>
      <c r="O1834" s="30" t="s">
        <v>115</v>
      </c>
      <c r="P1834" s="30" t="s">
        <v>112</v>
      </c>
      <c r="Q1834" s="30" t="s">
        <v>112</v>
      </c>
      <c r="R1834" s="30" t="s">
        <v>185</v>
      </c>
      <c r="S1834" s="81">
        <f>HLOOKUP(L1834,データについて!$J$6:$M$18,13,FALSE)</f>
        <v>2</v>
      </c>
      <c r="T1834" s="81">
        <f>HLOOKUP(M1834,データについて!$J$7:$M$18,12,FALSE)</f>
        <v>1</v>
      </c>
      <c r="U1834" s="81">
        <f>HLOOKUP(N1834,データについて!$J$8:$M$18,11,FALSE)</f>
        <v>3</v>
      </c>
      <c r="V1834" s="81">
        <f>HLOOKUP(O1834,データについて!$J$9:$M$18,10,FALSE)</f>
        <v>1</v>
      </c>
      <c r="W1834" s="81">
        <f>HLOOKUP(P1834,データについて!$J$10:$M$18,9,FALSE)</f>
        <v>1</v>
      </c>
      <c r="X1834" s="81">
        <f>HLOOKUP(Q1834,データについて!$J$11:$M$18,8,FALSE)</f>
        <v>1</v>
      </c>
      <c r="Y1834" s="81">
        <f>HLOOKUP(R1834,データについて!$J$12:$M$18,7,FALSE)</f>
        <v>2</v>
      </c>
      <c r="Z1834" s="81">
        <f>HLOOKUP(I1834,データについて!$J$3:$M$18,16,FALSE)</f>
        <v>1</v>
      </c>
      <c r="AA1834" s="81">
        <f>IFERROR(HLOOKUP(J1834,データについて!$J$4:$AH$19,16,FALSE),"")</f>
        <v>9</v>
      </c>
      <c r="AB1834" s="81" t="str">
        <f>IFERROR(HLOOKUP(K1834,データについて!$J$5:$AH$20,14,FALSE),"")</f>
        <v/>
      </c>
      <c r="AC1834" s="81">
        <f>IF(X1834=1,HLOOKUP(R1834,データについて!$J$12:$M$18,7,FALSE),"*")</f>
        <v>2</v>
      </c>
      <c r="AD1834" s="81" t="str">
        <f>IF(X1834=2,HLOOKUP(R1834,データについて!$J$12:$M$18,7,FALSE),"*")</f>
        <v>*</v>
      </c>
    </row>
    <row r="1835" spans="1:30">
      <c r="A1835" s="30">
        <v>3357</v>
      </c>
      <c r="B1835" s="30" t="s">
        <v>1755</v>
      </c>
      <c r="C1835" s="30" t="s">
        <v>1751</v>
      </c>
      <c r="D1835" s="30" t="s">
        <v>106</v>
      </c>
      <c r="E1835" s="30"/>
      <c r="F1835" s="30" t="s">
        <v>107</v>
      </c>
      <c r="G1835" s="30" t="s">
        <v>106</v>
      </c>
      <c r="H1835" s="30"/>
      <c r="I1835" s="30" t="s">
        <v>192</v>
      </c>
      <c r="J1835" s="30" t="s">
        <v>635</v>
      </c>
      <c r="K1835" s="30"/>
      <c r="L1835" s="30" t="s">
        <v>117</v>
      </c>
      <c r="M1835" s="30" t="s">
        <v>109</v>
      </c>
      <c r="N1835" s="30" t="s">
        <v>110</v>
      </c>
      <c r="O1835" s="30" t="s">
        <v>115</v>
      </c>
      <c r="P1835" s="30" t="s">
        <v>112</v>
      </c>
      <c r="Q1835" s="30" t="s">
        <v>112</v>
      </c>
      <c r="R1835" s="30" t="s">
        <v>185</v>
      </c>
      <c r="S1835" s="81">
        <f>HLOOKUP(L1835,データについて!$J$6:$M$18,13,FALSE)</f>
        <v>2</v>
      </c>
      <c r="T1835" s="81">
        <f>HLOOKUP(M1835,データについて!$J$7:$M$18,12,FALSE)</f>
        <v>2</v>
      </c>
      <c r="U1835" s="81">
        <f>HLOOKUP(N1835,データについて!$J$8:$M$18,11,FALSE)</f>
        <v>2</v>
      </c>
      <c r="V1835" s="81">
        <f>HLOOKUP(O1835,データについて!$J$9:$M$18,10,FALSE)</f>
        <v>1</v>
      </c>
      <c r="W1835" s="81">
        <f>HLOOKUP(P1835,データについて!$J$10:$M$18,9,FALSE)</f>
        <v>1</v>
      </c>
      <c r="X1835" s="81">
        <f>HLOOKUP(Q1835,データについて!$J$11:$M$18,8,FALSE)</f>
        <v>1</v>
      </c>
      <c r="Y1835" s="81">
        <f>HLOOKUP(R1835,データについて!$J$12:$M$18,7,FALSE)</f>
        <v>2</v>
      </c>
      <c r="Z1835" s="81">
        <f>HLOOKUP(I1835,データについて!$J$3:$M$18,16,FALSE)</f>
        <v>1</v>
      </c>
      <c r="AA1835" s="81">
        <f>IFERROR(HLOOKUP(J1835,データについて!$J$4:$AH$19,16,FALSE),"")</f>
        <v>9</v>
      </c>
      <c r="AB1835" s="81" t="str">
        <f>IFERROR(HLOOKUP(K1835,データについて!$J$5:$AH$20,14,FALSE),"")</f>
        <v/>
      </c>
      <c r="AC1835" s="81">
        <f>IF(X1835=1,HLOOKUP(R1835,データについて!$J$12:$M$18,7,FALSE),"*")</f>
        <v>2</v>
      </c>
      <c r="AD1835" s="81" t="str">
        <f>IF(X1835=2,HLOOKUP(R1835,データについて!$J$12:$M$18,7,FALSE),"*")</f>
        <v>*</v>
      </c>
    </row>
    <row r="1836" spans="1:30">
      <c r="A1836" s="30">
        <v>3356</v>
      </c>
      <c r="B1836" s="30" t="s">
        <v>1756</v>
      </c>
      <c r="C1836" s="30" t="s">
        <v>1751</v>
      </c>
      <c r="D1836" s="30" t="s">
        <v>106</v>
      </c>
      <c r="E1836" s="30"/>
      <c r="F1836" s="30" t="s">
        <v>107</v>
      </c>
      <c r="G1836" s="30" t="s">
        <v>106</v>
      </c>
      <c r="H1836" s="30"/>
      <c r="I1836" s="30" t="s">
        <v>192</v>
      </c>
      <c r="J1836" s="30" t="s">
        <v>635</v>
      </c>
      <c r="K1836" s="30"/>
      <c r="L1836" s="30" t="s">
        <v>108</v>
      </c>
      <c r="M1836" s="30" t="s">
        <v>109</v>
      </c>
      <c r="N1836" s="30" t="s">
        <v>114</v>
      </c>
      <c r="O1836" s="30" t="s">
        <v>115</v>
      </c>
      <c r="P1836" s="30" t="s">
        <v>112</v>
      </c>
      <c r="Q1836" s="30" t="s">
        <v>118</v>
      </c>
      <c r="R1836" s="30" t="s">
        <v>189</v>
      </c>
      <c r="S1836" s="81">
        <f>HLOOKUP(L1836,データについて!$J$6:$M$18,13,FALSE)</f>
        <v>1</v>
      </c>
      <c r="T1836" s="81">
        <f>HLOOKUP(M1836,データについて!$J$7:$M$18,12,FALSE)</f>
        <v>2</v>
      </c>
      <c r="U1836" s="81">
        <f>HLOOKUP(N1836,データについて!$J$8:$M$18,11,FALSE)</f>
        <v>1</v>
      </c>
      <c r="V1836" s="81">
        <f>HLOOKUP(O1836,データについて!$J$9:$M$18,10,FALSE)</f>
        <v>1</v>
      </c>
      <c r="W1836" s="81">
        <f>HLOOKUP(P1836,データについて!$J$10:$M$18,9,FALSE)</f>
        <v>1</v>
      </c>
      <c r="X1836" s="81">
        <f>HLOOKUP(Q1836,データについて!$J$11:$M$18,8,FALSE)</f>
        <v>2</v>
      </c>
      <c r="Y1836" s="81">
        <f>HLOOKUP(R1836,データについて!$J$12:$M$18,7,FALSE)</f>
        <v>4</v>
      </c>
      <c r="Z1836" s="81">
        <f>HLOOKUP(I1836,データについて!$J$3:$M$18,16,FALSE)</f>
        <v>1</v>
      </c>
      <c r="AA1836" s="81">
        <f>IFERROR(HLOOKUP(J1836,データについて!$J$4:$AH$19,16,FALSE),"")</f>
        <v>9</v>
      </c>
      <c r="AB1836" s="81" t="str">
        <f>IFERROR(HLOOKUP(K1836,データについて!$J$5:$AH$20,14,FALSE),"")</f>
        <v/>
      </c>
      <c r="AC1836" s="81" t="str">
        <f>IF(X1836=1,HLOOKUP(R1836,データについて!$J$12:$M$18,7,FALSE),"*")</f>
        <v>*</v>
      </c>
      <c r="AD1836" s="81">
        <f>IF(X1836=2,HLOOKUP(R1836,データについて!$J$12:$M$18,7,FALSE),"*")</f>
        <v>4</v>
      </c>
    </row>
    <row r="1837" spans="1:30">
      <c r="A1837" s="30">
        <v>3355</v>
      </c>
      <c r="B1837" s="30" t="s">
        <v>1757</v>
      </c>
      <c r="C1837" s="30" t="s">
        <v>1751</v>
      </c>
      <c r="D1837" s="30" t="s">
        <v>106</v>
      </c>
      <c r="E1837" s="30"/>
      <c r="F1837" s="30" t="s">
        <v>107</v>
      </c>
      <c r="G1837" s="30" t="s">
        <v>106</v>
      </c>
      <c r="H1837" s="30"/>
      <c r="I1837" s="30" t="s">
        <v>192</v>
      </c>
      <c r="J1837" s="30" t="s">
        <v>635</v>
      </c>
      <c r="K1837" s="30"/>
      <c r="L1837" s="30" t="s">
        <v>108</v>
      </c>
      <c r="M1837" s="30" t="s">
        <v>109</v>
      </c>
      <c r="N1837" s="30" t="s">
        <v>114</v>
      </c>
      <c r="O1837" s="30" t="s">
        <v>115</v>
      </c>
      <c r="P1837" s="30" t="s">
        <v>112</v>
      </c>
      <c r="Q1837" s="30" t="s">
        <v>112</v>
      </c>
      <c r="R1837" s="30" t="s">
        <v>187</v>
      </c>
      <c r="S1837" s="81">
        <f>HLOOKUP(L1837,データについて!$J$6:$M$18,13,FALSE)</f>
        <v>1</v>
      </c>
      <c r="T1837" s="81">
        <f>HLOOKUP(M1837,データについて!$J$7:$M$18,12,FALSE)</f>
        <v>2</v>
      </c>
      <c r="U1837" s="81">
        <f>HLOOKUP(N1837,データについて!$J$8:$M$18,11,FALSE)</f>
        <v>1</v>
      </c>
      <c r="V1837" s="81">
        <f>HLOOKUP(O1837,データについて!$J$9:$M$18,10,FALSE)</f>
        <v>1</v>
      </c>
      <c r="W1837" s="81">
        <f>HLOOKUP(P1837,データについて!$J$10:$M$18,9,FALSE)</f>
        <v>1</v>
      </c>
      <c r="X1837" s="81">
        <f>HLOOKUP(Q1837,データについて!$J$11:$M$18,8,FALSE)</f>
        <v>1</v>
      </c>
      <c r="Y1837" s="81">
        <f>HLOOKUP(R1837,データについて!$J$12:$M$18,7,FALSE)</f>
        <v>3</v>
      </c>
      <c r="Z1837" s="81">
        <f>HLOOKUP(I1837,データについて!$J$3:$M$18,16,FALSE)</f>
        <v>1</v>
      </c>
      <c r="AA1837" s="81">
        <f>IFERROR(HLOOKUP(J1837,データについて!$J$4:$AH$19,16,FALSE),"")</f>
        <v>9</v>
      </c>
      <c r="AB1837" s="81" t="str">
        <f>IFERROR(HLOOKUP(K1837,データについて!$J$5:$AH$20,14,FALSE),"")</f>
        <v/>
      </c>
      <c r="AC1837" s="81">
        <f>IF(X1837=1,HLOOKUP(R1837,データについて!$J$12:$M$18,7,FALSE),"*")</f>
        <v>3</v>
      </c>
      <c r="AD1837" s="81" t="str">
        <f>IF(X1837=2,HLOOKUP(R1837,データについて!$J$12:$M$18,7,FALSE),"*")</f>
        <v>*</v>
      </c>
    </row>
    <row r="1838" spans="1:30">
      <c r="A1838" s="30">
        <v>3354</v>
      </c>
      <c r="B1838" s="30" t="s">
        <v>1758</v>
      </c>
      <c r="C1838" s="30" t="s">
        <v>1751</v>
      </c>
      <c r="D1838" s="30" t="s">
        <v>106</v>
      </c>
      <c r="E1838" s="30"/>
      <c r="F1838" s="30" t="s">
        <v>107</v>
      </c>
      <c r="G1838" s="30" t="s">
        <v>106</v>
      </c>
      <c r="H1838" s="30"/>
      <c r="I1838" s="30" t="s">
        <v>192</v>
      </c>
      <c r="J1838" s="30" t="s">
        <v>635</v>
      </c>
      <c r="K1838" s="30"/>
      <c r="L1838" s="30" t="s">
        <v>117</v>
      </c>
      <c r="M1838" s="30" t="s">
        <v>109</v>
      </c>
      <c r="N1838" s="30" t="s">
        <v>110</v>
      </c>
      <c r="O1838" s="30" t="s">
        <v>115</v>
      </c>
      <c r="P1838" s="30" t="s">
        <v>112</v>
      </c>
      <c r="Q1838" s="30" t="s">
        <v>112</v>
      </c>
      <c r="R1838" s="30" t="s">
        <v>185</v>
      </c>
      <c r="S1838" s="81">
        <f>HLOOKUP(L1838,データについて!$J$6:$M$18,13,FALSE)</f>
        <v>2</v>
      </c>
      <c r="T1838" s="81">
        <f>HLOOKUP(M1838,データについて!$J$7:$M$18,12,FALSE)</f>
        <v>2</v>
      </c>
      <c r="U1838" s="81">
        <f>HLOOKUP(N1838,データについて!$J$8:$M$18,11,FALSE)</f>
        <v>2</v>
      </c>
      <c r="V1838" s="81">
        <f>HLOOKUP(O1838,データについて!$J$9:$M$18,10,FALSE)</f>
        <v>1</v>
      </c>
      <c r="W1838" s="81">
        <f>HLOOKUP(P1838,データについて!$J$10:$M$18,9,FALSE)</f>
        <v>1</v>
      </c>
      <c r="X1838" s="81">
        <f>HLOOKUP(Q1838,データについて!$J$11:$M$18,8,FALSE)</f>
        <v>1</v>
      </c>
      <c r="Y1838" s="81">
        <f>HLOOKUP(R1838,データについて!$J$12:$M$18,7,FALSE)</f>
        <v>2</v>
      </c>
      <c r="Z1838" s="81">
        <f>HLOOKUP(I1838,データについて!$J$3:$M$18,16,FALSE)</f>
        <v>1</v>
      </c>
      <c r="AA1838" s="81">
        <f>IFERROR(HLOOKUP(J1838,データについて!$J$4:$AH$19,16,FALSE),"")</f>
        <v>9</v>
      </c>
      <c r="AB1838" s="81" t="str">
        <f>IFERROR(HLOOKUP(K1838,データについて!$J$5:$AH$20,14,FALSE),"")</f>
        <v/>
      </c>
      <c r="AC1838" s="81">
        <f>IF(X1838=1,HLOOKUP(R1838,データについて!$J$12:$M$18,7,FALSE),"*")</f>
        <v>2</v>
      </c>
      <c r="AD1838" s="81" t="str">
        <f>IF(X1838=2,HLOOKUP(R1838,データについて!$J$12:$M$18,7,FALSE),"*")</f>
        <v>*</v>
      </c>
    </row>
    <row r="1839" spans="1:30">
      <c r="A1839" s="30">
        <v>3353</v>
      </c>
      <c r="B1839" s="30" t="s">
        <v>1759</v>
      </c>
      <c r="C1839" s="30" t="s">
        <v>1751</v>
      </c>
      <c r="D1839" s="30" t="s">
        <v>106</v>
      </c>
      <c r="E1839" s="30"/>
      <c r="F1839" s="30" t="s">
        <v>107</v>
      </c>
      <c r="G1839" s="30" t="s">
        <v>106</v>
      </c>
      <c r="H1839" s="30"/>
      <c r="I1839" s="30" t="s">
        <v>192</v>
      </c>
      <c r="J1839" s="30" t="s">
        <v>635</v>
      </c>
      <c r="K1839" s="30"/>
      <c r="L1839" s="30" t="s">
        <v>117</v>
      </c>
      <c r="M1839" s="30" t="s">
        <v>113</v>
      </c>
      <c r="N1839" s="30" t="s">
        <v>114</v>
      </c>
      <c r="O1839" s="30" t="s">
        <v>115</v>
      </c>
      <c r="P1839" s="30" t="s">
        <v>112</v>
      </c>
      <c r="Q1839" s="30" t="s">
        <v>112</v>
      </c>
      <c r="R1839" s="30" t="s">
        <v>185</v>
      </c>
      <c r="S1839" s="81">
        <f>HLOOKUP(L1839,データについて!$J$6:$M$18,13,FALSE)</f>
        <v>2</v>
      </c>
      <c r="T1839" s="81">
        <f>HLOOKUP(M1839,データについて!$J$7:$M$18,12,FALSE)</f>
        <v>1</v>
      </c>
      <c r="U1839" s="81">
        <f>HLOOKUP(N1839,データについて!$J$8:$M$18,11,FALSE)</f>
        <v>1</v>
      </c>
      <c r="V1839" s="81">
        <f>HLOOKUP(O1839,データについて!$J$9:$M$18,10,FALSE)</f>
        <v>1</v>
      </c>
      <c r="W1839" s="81">
        <f>HLOOKUP(P1839,データについて!$J$10:$M$18,9,FALSE)</f>
        <v>1</v>
      </c>
      <c r="X1839" s="81">
        <f>HLOOKUP(Q1839,データについて!$J$11:$M$18,8,FALSE)</f>
        <v>1</v>
      </c>
      <c r="Y1839" s="81">
        <f>HLOOKUP(R1839,データについて!$J$12:$M$18,7,FALSE)</f>
        <v>2</v>
      </c>
      <c r="Z1839" s="81">
        <f>HLOOKUP(I1839,データについて!$J$3:$M$18,16,FALSE)</f>
        <v>1</v>
      </c>
      <c r="AA1839" s="81">
        <f>IFERROR(HLOOKUP(J1839,データについて!$J$4:$AH$19,16,FALSE),"")</f>
        <v>9</v>
      </c>
      <c r="AB1839" s="81" t="str">
        <f>IFERROR(HLOOKUP(K1839,データについて!$J$5:$AH$20,14,FALSE),"")</f>
        <v/>
      </c>
      <c r="AC1839" s="81">
        <f>IF(X1839=1,HLOOKUP(R1839,データについて!$J$12:$M$18,7,FALSE),"*")</f>
        <v>2</v>
      </c>
      <c r="AD1839" s="81" t="str">
        <f>IF(X1839=2,HLOOKUP(R1839,データについて!$J$12:$M$18,7,FALSE),"*")</f>
        <v>*</v>
      </c>
    </row>
    <row r="1840" spans="1:30">
      <c r="A1840" s="30">
        <v>3352</v>
      </c>
      <c r="B1840" s="30" t="s">
        <v>1760</v>
      </c>
      <c r="C1840" s="30" t="s">
        <v>1751</v>
      </c>
      <c r="D1840" s="30" t="s">
        <v>106</v>
      </c>
      <c r="E1840" s="30"/>
      <c r="F1840" s="30" t="s">
        <v>107</v>
      </c>
      <c r="G1840" s="30" t="s">
        <v>106</v>
      </c>
      <c r="H1840" s="30"/>
      <c r="I1840" s="30" t="s">
        <v>192</v>
      </c>
      <c r="J1840" s="30" t="s">
        <v>635</v>
      </c>
      <c r="K1840" s="30"/>
      <c r="L1840" s="30" t="s">
        <v>108</v>
      </c>
      <c r="M1840" s="30" t="s">
        <v>113</v>
      </c>
      <c r="N1840" s="30" t="s">
        <v>110</v>
      </c>
      <c r="O1840" s="30" t="s">
        <v>115</v>
      </c>
      <c r="P1840" s="30" t="s">
        <v>118</v>
      </c>
      <c r="Q1840" s="30" t="s">
        <v>112</v>
      </c>
      <c r="R1840" s="30" t="s">
        <v>183</v>
      </c>
      <c r="S1840" s="81">
        <f>HLOOKUP(L1840,データについて!$J$6:$M$18,13,FALSE)</f>
        <v>1</v>
      </c>
      <c r="T1840" s="81">
        <f>HLOOKUP(M1840,データについて!$J$7:$M$18,12,FALSE)</f>
        <v>1</v>
      </c>
      <c r="U1840" s="81">
        <f>HLOOKUP(N1840,データについて!$J$8:$M$18,11,FALSE)</f>
        <v>2</v>
      </c>
      <c r="V1840" s="81">
        <f>HLOOKUP(O1840,データについて!$J$9:$M$18,10,FALSE)</f>
        <v>1</v>
      </c>
      <c r="W1840" s="81">
        <f>HLOOKUP(P1840,データについて!$J$10:$M$18,9,FALSE)</f>
        <v>2</v>
      </c>
      <c r="X1840" s="81">
        <f>HLOOKUP(Q1840,データについて!$J$11:$M$18,8,FALSE)</f>
        <v>1</v>
      </c>
      <c r="Y1840" s="81">
        <f>HLOOKUP(R1840,データについて!$J$12:$M$18,7,FALSE)</f>
        <v>1</v>
      </c>
      <c r="Z1840" s="81">
        <f>HLOOKUP(I1840,データについて!$J$3:$M$18,16,FALSE)</f>
        <v>1</v>
      </c>
      <c r="AA1840" s="81">
        <f>IFERROR(HLOOKUP(J1840,データについて!$J$4:$AH$19,16,FALSE),"")</f>
        <v>9</v>
      </c>
      <c r="AB1840" s="81" t="str">
        <f>IFERROR(HLOOKUP(K1840,データについて!$J$5:$AH$20,14,FALSE),"")</f>
        <v/>
      </c>
      <c r="AC1840" s="81">
        <f>IF(X1840=1,HLOOKUP(R1840,データについて!$J$12:$M$18,7,FALSE),"*")</f>
        <v>1</v>
      </c>
      <c r="AD1840" s="81" t="str">
        <f>IF(X1840=2,HLOOKUP(R1840,データについて!$J$12:$M$18,7,FALSE),"*")</f>
        <v>*</v>
      </c>
    </row>
    <row r="1841" spans="1:30">
      <c r="A1841" s="30">
        <v>3351</v>
      </c>
      <c r="B1841" s="30" t="s">
        <v>1761</v>
      </c>
      <c r="C1841" s="30" t="s">
        <v>1762</v>
      </c>
      <c r="D1841" s="30" t="s">
        <v>106</v>
      </c>
      <c r="E1841" s="30"/>
      <c r="F1841" s="30" t="s">
        <v>107</v>
      </c>
      <c r="G1841" s="30" t="s">
        <v>106</v>
      </c>
      <c r="H1841" s="30"/>
      <c r="I1841" s="30" t="s">
        <v>192</v>
      </c>
      <c r="J1841" s="30" t="s">
        <v>635</v>
      </c>
      <c r="K1841" s="30"/>
      <c r="L1841" s="30" t="s">
        <v>117</v>
      </c>
      <c r="M1841" s="30" t="s">
        <v>113</v>
      </c>
      <c r="N1841" s="30" t="s">
        <v>122</v>
      </c>
      <c r="O1841" s="30" t="s">
        <v>115</v>
      </c>
      <c r="P1841" s="30" t="s">
        <v>112</v>
      </c>
      <c r="Q1841" s="30" t="s">
        <v>118</v>
      </c>
      <c r="R1841" s="30" t="s">
        <v>187</v>
      </c>
      <c r="S1841" s="81">
        <f>HLOOKUP(L1841,データについて!$J$6:$M$18,13,FALSE)</f>
        <v>2</v>
      </c>
      <c r="T1841" s="81">
        <f>HLOOKUP(M1841,データについて!$J$7:$M$18,12,FALSE)</f>
        <v>1</v>
      </c>
      <c r="U1841" s="81">
        <f>HLOOKUP(N1841,データについて!$J$8:$M$18,11,FALSE)</f>
        <v>3</v>
      </c>
      <c r="V1841" s="81">
        <f>HLOOKUP(O1841,データについて!$J$9:$M$18,10,FALSE)</f>
        <v>1</v>
      </c>
      <c r="W1841" s="81">
        <f>HLOOKUP(P1841,データについて!$J$10:$M$18,9,FALSE)</f>
        <v>1</v>
      </c>
      <c r="X1841" s="81">
        <f>HLOOKUP(Q1841,データについて!$J$11:$M$18,8,FALSE)</f>
        <v>2</v>
      </c>
      <c r="Y1841" s="81">
        <f>HLOOKUP(R1841,データについて!$J$12:$M$18,7,FALSE)</f>
        <v>3</v>
      </c>
      <c r="Z1841" s="81">
        <f>HLOOKUP(I1841,データについて!$J$3:$M$18,16,FALSE)</f>
        <v>1</v>
      </c>
      <c r="AA1841" s="81">
        <f>IFERROR(HLOOKUP(J1841,データについて!$J$4:$AH$19,16,FALSE),"")</f>
        <v>9</v>
      </c>
      <c r="AB1841" s="81" t="str">
        <f>IFERROR(HLOOKUP(K1841,データについて!$J$5:$AH$20,14,FALSE),"")</f>
        <v/>
      </c>
      <c r="AC1841" s="81" t="str">
        <f>IF(X1841=1,HLOOKUP(R1841,データについて!$J$12:$M$18,7,FALSE),"*")</f>
        <v>*</v>
      </c>
      <c r="AD1841" s="81">
        <f>IF(X1841=2,HLOOKUP(R1841,データについて!$J$12:$M$18,7,FALSE),"*")</f>
        <v>3</v>
      </c>
    </row>
    <row r="1842" spans="1:30">
      <c r="A1842" s="30">
        <v>3350</v>
      </c>
      <c r="B1842" s="30" t="s">
        <v>1763</v>
      </c>
      <c r="C1842" s="30" t="s">
        <v>1762</v>
      </c>
      <c r="D1842" s="30" t="s">
        <v>106</v>
      </c>
      <c r="E1842" s="30"/>
      <c r="F1842" s="30" t="s">
        <v>107</v>
      </c>
      <c r="G1842" s="30" t="s">
        <v>106</v>
      </c>
      <c r="H1842" s="30"/>
      <c r="I1842" s="30" t="s">
        <v>192</v>
      </c>
      <c r="J1842" s="30" t="s">
        <v>635</v>
      </c>
      <c r="K1842" s="30"/>
      <c r="L1842" s="30" t="s">
        <v>117</v>
      </c>
      <c r="M1842" s="30" t="s">
        <v>113</v>
      </c>
      <c r="N1842" s="30" t="s">
        <v>114</v>
      </c>
      <c r="O1842" s="30" t="s">
        <v>115</v>
      </c>
      <c r="P1842" s="30" t="s">
        <v>112</v>
      </c>
      <c r="Q1842" s="30" t="s">
        <v>112</v>
      </c>
      <c r="R1842" s="30" t="s">
        <v>189</v>
      </c>
      <c r="S1842" s="81">
        <f>HLOOKUP(L1842,データについて!$J$6:$M$18,13,FALSE)</f>
        <v>2</v>
      </c>
      <c r="T1842" s="81">
        <f>HLOOKUP(M1842,データについて!$J$7:$M$18,12,FALSE)</f>
        <v>1</v>
      </c>
      <c r="U1842" s="81">
        <f>HLOOKUP(N1842,データについて!$J$8:$M$18,11,FALSE)</f>
        <v>1</v>
      </c>
      <c r="V1842" s="81">
        <f>HLOOKUP(O1842,データについて!$J$9:$M$18,10,FALSE)</f>
        <v>1</v>
      </c>
      <c r="W1842" s="81">
        <f>HLOOKUP(P1842,データについて!$J$10:$M$18,9,FALSE)</f>
        <v>1</v>
      </c>
      <c r="X1842" s="81">
        <f>HLOOKUP(Q1842,データについて!$J$11:$M$18,8,FALSE)</f>
        <v>1</v>
      </c>
      <c r="Y1842" s="81">
        <f>HLOOKUP(R1842,データについて!$J$12:$M$18,7,FALSE)</f>
        <v>4</v>
      </c>
      <c r="Z1842" s="81">
        <f>HLOOKUP(I1842,データについて!$J$3:$M$18,16,FALSE)</f>
        <v>1</v>
      </c>
      <c r="AA1842" s="81">
        <f>IFERROR(HLOOKUP(J1842,データについて!$J$4:$AH$19,16,FALSE),"")</f>
        <v>9</v>
      </c>
      <c r="AB1842" s="81" t="str">
        <f>IFERROR(HLOOKUP(K1842,データについて!$J$5:$AH$20,14,FALSE),"")</f>
        <v/>
      </c>
      <c r="AC1842" s="81">
        <f>IF(X1842=1,HLOOKUP(R1842,データについて!$J$12:$M$18,7,FALSE),"*")</f>
        <v>4</v>
      </c>
      <c r="AD1842" s="81" t="str">
        <f>IF(X1842=2,HLOOKUP(R1842,データについて!$J$12:$M$18,7,FALSE),"*")</f>
        <v>*</v>
      </c>
    </row>
    <row r="1843" spans="1:30">
      <c r="A1843" s="30">
        <v>3349</v>
      </c>
      <c r="B1843" s="30" t="s">
        <v>1764</v>
      </c>
      <c r="C1843" s="30" t="s">
        <v>1762</v>
      </c>
      <c r="D1843" s="30" t="s">
        <v>106</v>
      </c>
      <c r="E1843" s="30"/>
      <c r="F1843" s="30" t="s">
        <v>107</v>
      </c>
      <c r="G1843" s="30" t="s">
        <v>106</v>
      </c>
      <c r="H1843" s="30"/>
      <c r="I1843" s="30" t="s">
        <v>192</v>
      </c>
      <c r="J1843" s="30" t="s">
        <v>635</v>
      </c>
      <c r="K1843" s="30"/>
      <c r="L1843" s="30" t="s">
        <v>120</v>
      </c>
      <c r="M1843" s="30" t="s">
        <v>113</v>
      </c>
      <c r="N1843" s="30" t="s">
        <v>114</v>
      </c>
      <c r="O1843" s="30" t="s">
        <v>115</v>
      </c>
      <c r="P1843" s="30" t="s">
        <v>118</v>
      </c>
      <c r="Q1843" s="30" t="s">
        <v>112</v>
      </c>
      <c r="R1843" s="30" t="s">
        <v>183</v>
      </c>
      <c r="S1843" s="81">
        <f>HLOOKUP(L1843,データについて!$J$6:$M$18,13,FALSE)</f>
        <v>3</v>
      </c>
      <c r="T1843" s="81">
        <f>HLOOKUP(M1843,データについて!$J$7:$M$18,12,FALSE)</f>
        <v>1</v>
      </c>
      <c r="U1843" s="81">
        <f>HLOOKUP(N1843,データについて!$J$8:$M$18,11,FALSE)</f>
        <v>1</v>
      </c>
      <c r="V1843" s="81">
        <f>HLOOKUP(O1843,データについて!$J$9:$M$18,10,FALSE)</f>
        <v>1</v>
      </c>
      <c r="W1843" s="81">
        <f>HLOOKUP(P1843,データについて!$J$10:$M$18,9,FALSE)</f>
        <v>2</v>
      </c>
      <c r="X1843" s="81">
        <f>HLOOKUP(Q1843,データについて!$J$11:$M$18,8,FALSE)</f>
        <v>1</v>
      </c>
      <c r="Y1843" s="81">
        <f>HLOOKUP(R1843,データについて!$J$12:$M$18,7,FALSE)</f>
        <v>1</v>
      </c>
      <c r="Z1843" s="81">
        <f>HLOOKUP(I1843,データについて!$J$3:$M$18,16,FALSE)</f>
        <v>1</v>
      </c>
      <c r="AA1843" s="81">
        <f>IFERROR(HLOOKUP(J1843,データについて!$J$4:$AH$19,16,FALSE),"")</f>
        <v>9</v>
      </c>
      <c r="AB1843" s="81" t="str">
        <f>IFERROR(HLOOKUP(K1843,データについて!$J$5:$AH$20,14,FALSE),"")</f>
        <v/>
      </c>
      <c r="AC1843" s="81">
        <f>IF(X1843=1,HLOOKUP(R1843,データについて!$J$12:$M$18,7,FALSE),"*")</f>
        <v>1</v>
      </c>
      <c r="AD1843" s="81" t="str">
        <f>IF(X1843=2,HLOOKUP(R1843,データについて!$J$12:$M$18,7,FALSE),"*")</f>
        <v>*</v>
      </c>
    </row>
    <row r="1844" spans="1:30">
      <c r="A1844" s="30">
        <v>3348</v>
      </c>
      <c r="B1844" s="30" t="s">
        <v>1765</v>
      </c>
      <c r="C1844" s="30" t="s">
        <v>1762</v>
      </c>
      <c r="D1844" s="30" t="s">
        <v>106</v>
      </c>
      <c r="E1844" s="30"/>
      <c r="F1844" s="30" t="s">
        <v>107</v>
      </c>
      <c r="G1844" s="30" t="s">
        <v>106</v>
      </c>
      <c r="H1844" s="30"/>
      <c r="I1844" s="30" t="s">
        <v>192</v>
      </c>
      <c r="J1844" s="30" t="s">
        <v>635</v>
      </c>
      <c r="K1844" s="30"/>
      <c r="L1844" s="30" t="s">
        <v>117</v>
      </c>
      <c r="M1844" s="30" t="s">
        <v>113</v>
      </c>
      <c r="N1844" s="30" t="s">
        <v>110</v>
      </c>
      <c r="O1844" s="30" t="s">
        <v>115</v>
      </c>
      <c r="P1844" s="30" t="s">
        <v>112</v>
      </c>
      <c r="Q1844" s="30" t="s">
        <v>112</v>
      </c>
      <c r="R1844" s="30" t="s">
        <v>185</v>
      </c>
      <c r="S1844" s="81">
        <f>HLOOKUP(L1844,データについて!$J$6:$M$18,13,FALSE)</f>
        <v>2</v>
      </c>
      <c r="T1844" s="81">
        <f>HLOOKUP(M1844,データについて!$J$7:$M$18,12,FALSE)</f>
        <v>1</v>
      </c>
      <c r="U1844" s="81">
        <f>HLOOKUP(N1844,データについて!$J$8:$M$18,11,FALSE)</f>
        <v>2</v>
      </c>
      <c r="V1844" s="81">
        <f>HLOOKUP(O1844,データについて!$J$9:$M$18,10,FALSE)</f>
        <v>1</v>
      </c>
      <c r="W1844" s="81">
        <f>HLOOKUP(P1844,データについて!$J$10:$M$18,9,FALSE)</f>
        <v>1</v>
      </c>
      <c r="X1844" s="81">
        <f>HLOOKUP(Q1844,データについて!$J$11:$M$18,8,FALSE)</f>
        <v>1</v>
      </c>
      <c r="Y1844" s="81">
        <f>HLOOKUP(R1844,データについて!$J$12:$M$18,7,FALSE)</f>
        <v>2</v>
      </c>
      <c r="Z1844" s="81">
        <f>HLOOKUP(I1844,データについて!$J$3:$M$18,16,FALSE)</f>
        <v>1</v>
      </c>
      <c r="AA1844" s="81">
        <f>IFERROR(HLOOKUP(J1844,データについて!$J$4:$AH$19,16,FALSE),"")</f>
        <v>9</v>
      </c>
      <c r="AB1844" s="81" t="str">
        <f>IFERROR(HLOOKUP(K1844,データについて!$J$5:$AH$20,14,FALSE),"")</f>
        <v/>
      </c>
      <c r="AC1844" s="81">
        <f>IF(X1844=1,HLOOKUP(R1844,データについて!$J$12:$M$18,7,FALSE),"*")</f>
        <v>2</v>
      </c>
      <c r="AD1844" s="81" t="str">
        <f>IF(X1844=2,HLOOKUP(R1844,データについて!$J$12:$M$18,7,FALSE),"*")</f>
        <v>*</v>
      </c>
    </row>
    <row r="1845" spans="1:30">
      <c r="A1845" s="30">
        <v>3347</v>
      </c>
      <c r="B1845" s="30" t="s">
        <v>1766</v>
      </c>
      <c r="C1845" s="30" t="s">
        <v>1762</v>
      </c>
      <c r="D1845" s="30" t="s">
        <v>106</v>
      </c>
      <c r="E1845" s="30"/>
      <c r="F1845" s="30" t="s">
        <v>107</v>
      </c>
      <c r="G1845" s="30" t="s">
        <v>106</v>
      </c>
      <c r="H1845" s="30"/>
      <c r="I1845" s="30" t="s">
        <v>192</v>
      </c>
      <c r="J1845" s="30" t="s">
        <v>635</v>
      </c>
      <c r="K1845" s="30"/>
      <c r="L1845" s="30" t="s">
        <v>108</v>
      </c>
      <c r="M1845" s="30" t="s">
        <v>113</v>
      </c>
      <c r="N1845" s="30" t="s">
        <v>114</v>
      </c>
      <c r="O1845" s="30" t="s">
        <v>115</v>
      </c>
      <c r="P1845" s="30" t="s">
        <v>112</v>
      </c>
      <c r="Q1845" s="30" t="s">
        <v>112</v>
      </c>
      <c r="R1845" s="30" t="s">
        <v>185</v>
      </c>
      <c r="S1845" s="81">
        <f>HLOOKUP(L1845,データについて!$J$6:$M$18,13,FALSE)</f>
        <v>1</v>
      </c>
      <c r="T1845" s="81">
        <f>HLOOKUP(M1845,データについて!$J$7:$M$18,12,FALSE)</f>
        <v>1</v>
      </c>
      <c r="U1845" s="81">
        <f>HLOOKUP(N1845,データについて!$J$8:$M$18,11,FALSE)</f>
        <v>1</v>
      </c>
      <c r="V1845" s="81">
        <f>HLOOKUP(O1845,データについて!$J$9:$M$18,10,FALSE)</f>
        <v>1</v>
      </c>
      <c r="W1845" s="81">
        <f>HLOOKUP(P1845,データについて!$J$10:$M$18,9,FALSE)</f>
        <v>1</v>
      </c>
      <c r="X1845" s="81">
        <f>HLOOKUP(Q1845,データについて!$J$11:$M$18,8,FALSE)</f>
        <v>1</v>
      </c>
      <c r="Y1845" s="81">
        <f>HLOOKUP(R1845,データについて!$J$12:$M$18,7,FALSE)</f>
        <v>2</v>
      </c>
      <c r="Z1845" s="81">
        <f>HLOOKUP(I1845,データについて!$J$3:$M$18,16,FALSE)</f>
        <v>1</v>
      </c>
      <c r="AA1845" s="81">
        <f>IFERROR(HLOOKUP(J1845,データについて!$J$4:$AH$19,16,FALSE),"")</f>
        <v>9</v>
      </c>
      <c r="AB1845" s="81" t="str">
        <f>IFERROR(HLOOKUP(K1845,データについて!$J$5:$AH$20,14,FALSE),"")</f>
        <v/>
      </c>
      <c r="AC1845" s="81">
        <f>IF(X1845=1,HLOOKUP(R1845,データについて!$J$12:$M$18,7,FALSE),"*")</f>
        <v>2</v>
      </c>
      <c r="AD1845" s="81" t="str">
        <f>IF(X1845=2,HLOOKUP(R1845,データについて!$J$12:$M$18,7,FALSE),"*")</f>
        <v>*</v>
      </c>
    </row>
    <row r="1846" spans="1:30">
      <c r="A1846" s="30">
        <v>3346</v>
      </c>
      <c r="B1846" s="30" t="s">
        <v>1767</v>
      </c>
      <c r="C1846" s="30" t="s">
        <v>1768</v>
      </c>
      <c r="D1846" s="30" t="s">
        <v>106</v>
      </c>
      <c r="E1846" s="30"/>
      <c r="F1846" s="30" t="s">
        <v>107</v>
      </c>
      <c r="G1846" s="30" t="s">
        <v>106</v>
      </c>
      <c r="H1846" s="30"/>
      <c r="I1846" s="30" t="s">
        <v>192</v>
      </c>
      <c r="J1846" s="30" t="s">
        <v>635</v>
      </c>
      <c r="K1846" s="30"/>
      <c r="L1846" s="30" t="s">
        <v>108</v>
      </c>
      <c r="M1846" s="30" t="s">
        <v>109</v>
      </c>
      <c r="N1846" s="30" t="s">
        <v>110</v>
      </c>
      <c r="O1846" s="30" t="s">
        <v>115</v>
      </c>
      <c r="P1846" s="30" t="s">
        <v>118</v>
      </c>
      <c r="Q1846" s="30" t="s">
        <v>118</v>
      </c>
      <c r="R1846" s="30" t="s">
        <v>187</v>
      </c>
      <c r="S1846" s="81">
        <f>HLOOKUP(L1846,データについて!$J$6:$M$18,13,FALSE)</f>
        <v>1</v>
      </c>
      <c r="T1846" s="81">
        <f>HLOOKUP(M1846,データについて!$J$7:$M$18,12,FALSE)</f>
        <v>2</v>
      </c>
      <c r="U1846" s="81">
        <f>HLOOKUP(N1846,データについて!$J$8:$M$18,11,FALSE)</f>
        <v>2</v>
      </c>
      <c r="V1846" s="81">
        <f>HLOOKUP(O1846,データについて!$J$9:$M$18,10,FALSE)</f>
        <v>1</v>
      </c>
      <c r="W1846" s="81">
        <f>HLOOKUP(P1846,データについて!$J$10:$M$18,9,FALSE)</f>
        <v>2</v>
      </c>
      <c r="X1846" s="81">
        <f>HLOOKUP(Q1846,データについて!$J$11:$M$18,8,FALSE)</f>
        <v>2</v>
      </c>
      <c r="Y1846" s="81">
        <f>HLOOKUP(R1846,データについて!$J$12:$M$18,7,FALSE)</f>
        <v>3</v>
      </c>
      <c r="Z1846" s="81">
        <f>HLOOKUP(I1846,データについて!$J$3:$M$18,16,FALSE)</f>
        <v>1</v>
      </c>
      <c r="AA1846" s="81">
        <f>IFERROR(HLOOKUP(J1846,データについて!$J$4:$AH$19,16,FALSE),"")</f>
        <v>9</v>
      </c>
      <c r="AB1846" s="81" t="str">
        <f>IFERROR(HLOOKUP(K1846,データについて!$J$5:$AH$20,14,FALSE),"")</f>
        <v/>
      </c>
      <c r="AC1846" s="81" t="str">
        <f>IF(X1846=1,HLOOKUP(R1846,データについて!$J$12:$M$18,7,FALSE),"*")</f>
        <v>*</v>
      </c>
      <c r="AD1846" s="81">
        <f>IF(X1846=2,HLOOKUP(R1846,データについて!$J$12:$M$18,7,FALSE),"*")</f>
        <v>3</v>
      </c>
    </row>
    <row r="1847" spans="1:30">
      <c r="A1847" s="30">
        <v>3345</v>
      </c>
      <c r="B1847" s="30" t="s">
        <v>1769</v>
      </c>
      <c r="C1847" s="30" t="s">
        <v>1770</v>
      </c>
      <c r="D1847" s="30" t="s">
        <v>106</v>
      </c>
      <c r="E1847" s="30"/>
      <c r="F1847" s="30" t="s">
        <v>107</v>
      </c>
      <c r="G1847" s="30" t="s">
        <v>106</v>
      </c>
      <c r="H1847" s="30"/>
      <c r="I1847" s="30" t="s">
        <v>192</v>
      </c>
      <c r="J1847" s="30" t="s">
        <v>635</v>
      </c>
      <c r="K1847" s="30"/>
      <c r="L1847" s="30" t="s">
        <v>108</v>
      </c>
      <c r="M1847" s="30" t="s">
        <v>109</v>
      </c>
      <c r="N1847" s="30" t="s">
        <v>122</v>
      </c>
      <c r="O1847" s="30" t="s">
        <v>115</v>
      </c>
      <c r="P1847" s="30" t="s">
        <v>112</v>
      </c>
      <c r="Q1847" s="30" t="s">
        <v>112</v>
      </c>
      <c r="R1847" s="30" t="s">
        <v>187</v>
      </c>
      <c r="S1847" s="81">
        <f>HLOOKUP(L1847,データについて!$J$6:$M$18,13,FALSE)</f>
        <v>1</v>
      </c>
      <c r="T1847" s="81">
        <f>HLOOKUP(M1847,データについて!$J$7:$M$18,12,FALSE)</f>
        <v>2</v>
      </c>
      <c r="U1847" s="81">
        <f>HLOOKUP(N1847,データについて!$J$8:$M$18,11,FALSE)</f>
        <v>3</v>
      </c>
      <c r="V1847" s="81">
        <f>HLOOKUP(O1847,データについて!$J$9:$M$18,10,FALSE)</f>
        <v>1</v>
      </c>
      <c r="W1847" s="81">
        <f>HLOOKUP(P1847,データについて!$J$10:$M$18,9,FALSE)</f>
        <v>1</v>
      </c>
      <c r="X1847" s="81">
        <f>HLOOKUP(Q1847,データについて!$J$11:$M$18,8,FALSE)</f>
        <v>1</v>
      </c>
      <c r="Y1847" s="81">
        <f>HLOOKUP(R1847,データについて!$J$12:$M$18,7,FALSE)</f>
        <v>3</v>
      </c>
      <c r="Z1847" s="81">
        <f>HLOOKUP(I1847,データについて!$J$3:$M$18,16,FALSE)</f>
        <v>1</v>
      </c>
      <c r="AA1847" s="81">
        <f>IFERROR(HLOOKUP(J1847,データについて!$J$4:$AH$19,16,FALSE),"")</f>
        <v>9</v>
      </c>
      <c r="AB1847" s="81" t="str">
        <f>IFERROR(HLOOKUP(K1847,データについて!$J$5:$AH$20,14,FALSE),"")</f>
        <v/>
      </c>
      <c r="AC1847" s="81">
        <f>IF(X1847=1,HLOOKUP(R1847,データについて!$J$12:$M$18,7,FALSE),"*")</f>
        <v>3</v>
      </c>
      <c r="AD1847" s="81" t="str">
        <f>IF(X1847=2,HLOOKUP(R1847,データについて!$J$12:$M$18,7,FALSE),"*")</f>
        <v>*</v>
      </c>
    </row>
    <row r="1848" spans="1:30">
      <c r="A1848" s="30">
        <v>3344</v>
      </c>
      <c r="B1848" s="30" t="s">
        <v>1771</v>
      </c>
      <c r="C1848" s="30" t="s">
        <v>1772</v>
      </c>
      <c r="D1848" s="30" t="s">
        <v>106</v>
      </c>
      <c r="E1848" s="30"/>
      <c r="F1848" s="30" t="s">
        <v>107</v>
      </c>
      <c r="G1848" s="30" t="s">
        <v>106</v>
      </c>
      <c r="H1848" s="30"/>
      <c r="I1848" s="30" t="s">
        <v>192</v>
      </c>
      <c r="J1848" s="30" t="s">
        <v>635</v>
      </c>
      <c r="K1848" s="30"/>
      <c r="L1848" s="30" t="s">
        <v>117</v>
      </c>
      <c r="M1848" s="30" t="s">
        <v>113</v>
      </c>
      <c r="N1848" s="30" t="s">
        <v>110</v>
      </c>
      <c r="O1848" s="30" t="s">
        <v>115</v>
      </c>
      <c r="P1848" s="30" t="s">
        <v>112</v>
      </c>
      <c r="Q1848" s="30" t="s">
        <v>112</v>
      </c>
      <c r="R1848" s="30" t="s">
        <v>187</v>
      </c>
      <c r="S1848" s="81">
        <f>HLOOKUP(L1848,データについて!$J$6:$M$18,13,FALSE)</f>
        <v>2</v>
      </c>
      <c r="T1848" s="81">
        <f>HLOOKUP(M1848,データについて!$J$7:$M$18,12,FALSE)</f>
        <v>1</v>
      </c>
      <c r="U1848" s="81">
        <f>HLOOKUP(N1848,データについて!$J$8:$M$18,11,FALSE)</f>
        <v>2</v>
      </c>
      <c r="V1848" s="81">
        <f>HLOOKUP(O1848,データについて!$J$9:$M$18,10,FALSE)</f>
        <v>1</v>
      </c>
      <c r="W1848" s="81">
        <f>HLOOKUP(P1848,データについて!$J$10:$M$18,9,FALSE)</f>
        <v>1</v>
      </c>
      <c r="X1848" s="81">
        <f>HLOOKUP(Q1848,データについて!$J$11:$M$18,8,FALSE)</f>
        <v>1</v>
      </c>
      <c r="Y1848" s="81">
        <f>HLOOKUP(R1848,データについて!$J$12:$M$18,7,FALSE)</f>
        <v>3</v>
      </c>
      <c r="Z1848" s="81">
        <f>HLOOKUP(I1848,データについて!$J$3:$M$18,16,FALSE)</f>
        <v>1</v>
      </c>
      <c r="AA1848" s="81">
        <f>IFERROR(HLOOKUP(J1848,データについて!$J$4:$AH$19,16,FALSE),"")</f>
        <v>9</v>
      </c>
      <c r="AB1848" s="81" t="str">
        <f>IFERROR(HLOOKUP(K1848,データについて!$J$5:$AH$20,14,FALSE),"")</f>
        <v/>
      </c>
      <c r="AC1848" s="81">
        <f>IF(X1848=1,HLOOKUP(R1848,データについて!$J$12:$M$18,7,FALSE),"*")</f>
        <v>3</v>
      </c>
      <c r="AD1848" s="81" t="str">
        <f>IF(X1848=2,HLOOKUP(R1848,データについて!$J$12:$M$18,7,FALSE),"*")</f>
        <v>*</v>
      </c>
    </row>
    <row r="1849" spans="1:30">
      <c r="A1849" s="30">
        <v>3343</v>
      </c>
      <c r="B1849" s="30" t="s">
        <v>1773</v>
      </c>
      <c r="C1849" s="30" t="s">
        <v>1774</v>
      </c>
      <c r="D1849" s="30" t="s">
        <v>106</v>
      </c>
      <c r="E1849" s="30"/>
      <c r="F1849" s="30" t="s">
        <v>107</v>
      </c>
      <c r="G1849" s="30" t="s">
        <v>106</v>
      </c>
      <c r="H1849" s="30"/>
      <c r="I1849" s="30" t="s">
        <v>192</v>
      </c>
      <c r="J1849" s="30" t="s">
        <v>635</v>
      </c>
      <c r="K1849" s="30"/>
      <c r="L1849" s="30" t="s">
        <v>117</v>
      </c>
      <c r="M1849" s="30" t="s">
        <v>113</v>
      </c>
      <c r="N1849" s="30" t="s">
        <v>114</v>
      </c>
      <c r="O1849" s="30" t="s">
        <v>115</v>
      </c>
      <c r="P1849" s="30" t="s">
        <v>112</v>
      </c>
      <c r="Q1849" s="30" t="s">
        <v>112</v>
      </c>
      <c r="R1849" s="30" t="s">
        <v>185</v>
      </c>
      <c r="S1849" s="81">
        <f>HLOOKUP(L1849,データについて!$J$6:$M$18,13,FALSE)</f>
        <v>2</v>
      </c>
      <c r="T1849" s="81">
        <f>HLOOKUP(M1849,データについて!$J$7:$M$18,12,FALSE)</f>
        <v>1</v>
      </c>
      <c r="U1849" s="81">
        <f>HLOOKUP(N1849,データについて!$J$8:$M$18,11,FALSE)</f>
        <v>1</v>
      </c>
      <c r="V1849" s="81">
        <f>HLOOKUP(O1849,データについて!$J$9:$M$18,10,FALSE)</f>
        <v>1</v>
      </c>
      <c r="W1849" s="81">
        <f>HLOOKUP(P1849,データについて!$J$10:$M$18,9,FALSE)</f>
        <v>1</v>
      </c>
      <c r="X1849" s="81">
        <f>HLOOKUP(Q1849,データについて!$J$11:$M$18,8,FALSE)</f>
        <v>1</v>
      </c>
      <c r="Y1849" s="81">
        <f>HLOOKUP(R1849,データについて!$J$12:$M$18,7,FALSE)</f>
        <v>2</v>
      </c>
      <c r="Z1849" s="81">
        <f>HLOOKUP(I1849,データについて!$J$3:$M$18,16,FALSE)</f>
        <v>1</v>
      </c>
      <c r="AA1849" s="81">
        <f>IFERROR(HLOOKUP(J1849,データについて!$J$4:$AH$19,16,FALSE),"")</f>
        <v>9</v>
      </c>
      <c r="AB1849" s="81" t="str">
        <f>IFERROR(HLOOKUP(K1849,データについて!$J$5:$AH$20,14,FALSE),"")</f>
        <v/>
      </c>
      <c r="AC1849" s="81">
        <f>IF(X1849=1,HLOOKUP(R1849,データについて!$J$12:$M$18,7,FALSE),"*")</f>
        <v>2</v>
      </c>
      <c r="AD1849" s="81" t="str">
        <f>IF(X1849=2,HLOOKUP(R1849,データについて!$J$12:$M$18,7,FALSE),"*")</f>
        <v>*</v>
      </c>
    </row>
    <row r="1850" spans="1:30">
      <c r="A1850" s="30">
        <v>3342</v>
      </c>
      <c r="B1850" s="30" t="s">
        <v>1775</v>
      </c>
      <c r="C1850" s="30" t="s">
        <v>1776</v>
      </c>
      <c r="D1850" s="30" t="s">
        <v>106</v>
      </c>
      <c r="E1850" s="30"/>
      <c r="F1850" s="30" t="s">
        <v>107</v>
      </c>
      <c r="G1850" s="30" t="s">
        <v>106</v>
      </c>
      <c r="H1850" s="30"/>
      <c r="I1850" s="30" t="s">
        <v>192</v>
      </c>
      <c r="J1850" s="30" t="s">
        <v>635</v>
      </c>
      <c r="K1850" s="30"/>
      <c r="L1850" s="30" t="s">
        <v>117</v>
      </c>
      <c r="M1850" s="30" t="s">
        <v>113</v>
      </c>
      <c r="N1850" s="30" t="s">
        <v>114</v>
      </c>
      <c r="O1850" s="30" t="s">
        <v>115</v>
      </c>
      <c r="P1850" s="30" t="s">
        <v>118</v>
      </c>
      <c r="Q1850" s="30" t="s">
        <v>118</v>
      </c>
      <c r="R1850" s="30" t="s">
        <v>183</v>
      </c>
      <c r="S1850" s="81">
        <f>HLOOKUP(L1850,データについて!$J$6:$M$18,13,FALSE)</f>
        <v>2</v>
      </c>
      <c r="T1850" s="81">
        <f>HLOOKUP(M1850,データについて!$J$7:$M$18,12,FALSE)</f>
        <v>1</v>
      </c>
      <c r="U1850" s="81">
        <f>HLOOKUP(N1850,データについて!$J$8:$M$18,11,FALSE)</f>
        <v>1</v>
      </c>
      <c r="V1850" s="81">
        <f>HLOOKUP(O1850,データについて!$J$9:$M$18,10,FALSE)</f>
        <v>1</v>
      </c>
      <c r="W1850" s="81">
        <f>HLOOKUP(P1850,データについて!$J$10:$M$18,9,FALSE)</f>
        <v>2</v>
      </c>
      <c r="X1850" s="81">
        <f>HLOOKUP(Q1850,データについて!$J$11:$M$18,8,FALSE)</f>
        <v>2</v>
      </c>
      <c r="Y1850" s="81">
        <f>HLOOKUP(R1850,データについて!$J$12:$M$18,7,FALSE)</f>
        <v>1</v>
      </c>
      <c r="Z1850" s="81">
        <f>HLOOKUP(I1850,データについて!$J$3:$M$18,16,FALSE)</f>
        <v>1</v>
      </c>
      <c r="AA1850" s="81">
        <f>IFERROR(HLOOKUP(J1850,データについて!$J$4:$AH$19,16,FALSE),"")</f>
        <v>9</v>
      </c>
      <c r="AB1850" s="81" t="str">
        <f>IFERROR(HLOOKUP(K1850,データについて!$J$5:$AH$20,14,FALSE),"")</f>
        <v/>
      </c>
      <c r="AC1850" s="81" t="str">
        <f>IF(X1850=1,HLOOKUP(R1850,データについて!$J$12:$M$18,7,FALSE),"*")</f>
        <v>*</v>
      </c>
      <c r="AD1850" s="81">
        <f>IF(X1850=2,HLOOKUP(R1850,データについて!$J$12:$M$18,7,FALSE),"*")</f>
        <v>1</v>
      </c>
    </row>
    <row r="1851" spans="1:30">
      <c r="A1851" s="30">
        <v>3341</v>
      </c>
      <c r="B1851" s="30" t="s">
        <v>1777</v>
      </c>
      <c r="C1851" s="30" t="s">
        <v>1778</v>
      </c>
      <c r="D1851" s="30" t="s">
        <v>106</v>
      </c>
      <c r="E1851" s="30"/>
      <c r="F1851" s="30" t="s">
        <v>107</v>
      </c>
      <c r="G1851" s="30" t="s">
        <v>106</v>
      </c>
      <c r="H1851" s="30"/>
      <c r="I1851" s="30" t="s">
        <v>192</v>
      </c>
      <c r="J1851" s="30" t="s">
        <v>635</v>
      </c>
      <c r="K1851" s="30"/>
      <c r="L1851" s="30" t="s">
        <v>108</v>
      </c>
      <c r="M1851" s="30" t="s">
        <v>109</v>
      </c>
      <c r="N1851" s="30" t="s">
        <v>110</v>
      </c>
      <c r="O1851" s="30" t="s">
        <v>115</v>
      </c>
      <c r="P1851" s="30" t="s">
        <v>112</v>
      </c>
      <c r="Q1851" s="30" t="s">
        <v>112</v>
      </c>
      <c r="R1851" s="30" t="s">
        <v>185</v>
      </c>
      <c r="S1851" s="81">
        <f>HLOOKUP(L1851,データについて!$J$6:$M$18,13,FALSE)</f>
        <v>1</v>
      </c>
      <c r="T1851" s="81">
        <f>HLOOKUP(M1851,データについて!$J$7:$M$18,12,FALSE)</f>
        <v>2</v>
      </c>
      <c r="U1851" s="81">
        <f>HLOOKUP(N1851,データについて!$J$8:$M$18,11,FALSE)</f>
        <v>2</v>
      </c>
      <c r="V1851" s="81">
        <f>HLOOKUP(O1851,データについて!$J$9:$M$18,10,FALSE)</f>
        <v>1</v>
      </c>
      <c r="W1851" s="81">
        <f>HLOOKUP(P1851,データについて!$J$10:$M$18,9,FALSE)</f>
        <v>1</v>
      </c>
      <c r="X1851" s="81">
        <f>HLOOKUP(Q1851,データについて!$J$11:$M$18,8,FALSE)</f>
        <v>1</v>
      </c>
      <c r="Y1851" s="81">
        <f>HLOOKUP(R1851,データについて!$J$12:$M$18,7,FALSE)</f>
        <v>2</v>
      </c>
      <c r="Z1851" s="81">
        <f>HLOOKUP(I1851,データについて!$J$3:$M$18,16,FALSE)</f>
        <v>1</v>
      </c>
      <c r="AA1851" s="81">
        <f>IFERROR(HLOOKUP(J1851,データについて!$J$4:$AH$19,16,FALSE),"")</f>
        <v>9</v>
      </c>
      <c r="AB1851" s="81" t="str">
        <f>IFERROR(HLOOKUP(K1851,データについて!$J$5:$AH$20,14,FALSE),"")</f>
        <v/>
      </c>
      <c r="AC1851" s="81">
        <f>IF(X1851=1,HLOOKUP(R1851,データについて!$J$12:$M$18,7,FALSE),"*")</f>
        <v>2</v>
      </c>
      <c r="AD1851" s="81" t="str">
        <f>IF(X1851=2,HLOOKUP(R1851,データについて!$J$12:$M$18,7,FALSE),"*")</f>
        <v>*</v>
      </c>
    </row>
    <row r="1852" spans="1:30">
      <c r="A1852" s="30">
        <v>3340</v>
      </c>
      <c r="B1852" s="30" t="s">
        <v>1779</v>
      </c>
      <c r="C1852" s="30" t="s">
        <v>1780</v>
      </c>
      <c r="D1852" s="30" t="s">
        <v>106</v>
      </c>
      <c r="E1852" s="30"/>
      <c r="F1852" s="30" t="s">
        <v>107</v>
      </c>
      <c r="G1852" s="30" t="s">
        <v>106</v>
      </c>
      <c r="H1852" s="30"/>
      <c r="I1852" s="30" t="s">
        <v>192</v>
      </c>
      <c r="J1852" s="30" t="s">
        <v>635</v>
      </c>
      <c r="K1852" s="30"/>
      <c r="L1852" s="30" t="s">
        <v>108</v>
      </c>
      <c r="M1852" s="30" t="s">
        <v>113</v>
      </c>
      <c r="N1852" s="30" t="s">
        <v>114</v>
      </c>
      <c r="O1852" s="30" t="s">
        <v>115</v>
      </c>
      <c r="P1852" s="30" t="s">
        <v>112</v>
      </c>
      <c r="Q1852" s="30" t="s">
        <v>112</v>
      </c>
      <c r="R1852" s="30" t="s">
        <v>183</v>
      </c>
      <c r="S1852" s="81">
        <f>HLOOKUP(L1852,データについて!$J$6:$M$18,13,FALSE)</f>
        <v>1</v>
      </c>
      <c r="T1852" s="81">
        <f>HLOOKUP(M1852,データについて!$J$7:$M$18,12,FALSE)</f>
        <v>1</v>
      </c>
      <c r="U1852" s="81">
        <f>HLOOKUP(N1852,データについて!$J$8:$M$18,11,FALSE)</f>
        <v>1</v>
      </c>
      <c r="V1852" s="81">
        <f>HLOOKUP(O1852,データについて!$J$9:$M$18,10,FALSE)</f>
        <v>1</v>
      </c>
      <c r="W1852" s="81">
        <f>HLOOKUP(P1852,データについて!$J$10:$M$18,9,FALSE)</f>
        <v>1</v>
      </c>
      <c r="X1852" s="81">
        <f>HLOOKUP(Q1852,データについて!$J$11:$M$18,8,FALSE)</f>
        <v>1</v>
      </c>
      <c r="Y1852" s="81">
        <f>HLOOKUP(R1852,データについて!$J$12:$M$18,7,FALSE)</f>
        <v>1</v>
      </c>
      <c r="Z1852" s="81">
        <f>HLOOKUP(I1852,データについて!$J$3:$M$18,16,FALSE)</f>
        <v>1</v>
      </c>
      <c r="AA1852" s="81">
        <f>IFERROR(HLOOKUP(J1852,データについて!$J$4:$AH$19,16,FALSE),"")</f>
        <v>9</v>
      </c>
      <c r="AB1852" s="81" t="str">
        <f>IFERROR(HLOOKUP(K1852,データについて!$J$5:$AH$20,14,FALSE),"")</f>
        <v/>
      </c>
      <c r="AC1852" s="81">
        <f>IF(X1852=1,HLOOKUP(R1852,データについて!$J$12:$M$18,7,FALSE),"*")</f>
        <v>1</v>
      </c>
      <c r="AD1852" s="81" t="str">
        <f>IF(X1852=2,HLOOKUP(R1852,データについて!$J$12:$M$18,7,FALSE),"*")</f>
        <v>*</v>
      </c>
    </row>
    <row r="1853" spans="1:30">
      <c r="A1853" s="30">
        <v>3339</v>
      </c>
      <c r="B1853" s="30" t="s">
        <v>1781</v>
      </c>
      <c r="C1853" s="30" t="s">
        <v>1782</v>
      </c>
      <c r="D1853" s="30" t="s">
        <v>106</v>
      </c>
      <c r="E1853" s="30"/>
      <c r="F1853" s="30" t="s">
        <v>107</v>
      </c>
      <c r="G1853" s="30" t="s">
        <v>106</v>
      </c>
      <c r="H1853" s="30"/>
      <c r="I1853" s="30" t="s">
        <v>192</v>
      </c>
      <c r="J1853" s="30" t="s">
        <v>635</v>
      </c>
      <c r="K1853" s="30"/>
      <c r="L1853" s="30" t="s">
        <v>117</v>
      </c>
      <c r="M1853" s="30" t="s">
        <v>113</v>
      </c>
      <c r="N1853" s="30" t="s">
        <v>114</v>
      </c>
      <c r="O1853" s="30" t="s">
        <v>115</v>
      </c>
      <c r="P1853" s="30" t="s">
        <v>112</v>
      </c>
      <c r="Q1853" s="30" t="s">
        <v>112</v>
      </c>
      <c r="R1853" s="30" t="s">
        <v>185</v>
      </c>
      <c r="S1853" s="81">
        <f>HLOOKUP(L1853,データについて!$J$6:$M$18,13,FALSE)</f>
        <v>2</v>
      </c>
      <c r="T1853" s="81">
        <f>HLOOKUP(M1853,データについて!$J$7:$M$18,12,FALSE)</f>
        <v>1</v>
      </c>
      <c r="U1853" s="81">
        <f>HLOOKUP(N1853,データについて!$J$8:$M$18,11,FALSE)</f>
        <v>1</v>
      </c>
      <c r="V1853" s="81">
        <f>HLOOKUP(O1853,データについて!$J$9:$M$18,10,FALSE)</f>
        <v>1</v>
      </c>
      <c r="W1853" s="81">
        <f>HLOOKUP(P1853,データについて!$J$10:$M$18,9,FALSE)</f>
        <v>1</v>
      </c>
      <c r="X1853" s="81">
        <f>HLOOKUP(Q1853,データについて!$J$11:$M$18,8,FALSE)</f>
        <v>1</v>
      </c>
      <c r="Y1853" s="81">
        <f>HLOOKUP(R1853,データについて!$J$12:$M$18,7,FALSE)</f>
        <v>2</v>
      </c>
      <c r="Z1853" s="81">
        <f>HLOOKUP(I1853,データについて!$J$3:$M$18,16,FALSE)</f>
        <v>1</v>
      </c>
      <c r="AA1853" s="81">
        <f>IFERROR(HLOOKUP(J1853,データについて!$J$4:$AH$19,16,FALSE),"")</f>
        <v>9</v>
      </c>
      <c r="AB1853" s="81" t="str">
        <f>IFERROR(HLOOKUP(K1853,データについて!$J$5:$AH$20,14,FALSE),"")</f>
        <v/>
      </c>
      <c r="AC1853" s="81">
        <f>IF(X1853=1,HLOOKUP(R1853,データについて!$J$12:$M$18,7,FALSE),"*")</f>
        <v>2</v>
      </c>
      <c r="AD1853" s="81" t="str">
        <f>IF(X1853=2,HLOOKUP(R1853,データについて!$J$12:$M$18,7,FALSE),"*")</f>
        <v>*</v>
      </c>
    </row>
    <row r="1854" spans="1:30">
      <c r="A1854" s="30">
        <v>3338</v>
      </c>
      <c r="B1854" s="30" t="s">
        <v>1783</v>
      </c>
      <c r="C1854" s="30" t="s">
        <v>1784</v>
      </c>
      <c r="D1854" s="30" t="s">
        <v>106</v>
      </c>
      <c r="E1854" s="30"/>
      <c r="F1854" s="30" t="s">
        <v>107</v>
      </c>
      <c r="G1854" s="30" t="s">
        <v>106</v>
      </c>
      <c r="H1854" s="30"/>
      <c r="I1854" s="30" t="s">
        <v>192</v>
      </c>
      <c r="J1854" s="30" t="s">
        <v>635</v>
      </c>
      <c r="K1854" s="30"/>
      <c r="L1854" s="30" t="s">
        <v>108</v>
      </c>
      <c r="M1854" s="30" t="s">
        <v>109</v>
      </c>
      <c r="N1854" s="30" t="s">
        <v>114</v>
      </c>
      <c r="O1854" s="30" t="s">
        <v>115</v>
      </c>
      <c r="P1854" s="30" t="s">
        <v>112</v>
      </c>
      <c r="Q1854" s="30" t="s">
        <v>112</v>
      </c>
      <c r="R1854" s="30" t="s">
        <v>185</v>
      </c>
      <c r="S1854" s="81">
        <f>HLOOKUP(L1854,データについて!$J$6:$M$18,13,FALSE)</f>
        <v>1</v>
      </c>
      <c r="T1854" s="81">
        <f>HLOOKUP(M1854,データについて!$J$7:$M$18,12,FALSE)</f>
        <v>2</v>
      </c>
      <c r="U1854" s="81">
        <f>HLOOKUP(N1854,データについて!$J$8:$M$18,11,FALSE)</f>
        <v>1</v>
      </c>
      <c r="V1854" s="81">
        <f>HLOOKUP(O1854,データについて!$J$9:$M$18,10,FALSE)</f>
        <v>1</v>
      </c>
      <c r="W1854" s="81">
        <f>HLOOKUP(P1854,データについて!$J$10:$M$18,9,FALSE)</f>
        <v>1</v>
      </c>
      <c r="X1854" s="81">
        <f>HLOOKUP(Q1854,データについて!$J$11:$M$18,8,FALSE)</f>
        <v>1</v>
      </c>
      <c r="Y1854" s="81">
        <f>HLOOKUP(R1854,データについて!$J$12:$M$18,7,FALSE)</f>
        <v>2</v>
      </c>
      <c r="Z1854" s="81">
        <f>HLOOKUP(I1854,データについて!$J$3:$M$18,16,FALSE)</f>
        <v>1</v>
      </c>
      <c r="AA1854" s="81">
        <f>IFERROR(HLOOKUP(J1854,データについて!$J$4:$AH$19,16,FALSE),"")</f>
        <v>9</v>
      </c>
      <c r="AB1854" s="81" t="str">
        <f>IFERROR(HLOOKUP(K1854,データについて!$J$5:$AH$20,14,FALSE),"")</f>
        <v/>
      </c>
      <c r="AC1854" s="81">
        <f>IF(X1854=1,HLOOKUP(R1854,データについて!$J$12:$M$18,7,FALSE),"*")</f>
        <v>2</v>
      </c>
      <c r="AD1854" s="81" t="str">
        <f>IF(X1854=2,HLOOKUP(R1854,データについて!$J$12:$M$18,7,FALSE),"*")</f>
        <v>*</v>
      </c>
    </row>
    <row r="1855" spans="1:30">
      <c r="A1855" s="30">
        <v>3337</v>
      </c>
      <c r="B1855" s="30" t="s">
        <v>1785</v>
      </c>
      <c r="C1855" s="30" t="s">
        <v>1786</v>
      </c>
      <c r="D1855" s="30" t="s">
        <v>106</v>
      </c>
      <c r="E1855" s="30"/>
      <c r="F1855" s="30" t="s">
        <v>107</v>
      </c>
      <c r="G1855" s="30" t="s">
        <v>106</v>
      </c>
      <c r="H1855" s="30"/>
      <c r="I1855" s="30" t="s">
        <v>192</v>
      </c>
      <c r="J1855" s="30" t="s">
        <v>635</v>
      </c>
      <c r="K1855" s="30"/>
      <c r="L1855" s="30" t="s">
        <v>117</v>
      </c>
      <c r="M1855" s="30" t="s">
        <v>113</v>
      </c>
      <c r="N1855" s="30" t="s">
        <v>114</v>
      </c>
      <c r="O1855" s="30" t="s">
        <v>116</v>
      </c>
      <c r="P1855" s="30" t="s">
        <v>112</v>
      </c>
      <c r="Q1855" s="30" t="s">
        <v>112</v>
      </c>
      <c r="R1855" s="30" t="s">
        <v>183</v>
      </c>
      <c r="S1855" s="81">
        <f>HLOOKUP(L1855,データについて!$J$6:$M$18,13,FALSE)</f>
        <v>2</v>
      </c>
      <c r="T1855" s="81">
        <f>HLOOKUP(M1855,データについて!$J$7:$M$18,12,FALSE)</f>
        <v>1</v>
      </c>
      <c r="U1855" s="81">
        <f>HLOOKUP(N1855,データについて!$J$8:$M$18,11,FALSE)</f>
        <v>1</v>
      </c>
      <c r="V1855" s="81">
        <f>HLOOKUP(O1855,データについて!$J$9:$M$18,10,FALSE)</f>
        <v>2</v>
      </c>
      <c r="W1855" s="81">
        <f>HLOOKUP(P1855,データについて!$J$10:$M$18,9,FALSE)</f>
        <v>1</v>
      </c>
      <c r="X1855" s="81">
        <f>HLOOKUP(Q1855,データについて!$J$11:$M$18,8,FALSE)</f>
        <v>1</v>
      </c>
      <c r="Y1855" s="81">
        <f>HLOOKUP(R1855,データについて!$J$12:$M$18,7,FALSE)</f>
        <v>1</v>
      </c>
      <c r="Z1855" s="81">
        <f>HLOOKUP(I1855,データについて!$J$3:$M$18,16,FALSE)</f>
        <v>1</v>
      </c>
      <c r="AA1855" s="81">
        <f>IFERROR(HLOOKUP(J1855,データについて!$J$4:$AH$19,16,FALSE),"")</f>
        <v>9</v>
      </c>
      <c r="AB1855" s="81" t="str">
        <f>IFERROR(HLOOKUP(K1855,データについて!$J$5:$AH$20,14,FALSE),"")</f>
        <v/>
      </c>
      <c r="AC1855" s="81">
        <f>IF(X1855=1,HLOOKUP(R1855,データについて!$J$12:$M$18,7,FALSE),"*")</f>
        <v>1</v>
      </c>
      <c r="AD1855" s="81" t="str">
        <f>IF(X1855=2,HLOOKUP(R1855,データについて!$J$12:$M$18,7,FALSE),"*")</f>
        <v>*</v>
      </c>
    </row>
    <row r="1856" spans="1:30">
      <c r="A1856" s="30">
        <v>3336</v>
      </c>
      <c r="B1856" s="30" t="s">
        <v>1787</v>
      </c>
      <c r="C1856" s="30" t="s">
        <v>1788</v>
      </c>
      <c r="D1856" s="30" t="s">
        <v>106</v>
      </c>
      <c r="E1856" s="30"/>
      <c r="F1856" s="30" t="s">
        <v>107</v>
      </c>
      <c r="G1856" s="30" t="s">
        <v>106</v>
      </c>
      <c r="H1856" s="30"/>
      <c r="I1856" s="30" t="s">
        <v>192</v>
      </c>
      <c r="J1856" s="30" t="s">
        <v>635</v>
      </c>
      <c r="K1856" s="30"/>
      <c r="L1856" s="30" t="s">
        <v>108</v>
      </c>
      <c r="M1856" s="30" t="s">
        <v>113</v>
      </c>
      <c r="N1856" s="30" t="s">
        <v>119</v>
      </c>
      <c r="O1856" s="30" t="s">
        <v>116</v>
      </c>
      <c r="P1856" s="30" t="s">
        <v>112</v>
      </c>
      <c r="Q1856" s="30" t="s">
        <v>118</v>
      </c>
      <c r="R1856" s="30" t="s">
        <v>185</v>
      </c>
      <c r="S1856" s="81">
        <f>HLOOKUP(L1856,データについて!$J$6:$M$18,13,FALSE)</f>
        <v>1</v>
      </c>
      <c r="T1856" s="81">
        <f>HLOOKUP(M1856,データについて!$J$7:$M$18,12,FALSE)</f>
        <v>1</v>
      </c>
      <c r="U1856" s="81">
        <f>HLOOKUP(N1856,データについて!$J$8:$M$18,11,FALSE)</f>
        <v>4</v>
      </c>
      <c r="V1856" s="81">
        <f>HLOOKUP(O1856,データについて!$J$9:$M$18,10,FALSE)</f>
        <v>2</v>
      </c>
      <c r="W1856" s="81">
        <f>HLOOKUP(P1856,データについて!$J$10:$M$18,9,FALSE)</f>
        <v>1</v>
      </c>
      <c r="X1856" s="81">
        <f>HLOOKUP(Q1856,データについて!$J$11:$M$18,8,FALSE)</f>
        <v>2</v>
      </c>
      <c r="Y1856" s="81">
        <f>HLOOKUP(R1856,データについて!$J$12:$M$18,7,FALSE)</f>
        <v>2</v>
      </c>
      <c r="Z1856" s="81">
        <f>HLOOKUP(I1856,データについて!$J$3:$M$18,16,FALSE)</f>
        <v>1</v>
      </c>
      <c r="AA1856" s="81">
        <f>IFERROR(HLOOKUP(J1856,データについて!$J$4:$AH$19,16,FALSE),"")</f>
        <v>9</v>
      </c>
      <c r="AB1856" s="81" t="str">
        <f>IFERROR(HLOOKUP(K1856,データについて!$J$5:$AH$20,14,FALSE),"")</f>
        <v/>
      </c>
      <c r="AC1856" s="81" t="str">
        <f>IF(X1856=1,HLOOKUP(R1856,データについて!$J$12:$M$18,7,FALSE),"*")</f>
        <v>*</v>
      </c>
      <c r="AD1856" s="81">
        <f>IF(X1856=2,HLOOKUP(R1856,データについて!$J$12:$M$18,7,FALSE),"*")</f>
        <v>2</v>
      </c>
    </row>
    <row r="1857" spans="1:30">
      <c r="A1857" s="30">
        <v>3335</v>
      </c>
      <c r="B1857" s="30" t="s">
        <v>1789</v>
      </c>
      <c r="C1857" s="30" t="s">
        <v>1788</v>
      </c>
      <c r="D1857" s="30" t="s">
        <v>106</v>
      </c>
      <c r="E1857" s="30"/>
      <c r="F1857" s="30" t="s">
        <v>107</v>
      </c>
      <c r="G1857" s="30" t="s">
        <v>106</v>
      </c>
      <c r="H1857" s="30"/>
      <c r="I1857" s="30" t="s">
        <v>192</v>
      </c>
      <c r="J1857" s="30" t="s">
        <v>635</v>
      </c>
      <c r="K1857" s="30"/>
      <c r="L1857" s="30" t="s">
        <v>108</v>
      </c>
      <c r="M1857" s="30" t="s">
        <v>113</v>
      </c>
      <c r="N1857" s="30" t="s">
        <v>114</v>
      </c>
      <c r="O1857" s="30" t="s">
        <v>115</v>
      </c>
      <c r="P1857" s="30" t="s">
        <v>112</v>
      </c>
      <c r="Q1857" s="30" t="s">
        <v>112</v>
      </c>
      <c r="R1857" s="30" t="s">
        <v>185</v>
      </c>
      <c r="S1857" s="81">
        <f>HLOOKUP(L1857,データについて!$J$6:$M$18,13,FALSE)</f>
        <v>1</v>
      </c>
      <c r="T1857" s="81">
        <f>HLOOKUP(M1857,データについて!$J$7:$M$18,12,FALSE)</f>
        <v>1</v>
      </c>
      <c r="U1857" s="81">
        <f>HLOOKUP(N1857,データについて!$J$8:$M$18,11,FALSE)</f>
        <v>1</v>
      </c>
      <c r="V1857" s="81">
        <f>HLOOKUP(O1857,データについて!$J$9:$M$18,10,FALSE)</f>
        <v>1</v>
      </c>
      <c r="W1857" s="81">
        <f>HLOOKUP(P1857,データについて!$J$10:$M$18,9,FALSE)</f>
        <v>1</v>
      </c>
      <c r="X1857" s="81">
        <f>HLOOKUP(Q1857,データについて!$J$11:$M$18,8,FALSE)</f>
        <v>1</v>
      </c>
      <c r="Y1857" s="81">
        <f>HLOOKUP(R1857,データについて!$J$12:$M$18,7,FALSE)</f>
        <v>2</v>
      </c>
      <c r="Z1857" s="81">
        <f>HLOOKUP(I1857,データについて!$J$3:$M$18,16,FALSE)</f>
        <v>1</v>
      </c>
      <c r="AA1857" s="81">
        <f>IFERROR(HLOOKUP(J1857,データについて!$J$4:$AH$19,16,FALSE),"")</f>
        <v>9</v>
      </c>
      <c r="AB1857" s="81" t="str">
        <f>IFERROR(HLOOKUP(K1857,データについて!$J$5:$AH$20,14,FALSE),"")</f>
        <v/>
      </c>
      <c r="AC1857" s="81">
        <f>IF(X1857=1,HLOOKUP(R1857,データについて!$J$12:$M$18,7,FALSE),"*")</f>
        <v>2</v>
      </c>
      <c r="AD1857" s="81" t="str">
        <f>IF(X1857=2,HLOOKUP(R1857,データについて!$J$12:$M$18,7,FALSE),"*")</f>
        <v>*</v>
      </c>
    </row>
    <row r="1858" spans="1:30">
      <c r="A1858" s="30">
        <v>3334</v>
      </c>
      <c r="B1858" s="30" t="s">
        <v>1790</v>
      </c>
      <c r="C1858" s="30" t="s">
        <v>1788</v>
      </c>
      <c r="D1858" s="30" t="s">
        <v>106</v>
      </c>
      <c r="E1858" s="30"/>
      <c r="F1858" s="30" t="s">
        <v>107</v>
      </c>
      <c r="G1858" s="30" t="s">
        <v>106</v>
      </c>
      <c r="H1858" s="30"/>
      <c r="I1858" s="30" t="s">
        <v>192</v>
      </c>
      <c r="J1858" s="30" t="s">
        <v>635</v>
      </c>
      <c r="K1858" s="30"/>
      <c r="L1858" s="30" t="s">
        <v>117</v>
      </c>
      <c r="M1858" s="30" t="s">
        <v>109</v>
      </c>
      <c r="N1858" s="30" t="s">
        <v>114</v>
      </c>
      <c r="O1858" s="30" t="s">
        <v>115</v>
      </c>
      <c r="P1858" s="30" t="s">
        <v>112</v>
      </c>
      <c r="Q1858" s="30" t="s">
        <v>112</v>
      </c>
      <c r="R1858" s="30" t="s">
        <v>185</v>
      </c>
      <c r="S1858" s="81">
        <f>HLOOKUP(L1858,データについて!$J$6:$M$18,13,FALSE)</f>
        <v>2</v>
      </c>
      <c r="T1858" s="81">
        <f>HLOOKUP(M1858,データについて!$J$7:$M$18,12,FALSE)</f>
        <v>2</v>
      </c>
      <c r="U1858" s="81">
        <f>HLOOKUP(N1858,データについて!$J$8:$M$18,11,FALSE)</f>
        <v>1</v>
      </c>
      <c r="V1858" s="81">
        <f>HLOOKUP(O1858,データについて!$J$9:$M$18,10,FALSE)</f>
        <v>1</v>
      </c>
      <c r="W1858" s="81">
        <f>HLOOKUP(P1858,データについて!$J$10:$M$18,9,FALSE)</f>
        <v>1</v>
      </c>
      <c r="X1858" s="81">
        <f>HLOOKUP(Q1858,データについて!$J$11:$M$18,8,FALSE)</f>
        <v>1</v>
      </c>
      <c r="Y1858" s="81">
        <f>HLOOKUP(R1858,データについて!$J$12:$M$18,7,FALSE)</f>
        <v>2</v>
      </c>
      <c r="Z1858" s="81">
        <f>HLOOKUP(I1858,データについて!$J$3:$M$18,16,FALSE)</f>
        <v>1</v>
      </c>
      <c r="AA1858" s="81">
        <f>IFERROR(HLOOKUP(J1858,データについて!$J$4:$AH$19,16,FALSE),"")</f>
        <v>9</v>
      </c>
      <c r="AB1858" s="81" t="str">
        <f>IFERROR(HLOOKUP(K1858,データについて!$J$5:$AH$20,14,FALSE),"")</f>
        <v/>
      </c>
      <c r="AC1858" s="81">
        <f>IF(X1858=1,HLOOKUP(R1858,データについて!$J$12:$M$18,7,FALSE),"*")</f>
        <v>2</v>
      </c>
      <c r="AD1858" s="81" t="str">
        <f>IF(X1858=2,HLOOKUP(R1858,データについて!$J$12:$M$18,7,FALSE),"*")</f>
        <v>*</v>
      </c>
    </row>
    <row r="1859" spans="1:30">
      <c r="A1859" s="30">
        <v>3333</v>
      </c>
      <c r="B1859" s="30" t="s">
        <v>1791</v>
      </c>
      <c r="C1859" s="30" t="s">
        <v>1788</v>
      </c>
      <c r="D1859" s="30" t="s">
        <v>106</v>
      </c>
      <c r="E1859" s="30"/>
      <c r="F1859" s="30" t="s">
        <v>107</v>
      </c>
      <c r="G1859" s="30" t="s">
        <v>106</v>
      </c>
      <c r="H1859" s="30"/>
      <c r="I1859" s="30" t="s">
        <v>192</v>
      </c>
      <c r="J1859" s="30" t="s">
        <v>635</v>
      </c>
      <c r="K1859" s="30"/>
      <c r="L1859" s="30" t="s">
        <v>117</v>
      </c>
      <c r="M1859" s="30" t="s">
        <v>113</v>
      </c>
      <c r="N1859" s="30" t="s">
        <v>110</v>
      </c>
      <c r="O1859" s="30" t="s">
        <v>115</v>
      </c>
      <c r="P1859" s="30" t="s">
        <v>112</v>
      </c>
      <c r="Q1859" s="30" t="s">
        <v>112</v>
      </c>
      <c r="R1859" s="30" t="s">
        <v>187</v>
      </c>
      <c r="S1859" s="81">
        <f>HLOOKUP(L1859,データについて!$J$6:$M$18,13,FALSE)</f>
        <v>2</v>
      </c>
      <c r="T1859" s="81">
        <f>HLOOKUP(M1859,データについて!$J$7:$M$18,12,FALSE)</f>
        <v>1</v>
      </c>
      <c r="U1859" s="81">
        <f>HLOOKUP(N1859,データについて!$J$8:$M$18,11,FALSE)</f>
        <v>2</v>
      </c>
      <c r="V1859" s="81">
        <f>HLOOKUP(O1859,データについて!$J$9:$M$18,10,FALSE)</f>
        <v>1</v>
      </c>
      <c r="W1859" s="81">
        <f>HLOOKUP(P1859,データについて!$J$10:$M$18,9,FALSE)</f>
        <v>1</v>
      </c>
      <c r="X1859" s="81">
        <f>HLOOKUP(Q1859,データについて!$J$11:$M$18,8,FALSE)</f>
        <v>1</v>
      </c>
      <c r="Y1859" s="81">
        <f>HLOOKUP(R1859,データについて!$J$12:$M$18,7,FALSE)</f>
        <v>3</v>
      </c>
      <c r="Z1859" s="81">
        <f>HLOOKUP(I1859,データについて!$J$3:$M$18,16,FALSE)</f>
        <v>1</v>
      </c>
      <c r="AA1859" s="81">
        <f>IFERROR(HLOOKUP(J1859,データについて!$J$4:$AH$19,16,FALSE),"")</f>
        <v>9</v>
      </c>
      <c r="AB1859" s="81" t="str">
        <f>IFERROR(HLOOKUP(K1859,データについて!$J$5:$AH$20,14,FALSE),"")</f>
        <v/>
      </c>
      <c r="AC1859" s="81">
        <f>IF(X1859=1,HLOOKUP(R1859,データについて!$J$12:$M$18,7,FALSE),"*")</f>
        <v>3</v>
      </c>
      <c r="AD1859" s="81" t="str">
        <f>IF(X1859=2,HLOOKUP(R1859,データについて!$J$12:$M$18,7,FALSE),"*")</f>
        <v>*</v>
      </c>
    </row>
    <row r="1860" spans="1:30">
      <c r="A1860" s="30">
        <v>3332</v>
      </c>
      <c r="B1860" s="30" t="s">
        <v>1792</v>
      </c>
      <c r="C1860" s="30" t="s">
        <v>1793</v>
      </c>
      <c r="D1860" s="30" t="s">
        <v>106</v>
      </c>
      <c r="E1860" s="30"/>
      <c r="F1860" s="30" t="s">
        <v>107</v>
      </c>
      <c r="G1860" s="30" t="s">
        <v>106</v>
      </c>
      <c r="H1860" s="30"/>
      <c r="I1860" s="30" t="s">
        <v>192</v>
      </c>
      <c r="J1860" s="30" t="s">
        <v>635</v>
      </c>
      <c r="K1860" s="30"/>
      <c r="L1860" s="30" t="s">
        <v>108</v>
      </c>
      <c r="M1860" s="30" t="s">
        <v>113</v>
      </c>
      <c r="N1860" s="30" t="s">
        <v>114</v>
      </c>
      <c r="O1860" s="30" t="s">
        <v>115</v>
      </c>
      <c r="P1860" s="30" t="s">
        <v>112</v>
      </c>
      <c r="Q1860" s="30" t="s">
        <v>112</v>
      </c>
      <c r="R1860" s="30" t="s">
        <v>185</v>
      </c>
      <c r="S1860" s="81">
        <f>HLOOKUP(L1860,データについて!$J$6:$M$18,13,FALSE)</f>
        <v>1</v>
      </c>
      <c r="T1860" s="81">
        <f>HLOOKUP(M1860,データについて!$J$7:$M$18,12,FALSE)</f>
        <v>1</v>
      </c>
      <c r="U1860" s="81">
        <f>HLOOKUP(N1860,データについて!$J$8:$M$18,11,FALSE)</f>
        <v>1</v>
      </c>
      <c r="V1860" s="81">
        <f>HLOOKUP(O1860,データについて!$J$9:$M$18,10,FALSE)</f>
        <v>1</v>
      </c>
      <c r="W1860" s="81">
        <f>HLOOKUP(P1860,データについて!$J$10:$M$18,9,FALSE)</f>
        <v>1</v>
      </c>
      <c r="X1860" s="81">
        <f>HLOOKUP(Q1860,データについて!$J$11:$M$18,8,FALSE)</f>
        <v>1</v>
      </c>
      <c r="Y1860" s="81">
        <f>HLOOKUP(R1860,データについて!$J$12:$M$18,7,FALSE)</f>
        <v>2</v>
      </c>
      <c r="Z1860" s="81">
        <f>HLOOKUP(I1860,データについて!$J$3:$M$18,16,FALSE)</f>
        <v>1</v>
      </c>
      <c r="AA1860" s="81">
        <f>IFERROR(HLOOKUP(J1860,データについて!$J$4:$AH$19,16,FALSE),"")</f>
        <v>9</v>
      </c>
      <c r="AB1860" s="81" t="str">
        <f>IFERROR(HLOOKUP(K1860,データについて!$J$5:$AH$20,14,FALSE),"")</f>
        <v/>
      </c>
      <c r="AC1860" s="81">
        <f>IF(X1860=1,HLOOKUP(R1860,データについて!$J$12:$M$18,7,FALSE),"*")</f>
        <v>2</v>
      </c>
      <c r="AD1860" s="81" t="str">
        <f>IF(X1860=2,HLOOKUP(R1860,データについて!$J$12:$M$18,7,FALSE),"*")</f>
        <v>*</v>
      </c>
    </row>
    <row r="1861" spans="1:30">
      <c r="A1861" s="30">
        <v>3331</v>
      </c>
      <c r="B1861" s="30" t="s">
        <v>1794</v>
      </c>
      <c r="C1861" s="30" t="s">
        <v>1795</v>
      </c>
      <c r="D1861" s="30" t="s">
        <v>106</v>
      </c>
      <c r="E1861" s="30"/>
      <c r="F1861" s="30" t="s">
        <v>107</v>
      </c>
      <c r="G1861" s="30" t="s">
        <v>106</v>
      </c>
      <c r="H1861" s="30"/>
      <c r="I1861" s="30" t="s">
        <v>192</v>
      </c>
      <c r="J1861" s="30" t="s">
        <v>635</v>
      </c>
      <c r="K1861" s="30"/>
      <c r="L1861" s="30" t="s">
        <v>108</v>
      </c>
      <c r="M1861" s="30" t="s">
        <v>109</v>
      </c>
      <c r="N1861" s="30" t="s">
        <v>114</v>
      </c>
      <c r="O1861" s="30" t="s">
        <v>115</v>
      </c>
      <c r="P1861" s="30" t="s">
        <v>112</v>
      </c>
      <c r="Q1861" s="30" t="s">
        <v>112</v>
      </c>
      <c r="R1861" s="30" t="s">
        <v>185</v>
      </c>
      <c r="S1861" s="81">
        <f>HLOOKUP(L1861,データについて!$J$6:$M$18,13,FALSE)</f>
        <v>1</v>
      </c>
      <c r="T1861" s="81">
        <f>HLOOKUP(M1861,データについて!$J$7:$M$18,12,FALSE)</f>
        <v>2</v>
      </c>
      <c r="U1861" s="81">
        <f>HLOOKUP(N1861,データについて!$J$8:$M$18,11,FALSE)</f>
        <v>1</v>
      </c>
      <c r="V1861" s="81">
        <f>HLOOKUP(O1861,データについて!$J$9:$M$18,10,FALSE)</f>
        <v>1</v>
      </c>
      <c r="W1861" s="81">
        <f>HLOOKUP(P1861,データについて!$J$10:$M$18,9,FALSE)</f>
        <v>1</v>
      </c>
      <c r="X1861" s="81">
        <f>HLOOKUP(Q1861,データについて!$J$11:$M$18,8,FALSE)</f>
        <v>1</v>
      </c>
      <c r="Y1861" s="81">
        <f>HLOOKUP(R1861,データについて!$J$12:$M$18,7,FALSE)</f>
        <v>2</v>
      </c>
      <c r="Z1861" s="81">
        <f>HLOOKUP(I1861,データについて!$J$3:$M$18,16,FALSE)</f>
        <v>1</v>
      </c>
      <c r="AA1861" s="81">
        <f>IFERROR(HLOOKUP(J1861,データについて!$J$4:$AH$19,16,FALSE),"")</f>
        <v>9</v>
      </c>
      <c r="AB1861" s="81" t="str">
        <f>IFERROR(HLOOKUP(K1861,データについて!$J$5:$AH$20,14,FALSE),"")</f>
        <v/>
      </c>
      <c r="AC1861" s="81">
        <f>IF(X1861=1,HLOOKUP(R1861,データについて!$J$12:$M$18,7,FALSE),"*")</f>
        <v>2</v>
      </c>
      <c r="AD1861" s="81" t="str">
        <f>IF(X1861=2,HLOOKUP(R1861,データについて!$J$12:$M$18,7,FALSE),"*")</f>
        <v>*</v>
      </c>
    </row>
    <row r="1862" spans="1:30">
      <c r="A1862" s="30">
        <v>3330</v>
      </c>
      <c r="B1862" s="30" t="s">
        <v>1796</v>
      </c>
      <c r="C1862" s="30" t="s">
        <v>1795</v>
      </c>
      <c r="D1862" s="30" t="s">
        <v>106</v>
      </c>
      <c r="E1862" s="30"/>
      <c r="F1862" s="30" t="s">
        <v>107</v>
      </c>
      <c r="G1862" s="30" t="s">
        <v>106</v>
      </c>
      <c r="H1862" s="30"/>
      <c r="I1862" s="30" t="s">
        <v>192</v>
      </c>
      <c r="J1862" s="30" t="s">
        <v>635</v>
      </c>
      <c r="K1862" s="30"/>
      <c r="L1862" s="30" t="s">
        <v>108</v>
      </c>
      <c r="M1862" s="30" t="s">
        <v>113</v>
      </c>
      <c r="N1862" s="30" t="s">
        <v>114</v>
      </c>
      <c r="O1862" s="30" t="s">
        <v>115</v>
      </c>
      <c r="P1862" s="30" t="s">
        <v>112</v>
      </c>
      <c r="Q1862" s="30" t="s">
        <v>112</v>
      </c>
      <c r="R1862" s="30" t="s">
        <v>189</v>
      </c>
      <c r="S1862" s="81">
        <f>HLOOKUP(L1862,データについて!$J$6:$M$18,13,FALSE)</f>
        <v>1</v>
      </c>
      <c r="T1862" s="81">
        <f>HLOOKUP(M1862,データについて!$J$7:$M$18,12,FALSE)</f>
        <v>1</v>
      </c>
      <c r="U1862" s="81">
        <f>HLOOKUP(N1862,データについて!$J$8:$M$18,11,FALSE)</f>
        <v>1</v>
      </c>
      <c r="V1862" s="81">
        <f>HLOOKUP(O1862,データについて!$J$9:$M$18,10,FALSE)</f>
        <v>1</v>
      </c>
      <c r="W1862" s="81">
        <f>HLOOKUP(P1862,データについて!$J$10:$M$18,9,FALSE)</f>
        <v>1</v>
      </c>
      <c r="X1862" s="81">
        <f>HLOOKUP(Q1862,データについて!$J$11:$M$18,8,FALSE)</f>
        <v>1</v>
      </c>
      <c r="Y1862" s="81">
        <f>HLOOKUP(R1862,データについて!$J$12:$M$18,7,FALSE)</f>
        <v>4</v>
      </c>
      <c r="Z1862" s="81">
        <f>HLOOKUP(I1862,データについて!$J$3:$M$18,16,FALSE)</f>
        <v>1</v>
      </c>
      <c r="AA1862" s="81">
        <f>IFERROR(HLOOKUP(J1862,データについて!$J$4:$AH$19,16,FALSE),"")</f>
        <v>9</v>
      </c>
      <c r="AB1862" s="81" t="str">
        <f>IFERROR(HLOOKUP(K1862,データについて!$J$5:$AH$20,14,FALSE),"")</f>
        <v/>
      </c>
      <c r="AC1862" s="81">
        <f>IF(X1862=1,HLOOKUP(R1862,データについて!$J$12:$M$18,7,FALSE),"*")</f>
        <v>4</v>
      </c>
      <c r="AD1862" s="81" t="str">
        <f>IF(X1862=2,HLOOKUP(R1862,データについて!$J$12:$M$18,7,FALSE),"*")</f>
        <v>*</v>
      </c>
    </row>
    <row r="1863" spans="1:30">
      <c r="A1863" s="30">
        <v>3329</v>
      </c>
      <c r="B1863" s="30" t="s">
        <v>1797</v>
      </c>
      <c r="C1863" s="30" t="s">
        <v>1795</v>
      </c>
      <c r="D1863" s="30" t="s">
        <v>106</v>
      </c>
      <c r="E1863" s="30"/>
      <c r="F1863" s="30" t="s">
        <v>107</v>
      </c>
      <c r="G1863" s="30" t="s">
        <v>106</v>
      </c>
      <c r="H1863" s="30"/>
      <c r="I1863" s="30" t="s">
        <v>192</v>
      </c>
      <c r="J1863" s="30" t="s">
        <v>635</v>
      </c>
      <c r="K1863" s="30"/>
      <c r="L1863" s="30" t="s">
        <v>117</v>
      </c>
      <c r="M1863" s="30" t="s">
        <v>109</v>
      </c>
      <c r="N1863" s="30" t="s">
        <v>110</v>
      </c>
      <c r="O1863" s="30" t="s">
        <v>116</v>
      </c>
      <c r="P1863" s="30" t="s">
        <v>112</v>
      </c>
      <c r="Q1863" s="30" t="s">
        <v>112</v>
      </c>
      <c r="R1863" s="30" t="s">
        <v>187</v>
      </c>
      <c r="S1863" s="81">
        <f>HLOOKUP(L1863,データについて!$J$6:$M$18,13,FALSE)</f>
        <v>2</v>
      </c>
      <c r="T1863" s="81">
        <f>HLOOKUP(M1863,データについて!$J$7:$M$18,12,FALSE)</f>
        <v>2</v>
      </c>
      <c r="U1863" s="81">
        <f>HLOOKUP(N1863,データについて!$J$8:$M$18,11,FALSE)</f>
        <v>2</v>
      </c>
      <c r="V1863" s="81">
        <f>HLOOKUP(O1863,データについて!$J$9:$M$18,10,FALSE)</f>
        <v>2</v>
      </c>
      <c r="W1863" s="81">
        <f>HLOOKUP(P1863,データについて!$J$10:$M$18,9,FALSE)</f>
        <v>1</v>
      </c>
      <c r="X1863" s="81">
        <f>HLOOKUP(Q1863,データについて!$J$11:$M$18,8,FALSE)</f>
        <v>1</v>
      </c>
      <c r="Y1863" s="81">
        <f>HLOOKUP(R1863,データについて!$J$12:$M$18,7,FALSE)</f>
        <v>3</v>
      </c>
      <c r="Z1863" s="81">
        <f>HLOOKUP(I1863,データについて!$J$3:$M$18,16,FALSE)</f>
        <v>1</v>
      </c>
      <c r="AA1863" s="81">
        <f>IFERROR(HLOOKUP(J1863,データについて!$J$4:$AH$19,16,FALSE),"")</f>
        <v>9</v>
      </c>
      <c r="AB1863" s="81" t="str">
        <f>IFERROR(HLOOKUP(K1863,データについて!$J$5:$AH$20,14,FALSE),"")</f>
        <v/>
      </c>
      <c r="AC1863" s="81">
        <f>IF(X1863=1,HLOOKUP(R1863,データについて!$J$12:$M$18,7,FALSE),"*")</f>
        <v>3</v>
      </c>
      <c r="AD1863" s="81" t="str">
        <f>IF(X1863=2,HLOOKUP(R1863,データについて!$J$12:$M$18,7,FALSE),"*")</f>
        <v>*</v>
      </c>
    </row>
    <row r="1864" spans="1:30">
      <c r="A1864" s="30">
        <v>3328</v>
      </c>
      <c r="B1864" s="30" t="s">
        <v>1798</v>
      </c>
      <c r="C1864" s="30" t="s">
        <v>1799</v>
      </c>
      <c r="D1864" s="30" t="s">
        <v>106</v>
      </c>
      <c r="E1864" s="30"/>
      <c r="F1864" s="30" t="s">
        <v>107</v>
      </c>
      <c r="G1864" s="30" t="s">
        <v>106</v>
      </c>
      <c r="H1864" s="30"/>
      <c r="I1864" s="30" t="s">
        <v>192</v>
      </c>
      <c r="J1864" s="30" t="s">
        <v>635</v>
      </c>
      <c r="K1864" s="30"/>
      <c r="L1864" s="30" t="s">
        <v>117</v>
      </c>
      <c r="M1864" s="30" t="s">
        <v>109</v>
      </c>
      <c r="N1864" s="30" t="s">
        <v>122</v>
      </c>
      <c r="O1864" s="30" t="s">
        <v>115</v>
      </c>
      <c r="P1864" s="30" t="s">
        <v>118</v>
      </c>
      <c r="Q1864" s="30" t="s">
        <v>112</v>
      </c>
      <c r="R1864" s="30" t="s">
        <v>189</v>
      </c>
      <c r="S1864" s="81">
        <f>HLOOKUP(L1864,データについて!$J$6:$M$18,13,FALSE)</f>
        <v>2</v>
      </c>
      <c r="T1864" s="81">
        <f>HLOOKUP(M1864,データについて!$J$7:$M$18,12,FALSE)</f>
        <v>2</v>
      </c>
      <c r="U1864" s="81">
        <f>HLOOKUP(N1864,データについて!$J$8:$M$18,11,FALSE)</f>
        <v>3</v>
      </c>
      <c r="V1864" s="81">
        <f>HLOOKUP(O1864,データについて!$J$9:$M$18,10,FALSE)</f>
        <v>1</v>
      </c>
      <c r="W1864" s="81">
        <f>HLOOKUP(P1864,データについて!$J$10:$M$18,9,FALSE)</f>
        <v>2</v>
      </c>
      <c r="X1864" s="81">
        <f>HLOOKUP(Q1864,データについて!$J$11:$M$18,8,FALSE)</f>
        <v>1</v>
      </c>
      <c r="Y1864" s="81">
        <f>HLOOKUP(R1864,データについて!$J$12:$M$18,7,FALSE)</f>
        <v>4</v>
      </c>
      <c r="Z1864" s="81">
        <f>HLOOKUP(I1864,データについて!$J$3:$M$18,16,FALSE)</f>
        <v>1</v>
      </c>
      <c r="AA1864" s="81">
        <f>IFERROR(HLOOKUP(J1864,データについて!$J$4:$AH$19,16,FALSE),"")</f>
        <v>9</v>
      </c>
      <c r="AB1864" s="81" t="str">
        <f>IFERROR(HLOOKUP(K1864,データについて!$J$5:$AH$20,14,FALSE),"")</f>
        <v/>
      </c>
      <c r="AC1864" s="81">
        <f>IF(X1864=1,HLOOKUP(R1864,データについて!$J$12:$M$18,7,FALSE),"*")</f>
        <v>4</v>
      </c>
      <c r="AD1864" s="81" t="str">
        <f>IF(X1864=2,HLOOKUP(R1864,データについて!$J$12:$M$18,7,FALSE),"*")</f>
        <v>*</v>
      </c>
    </row>
    <row r="1865" spans="1:30">
      <c r="A1865" s="30">
        <v>3327</v>
      </c>
      <c r="B1865" s="30" t="s">
        <v>1800</v>
      </c>
      <c r="C1865" s="30" t="s">
        <v>1799</v>
      </c>
      <c r="D1865" s="30" t="s">
        <v>106</v>
      </c>
      <c r="E1865" s="30"/>
      <c r="F1865" s="30" t="s">
        <v>107</v>
      </c>
      <c r="G1865" s="30" t="s">
        <v>106</v>
      </c>
      <c r="H1865" s="30"/>
      <c r="I1865" s="30" t="s">
        <v>192</v>
      </c>
      <c r="J1865" s="30" t="s">
        <v>635</v>
      </c>
      <c r="K1865" s="30"/>
      <c r="L1865" s="30" t="s">
        <v>117</v>
      </c>
      <c r="M1865" s="30" t="s">
        <v>109</v>
      </c>
      <c r="N1865" s="30" t="s">
        <v>110</v>
      </c>
      <c r="O1865" s="30" t="s">
        <v>115</v>
      </c>
      <c r="P1865" s="30" t="s">
        <v>112</v>
      </c>
      <c r="Q1865" s="30" t="s">
        <v>112</v>
      </c>
      <c r="R1865" s="30" t="s">
        <v>183</v>
      </c>
      <c r="S1865" s="81">
        <f>HLOOKUP(L1865,データについて!$J$6:$M$18,13,FALSE)</f>
        <v>2</v>
      </c>
      <c r="T1865" s="81">
        <f>HLOOKUP(M1865,データについて!$J$7:$M$18,12,FALSE)</f>
        <v>2</v>
      </c>
      <c r="U1865" s="81">
        <f>HLOOKUP(N1865,データについて!$J$8:$M$18,11,FALSE)</f>
        <v>2</v>
      </c>
      <c r="V1865" s="81">
        <f>HLOOKUP(O1865,データについて!$J$9:$M$18,10,FALSE)</f>
        <v>1</v>
      </c>
      <c r="W1865" s="81">
        <f>HLOOKUP(P1865,データについて!$J$10:$M$18,9,FALSE)</f>
        <v>1</v>
      </c>
      <c r="X1865" s="81">
        <f>HLOOKUP(Q1865,データについて!$J$11:$M$18,8,FALSE)</f>
        <v>1</v>
      </c>
      <c r="Y1865" s="81">
        <f>HLOOKUP(R1865,データについて!$J$12:$M$18,7,FALSE)</f>
        <v>1</v>
      </c>
      <c r="Z1865" s="81">
        <f>HLOOKUP(I1865,データについて!$J$3:$M$18,16,FALSE)</f>
        <v>1</v>
      </c>
      <c r="AA1865" s="81">
        <f>IFERROR(HLOOKUP(J1865,データについて!$J$4:$AH$19,16,FALSE),"")</f>
        <v>9</v>
      </c>
      <c r="AB1865" s="81" t="str">
        <f>IFERROR(HLOOKUP(K1865,データについて!$J$5:$AH$20,14,FALSE),"")</f>
        <v/>
      </c>
      <c r="AC1865" s="81">
        <f>IF(X1865=1,HLOOKUP(R1865,データについて!$J$12:$M$18,7,FALSE),"*")</f>
        <v>1</v>
      </c>
      <c r="AD1865" s="81" t="str">
        <f>IF(X1865=2,HLOOKUP(R1865,データについて!$J$12:$M$18,7,FALSE),"*")</f>
        <v>*</v>
      </c>
    </row>
    <row r="1866" spans="1:30">
      <c r="A1866" s="30">
        <v>3326</v>
      </c>
      <c r="B1866" s="30" t="s">
        <v>1801</v>
      </c>
      <c r="C1866" s="30" t="s">
        <v>1799</v>
      </c>
      <c r="D1866" s="30" t="s">
        <v>106</v>
      </c>
      <c r="E1866" s="30"/>
      <c r="F1866" s="30" t="s">
        <v>107</v>
      </c>
      <c r="G1866" s="30" t="s">
        <v>106</v>
      </c>
      <c r="H1866" s="30"/>
      <c r="I1866" s="30" t="s">
        <v>192</v>
      </c>
      <c r="J1866" s="30" t="s">
        <v>635</v>
      </c>
      <c r="K1866" s="30"/>
      <c r="L1866" s="30" t="s">
        <v>108</v>
      </c>
      <c r="M1866" s="30" t="s">
        <v>124</v>
      </c>
      <c r="N1866" s="30" t="s">
        <v>114</v>
      </c>
      <c r="O1866" s="30" t="s">
        <v>115</v>
      </c>
      <c r="P1866" s="30" t="s">
        <v>112</v>
      </c>
      <c r="Q1866" s="30" t="s">
        <v>112</v>
      </c>
      <c r="R1866" s="30" t="s">
        <v>189</v>
      </c>
      <c r="S1866" s="81">
        <f>HLOOKUP(L1866,データについて!$J$6:$M$18,13,FALSE)</f>
        <v>1</v>
      </c>
      <c r="T1866" s="81">
        <f>HLOOKUP(M1866,データについて!$J$7:$M$18,12,FALSE)</f>
        <v>3</v>
      </c>
      <c r="U1866" s="81">
        <f>HLOOKUP(N1866,データについて!$J$8:$M$18,11,FALSE)</f>
        <v>1</v>
      </c>
      <c r="V1866" s="81">
        <f>HLOOKUP(O1866,データについて!$J$9:$M$18,10,FALSE)</f>
        <v>1</v>
      </c>
      <c r="W1866" s="81">
        <f>HLOOKUP(P1866,データについて!$J$10:$M$18,9,FALSE)</f>
        <v>1</v>
      </c>
      <c r="X1866" s="81">
        <f>HLOOKUP(Q1866,データについて!$J$11:$M$18,8,FALSE)</f>
        <v>1</v>
      </c>
      <c r="Y1866" s="81">
        <f>HLOOKUP(R1866,データについて!$J$12:$M$18,7,FALSE)</f>
        <v>4</v>
      </c>
      <c r="Z1866" s="81">
        <f>HLOOKUP(I1866,データについて!$J$3:$M$18,16,FALSE)</f>
        <v>1</v>
      </c>
      <c r="AA1866" s="81">
        <f>IFERROR(HLOOKUP(J1866,データについて!$J$4:$AH$19,16,FALSE),"")</f>
        <v>9</v>
      </c>
      <c r="AB1866" s="81" t="str">
        <f>IFERROR(HLOOKUP(K1866,データについて!$J$5:$AH$20,14,FALSE),"")</f>
        <v/>
      </c>
      <c r="AC1866" s="81">
        <f>IF(X1866=1,HLOOKUP(R1866,データについて!$J$12:$M$18,7,FALSE),"*")</f>
        <v>4</v>
      </c>
      <c r="AD1866" s="81" t="str">
        <f>IF(X1866=2,HLOOKUP(R1866,データについて!$J$12:$M$18,7,FALSE),"*")</f>
        <v>*</v>
      </c>
    </row>
    <row r="1867" spans="1:30">
      <c r="A1867" s="30">
        <v>3325</v>
      </c>
      <c r="B1867" s="30" t="s">
        <v>1802</v>
      </c>
      <c r="C1867" s="30" t="s">
        <v>1803</v>
      </c>
      <c r="D1867" s="30" t="s">
        <v>106</v>
      </c>
      <c r="E1867" s="30"/>
      <c r="F1867" s="30" t="s">
        <v>107</v>
      </c>
      <c r="G1867" s="30" t="s">
        <v>106</v>
      </c>
      <c r="H1867" s="30"/>
      <c r="I1867" s="30" t="s">
        <v>192</v>
      </c>
      <c r="J1867" s="30" t="s">
        <v>635</v>
      </c>
      <c r="K1867" s="30"/>
      <c r="L1867" s="30" t="s">
        <v>117</v>
      </c>
      <c r="M1867" s="30" t="s">
        <v>113</v>
      </c>
      <c r="N1867" s="30" t="s">
        <v>114</v>
      </c>
      <c r="O1867" s="30" t="s">
        <v>115</v>
      </c>
      <c r="P1867" s="30" t="s">
        <v>112</v>
      </c>
      <c r="Q1867" s="30" t="s">
        <v>112</v>
      </c>
      <c r="R1867" s="30" t="s">
        <v>185</v>
      </c>
      <c r="S1867" s="81">
        <f>HLOOKUP(L1867,データについて!$J$6:$M$18,13,FALSE)</f>
        <v>2</v>
      </c>
      <c r="T1867" s="81">
        <f>HLOOKUP(M1867,データについて!$J$7:$M$18,12,FALSE)</f>
        <v>1</v>
      </c>
      <c r="U1867" s="81">
        <f>HLOOKUP(N1867,データについて!$J$8:$M$18,11,FALSE)</f>
        <v>1</v>
      </c>
      <c r="V1867" s="81">
        <f>HLOOKUP(O1867,データについて!$J$9:$M$18,10,FALSE)</f>
        <v>1</v>
      </c>
      <c r="W1867" s="81">
        <f>HLOOKUP(P1867,データについて!$J$10:$M$18,9,FALSE)</f>
        <v>1</v>
      </c>
      <c r="X1867" s="81">
        <f>HLOOKUP(Q1867,データについて!$J$11:$M$18,8,FALSE)</f>
        <v>1</v>
      </c>
      <c r="Y1867" s="81">
        <f>HLOOKUP(R1867,データについて!$J$12:$M$18,7,FALSE)</f>
        <v>2</v>
      </c>
      <c r="Z1867" s="81">
        <f>HLOOKUP(I1867,データについて!$J$3:$M$18,16,FALSE)</f>
        <v>1</v>
      </c>
      <c r="AA1867" s="81">
        <f>IFERROR(HLOOKUP(J1867,データについて!$J$4:$AH$19,16,FALSE),"")</f>
        <v>9</v>
      </c>
      <c r="AB1867" s="81" t="str">
        <f>IFERROR(HLOOKUP(K1867,データについて!$J$5:$AH$20,14,FALSE),"")</f>
        <v/>
      </c>
      <c r="AC1867" s="81">
        <f>IF(X1867=1,HLOOKUP(R1867,データについて!$J$12:$M$18,7,FALSE),"*")</f>
        <v>2</v>
      </c>
      <c r="AD1867" s="81" t="str">
        <f>IF(X1867=2,HLOOKUP(R1867,データについて!$J$12:$M$18,7,FALSE),"*")</f>
        <v>*</v>
      </c>
    </row>
    <row r="1868" spans="1:30">
      <c r="A1868" s="30">
        <v>3324</v>
      </c>
      <c r="B1868" s="30" t="s">
        <v>1804</v>
      </c>
      <c r="C1868" s="30" t="s">
        <v>1803</v>
      </c>
      <c r="D1868" s="30" t="s">
        <v>106</v>
      </c>
      <c r="E1868" s="30"/>
      <c r="F1868" s="30" t="s">
        <v>107</v>
      </c>
      <c r="G1868" s="30" t="s">
        <v>106</v>
      </c>
      <c r="H1868" s="30"/>
      <c r="I1868" s="30" t="s">
        <v>192</v>
      </c>
      <c r="J1868" s="30" t="s">
        <v>635</v>
      </c>
      <c r="K1868" s="30"/>
      <c r="L1868" s="30" t="s">
        <v>108</v>
      </c>
      <c r="M1868" s="30" t="s">
        <v>113</v>
      </c>
      <c r="N1868" s="30" t="s">
        <v>122</v>
      </c>
      <c r="O1868" s="30" t="s">
        <v>115</v>
      </c>
      <c r="P1868" s="30" t="s">
        <v>112</v>
      </c>
      <c r="Q1868" s="30" t="s">
        <v>118</v>
      </c>
      <c r="R1868" s="30" t="s">
        <v>189</v>
      </c>
      <c r="S1868" s="81">
        <f>HLOOKUP(L1868,データについて!$J$6:$M$18,13,FALSE)</f>
        <v>1</v>
      </c>
      <c r="T1868" s="81">
        <f>HLOOKUP(M1868,データについて!$J$7:$M$18,12,FALSE)</f>
        <v>1</v>
      </c>
      <c r="U1868" s="81">
        <f>HLOOKUP(N1868,データについて!$J$8:$M$18,11,FALSE)</f>
        <v>3</v>
      </c>
      <c r="V1868" s="81">
        <f>HLOOKUP(O1868,データについて!$J$9:$M$18,10,FALSE)</f>
        <v>1</v>
      </c>
      <c r="W1868" s="81">
        <f>HLOOKUP(P1868,データについて!$J$10:$M$18,9,FALSE)</f>
        <v>1</v>
      </c>
      <c r="X1868" s="81">
        <f>HLOOKUP(Q1868,データについて!$J$11:$M$18,8,FALSE)</f>
        <v>2</v>
      </c>
      <c r="Y1868" s="81">
        <f>HLOOKUP(R1868,データについて!$J$12:$M$18,7,FALSE)</f>
        <v>4</v>
      </c>
      <c r="Z1868" s="81">
        <f>HLOOKUP(I1868,データについて!$J$3:$M$18,16,FALSE)</f>
        <v>1</v>
      </c>
      <c r="AA1868" s="81">
        <f>IFERROR(HLOOKUP(J1868,データについて!$J$4:$AH$19,16,FALSE),"")</f>
        <v>9</v>
      </c>
      <c r="AB1868" s="81" t="str">
        <f>IFERROR(HLOOKUP(K1868,データについて!$J$5:$AH$20,14,FALSE),"")</f>
        <v/>
      </c>
      <c r="AC1868" s="81" t="str">
        <f>IF(X1868=1,HLOOKUP(R1868,データについて!$J$12:$M$18,7,FALSE),"*")</f>
        <v>*</v>
      </c>
      <c r="AD1868" s="81">
        <f>IF(X1868=2,HLOOKUP(R1868,データについて!$J$12:$M$18,7,FALSE),"*")</f>
        <v>4</v>
      </c>
    </row>
    <row r="1869" spans="1:30">
      <c r="A1869" s="30">
        <v>3323</v>
      </c>
      <c r="B1869" s="30" t="s">
        <v>1805</v>
      </c>
      <c r="C1869" s="30" t="s">
        <v>1806</v>
      </c>
      <c r="D1869" s="30" t="s">
        <v>106</v>
      </c>
      <c r="E1869" s="30"/>
      <c r="F1869" s="30" t="s">
        <v>107</v>
      </c>
      <c r="G1869" s="30" t="s">
        <v>106</v>
      </c>
      <c r="H1869" s="30"/>
      <c r="I1869" s="30" t="s">
        <v>192</v>
      </c>
      <c r="J1869" s="30" t="s">
        <v>635</v>
      </c>
      <c r="K1869" s="30"/>
      <c r="L1869" s="30" t="s">
        <v>108</v>
      </c>
      <c r="M1869" s="30" t="s">
        <v>124</v>
      </c>
      <c r="N1869" s="30" t="s">
        <v>122</v>
      </c>
      <c r="O1869" s="30" t="s">
        <v>115</v>
      </c>
      <c r="P1869" s="30" t="s">
        <v>112</v>
      </c>
      <c r="Q1869" s="30" t="s">
        <v>112</v>
      </c>
      <c r="R1869" s="30" t="s">
        <v>185</v>
      </c>
      <c r="S1869" s="81">
        <f>HLOOKUP(L1869,データについて!$J$6:$M$18,13,FALSE)</f>
        <v>1</v>
      </c>
      <c r="T1869" s="81">
        <f>HLOOKUP(M1869,データについて!$J$7:$M$18,12,FALSE)</f>
        <v>3</v>
      </c>
      <c r="U1869" s="81">
        <f>HLOOKUP(N1869,データについて!$J$8:$M$18,11,FALSE)</f>
        <v>3</v>
      </c>
      <c r="V1869" s="81">
        <f>HLOOKUP(O1869,データについて!$J$9:$M$18,10,FALSE)</f>
        <v>1</v>
      </c>
      <c r="W1869" s="81">
        <f>HLOOKUP(P1869,データについて!$J$10:$M$18,9,FALSE)</f>
        <v>1</v>
      </c>
      <c r="X1869" s="81">
        <f>HLOOKUP(Q1869,データについて!$J$11:$M$18,8,FALSE)</f>
        <v>1</v>
      </c>
      <c r="Y1869" s="81">
        <f>HLOOKUP(R1869,データについて!$J$12:$M$18,7,FALSE)</f>
        <v>2</v>
      </c>
      <c r="Z1869" s="81">
        <f>HLOOKUP(I1869,データについて!$J$3:$M$18,16,FALSE)</f>
        <v>1</v>
      </c>
      <c r="AA1869" s="81">
        <f>IFERROR(HLOOKUP(J1869,データについて!$J$4:$AH$19,16,FALSE),"")</f>
        <v>9</v>
      </c>
      <c r="AB1869" s="81" t="str">
        <f>IFERROR(HLOOKUP(K1869,データについて!$J$5:$AH$20,14,FALSE),"")</f>
        <v/>
      </c>
      <c r="AC1869" s="81">
        <f>IF(X1869=1,HLOOKUP(R1869,データについて!$J$12:$M$18,7,FALSE),"*")</f>
        <v>2</v>
      </c>
      <c r="AD1869" s="81" t="str">
        <f>IF(X1869=2,HLOOKUP(R1869,データについて!$J$12:$M$18,7,FALSE),"*")</f>
        <v>*</v>
      </c>
    </row>
    <row r="1870" spans="1:30">
      <c r="A1870" s="30">
        <v>3322</v>
      </c>
      <c r="B1870" s="30" t="s">
        <v>1807</v>
      </c>
      <c r="C1870" s="30" t="s">
        <v>1806</v>
      </c>
      <c r="D1870" s="30" t="s">
        <v>106</v>
      </c>
      <c r="E1870" s="30"/>
      <c r="F1870" s="30" t="s">
        <v>107</v>
      </c>
      <c r="G1870" s="30" t="s">
        <v>106</v>
      </c>
      <c r="H1870" s="30"/>
      <c r="I1870" s="30" t="s">
        <v>192</v>
      </c>
      <c r="J1870" s="30" t="s">
        <v>635</v>
      </c>
      <c r="K1870" s="30"/>
      <c r="L1870" s="30" t="s">
        <v>117</v>
      </c>
      <c r="M1870" s="30" t="s">
        <v>109</v>
      </c>
      <c r="N1870" s="30" t="s">
        <v>114</v>
      </c>
      <c r="O1870" s="30" t="s">
        <v>115</v>
      </c>
      <c r="P1870" s="30" t="s">
        <v>112</v>
      </c>
      <c r="Q1870" s="30" t="s">
        <v>112</v>
      </c>
      <c r="R1870" s="30" t="s">
        <v>185</v>
      </c>
      <c r="S1870" s="81">
        <f>HLOOKUP(L1870,データについて!$J$6:$M$18,13,FALSE)</f>
        <v>2</v>
      </c>
      <c r="T1870" s="81">
        <f>HLOOKUP(M1870,データについて!$J$7:$M$18,12,FALSE)</f>
        <v>2</v>
      </c>
      <c r="U1870" s="81">
        <f>HLOOKUP(N1870,データについて!$J$8:$M$18,11,FALSE)</f>
        <v>1</v>
      </c>
      <c r="V1870" s="81">
        <f>HLOOKUP(O1870,データについて!$J$9:$M$18,10,FALSE)</f>
        <v>1</v>
      </c>
      <c r="W1870" s="81">
        <f>HLOOKUP(P1870,データについて!$J$10:$M$18,9,FALSE)</f>
        <v>1</v>
      </c>
      <c r="X1870" s="81">
        <f>HLOOKUP(Q1870,データについて!$J$11:$M$18,8,FALSE)</f>
        <v>1</v>
      </c>
      <c r="Y1870" s="81">
        <f>HLOOKUP(R1870,データについて!$J$12:$M$18,7,FALSE)</f>
        <v>2</v>
      </c>
      <c r="Z1870" s="81">
        <f>HLOOKUP(I1870,データについて!$J$3:$M$18,16,FALSE)</f>
        <v>1</v>
      </c>
      <c r="AA1870" s="81">
        <f>IFERROR(HLOOKUP(J1870,データについて!$J$4:$AH$19,16,FALSE),"")</f>
        <v>9</v>
      </c>
      <c r="AB1870" s="81" t="str">
        <f>IFERROR(HLOOKUP(K1870,データについて!$J$5:$AH$20,14,FALSE),"")</f>
        <v/>
      </c>
      <c r="AC1870" s="81">
        <f>IF(X1870=1,HLOOKUP(R1870,データについて!$J$12:$M$18,7,FALSE),"*")</f>
        <v>2</v>
      </c>
      <c r="AD1870" s="81" t="str">
        <f>IF(X1870=2,HLOOKUP(R1870,データについて!$J$12:$M$18,7,FALSE),"*")</f>
        <v>*</v>
      </c>
    </row>
    <row r="1871" spans="1:30">
      <c r="A1871" s="30">
        <v>3321</v>
      </c>
      <c r="B1871" s="30" t="s">
        <v>1808</v>
      </c>
      <c r="C1871" s="30" t="s">
        <v>1806</v>
      </c>
      <c r="D1871" s="30" t="s">
        <v>106</v>
      </c>
      <c r="E1871" s="30"/>
      <c r="F1871" s="30" t="s">
        <v>107</v>
      </c>
      <c r="G1871" s="30" t="s">
        <v>106</v>
      </c>
      <c r="H1871" s="30"/>
      <c r="I1871" s="30" t="s">
        <v>192</v>
      </c>
      <c r="J1871" s="30" t="s">
        <v>635</v>
      </c>
      <c r="K1871" s="30"/>
      <c r="L1871" s="30" t="s">
        <v>108</v>
      </c>
      <c r="M1871" s="30" t="s">
        <v>113</v>
      </c>
      <c r="N1871" s="30" t="s">
        <v>114</v>
      </c>
      <c r="O1871" s="30" t="s">
        <v>115</v>
      </c>
      <c r="P1871" s="30" t="s">
        <v>112</v>
      </c>
      <c r="Q1871" s="30" t="s">
        <v>118</v>
      </c>
      <c r="R1871" s="30" t="s">
        <v>187</v>
      </c>
      <c r="S1871" s="81">
        <f>HLOOKUP(L1871,データについて!$J$6:$M$18,13,FALSE)</f>
        <v>1</v>
      </c>
      <c r="T1871" s="81">
        <f>HLOOKUP(M1871,データについて!$J$7:$M$18,12,FALSE)</f>
        <v>1</v>
      </c>
      <c r="U1871" s="81">
        <f>HLOOKUP(N1871,データについて!$J$8:$M$18,11,FALSE)</f>
        <v>1</v>
      </c>
      <c r="V1871" s="81">
        <f>HLOOKUP(O1871,データについて!$J$9:$M$18,10,FALSE)</f>
        <v>1</v>
      </c>
      <c r="W1871" s="81">
        <f>HLOOKUP(P1871,データについて!$J$10:$M$18,9,FALSE)</f>
        <v>1</v>
      </c>
      <c r="X1871" s="81">
        <f>HLOOKUP(Q1871,データについて!$J$11:$M$18,8,FALSE)</f>
        <v>2</v>
      </c>
      <c r="Y1871" s="81">
        <f>HLOOKUP(R1871,データについて!$J$12:$M$18,7,FALSE)</f>
        <v>3</v>
      </c>
      <c r="Z1871" s="81">
        <f>HLOOKUP(I1871,データについて!$J$3:$M$18,16,FALSE)</f>
        <v>1</v>
      </c>
      <c r="AA1871" s="81">
        <f>IFERROR(HLOOKUP(J1871,データについて!$J$4:$AH$19,16,FALSE),"")</f>
        <v>9</v>
      </c>
      <c r="AB1871" s="81" t="str">
        <f>IFERROR(HLOOKUP(K1871,データについて!$J$5:$AH$20,14,FALSE),"")</f>
        <v/>
      </c>
      <c r="AC1871" s="81" t="str">
        <f>IF(X1871=1,HLOOKUP(R1871,データについて!$J$12:$M$18,7,FALSE),"*")</f>
        <v>*</v>
      </c>
      <c r="AD1871" s="81">
        <f>IF(X1871=2,HLOOKUP(R1871,データについて!$J$12:$M$18,7,FALSE),"*")</f>
        <v>3</v>
      </c>
    </row>
    <row r="1872" spans="1:30">
      <c r="A1872" s="30">
        <v>3320</v>
      </c>
      <c r="B1872" s="30" t="s">
        <v>1809</v>
      </c>
      <c r="C1872" s="30" t="s">
        <v>1806</v>
      </c>
      <c r="D1872" s="30" t="s">
        <v>106</v>
      </c>
      <c r="E1872" s="30"/>
      <c r="F1872" s="30" t="s">
        <v>107</v>
      </c>
      <c r="G1872" s="30" t="s">
        <v>106</v>
      </c>
      <c r="H1872" s="30"/>
      <c r="I1872" s="30" t="s">
        <v>192</v>
      </c>
      <c r="J1872" s="30" t="s">
        <v>635</v>
      </c>
      <c r="K1872" s="30"/>
      <c r="L1872" s="30" t="s">
        <v>117</v>
      </c>
      <c r="M1872" s="30" t="s">
        <v>109</v>
      </c>
      <c r="N1872" s="30" t="s">
        <v>110</v>
      </c>
      <c r="O1872" s="30" t="s">
        <v>115</v>
      </c>
      <c r="P1872" s="30" t="s">
        <v>112</v>
      </c>
      <c r="Q1872" s="30" t="s">
        <v>112</v>
      </c>
      <c r="R1872" s="30" t="s">
        <v>185</v>
      </c>
      <c r="S1872" s="81">
        <f>HLOOKUP(L1872,データについて!$J$6:$M$18,13,FALSE)</f>
        <v>2</v>
      </c>
      <c r="T1872" s="81">
        <f>HLOOKUP(M1872,データについて!$J$7:$M$18,12,FALSE)</f>
        <v>2</v>
      </c>
      <c r="U1872" s="81">
        <f>HLOOKUP(N1872,データについて!$J$8:$M$18,11,FALSE)</f>
        <v>2</v>
      </c>
      <c r="V1872" s="81">
        <f>HLOOKUP(O1872,データについて!$J$9:$M$18,10,FALSE)</f>
        <v>1</v>
      </c>
      <c r="W1872" s="81">
        <f>HLOOKUP(P1872,データについて!$J$10:$M$18,9,FALSE)</f>
        <v>1</v>
      </c>
      <c r="X1872" s="81">
        <f>HLOOKUP(Q1872,データについて!$J$11:$M$18,8,FALSE)</f>
        <v>1</v>
      </c>
      <c r="Y1872" s="81">
        <f>HLOOKUP(R1872,データについて!$J$12:$M$18,7,FALSE)</f>
        <v>2</v>
      </c>
      <c r="Z1872" s="81">
        <f>HLOOKUP(I1872,データについて!$J$3:$M$18,16,FALSE)</f>
        <v>1</v>
      </c>
      <c r="AA1872" s="81">
        <f>IFERROR(HLOOKUP(J1872,データについて!$J$4:$AH$19,16,FALSE),"")</f>
        <v>9</v>
      </c>
      <c r="AB1872" s="81" t="str">
        <f>IFERROR(HLOOKUP(K1872,データについて!$J$5:$AH$20,14,FALSE),"")</f>
        <v/>
      </c>
      <c r="AC1872" s="81">
        <f>IF(X1872=1,HLOOKUP(R1872,データについて!$J$12:$M$18,7,FALSE),"*")</f>
        <v>2</v>
      </c>
      <c r="AD1872" s="81" t="str">
        <f>IF(X1872=2,HLOOKUP(R1872,データについて!$J$12:$M$18,7,FALSE),"*")</f>
        <v>*</v>
      </c>
    </row>
    <row r="1873" spans="1:30">
      <c r="A1873" s="30">
        <v>3319</v>
      </c>
      <c r="B1873" s="30" t="s">
        <v>1810</v>
      </c>
      <c r="C1873" s="30" t="s">
        <v>1806</v>
      </c>
      <c r="D1873" s="30" t="s">
        <v>106</v>
      </c>
      <c r="E1873" s="30"/>
      <c r="F1873" s="30" t="s">
        <v>107</v>
      </c>
      <c r="G1873" s="30" t="s">
        <v>106</v>
      </c>
      <c r="H1873" s="30"/>
      <c r="I1873" s="30" t="s">
        <v>192</v>
      </c>
      <c r="J1873" s="30" t="s">
        <v>635</v>
      </c>
      <c r="K1873" s="30"/>
      <c r="L1873" s="30" t="s">
        <v>117</v>
      </c>
      <c r="M1873" s="30" t="s">
        <v>113</v>
      </c>
      <c r="N1873" s="30" t="s">
        <v>114</v>
      </c>
      <c r="O1873" s="30" t="s">
        <v>115</v>
      </c>
      <c r="P1873" s="30" t="s">
        <v>112</v>
      </c>
      <c r="Q1873" s="30" t="s">
        <v>112</v>
      </c>
      <c r="R1873" s="30" t="s">
        <v>183</v>
      </c>
      <c r="S1873" s="81">
        <f>HLOOKUP(L1873,データについて!$J$6:$M$18,13,FALSE)</f>
        <v>2</v>
      </c>
      <c r="T1873" s="81">
        <f>HLOOKUP(M1873,データについて!$J$7:$M$18,12,FALSE)</f>
        <v>1</v>
      </c>
      <c r="U1873" s="81">
        <f>HLOOKUP(N1873,データについて!$J$8:$M$18,11,FALSE)</f>
        <v>1</v>
      </c>
      <c r="V1873" s="81">
        <f>HLOOKUP(O1873,データについて!$J$9:$M$18,10,FALSE)</f>
        <v>1</v>
      </c>
      <c r="W1873" s="81">
        <f>HLOOKUP(P1873,データについて!$J$10:$M$18,9,FALSE)</f>
        <v>1</v>
      </c>
      <c r="X1873" s="81">
        <f>HLOOKUP(Q1873,データについて!$J$11:$M$18,8,FALSE)</f>
        <v>1</v>
      </c>
      <c r="Y1873" s="81">
        <f>HLOOKUP(R1873,データについて!$J$12:$M$18,7,FALSE)</f>
        <v>1</v>
      </c>
      <c r="Z1873" s="81">
        <f>HLOOKUP(I1873,データについて!$J$3:$M$18,16,FALSE)</f>
        <v>1</v>
      </c>
      <c r="AA1873" s="81">
        <f>IFERROR(HLOOKUP(J1873,データについて!$J$4:$AH$19,16,FALSE),"")</f>
        <v>9</v>
      </c>
      <c r="AB1873" s="81" t="str">
        <f>IFERROR(HLOOKUP(K1873,データについて!$J$5:$AH$20,14,FALSE),"")</f>
        <v/>
      </c>
      <c r="AC1873" s="81">
        <f>IF(X1873=1,HLOOKUP(R1873,データについて!$J$12:$M$18,7,FALSE),"*")</f>
        <v>1</v>
      </c>
      <c r="AD1873" s="81" t="str">
        <f>IF(X1873=2,HLOOKUP(R1873,データについて!$J$12:$M$18,7,FALSE),"*")</f>
        <v>*</v>
      </c>
    </row>
    <row r="1874" spans="1:30">
      <c r="A1874" s="30">
        <v>3318</v>
      </c>
      <c r="B1874" s="30" t="s">
        <v>1811</v>
      </c>
      <c r="C1874" s="30" t="s">
        <v>1806</v>
      </c>
      <c r="D1874" s="30" t="s">
        <v>106</v>
      </c>
      <c r="E1874" s="30"/>
      <c r="F1874" s="30" t="s">
        <v>107</v>
      </c>
      <c r="G1874" s="30" t="s">
        <v>106</v>
      </c>
      <c r="H1874" s="30"/>
      <c r="I1874" s="30" t="s">
        <v>192</v>
      </c>
      <c r="J1874" s="30" t="s">
        <v>635</v>
      </c>
      <c r="K1874" s="30"/>
      <c r="L1874" s="30" t="s">
        <v>108</v>
      </c>
      <c r="M1874" s="30" t="s">
        <v>124</v>
      </c>
      <c r="N1874" s="30" t="s">
        <v>122</v>
      </c>
      <c r="O1874" s="30" t="s">
        <v>115</v>
      </c>
      <c r="P1874" s="30" t="s">
        <v>112</v>
      </c>
      <c r="Q1874" s="30" t="s">
        <v>112</v>
      </c>
      <c r="R1874" s="30" t="s">
        <v>187</v>
      </c>
      <c r="S1874" s="81">
        <f>HLOOKUP(L1874,データについて!$J$6:$M$18,13,FALSE)</f>
        <v>1</v>
      </c>
      <c r="T1874" s="81">
        <f>HLOOKUP(M1874,データについて!$J$7:$M$18,12,FALSE)</f>
        <v>3</v>
      </c>
      <c r="U1874" s="81">
        <f>HLOOKUP(N1874,データについて!$J$8:$M$18,11,FALSE)</f>
        <v>3</v>
      </c>
      <c r="V1874" s="81">
        <f>HLOOKUP(O1874,データについて!$J$9:$M$18,10,FALSE)</f>
        <v>1</v>
      </c>
      <c r="W1874" s="81">
        <f>HLOOKUP(P1874,データについて!$J$10:$M$18,9,FALSE)</f>
        <v>1</v>
      </c>
      <c r="X1874" s="81">
        <f>HLOOKUP(Q1874,データについて!$J$11:$M$18,8,FALSE)</f>
        <v>1</v>
      </c>
      <c r="Y1874" s="81">
        <f>HLOOKUP(R1874,データについて!$J$12:$M$18,7,FALSE)</f>
        <v>3</v>
      </c>
      <c r="Z1874" s="81">
        <f>HLOOKUP(I1874,データについて!$J$3:$M$18,16,FALSE)</f>
        <v>1</v>
      </c>
      <c r="AA1874" s="81">
        <f>IFERROR(HLOOKUP(J1874,データについて!$J$4:$AH$19,16,FALSE),"")</f>
        <v>9</v>
      </c>
      <c r="AB1874" s="81" t="str">
        <f>IFERROR(HLOOKUP(K1874,データについて!$J$5:$AH$20,14,FALSE),"")</f>
        <v/>
      </c>
      <c r="AC1874" s="81">
        <f>IF(X1874=1,HLOOKUP(R1874,データについて!$J$12:$M$18,7,FALSE),"*")</f>
        <v>3</v>
      </c>
      <c r="AD1874" s="81" t="str">
        <f>IF(X1874=2,HLOOKUP(R1874,データについて!$J$12:$M$18,7,FALSE),"*")</f>
        <v>*</v>
      </c>
    </row>
    <row r="1875" spans="1:30">
      <c r="A1875" s="30">
        <v>3317</v>
      </c>
      <c r="B1875" s="30" t="s">
        <v>1812</v>
      </c>
      <c r="C1875" s="30" t="s">
        <v>1806</v>
      </c>
      <c r="D1875" s="30" t="s">
        <v>106</v>
      </c>
      <c r="E1875" s="30"/>
      <c r="F1875" s="30" t="s">
        <v>107</v>
      </c>
      <c r="G1875" s="30" t="s">
        <v>106</v>
      </c>
      <c r="H1875" s="30"/>
      <c r="I1875" s="30" t="s">
        <v>192</v>
      </c>
      <c r="J1875" s="30" t="s">
        <v>635</v>
      </c>
      <c r="K1875" s="30"/>
      <c r="L1875" s="30" t="s">
        <v>117</v>
      </c>
      <c r="M1875" s="30" t="s">
        <v>113</v>
      </c>
      <c r="N1875" s="30" t="s">
        <v>122</v>
      </c>
      <c r="O1875" s="30" t="s">
        <v>115</v>
      </c>
      <c r="P1875" s="30" t="s">
        <v>112</v>
      </c>
      <c r="Q1875" s="30" t="s">
        <v>118</v>
      </c>
      <c r="R1875" s="30" t="s">
        <v>189</v>
      </c>
      <c r="S1875" s="81">
        <f>HLOOKUP(L1875,データについて!$J$6:$M$18,13,FALSE)</f>
        <v>2</v>
      </c>
      <c r="T1875" s="81">
        <f>HLOOKUP(M1875,データについて!$J$7:$M$18,12,FALSE)</f>
        <v>1</v>
      </c>
      <c r="U1875" s="81">
        <f>HLOOKUP(N1875,データについて!$J$8:$M$18,11,FALSE)</f>
        <v>3</v>
      </c>
      <c r="V1875" s="81">
        <f>HLOOKUP(O1875,データについて!$J$9:$M$18,10,FALSE)</f>
        <v>1</v>
      </c>
      <c r="W1875" s="81">
        <f>HLOOKUP(P1875,データについて!$J$10:$M$18,9,FALSE)</f>
        <v>1</v>
      </c>
      <c r="X1875" s="81">
        <f>HLOOKUP(Q1875,データについて!$J$11:$M$18,8,FALSE)</f>
        <v>2</v>
      </c>
      <c r="Y1875" s="81">
        <f>HLOOKUP(R1875,データについて!$J$12:$M$18,7,FALSE)</f>
        <v>4</v>
      </c>
      <c r="Z1875" s="81">
        <f>HLOOKUP(I1875,データについて!$J$3:$M$18,16,FALSE)</f>
        <v>1</v>
      </c>
      <c r="AA1875" s="81">
        <f>IFERROR(HLOOKUP(J1875,データについて!$J$4:$AH$19,16,FALSE),"")</f>
        <v>9</v>
      </c>
      <c r="AB1875" s="81" t="str">
        <f>IFERROR(HLOOKUP(K1875,データについて!$J$5:$AH$20,14,FALSE),"")</f>
        <v/>
      </c>
      <c r="AC1875" s="81" t="str">
        <f>IF(X1875=1,HLOOKUP(R1875,データについて!$J$12:$M$18,7,FALSE),"*")</f>
        <v>*</v>
      </c>
      <c r="AD1875" s="81">
        <f>IF(X1875=2,HLOOKUP(R1875,データについて!$J$12:$M$18,7,FALSE),"*")</f>
        <v>4</v>
      </c>
    </row>
    <row r="1876" spans="1:30">
      <c r="A1876" s="30">
        <v>3316</v>
      </c>
      <c r="B1876" s="30" t="s">
        <v>1813</v>
      </c>
      <c r="C1876" s="30" t="s">
        <v>1806</v>
      </c>
      <c r="D1876" s="30" t="s">
        <v>106</v>
      </c>
      <c r="E1876" s="30"/>
      <c r="F1876" s="30" t="s">
        <v>107</v>
      </c>
      <c r="G1876" s="30" t="s">
        <v>106</v>
      </c>
      <c r="H1876" s="30"/>
      <c r="I1876" s="30" t="s">
        <v>192</v>
      </c>
      <c r="J1876" s="30" t="s">
        <v>635</v>
      </c>
      <c r="K1876" s="30"/>
      <c r="L1876" s="30" t="s">
        <v>108</v>
      </c>
      <c r="M1876" s="30" t="s">
        <v>113</v>
      </c>
      <c r="N1876" s="30" t="s">
        <v>114</v>
      </c>
      <c r="O1876" s="30" t="s">
        <v>115</v>
      </c>
      <c r="P1876" s="30" t="s">
        <v>112</v>
      </c>
      <c r="Q1876" s="30" t="s">
        <v>112</v>
      </c>
      <c r="R1876" s="30" t="s">
        <v>187</v>
      </c>
      <c r="S1876" s="81">
        <f>HLOOKUP(L1876,データについて!$J$6:$M$18,13,FALSE)</f>
        <v>1</v>
      </c>
      <c r="T1876" s="81">
        <f>HLOOKUP(M1876,データについて!$J$7:$M$18,12,FALSE)</f>
        <v>1</v>
      </c>
      <c r="U1876" s="81">
        <f>HLOOKUP(N1876,データについて!$J$8:$M$18,11,FALSE)</f>
        <v>1</v>
      </c>
      <c r="V1876" s="81">
        <f>HLOOKUP(O1876,データについて!$J$9:$M$18,10,FALSE)</f>
        <v>1</v>
      </c>
      <c r="W1876" s="81">
        <f>HLOOKUP(P1876,データについて!$J$10:$M$18,9,FALSE)</f>
        <v>1</v>
      </c>
      <c r="X1876" s="81">
        <f>HLOOKUP(Q1876,データについて!$J$11:$M$18,8,FALSE)</f>
        <v>1</v>
      </c>
      <c r="Y1876" s="81">
        <f>HLOOKUP(R1876,データについて!$J$12:$M$18,7,FALSE)</f>
        <v>3</v>
      </c>
      <c r="Z1876" s="81">
        <f>HLOOKUP(I1876,データについて!$J$3:$M$18,16,FALSE)</f>
        <v>1</v>
      </c>
      <c r="AA1876" s="81">
        <f>IFERROR(HLOOKUP(J1876,データについて!$J$4:$AH$19,16,FALSE),"")</f>
        <v>9</v>
      </c>
      <c r="AB1876" s="81" t="str">
        <f>IFERROR(HLOOKUP(K1876,データについて!$J$5:$AH$20,14,FALSE),"")</f>
        <v/>
      </c>
      <c r="AC1876" s="81">
        <f>IF(X1876=1,HLOOKUP(R1876,データについて!$J$12:$M$18,7,FALSE),"*")</f>
        <v>3</v>
      </c>
      <c r="AD1876" s="81" t="str">
        <f>IF(X1876=2,HLOOKUP(R1876,データについて!$J$12:$M$18,7,FALSE),"*")</f>
        <v>*</v>
      </c>
    </row>
    <row r="1877" spans="1:30">
      <c r="A1877" s="30">
        <v>3315</v>
      </c>
      <c r="B1877" s="30" t="s">
        <v>1814</v>
      </c>
      <c r="C1877" s="30" t="s">
        <v>1815</v>
      </c>
      <c r="D1877" s="30" t="s">
        <v>106</v>
      </c>
      <c r="E1877" s="30"/>
      <c r="F1877" s="30" t="s">
        <v>107</v>
      </c>
      <c r="G1877" s="30" t="s">
        <v>106</v>
      </c>
      <c r="H1877" s="30"/>
      <c r="I1877" s="30" t="s">
        <v>192</v>
      </c>
      <c r="J1877" s="30" t="s">
        <v>635</v>
      </c>
      <c r="K1877" s="30"/>
      <c r="L1877" s="30" t="s">
        <v>108</v>
      </c>
      <c r="M1877" s="30" t="s">
        <v>109</v>
      </c>
      <c r="N1877" s="30" t="s">
        <v>110</v>
      </c>
      <c r="O1877" s="30" t="s">
        <v>115</v>
      </c>
      <c r="P1877" s="30" t="s">
        <v>118</v>
      </c>
      <c r="Q1877" s="30" t="s">
        <v>118</v>
      </c>
      <c r="R1877" s="30" t="s">
        <v>187</v>
      </c>
      <c r="S1877" s="81">
        <f>HLOOKUP(L1877,データについて!$J$6:$M$18,13,FALSE)</f>
        <v>1</v>
      </c>
      <c r="T1877" s="81">
        <f>HLOOKUP(M1877,データについて!$J$7:$M$18,12,FALSE)</f>
        <v>2</v>
      </c>
      <c r="U1877" s="81">
        <f>HLOOKUP(N1877,データについて!$J$8:$M$18,11,FALSE)</f>
        <v>2</v>
      </c>
      <c r="V1877" s="81">
        <f>HLOOKUP(O1877,データについて!$J$9:$M$18,10,FALSE)</f>
        <v>1</v>
      </c>
      <c r="W1877" s="81">
        <f>HLOOKUP(P1877,データについて!$J$10:$M$18,9,FALSE)</f>
        <v>2</v>
      </c>
      <c r="X1877" s="81">
        <f>HLOOKUP(Q1877,データについて!$J$11:$M$18,8,FALSE)</f>
        <v>2</v>
      </c>
      <c r="Y1877" s="81">
        <f>HLOOKUP(R1877,データについて!$J$12:$M$18,7,FALSE)</f>
        <v>3</v>
      </c>
      <c r="Z1877" s="81">
        <f>HLOOKUP(I1877,データについて!$J$3:$M$18,16,FALSE)</f>
        <v>1</v>
      </c>
      <c r="AA1877" s="81">
        <f>IFERROR(HLOOKUP(J1877,データについて!$J$4:$AH$19,16,FALSE),"")</f>
        <v>9</v>
      </c>
      <c r="AB1877" s="81" t="str">
        <f>IFERROR(HLOOKUP(K1877,データについて!$J$5:$AH$20,14,FALSE),"")</f>
        <v/>
      </c>
      <c r="AC1877" s="81" t="str">
        <f>IF(X1877=1,HLOOKUP(R1877,データについて!$J$12:$M$18,7,FALSE),"*")</f>
        <v>*</v>
      </c>
      <c r="AD1877" s="81">
        <f>IF(X1877=2,HLOOKUP(R1877,データについて!$J$12:$M$18,7,FALSE),"*")</f>
        <v>3</v>
      </c>
    </row>
    <row r="1878" spans="1:30">
      <c r="A1878" s="30">
        <v>3314</v>
      </c>
      <c r="B1878" s="30" t="s">
        <v>1816</v>
      </c>
      <c r="C1878" s="30" t="s">
        <v>1817</v>
      </c>
      <c r="D1878" s="30" t="s">
        <v>106</v>
      </c>
      <c r="E1878" s="30"/>
      <c r="F1878" s="30" t="s">
        <v>107</v>
      </c>
      <c r="G1878" s="30" t="s">
        <v>106</v>
      </c>
      <c r="H1878" s="30"/>
      <c r="I1878" s="30" t="s">
        <v>192</v>
      </c>
      <c r="J1878" s="30" t="s">
        <v>635</v>
      </c>
      <c r="K1878" s="30"/>
      <c r="L1878" s="30" t="s">
        <v>108</v>
      </c>
      <c r="M1878" s="30" t="s">
        <v>109</v>
      </c>
      <c r="N1878" s="30" t="s">
        <v>114</v>
      </c>
      <c r="O1878" s="30" t="s">
        <v>123</v>
      </c>
      <c r="P1878" s="30" t="s">
        <v>118</v>
      </c>
      <c r="Q1878" s="30" t="s">
        <v>112</v>
      </c>
      <c r="R1878" s="30" t="s">
        <v>185</v>
      </c>
      <c r="S1878" s="81">
        <f>HLOOKUP(L1878,データについて!$J$6:$M$18,13,FALSE)</f>
        <v>1</v>
      </c>
      <c r="T1878" s="81">
        <f>HLOOKUP(M1878,データについて!$J$7:$M$18,12,FALSE)</f>
        <v>2</v>
      </c>
      <c r="U1878" s="81">
        <f>HLOOKUP(N1878,データについて!$J$8:$M$18,11,FALSE)</f>
        <v>1</v>
      </c>
      <c r="V1878" s="81">
        <f>HLOOKUP(O1878,データについて!$J$9:$M$18,10,FALSE)</f>
        <v>4</v>
      </c>
      <c r="W1878" s="81">
        <f>HLOOKUP(P1878,データについて!$J$10:$M$18,9,FALSE)</f>
        <v>2</v>
      </c>
      <c r="X1878" s="81">
        <f>HLOOKUP(Q1878,データについて!$J$11:$M$18,8,FALSE)</f>
        <v>1</v>
      </c>
      <c r="Y1878" s="81">
        <f>HLOOKUP(R1878,データについて!$J$12:$M$18,7,FALSE)</f>
        <v>2</v>
      </c>
      <c r="Z1878" s="81">
        <f>HLOOKUP(I1878,データについて!$J$3:$M$18,16,FALSE)</f>
        <v>1</v>
      </c>
      <c r="AA1878" s="81">
        <f>IFERROR(HLOOKUP(J1878,データについて!$J$4:$AH$19,16,FALSE),"")</f>
        <v>9</v>
      </c>
      <c r="AB1878" s="81" t="str">
        <f>IFERROR(HLOOKUP(K1878,データについて!$J$5:$AH$20,14,FALSE),"")</f>
        <v/>
      </c>
      <c r="AC1878" s="81">
        <f>IF(X1878=1,HLOOKUP(R1878,データについて!$J$12:$M$18,7,FALSE),"*")</f>
        <v>2</v>
      </c>
      <c r="AD1878" s="81" t="str">
        <f>IF(X1878=2,HLOOKUP(R1878,データについて!$J$12:$M$18,7,FALSE),"*")</f>
        <v>*</v>
      </c>
    </row>
    <row r="1879" spans="1:30">
      <c r="A1879" s="30">
        <v>3313</v>
      </c>
      <c r="B1879" s="30" t="s">
        <v>1818</v>
      </c>
      <c r="C1879" s="30" t="s">
        <v>1819</v>
      </c>
      <c r="D1879" s="30" t="s">
        <v>106</v>
      </c>
      <c r="E1879" s="30"/>
      <c r="F1879" s="30" t="s">
        <v>107</v>
      </c>
      <c r="G1879" s="30" t="s">
        <v>106</v>
      </c>
      <c r="H1879" s="30"/>
      <c r="I1879" s="30" t="s">
        <v>192</v>
      </c>
      <c r="J1879" s="30" t="s">
        <v>635</v>
      </c>
      <c r="K1879" s="30"/>
      <c r="L1879" s="30" t="s">
        <v>117</v>
      </c>
      <c r="M1879" s="30" t="s">
        <v>113</v>
      </c>
      <c r="N1879" s="30" t="s">
        <v>114</v>
      </c>
      <c r="O1879" s="30" t="s">
        <v>115</v>
      </c>
      <c r="P1879" s="30" t="s">
        <v>112</v>
      </c>
      <c r="Q1879" s="30" t="s">
        <v>112</v>
      </c>
      <c r="R1879" s="30" t="s">
        <v>187</v>
      </c>
      <c r="S1879" s="81">
        <f>HLOOKUP(L1879,データについて!$J$6:$M$18,13,FALSE)</f>
        <v>2</v>
      </c>
      <c r="T1879" s="81">
        <f>HLOOKUP(M1879,データについて!$J$7:$M$18,12,FALSE)</f>
        <v>1</v>
      </c>
      <c r="U1879" s="81">
        <f>HLOOKUP(N1879,データについて!$J$8:$M$18,11,FALSE)</f>
        <v>1</v>
      </c>
      <c r="V1879" s="81">
        <f>HLOOKUP(O1879,データについて!$J$9:$M$18,10,FALSE)</f>
        <v>1</v>
      </c>
      <c r="W1879" s="81">
        <f>HLOOKUP(P1879,データについて!$J$10:$M$18,9,FALSE)</f>
        <v>1</v>
      </c>
      <c r="X1879" s="81">
        <f>HLOOKUP(Q1879,データについて!$J$11:$M$18,8,FALSE)</f>
        <v>1</v>
      </c>
      <c r="Y1879" s="81">
        <f>HLOOKUP(R1879,データについて!$J$12:$M$18,7,FALSE)</f>
        <v>3</v>
      </c>
      <c r="Z1879" s="81">
        <f>HLOOKUP(I1879,データについて!$J$3:$M$18,16,FALSE)</f>
        <v>1</v>
      </c>
      <c r="AA1879" s="81">
        <f>IFERROR(HLOOKUP(J1879,データについて!$J$4:$AH$19,16,FALSE),"")</f>
        <v>9</v>
      </c>
      <c r="AB1879" s="81" t="str">
        <f>IFERROR(HLOOKUP(K1879,データについて!$J$5:$AH$20,14,FALSE),"")</f>
        <v/>
      </c>
      <c r="AC1879" s="81">
        <f>IF(X1879=1,HLOOKUP(R1879,データについて!$J$12:$M$18,7,FALSE),"*")</f>
        <v>3</v>
      </c>
      <c r="AD1879" s="81" t="str">
        <f>IF(X1879=2,HLOOKUP(R1879,データについて!$J$12:$M$18,7,FALSE),"*")</f>
        <v>*</v>
      </c>
    </row>
    <row r="1880" spans="1:30">
      <c r="A1880" s="30">
        <v>3312</v>
      </c>
      <c r="B1880" s="30" t="s">
        <v>1820</v>
      </c>
      <c r="C1880" s="30" t="s">
        <v>1821</v>
      </c>
      <c r="D1880" s="30" t="s">
        <v>106</v>
      </c>
      <c r="E1880" s="30"/>
      <c r="F1880" s="30" t="s">
        <v>107</v>
      </c>
      <c r="G1880" s="30" t="s">
        <v>106</v>
      </c>
      <c r="H1880" s="30"/>
      <c r="I1880" s="30" t="s">
        <v>192</v>
      </c>
      <c r="J1880" s="30" t="s">
        <v>635</v>
      </c>
      <c r="K1880" s="30"/>
      <c r="L1880" s="30" t="s">
        <v>108</v>
      </c>
      <c r="M1880" s="30" t="s">
        <v>109</v>
      </c>
      <c r="N1880" s="30" t="s">
        <v>114</v>
      </c>
      <c r="O1880" s="30" t="s">
        <v>115</v>
      </c>
      <c r="P1880" s="30" t="s">
        <v>112</v>
      </c>
      <c r="Q1880" s="30" t="s">
        <v>112</v>
      </c>
      <c r="R1880" s="30" t="s">
        <v>185</v>
      </c>
      <c r="S1880" s="81">
        <f>HLOOKUP(L1880,データについて!$J$6:$M$18,13,FALSE)</f>
        <v>1</v>
      </c>
      <c r="T1880" s="81">
        <f>HLOOKUP(M1880,データについて!$J$7:$M$18,12,FALSE)</f>
        <v>2</v>
      </c>
      <c r="U1880" s="81">
        <f>HLOOKUP(N1880,データについて!$J$8:$M$18,11,FALSE)</f>
        <v>1</v>
      </c>
      <c r="V1880" s="81">
        <f>HLOOKUP(O1880,データについて!$J$9:$M$18,10,FALSE)</f>
        <v>1</v>
      </c>
      <c r="W1880" s="81">
        <f>HLOOKUP(P1880,データについて!$J$10:$M$18,9,FALSE)</f>
        <v>1</v>
      </c>
      <c r="X1880" s="81">
        <f>HLOOKUP(Q1880,データについて!$J$11:$M$18,8,FALSE)</f>
        <v>1</v>
      </c>
      <c r="Y1880" s="81">
        <f>HLOOKUP(R1880,データについて!$J$12:$M$18,7,FALSE)</f>
        <v>2</v>
      </c>
      <c r="Z1880" s="81">
        <f>HLOOKUP(I1880,データについて!$J$3:$M$18,16,FALSE)</f>
        <v>1</v>
      </c>
      <c r="AA1880" s="81">
        <f>IFERROR(HLOOKUP(J1880,データについて!$J$4:$AH$19,16,FALSE),"")</f>
        <v>9</v>
      </c>
      <c r="AB1880" s="81" t="str">
        <f>IFERROR(HLOOKUP(K1880,データについて!$J$5:$AH$20,14,FALSE),"")</f>
        <v/>
      </c>
      <c r="AC1880" s="81">
        <f>IF(X1880=1,HLOOKUP(R1880,データについて!$J$12:$M$18,7,FALSE),"*")</f>
        <v>2</v>
      </c>
      <c r="AD1880" s="81" t="str">
        <f>IF(X1880=2,HLOOKUP(R1880,データについて!$J$12:$M$18,7,FALSE),"*")</f>
        <v>*</v>
      </c>
    </row>
    <row r="1881" spans="1:30">
      <c r="A1881" s="30">
        <v>3311</v>
      </c>
      <c r="B1881" s="30" t="s">
        <v>1822</v>
      </c>
      <c r="C1881" s="30" t="s">
        <v>1823</v>
      </c>
      <c r="D1881" s="30" t="s">
        <v>106</v>
      </c>
      <c r="E1881" s="30"/>
      <c r="F1881" s="30" t="s">
        <v>107</v>
      </c>
      <c r="G1881" s="30" t="s">
        <v>106</v>
      </c>
      <c r="H1881" s="30"/>
      <c r="I1881" s="30" t="s">
        <v>192</v>
      </c>
      <c r="J1881" s="30" t="s">
        <v>635</v>
      </c>
      <c r="K1881" s="30"/>
      <c r="L1881" s="30" t="s">
        <v>117</v>
      </c>
      <c r="M1881" s="30" t="s">
        <v>109</v>
      </c>
      <c r="N1881" s="30" t="s">
        <v>114</v>
      </c>
      <c r="O1881" s="30" t="s">
        <v>115</v>
      </c>
      <c r="P1881" s="30" t="s">
        <v>112</v>
      </c>
      <c r="Q1881" s="30" t="s">
        <v>112</v>
      </c>
      <c r="R1881" s="30" t="s">
        <v>185</v>
      </c>
      <c r="S1881" s="81">
        <f>HLOOKUP(L1881,データについて!$J$6:$M$18,13,FALSE)</f>
        <v>2</v>
      </c>
      <c r="T1881" s="81">
        <f>HLOOKUP(M1881,データについて!$J$7:$M$18,12,FALSE)</f>
        <v>2</v>
      </c>
      <c r="U1881" s="81">
        <f>HLOOKUP(N1881,データについて!$J$8:$M$18,11,FALSE)</f>
        <v>1</v>
      </c>
      <c r="V1881" s="81">
        <f>HLOOKUP(O1881,データについて!$J$9:$M$18,10,FALSE)</f>
        <v>1</v>
      </c>
      <c r="W1881" s="81">
        <f>HLOOKUP(P1881,データについて!$J$10:$M$18,9,FALSE)</f>
        <v>1</v>
      </c>
      <c r="X1881" s="81">
        <f>HLOOKUP(Q1881,データについて!$J$11:$M$18,8,FALSE)</f>
        <v>1</v>
      </c>
      <c r="Y1881" s="81">
        <f>HLOOKUP(R1881,データについて!$J$12:$M$18,7,FALSE)</f>
        <v>2</v>
      </c>
      <c r="Z1881" s="81">
        <f>HLOOKUP(I1881,データについて!$J$3:$M$18,16,FALSE)</f>
        <v>1</v>
      </c>
      <c r="AA1881" s="81">
        <f>IFERROR(HLOOKUP(J1881,データについて!$J$4:$AH$19,16,FALSE),"")</f>
        <v>9</v>
      </c>
      <c r="AB1881" s="81" t="str">
        <f>IFERROR(HLOOKUP(K1881,データについて!$J$5:$AH$20,14,FALSE),"")</f>
        <v/>
      </c>
      <c r="AC1881" s="81">
        <f>IF(X1881=1,HLOOKUP(R1881,データについて!$J$12:$M$18,7,FALSE),"*")</f>
        <v>2</v>
      </c>
      <c r="AD1881" s="81" t="str">
        <f>IF(X1881=2,HLOOKUP(R1881,データについて!$J$12:$M$18,7,FALSE),"*")</f>
        <v>*</v>
      </c>
    </row>
    <row r="1882" spans="1:30">
      <c r="A1882" s="30">
        <v>3310</v>
      </c>
      <c r="B1882" s="30" t="s">
        <v>1824</v>
      </c>
      <c r="C1882" s="30" t="s">
        <v>1825</v>
      </c>
      <c r="D1882" s="30" t="s">
        <v>106</v>
      </c>
      <c r="E1882" s="30"/>
      <c r="F1882" s="30" t="s">
        <v>107</v>
      </c>
      <c r="G1882" s="30" t="s">
        <v>106</v>
      </c>
      <c r="H1882" s="30"/>
      <c r="I1882" s="30" t="s">
        <v>192</v>
      </c>
      <c r="J1882" s="30" t="s">
        <v>125</v>
      </c>
      <c r="K1882" s="30"/>
      <c r="L1882" s="30" t="s">
        <v>108</v>
      </c>
      <c r="M1882" s="30" t="s">
        <v>113</v>
      </c>
      <c r="N1882" s="30" t="s">
        <v>114</v>
      </c>
      <c r="O1882" s="30" t="s">
        <v>115</v>
      </c>
      <c r="P1882" s="30" t="s">
        <v>112</v>
      </c>
      <c r="Q1882" s="30" t="s">
        <v>112</v>
      </c>
      <c r="R1882" s="30" t="s">
        <v>183</v>
      </c>
      <c r="S1882" s="81">
        <f>HLOOKUP(L1882,データについて!$J$6:$M$18,13,FALSE)</f>
        <v>1</v>
      </c>
      <c r="T1882" s="81">
        <f>HLOOKUP(M1882,データについて!$J$7:$M$18,12,FALSE)</f>
        <v>1</v>
      </c>
      <c r="U1882" s="81">
        <f>HLOOKUP(N1882,データについて!$J$8:$M$18,11,FALSE)</f>
        <v>1</v>
      </c>
      <c r="V1882" s="81">
        <f>HLOOKUP(O1882,データについて!$J$9:$M$18,10,FALSE)</f>
        <v>1</v>
      </c>
      <c r="W1882" s="81">
        <f>HLOOKUP(P1882,データについて!$J$10:$M$18,9,FALSE)</f>
        <v>1</v>
      </c>
      <c r="X1882" s="81">
        <f>HLOOKUP(Q1882,データについて!$J$11:$M$18,8,FALSE)</f>
        <v>1</v>
      </c>
      <c r="Y1882" s="81">
        <f>HLOOKUP(R1882,データについて!$J$12:$M$18,7,FALSE)</f>
        <v>1</v>
      </c>
      <c r="Z1882" s="81">
        <f>HLOOKUP(I1882,データについて!$J$3:$M$18,16,FALSE)</f>
        <v>1</v>
      </c>
      <c r="AA1882" s="81">
        <f>IFERROR(HLOOKUP(J1882,データについて!$J$4:$AH$19,16,FALSE),"")</f>
        <v>6</v>
      </c>
      <c r="AB1882" s="81" t="str">
        <f>IFERROR(HLOOKUP(K1882,データについて!$J$5:$AH$20,14,FALSE),"")</f>
        <v/>
      </c>
      <c r="AC1882" s="81">
        <f>IF(X1882=1,HLOOKUP(R1882,データについて!$J$12:$M$18,7,FALSE),"*")</f>
        <v>1</v>
      </c>
      <c r="AD1882" s="81" t="str">
        <f>IF(X1882=2,HLOOKUP(R1882,データについて!$J$12:$M$18,7,FALSE),"*")</f>
        <v>*</v>
      </c>
    </row>
    <row r="1883" spans="1:30">
      <c r="A1883" s="30">
        <v>3309</v>
      </c>
      <c r="B1883" s="30" t="s">
        <v>1826</v>
      </c>
      <c r="C1883" s="30" t="s">
        <v>1827</v>
      </c>
      <c r="D1883" s="30" t="s">
        <v>106</v>
      </c>
      <c r="E1883" s="30"/>
      <c r="F1883" s="30" t="s">
        <v>107</v>
      </c>
      <c r="G1883" s="30" t="s">
        <v>106</v>
      </c>
      <c r="H1883" s="30"/>
      <c r="I1883" s="30" t="s">
        <v>192</v>
      </c>
      <c r="J1883" s="30" t="s">
        <v>635</v>
      </c>
      <c r="K1883" s="30"/>
      <c r="L1883" s="30" t="s">
        <v>108</v>
      </c>
      <c r="M1883" s="30" t="s">
        <v>113</v>
      </c>
      <c r="N1883" s="30" t="s">
        <v>114</v>
      </c>
      <c r="O1883" s="30" t="s">
        <v>115</v>
      </c>
      <c r="P1883" s="30" t="s">
        <v>112</v>
      </c>
      <c r="Q1883" s="30" t="s">
        <v>118</v>
      </c>
      <c r="R1883" s="30" t="s">
        <v>183</v>
      </c>
      <c r="S1883" s="81">
        <f>HLOOKUP(L1883,データについて!$J$6:$M$18,13,FALSE)</f>
        <v>1</v>
      </c>
      <c r="T1883" s="81">
        <f>HLOOKUP(M1883,データについて!$J$7:$M$18,12,FALSE)</f>
        <v>1</v>
      </c>
      <c r="U1883" s="81">
        <f>HLOOKUP(N1883,データについて!$J$8:$M$18,11,FALSE)</f>
        <v>1</v>
      </c>
      <c r="V1883" s="81">
        <f>HLOOKUP(O1883,データについて!$J$9:$M$18,10,FALSE)</f>
        <v>1</v>
      </c>
      <c r="W1883" s="81">
        <f>HLOOKUP(P1883,データについて!$J$10:$M$18,9,FALSE)</f>
        <v>1</v>
      </c>
      <c r="X1883" s="81">
        <f>HLOOKUP(Q1883,データについて!$J$11:$M$18,8,FALSE)</f>
        <v>2</v>
      </c>
      <c r="Y1883" s="81">
        <f>HLOOKUP(R1883,データについて!$J$12:$M$18,7,FALSE)</f>
        <v>1</v>
      </c>
      <c r="Z1883" s="81">
        <f>HLOOKUP(I1883,データについて!$J$3:$M$18,16,FALSE)</f>
        <v>1</v>
      </c>
      <c r="AA1883" s="81">
        <f>IFERROR(HLOOKUP(J1883,データについて!$J$4:$AH$19,16,FALSE),"")</f>
        <v>9</v>
      </c>
      <c r="AB1883" s="81" t="str">
        <f>IFERROR(HLOOKUP(K1883,データについて!$J$5:$AH$20,14,FALSE),"")</f>
        <v/>
      </c>
      <c r="AC1883" s="81" t="str">
        <f>IF(X1883=1,HLOOKUP(R1883,データについて!$J$12:$M$18,7,FALSE),"*")</f>
        <v>*</v>
      </c>
      <c r="AD1883" s="81">
        <f>IF(X1883=2,HLOOKUP(R1883,データについて!$J$12:$M$18,7,FALSE),"*")</f>
        <v>1</v>
      </c>
    </row>
    <row r="1884" spans="1:30">
      <c r="A1884" s="30">
        <v>3308</v>
      </c>
      <c r="B1884" s="30" t="s">
        <v>1828</v>
      </c>
      <c r="C1884" s="30" t="s">
        <v>1829</v>
      </c>
      <c r="D1884" s="30" t="s">
        <v>106</v>
      </c>
      <c r="E1884" s="30"/>
      <c r="F1884" s="30" t="s">
        <v>107</v>
      </c>
      <c r="G1884" s="30" t="s">
        <v>106</v>
      </c>
      <c r="H1884" s="30"/>
      <c r="I1884" s="30" t="s">
        <v>192</v>
      </c>
      <c r="J1884" s="30" t="s">
        <v>635</v>
      </c>
      <c r="K1884" s="30"/>
      <c r="L1884" s="30" t="s">
        <v>108</v>
      </c>
      <c r="M1884" s="30" t="s">
        <v>109</v>
      </c>
      <c r="N1884" s="30" t="s">
        <v>114</v>
      </c>
      <c r="O1884" s="30" t="s">
        <v>116</v>
      </c>
      <c r="P1884" s="30" t="s">
        <v>112</v>
      </c>
      <c r="Q1884" s="30" t="s">
        <v>112</v>
      </c>
      <c r="R1884" s="30" t="s">
        <v>185</v>
      </c>
      <c r="S1884" s="81">
        <f>HLOOKUP(L1884,データについて!$J$6:$M$18,13,FALSE)</f>
        <v>1</v>
      </c>
      <c r="T1884" s="81">
        <f>HLOOKUP(M1884,データについて!$J$7:$M$18,12,FALSE)</f>
        <v>2</v>
      </c>
      <c r="U1884" s="81">
        <f>HLOOKUP(N1884,データについて!$J$8:$M$18,11,FALSE)</f>
        <v>1</v>
      </c>
      <c r="V1884" s="81">
        <f>HLOOKUP(O1884,データについて!$J$9:$M$18,10,FALSE)</f>
        <v>2</v>
      </c>
      <c r="W1884" s="81">
        <f>HLOOKUP(P1884,データについて!$J$10:$M$18,9,FALSE)</f>
        <v>1</v>
      </c>
      <c r="X1884" s="81">
        <f>HLOOKUP(Q1884,データについて!$J$11:$M$18,8,FALSE)</f>
        <v>1</v>
      </c>
      <c r="Y1884" s="81">
        <f>HLOOKUP(R1884,データについて!$J$12:$M$18,7,FALSE)</f>
        <v>2</v>
      </c>
      <c r="Z1884" s="81">
        <f>HLOOKUP(I1884,データについて!$J$3:$M$18,16,FALSE)</f>
        <v>1</v>
      </c>
      <c r="AA1884" s="81">
        <f>IFERROR(HLOOKUP(J1884,データについて!$J$4:$AH$19,16,FALSE),"")</f>
        <v>9</v>
      </c>
      <c r="AB1884" s="81" t="str">
        <f>IFERROR(HLOOKUP(K1884,データについて!$J$5:$AH$20,14,FALSE),"")</f>
        <v/>
      </c>
      <c r="AC1884" s="81">
        <f>IF(X1884=1,HLOOKUP(R1884,データについて!$J$12:$M$18,7,FALSE),"*")</f>
        <v>2</v>
      </c>
      <c r="AD1884" s="81" t="str">
        <f>IF(X1884=2,HLOOKUP(R1884,データについて!$J$12:$M$18,7,FALSE),"*")</f>
        <v>*</v>
      </c>
    </row>
    <row r="1885" spans="1:30">
      <c r="A1885" s="30">
        <v>3307</v>
      </c>
      <c r="B1885" s="30" t="s">
        <v>1830</v>
      </c>
      <c r="C1885" s="30" t="s">
        <v>1831</v>
      </c>
      <c r="D1885" s="30" t="s">
        <v>106</v>
      </c>
      <c r="E1885" s="30"/>
      <c r="F1885" s="30" t="s">
        <v>107</v>
      </c>
      <c r="G1885" s="30" t="s">
        <v>106</v>
      </c>
      <c r="H1885" s="30"/>
      <c r="I1885" s="30" t="s">
        <v>192</v>
      </c>
      <c r="J1885" s="30" t="s">
        <v>635</v>
      </c>
      <c r="K1885" s="30"/>
      <c r="L1885" s="30" t="s">
        <v>117</v>
      </c>
      <c r="M1885" s="30" t="s">
        <v>109</v>
      </c>
      <c r="N1885" s="30" t="s">
        <v>110</v>
      </c>
      <c r="O1885" s="30" t="s">
        <v>115</v>
      </c>
      <c r="P1885" s="30" t="s">
        <v>112</v>
      </c>
      <c r="Q1885" s="30" t="s">
        <v>112</v>
      </c>
      <c r="R1885" s="30" t="s">
        <v>185</v>
      </c>
      <c r="S1885" s="81">
        <f>HLOOKUP(L1885,データについて!$J$6:$M$18,13,FALSE)</f>
        <v>2</v>
      </c>
      <c r="T1885" s="81">
        <f>HLOOKUP(M1885,データについて!$J$7:$M$18,12,FALSE)</f>
        <v>2</v>
      </c>
      <c r="U1885" s="81">
        <f>HLOOKUP(N1885,データについて!$J$8:$M$18,11,FALSE)</f>
        <v>2</v>
      </c>
      <c r="V1885" s="81">
        <f>HLOOKUP(O1885,データについて!$J$9:$M$18,10,FALSE)</f>
        <v>1</v>
      </c>
      <c r="W1885" s="81">
        <f>HLOOKUP(P1885,データについて!$J$10:$M$18,9,FALSE)</f>
        <v>1</v>
      </c>
      <c r="X1885" s="81">
        <f>HLOOKUP(Q1885,データについて!$J$11:$M$18,8,FALSE)</f>
        <v>1</v>
      </c>
      <c r="Y1885" s="81">
        <f>HLOOKUP(R1885,データについて!$J$12:$M$18,7,FALSE)</f>
        <v>2</v>
      </c>
      <c r="Z1885" s="81">
        <f>HLOOKUP(I1885,データについて!$J$3:$M$18,16,FALSE)</f>
        <v>1</v>
      </c>
      <c r="AA1885" s="81">
        <f>IFERROR(HLOOKUP(J1885,データについて!$J$4:$AH$19,16,FALSE),"")</f>
        <v>9</v>
      </c>
      <c r="AB1885" s="81" t="str">
        <f>IFERROR(HLOOKUP(K1885,データについて!$J$5:$AH$20,14,FALSE),"")</f>
        <v/>
      </c>
      <c r="AC1885" s="81">
        <f>IF(X1885=1,HLOOKUP(R1885,データについて!$J$12:$M$18,7,FALSE),"*")</f>
        <v>2</v>
      </c>
      <c r="AD1885" s="81" t="str">
        <f>IF(X1885=2,HLOOKUP(R1885,データについて!$J$12:$M$18,7,FALSE),"*")</f>
        <v>*</v>
      </c>
    </row>
    <row r="1886" spans="1:30">
      <c r="A1886" s="30">
        <v>3306</v>
      </c>
      <c r="B1886" s="30" t="s">
        <v>1832</v>
      </c>
      <c r="C1886" s="30" t="s">
        <v>1833</v>
      </c>
      <c r="D1886" s="30" t="s">
        <v>106</v>
      </c>
      <c r="E1886" s="30"/>
      <c r="F1886" s="30" t="s">
        <v>107</v>
      </c>
      <c r="G1886" s="30" t="s">
        <v>106</v>
      </c>
      <c r="H1886" s="30"/>
      <c r="I1886" s="30" t="s">
        <v>192</v>
      </c>
      <c r="J1886" s="30" t="s">
        <v>635</v>
      </c>
      <c r="K1886" s="30"/>
      <c r="L1886" s="30" t="s">
        <v>108</v>
      </c>
      <c r="M1886" s="30" t="s">
        <v>113</v>
      </c>
      <c r="N1886" s="30" t="s">
        <v>110</v>
      </c>
      <c r="O1886" s="30" t="s">
        <v>115</v>
      </c>
      <c r="P1886" s="30" t="s">
        <v>112</v>
      </c>
      <c r="Q1886" s="30" t="s">
        <v>112</v>
      </c>
      <c r="R1886" s="30" t="s">
        <v>185</v>
      </c>
      <c r="S1886" s="81">
        <f>HLOOKUP(L1886,データについて!$J$6:$M$18,13,FALSE)</f>
        <v>1</v>
      </c>
      <c r="T1886" s="81">
        <f>HLOOKUP(M1886,データについて!$J$7:$M$18,12,FALSE)</f>
        <v>1</v>
      </c>
      <c r="U1886" s="81">
        <f>HLOOKUP(N1886,データについて!$J$8:$M$18,11,FALSE)</f>
        <v>2</v>
      </c>
      <c r="V1886" s="81">
        <f>HLOOKUP(O1886,データについて!$J$9:$M$18,10,FALSE)</f>
        <v>1</v>
      </c>
      <c r="W1886" s="81">
        <f>HLOOKUP(P1886,データについて!$J$10:$M$18,9,FALSE)</f>
        <v>1</v>
      </c>
      <c r="X1886" s="81">
        <f>HLOOKUP(Q1886,データについて!$J$11:$M$18,8,FALSE)</f>
        <v>1</v>
      </c>
      <c r="Y1886" s="81">
        <f>HLOOKUP(R1886,データについて!$J$12:$M$18,7,FALSE)</f>
        <v>2</v>
      </c>
      <c r="Z1886" s="81">
        <f>HLOOKUP(I1886,データについて!$J$3:$M$18,16,FALSE)</f>
        <v>1</v>
      </c>
      <c r="AA1886" s="81">
        <f>IFERROR(HLOOKUP(J1886,データについて!$J$4:$AH$19,16,FALSE),"")</f>
        <v>9</v>
      </c>
      <c r="AB1886" s="81" t="str">
        <f>IFERROR(HLOOKUP(K1886,データについて!$J$5:$AH$20,14,FALSE),"")</f>
        <v/>
      </c>
      <c r="AC1886" s="81">
        <f>IF(X1886=1,HLOOKUP(R1886,データについて!$J$12:$M$18,7,FALSE),"*")</f>
        <v>2</v>
      </c>
      <c r="AD1886" s="81" t="str">
        <f>IF(X1886=2,HLOOKUP(R1886,データについて!$J$12:$M$18,7,FALSE),"*")</f>
        <v>*</v>
      </c>
    </row>
    <row r="1887" spans="1:30">
      <c r="A1887" s="30">
        <v>3305</v>
      </c>
      <c r="B1887" s="30" t="s">
        <v>1834</v>
      </c>
      <c r="C1887" s="30" t="s">
        <v>1835</v>
      </c>
      <c r="D1887" s="30" t="s">
        <v>106</v>
      </c>
      <c r="E1887" s="30"/>
      <c r="F1887" s="30" t="s">
        <v>107</v>
      </c>
      <c r="G1887" s="30" t="s">
        <v>106</v>
      </c>
      <c r="H1887" s="30"/>
      <c r="I1887" s="30" t="s">
        <v>192</v>
      </c>
      <c r="J1887" s="30" t="s">
        <v>635</v>
      </c>
      <c r="K1887" s="30"/>
      <c r="L1887" s="30" t="s">
        <v>117</v>
      </c>
      <c r="M1887" s="30" t="s">
        <v>113</v>
      </c>
      <c r="N1887" s="30" t="s">
        <v>110</v>
      </c>
      <c r="O1887" s="30" t="s">
        <v>115</v>
      </c>
      <c r="P1887" s="30" t="s">
        <v>112</v>
      </c>
      <c r="Q1887" s="30" t="s">
        <v>112</v>
      </c>
      <c r="R1887" s="30" t="s">
        <v>185</v>
      </c>
      <c r="S1887" s="81">
        <f>HLOOKUP(L1887,データについて!$J$6:$M$18,13,FALSE)</f>
        <v>2</v>
      </c>
      <c r="T1887" s="81">
        <f>HLOOKUP(M1887,データについて!$J$7:$M$18,12,FALSE)</f>
        <v>1</v>
      </c>
      <c r="U1887" s="81">
        <f>HLOOKUP(N1887,データについて!$J$8:$M$18,11,FALSE)</f>
        <v>2</v>
      </c>
      <c r="V1887" s="81">
        <f>HLOOKUP(O1887,データについて!$J$9:$M$18,10,FALSE)</f>
        <v>1</v>
      </c>
      <c r="W1887" s="81">
        <f>HLOOKUP(P1887,データについて!$J$10:$M$18,9,FALSE)</f>
        <v>1</v>
      </c>
      <c r="X1887" s="81">
        <f>HLOOKUP(Q1887,データについて!$J$11:$M$18,8,FALSE)</f>
        <v>1</v>
      </c>
      <c r="Y1887" s="81">
        <f>HLOOKUP(R1887,データについて!$J$12:$M$18,7,FALSE)</f>
        <v>2</v>
      </c>
      <c r="Z1887" s="81">
        <f>HLOOKUP(I1887,データについて!$J$3:$M$18,16,FALSE)</f>
        <v>1</v>
      </c>
      <c r="AA1887" s="81">
        <f>IFERROR(HLOOKUP(J1887,データについて!$J$4:$AH$19,16,FALSE),"")</f>
        <v>9</v>
      </c>
      <c r="AB1887" s="81" t="str">
        <f>IFERROR(HLOOKUP(K1887,データについて!$J$5:$AH$20,14,FALSE),"")</f>
        <v/>
      </c>
      <c r="AC1887" s="81">
        <f>IF(X1887=1,HLOOKUP(R1887,データについて!$J$12:$M$18,7,FALSE),"*")</f>
        <v>2</v>
      </c>
      <c r="AD1887" s="81" t="str">
        <f>IF(X1887=2,HLOOKUP(R1887,データについて!$J$12:$M$18,7,FALSE),"*")</f>
        <v>*</v>
      </c>
    </row>
    <row r="1888" spans="1:30">
      <c r="A1888" s="30">
        <v>3304</v>
      </c>
      <c r="B1888" s="30" t="s">
        <v>1836</v>
      </c>
      <c r="C1888" s="30" t="s">
        <v>1835</v>
      </c>
      <c r="D1888" s="30" t="s">
        <v>106</v>
      </c>
      <c r="E1888" s="30"/>
      <c r="F1888" s="30" t="s">
        <v>107</v>
      </c>
      <c r="G1888" s="30" t="s">
        <v>106</v>
      </c>
      <c r="H1888" s="30"/>
      <c r="I1888" s="30" t="s">
        <v>192</v>
      </c>
      <c r="J1888" s="30" t="s">
        <v>635</v>
      </c>
      <c r="K1888" s="30"/>
      <c r="L1888" s="30" t="s">
        <v>117</v>
      </c>
      <c r="M1888" s="30" t="s">
        <v>109</v>
      </c>
      <c r="N1888" s="30" t="s">
        <v>114</v>
      </c>
      <c r="O1888" s="30" t="s">
        <v>116</v>
      </c>
      <c r="P1888" s="30" t="s">
        <v>112</v>
      </c>
      <c r="Q1888" s="30" t="s">
        <v>112</v>
      </c>
      <c r="R1888" s="30" t="s">
        <v>189</v>
      </c>
      <c r="S1888" s="81">
        <f>HLOOKUP(L1888,データについて!$J$6:$M$18,13,FALSE)</f>
        <v>2</v>
      </c>
      <c r="T1888" s="81">
        <f>HLOOKUP(M1888,データについて!$J$7:$M$18,12,FALSE)</f>
        <v>2</v>
      </c>
      <c r="U1888" s="81">
        <f>HLOOKUP(N1888,データについて!$J$8:$M$18,11,FALSE)</f>
        <v>1</v>
      </c>
      <c r="V1888" s="81">
        <f>HLOOKUP(O1888,データについて!$J$9:$M$18,10,FALSE)</f>
        <v>2</v>
      </c>
      <c r="W1888" s="81">
        <f>HLOOKUP(P1888,データについて!$J$10:$M$18,9,FALSE)</f>
        <v>1</v>
      </c>
      <c r="X1888" s="81">
        <f>HLOOKUP(Q1888,データについて!$J$11:$M$18,8,FALSE)</f>
        <v>1</v>
      </c>
      <c r="Y1888" s="81">
        <f>HLOOKUP(R1888,データについて!$J$12:$M$18,7,FALSE)</f>
        <v>4</v>
      </c>
      <c r="Z1888" s="81">
        <f>HLOOKUP(I1888,データについて!$J$3:$M$18,16,FALSE)</f>
        <v>1</v>
      </c>
      <c r="AA1888" s="81">
        <f>IFERROR(HLOOKUP(J1888,データについて!$J$4:$AH$19,16,FALSE),"")</f>
        <v>9</v>
      </c>
      <c r="AB1888" s="81" t="str">
        <f>IFERROR(HLOOKUP(K1888,データについて!$J$5:$AH$20,14,FALSE),"")</f>
        <v/>
      </c>
      <c r="AC1888" s="81">
        <f>IF(X1888=1,HLOOKUP(R1888,データについて!$J$12:$M$18,7,FALSE),"*")</f>
        <v>4</v>
      </c>
      <c r="AD1888" s="81" t="str">
        <f>IF(X1888=2,HLOOKUP(R1888,データについて!$J$12:$M$18,7,FALSE),"*")</f>
        <v>*</v>
      </c>
    </row>
    <row r="1889" spans="1:30">
      <c r="A1889" s="30">
        <v>3303</v>
      </c>
      <c r="B1889" s="30" t="s">
        <v>1837</v>
      </c>
      <c r="C1889" s="30" t="s">
        <v>1838</v>
      </c>
      <c r="D1889" s="30" t="s">
        <v>106</v>
      </c>
      <c r="E1889" s="30"/>
      <c r="F1889" s="30" t="s">
        <v>107</v>
      </c>
      <c r="G1889" s="30" t="s">
        <v>106</v>
      </c>
      <c r="H1889" s="30"/>
      <c r="I1889" s="30" t="s">
        <v>192</v>
      </c>
      <c r="J1889" s="30" t="s">
        <v>635</v>
      </c>
      <c r="K1889" s="30"/>
      <c r="L1889" s="30" t="s">
        <v>117</v>
      </c>
      <c r="M1889" s="30" t="s">
        <v>109</v>
      </c>
      <c r="N1889" s="30" t="s">
        <v>110</v>
      </c>
      <c r="O1889" s="30" t="s">
        <v>115</v>
      </c>
      <c r="P1889" s="30" t="s">
        <v>112</v>
      </c>
      <c r="Q1889" s="30" t="s">
        <v>112</v>
      </c>
      <c r="R1889" s="30" t="s">
        <v>187</v>
      </c>
      <c r="S1889" s="81">
        <f>HLOOKUP(L1889,データについて!$J$6:$M$18,13,FALSE)</f>
        <v>2</v>
      </c>
      <c r="T1889" s="81">
        <f>HLOOKUP(M1889,データについて!$J$7:$M$18,12,FALSE)</f>
        <v>2</v>
      </c>
      <c r="U1889" s="81">
        <f>HLOOKUP(N1889,データについて!$J$8:$M$18,11,FALSE)</f>
        <v>2</v>
      </c>
      <c r="V1889" s="81">
        <f>HLOOKUP(O1889,データについて!$J$9:$M$18,10,FALSE)</f>
        <v>1</v>
      </c>
      <c r="W1889" s="81">
        <f>HLOOKUP(P1889,データについて!$J$10:$M$18,9,FALSE)</f>
        <v>1</v>
      </c>
      <c r="X1889" s="81">
        <f>HLOOKUP(Q1889,データについて!$J$11:$M$18,8,FALSE)</f>
        <v>1</v>
      </c>
      <c r="Y1889" s="81">
        <f>HLOOKUP(R1889,データについて!$J$12:$M$18,7,FALSE)</f>
        <v>3</v>
      </c>
      <c r="Z1889" s="81">
        <f>HLOOKUP(I1889,データについて!$J$3:$M$18,16,FALSE)</f>
        <v>1</v>
      </c>
      <c r="AA1889" s="81">
        <f>IFERROR(HLOOKUP(J1889,データについて!$J$4:$AH$19,16,FALSE),"")</f>
        <v>9</v>
      </c>
      <c r="AB1889" s="81" t="str">
        <f>IFERROR(HLOOKUP(K1889,データについて!$J$5:$AH$20,14,FALSE),"")</f>
        <v/>
      </c>
      <c r="AC1889" s="81">
        <f>IF(X1889=1,HLOOKUP(R1889,データについて!$J$12:$M$18,7,FALSE),"*")</f>
        <v>3</v>
      </c>
      <c r="AD1889" s="81" t="str">
        <f>IF(X1889=2,HLOOKUP(R1889,データについて!$J$12:$M$18,7,FALSE),"*")</f>
        <v>*</v>
      </c>
    </row>
    <row r="1890" spans="1:30">
      <c r="A1890" s="30">
        <v>3302</v>
      </c>
      <c r="B1890" s="30" t="s">
        <v>1839</v>
      </c>
      <c r="C1890" s="30" t="s">
        <v>1838</v>
      </c>
      <c r="D1890" s="30" t="s">
        <v>106</v>
      </c>
      <c r="E1890" s="30"/>
      <c r="F1890" s="30" t="s">
        <v>107</v>
      </c>
      <c r="G1890" s="30" t="s">
        <v>106</v>
      </c>
      <c r="H1890" s="30"/>
      <c r="I1890" s="30" t="s">
        <v>192</v>
      </c>
      <c r="J1890" s="30" t="s">
        <v>635</v>
      </c>
      <c r="K1890" s="30"/>
      <c r="L1890" s="30" t="s">
        <v>117</v>
      </c>
      <c r="M1890" s="30" t="s">
        <v>109</v>
      </c>
      <c r="N1890" s="30" t="s">
        <v>110</v>
      </c>
      <c r="O1890" s="30" t="s">
        <v>115</v>
      </c>
      <c r="P1890" s="30" t="s">
        <v>112</v>
      </c>
      <c r="Q1890" s="30" t="s">
        <v>112</v>
      </c>
      <c r="R1890" s="30" t="s">
        <v>183</v>
      </c>
      <c r="S1890" s="81">
        <f>HLOOKUP(L1890,データについて!$J$6:$M$18,13,FALSE)</f>
        <v>2</v>
      </c>
      <c r="T1890" s="81">
        <f>HLOOKUP(M1890,データについて!$J$7:$M$18,12,FALSE)</f>
        <v>2</v>
      </c>
      <c r="U1890" s="81">
        <f>HLOOKUP(N1890,データについて!$J$8:$M$18,11,FALSE)</f>
        <v>2</v>
      </c>
      <c r="V1890" s="81">
        <f>HLOOKUP(O1890,データについて!$J$9:$M$18,10,FALSE)</f>
        <v>1</v>
      </c>
      <c r="W1890" s="81">
        <f>HLOOKUP(P1890,データについて!$J$10:$M$18,9,FALSE)</f>
        <v>1</v>
      </c>
      <c r="X1890" s="81">
        <f>HLOOKUP(Q1890,データについて!$J$11:$M$18,8,FALSE)</f>
        <v>1</v>
      </c>
      <c r="Y1890" s="81">
        <f>HLOOKUP(R1890,データについて!$J$12:$M$18,7,FALSE)</f>
        <v>1</v>
      </c>
      <c r="Z1890" s="81">
        <f>HLOOKUP(I1890,データについて!$J$3:$M$18,16,FALSE)</f>
        <v>1</v>
      </c>
      <c r="AA1890" s="81">
        <f>IFERROR(HLOOKUP(J1890,データについて!$J$4:$AH$19,16,FALSE),"")</f>
        <v>9</v>
      </c>
      <c r="AB1890" s="81" t="str">
        <f>IFERROR(HLOOKUP(K1890,データについて!$J$5:$AH$20,14,FALSE),"")</f>
        <v/>
      </c>
      <c r="AC1890" s="81">
        <f>IF(X1890=1,HLOOKUP(R1890,データについて!$J$12:$M$18,7,FALSE),"*")</f>
        <v>1</v>
      </c>
      <c r="AD1890" s="81" t="str">
        <f>IF(X1890=2,HLOOKUP(R1890,データについて!$J$12:$M$18,7,FALSE),"*")</f>
        <v>*</v>
      </c>
    </row>
    <row r="1891" spans="1:30">
      <c r="A1891" s="30">
        <v>3301</v>
      </c>
      <c r="B1891" s="30" t="s">
        <v>1840</v>
      </c>
      <c r="C1891" s="30" t="s">
        <v>1841</v>
      </c>
      <c r="D1891" s="30" t="s">
        <v>106</v>
      </c>
      <c r="E1891" s="30"/>
      <c r="F1891" s="30" t="s">
        <v>107</v>
      </c>
      <c r="G1891" s="30" t="s">
        <v>106</v>
      </c>
      <c r="H1891" s="30"/>
      <c r="I1891" s="30" t="s">
        <v>192</v>
      </c>
      <c r="J1891" s="30" t="s">
        <v>635</v>
      </c>
      <c r="K1891" s="30"/>
      <c r="L1891" s="30" t="s">
        <v>117</v>
      </c>
      <c r="M1891" s="30" t="s">
        <v>113</v>
      </c>
      <c r="N1891" s="30" t="s">
        <v>114</v>
      </c>
      <c r="O1891" s="30" t="s">
        <v>115</v>
      </c>
      <c r="P1891" s="30" t="s">
        <v>112</v>
      </c>
      <c r="Q1891" s="30" t="s">
        <v>112</v>
      </c>
      <c r="R1891" s="30" t="s">
        <v>185</v>
      </c>
      <c r="S1891" s="81">
        <f>HLOOKUP(L1891,データについて!$J$6:$M$18,13,FALSE)</f>
        <v>2</v>
      </c>
      <c r="T1891" s="81">
        <f>HLOOKUP(M1891,データについて!$J$7:$M$18,12,FALSE)</f>
        <v>1</v>
      </c>
      <c r="U1891" s="81">
        <f>HLOOKUP(N1891,データについて!$J$8:$M$18,11,FALSE)</f>
        <v>1</v>
      </c>
      <c r="V1891" s="81">
        <f>HLOOKUP(O1891,データについて!$J$9:$M$18,10,FALSE)</f>
        <v>1</v>
      </c>
      <c r="W1891" s="81">
        <f>HLOOKUP(P1891,データについて!$J$10:$M$18,9,FALSE)</f>
        <v>1</v>
      </c>
      <c r="X1891" s="81">
        <f>HLOOKUP(Q1891,データについて!$J$11:$M$18,8,FALSE)</f>
        <v>1</v>
      </c>
      <c r="Y1891" s="81">
        <f>HLOOKUP(R1891,データについて!$J$12:$M$18,7,FALSE)</f>
        <v>2</v>
      </c>
      <c r="Z1891" s="81">
        <f>HLOOKUP(I1891,データについて!$J$3:$M$18,16,FALSE)</f>
        <v>1</v>
      </c>
      <c r="AA1891" s="81">
        <f>IFERROR(HLOOKUP(J1891,データについて!$J$4:$AH$19,16,FALSE),"")</f>
        <v>9</v>
      </c>
      <c r="AB1891" s="81" t="str">
        <f>IFERROR(HLOOKUP(K1891,データについて!$J$5:$AH$20,14,FALSE),"")</f>
        <v/>
      </c>
      <c r="AC1891" s="81">
        <f>IF(X1891=1,HLOOKUP(R1891,データについて!$J$12:$M$18,7,FALSE),"*")</f>
        <v>2</v>
      </c>
      <c r="AD1891" s="81" t="str">
        <f>IF(X1891=2,HLOOKUP(R1891,データについて!$J$12:$M$18,7,FALSE),"*")</f>
        <v>*</v>
      </c>
    </row>
    <row r="1892" spans="1:30">
      <c r="A1892" s="30">
        <v>3300</v>
      </c>
      <c r="B1892" s="30" t="s">
        <v>1842</v>
      </c>
      <c r="C1892" s="30" t="s">
        <v>1841</v>
      </c>
      <c r="D1892" s="30" t="s">
        <v>106</v>
      </c>
      <c r="E1892" s="30"/>
      <c r="F1892" s="30" t="s">
        <v>107</v>
      </c>
      <c r="G1892" s="30" t="s">
        <v>106</v>
      </c>
      <c r="H1892" s="30"/>
      <c r="I1892" s="30" t="s">
        <v>192</v>
      </c>
      <c r="J1892" s="30" t="s">
        <v>635</v>
      </c>
      <c r="K1892" s="30"/>
      <c r="L1892" s="30" t="s">
        <v>108</v>
      </c>
      <c r="M1892" s="30" t="s">
        <v>109</v>
      </c>
      <c r="N1892" s="30" t="s">
        <v>114</v>
      </c>
      <c r="O1892" s="30" t="s">
        <v>115</v>
      </c>
      <c r="P1892" s="30" t="s">
        <v>112</v>
      </c>
      <c r="Q1892" s="30" t="s">
        <v>112</v>
      </c>
      <c r="R1892" s="30" t="s">
        <v>183</v>
      </c>
      <c r="S1892" s="81">
        <f>HLOOKUP(L1892,データについて!$J$6:$M$18,13,FALSE)</f>
        <v>1</v>
      </c>
      <c r="T1892" s="81">
        <f>HLOOKUP(M1892,データについて!$J$7:$M$18,12,FALSE)</f>
        <v>2</v>
      </c>
      <c r="U1892" s="81">
        <f>HLOOKUP(N1892,データについて!$J$8:$M$18,11,FALSE)</f>
        <v>1</v>
      </c>
      <c r="V1892" s="81">
        <f>HLOOKUP(O1892,データについて!$J$9:$M$18,10,FALSE)</f>
        <v>1</v>
      </c>
      <c r="W1892" s="81">
        <f>HLOOKUP(P1892,データについて!$J$10:$M$18,9,FALSE)</f>
        <v>1</v>
      </c>
      <c r="X1892" s="81">
        <f>HLOOKUP(Q1892,データについて!$J$11:$M$18,8,FALSE)</f>
        <v>1</v>
      </c>
      <c r="Y1892" s="81">
        <f>HLOOKUP(R1892,データについて!$J$12:$M$18,7,FALSE)</f>
        <v>1</v>
      </c>
      <c r="Z1892" s="81">
        <f>HLOOKUP(I1892,データについて!$J$3:$M$18,16,FALSE)</f>
        <v>1</v>
      </c>
      <c r="AA1892" s="81">
        <f>IFERROR(HLOOKUP(J1892,データについて!$J$4:$AH$19,16,FALSE),"")</f>
        <v>9</v>
      </c>
      <c r="AB1892" s="81" t="str">
        <f>IFERROR(HLOOKUP(K1892,データについて!$J$5:$AH$20,14,FALSE),"")</f>
        <v/>
      </c>
      <c r="AC1892" s="81">
        <f>IF(X1892=1,HLOOKUP(R1892,データについて!$J$12:$M$18,7,FALSE),"*")</f>
        <v>1</v>
      </c>
      <c r="AD1892" s="81" t="str">
        <f>IF(X1892=2,HLOOKUP(R1892,データについて!$J$12:$M$18,7,FALSE),"*")</f>
        <v>*</v>
      </c>
    </row>
    <row r="1893" spans="1:30">
      <c r="A1893" s="30">
        <v>3299</v>
      </c>
      <c r="B1893" s="30" t="s">
        <v>1843</v>
      </c>
      <c r="C1893" s="30" t="s">
        <v>1844</v>
      </c>
      <c r="D1893" s="30" t="s">
        <v>106</v>
      </c>
      <c r="E1893" s="30"/>
      <c r="F1893" s="30" t="s">
        <v>107</v>
      </c>
      <c r="G1893" s="30" t="s">
        <v>106</v>
      </c>
      <c r="H1893" s="30"/>
      <c r="I1893" s="30" t="s">
        <v>192</v>
      </c>
      <c r="J1893" s="30" t="s">
        <v>635</v>
      </c>
      <c r="K1893" s="30"/>
      <c r="L1893" s="30" t="s">
        <v>108</v>
      </c>
      <c r="M1893" s="30" t="s">
        <v>124</v>
      </c>
      <c r="N1893" s="30" t="s">
        <v>110</v>
      </c>
      <c r="O1893" s="30" t="s">
        <v>116</v>
      </c>
      <c r="P1893" s="30" t="s">
        <v>112</v>
      </c>
      <c r="Q1893" s="30" t="s">
        <v>112</v>
      </c>
      <c r="R1893" s="30" t="s">
        <v>187</v>
      </c>
      <c r="S1893" s="81">
        <f>HLOOKUP(L1893,データについて!$J$6:$M$18,13,FALSE)</f>
        <v>1</v>
      </c>
      <c r="T1893" s="81">
        <f>HLOOKUP(M1893,データについて!$J$7:$M$18,12,FALSE)</f>
        <v>3</v>
      </c>
      <c r="U1893" s="81">
        <f>HLOOKUP(N1893,データについて!$J$8:$M$18,11,FALSE)</f>
        <v>2</v>
      </c>
      <c r="V1893" s="81">
        <f>HLOOKUP(O1893,データについて!$J$9:$M$18,10,FALSE)</f>
        <v>2</v>
      </c>
      <c r="W1893" s="81">
        <f>HLOOKUP(P1893,データについて!$J$10:$M$18,9,FALSE)</f>
        <v>1</v>
      </c>
      <c r="X1893" s="81">
        <f>HLOOKUP(Q1893,データについて!$J$11:$M$18,8,FALSE)</f>
        <v>1</v>
      </c>
      <c r="Y1893" s="81">
        <f>HLOOKUP(R1893,データについて!$J$12:$M$18,7,FALSE)</f>
        <v>3</v>
      </c>
      <c r="Z1893" s="81">
        <f>HLOOKUP(I1893,データについて!$J$3:$M$18,16,FALSE)</f>
        <v>1</v>
      </c>
      <c r="AA1893" s="81">
        <f>IFERROR(HLOOKUP(J1893,データについて!$J$4:$AH$19,16,FALSE),"")</f>
        <v>9</v>
      </c>
      <c r="AB1893" s="81" t="str">
        <f>IFERROR(HLOOKUP(K1893,データについて!$J$5:$AH$20,14,FALSE),"")</f>
        <v/>
      </c>
      <c r="AC1893" s="81">
        <f>IF(X1893=1,HLOOKUP(R1893,データについて!$J$12:$M$18,7,FALSE),"*")</f>
        <v>3</v>
      </c>
      <c r="AD1893" s="81" t="str">
        <f>IF(X1893=2,HLOOKUP(R1893,データについて!$J$12:$M$18,7,FALSE),"*")</f>
        <v>*</v>
      </c>
    </row>
    <row r="1894" spans="1:30">
      <c r="A1894" s="30">
        <v>3298</v>
      </c>
      <c r="B1894" s="30" t="s">
        <v>1845</v>
      </c>
      <c r="C1894" s="30" t="s">
        <v>1846</v>
      </c>
      <c r="D1894" s="30" t="s">
        <v>106</v>
      </c>
      <c r="E1894" s="30"/>
      <c r="F1894" s="30" t="s">
        <v>107</v>
      </c>
      <c r="G1894" s="30" t="s">
        <v>106</v>
      </c>
      <c r="H1894" s="30"/>
      <c r="I1894" s="30" t="s">
        <v>192</v>
      </c>
      <c r="J1894" s="30" t="s">
        <v>635</v>
      </c>
      <c r="K1894" s="30"/>
      <c r="L1894" s="30" t="s">
        <v>117</v>
      </c>
      <c r="M1894" s="30" t="s">
        <v>113</v>
      </c>
      <c r="N1894" s="30" t="s">
        <v>114</v>
      </c>
      <c r="O1894" s="30" t="s">
        <v>115</v>
      </c>
      <c r="P1894" s="30" t="s">
        <v>112</v>
      </c>
      <c r="Q1894" s="30" t="s">
        <v>112</v>
      </c>
      <c r="R1894" s="30" t="s">
        <v>185</v>
      </c>
      <c r="S1894" s="81">
        <f>HLOOKUP(L1894,データについて!$J$6:$M$18,13,FALSE)</f>
        <v>2</v>
      </c>
      <c r="T1894" s="81">
        <f>HLOOKUP(M1894,データについて!$J$7:$M$18,12,FALSE)</f>
        <v>1</v>
      </c>
      <c r="U1894" s="81">
        <f>HLOOKUP(N1894,データについて!$J$8:$M$18,11,FALSE)</f>
        <v>1</v>
      </c>
      <c r="V1894" s="81">
        <f>HLOOKUP(O1894,データについて!$J$9:$M$18,10,FALSE)</f>
        <v>1</v>
      </c>
      <c r="W1894" s="81">
        <f>HLOOKUP(P1894,データについて!$J$10:$M$18,9,FALSE)</f>
        <v>1</v>
      </c>
      <c r="X1894" s="81">
        <f>HLOOKUP(Q1894,データについて!$J$11:$M$18,8,FALSE)</f>
        <v>1</v>
      </c>
      <c r="Y1894" s="81">
        <f>HLOOKUP(R1894,データについて!$J$12:$M$18,7,FALSE)</f>
        <v>2</v>
      </c>
      <c r="Z1894" s="81">
        <f>HLOOKUP(I1894,データについて!$J$3:$M$18,16,FALSE)</f>
        <v>1</v>
      </c>
      <c r="AA1894" s="81">
        <f>IFERROR(HLOOKUP(J1894,データについて!$J$4:$AH$19,16,FALSE),"")</f>
        <v>9</v>
      </c>
      <c r="AB1894" s="81" t="str">
        <f>IFERROR(HLOOKUP(K1894,データについて!$J$5:$AH$20,14,FALSE),"")</f>
        <v/>
      </c>
      <c r="AC1894" s="81">
        <f>IF(X1894=1,HLOOKUP(R1894,データについて!$J$12:$M$18,7,FALSE),"*")</f>
        <v>2</v>
      </c>
      <c r="AD1894" s="81" t="str">
        <f>IF(X1894=2,HLOOKUP(R1894,データについて!$J$12:$M$18,7,FALSE),"*")</f>
        <v>*</v>
      </c>
    </row>
    <row r="1895" spans="1:30">
      <c r="A1895" s="30">
        <v>3297</v>
      </c>
      <c r="B1895" s="30" t="s">
        <v>1847</v>
      </c>
      <c r="C1895" s="30" t="s">
        <v>1846</v>
      </c>
      <c r="D1895" s="30" t="s">
        <v>106</v>
      </c>
      <c r="E1895" s="30"/>
      <c r="F1895" s="30" t="s">
        <v>107</v>
      </c>
      <c r="G1895" s="30" t="s">
        <v>106</v>
      </c>
      <c r="H1895" s="30"/>
      <c r="I1895" s="30" t="s">
        <v>192</v>
      </c>
      <c r="J1895" s="30" t="s">
        <v>635</v>
      </c>
      <c r="K1895" s="30"/>
      <c r="L1895" s="30" t="s">
        <v>117</v>
      </c>
      <c r="M1895" s="30" t="s">
        <v>113</v>
      </c>
      <c r="N1895" s="30" t="s">
        <v>114</v>
      </c>
      <c r="O1895" s="30" t="s">
        <v>115</v>
      </c>
      <c r="P1895" s="30" t="s">
        <v>112</v>
      </c>
      <c r="Q1895" s="30" t="s">
        <v>112</v>
      </c>
      <c r="R1895" s="30" t="s">
        <v>183</v>
      </c>
      <c r="S1895" s="81">
        <f>HLOOKUP(L1895,データについて!$J$6:$M$18,13,FALSE)</f>
        <v>2</v>
      </c>
      <c r="T1895" s="81">
        <f>HLOOKUP(M1895,データについて!$J$7:$M$18,12,FALSE)</f>
        <v>1</v>
      </c>
      <c r="U1895" s="81">
        <f>HLOOKUP(N1895,データについて!$J$8:$M$18,11,FALSE)</f>
        <v>1</v>
      </c>
      <c r="V1895" s="81">
        <f>HLOOKUP(O1895,データについて!$J$9:$M$18,10,FALSE)</f>
        <v>1</v>
      </c>
      <c r="W1895" s="81">
        <f>HLOOKUP(P1895,データについて!$J$10:$M$18,9,FALSE)</f>
        <v>1</v>
      </c>
      <c r="X1895" s="81">
        <f>HLOOKUP(Q1895,データについて!$J$11:$M$18,8,FALSE)</f>
        <v>1</v>
      </c>
      <c r="Y1895" s="81">
        <f>HLOOKUP(R1895,データについて!$J$12:$M$18,7,FALSE)</f>
        <v>1</v>
      </c>
      <c r="Z1895" s="81">
        <f>HLOOKUP(I1895,データについて!$J$3:$M$18,16,FALSE)</f>
        <v>1</v>
      </c>
      <c r="AA1895" s="81">
        <f>IFERROR(HLOOKUP(J1895,データについて!$J$4:$AH$19,16,FALSE),"")</f>
        <v>9</v>
      </c>
      <c r="AB1895" s="81" t="str">
        <f>IFERROR(HLOOKUP(K1895,データについて!$J$5:$AH$20,14,FALSE),"")</f>
        <v/>
      </c>
      <c r="AC1895" s="81">
        <f>IF(X1895=1,HLOOKUP(R1895,データについて!$J$12:$M$18,7,FALSE),"*")</f>
        <v>1</v>
      </c>
      <c r="AD1895" s="81" t="str">
        <f>IF(X1895=2,HLOOKUP(R1895,データについて!$J$12:$M$18,7,FALSE),"*")</f>
        <v>*</v>
      </c>
    </row>
    <row r="1896" spans="1:30">
      <c r="A1896" s="30">
        <v>3296</v>
      </c>
      <c r="B1896" s="30" t="s">
        <v>1848</v>
      </c>
      <c r="C1896" s="30" t="s">
        <v>1849</v>
      </c>
      <c r="D1896" s="30" t="s">
        <v>106</v>
      </c>
      <c r="E1896" s="30"/>
      <c r="F1896" s="30" t="s">
        <v>107</v>
      </c>
      <c r="G1896" s="30" t="s">
        <v>106</v>
      </c>
      <c r="H1896" s="30"/>
      <c r="I1896" s="30" t="s">
        <v>192</v>
      </c>
      <c r="J1896" s="30" t="s">
        <v>635</v>
      </c>
      <c r="K1896" s="30"/>
      <c r="L1896" s="30" t="s">
        <v>117</v>
      </c>
      <c r="M1896" s="30" t="s">
        <v>124</v>
      </c>
      <c r="N1896" s="30" t="s">
        <v>119</v>
      </c>
      <c r="O1896" s="30" t="s">
        <v>115</v>
      </c>
      <c r="P1896" s="30" t="s">
        <v>112</v>
      </c>
      <c r="Q1896" s="30" t="s">
        <v>118</v>
      </c>
      <c r="R1896" s="30" t="s">
        <v>189</v>
      </c>
      <c r="S1896" s="81">
        <f>HLOOKUP(L1896,データについて!$J$6:$M$18,13,FALSE)</f>
        <v>2</v>
      </c>
      <c r="T1896" s="81">
        <f>HLOOKUP(M1896,データについて!$J$7:$M$18,12,FALSE)</f>
        <v>3</v>
      </c>
      <c r="U1896" s="81">
        <f>HLOOKUP(N1896,データについて!$J$8:$M$18,11,FALSE)</f>
        <v>4</v>
      </c>
      <c r="V1896" s="81">
        <f>HLOOKUP(O1896,データについて!$J$9:$M$18,10,FALSE)</f>
        <v>1</v>
      </c>
      <c r="W1896" s="81">
        <f>HLOOKUP(P1896,データについて!$J$10:$M$18,9,FALSE)</f>
        <v>1</v>
      </c>
      <c r="X1896" s="81">
        <f>HLOOKUP(Q1896,データについて!$J$11:$M$18,8,FALSE)</f>
        <v>2</v>
      </c>
      <c r="Y1896" s="81">
        <f>HLOOKUP(R1896,データについて!$J$12:$M$18,7,FALSE)</f>
        <v>4</v>
      </c>
      <c r="Z1896" s="81">
        <f>HLOOKUP(I1896,データについて!$J$3:$M$18,16,FALSE)</f>
        <v>1</v>
      </c>
      <c r="AA1896" s="81">
        <f>IFERROR(HLOOKUP(J1896,データについて!$J$4:$AH$19,16,FALSE),"")</f>
        <v>9</v>
      </c>
      <c r="AB1896" s="81" t="str">
        <f>IFERROR(HLOOKUP(K1896,データについて!$J$5:$AH$20,14,FALSE),"")</f>
        <v/>
      </c>
      <c r="AC1896" s="81" t="str">
        <f>IF(X1896=1,HLOOKUP(R1896,データについて!$J$12:$M$18,7,FALSE),"*")</f>
        <v>*</v>
      </c>
      <c r="AD1896" s="81">
        <f>IF(X1896=2,HLOOKUP(R1896,データについて!$J$12:$M$18,7,FALSE),"*")</f>
        <v>4</v>
      </c>
    </row>
    <row r="1897" spans="1:30">
      <c r="A1897" s="30">
        <v>3295</v>
      </c>
      <c r="B1897" s="30" t="s">
        <v>1850</v>
      </c>
      <c r="C1897" s="30" t="s">
        <v>1851</v>
      </c>
      <c r="D1897" s="30" t="s">
        <v>106</v>
      </c>
      <c r="E1897" s="30"/>
      <c r="F1897" s="30" t="s">
        <v>107</v>
      </c>
      <c r="G1897" s="30" t="s">
        <v>106</v>
      </c>
      <c r="H1897" s="30"/>
      <c r="I1897" s="30" t="s">
        <v>192</v>
      </c>
      <c r="J1897" s="30" t="s">
        <v>635</v>
      </c>
      <c r="K1897" s="30"/>
      <c r="L1897" s="30" t="s">
        <v>108</v>
      </c>
      <c r="M1897" s="30" t="s">
        <v>113</v>
      </c>
      <c r="N1897" s="30" t="s">
        <v>114</v>
      </c>
      <c r="O1897" s="30" t="s">
        <v>115</v>
      </c>
      <c r="P1897" s="30" t="s">
        <v>112</v>
      </c>
      <c r="Q1897" s="30" t="s">
        <v>112</v>
      </c>
      <c r="R1897" s="30" t="s">
        <v>183</v>
      </c>
      <c r="S1897" s="81">
        <f>HLOOKUP(L1897,データについて!$J$6:$M$18,13,FALSE)</f>
        <v>1</v>
      </c>
      <c r="T1897" s="81">
        <f>HLOOKUP(M1897,データについて!$J$7:$M$18,12,FALSE)</f>
        <v>1</v>
      </c>
      <c r="U1897" s="81">
        <f>HLOOKUP(N1897,データについて!$J$8:$M$18,11,FALSE)</f>
        <v>1</v>
      </c>
      <c r="V1897" s="81">
        <f>HLOOKUP(O1897,データについて!$J$9:$M$18,10,FALSE)</f>
        <v>1</v>
      </c>
      <c r="W1897" s="81">
        <f>HLOOKUP(P1897,データについて!$J$10:$M$18,9,FALSE)</f>
        <v>1</v>
      </c>
      <c r="X1897" s="81">
        <f>HLOOKUP(Q1897,データについて!$J$11:$M$18,8,FALSE)</f>
        <v>1</v>
      </c>
      <c r="Y1897" s="81">
        <f>HLOOKUP(R1897,データについて!$J$12:$M$18,7,FALSE)</f>
        <v>1</v>
      </c>
      <c r="Z1897" s="81">
        <f>HLOOKUP(I1897,データについて!$J$3:$M$18,16,FALSE)</f>
        <v>1</v>
      </c>
      <c r="AA1897" s="81">
        <f>IFERROR(HLOOKUP(J1897,データについて!$J$4:$AH$19,16,FALSE),"")</f>
        <v>9</v>
      </c>
      <c r="AB1897" s="81" t="str">
        <f>IFERROR(HLOOKUP(K1897,データについて!$J$5:$AH$20,14,FALSE),"")</f>
        <v/>
      </c>
      <c r="AC1897" s="81">
        <f>IF(X1897=1,HLOOKUP(R1897,データについて!$J$12:$M$18,7,FALSE),"*")</f>
        <v>1</v>
      </c>
      <c r="AD1897" s="81" t="str">
        <f>IF(X1897=2,HLOOKUP(R1897,データについて!$J$12:$M$18,7,FALSE),"*")</f>
        <v>*</v>
      </c>
    </row>
    <row r="1898" spans="1:30">
      <c r="A1898" s="30">
        <v>3294</v>
      </c>
      <c r="B1898" s="30" t="s">
        <v>1852</v>
      </c>
      <c r="C1898" s="30" t="s">
        <v>1851</v>
      </c>
      <c r="D1898" s="30" t="s">
        <v>106</v>
      </c>
      <c r="E1898" s="30"/>
      <c r="F1898" s="30" t="s">
        <v>107</v>
      </c>
      <c r="G1898" s="30" t="s">
        <v>106</v>
      </c>
      <c r="H1898" s="30"/>
      <c r="I1898" s="30" t="s">
        <v>192</v>
      </c>
      <c r="J1898" s="30" t="s">
        <v>635</v>
      </c>
      <c r="K1898" s="30"/>
      <c r="L1898" s="30" t="s">
        <v>108</v>
      </c>
      <c r="M1898" s="30" t="s">
        <v>113</v>
      </c>
      <c r="N1898" s="30" t="s">
        <v>110</v>
      </c>
      <c r="O1898" s="30" t="s">
        <v>115</v>
      </c>
      <c r="P1898" s="30" t="s">
        <v>112</v>
      </c>
      <c r="Q1898" s="30" t="s">
        <v>112</v>
      </c>
      <c r="R1898" s="30" t="s">
        <v>183</v>
      </c>
      <c r="S1898" s="81">
        <f>HLOOKUP(L1898,データについて!$J$6:$M$18,13,FALSE)</f>
        <v>1</v>
      </c>
      <c r="T1898" s="81">
        <f>HLOOKUP(M1898,データについて!$J$7:$M$18,12,FALSE)</f>
        <v>1</v>
      </c>
      <c r="U1898" s="81">
        <f>HLOOKUP(N1898,データについて!$J$8:$M$18,11,FALSE)</f>
        <v>2</v>
      </c>
      <c r="V1898" s="81">
        <f>HLOOKUP(O1898,データについて!$J$9:$M$18,10,FALSE)</f>
        <v>1</v>
      </c>
      <c r="W1898" s="81">
        <f>HLOOKUP(P1898,データについて!$J$10:$M$18,9,FALSE)</f>
        <v>1</v>
      </c>
      <c r="X1898" s="81">
        <f>HLOOKUP(Q1898,データについて!$J$11:$M$18,8,FALSE)</f>
        <v>1</v>
      </c>
      <c r="Y1898" s="81">
        <f>HLOOKUP(R1898,データについて!$J$12:$M$18,7,FALSE)</f>
        <v>1</v>
      </c>
      <c r="Z1898" s="81">
        <f>HLOOKUP(I1898,データについて!$J$3:$M$18,16,FALSE)</f>
        <v>1</v>
      </c>
      <c r="AA1898" s="81">
        <f>IFERROR(HLOOKUP(J1898,データについて!$J$4:$AH$19,16,FALSE),"")</f>
        <v>9</v>
      </c>
      <c r="AB1898" s="81" t="str">
        <f>IFERROR(HLOOKUP(K1898,データについて!$J$5:$AH$20,14,FALSE),"")</f>
        <v/>
      </c>
      <c r="AC1898" s="81">
        <f>IF(X1898=1,HLOOKUP(R1898,データについて!$J$12:$M$18,7,FALSE),"*")</f>
        <v>1</v>
      </c>
      <c r="AD1898" s="81" t="str">
        <f>IF(X1898=2,HLOOKUP(R1898,データについて!$J$12:$M$18,7,FALSE),"*")</f>
        <v>*</v>
      </c>
    </row>
    <row r="1899" spans="1:30">
      <c r="A1899" s="30">
        <v>3293</v>
      </c>
      <c r="B1899" s="30" t="s">
        <v>1853</v>
      </c>
      <c r="C1899" s="30" t="s">
        <v>1854</v>
      </c>
      <c r="D1899" s="30" t="s">
        <v>106</v>
      </c>
      <c r="E1899" s="30"/>
      <c r="F1899" s="30" t="s">
        <v>107</v>
      </c>
      <c r="G1899" s="30" t="s">
        <v>106</v>
      </c>
      <c r="H1899" s="30"/>
      <c r="I1899" s="30" t="s">
        <v>192</v>
      </c>
      <c r="J1899" s="30" t="s">
        <v>635</v>
      </c>
      <c r="K1899" s="30"/>
      <c r="L1899" s="30" t="s">
        <v>117</v>
      </c>
      <c r="M1899" s="30" t="s">
        <v>109</v>
      </c>
      <c r="N1899" s="30" t="s">
        <v>122</v>
      </c>
      <c r="O1899" s="30" t="s">
        <v>115</v>
      </c>
      <c r="P1899" s="30" t="s">
        <v>112</v>
      </c>
      <c r="Q1899" s="30" t="s">
        <v>118</v>
      </c>
      <c r="R1899" s="30" t="s">
        <v>185</v>
      </c>
      <c r="S1899" s="81">
        <f>HLOOKUP(L1899,データについて!$J$6:$M$18,13,FALSE)</f>
        <v>2</v>
      </c>
      <c r="T1899" s="81">
        <f>HLOOKUP(M1899,データについて!$J$7:$M$18,12,FALSE)</f>
        <v>2</v>
      </c>
      <c r="U1899" s="81">
        <f>HLOOKUP(N1899,データについて!$J$8:$M$18,11,FALSE)</f>
        <v>3</v>
      </c>
      <c r="V1899" s="81">
        <f>HLOOKUP(O1899,データについて!$J$9:$M$18,10,FALSE)</f>
        <v>1</v>
      </c>
      <c r="W1899" s="81">
        <f>HLOOKUP(P1899,データについて!$J$10:$M$18,9,FALSE)</f>
        <v>1</v>
      </c>
      <c r="X1899" s="81">
        <f>HLOOKUP(Q1899,データについて!$J$11:$M$18,8,FALSE)</f>
        <v>2</v>
      </c>
      <c r="Y1899" s="81">
        <f>HLOOKUP(R1899,データについて!$J$12:$M$18,7,FALSE)</f>
        <v>2</v>
      </c>
      <c r="Z1899" s="81">
        <f>HLOOKUP(I1899,データについて!$J$3:$M$18,16,FALSE)</f>
        <v>1</v>
      </c>
      <c r="AA1899" s="81">
        <f>IFERROR(HLOOKUP(J1899,データについて!$J$4:$AH$19,16,FALSE),"")</f>
        <v>9</v>
      </c>
      <c r="AB1899" s="81" t="str">
        <f>IFERROR(HLOOKUP(K1899,データについて!$J$5:$AH$20,14,FALSE),"")</f>
        <v/>
      </c>
      <c r="AC1899" s="81" t="str">
        <f>IF(X1899=1,HLOOKUP(R1899,データについて!$J$12:$M$18,7,FALSE),"*")</f>
        <v>*</v>
      </c>
      <c r="AD1899" s="81">
        <f>IF(X1899=2,HLOOKUP(R1899,データについて!$J$12:$M$18,7,FALSE),"*")</f>
        <v>2</v>
      </c>
    </row>
    <row r="1900" spans="1:30">
      <c r="A1900" s="30">
        <v>3292</v>
      </c>
      <c r="B1900" s="30" t="s">
        <v>1855</v>
      </c>
      <c r="C1900" s="30" t="s">
        <v>1856</v>
      </c>
      <c r="D1900" s="30" t="s">
        <v>106</v>
      </c>
      <c r="E1900" s="30"/>
      <c r="F1900" s="30" t="s">
        <v>107</v>
      </c>
      <c r="G1900" s="30" t="s">
        <v>106</v>
      </c>
      <c r="H1900" s="30"/>
      <c r="I1900" s="30" t="s">
        <v>192</v>
      </c>
      <c r="J1900" s="30" t="s">
        <v>635</v>
      </c>
      <c r="K1900" s="30"/>
      <c r="L1900" s="30" t="s">
        <v>117</v>
      </c>
      <c r="M1900" s="30" t="s">
        <v>109</v>
      </c>
      <c r="N1900" s="30" t="s">
        <v>110</v>
      </c>
      <c r="O1900" s="30" t="s">
        <v>123</v>
      </c>
      <c r="P1900" s="30" t="s">
        <v>112</v>
      </c>
      <c r="Q1900" s="30" t="s">
        <v>112</v>
      </c>
      <c r="R1900" s="30" t="s">
        <v>187</v>
      </c>
      <c r="S1900" s="81">
        <f>HLOOKUP(L1900,データについて!$J$6:$M$18,13,FALSE)</f>
        <v>2</v>
      </c>
      <c r="T1900" s="81">
        <f>HLOOKUP(M1900,データについて!$J$7:$M$18,12,FALSE)</f>
        <v>2</v>
      </c>
      <c r="U1900" s="81">
        <f>HLOOKUP(N1900,データについて!$J$8:$M$18,11,FALSE)</f>
        <v>2</v>
      </c>
      <c r="V1900" s="81">
        <f>HLOOKUP(O1900,データについて!$J$9:$M$18,10,FALSE)</f>
        <v>4</v>
      </c>
      <c r="W1900" s="81">
        <f>HLOOKUP(P1900,データについて!$J$10:$M$18,9,FALSE)</f>
        <v>1</v>
      </c>
      <c r="X1900" s="81">
        <f>HLOOKUP(Q1900,データについて!$J$11:$M$18,8,FALSE)</f>
        <v>1</v>
      </c>
      <c r="Y1900" s="81">
        <f>HLOOKUP(R1900,データについて!$J$12:$M$18,7,FALSE)</f>
        <v>3</v>
      </c>
      <c r="Z1900" s="81">
        <f>HLOOKUP(I1900,データについて!$J$3:$M$18,16,FALSE)</f>
        <v>1</v>
      </c>
      <c r="AA1900" s="81">
        <f>IFERROR(HLOOKUP(J1900,データについて!$J$4:$AH$19,16,FALSE),"")</f>
        <v>9</v>
      </c>
      <c r="AB1900" s="81" t="str">
        <f>IFERROR(HLOOKUP(K1900,データについて!$J$5:$AH$20,14,FALSE),"")</f>
        <v/>
      </c>
      <c r="AC1900" s="81">
        <f>IF(X1900=1,HLOOKUP(R1900,データについて!$J$12:$M$18,7,FALSE),"*")</f>
        <v>3</v>
      </c>
      <c r="AD1900" s="81" t="str">
        <f>IF(X1900=2,HLOOKUP(R1900,データについて!$J$12:$M$18,7,FALSE),"*")</f>
        <v>*</v>
      </c>
    </row>
    <row r="1901" spans="1:30">
      <c r="A1901" s="30">
        <v>3291</v>
      </c>
      <c r="B1901" s="30" t="s">
        <v>1857</v>
      </c>
      <c r="C1901" s="30" t="s">
        <v>1858</v>
      </c>
      <c r="D1901" s="30" t="s">
        <v>106</v>
      </c>
      <c r="E1901" s="30"/>
      <c r="F1901" s="30" t="s">
        <v>107</v>
      </c>
      <c r="G1901" s="30" t="s">
        <v>106</v>
      </c>
      <c r="H1901" s="30"/>
      <c r="I1901" s="30" t="s">
        <v>192</v>
      </c>
      <c r="J1901" s="30" t="s">
        <v>635</v>
      </c>
      <c r="K1901" s="30"/>
      <c r="L1901" s="30" t="s">
        <v>108</v>
      </c>
      <c r="M1901" s="30" t="s">
        <v>109</v>
      </c>
      <c r="N1901" s="30" t="s">
        <v>110</v>
      </c>
      <c r="O1901" s="30" t="s">
        <v>115</v>
      </c>
      <c r="P1901" s="30" t="s">
        <v>112</v>
      </c>
      <c r="Q1901" s="30" t="s">
        <v>112</v>
      </c>
      <c r="R1901" s="30" t="s">
        <v>185</v>
      </c>
      <c r="S1901" s="81">
        <f>HLOOKUP(L1901,データについて!$J$6:$M$18,13,FALSE)</f>
        <v>1</v>
      </c>
      <c r="T1901" s="81">
        <f>HLOOKUP(M1901,データについて!$J$7:$M$18,12,FALSE)</f>
        <v>2</v>
      </c>
      <c r="U1901" s="81">
        <f>HLOOKUP(N1901,データについて!$J$8:$M$18,11,FALSE)</f>
        <v>2</v>
      </c>
      <c r="V1901" s="81">
        <f>HLOOKUP(O1901,データについて!$J$9:$M$18,10,FALSE)</f>
        <v>1</v>
      </c>
      <c r="W1901" s="81">
        <f>HLOOKUP(P1901,データについて!$J$10:$M$18,9,FALSE)</f>
        <v>1</v>
      </c>
      <c r="X1901" s="81">
        <f>HLOOKUP(Q1901,データについて!$J$11:$M$18,8,FALSE)</f>
        <v>1</v>
      </c>
      <c r="Y1901" s="81">
        <f>HLOOKUP(R1901,データについて!$J$12:$M$18,7,FALSE)</f>
        <v>2</v>
      </c>
      <c r="Z1901" s="81">
        <f>HLOOKUP(I1901,データについて!$J$3:$M$18,16,FALSE)</f>
        <v>1</v>
      </c>
      <c r="AA1901" s="81">
        <f>IFERROR(HLOOKUP(J1901,データについて!$J$4:$AH$19,16,FALSE),"")</f>
        <v>9</v>
      </c>
      <c r="AB1901" s="81" t="str">
        <f>IFERROR(HLOOKUP(K1901,データについて!$J$5:$AH$20,14,FALSE),"")</f>
        <v/>
      </c>
      <c r="AC1901" s="81">
        <f>IF(X1901=1,HLOOKUP(R1901,データについて!$J$12:$M$18,7,FALSE),"*")</f>
        <v>2</v>
      </c>
      <c r="AD1901" s="81" t="str">
        <f>IF(X1901=2,HLOOKUP(R1901,データについて!$J$12:$M$18,7,FALSE),"*")</f>
        <v>*</v>
      </c>
    </row>
    <row r="1902" spans="1:30">
      <c r="A1902" s="30">
        <v>3290</v>
      </c>
      <c r="B1902" s="30" t="s">
        <v>1859</v>
      </c>
      <c r="C1902" s="30" t="s">
        <v>1858</v>
      </c>
      <c r="D1902" s="30" t="s">
        <v>106</v>
      </c>
      <c r="E1902" s="30"/>
      <c r="F1902" s="30" t="s">
        <v>107</v>
      </c>
      <c r="G1902" s="30" t="s">
        <v>106</v>
      </c>
      <c r="H1902" s="30"/>
      <c r="I1902" s="30" t="s">
        <v>192</v>
      </c>
      <c r="J1902" s="30" t="s">
        <v>635</v>
      </c>
      <c r="K1902" s="30"/>
      <c r="L1902" s="30" t="s">
        <v>108</v>
      </c>
      <c r="M1902" s="30" t="s">
        <v>109</v>
      </c>
      <c r="N1902" s="30" t="s">
        <v>110</v>
      </c>
      <c r="O1902" s="30" t="s">
        <v>115</v>
      </c>
      <c r="P1902" s="30" t="s">
        <v>112</v>
      </c>
      <c r="Q1902" s="30" t="s">
        <v>112</v>
      </c>
      <c r="R1902" s="30" t="s">
        <v>185</v>
      </c>
      <c r="S1902" s="81">
        <f>HLOOKUP(L1902,データについて!$J$6:$M$18,13,FALSE)</f>
        <v>1</v>
      </c>
      <c r="T1902" s="81">
        <f>HLOOKUP(M1902,データについて!$J$7:$M$18,12,FALSE)</f>
        <v>2</v>
      </c>
      <c r="U1902" s="81">
        <f>HLOOKUP(N1902,データについて!$J$8:$M$18,11,FALSE)</f>
        <v>2</v>
      </c>
      <c r="V1902" s="81">
        <f>HLOOKUP(O1902,データについて!$J$9:$M$18,10,FALSE)</f>
        <v>1</v>
      </c>
      <c r="W1902" s="81">
        <f>HLOOKUP(P1902,データについて!$J$10:$M$18,9,FALSE)</f>
        <v>1</v>
      </c>
      <c r="X1902" s="81">
        <f>HLOOKUP(Q1902,データについて!$J$11:$M$18,8,FALSE)</f>
        <v>1</v>
      </c>
      <c r="Y1902" s="81">
        <f>HLOOKUP(R1902,データについて!$J$12:$M$18,7,FALSE)</f>
        <v>2</v>
      </c>
      <c r="Z1902" s="81">
        <f>HLOOKUP(I1902,データについて!$J$3:$M$18,16,FALSE)</f>
        <v>1</v>
      </c>
      <c r="AA1902" s="81">
        <f>IFERROR(HLOOKUP(J1902,データについて!$J$4:$AH$19,16,FALSE),"")</f>
        <v>9</v>
      </c>
      <c r="AB1902" s="81" t="str">
        <f>IFERROR(HLOOKUP(K1902,データについて!$J$5:$AH$20,14,FALSE),"")</f>
        <v/>
      </c>
      <c r="AC1902" s="81">
        <f>IF(X1902=1,HLOOKUP(R1902,データについて!$J$12:$M$18,7,FALSE),"*")</f>
        <v>2</v>
      </c>
      <c r="AD1902" s="81" t="str">
        <f>IF(X1902=2,HLOOKUP(R1902,データについて!$J$12:$M$18,7,FALSE),"*")</f>
        <v>*</v>
      </c>
    </row>
    <row r="1903" spans="1:30">
      <c r="A1903" s="30">
        <v>3289</v>
      </c>
      <c r="B1903" s="30" t="s">
        <v>1860</v>
      </c>
      <c r="C1903" s="30" t="s">
        <v>1861</v>
      </c>
      <c r="D1903" s="30" t="s">
        <v>106</v>
      </c>
      <c r="E1903" s="30"/>
      <c r="F1903" s="30" t="s">
        <v>107</v>
      </c>
      <c r="G1903" s="30" t="s">
        <v>106</v>
      </c>
      <c r="H1903" s="30"/>
      <c r="I1903" s="30" t="s">
        <v>192</v>
      </c>
      <c r="J1903" s="30" t="s">
        <v>635</v>
      </c>
      <c r="K1903" s="30"/>
      <c r="L1903" s="30" t="s">
        <v>117</v>
      </c>
      <c r="M1903" s="30" t="s">
        <v>113</v>
      </c>
      <c r="N1903" s="30" t="s">
        <v>122</v>
      </c>
      <c r="O1903" s="30" t="s">
        <v>115</v>
      </c>
      <c r="P1903" s="30" t="s">
        <v>112</v>
      </c>
      <c r="Q1903" s="30" t="s">
        <v>112</v>
      </c>
      <c r="R1903" s="30" t="s">
        <v>189</v>
      </c>
      <c r="S1903" s="81">
        <f>HLOOKUP(L1903,データについて!$J$6:$M$18,13,FALSE)</f>
        <v>2</v>
      </c>
      <c r="T1903" s="81">
        <f>HLOOKUP(M1903,データについて!$J$7:$M$18,12,FALSE)</f>
        <v>1</v>
      </c>
      <c r="U1903" s="81">
        <f>HLOOKUP(N1903,データについて!$J$8:$M$18,11,FALSE)</f>
        <v>3</v>
      </c>
      <c r="V1903" s="81">
        <f>HLOOKUP(O1903,データについて!$J$9:$M$18,10,FALSE)</f>
        <v>1</v>
      </c>
      <c r="W1903" s="81">
        <f>HLOOKUP(P1903,データについて!$J$10:$M$18,9,FALSE)</f>
        <v>1</v>
      </c>
      <c r="X1903" s="81">
        <f>HLOOKUP(Q1903,データについて!$J$11:$M$18,8,FALSE)</f>
        <v>1</v>
      </c>
      <c r="Y1903" s="81">
        <f>HLOOKUP(R1903,データについて!$J$12:$M$18,7,FALSE)</f>
        <v>4</v>
      </c>
      <c r="Z1903" s="81">
        <f>HLOOKUP(I1903,データについて!$J$3:$M$18,16,FALSE)</f>
        <v>1</v>
      </c>
      <c r="AA1903" s="81">
        <f>IFERROR(HLOOKUP(J1903,データについて!$J$4:$AH$19,16,FALSE),"")</f>
        <v>9</v>
      </c>
      <c r="AB1903" s="81" t="str">
        <f>IFERROR(HLOOKUP(K1903,データについて!$J$5:$AH$20,14,FALSE),"")</f>
        <v/>
      </c>
      <c r="AC1903" s="81">
        <f>IF(X1903=1,HLOOKUP(R1903,データについて!$J$12:$M$18,7,FALSE),"*")</f>
        <v>4</v>
      </c>
      <c r="AD1903" s="81" t="str">
        <f>IF(X1903=2,HLOOKUP(R1903,データについて!$J$12:$M$18,7,FALSE),"*")</f>
        <v>*</v>
      </c>
    </row>
    <row r="1904" spans="1:30">
      <c r="A1904" s="30">
        <v>3288</v>
      </c>
      <c r="B1904" s="30" t="s">
        <v>1862</v>
      </c>
      <c r="C1904" s="30" t="s">
        <v>1861</v>
      </c>
      <c r="D1904" s="30" t="s">
        <v>106</v>
      </c>
      <c r="E1904" s="30"/>
      <c r="F1904" s="30" t="s">
        <v>107</v>
      </c>
      <c r="G1904" s="30" t="s">
        <v>106</v>
      </c>
      <c r="H1904" s="30"/>
      <c r="I1904" s="30" t="s">
        <v>192</v>
      </c>
      <c r="J1904" s="30" t="s">
        <v>635</v>
      </c>
      <c r="K1904" s="30"/>
      <c r="L1904" s="30" t="s">
        <v>108</v>
      </c>
      <c r="M1904" s="30" t="s">
        <v>113</v>
      </c>
      <c r="N1904" s="30" t="s">
        <v>110</v>
      </c>
      <c r="O1904" s="30" t="s">
        <v>115</v>
      </c>
      <c r="P1904" s="30" t="s">
        <v>112</v>
      </c>
      <c r="Q1904" s="30" t="s">
        <v>112</v>
      </c>
      <c r="R1904" s="30" t="s">
        <v>185</v>
      </c>
      <c r="S1904" s="81">
        <f>HLOOKUP(L1904,データについて!$J$6:$M$18,13,FALSE)</f>
        <v>1</v>
      </c>
      <c r="T1904" s="81">
        <f>HLOOKUP(M1904,データについて!$J$7:$M$18,12,FALSE)</f>
        <v>1</v>
      </c>
      <c r="U1904" s="81">
        <f>HLOOKUP(N1904,データについて!$J$8:$M$18,11,FALSE)</f>
        <v>2</v>
      </c>
      <c r="V1904" s="81">
        <f>HLOOKUP(O1904,データについて!$J$9:$M$18,10,FALSE)</f>
        <v>1</v>
      </c>
      <c r="W1904" s="81">
        <f>HLOOKUP(P1904,データについて!$J$10:$M$18,9,FALSE)</f>
        <v>1</v>
      </c>
      <c r="X1904" s="81">
        <f>HLOOKUP(Q1904,データについて!$J$11:$M$18,8,FALSE)</f>
        <v>1</v>
      </c>
      <c r="Y1904" s="81">
        <f>HLOOKUP(R1904,データについて!$J$12:$M$18,7,FALSE)</f>
        <v>2</v>
      </c>
      <c r="Z1904" s="81">
        <f>HLOOKUP(I1904,データについて!$J$3:$M$18,16,FALSE)</f>
        <v>1</v>
      </c>
      <c r="AA1904" s="81">
        <f>IFERROR(HLOOKUP(J1904,データについて!$J$4:$AH$19,16,FALSE),"")</f>
        <v>9</v>
      </c>
      <c r="AB1904" s="81" t="str">
        <f>IFERROR(HLOOKUP(K1904,データについて!$J$5:$AH$20,14,FALSE),"")</f>
        <v/>
      </c>
      <c r="AC1904" s="81">
        <f>IF(X1904=1,HLOOKUP(R1904,データについて!$J$12:$M$18,7,FALSE),"*")</f>
        <v>2</v>
      </c>
      <c r="AD1904" s="81" t="str">
        <f>IF(X1904=2,HLOOKUP(R1904,データについて!$J$12:$M$18,7,FALSE),"*")</f>
        <v>*</v>
      </c>
    </row>
    <row r="1905" spans="1:30">
      <c r="A1905" s="30">
        <v>3287</v>
      </c>
      <c r="B1905" s="30" t="s">
        <v>1863</v>
      </c>
      <c r="C1905" s="30" t="s">
        <v>1864</v>
      </c>
      <c r="D1905" s="30" t="s">
        <v>106</v>
      </c>
      <c r="E1905" s="30"/>
      <c r="F1905" s="30" t="s">
        <v>107</v>
      </c>
      <c r="G1905" s="30" t="s">
        <v>106</v>
      </c>
      <c r="H1905" s="30"/>
      <c r="I1905" s="30" t="s">
        <v>192</v>
      </c>
      <c r="J1905" s="30" t="s">
        <v>635</v>
      </c>
      <c r="K1905" s="30"/>
      <c r="L1905" s="30" t="s">
        <v>108</v>
      </c>
      <c r="M1905" s="30" t="s">
        <v>109</v>
      </c>
      <c r="N1905" s="30" t="s">
        <v>122</v>
      </c>
      <c r="O1905" s="30" t="s">
        <v>115</v>
      </c>
      <c r="P1905" s="30" t="s">
        <v>112</v>
      </c>
      <c r="Q1905" s="30" t="s">
        <v>112</v>
      </c>
      <c r="R1905" s="30" t="s">
        <v>185</v>
      </c>
      <c r="S1905" s="81">
        <f>HLOOKUP(L1905,データについて!$J$6:$M$18,13,FALSE)</f>
        <v>1</v>
      </c>
      <c r="T1905" s="81">
        <f>HLOOKUP(M1905,データについて!$J$7:$M$18,12,FALSE)</f>
        <v>2</v>
      </c>
      <c r="U1905" s="81">
        <f>HLOOKUP(N1905,データについて!$J$8:$M$18,11,FALSE)</f>
        <v>3</v>
      </c>
      <c r="V1905" s="81">
        <f>HLOOKUP(O1905,データについて!$J$9:$M$18,10,FALSE)</f>
        <v>1</v>
      </c>
      <c r="W1905" s="81">
        <f>HLOOKUP(P1905,データについて!$J$10:$M$18,9,FALSE)</f>
        <v>1</v>
      </c>
      <c r="X1905" s="81">
        <f>HLOOKUP(Q1905,データについて!$J$11:$M$18,8,FALSE)</f>
        <v>1</v>
      </c>
      <c r="Y1905" s="81">
        <f>HLOOKUP(R1905,データについて!$J$12:$M$18,7,FALSE)</f>
        <v>2</v>
      </c>
      <c r="Z1905" s="81">
        <f>HLOOKUP(I1905,データについて!$J$3:$M$18,16,FALSE)</f>
        <v>1</v>
      </c>
      <c r="AA1905" s="81">
        <f>IFERROR(HLOOKUP(J1905,データについて!$J$4:$AH$19,16,FALSE),"")</f>
        <v>9</v>
      </c>
      <c r="AB1905" s="81" t="str">
        <f>IFERROR(HLOOKUP(K1905,データについて!$J$5:$AH$20,14,FALSE),"")</f>
        <v/>
      </c>
      <c r="AC1905" s="81">
        <f>IF(X1905=1,HLOOKUP(R1905,データについて!$J$12:$M$18,7,FALSE),"*")</f>
        <v>2</v>
      </c>
      <c r="AD1905" s="81" t="str">
        <f>IF(X1905=2,HLOOKUP(R1905,データについて!$J$12:$M$18,7,FALSE),"*")</f>
        <v>*</v>
      </c>
    </row>
    <row r="1906" spans="1:30">
      <c r="A1906" s="30">
        <v>3286</v>
      </c>
      <c r="B1906" s="30" t="s">
        <v>1865</v>
      </c>
      <c r="C1906" s="30" t="s">
        <v>1866</v>
      </c>
      <c r="D1906" s="30" t="s">
        <v>106</v>
      </c>
      <c r="E1906" s="30"/>
      <c r="F1906" s="30" t="s">
        <v>107</v>
      </c>
      <c r="G1906" s="30" t="s">
        <v>106</v>
      </c>
      <c r="H1906" s="30"/>
      <c r="I1906" s="30" t="s">
        <v>192</v>
      </c>
      <c r="J1906" s="30" t="s">
        <v>635</v>
      </c>
      <c r="K1906" s="30"/>
      <c r="L1906" s="30" t="s">
        <v>117</v>
      </c>
      <c r="M1906" s="30" t="s">
        <v>113</v>
      </c>
      <c r="N1906" s="30" t="s">
        <v>122</v>
      </c>
      <c r="O1906" s="30" t="s">
        <v>115</v>
      </c>
      <c r="P1906" s="30" t="s">
        <v>112</v>
      </c>
      <c r="Q1906" s="30" t="s">
        <v>112</v>
      </c>
      <c r="R1906" s="30" t="s">
        <v>185</v>
      </c>
      <c r="S1906" s="81">
        <f>HLOOKUP(L1906,データについて!$J$6:$M$18,13,FALSE)</f>
        <v>2</v>
      </c>
      <c r="T1906" s="81">
        <f>HLOOKUP(M1906,データについて!$J$7:$M$18,12,FALSE)</f>
        <v>1</v>
      </c>
      <c r="U1906" s="81">
        <f>HLOOKUP(N1906,データについて!$J$8:$M$18,11,FALSE)</f>
        <v>3</v>
      </c>
      <c r="V1906" s="81">
        <f>HLOOKUP(O1906,データについて!$J$9:$M$18,10,FALSE)</f>
        <v>1</v>
      </c>
      <c r="W1906" s="81">
        <f>HLOOKUP(P1906,データについて!$J$10:$M$18,9,FALSE)</f>
        <v>1</v>
      </c>
      <c r="X1906" s="81">
        <f>HLOOKUP(Q1906,データについて!$J$11:$M$18,8,FALSE)</f>
        <v>1</v>
      </c>
      <c r="Y1906" s="81">
        <f>HLOOKUP(R1906,データについて!$J$12:$M$18,7,FALSE)</f>
        <v>2</v>
      </c>
      <c r="Z1906" s="81">
        <f>HLOOKUP(I1906,データについて!$J$3:$M$18,16,FALSE)</f>
        <v>1</v>
      </c>
      <c r="AA1906" s="81">
        <f>IFERROR(HLOOKUP(J1906,データについて!$J$4:$AH$19,16,FALSE),"")</f>
        <v>9</v>
      </c>
      <c r="AB1906" s="81" t="str">
        <f>IFERROR(HLOOKUP(K1906,データについて!$J$5:$AH$20,14,FALSE),"")</f>
        <v/>
      </c>
      <c r="AC1906" s="81">
        <f>IF(X1906=1,HLOOKUP(R1906,データについて!$J$12:$M$18,7,FALSE),"*")</f>
        <v>2</v>
      </c>
      <c r="AD1906" s="81" t="str">
        <f>IF(X1906=2,HLOOKUP(R1906,データについて!$J$12:$M$18,7,FALSE),"*")</f>
        <v>*</v>
      </c>
    </row>
    <row r="1907" spans="1:30">
      <c r="A1907" s="30">
        <v>3285</v>
      </c>
      <c r="B1907" s="30" t="s">
        <v>1867</v>
      </c>
      <c r="C1907" s="30" t="s">
        <v>1868</v>
      </c>
      <c r="D1907" s="30" t="s">
        <v>106</v>
      </c>
      <c r="E1907" s="30"/>
      <c r="F1907" s="30" t="s">
        <v>107</v>
      </c>
      <c r="G1907" s="30" t="s">
        <v>106</v>
      </c>
      <c r="H1907" s="30"/>
      <c r="I1907" s="30" t="s">
        <v>192</v>
      </c>
      <c r="J1907" s="30" t="s">
        <v>635</v>
      </c>
      <c r="K1907" s="30"/>
      <c r="L1907" s="30" t="s">
        <v>108</v>
      </c>
      <c r="M1907" s="30" t="s">
        <v>113</v>
      </c>
      <c r="N1907" s="30" t="s">
        <v>114</v>
      </c>
      <c r="O1907" s="30" t="s">
        <v>115</v>
      </c>
      <c r="P1907" s="30" t="s">
        <v>112</v>
      </c>
      <c r="Q1907" s="30" t="s">
        <v>112</v>
      </c>
      <c r="R1907" s="30" t="s">
        <v>185</v>
      </c>
      <c r="S1907" s="81">
        <f>HLOOKUP(L1907,データについて!$J$6:$M$18,13,FALSE)</f>
        <v>1</v>
      </c>
      <c r="T1907" s="81">
        <f>HLOOKUP(M1907,データについて!$J$7:$M$18,12,FALSE)</f>
        <v>1</v>
      </c>
      <c r="U1907" s="81">
        <f>HLOOKUP(N1907,データについて!$J$8:$M$18,11,FALSE)</f>
        <v>1</v>
      </c>
      <c r="V1907" s="81">
        <f>HLOOKUP(O1907,データについて!$J$9:$M$18,10,FALSE)</f>
        <v>1</v>
      </c>
      <c r="W1907" s="81">
        <f>HLOOKUP(P1907,データについて!$J$10:$M$18,9,FALSE)</f>
        <v>1</v>
      </c>
      <c r="X1907" s="81">
        <f>HLOOKUP(Q1907,データについて!$J$11:$M$18,8,FALSE)</f>
        <v>1</v>
      </c>
      <c r="Y1907" s="81">
        <f>HLOOKUP(R1907,データについて!$J$12:$M$18,7,FALSE)</f>
        <v>2</v>
      </c>
      <c r="Z1907" s="81">
        <f>HLOOKUP(I1907,データについて!$J$3:$M$18,16,FALSE)</f>
        <v>1</v>
      </c>
      <c r="AA1907" s="81">
        <f>IFERROR(HLOOKUP(J1907,データについて!$J$4:$AH$19,16,FALSE),"")</f>
        <v>9</v>
      </c>
      <c r="AB1907" s="81" t="str">
        <f>IFERROR(HLOOKUP(K1907,データについて!$J$5:$AH$20,14,FALSE),"")</f>
        <v/>
      </c>
      <c r="AC1907" s="81">
        <f>IF(X1907=1,HLOOKUP(R1907,データについて!$J$12:$M$18,7,FALSE),"*")</f>
        <v>2</v>
      </c>
      <c r="AD1907" s="81" t="str">
        <f>IF(X1907=2,HLOOKUP(R1907,データについて!$J$12:$M$18,7,FALSE),"*")</f>
        <v>*</v>
      </c>
    </row>
    <row r="1908" spans="1:30">
      <c r="A1908" s="30">
        <v>3284</v>
      </c>
      <c r="B1908" s="30" t="s">
        <v>1869</v>
      </c>
      <c r="C1908" s="30" t="s">
        <v>1870</v>
      </c>
      <c r="D1908" s="30" t="s">
        <v>106</v>
      </c>
      <c r="E1908" s="30"/>
      <c r="F1908" s="30" t="s">
        <v>107</v>
      </c>
      <c r="G1908" s="30" t="s">
        <v>106</v>
      </c>
      <c r="H1908" s="30"/>
      <c r="I1908" s="30" t="s">
        <v>192</v>
      </c>
      <c r="J1908" s="30" t="s">
        <v>635</v>
      </c>
      <c r="K1908" s="30"/>
      <c r="L1908" s="30" t="s">
        <v>117</v>
      </c>
      <c r="M1908" s="30" t="s">
        <v>113</v>
      </c>
      <c r="N1908" s="30" t="s">
        <v>110</v>
      </c>
      <c r="O1908" s="30" t="s">
        <v>115</v>
      </c>
      <c r="P1908" s="30" t="s">
        <v>112</v>
      </c>
      <c r="Q1908" s="30" t="s">
        <v>118</v>
      </c>
      <c r="R1908" s="30" t="s">
        <v>187</v>
      </c>
      <c r="S1908" s="81">
        <f>HLOOKUP(L1908,データについて!$J$6:$M$18,13,FALSE)</f>
        <v>2</v>
      </c>
      <c r="T1908" s="81">
        <f>HLOOKUP(M1908,データについて!$J$7:$M$18,12,FALSE)</f>
        <v>1</v>
      </c>
      <c r="U1908" s="81">
        <f>HLOOKUP(N1908,データについて!$J$8:$M$18,11,FALSE)</f>
        <v>2</v>
      </c>
      <c r="V1908" s="81">
        <f>HLOOKUP(O1908,データについて!$J$9:$M$18,10,FALSE)</f>
        <v>1</v>
      </c>
      <c r="W1908" s="81">
        <f>HLOOKUP(P1908,データについて!$J$10:$M$18,9,FALSE)</f>
        <v>1</v>
      </c>
      <c r="X1908" s="81">
        <f>HLOOKUP(Q1908,データについて!$J$11:$M$18,8,FALSE)</f>
        <v>2</v>
      </c>
      <c r="Y1908" s="81">
        <f>HLOOKUP(R1908,データについて!$J$12:$M$18,7,FALSE)</f>
        <v>3</v>
      </c>
      <c r="Z1908" s="81">
        <f>HLOOKUP(I1908,データについて!$J$3:$M$18,16,FALSE)</f>
        <v>1</v>
      </c>
      <c r="AA1908" s="81">
        <f>IFERROR(HLOOKUP(J1908,データについて!$J$4:$AH$19,16,FALSE),"")</f>
        <v>9</v>
      </c>
      <c r="AB1908" s="81" t="str">
        <f>IFERROR(HLOOKUP(K1908,データについて!$J$5:$AH$20,14,FALSE),"")</f>
        <v/>
      </c>
      <c r="AC1908" s="81" t="str">
        <f>IF(X1908=1,HLOOKUP(R1908,データについて!$J$12:$M$18,7,FALSE),"*")</f>
        <v>*</v>
      </c>
      <c r="AD1908" s="81">
        <f>IF(X1908=2,HLOOKUP(R1908,データについて!$J$12:$M$18,7,FALSE),"*")</f>
        <v>3</v>
      </c>
    </row>
    <row r="1909" spans="1:30">
      <c r="A1909" s="30">
        <v>3283</v>
      </c>
      <c r="B1909" s="30" t="s">
        <v>1871</v>
      </c>
      <c r="C1909" s="30" t="s">
        <v>1872</v>
      </c>
      <c r="D1909" s="30" t="s">
        <v>106</v>
      </c>
      <c r="E1909" s="30"/>
      <c r="F1909" s="30" t="s">
        <v>107</v>
      </c>
      <c r="G1909" s="30" t="s">
        <v>106</v>
      </c>
      <c r="H1909" s="30"/>
      <c r="I1909" s="30" t="s">
        <v>192</v>
      </c>
      <c r="J1909" s="30" t="s">
        <v>635</v>
      </c>
      <c r="K1909" s="30"/>
      <c r="L1909" s="30" t="s">
        <v>117</v>
      </c>
      <c r="M1909" s="30" t="s">
        <v>113</v>
      </c>
      <c r="N1909" s="30" t="s">
        <v>114</v>
      </c>
      <c r="O1909" s="30" t="s">
        <v>115</v>
      </c>
      <c r="P1909" s="30" t="s">
        <v>112</v>
      </c>
      <c r="Q1909" s="30" t="s">
        <v>112</v>
      </c>
      <c r="R1909" s="30" t="s">
        <v>183</v>
      </c>
      <c r="S1909" s="81">
        <f>HLOOKUP(L1909,データについて!$J$6:$M$18,13,FALSE)</f>
        <v>2</v>
      </c>
      <c r="T1909" s="81">
        <f>HLOOKUP(M1909,データについて!$J$7:$M$18,12,FALSE)</f>
        <v>1</v>
      </c>
      <c r="U1909" s="81">
        <f>HLOOKUP(N1909,データについて!$J$8:$M$18,11,FALSE)</f>
        <v>1</v>
      </c>
      <c r="V1909" s="81">
        <f>HLOOKUP(O1909,データについて!$J$9:$M$18,10,FALSE)</f>
        <v>1</v>
      </c>
      <c r="W1909" s="81">
        <f>HLOOKUP(P1909,データについて!$J$10:$M$18,9,FALSE)</f>
        <v>1</v>
      </c>
      <c r="X1909" s="81">
        <f>HLOOKUP(Q1909,データについて!$J$11:$M$18,8,FALSE)</f>
        <v>1</v>
      </c>
      <c r="Y1909" s="81">
        <f>HLOOKUP(R1909,データについて!$J$12:$M$18,7,FALSE)</f>
        <v>1</v>
      </c>
      <c r="Z1909" s="81">
        <f>HLOOKUP(I1909,データについて!$J$3:$M$18,16,FALSE)</f>
        <v>1</v>
      </c>
      <c r="AA1909" s="81">
        <f>IFERROR(HLOOKUP(J1909,データについて!$J$4:$AH$19,16,FALSE),"")</f>
        <v>9</v>
      </c>
      <c r="AB1909" s="81" t="str">
        <f>IFERROR(HLOOKUP(K1909,データについて!$J$5:$AH$20,14,FALSE),"")</f>
        <v/>
      </c>
      <c r="AC1909" s="81">
        <f>IF(X1909=1,HLOOKUP(R1909,データについて!$J$12:$M$18,7,FALSE),"*")</f>
        <v>1</v>
      </c>
      <c r="AD1909" s="81" t="str">
        <f>IF(X1909=2,HLOOKUP(R1909,データについて!$J$12:$M$18,7,FALSE),"*")</f>
        <v>*</v>
      </c>
    </row>
    <row r="1910" spans="1:30">
      <c r="A1910" s="30">
        <v>3282</v>
      </c>
      <c r="B1910" s="30" t="s">
        <v>1873</v>
      </c>
      <c r="C1910" s="30" t="s">
        <v>1872</v>
      </c>
      <c r="D1910" s="30" t="s">
        <v>106</v>
      </c>
      <c r="E1910" s="30"/>
      <c r="F1910" s="30" t="s">
        <v>107</v>
      </c>
      <c r="G1910" s="30" t="s">
        <v>106</v>
      </c>
      <c r="H1910" s="30"/>
      <c r="I1910" s="30" t="s">
        <v>192</v>
      </c>
      <c r="J1910" s="30" t="s">
        <v>635</v>
      </c>
      <c r="K1910" s="30"/>
      <c r="L1910" s="30" t="s">
        <v>117</v>
      </c>
      <c r="M1910" s="30" t="s">
        <v>109</v>
      </c>
      <c r="N1910" s="30" t="s">
        <v>114</v>
      </c>
      <c r="O1910" s="30" t="s">
        <v>115</v>
      </c>
      <c r="P1910" s="30" t="s">
        <v>112</v>
      </c>
      <c r="Q1910" s="30" t="s">
        <v>112</v>
      </c>
      <c r="R1910" s="30" t="s">
        <v>185</v>
      </c>
      <c r="S1910" s="81">
        <f>HLOOKUP(L1910,データについて!$J$6:$M$18,13,FALSE)</f>
        <v>2</v>
      </c>
      <c r="T1910" s="81">
        <f>HLOOKUP(M1910,データについて!$J$7:$M$18,12,FALSE)</f>
        <v>2</v>
      </c>
      <c r="U1910" s="81">
        <f>HLOOKUP(N1910,データについて!$J$8:$M$18,11,FALSE)</f>
        <v>1</v>
      </c>
      <c r="V1910" s="81">
        <f>HLOOKUP(O1910,データについて!$J$9:$M$18,10,FALSE)</f>
        <v>1</v>
      </c>
      <c r="W1910" s="81">
        <f>HLOOKUP(P1910,データについて!$J$10:$M$18,9,FALSE)</f>
        <v>1</v>
      </c>
      <c r="X1910" s="81">
        <f>HLOOKUP(Q1910,データについて!$J$11:$M$18,8,FALSE)</f>
        <v>1</v>
      </c>
      <c r="Y1910" s="81">
        <f>HLOOKUP(R1910,データについて!$J$12:$M$18,7,FALSE)</f>
        <v>2</v>
      </c>
      <c r="Z1910" s="81">
        <f>HLOOKUP(I1910,データについて!$J$3:$M$18,16,FALSE)</f>
        <v>1</v>
      </c>
      <c r="AA1910" s="81">
        <f>IFERROR(HLOOKUP(J1910,データについて!$J$4:$AH$19,16,FALSE),"")</f>
        <v>9</v>
      </c>
      <c r="AB1910" s="81" t="str">
        <f>IFERROR(HLOOKUP(K1910,データについて!$J$5:$AH$20,14,FALSE),"")</f>
        <v/>
      </c>
      <c r="AC1910" s="81">
        <f>IF(X1910=1,HLOOKUP(R1910,データについて!$J$12:$M$18,7,FALSE),"*")</f>
        <v>2</v>
      </c>
      <c r="AD1910" s="81" t="str">
        <f>IF(X1910=2,HLOOKUP(R1910,データについて!$J$12:$M$18,7,FALSE),"*")</f>
        <v>*</v>
      </c>
    </row>
    <row r="1911" spans="1:30">
      <c r="A1911" s="30">
        <v>3281</v>
      </c>
      <c r="B1911" s="30" t="s">
        <v>1874</v>
      </c>
      <c r="C1911" s="30" t="s">
        <v>1875</v>
      </c>
      <c r="D1911" s="30" t="s">
        <v>106</v>
      </c>
      <c r="E1911" s="30"/>
      <c r="F1911" s="30" t="s">
        <v>107</v>
      </c>
      <c r="G1911" s="30" t="s">
        <v>106</v>
      </c>
      <c r="H1911" s="30"/>
      <c r="I1911" s="30" t="s">
        <v>192</v>
      </c>
      <c r="J1911" s="30" t="s">
        <v>635</v>
      </c>
      <c r="K1911" s="30"/>
      <c r="L1911" s="30" t="s">
        <v>117</v>
      </c>
      <c r="M1911" s="30" t="s">
        <v>113</v>
      </c>
      <c r="N1911" s="30" t="s">
        <v>114</v>
      </c>
      <c r="O1911" s="30" t="s">
        <v>115</v>
      </c>
      <c r="P1911" s="30" t="s">
        <v>112</v>
      </c>
      <c r="Q1911" s="30" t="s">
        <v>112</v>
      </c>
      <c r="R1911" s="30" t="s">
        <v>187</v>
      </c>
      <c r="S1911" s="81">
        <f>HLOOKUP(L1911,データについて!$J$6:$M$18,13,FALSE)</f>
        <v>2</v>
      </c>
      <c r="T1911" s="81">
        <f>HLOOKUP(M1911,データについて!$J$7:$M$18,12,FALSE)</f>
        <v>1</v>
      </c>
      <c r="U1911" s="81">
        <f>HLOOKUP(N1911,データについて!$J$8:$M$18,11,FALSE)</f>
        <v>1</v>
      </c>
      <c r="V1911" s="81">
        <f>HLOOKUP(O1911,データについて!$J$9:$M$18,10,FALSE)</f>
        <v>1</v>
      </c>
      <c r="W1911" s="81">
        <f>HLOOKUP(P1911,データについて!$J$10:$M$18,9,FALSE)</f>
        <v>1</v>
      </c>
      <c r="X1911" s="81">
        <f>HLOOKUP(Q1911,データについて!$J$11:$M$18,8,FALSE)</f>
        <v>1</v>
      </c>
      <c r="Y1911" s="81">
        <f>HLOOKUP(R1911,データについて!$J$12:$M$18,7,FALSE)</f>
        <v>3</v>
      </c>
      <c r="Z1911" s="81">
        <f>HLOOKUP(I1911,データについて!$J$3:$M$18,16,FALSE)</f>
        <v>1</v>
      </c>
      <c r="AA1911" s="81">
        <f>IFERROR(HLOOKUP(J1911,データについて!$J$4:$AH$19,16,FALSE),"")</f>
        <v>9</v>
      </c>
      <c r="AB1911" s="81" t="str">
        <f>IFERROR(HLOOKUP(K1911,データについて!$J$5:$AH$20,14,FALSE),"")</f>
        <v/>
      </c>
      <c r="AC1911" s="81">
        <f>IF(X1911=1,HLOOKUP(R1911,データについて!$J$12:$M$18,7,FALSE),"*")</f>
        <v>3</v>
      </c>
      <c r="AD1911" s="81" t="str">
        <f>IF(X1911=2,HLOOKUP(R1911,データについて!$J$12:$M$18,7,FALSE),"*")</f>
        <v>*</v>
      </c>
    </row>
    <row r="1912" spans="1:30">
      <c r="A1912" s="30">
        <v>3280</v>
      </c>
      <c r="B1912" s="30" t="s">
        <v>1876</v>
      </c>
      <c r="C1912" s="30" t="s">
        <v>1877</v>
      </c>
      <c r="D1912" s="30" t="s">
        <v>106</v>
      </c>
      <c r="E1912" s="30"/>
      <c r="F1912" s="30" t="s">
        <v>107</v>
      </c>
      <c r="G1912" s="30" t="s">
        <v>106</v>
      </c>
      <c r="H1912" s="30"/>
      <c r="I1912" s="30" t="s">
        <v>192</v>
      </c>
      <c r="J1912" s="30" t="s">
        <v>635</v>
      </c>
      <c r="K1912" s="30"/>
      <c r="L1912" s="30" t="s">
        <v>108</v>
      </c>
      <c r="M1912" s="30" t="s">
        <v>109</v>
      </c>
      <c r="N1912" s="30" t="s">
        <v>110</v>
      </c>
      <c r="O1912" s="30" t="s">
        <v>115</v>
      </c>
      <c r="P1912" s="30" t="s">
        <v>112</v>
      </c>
      <c r="Q1912" s="30" t="s">
        <v>112</v>
      </c>
      <c r="R1912" s="30" t="s">
        <v>187</v>
      </c>
      <c r="S1912" s="81">
        <f>HLOOKUP(L1912,データについて!$J$6:$M$18,13,FALSE)</f>
        <v>1</v>
      </c>
      <c r="T1912" s="81">
        <f>HLOOKUP(M1912,データについて!$J$7:$M$18,12,FALSE)</f>
        <v>2</v>
      </c>
      <c r="U1912" s="81">
        <f>HLOOKUP(N1912,データについて!$J$8:$M$18,11,FALSE)</f>
        <v>2</v>
      </c>
      <c r="V1912" s="81">
        <f>HLOOKUP(O1912,データについて!$J$9:$M$18,10,FALSE)</f>
        <v>1</v>
      </c>
      <c r="W1912" s="81">
        <f>HLOOKUP(P1912,データについて!$J$10:$M$18,9,FALSE)</f>
        <v>1</v>
      </c>
      <c r="X1912" s="81">
        <f>HLOOKUP(Q1912,データについて!$J$11:$M$18,8,FALSE)</f>
        <v>1</v>
      </c>
      <c r="Y1912" s="81">
        <f>HLOOKUP(R1912,データについて!$J$12:$M$18,7,FALSE)</f>
        <v>3</v>
      </c>
      <c r="Z1912" s="81">
        <f>HLOOKUP(I1912,データについて!$J$3:$M$18,16,FALSE)</f>
        <v>1</v>
      </c>
      <c r="AA1912" s="81">
        <f>IFERROR(HLOOKUP(J1912,データについて!$J$4:$AH$19,16,FALSE),"")</f>
        <v>9</v>
      </c>
      <c r="AB1912" s="81" t="str">
        <f>IFERROR(HLOOKUP(K1912,データについて!$J$5:$AH$20,14,FALSE),"")</f>
        <v/>
      </c>
      <c r="AC1912" s="81">
        <f>IF(X1912=1,HLOOKUP(R1912,データについて!$J$12:$M$18,7,FALSE),"*")</f>
        <v>3</v>
      </c>
      <c r="AD1912" s="81" t="str">
        <f>IF(X1912=2,HLOOKUP(R1912,データについて!$J$12:$M$18,7,FALSE),"*")</f>
        <v>*</v>
      </c>
    </row>
    <row r="1913" spans="1:30">
      <c r="A1913" s="30">
        <v>3279</v>
      </c>
      <c r="B1913" s="30" t="s">
        <v>1878</v>
      </c>
      <c r="C1913" s="30" t="s">
        <v>1879</v>
      </c>
      <c r="D1913" s="30" t="s">
        <v>106</v>
      </c>
      <c r="E1913" s="30"/>
      <c r="F1913" s="30" t="s">
        <v>107</v>
      </c>
      <c r="G1913" s="30" t="s">
        <v>106</v>
      </c>
      <c r="H1913" s="30"/>
      <c r="I1913" s="30" t="s">
        <v>192</v>
      </c>
      <c r="J1913" s="30" t="s">
        <v>635</v>
      </c>
      <c r="K1913" s="30"/>
      <c r="L1913" s="30" t="s">
        <v>108</v>
      </c>
      <c r="M1913" s="30" t="s">
        <v>113</v>
      </c>
      <c r="N1913" s="30" t="s">
        <v>114</v>
      </c>
      <c r="O1913" s="30" t="s">
        <v>115</v>
      </c>
      <c r="P1913" s="30" t="s">
        <v>112</v>
      </c>
      <c r="Q1913" s="30" t="s">
        <v>112</v>
      </c>
      <c r="R1913" s="30" t="s">
        <v>183</v>
      </c>
      <c r="S1913" s="81">
        <f>HLOOKUP(L1913,データについて!$J$6:$M$18,13,FALSE)</f>
        <v>1</v>
      </c>
      <c r="T1913" s="81">
        <f>HLOOKUP(M1913,データについて!$J$7:$M$18,12,FALSE)</f>
        <v>1</v>
      </c>
      <c r="U1913" s="81">
        <f>HLOOKUP(N1913,データについて!$J$8:$M$18,11,FALSE)</f>
        <v>1</v>
      </c>
      <c r="V1913" s="81">
        <f>HLOOKUP(O1913,データについて!$J$9:$M$18,10,FALSE)</f>
        <v>1</v>
      </c>
      <c r="W1913" s="81">
        <f>HLOOKUP(P1913,データについて!$J$10:$M$18,9,FALSE)</f>
        <v>1</v>
      </c>
      <c r="X1913" s="81">
        <f>HLOOKUP(Q1913,データについて!$J$11:$M$18,8,FALSE)</f>
        <v>1</v>
      </c>
      <c r="Y1913" s="81">
        <f>HLOOKUP(R1913,データについて!$J$12:$M$18,7,FALSE)</f>
        <v>1</v>
      </c>
      <c r="Z1913" s="81">
        <f>HLOOKUP(I1913,データについて!$J$3:$M$18,16,FALSE)</f>
        <v>1</v>
      </c>
      <c r="AA1913" s="81">
        <f>IFERROR(HLOOKUP(J1913,データについて!$J$4:$AH$19,16,FALSE),"")</f>
        <v>9</v>
      </c>
      <c r="AB1913" s="81" t="str">
        <f>IFERROR(HLOOKUP(K1913,データについて!$J$5:$AH$20,14,FALSE),"")</f>
        <v/>
      </c>
      <c r="AC1913" s="81">
        <f>IF(X1913=1,HLOOKUP(R1913,データについて!$J$12:$M$18,7,FALSE),"*")</f>
        <v>1</v>
      </c>
      <c r="AD1913" s="81" t="str">
        <f>IF(X1913=2,HLOOKUP(R1913,データについて!$J$12:$M$18,7,FALSE),"*")</f>
        <v>*</v>
      </c>
    </row>
    <row r="1914" spans="1:30">
      <c r="A1914" s="30">
        <v>3278</v>
      </c>
      <c r="B1914" s="30" t="s">
        <v>1880</v>
      </c>
      <c r="C1914" s="30" t="s">
        <v>1881</v>
      </c>
      <c r="D1914" s="30" t="s">
        <v>106</v>
      </c>
      <c r="E1914" s="30"/>
      <c r="F1914" s="30" t="s">
        <v>107</v>
      </c>
      <c r="G1914" s="30" t="s">
        <v>106</v>
      </c>
      <c r="H1914" s="30"/>
      <c r="I1914" s="30" t="s">
        <v>192</v>
      </c>
      <c r="J1914" s="30" t="s">
        <v>635</v>
      </c>
      <c r="K1914" s="30"/>
      <c r="L1914" s="30" t="s">
        <v>108</v>
      </c>
      <c r="M1914" s="30" t="s">
        <v>113</v>
      </c>
      <c r="N1914" s="30" t="s">
        <v>114</v>
      </c>
      <c r="O1914" s="30" t="s">
        <v>115</v>
      </c>
      <c r="P1914" s="30" t="s">
        <v>112</v>
      </c>
      <c r="Q1914" s="30" t="s">
        <v>112</v>
      </c>
      <c r="R1914" s="30" t="s">
        <v>185</v>
      </c>
      <c r="S1914" s="81">
        <f>HLOOKUP(L1914,データについて!$J$6:$M$18,13,FALSE)</f>
        <v>1</v>
      </c>
      <c r="T1914" s="81">
        <f>HLOOKUP(M1914,データについて!$J$7:$M$18,12,FALSE)</f>
        <v>1</v>
      </c>
      <c r="U1914" s="81">
        <f>HLOOKUP(N1914,データについて!$J$8:$M$18,11,FALSE)</f>
        <v>1</v>
      </c>
      <c r="V1914" s="81">
        <f>HLOOKUP(O1914,データについて!$J$9:$M$18,10,FALSE)</f>
        <v>1</v>
      </c>
      <c r="W1914" s="81">
        <f>HLOOKUP(P1914,データについて!$J$10:$M$18,9,FALSE)</f>
        <v>1</v>
      </c>
      <c r="X1914" s="81">
        <f>HLOOKUP(Q1914,データについて!$J$11:$M$18,8,FALSE)</f>
        <v>1</v>
      </c>
      <c r="Y1914" s="81">
        <f>HLOOKUP(R1914,データについて!$J$12:$M$18,7,FALSE)</f>
        <v>2</v>
      </c>
      <c r="Z1914" s="81">
        <f>HLOOKUP(I1914,データについて!$J$3:$M$18,16,FALSE)</f>
        <v>1</v>
      </c>
      <c r="AA1914" s="81">
        <f>IFERROR(HLOOKUP(J1914,データについて!$J$4:$AH$19,16,FALSE),"")</f>
        <v>9</v>
      </c>
      <c r="AB1914" s="81" t="str">
        <f>IFERROR(HLOOKUP(K1914,データについて!$J$5:$AH$20,14,FALSE),"")</f>
        <v/>
      </c>
      <c r="AC1914" s="81">
        <f>IF(X1914=1,HLOOKUP(R1914,データについて!$J$12:$M$18,7,FALSE),"*")</f>
        <v>2</v>
      </c>
      <c r="AD1914" s="81" t="str">
        <f>IF(X1914=2,HLOOKUP(R1914,データについて!$J$12:$M$18,7,FALSE),"*")</f>
        <v>*</v>
      </c>
    </row>
    <row r="1915" spans="1:30">
      <c r="A1915" s="30">
        <v>3277</v>
      </c>
      <c r="B1915" s="30" t="s">
        <v>1882</v>
      </c>
      <c r="C1915" s="30" t="s">
        <v>1883</v>
      </c>
      <c r="D1915" s="30" t="s">
        <v>106</v>
      </c>
      <c r="E1915" s="30"/>
      <c r="F1915" s="30" t="s">
        <v>107</v>
      </c>
      <c r="G1915" s="30" t="s">
        <v>106</v>
      </c>
      <c r="H1915" s="30"/>
      <c r="I1915" s="30" t="s">
        <v>192</v>
      </c>
      <c r="J1915" s="30" t="s">
        <v>635</v>
      </c>
      <c r="K1915" s="30"/>
      <c r="L1915" s="30" t="s">
        <v>108</v>
      </c>
      <c r="M1915" s="30" t="s">
        <v>113</v>
      </c>
      <c r="N1915" s="30" t="s">
        <v>110</v>
      </c>
      <c r="O1915" s="30" t="s">
        <v>115</v>
      </c>
      <c r="P1915" s="30" t="s">
        <v>112</v>
      </c>
      <c r="Q1915" s="30" t="s">
        <v>112</v>
      </c>
      <c r="R1915" s="30" t="s">
        <v>183</v>
      </c>
      <c r="S1915" s="81">
        <f>HLOOKUP(L1915,データについて!$J$6:$M$18,13,FALSE)</f>
        <v>1</v>
      </c>
      <c r="T1915" s="81">
        <f>HLOOKUP(M1915,データについて!$J$7:$M$18,12,FALSE)</f>
        <v>1</v>
      </c>
      <c r="U1915" s="81">
        <f>HLOOKUP(N1915,データについて!$J$8:$M$18,11,FALSE)</f>
        <v>2</v>
      </c>
      <c r="V1915" s="81">
        <f>HLOOKUP(O1915,データについて!$J$9:$M$18,10,FALSE)</f>
        <v>1</v>
      </c>
      <c r="W1915" s="81">
        <f>HLOOKUP(P1915,データについて!$J$10:$M$18,9,FALSE)</f>
        <v>1</v>
      </c>
      <c r="X1915" s="81">
        <f>HLOOKUP(Q1915,データについて!$J$11:$M$18,8,FALSE)</f>
        <v>1</v>
      </c>
      <c r="Y1915" s="81">
        <f>HLOOKUP(R1915,データについて!$J$12:$M$18,7,FALSE)</f>
        <v>1</v>
      </c>
      <c r="Z1915" s="81">
        <f>HLOOKUP(I1915,データについて!$J$3:$M$18,16,FALSE)</f>
        <v>1</v>
      </c>
      <c r="AA1915" s="81">
        <f>IFERROR(HLOOKUP(J1915,データについて!$J$4:$AH$19,16,FALSE),"")</f>
        <v>9</v>
      </c>
      <c r="AB1915" s="81" t="str">
        <f>IFERROR(HLOOKUP(K1915,データについて!$J$5:$AH$20,14,FALSE),"")</f>
        <v/>
      </c>
      <c r="AC1915" s="81">
        <f>IF(X1915=1,HLOOKUP(R1915,データについて!$J$12:$M$18,7,FALSE),"*")</f>
        <v>1</v>
      </c>
      <c r="AD1915" s="81" t="str">
        <f>IF(X1915=2,HLOOKUP(R1915,データについて!$J$12:$M$18,7,FALSE),"*")</f>
        <v>*</v>
      </c>
    </row>
    <row r="1916" spans="1:30">
      <c r="A1916" s="30">
        <v>3276</v>
      </c>
      <c r="B1916" s="30" t="s">
        <v>1884</v>
      </c>
      <c r="C1916" s="30" t="s">
        <v>1885</v>
      </c>
      <c r="D1916" s="30" t="s">
        <v>106</v>
      </c>
      <c r="E1916" s="30"/>
      <c r="F1916" s="30" t="s">
        <v>107</v>
      </c>
      <c r="G1916" s="30" t="s">
        <v>106</v>
      </c>
      <c r="H1916" s="30"/>
      <c r="I1916" s="30" t="s">
        <v>192</v>
      </c>
      <c r="J1916" s="30" t="s">
        <v>635</v>
      </c>
      <c r="K1916" s="30"/>
      <c r="L1916" s="30" t="s">
        <v>108</v>
      </c>
      <c r="M1916" s="30" t="s">
        <v>109</v>
      </c>
      <c r="N1916" s="30" t="s">
        <v>114</v>
      </c>
      <c r="O1916" s="30" t="s">
        <v>116</v>
      </c>
      <c r="P1916" s="30" t="s">
        <v>112</v>
      </c>
      <c r="Q1916" s="30" t="s">
        <v>112</v>
      </c>
      <c r="R1916" s="30" t="s">
        <v>185</v>
      </c>
      <c r="S1916" s="81">
        <f>HLOOKUP(L1916,データについて!$J$6:$M$18,13,FALSE)</f>
        <v>1</v>
      </c>
      <c r="T1916" s="81">
        <f>HLOOKUP(M1916,データについて!$J$7:$M$18,12,FALSE)</f>
        <v>2</v>
      </c>
      <c r="U1916" s="81">
        <f>HLOOKUP(N1916,データについて!$J$8:$M$18,11,FALSE)</f>
        <v>1</v>
      </c>
      <c r="V1916" s="81">
        <f>HLOOKUP(O1916,データについて!$J$9:$M$18,10,FALSE)</f>
        <v>2</v>
      </c>
      <c r="W1916" s="81">
        <f>HLOOKUP(P1916,データについて!$J$10:$M$18,9,FALSE)</f>
        <v>1</v>
      </c>
      <c r="X1916" s="81">
        <f>HLOOKUP(Q1916,データについて!$J$11:$M$18,8,FALSE)</f>
        <v>1</v>
      </c>
      <c r="Y1916" s="81">
        <f>HLOOKUP(R1916,データについて!$J$12:$M$18,7,FALSE)</f>
        <v>2</v>
      </c>
      <c r="Z1916" s="81">
        <f>HLOOKUP(I1916,データについて!$J$3:$M$18,16,FALSE)</f>
        <v>1</v>
      </c>
      <c r="AA1916" s="81">
        <f>IFERROR(HLOOKUP(J1916,データについて!$J$4:$AH$19,16,FALSE),"")</f>
        <v>9</v>
      </c>
      <c r="AB1916" s="81" t="str">
        <f>IFERROR(HLOOKUP(K1916,データについて!$J$5:$AH$20,14,FALSE),"")</f>
        <v/>
      </c>
      <c r="AC1916" s="81">
        <f>IF(X1916=1,HLOOKUP(R1916,データについて!$J$12:$M$18,7,FALSE),"*")</f>
        <v>2</v>
      </c>
      <c r="AD1916" s="81" t="str">
        <f>IF(X1916=2,HLOOKUP(R1916,データについて!$J$12:$M$18,7,FALSE),"*")</f>
        <v>*</v>
      </c>
    </row>
    <row r="1917" spans="1:30">
      <c r="A1917" s="30">
        <v>3275</v>
      </c>
      <c r="B1917" s="30" t="s">
        <v>1886</v>
      </c>
      <c r="C1917" s="30" t="s">
        <v>1887</v>
      </c>
      <c r="D1917" s="30" t="s">
        <v>106</v>
      </c>
      <c r="E1917" s="30"/>
      <c r="F1917" s="30" t="s">
        <v>107</v>
      </c>
      <c r="G1917" s="30" t="s">
        <v>106</v>
      </c>
      <c r="H1917" s="30"/>
      <c r="I1917" s="30" t="s">
        <v>192</v>
      </c>
      <c r="J1917" s="30" t="s">
        <v>635</v>
      </c>
      <c r="K1917" s="30"/>
      <c r="L1917" s="30" t="s">
        <v>108</v>
      </c>
      <c r="M1917" s="30" t="s">
        <v>124</v>
      </c>
      <c r="N1917" s="30" t="s">
        <v>119</v>
      </c>
      <c r="O1917" s="30" t="s">
        <v>123</v>
      </c>
      <c r="P1917" s="30" t="s">
        <v>112</v>
      </c>
      <c r="Q1917" s="30" t="s">
        <v>112</v>
      </c>
      <c r="R1917" s="30" t="s">
        <v>189</v>
      </c>
      <c r="S1917" s="81">
        <f>HLOOKUP(L1917,データについて!$J$6:$M$18,13,FALSE)</f>
        <v>1</v>
      </c>
      <c r="T1917" s="81">
        <f>HLOOKUP(M1917,データについて!$J$7:$M$18,12,FALSE)</f>
        <v>3</v>
      </c>
      <c r="U1917" s="81">
        <f>HLOOKUP(N1917,データについて!$J$8:$M$18,11,FALSE)</f>
        <v>4</v>
      </c>
      <c r="V1917" s="81">
        <f>HLOOKUP(O1917,データについて!$J$9:$M$18,10,FALSE)</f>
        <v>4</v>
      </c>
      <c r="W1917" s="81">
        <f>HLOOKUP(P1917,データについて!$J$10:$M$18,9,FALSE)</f>
        <v>1</v>
      </c>
      <c r="X1917" s="81">
        <f>HLOOKUP(Q1917,データについて!$J$11:$M$18,8,FALSE)</f>
        <v>1</v>
      </c>
      <c r="Y1917" s="81">
        <f>HLOOKUP(R1917,データについて!$J$12:$M$18,7,FALSE)</f>
        <v>4</v>
      </c>
      <c r="Z1917" s="81">
        <f>HLOOKUP(I1917,データについて!$J$3:$M$18,16,FALSE)</f>
        <v>1</v>
      </c>
      <c r="AA1917" s="81">
        <f>IFERROR(HLOOKUP(J1917,データについて!$J$4:$AH$19,16,FALSE),"")</f>
        <v>9</v>
      </c>
      <c r="AB1917" s="81" t="str">
        <f>IFERROR(HLOOKUP(K1917,データについて!$J$5:$AH$20,14,FALSE),"")</f>
        <v/>
      </c>
      <c r="AC1917" s="81">
        <f>IF(X1917=1,HLOOKUP(R1917,データについて!$J$12:$M$18,7,FALSE),"*")</f>
        <v>4</v>
      </c>
      <c r="AD1917" s="81" t="str">
        <f>IF(X1917=2,HLOOKUP(R1917,データについて!$J$12:$M$18,7,FALSE),"*")</f>
        <v>*</v>
      </c>
    </row>
    <row r="1918" spans="1:30">
      <c r="A1918" s="30">
        <v>3274</v>
      </c>
      <c r="B1918" s="30" t="s">
        <v>1888</v>
      </c>
      <c r="C1918" s="30" t="s">
        <v>1889</v>
      </c>
      <c r="D1918" s="30" t="s">
        <v>106</v>
      </c>
      <c r="E1918" s="30"/>
      <c r="F1918" s="30" t="s">
        <v>107</v>
      </c>
      <c r="G1918" s="30" t="s">
        <v>106</v>
      </c>
      <c r="H1918" s="30"/>
      <c r="I1918" s="30" t="s">
        <v>192</v>
      </c>
      <c r="J1918" s="30" t="s">
        <v>635</v>
      </c>
      <c r="K1918" s="30"/>
      <c r="L1918" s="30" t="s">
        <v>117</v>
      </c>
      <c r="M1918" s="30" t="s">
        <v>109</v>
      </c>
      <c r="N1918" s="30" t="s">
        <v>114</v>
      </c>
      <c r="O1918" s="30" t="s">
        <v>115</v>
      </c>
      <c r="P1918" s="30" t="s">
        <v>112</v>
      </c>
      <c r="Q1918" s="30" t="s">
        <v>112</v>
      </c>
      <c r="R1918" s="30" t="s">
        <v>185</v>
      </c>
      <c r="S1918" s="81">
        <f>HLOOKUP(L1918,データについて!$J$6:$M$18,13,FALSE)</f>
        <v>2</v>
      </c>
      <c r="T1918" s="81">
        <f>HLOOKUP(M1918,データについて!$J$7:$M$18,12,FALSE)</f>
        <v>2</v>
      </c>
      <c r="U1918" s="81">
        <f>HLOOKUP(N1918,データについて!$J$8:$M$18,11,FALSE)</f>
        <v>1</v>
      </c>
      <c r="V1918" s="81">
        <f>HLOOKUP(O1918,データについて!$J$9:$M$18,10,FALSE)</f>
        <v>1</v>
      </c>
      <c r="W1918" s="81">
        <f>HLOOKUP(P1918,データについて!$J$10:$M$18,9,FALSE)</f>
        <v>1</v>
      </c>
      <c r="X1918" s="81">
        <f>HLOOKUP(Q1918,データについて!$J$11:$M$18,8,FALSE)</f>
        <v>1</v>
      </c>
      <c r="Y1918" s="81">
        <f>HLOOKUP(R1918,データについて!$J$12:$M$18,7,FALSE)</f>
        <v>2</v>
      </c>
      <c r="Z1918" s="81">
        <f>HLOOKUP(I1918,データについて!$J$3:$M$18,16,FALSE)</f>
        <v>1</v>
      </c>
      <c r="AA1918" s="81">
        <f>IFERROR(HLOOKUP(J1918,データについて!$J$4:$AH$19,16,FALSE),"")</f>
        <v>9</v>
      </c>
      <c r="AB1918" s="81" t="str">
        <f>IFERROR(HLOOKUP(K1918,データについて!$J$5:$AH$20,14,FALSE),"")</f>
        <v/>
      </c>
      <c r="AC1918" s="81">
        <f>IF(X1918=1,HLOOKUP(R1918,データについて!$J$12:$M$18,7,FALSE),"*")</f>
        <v>2</v>
      </c>
      <c r="AD1918" s="81" t="str">
        <f>IF(X1918=2,HLOOKUP(R1918,データについて!$J$12:$M$18,7,FALSE),"*")</f>
        <v>*</v>
      </c>
    </row>
    <row r="1919" spans="1:30">
      <c r="A1919" s="30">
        <v>3273</v>
      </c>
      <c r="B1919" s="30" t="s">
        <v>1890</v>
      </c>
      <c r="C1919" s="30" t="s">
        <v>1891</v>
      </c>
      <c r="D1919" s="30" t="s">
        <v>106</v>
      </c>
      <c r="E1919" s="30"/>
      <c r="F1919" s="30" t="s">
        <v>107</v>
      </c>
      <c r="G1919" s="30" t="s">
        <v>106</v>
      </c>
      <c r="H1919" s="30"/>
      <c r="I1919" s="30" t="s">
        <v>192</v>
      </c>
      <c r="J1919" s="30" t="s">
        <v>635</v>
      </c>
      <c r="K1919" s="30"/>
      <c r="L1919" s="30" t="s">
        <v>117</v>
      </c>
      <c r="M1919" s="30" t="s">
        <v>109</v>
      </c>
      <c r="N1919" s="30" t="s">
        <v>114</v>
      </c>
      <c r="O1919" s="30" t="s">
        <v>116</v>
      </c>
      <c r="P1919" s="30" t="s">
        <v>112</v>
      </c>
      <c r="Q1919" s="30" t="s">
        <v>112</v>
      </c>
      <c r="R1919" s="30" t="s">
        <v>183</v>
      </c>
      <c r="S1919" s="81">
        <f>HLOOKUP(L1919,データについて!$J$6:$M$18,13,FALSE)</f>
        <v>2</v>
      </c>
      <c r="T1919" s="81">
        <f>HLOOKUP(M1919,データについて!$J$7:$M$18,12,FALSE)</f>
        <v>2</v>
      </c>
      <c r="U1919" s="81">
        <f>HLOOKUP(N1919,データについて!$J$8:$M$18,11,FALSE)</f>
        <v>1</v>
      </c>
      <c r="V1919" s="81">
        <f>HLOOKUP(O1919,データについて!$J$9:$M$18,10,FALSE)</f>
        <v>2</v>
      </c>
      <c r="W1919" s="81">
        <f>HLOOKUP(P1919,データについて!$J$10:$M$18,9,FALSE)</f>
        <v>1</v>
      </c>
      <c r="X1919" s="81">
        <f>HLOOKUP(Q1919,データについて!$J$11:$M$18,8,FALSE)</f>
        <v>1</v>
      </c>
      <c r="Y1919" s="81">
        <f>HLOOKUP(R1919,データについて!$J$12:$M$18,7,FALSE)</f>
        <v>1</v>
      </c>
      <c r="Z1919" s="81">
        <f>HLOOKUP(I1919,データについて!$J$3:$M$18,16,FALSE)</f>
        <v>1</v>
      </c>
      <c r="AA1919" s="81">
        <f>IFERROR(HLOOKUP(J1919,データについて!$J$4:$AH$19,16,FALSE),"")</f>
        <v>9</v>
      </c>
      <c r="AB1919" s="81" t="str">
        <f>IFERROR(HLOOKUP(K1919,データについて!$J$5:$AH$20,14,FALSE),"")</f>
        <v/>
      </c>
      <c r="AC1919" s="81">
        <f>IF(X1919=1,HLOOKUP(R1919,データについて!$J$12:$M$18,7,FALSE),"*")</f>
        <v>1</v>
      </c>
      <c r="AD1919" s="81" t="str">
        <f>IF(X1919=2,HLOOKUP(R1919,データについて!$J$12:$M$18,7,FALSE),"*")</f>
        <v>*</v>
      </c>
    </row>
    <row r="1920" spans="1:30">
      <c r="A1920" s="30">
        <v>3272</v>
      </c>
      <c r="B1920" s="30" t="s">
        <v>1892</v>
      </c>
      <c r="C1920" s="30" t="s">
        <v>1893</v>
      </c>
      <c r="D1920" s="30" t="s">
        <v>106</v>
      </c>
      <c r="E1920" s="30"/>
      <c r="F1920" s="30" t="s">
        <v>107</v>
      </c>
      <c r="G1920" s="30" t="s">
        <v>106</v>
      </c>
      <c r="H1920" s="30"/>
      <c r="I1920" s="30" t="s">
        <v>192</v>
      </c>
      <c r="J1920" s="30" t="s">
        <v>635</v>
      </c>
      <c r="K1920" s="30"/>
      <c r="L1920" s="30" t="s">
        <v>108</v>
      </c>
      <c r="M1920" s="30" t="s">
        <v>113</v>
      </c>
      <c r="N1920" s="30" t="s">
        <v>110</v>
      </c>
      <c r="O1920" s="30" t="s">
        <v>115</v>
      </c>
      <c r="P1920" s="30" t="s">
        <v>112</v>
      </c>
      <c r="Q1920" s="30" t="s">
        <v>112</v>
      </c>
      <c r="R1920" s="30" t="s">
        <v>185</v>
      </c>
      <c r="S1920" s="81">
        <f>HLOOKUP(L1920,データについて!$J$6:$M$18,13,FALSE)</f>
        <v>1</v>
      </c>
      <c r="T1920" s="81">
        <f>HLOOKUP(M1920,データについて!$J$7:$M$18,12,FALSE)</f>
        <v>1</v>
      </c>
      <c r="U1920" s="81">
        <f>HLOOKUP(N1920,データについて!$J$8:$M$18,11,FALSE)</f>
        <v>2</v>
      </c>
      <c r="V1920" s="81">
        <f>HLOOKUP(O1920,データについて!$J$9:$M$18,10,FALSE)</f>
        <v>1</v>
      </c>
      <c r="W1920" s="81">
        <f>HLOOKUP(P1920,データについて!$J$10:$M$18,9,FALSE)</f>
        <v>1</v>
      </c>
      <c r="X1920" s="81">
        <f>HLOOKUP(Q1920,データについて!$J$11:$M$18,8,FALSE)</f>
        <v>1</v>
      </c>
      <c r="Y1920" s="81">
        <f>HLOOKUP(R1920,データについて!$J$12:$M$18,7,FALSE)</f>
        <v>2</v>
      </c>
      <c r="Z1920" s="81">
        <f>HLOOKUP(I1920,データについて!$J$3:$M$18,16,FALSE)</f>
        <v>1</v>
      </c>
      <c r="AA1920" s="81">
        <f>IFERROR(HLOOKUP(J1920,データについて!$J$4:$AH$19,16,FALSE),"")</f>
        <v>9</v>
      </c>
      <c r="AB1920" s="81" t="str">
        <f>IFERROR(HLOOKUP(K1920,データについて!$J$5:$AH$20,14,FALSE),"")</f>
        <v/>
      </c>
      <c r="AC1920" s="81">
        <f>IF(X1920=1,HLOOKUP(R1920,データについて!$J$12:$M$18,7,FALSE),"*")</f>
        <v>2</v>
      </c>
      <c r="AD1920" s="81" t="str">
        <f>IF(X1920=2,HLOOKUP(R1920,データについて!$J$12:$M$18,7,FALSE),"*")</f>
        <v>*</v>
      </c>
    </row>
    <row r="1921" spans="1:30">
      <c r="A1921" s="30">
        <v>3271</v>
      </c>
      <c r="B1921" s="30" t="s">
        <v>1894</v>
      </c>
      <c r="C1921" s="30" t="s">
        <v>1895</v>
      </c>
      <c r="D1921" s="30" t="s">
        <v>106</v>
      </c>
      <c r="E1921" s="30"/>
      <c r="F1921" s="30" t="s">
        <v>107</v>
      </c>
      <c r="G1921" s="30" t="s">
        <v>106</v>
      </c>
      <c r="H1921" s="30"/>
      <c r="I1921" s="30" t="s">
        <v>192</v>
      </c>
      <c r="J1921" s="30" t="s">
        <v>635</v>
      </c>
      <c r="K1921" s="30"/>
      <c r="L1921" s="30" t="s">
        <v>117</v>
      </c>
      <c r="M1921" s="30" t="s">
        <v>113</v>
      </c>
      <c r="N1921" s="30" t="s">
        <v>114</v>
      </c>
      <c r="O1921" s="30" t="s">
        <v>115</v>
      </c>
      <c r="P1921" s="30" t="s">
        <v>112</v>
      </c>
      <c r="Q1921" s="30" t="s">
        <v>112</v>
      </c>
      <c r="R1921" s="30" t="s">
        <v>185</v>
      </c>
      <c r="S1921" s="81">
        <f>HLOOKUP(L1921,データについて!$J$6:$M$18,13,FALSE)</f>
        <v>2</v>
      </c>
      <c r="T1921" s="81">
        <f>HLOOKUP(M1921,データについて!$J$7:$M$18,12,FALSE)</f>
        <v>1</v>
      </c>
      <c r="U1921" s="81">
        <f>HLOOKUP(N1921,データについて!$J$8:$M$18,11,FALSE)</f>
        <v>1</v>
      </c>
      <c r="V1921" s="81">
        <f>HLOOKUP(O1921,データについて!$J$9:$M$18,10,FALSE)</f>
        <v>1</v>
      </c>
      <c r="W1921" s="81">
        <f>HLOOKUP(P1921,データについて!$J$10:$M$18,9,FALSE)</f>
        <v>1</v>
      </c>
      <c r="X1921" s="81">
        <f>HLOOKUP(Q1921,データについて!$J$11:$M$18,8,FALSE)</f>
        <v>1</v>
      </c>
      <c r="Y1921" s="81">
        <f>HLOOKUP(R1921,データについて!$J$12:$M$18,7,FALSE)</f>
        <v>2</v>
      </c>
      <c r="Z1921" s="81">
        <f>HLOOKUP(I1921,データについて!$J$3:$M$18,16,FALSE)</f>
        <v>1</v>
      </c>
      <c r="AA1921" s="81">
        <f>IFERROR(HLOOKUP(J1921,データについて!$J$4:$AH$19,16,FALSE),"")</f>
        <v>9</v>
      </c>
      <c r="AB1921" s="81" t="str">
        <f>IFERROR(HLOOKUP(K1921,データについて!$J$5:$AH$20,14,FALSE),"")</f>
        <v/>
      </c>
      <c r="AC1921" s="81">
        <f>IF(X1921=1,HLOOKUP(R1921,データについて!$J$12:$M$18,7,FALSE),"*")</f>
        <v>2</v>
      </c>
      <c r="AD1921" s="81" t="str">
        <f>IF(X1921=2,HLOOKUP(R1921,データについて!$J$12:$M$18,7,FALSE),"*")</f>
        <v>*</v>
      </c>
    </row>
    <row r="1922" spans="1:30">
      <c r="A1922" s="30">
        <v>3270</v>
      </c>
      <c r="B1922" s="30" t="s">
        <v>1896</v>
      </c>
      <c r="C1922" s="30" t="s">
        <v>1897</v>
      </c>
      <c r="D1922" s="30" t="s">
        <v>106</v>
      </c>
      <c r="E1922" s="30"/>
      <c r="F1922" s="30" t="s">
        <v>107</v>
      </c>
      <c r="G1922" s="30" t="s">
        <v>106</v>
      </c>
      <c r="H1922" s="30"/>
      <c r="I1922" s="30" t="s">
        <v>192</v>
      </c>
      <c r="J1922" s="30" t="s">
        <v>635</v>
      </c>
      <c r="K1922" s="30"/>
      <c r="L1922" s="30" t="s">
        <v>108</v>
      </c>
      <c r="M1922" s="30" t="s">
        <v>113</v>
      </c>
      <c r="N1922" s="30" t="s">
        <v>114</v>
      </c>
      <c r="O1922" s="30" t="s">
        <v>115</v>
      </c>
      <c r="P1922" s="30" t="s">
        <v>112</v>
      </c>
      <c r="Q1922" s="30" t="s">
        <v>118</v>
      </c>
      <c r="R1922" s="30" t="s">
        <v>185</v>
      </c>
      <c r="S1922" s="81">
        <f>HLOOKUP(L1922,データについて!$J$6:$M$18,13,FALSE)</f>
        <v>1</v>
      </c>
      <c r="T1922" s="81">
        <f>HLOOKUP(M1922,データについて!$J$7:$M$18,12,FALSE)</f>
        <v>1</v>
      </c>
      <c r="U1922" s="81">
        <f>HLOOKUP(N1922,データについて!$J$8:$M$18,11,FALSE)</f>
        <v>1</v>
      </c>
      <c r="V1922" s="81">
        <f>HLOOKUP(O1922,データについて!$J$9:$M$18,10,FALSE)</f>
        <v>1</v>
      </c>
      <c r="W1922" s="81">
        <f>HLOOKUP(P1922,データについて!$J$10:$M$18,9,FALSE)</f>
        <v>1</v>
      </c>
      <c r="X1922" s="81">
        <f>HLOOKUP(Q1922,データについて!$J$11:$M$18,8,FALSE)</f>
        <v>2</v>
      </c>
      <c r="Y1922" s="81">
        <f>HLOOKUP(R1922,データについて!$J$12:$M$18,7,FALSE)</f>
        <v>2</v>
      </c>
      <c r="Z1922" s="81">
        <f>HLOOKUP(I1922,データについて!$J$3:$M$18,16,FALSE)</f>
        <v>1</v>
      </c>
      <c r="AA1922" s="81">
        <f>IFERROR(HLOOKUP(J1922,データについて!$J$4:$AH$19,16,FALSE),"")</f>
        <v>9</v>
      </c>
      <c r="AB1922" s="81" t="str">
        <f>IFERROR(HLOOKUP(K1922,データについて!$J$5:$AH$20,14,FALSE),"")</f>
        <v/>
      </c>
      <c r="AC1922" s="81" t="str">
        <f>IF(X1922=1,HLOOKUP(R1922,データについて!$J$12:$M$18,7,FALSE),"*")</f>
        <v>*</v>
      </c>
      <c r="AD1922" s="81">
        <f>IF(X1922=2,HLOOKUP(R1922,データについて!$J$12:$M$18,7,FALSE),"*")</f>
        <v>2</v>
      </c>
    </row>
    <row r="1923" spans="1:30">
      <c r="A1923" s="30">
        <v>3269</v>
      </c>
      <c r="B1923" s="30" t="s">
        <v>1898</v>
      </c>
      <c r="C1923" s="30" t="s">
        <v>1899</v>
      </c>
      <c r="D1923" s="30" t="s">
        <v>106</v>
      </c>
      <c r="E1923" s="30"/>
      <c r="F1923" s="30" t="s">
        <v>107</v>
      </c>
      <c r="G1923" s="30" t="s">
        <v>106</v>
      </c>
      <c r="H1923" s="30"/>
      <c r="I1923" s="30" t="s">
        <v>192</v>
      </c>
      <c r="J1923" s="30" t="s">
        <v>635</v>
      </c>
      <c r="K1923" s="30"/>
      <c r="L1923" s="30" t="s">
        <v>108</v>
      </c>
      <c r="M1923" s="30" t="s">
        <v>109</v>
      </c>
      <c r="N1923" s="30" t="s">
        <v>110</v>
      </c>
      <c r="O1923" s="30" t="s">
        <v>115</v>
      </c>
      <c r="P1923" s="30" t="s">
        <v>112</v>
      </c>
      <c r="Q1923" s="30" t="s">
        <v>112</v>
      </c>
      <c r="R1923" s="30" t="s">
        <v>185</v>
      </c>
      <c r="S1923" s="81">
        <f>HLOOKUP(L1923,データについて!$J$6:$M$18,13,FALSE)</f>
        <v>1</v>
      </c>
      <c r="T1923" s="81">
        <f>HLOOKUP(M1923,データについて!$J$7:$M$18,12,FALSE)</f>
        <v>2</v>
      </c>
      <c r="U1923" s="81">
        <f>HLOOKUP(N1923,データについて!$J$8:$M$18,11,FALSE)</f>
        <v>2</v>
      </c>
      <c r="V1923" s="81">
        <f>HLOOKUP(O1923,データについて!$J$9:$M$18,10,FALSE)</f>
        <v>1</v>
      </c>
      <c r="W1923" s="81">
        <f>HLOOKUP(P1923,データについて!$J$10:$M$18,9,FALSE)</f>
        <v>1</v>
      </c>
      <c r="X1923" s="81">
        <f>HLOOKUP(Q1923,データについて!$J$11:$M$18,8,FALSE)</f>
        <v>1</v>
      </c>
      <c r="Y1923" s="81">
        <f>HLOOKUP(R1923,データについて!$J$12:$M$18,7,FALSE)</f>
        <v>2</v>
      </c>
      <c r="Z1923" s="81">
        <f>HLOOKUP(I1923,データについて!$J$3:$M$18,16,FALSE)</f>
        <v>1</v>
      </c>
      <c r="AA1923" s="81">
        <f>IFERROR(HLOOKUP(J1923,データについて!$J$4:$AH$19,16,FALSE),"")</f>
        <v>9</v>
      </c>
      <c r="AB1923" s="81" t="str">
        <f>IFERROR(HLOOKUP(K1923,データについて!$J$5:$AH$20,14,FALSE),"")</f>
        <v/>
      </c>
      <c r="AC1923" s="81">
        <f>IF(X1923=1,HLOOKUP(R1923,データについて!$J$12:$M$18,7,FALSE),"*")</f>
        <v>2</v>
      </c>
      <c r="AD1923" s="81" t="str">
        <f>IF(X1923=2,HLOOKUP(R1923,データについて!$J$12:$M$18,7,FALSE),"*")</f>
        <v>*</v>
      </c>
    </row>
    <row r="1924" spans="1:30">
      <c r="A1924" s="30">
        <v>3268</v>
      </c>
      <c r="B1924" s="30" t="s">
        <v>1900</v>
      </c>
      <c r="C1924" s="30" t="s">
        <v>1901</v>
      </c>
      <c r="D1924" s="30" t="s">
        <v>106</v>
      </c>
      <c r="E1924" s="30"/>
      <c r="F1924" s="30" t="s">
        <v>107</v>
      </c>
      <c r="G1924" s="30" t="s">
        <v>106</v>
      </c>
      <c r="H1924" s="30"/>
      <c r="I1924" s="30" t="s">
        <v>192</v>
      </c>
      <c r="J1924" s="30" t="s">
        <v>635</v>
      </c>
      <c r="K1924" s="30"/>
      <c r="L1924" s="30" t="s">
        <v>117</v>
      </c>
      <c r="M1924" s="30" t="s">
        <v>113</v>
      </c>
      <c r="N1924" s="30" t="s">
        <v>114</v>
      </c>
      <c r="O1924" s="30" t="s">
        <v>115</v>
      </c>
      <c r="P1924" s="30" t="s">
        <v>112</v>
      </c>
      <c r="Q1924" s="30" t="s">
        <v>112</v>
      </c>
      <c r="R1924" s="30" t="s">
        <v>183</v>
      </c>
      <c r="S1924" s="81">
        <f>HLOOKUP(L1924,データについて!$J$6:$M$18,13,FALSE)</f>
        <v>2</v>
      </c>
      <c r="T1924" s="81">
        <f>HLOOKUP(M1924,データについて!$J$7:$M$18,12,FALSE)</f>
        <v>1</v>
      </c>
      <c r="U1924" s="81">
        <f>HLOOKUP(N1924,データについて!$J$8:$M$18,11,FALSE)</f>
        <v>1</v>
      </c>
      <c r="V1924" s="81">
        <f>HLOOKUP(O1924,データについて!$J$9:$M$18,10,FALSE)</f>
        <v>1</v>
      </c>
      <c r="W1924" s="81">
        <f>HLOOKUP(P1924,データについて!$J$10:$M$18,9,FALSE)</f>
        <v>1</v>
      </c>
      <c r="X1924" s="81">
        <f>HLOOKUP(Q1924,データについて!$J$11:$M$18,8,FALSE)</f>
        <v>1</v>
      </c>
      <c r="Y1924" s="81">
        <f>HLOOKUP(R1924,データについて!$J$12:$M$18,7,FALSE)</f>
        <v>1</v>
      </c>
      <c r="Z1924" s="81">
        <f>HLOOKUP(I1924,データについて!$J$3:$M$18,16,FALSE)</f>
        <v>1</v>
      </c>
      <c r="AA1924" s="81">
        <f>IFERROR(HLOOKUP(J1924,データについて!$J$4:$AH$19,16,FALSE),"")</f>
        <v>9</v>
      </c>
      <c r="AB1924" s="81" t="str">
        <f>IFERROR(HLOOKUP(K1924,データについて!$J$5:$AH$20,14,FALSE),"")</f>
        <v/>
      </c>
      <c r="AC1924" s="81">
        <f>IF(X1924=1,HLOOKUP(R1924,データについて!$J$12:$M$18,7,FALSE),"*")</f>
        <v>1</v>
      </c>
      <c r="AD1924" s="81" t="str">
        <f>IF(X1924=2,HLOOKUP(R1924,データについて!$J$12:$M$18,7,FALSE),"*")</f>
        <v>*</v>
      </c>
    </row>
    <row r="1925" spans="1:30">
      <c r="A1925" s="30">
        <v>3267</v>
      </c>
      <c r="B1925" s="30" t="s">
        <v>1902</v>
      </c>
      <c r="C1925" s="30" t="s">
        <v>1903</v>
      </c>
      <c r="D1925" s="30" t="s">
        <v>106</v>
      </c>
      <c r="E1925" s="30"/>
      <c r="F1925" s="30" t="s">
        <v>107</v>
      </c>
      <c r="G1925" s="30" t="s">
        <v>106</v>
      </c>
      <c r="H1925" s="30"/>
      <c r="I1925" s="30" t="s">
        <v>192</v>
      </c>
      <c r="J1925" s="30" t="s">
        <v>635</v>
      </c>
      <c r="K1925" s="30"/>
      <c r="L1925" s="30" t="s">
        <v>117</v>
      </c>
      <c r="M1925" s="30" t="s">
        <v>109</v>
      </c>
      <c r="N1925" s="30" t="s">
        <v>114</v>
      </c>
      <c r="O1925" s="30" t="s">
        <v>116</v>
      </c>
      <c r="P1925" s="30" t="s">
        <v>112</v>
      </c>
      <c r="Q1925" s="30" t="s">
        <v>112</v>
      </c>
      <c r="R1925" s="30" t="s">
        <v>183</v>
      </c>
      <c r="S1925" s="81">
        <f>HLOOKUP(L1925,データについて!$J$6:$M$18,13,FALSE)</f>
        <v>2</v>
      </c>
      <c r="T1925" s="81">
        <f>HLOOKUP(M1925,データについて!$J$7:$M$18,12,FALSE)</f>
        <v>2</v>
      </c>
      <c r="U1925" s="81">
        <f>HLOOKUP(N1925,データについて!$J$8:$M$18,11,FALSE)</f>
        <v>1</v>
      </c>
      <c r="V1925" s="81">
        <f>HLOOKUP(O1925,データについて!$J$9:$M$18,10,FALSE)</f>
        <v>2</v>
      </c>
      <c r="W1925" s="81">
        <f>HLOOKUP(P1925,データについて!$J$10:$M$18,9,FALSE)</f>
        <v>1</v>
      </c>
      <c r="X1925" s="81">
        <f>HLOOKUP(Q1925,データについて!$J$11:$M$18,8,FALSE)</f>
        <v>1</v>
      </c>
      <c r="Y1925" s="81">
        <f>HLOOKUP(R1925,データについて!$J$12:$M$18,7,FALSE)</f>
        <v>1</v>
      </c>
      <c r="Z1925" s="81">
        <f>HLOOKUP(I1925,データについて!$J$3:$M$18,16,FALSE)</f>
        <v>1</v>
      </c>
      <c r="AA1925" s="81">
        <f>IFERROR(HLOOKUP(J1925,データについて!$J$4:$AH$19,16,FALSE),"")</f>
        <v>9</v>
      </c>
      <c r="AB1925" s="81" t="str">
        <f>IFERROR(HLOOKUP(K1925,データについて!$J$5:$AH$20,14,FALSE),"")</f>
        <v/>
      </c>
      <c r="AC1925" s="81">
        <f>IF(X1925=1,HLOOKUP(R1925,データについて!$J$12:$M$18,7,FALSE),"*")</f>
        <v>1</v>
      </c>
      <c r="AD1925" s="81" t="str">
        <f>IF(X1925=2,HLOOKUP(R1925,データについて!$J$12:$M$18,7,FALSE),"*")</f>
        <v>*</v>
      </c>
    </row>
    <row r="1926" spans="1:30">
      <c r="A1926" s="30">
        <v>3266</v>
      </c>
      <c r="B1926" s="30" t="s">
        <v>1904</v>
      </c>
      <c r="C1926" s="30" t="s">
        <v>1905</v>
      </c>
      <c r="D1926" s="30" t="s">
        <v>106</v>
      </c>
      <c r="E1926" s="30"/>
      <c r="F1926" s="30" t="s">
        <v>107</v>
      </c>
      <c r="G1926" s="30" t="s">
        <v>106</v>
      </c>
      <c r="H1926" s="30"/>
      <c r="I1926" s="30" t="s">
        <v>192</v>
      </c>
      <c r="J1926" s="30" t="s">
        <v>635</v>
      </c>
      <c r="K1926" s="30"/>
      <c r="L1926" s="30" t="s">
        <v>108</v>
      </c>
      <c r="M1926" s="30" t="s">
        <v>113</v>
      </c>
      <c r="N1926" s="30" t="s">
        <v>114</v>
      </c>
      <c r="O1926" s="30" t="s">
        <v>115</v>
      </c>
      <c r="P1926" s="30" t="s">
        <v>112</v>
      </c>
      <c r="Q1926" s="30" t="s">
        <v>112</v>
      </c>
      <c r="R1926" s="30" t="s">
        <v>185</v>
      </c>
      <c r="S1926" s="81">
        <f>HLOOKUP(L1926,データについて!$J$6:$M$18,13,FALSE)</f>
        <v>1</v>
      </c>
      <c r="T1926" s="81">
        <f>HLOOKUP(M1926,データについて!$J$7:$M$18,12,FALSE)</f>
        <v>1</v>
      </c>
      <c r="U1926" s="81">
        <f>HLOOKUP(N1926,データについて!$J$8:$M$18,11,FALSE)</f>
        <v>1</v>
      </c>
      <c r="V1926" s="81">
        <f>HLOOKUP(O1926,データについて!$J$9:$M$18,10,FALSE)</f>
        <v>1</v>
      </c>
      <c r="W1926" s="81">
        <f>HLOOKUP(P1926,データについて!$J$10:$M$18,9,FALSE)</f>
        <v>1</v>
      </c>
      <c r="X1926" s="81">
        <f>HLOOKUP(Q1926,データについて!$J$11:$M$18,8,FALSE)</f>
        <v>1</v>
      </c>
      <c r="Y1926" s="81">
        <f>HLOOKUP(R1926,データについて!$J$12:$M$18,7,FALSE)</f>
        <v>2</v>
      </c>
      <c r="Z1926" s="81">
        <f>HLOOKUP(I1926,データについて!$J$3:$M$18,16,FALSE)</f>
        <v>1</v>
      </c>
      <c r="AA1926" s="81">
        <f>IFERROR(HLOOKUP(J1926,データについて!$J$4:$AH$19,16,FALSE),"")</f>
        <v>9</v>
      </c>
      <c r="AB1926" s="81" t="str">
        <f>IFERROR(HLOOKUP(K1926,データについて!$J$5:$AH$20,14,FALSE),"")</f>
        <v/>
      </c>
      <c r="AC1926" s="81">
        <f>IF(X1926=1,HLOOKUP(R1926,データについて!$J$12:$M$18,7,FALSE),"*")</f>
        <v>2</v>
      </c>
      <c r="AD1926" s="81" t="str">
        <f>IF(X1926=2,HLOOKUP(R1926,データについて!$J$12:$M$18,7,FALSE),"*")</f>
        <v>*</v>
      </c>
    </row>
    <row r="1927" spans="1:30">
      <c r="A1927" s="30">
        <v>3265</v>
      </c>
      <c r="B1927" s="30" t="s">
        <v>1906</v>
      </c>
      <c r="C1927" s="30" t="s">
        <v>1907</v>
      </c>
      <c r="D1927" s="30" t="s">
        <v>106</v>
      </c>
      <c r="E1927" s="30"/>
      <c r="F1927" s="30" t="s">
        <v>107</v>
      </c>
      <c r="G1927" s="30" t="s">
        <v>106</v>
      </c>
      <c r="H1927" s="30"/>
      <c r="I1927" s="30" t="s">
        <v>192</v>
      </c>
      <c r="J1927" s="30" t="s">
        <v>635</v>
      </c>
      <c r="K1927" s="30"/>
      <c r="L1927" s="30" t="s">
        <v>117</v>
      </c>
      <c r="M1927" s="30" t="s">
        <v>113</v>
      </c>
      <c r="N1927" s="30" t="s">
        <v>110</v>
      </c>
      <c r="O1927" s="30" t="s">
        <v>115</v>
      </c>
      <c r="P1927" s="30" t="s">
        <v>112</v>
      </c>
      <c r="Q1927" s="30" t="s">
        <v>112</v>
      </c>
      <c r="R1927" s="30" t="s">
        <v>185</v>
      </c>
      <c r="S1927" s="81">
        <f>HLOOKUP(L1927,データについて!$J$6:$M$18,13,FALSE)</f>
        <v>2</v>
      </c>
      <c r="T1927" s="81">
        <f>HLOOKUP(M1927,データについて!$J$7:$M$18,12,FALSE)</f>
        <v>1</v>
      </c>
      <c r="U1927" s="81">
        <f>HLOOKUP(N1927,データについて!$J$8:$M$18,11,FALSE)</f>
        <v>2</v>
      </c>
      <c r="V1927" s="81">
        <f>HLOOKUP(O1927,データについて!$J$9:$M$18,10,FALSE)</f>
        <v>1</v>
      </c>
      <c r="W1927" s="81">
        <f>HLOOKUP(P1927,データについて!$J$10:$M$18,9,FALSE)</f>
        <v>1</v>
      </c>
      <c r="X1927" s="81">
        <f>HLOOKUP(Q1927,データについて!$J$11:$M$18,8,FALSE)</f>
        <v>1</v>
      </c>
      <c r="Y1927" s="81">
        <f>HLOOKUP(R1927,データについて!$J$12:$M$18,7,FALSE)</f>
        <v>2</v>
      </c>
      <c r="Z1927" s="81">
        <f>HLOOKUP(I1927,データについて!$J$3:$M$18,16,FALSE)</f>
        <v>1</v>
      </c>
      <c r="AA1927" s="81">
        <f>IFERROR(HLOOKUP(J1927,データについて!$J$4:$AH$19,16,FALSE),"")</f>
        <v>9</v>
      </c>
      <c r="AB1927" s="81" t="str">
        <f>IFERROR(HLOOKUP(K1927,データについて!$J$5:$AH$20,14,FALSE),"")</f>
        <v/>
      </c>
      <c r="AC1927" s="81">
        <f>IF(X1927=1,HLOOKUP(R1927,データについて!$J$12:$M$18,7,FALSE),"*")</f>
        <v>2</v>
      </c>
      <c r="AD1927" s="81" t="str">
        <f>IF(X1927=2,HLOOKUP(R1927,データについて!$J$12:$M$18,7,FALSE),"*")</f>
        <v>*</v>
      </c>
    </row>
    <row r="1928" spans="1:30">
      <c r="A1928" s="30">
        <v>3264</v>
      </c>
      <c r="B1928" s="30" t="s">
        <v>1908</v>
      </c>
      <c r="C1928" s="30" t="s">
        <v>1909</v>
      </c>
      <c r="D1928" s="30" t="s">
        <v>106</v>
      </c>
      <c r="E1928" s="30"/>
      <c r="F1928" s="30" t="s">
        <v>107</v>
      </c>
      <c r="G1928" s="30" t="s">
        <v>106</v>
      </c>
      <c r="H1928" s="30"/>
      <c r="I1928" s="30" t="s">
        <v>192</v>
      </c>
      <c r="J1928" s="30" t="s">
        <v>635</v>
      </c>
      <c r="K1928" s="30"/>
      <c r="L1928" s="30" t="s">
        <v>117</v>
      </c>
      <c r="M1928" s="30" t="s">
        <v>113</v>
      </c>
      <c r="N1928" s="30" t="s">
        <v>110</v>
      </c>
      <c r="O1928" s="30" t="s">
        <v>115</v>
      </c>
      <c r="P1928" s="30" t="s">
        <v>112</v>
      </c>
      <c r="Q1928" s="30" t="s">
        <v>112</v>
      </c>
      <c r="R1928" s="30" t="s">
        <v>187</v>
      </c>
      <c r="S1928" s="81">
        <f>HLOOKUP(L1928,データについて!$J$6:$M$18,13,FALSE)</f>
        <v>2</v>
      </c>
      <c r="T1928" s="81">
        <f>HLOOKUP(M1928,データについて!$J$7:$M$18,12,FALSE)</f>
        <v>1</v>
      </c>
      <c r="U1928" s="81">
        <f>HLOOKUP(N1928,データについて!$J$8:$M$18,11,FALSE)</f>
        <v>2</v>
      </c>
      <c r="V1928" s="81">
        <f>HLOOKUP(O1928,データについて!$J$9:$M$18,10,FALSE)</f>
        <v>1</v>
      </c>
      <c r="W1928" s="81">
        <f>HLOOKUP(P1928,データについて!$J$10:$M$18,9,FALSE)</f>
        <v>1</v>
      </c>
      <c r="X1928" s="81">
        <f>HLOOKUP(Q1928,データについて!$J$11:$M$18,8,FALSE)</f>
        <v>1</v>
      </c>
      <c r="Y1928" s="81">
        <f>HLOOKUP(R1928,データについて!$J$12:$M$18,7,FALSE)</f>
        <v>3</v>
      </c>
      <c r="Z1928" s="81">
        <f>HLOOKUP(I1928,データについて!$J$3:$M$18,16,FALSE)</f>
        <v>1</v>
      </c>
      <c r="AA1928" s="81">
        <f>IFERROR(HLOOKUP(J1928,データについて!$J$4:$AH$19,16,FALSE),"")</f>
        <v>9</v>
      </c>
      <c r="AB1928" s="81" t="str">
        <f>IFERROR(HLOOKUP(K1928,データについて!$J$5:$AH$20,14,FALSE),"")</f>
        <v/>
      </c>
      <c r="AC1928" s="81">
        <f>IF(X1928=1,HLOOKUP(R1928,データについて!$J$12:$M$18,7,FALSE),"*")</f>
        <v>3</v>
      </c>
      <c r="AD1928" s="81" t="str">
        <f>IF(X1928=2,HLOOKUP(R1928,データについて!$J$12:$M$18,7,FALSE),"*")</f>
        <v>*</v>
      </c>
    </row>
    <row r="1929" spans="1:30">
      <c r="A1929" s="30">
        <v>3263</v>
      </c>
      <c r="B1929" s="30" t="s">
        <v>1910</v>
      </c>
      <c r="C1929" s="30" t="s">
        <v>1911</v>
      </c>
      <c r="D1929" s="30" t="s">
        <v>106</v>
      </c>
      <c r="E1929" s="30"/>
      <c r="F1929" s="30" t="s">
        <v>107</v>
      </c>
      <c r="G1929" s="30" t="s">
        <v>106</v>
      </c>
      <c r="H1929" s="30"/>
      <c r="I1929" s="30" t="s">
        <v>192</v>
      </c>
      <c r="J1929" s="30" t="s">
        <v>635</v>
      </c>
      <c r="K1929" s="30"/>
      <c r="L1929" s="30" t="s">
        <v>117</v>
      </c>
      <c r="M1929" s="30" t="s">
        <v>113</v>
      </c>
      <c r="N1929" s="30" t="s">
        <v>114</v>
      </c>
      <c r="O1929" s="30" t="s">
        <v>115</v>
      </c>
      <c r="P1929" s="30" t="s">
        <v>112</v>
      </c>
      <c r="Q1929" s="30" t="s">
        <v>112</v>
      </c>
      <c r="R1929" s="30" t="s">
        <v>183</v>
      </c>
      <c r="S1929" s="81">
        <f>HLOOKUP(L1929,データについて!$J$6:$M$18,13,FALSE)</f>
        <v>2</v>
      </c>
      <c r="T1929" s="81">
        <f>HLOOKUP(M1929,データについて!$J$7:$M$18,12,FALSE)</f>
        <v>1</v>
      </c>
      <c r="U1929" s="81">
        <f>HLOOKUP(N1929,データについて!$J$8:$M$18,11,FALSE)</f>
        <v>1</v>
      </c>
      <c r="V1929" s="81">
        <f>HLOOKUP(O1929,データについて!$J$9:$M$18,10,FALSE)</f>
        <v>1</v>
      </c>
      <c r="W1929" s="81">
        <f>HLOOKUP(P1929,データについて!$J$10:$M$18,9,FALSE)</f>
        <v>1</v>
      </c>
      <c r="X1929" s="81">
        <f>HLOOKUP(Q1929,データについて!$J$11:$M$18,8,FALSE)</f>
        <v>1</v>
      </c>
      <c r="Y1929" s="81">
        <f>HLOOKUP(R1929,データについて!$J$12:$M$18,7,FALSE)</f>
        <v>1</v>
      </c>
      <c r="Z1929" s="81">
        <f>HLOOKUP(I1929,データについて!$J$3:$M$18,16,FALSE)</f>
        <v>1</v>
      </c>
      <c r="AA1929" s="81">
        <f>IFERROR(HLOOKUP(J1929,データについて!$J$4:$AH$19,16,FALSE),"")</f>
        <v>9</v>
      </c>
      <c r="AB1929" s="81" t="str">
        <f>IFERROR(HLOOKUP(K1929,データについて!$J$5:$AH$20,14,FALSE),"")</f>
        <v/>
      </c>
      <c r="AC1929" s="81">
        <f>IF(X1929=1,HLOOKUP(R1929,データについて!$J$12:$M$18,7,FALSE),"*")</f>
        <v>1</v>
      </c>
      <c r="AD1929" s="81" t="str">
        <f>IF(X1929=2,HLOOKUP(R1929,データについて!$J$12:$M$18,7,FALSE),"*")</f>
        <v>*</v>
      </c>
    </row>
    <row r="1930" spans="1:30">
      <c r="A1930" s="30">
        <v>3262</v>
      </c>
      <c r="B1930" s="30" t="s">
        <v>1912</v>
      </c>
      <c r="C1930" s="30" t="s">
        <v>1913</v>
      </c>
      <c r="D1930" s="30" t="s">
        <v>106</v>
      </c>
      <c r="E1930" s="30"/>
      <c r="F1930" s="30" t="s">
        <v>107</v>
      </c>
      <c r="G1930" s="30" t="s">
        <v>106</v>
      </c>
      <c r="H1930" s="30"/>
      <c r="I1930" s="30" t="s">
        <v>192</v>
      </c>
      <c r="J1930" s="30" t="s">
        <v>635</v>
      </c>
      <c r="K1930" s="30"/>
      <c r="L1930" s="30" t="s">
        <v>108</v>
      </c>
      <c r="M1930" s="30" t="s">
        <v>109</v>
      </c>
      <c r="N1930" s="30" t="s">
        <v>110</v>
      </c>
      <c r="O1930" s="30" t="s">
        <v>115</v>
      </c>
      <c r="P1930" s="30" t="s">
        <v>112</v>
      </c>
      <c r="Q1930" s="30" t="s">
        <v>112</v>
      </c>
      <c r="R1930" s="30" t="s">
        <v>185</v>
      </c>
      <c r="S1930" s="81">
        <f>HLOOKUP(L1930,データについて!$J$6:$M$18,13,FALSE)</f>
        <v>1</v>
      </c>
      <c r="T1930" s="81">
        <f>HLOOKUP(M1930,データについて!$J$7:$M$18,12,FALSE)</f>
        <v>2</v>
      </c>
      <c r="U1930" s="81">
        <f>HLOOKUP(N1930,データについて!$J$8:$M$18,11,FALSE)</f>
        <v>2</v>
      </c>
      <c r="V1930" s="81">
        <f>HLOOKUP(O1930,データについて!$J$9:$M$18,10,FALSE)</f>
        <v>1</v>
      </c>
      <c r="W1930" s="81">
        <f>HLOOKUP(P1930,データについて!$J$10:$M$18,9,FALSE)</f>
        <v>1</v>
      </c>
      <c r="X1930" s="81">
        <f>HLOOKUP(Q1930,データについて!$J$11:$M$18,8,FALSE)</f>
        <v>1</v>
      </c>
      <c r="Y1930" s="81">
        <f>HLOOKUP(R1930,データについて!$J$12:$M$18,7,FALSE)</f>
        <v>2</v>
      </c>
      <c r="Z1930" s="81">
        <f>HLOOKUP(I1930,データについて!$J$3:$M$18,16,FALSE)</f>
        <v>1</v>
      </c>
      <c r="AA1930" s="81">
        <f>IFERROR(HLOOKUP(J1930,データについて!$J$4:$AH$19,16,FALSE),"")</f>
        <v>9</v>
      </c>
      <c r="AB1930" s="81" t="str">
        <f>IFERROR(HLOOKUP(K1930,データについて!$J$5:$AH$20,14,FALSE),"")</f>
        <v/>
      </c>
      <c r="AC1930" s="81">
        <f>IF(X1930=1,HLOOKUP(R1930,データについて!$J$12:$M$18,7,FALSE),"*")</f>
        <v>2</v>
      </c>
      <c r="AD1930" s="81" t="str">
        <f>IF(X1930=2,HLOOKUP(R1930,データについて!$J$12:$M$18,7,FALSE),"*")</f>
        <v>*</v>
      </c>
    </row>
    <row r="1931" spans="1:30">
      <c r="A1931" s="30">
        <v>3261</v>
      </c>
      <c r="B1931" s="30" t="s">
        <v>1914</v>
      </c>
      <c r="C1931" s="30" t="s">
        <v>1915</v>
      </c>
      <c r="D1931" s="30" t="s">
        <v>106</v>
      </c>
      <c r="E1931" s="30"/>
      <c r="F1931" s="30" t="s">
        <v>107</v>
      </c>
      <c r="G1931" s="30" t="s">
        <v>106</v>
      </c>
      <c r="H1931" s="30"/>
      <c r="I1931" s="30" t="s">
        <v>192</v>
      </c>
      <c r="J1931" s="30" t="s">
        <v>635</v>
      </c>
      <c r="K1931" s="30"/>
      <c r="L1931" s="30" t="s">
        <v>117</v>
      </c>
      <c r="M1931" s="30" t="s">
        <v>121</v>
      </c>
      <c r="N1931" s="30" t="s">
        <v>110</v>
      </c>
      <c r="O1931" s="30" t="s">
        <v>115</v>
      </c>
      <c r="P1931" s="30" t="s">
        <v>112</v>
      </c>
      <c r="Q1931" s="30" t="s">
        <v>112</v>
      </c>
      <c r="R1931" s="30" t="s">
        <v>189</v>
      </c>
      <c r="S1931" s="81">
        <f>HLOOKUP(L1931,データについて!$J$6:$M$18,13,FALSE)</f>
        <v>2</v>
      </c>
      <c r="T1931" s="81">
        <f>HLOOKUP(M1931,データについて!$J$7:$M$18,12,FALSE)</f>
        <v>4</v>
      </c>
      <c r="U1931" s="81">
        <f>HLOOKUP(N1931,データについて!$J$8:$M$18,11,FALSE)</f>
        <v>2</v>
      </c>
      <c r="V1931" s="81">
        <f>HLOOKUP(O1931,データについて!$J$9:$M$18,10,FALSE)</f>
        <v>1</v>
      </c>
      <c r="W1931" s="81">
        <f>HLOOKUP(P1931,データについて!$J$10:$M$18,9,FALSE)</f>
        <v>1</v>
      </c>
      <c r="X1931" s="81">
        <f>HLOOKUP(Q1931,データについて!$J$11:$M$18,8,FALSE)</f>
        <v>1</v>
      </c>
      <c r="Y1931" s="81">
        <f>HLOOKUP(R1931,データについて!$J$12:$M$18,7,FALSE)</f>
        <v>4</v>
      </c>
      <c r="Z1931" s="81">
        <f>HLOOKUP(I1931,データについて!$J$3:$M$18,16,FALSE)</f>
        <v>1</v>
      </c>
      <c r="AA1931" s="81">
        <f>IFERROR(HLOOKUP(J1931,データについて!$J$4:$AH$19,16,FALSE),"")</f>
        <v>9</v>
      </c>
      <c r="AB1931" s="81" t="str">
        <f>IFERROR(HLOOKUP(K1931,データについて!$J$5:$AH$20,14,FALSE),"")</f>
        <v/>
      </c>
      <c r="AC1931" s="81">
        <f>IF(X1931=1,HLOOKUP(R1931,データについて!$J$12:$M$18,7,FALSE),"*")</f>
        <v>4</v>
      </c>
      <c r="AD1931" s="81" t="str">
        <f>IF(X1931=2,HLOOKUP(R1931,データについて!$J$12:$M$18,7,FALSE),"*")</f>
        <v>*</v>
      </c>
    </row>
    <row r="1932" spans="1:30">
      <c r="A1932" s="30">
        <v>3260</v>
      </c>
      <c r="B1932" s="30" t="s">
        <v>1916</v>
      </c>
      <c r="C1932" s="30" t="s">
        <v>1917</v>
      </c>
      <c r="D1932" s="30" t="s">
        <v>106</v>
      </c>
      <c r="E1932" s="30"/>
      <c r="F1932" s="30" t="s">
        <v>107</v>
      </c>
      <c r="G1932" s="30" t="s">
        <v>106</v>
      </c>
      <c r="H1932" s="30"/>
      <c r="I1932" s="30" t="s">
        <v>192</v>
      </c>
      <c r="J1932" s="30" t="s">
        <v>635</v>
      </c>
      <c r="K1932" s="30"/>
      <c r="L1932" s="30" t="s">
        <v>117</v>
      </c>
      <c r="M1932" s="30" t="s">
        <v>109</v>
      </c>
      <c r="N1932" s="30" t="s">
        <v>110</v>
      </c>
      <c r="O1932" s="30" t="s">
        <v>115</v>
      </c>
      <c r="P1932" s="30" t="s">
        <v>112</v>
      </c>
      <c r="Q1932" s="30" t="s">
        <v>112</v>
      </c>
      <c r="R1932" s="30" t="s">
        <v>187</v>
      </c>
      <c r="S1932" s="81">
        <f>HLOOKUP(L1932,データについて!$J$6:$M$18,13,FALSE)</f>
        <v>2</v>
      </c>
      <c r="T1932" s="81">
        <f>HLOOKUP(M1932,データについて!$J$7:$M$18,12,FALSE)</f>
        <v>2</v>
      </c>
      <c r="U1932" s="81">
        <f>HLOOKUP(N1932,データについて!$J$8:$M$18,11,FALSE)</f>
        <v>2</v>
      </c>
      <c r="V1932" s="81">
        <f>HLOOKUP(O1932,データについて!$J$9:$M$18,10,FALSE)</f>
        <v>1</v>
      </c>
      <c r="W1932" s="81">
        <f>HLOOKUP(P1932,データについて!$J$10:$M$18,9,FALSE)</f>
        <v>1</v>
      </c>
      <c r="X1932" s="81">
        <f>HLOOKUP(Q1932,データについて!$J$11:$M$18,8,FALSE)</f>
        <v>1</v>
      </c>
      <c r="Y1932" s="81">
        <f>HLOOKUP(R1932,データについて!$J$12:$M$18,7,FALSE)</f>
        <v>3</v>
      </c>
      <c r="Z1932" s="81">
        <f>HLOOKUP(I1932,データについて!$J$3:$M$18,16,FALSE)</f>
        <v>1</v>
      </c>
      <c r="AA1932" s="81">
        <f>IFERROR(HLOOKUP(J1932,データについて!$J$4:$AH$19,16,FALSE),"")</f>
        <v>9</v>
      </c>
      <c r="AB1932" s="81" t="str">
        <f>IFERROR(HLOOKUP(K1932,データについて!$J$5:$AH$20,14,FALSE),"")</f>
        <v/>
      </c>
      <c r="AC1932" s="81">
        <f>IF(X1932=1,HLOOKUP(R1932,データについて!$J$12:$M$18,7,FALSE),"*")</f>
        <v>3</v>
      </c>
      <c r="AD1932" s="81" t="str">
        <f>IF(X1932=2,HLOOKUP(R1932,データについて!$J$12:$M$18,7,FALSE),"*")</f>
        <v>*</v>
      </c>
    </row>
    <row r="1933" spans="1:30">
      <c r="A1933" s="30">
        <v>3259</v>
      </c>
      <c r="B1933" s="30" t="s">
        <v>1918</v>
      </c>
      <c r="C1933" s="30" t="s">
        <v>1919</v>
      </c>
      <c r="D1933" s="30" t="s">
        <v>106</v>
      </c>
      <c r="E1933" s="30"/>
      <c r="F1933" s="30" t="s">
        <v>107</v>
      </c>
      <c r="G1933" s="30" t="s">
        <v>106</v>
      </c>
      <c r="H1933" s="30"/>
      <c r="I1933" s="30" t="s">
        <v>192</v>
      </c>
      <c r="J1933" s="30" t="s">
        <v>635</v>
      </c>
      <c r="K1933" s="30"/>
      <c r="L1933" s="30" t="s">
        <v>117</v>
      </c>
      <c r="M1933" s="30" t="s">
        <v>109</v>
      </c>
      <c r="N1933" s="30" t="s">
        <v>110</v>
      </c>
      <c r="O1933" s="30" t="s">
        <v>115</v>
      </c>
      <c r="P1933" s="30" t="s">
        <v>112</v>
      </c>
      <c r="Q1933" s="30" t="s">
        <v>112</v>
      </c>
      <c r="R1933" s="30" t="s">
        <v>183</v>
      </c>
      <c r="S1933" s="81">
        <f>HLOOKUP(L1933,データについて!$J$6:$M$18,13,FALSE)</f>
        <v>2</v>
      </c>
      <c r="T1933" s="81">
        <f>HLOOKUP(M1933,データについて!$J$7:$M$18,12,FALSE)</f>
        <v>2</v>
      </c>
      <c r="U1933" s="81">
        <f>HLOOKUP(N1933,データについて!$J$8:$M$18,11,FALSE)</f>
        <v>2</v>
      </c>
      <c r="V1933" s="81">
        <f>HLOOKUP(O1933,データについて!$J$9:$M$18,10,FALSE)</f>
        <v>1</v>
      </c>
      <c r="W1933" s="81">
        <f>HLOOKUP(P1933,データについて!$J$10:$M$18,9,FALSE)</f>
        <v>1</v>
      </c>
      <c r="X1933" s="81">
        <f>HLOOKUP(Q1933,データについて!$J$11:$M$18,8,FALSE)</f>
        <v>1</v>
      </c>
      <c r="Y1933" s="81">
        <f>HLOOKUP(R1933,データについて!$J$12:$M$18,7,FALSE)</f>
        <v>1</v>
      </c>
      <c r="Z1933" s="81">
        <f>HLOOKUP(I1933,データについて!$J$3:$M$18,16,FALSE)</f>
        <v>1</v>
      </c>
      <c r="AA1933" s="81">
        <f>IFERROR(HLOOKUP(J1933,データについて!$J$4:$AH$19,16,FALSE),"")</f>
        <v>9</v>
      </c>
      <c r="AB1933" s="81" t="str">
        <f>IFERROR(HLOOKUP(K1933,データについて!$J$5:$AH$20,14,FALSE),"")</f>
        <v/>
      </c>
      <c r="AC1933" s="81">
        <f>IF(X1933=1,HLOOKUP(R1933,データについて!$J$12:$M$18,7,FALSE),"*")</f>
        <v>1</v>
      </c>
      <c r="AD1933" s="81" t="str">
        <f>IF(X1933=2,HLOOKUP(R1933,データについて!$J$12:$M$18,7,FALSE),"*")</f>
        <v>*</v>
      </c>
    </row>
    <row r="1934" spans="1:30">
      <c r="A1934" s="30">
        <v>3258</v>
      </c>
      <c r="B1934" s="30" t="s">
        <v>1920</v>
      </c>
      <c r="C1934" s="30" t="s">
        <v>1921</v>
      </c>
      <c r="D1934" s="30" t="s">
        <v>106</v>
      </c>
      <c r="E1934" s="30"/>
      <c r="F1934" s="30" t="s">
        <v>107</v>
      </c>
      <c r="G1934" s="30" t="s">
        <v>106</v>
      </c>
      <c r="H1934" s="30"/>
      <c r="I1934" s="30" t="s">
        <v>192</v>
      </c>
      <c r="J1934" s="30" t="s">
        <v>635</v>
      </c>
      <c r="K1934" s="30"/>
      <c r="L1934" s="30" t="s">
        <v>117</v>
      </c>
      <c r="M1934" s="30" t="s">
        <v>113</v>
      </c>
      <c r="N1934" s="30" t="s">
        <v>110</v>
      </c>
      <c r="O1934" s="30" t="s">
        <v>115</v>
      </c>
      <c r="P1934" s="30" t="s">
        <v>112</v>
      </c>
      <c r="Q1934" s="30" t="s">
        <v>112</v>
      </c>
      <c r="R1934" s="30" t="s">
        <v>185</v>
      </c>
      <c r="S1934" s="81">
        <f>HLOOKUP(L1934,データについて!$J$6:$M$18,13,FALSE)</f>
        <v>2</v>
      </c>
      <c r="T1934" s="81">
        <f>HLOOKUP(M1934,データについて!$J$7:$M$18,12,FALSE)</f>
        <v>1</v>
      </c>
      <c r="U1934" s="81">
        <f>HLOOKUP(N1934,データについて!$J$8:$M$18,11,FALSE)</f>
        <v>2</v>
      </c>
      <c r="V1934" s="81">
        <f>HLOOKUP(O1934,データについて!$J$9:$M$18,10,FALSE)</f>
        <v>1</v>
      </c>
      <c r="W1934" s="81">
        <f>HLOOKUP(P1934,データについて!$J$10:$M$18,9,FALSE)</f>
        <v>1</v>
      </c>
      <c r="X1934" s="81">
        <f>HLOOKUP(Q1934,データについて!$J$11:$M$18,8,FALSE)</f>
        <v>1</v>
      </c>
      <c r="Y1934" s="81">
        <f>HLOOKUP(R1934,データについて!$J$12:$M$18,7,FALSE)</f>
        <v>2</v>
      </c>
      <c r="Z1934" s="81">
        <f>HLOOKUP(I1934,データについて!$J$3:$M$18,16,FALSE)</f>
        <v>1</v>
      </c>
      <c r="AA1934" s="81">
        <f>IFERROR(HLOOKUP(J1934,データについて!$J$4:$AH$19,16,FALSE),"")</f>
        <v>9</v>
      </c>
      <c r="AB1934" s="81" t="str">
        <f>IFERROR(HLOOKUP(K1934,データについて!$J$5:$AH$20,14,FALSE),"")</f>
        <v/>
      </c>
      <c r="AC1934" s="81">
        <f>IF(X1934=1,HLOOKUP(R1934,データについて!$J$12:$M$18,7,FALSE),"*")</f>
        <v>2</v>
      </c>
      <c r="AD1934" s="81" t="str">
        <f>IF(X1934=2,HLOOKUP(R1934,データについて!$J$12:$M$18,7,FALSE),"*")</f>
        <v>*</v>
      </c>
    </row>
    <row r="1935" spans="1:30">
      <c r="A1935" s="30">
        <v>3257</v>
      </c>
      <c r="B1935" s="30" t="s">
        <v>1922</v>
      </c>
      <c r="C1935" s="30" t="s">
        <v>1923</v>
      </c>
      <c r="D1935" s="30" t="s">
        <v>106</v>
      </c>
      <c r="E1935" s="30"/>
      <c r="F1935" s="30" t="s">
        <v>107</v>
      </c>
      <c r="G1935" s="30" t="s">
        <v>106</v>
      </c>
      <c r="H1935" s="30"/>
      <c r="I1935" s="30" t="s">
        <v>192</v>
      </c>
      <c r="J1935" s="30" t="s">
        <v>635</v>
      </c>
      <c r="K1935" s="30"/>
      <c r="L1935" s="30" t="s">
        <v>108</v>
      </c>
      <c r="M1935" s="30" t="s">
        <v>109</v>
      </c>
      <c r="N1935" s="30" t="s">
        <v>110</v>
      </c>
      <c r="O1935" s="30" t="s">
        <v>115</v>
      </c>
      <c r="P1935" s="30" t="s">
        <v>112</v>
      </c>
      <c r="Q1935" s="30" t="s">
        <v>112</v>
      </c>
      <c r="R1935" s="30" t="s">
        <v>189</v>
      </c>
      <c r="S1935" s="81">
        <f>HLOOKUP(L1935,データについて!$J$6:$M$18,13,FALSE)</f>
        <v>1</v>
      </c>
      <c r="T1935" s="81">
        <f>HLOOKUP(M1935,データについて!$J$7:$M$18,12,FALSE)</f>
        <v>2</v>
      </c>
      <c r="U1935" s="81">
        <f>HLOOKUP(N1935,データについて!$J$8:$M$18,11,FALSE)</f>
        <v>2</v>
      </c>
      <c r="V1935" s="81">
        <f>HLOOKUP(O1935,データについて!$J$9:$M$18,10,FALSE)</f>
        <v>1</v>
      </c>
      <c r="W1935" s="81">
        <f>HLOOKUP(P1935,データについて!$J$10:$M$18,9,FALSE)</f>
        <v>1</v>
      </c>
      <c r="X1935" s="81">
        <f>HLOOKUP(Q1935,データについて!$J$11:$M$18,8,FALSE)</f>
        <v>1</v>
      </c>
      <c r="Y1935" s="81">
        <f>HLOOKUP(R1935,データについて!$J$12:$M$18,7,FALSE)</f>
        <v>4</v>
      </c>
      <c r="Z1935" s="81">
        <f>HLOOKUP(I1935,データについて!$J$3:$M$18,16,FALSE)</f>
        <v>1</v>
      </c>
      <c r="AA1935" s="81">
        <f>IFERROR(HLOOKUP(J1935,データについて!$J$4:$AH$19,16,FALSE),"")</f>
        <v>9</v>
      </c>
      <c r="AB1935" s="81" t="str">
        <f>IFERROR(HLOOKUP(K1935,データについて!$J$5:$AH$20,14,FALSE),"")</f>
        <v/>
      </c>
      <c r="AC1935" s="81">
        <f>IF(X1935=1,HLOOKUP(R1935,データについて!$J$12:$M$18,7,FALSE),"*")</f>
        <v>4</v>
      </c>
      <c r="AD1935" s="81" t="str">
        <f>IF(X1935=2,HLOOKUP(R1935,データについて!$J$12:$M$18,7,FALSE),"*")</f>
        <v>*</v>
      </c>
    </row>
    <row r="1936" spans="1:30">
      <c r="A1936" s="30">
        <v>3256</v>
      </c>
      <c r="B1936" s="30" t="s">
        <v>1924</v>
      </c>
      <c r="C1936" s="30" t="s">
        <v>1925</v>
      </c>
      <c r="D1936" s="30" t="s">
        <v>106</v>
      </c>
      <c r="E1936" s="30"/>
      <c r="F1936" s="30" t="s">
        <v>107</v>
      </c>
      <c r="G1936" s="30" t="s">
        <v>106</v>
      </c>
      <c r="H1936" s="30"/>
      <c r="I1936" s="30" t="s">
        <v>192</v>
      </c>
      <c r="J1936" s="30" t="s">
        <v>635</v>
      </c>
      <c r="K1936" s="30"/>
      <c r="L1936" s="30" t="s">
        <v>108</v>
      </c>
      <c r="M1936" s="30" t="s">
        <v>109</v>
      </c>
      <c r="N1936" s="30" t="s">
        <v>114</v>
      </c>
      <c r="O1936" s="30" t="s">
        <v>115</v>
      </c>
      <c r="P1936" s="30" t="s">
        <v>112</v>
      </c>
      <c r="Q1936" s="30" t="s">
        <v>112</v>
      </c>
      <c r="R1936" s="30" t="s">
        <v>187</v>
      </c>
      <c r="S1936" s="81">
        <f>HLOOKUP(L1936,データについて!$J$6:$M$18,13,FALSE)</f>
        <v>1</v>
      </c>
      <c r="T1936" s="81">
        <f>HLOOKUP(M1936,データについて!$J$7:$M$18,12,FALSE)</f>
        <v>2</v>
      </c>
      <c r="U1936" s="81">
        <f>HLOOKUP(N1936,データについて!$J$8:$M$18,11,FALSE)</f>
        <v>1</v>
      </c>
      <c r="V1936" s="81">
        <f>HLOOKUP(O1936,データについて!$J$9:$M$18,10,FALSE)</f>
        <v>1</v>
      </c>
      <c r="W1936" s="81">
        <f>HLOOKUP(P1936,データについて!$J$10:$M$18,9,FALSE)</f>
        <v>1</v>
      </c>
      <c r="X1936" s="81">
        <f>HLOOKUP(Q1936,データについて!$J$11:$M$18,8,FALSE)</f>
        <v>1</v>
      </c>
      <c r="Y1936" s="81">
        <f>HLOOKUP(R1936,データについて!$J$12:$M$18,7,FALSE)</f>
        <v>3</v>
      </c>
      <c r="Z1936" s="81">
        <f>HLOOKUP(I1936,データについて!$J$3:$M$18,16,FALSE)</f>
        <v>1</v>
      </c>
      <c r="AA1936" s="81">
        <f>IFERROR(HLOOKUP(J1936,データについて!$J$4:$AH$19,16,FALSE),"")</f>
        <v>9</v>
      </c>
      <c r="AB1936" s="81" t="str">
        <f>IFERROR(HLOOKUP(K1936,データについて!$J$5:$AH$20,14,FALSE),"")</f>
        <v/>
      </c>
      <c r="AC1936" s="81">
        <f>IF(X1936=1,HLOOKUP(R1936,データについて!$J$12:$M$18,7,FALSE),"*")</f>
        <v>3</v>
      </c>
      <c r="AD1936" s="81" t="str">
        <f>IF(X1936=2,HLOOKUP(R1936,データについて!$J$12:$M$18,7,FALSE),"*")</f>
        <v>*</v>
      </c>
    </row>
    <row r="1937" spans="1:30">
      <c r="A1937" s="30">
        <v>3255</v>
      </c>
      <c r="B1937" s="30" t="s">
        <v>1926</v>
      </c>
      <c r="C1937" s="30" t="s">
        <v>1927</v>
      </c>
      <c r="D1937" s="30" t="s">
        <v>106</v>
      </c>
      <c r="E1937" s="30"/>
      <c r="F1937" s="30" t="s">
        <v>107</v>
      </c>
      <c r="G1937" s="30" t="s">
        <v>106</v>
      </c>
      <c r="H1937" s="30"/>
      <c r="I1937" s="30" t="s">
        <v>192</v>
      </c>
      <c r="J1937" s="30" t="s">
        <v>635</v>
      </c>
      <c r="K1937" s="30"/>
      <c r="L1937" s="30" t="s">
        <v>117</v>
      </c>
      <c r="M1937" s="30" t="s">
        <v>109</v>
      </c>
      <c r="N1937" s="30" t="s">
        <v>110</v>
      </c>
      <c r="O1937" s="30" t="s">
        <v>115</v>
      </c>
      <c r="P1937" s="30" t="s">
        <v>112</v>
      </c>
      <c r="Q1937" s="30" t="s">
        <v>112</v>
      </c>
      <c r="R1937" s="30" t="s">
        <v>185</v>
      </c>
      <c r="S1937" s="81">
        <f>HLOOKUP(L1937,データについて!$J$6:$M$18,13,FALSE)</f>
        <v>2</v>
      </c>
      <c r="T1937" s="81">
        <f>HLOOKUP(M1937,データについて!$J$7:$M$18,12,FALSE)</f>
        <v>2</v>
      </c>
      <c r="U1937" s="81">
        <f>HLOOKUP(N1937,データについて!$J$8:$M$18,11,FALSE)</f>
        <v>2</v>
      </c>
      <c r="V1937" s="81">
        <f>HLOOKUP(O1937,データについて!$J$9:$M$18,10,FALSE)</f>
        <v>1</v>
      </c>
      <c r="W1937" s="81">
        <f>HLOOKUP(P1937,データについて!$J$10:$M$18,9,FALSE)</f>
        <v>1</v>
      </c>
      <c r="X1937" s="81">
        <f>HLOOKUP(Q1937,データについて!$J$11:$M$18,8,FALSE)</f>
        <v>1</v>
      </c>
      <c r="Y1937" s="81">
        <f>HLOOKUP(R1937,データについて!$J$12:$M$18,7,FALSE)</f>
        <v>2</v>
      </c>
      <c r="Z1937" s="81">
        <f>HLOOKUP(I1937,データについて!$J$3:$M$18,16,FALSE)</f>
        <v>1</v>
      </c>
      <c r="AA1937" s="81">
        <f>IFERROR(HLOOKUP(J1937,データについて!$J$4:$AH$19,16,FALSE),"")</f>
        <v>9</v>
      </c>
      <c r="AB1937" s="81" t="str">
        <f>IFERROR(HLOOKUP(K1937,データについて!$J$5:$AH$20,14,FALSE),"")</f>
        <v/>
      </c>
      <c r="AC1937" s="81">
        <f>IF(X1937=1,HLOOKUP(R1937,データについて!$J$12:$M$18,7,FALSE),"*")</f>
        <v>2</v>
      </c>
      <c r="AD1937" s="81" t="str">
        <f>IF(X1937=2,HLOOKUP(R1937,データについて!$J$12:$M$18,7,FALSE),"*")</f>
        <v>*</v>
      </c>
    </row>
    <row r="1938" spans="1:30">
      <c r="A1938" s="30">
        <v>3254</v>
      </c>
      <c r="B1938" s="30" t="s">
        <v>1928</v>
      </c>
      <c r="C1938" s="30" t="s">
        <v>1929</v>
      </c>
      <c r="D1938" s="30" t="s">
        <v>106</v>
      </c>
      <c r="E1938" s="30"/>
      <c r="F1938" s="30" t="s">
        <v>107</v>
      </c>
      <c r="G1938" s="30" t="s">
        <v>106</v>
      </c>
      <c r="H1938" s="30"/>
      <c r="I1938" s="30" t="s">
        <v>192</v>
      </c>
      <c r="J1938" s="30" t="s">
        <v>635</v>
      </c>
      <c r="K1938" s="30"/>
      <c r="L1938" s="30" t="s">
        <v>108</v>
      </c>
      <c r="M1938" s="30" t="s">
        <v>109</v>
      </c>
      <c r="N1938" s="30" t="s">
        <v>110</v>
      </c>
      <c r="O1938" s="30" t="s">
        <v>115</v>
      </c>
      <c r="P1938" s="30" t="s">
        <v>112</v>
      </c>
      <c r="Q1938" s="30" t="s">
        <v>112</v>
      </c>
      <c r="R1938" s="30" t="s">
        <v>185</v>
      </c>
      <c r="S1938" s="81">
        <f>HLOOKUP(L1938,データについて!$J$6:$M$18,13,FALSE)</f>
        <v>1</v>
      </c>
      <c r="T1938" s="81">
        <f>HLOOKUP(M1938,データについて!$J$7:$M$18,12,FALSE)</f>
        <v>2</v>
      </c>
      <c r="U1938" s="81">
        <f>HLOOKUP(N1938,データについて!$J$8:$M$18,11,FALSE)</f>
        <v>2</v>
      </c>
      <c r="V1938" s="81">
        <f>HLOOKUP(O1938,データについて!$J$9:$M$18,10,FALSE)</f>
        <v>1</v>
      </c>
      <c r="W1938" s="81">
        <f>HLOOKUP(P1938,データについて!$J$10:$M$18,9,FALSE)</f>
        <v>1</v>
      </c>
      <c r="X1938" s="81">
        <f>HLOOKUP(Q1938,データについて!$J$11:$M$18,8,FALSE)</f>
        <v>1</v>
      </c>
      <c r="Y1938" s="81">
        <f>HLOOKUP(R1938,データについて!$J$12:$M$18,7,FALSE)</f>
        <v>2</v>
      </c>
      <c r="Z1938" s="81">
        <f>HLOOKUP(I1938,データについて!$J$3:$M$18,16,FALSE)</f>
        <v>1</v>
      </c>
      <c r="AA1938" s="81">
        <f>IFERROR(HLOOKUP(J1938,データについて!$J$4:$AH$19,16,FALSE),"")</f>
        <v>9</v>
      </c>
      <c r="AB1938" s="81" t="str">
        <f>IFERROR(HLOOKUP(K1938,データについて!$J$5:$AH$20,14,FALSE),"")</f>
        <v/>
      </c>
      <c r="AC1938" s="81">
        <f>IF(X1938=1,HLOOKUP(R1938,データについて!$J$12:$M$18,7,FALSE),"*")</f>
        <v>2</v>
      </c>
      <c r="AD1938" s="81" t="str">
        <f>IF(X1938=2,HLOOKUP(R1938,データについて!$J$12:$M$18,7,FALSE),"*")</f>
        <v>*</v>
      </c>
    </row>
    <row r="1939" spans="1:30">
      <c r="A1939" s="30">
        <v>3253</v>
      </c>
      <c r="B1939" s="30" t="s">
        <v>1930</v>
      </c>
      <c r="C1939" s="30" t="s">
        <v>1931</v>
      </c>
      <c r="D1939" s="30" t="s">
        <v>106</v>
      </c>
      <c r="E1939" s="30"/>
      <c r="F1939" s="30" t="s">
        <v>107</v>
      </c>
      <c r="G1939" s="30" t="s">
        <v>106</v>
      </c>
      <c r="H1939" s="30"/>
      <c r="I1939" s="30" t="s">
        <v>192</v>
      </c>
      <c r="J1939" s="30" t="s">
        <v>630</v>
      </c>
      <c r="K1939" s="30"/>
      <c r="L1939" s="30" t="s">
        <v>117</v>
      </c>
      <c r="M1939" s="30" t="s">
        <v>113</v>
      </c>
      <c r="N1939" s="30" t="s">
        <v>114</v>
      </c>
      <c r="O1939" s="30" t="s">
        <v>115</v>
      </c>
      <c r="P1939" s="30" t="s">
        <v>112</v>
      </c>
      <c r="Q1939" s="30" t="s">
        <v>112</v>
      </c>
      <c r="R1939" s="30" t="s">
        <v>185</v>
      </c>
      <c r="S1939" s="81">
        <f>HLOOKUP(L1939,データについて!$J$6:$M$18,13,FALSE)</f>
        <v>2</v>
      </c>
      <c r="T1939" s="81">
        <f>HLOOKUP(M1939,データについて!$J$7:$M$18,12,FALSE)</f>
        <v>1</v>
      </c>
      <c r="U1939" s="81">
        <f>HLOOKUP(N1939,データについて!$J$8:$M$18,11,FALSE)</f>
        <v>1</v>
      </c>
      <c r="V1939" s="81">
        <f>HLOOKUP(O1939,データについて!$J$9:$M$18,10,FALSE)</f>
        <v>1</v>
      </c>
      <c r="W1939" s="81">
        <f>HLOOKUP(P1939,データについて!$J$10:$M$18,9,FALSE)</f>
        <v>1</v>
      </c>
      <c r="X1939" s="81">
        <f>HLOOKUP(Q1939,データについて!$J$11:$M$18,8,FALSE)</f>
        <v>1</v>
      </c>
      <c r="Y1939" s="81">
        <f>HLOOKUP(R1939,データについて!$J$12:$M$18,7,FALSE)</f>
        <v>2</v>
      </c>
      <c r="Z1939" s="81">
        <f>HLOOKUP(I1939,データについて!$J$3:$M$18,16,FALSE)</f>
        <v>1</v>
      </c>
      <c r="AA1939" s="81">
        <f>IFERROR(HLOOKUP(J1939,データについて!$J$4:$AH$19,16,FALSE),"")</f>
        <v>4</v>
      </c>
      <c r="AB1939" s="81" t="str">
        <f>IFERROR(HLOOKUP(K1939,データについて!$J$5:$AH$20,14,FALSE),"")</f>
        <v/>
      </c>
      <c r="AC1939" s="81">
        <f>IF(X1939=1,HLOOKUP(R1939,データについて!$J$12:$M$18,7,FALSE),"*")</f>
        <v>2</v>
      </c>
      <c r="AD1939" s="81" t="str">
        <f>IF(X1939=2,HLOOKUP(R1939,データについて!$J$12:$M$18,7,FALSE),"*")</f>
        <v>*</v>
      </c>
    </row>
    <row r="1940" spans="1:30">
      <c r="A1940" s="30">
        <v>3252</v>
      </c>
      <c r="B1940" s="30" t="s">
        <v>1932</v>
      </c>
      <c r="C1940" s="30" t="s">
        <v>1933</v>
      </c>
      <c r="D1940" s="30" t="s">
        <v>106</v>
      </c>
      <c r="E1940" s="30"/>
      <c r="F1940" s="30" t="s">
        <v>107</v>
      </c>
      <c r="G1940" s="30" t="s">
        <v>106</v>
      </c>
      <c r="H1940" s="30"/>
      <c r="I1940" s="30" t="s">
        <v>192</v>
      </c>
      <c r="J1940" s="30" t="s">
        <v>635</v>
      </c>
      <c r="K1940" s="30"/>
      <c r="L1940" s="30" t="s">
        <v>108</v>
      </c>
      <c r="M1940" s="30" t="s">
        <v>109</v>
      </c>
      <c r="N1940" s="30" t="s">
        <v>114</v>
      </c>
      <c r="O1940" s="30" t="s">
        <v>115</v>
      </c>
      <c r="P1940" s="30" t="s">
        <v>112</v>
      </c>
      <c r="Q1940" s="30" t="s">
        <v>112</v>
      </c>
      <c r="R1940" s="30" t="s">
        <v>187</v>
      </c>
      <c r="S1940" s="81">
        <f>HLOOKUP(L1940,データについて!$J$6:$M$18,13,FALSE)</f>
        <v>1</v>
      </c>
      <c r="T1940" s="81">
        <f>HLOOKUP(M1940,データについて!$J$7:$M$18,12,FALSE)</f>
        <v>2</v>
      </c>
      <c r="U1940" s="81">
        <f>HLOOKUP(N1940,データについて!$J$8:$M$18,11,FALSE)</f>
        <v>1</v>
      </c>
      <c r="V1940" s="81">
        <f>HLOOKUP(O1940,データについて!$J$9:$M$18,10,FALSE)</f>
        <v>1</v>
      </c>
      <c r="W1940" s="81">
        <f>HLOOKUP(P1940,データについて!$J$10:$M$18,9,FALSE)</f>
        <v>1</v>
      </c>
      <c r="X1940" s="81">
        <f>HLOOKUP(Q1940,データについて!$J$11:$M$18,8,FALSE)</f>
        <v>1</v>
      </c>
      <c r="Y1940" s="81">
        <f>HLOOKUP(R1940,データについて!$J$12:$M$18,7,FALSE)</f>
        <v>3</v>
      </c>
      <c r="Z1940" s="81">
        <f>HLOOKUP(I1940,データについて!$J$3:$M$18,16,FALSE)</f>
        <v>1</v>
      </c>
      <c r="AA1940" s="81">
        <f>IFERROR(HLOOKUP(J1940,データについて!$J$4:$AH$19,16,FALSE),"")</f>
        <v>9</v>
      </c>
      <c r="AB1940" s="81" t="str">
        <f>IFERROR(HLOOKUP(K1940,データについて!$J$5:$AH$20,14,FALSE),"")</f>
        <v/>
      </c>
      <c r="AC1940" s="81">
        <f>IF(X1940=1,HLOOKUP(R1940,データについて!$J$12:$M$18,7,FALSE),"*")</f>
        <v>3</v>
      </c>
      <c r="AD1940" s="81" t="str">
        <f>IF(X1940=2,HLOOKUP(R1940,データについて!$J$12:$M$18,7,FALSE),"*")</f>
        <v>*</v>
      </c>
    </row>
    <row r="1941" spans="1:30">
      <c r="A1941" s="30">
        <v>3251</v>
      </c>
      <c r="B1941" s="30" t="s">
        <v>1934</v>
      </c>
      <c r="C1941" s="30" t="s">
        <v>1935</v>
      </c>
      <c r="D1941" s="30" t="s">
        <v>106</v>
      </c>
      <c r="E1941" s="30"/>
      <c r="F1941" s="30" t="s">
        <v>107</v>
      </c>
      <c r="G1941" s="30" t="s">
        <v>106</v>
      </c>
      <c r="H1941" s="30"/>
      <c r="I1941" s="30" t="s">
        <v>192</v>
      </c>
      <c r="J1941" s="30" t="s">
        <v>635</v>
      </c>
      <c r="K1941" s="30"/>
      <c r="L1941" s="30" t="s">
        <v>108</v>
      </c>
      <c r="M1941" s="30" t="s">
        <v>113</v>
      </c>
      <c r="N1941" s="30" t="s">
        <v>114</v>
      </c>
      <c r="O1941" s="30" t="s">
        <v>115</v>
      </c>
      <c r="P1941" s="30" t="s">
        <v>112</v>
      </c>
      <c r="Q1941" s="30" t="s">
        <v>112</v>
      </c>
      <c r="R1941" s="30" t="s">
        <v>185</v>
      </c>
      <c r="S1941" s="81">
        <f>HLOOKUP(L1941,データについて!$J$6:$M$18,13,FALSE)</f>
        <v>1</v>
      </c>
      <c r="T1941" s="81">
        <f>HLOOKUP(M1941,データについて!$J$7:$M$18,12,FALSE)</f>
        <v>1</v>
      </c>
      <c r="U1941" s="81">
        <f>HLOOKUP(N1941,データについて!$J$8:$M$18,11,FALSE)</f>
        <v>1</v>
      </c>
      <c r="V1941" s="81">
        <f>HLOOKUP(O1941,データについて!$J$9:$M$18,10,FALSE)</f>
        <v>1</v>
      </c>
      <c r="W1941" s="81">
        <f>HLOOKUP(P1941,データについて!$J$10:$M$18,9,FALSE)</f>
        <v>1</v>
      </c>
      <c r="X1941" s="81">
        <f>HLOOKUP(Q1941,データについて!$J$11:$M$18,8,FALSE)</f>
        <v>1</v>
      </c>
      <c r="Y1941" s="81">
        <f>HLOOKUP(R1941,データについて!$J$12:$M$18,7,FALSE)</f>
        <v>2</v>
      </c>
      <c r="Z1941" s="81">
        <f>HLOOKUP(I1941,データについて!$J$3:$M$18,16,FALSE)</f>
        <v>1</v>
      </c>
      <c r="AA1941" s="81">
        <f>IFERROR(HLOOKUP(J1941,データについて!$J$4:$AH$19,16,FALSE),"")</f>
        <v>9</v>
      </c>
      <c r="AB1941" s="81" t="str">
        <f>IFERROR(HLOOKUP(K1941,データについて!$J$5:$AH$20,14,FALSE),"")</f>
        <v/>
      </c>
      <c r="AC1941" s="81">
        <f>IF(X1941=1,HLOOKUP(R1941,データについて!$J$12:$M$18,7,FALSE),"*")</f>
        <v>2</v>
      </c>
      <c r="AD1941" s="81" t="str">
        <f>IF(X1941=2,HLOOKUP(R1941,データについて!$J$12:$M$18,7,FALSE),"*")</f>
        <v>*</v>
      </c>
    </row>
    <row r="1942" spans="1:30">
      <c r="A1942" s="30">
        <v>3250</v>
      </c>
      <c r="B1942" s="30" t="s">
        <v>1936</v>
      </c>
      <c r="C1942" s="30" t="s">
        <v>1935</v>
      </c>
      <c r="D1942" s="30" t="s">
        <v>106</v>
      </c>
      <c r="E1942" s="30"/>
      <c r="F1942" s="30" t="s">
        <v>107</v>
      </c>
      <c r="G1942" s="30" t="s">
        <v>106</v>
      </c>
      <c r="H1942" s="30"/>
      <c r="I1942" s="30" t="s">
        <v>192</v>
      </c>
      <c r="J1942" s="30" t="s">
        <v>635</v>
      </c>
      <c r="K1942" s="30"/>
      <c r="L1942" s="30" t="s">
        <v>108</v>
      </c>
      <c r="M1942" s="30" t="s">
        <v>109</v>
      </c>
      <c r="N1942" s="30" t="s">
        <v>110</v>
      </c>
      <c r="O1942" s="30" t="s">
        <v>115</v>
      </c>
      <c r="P1942" s="30" t="s">
        <v>112</v>
      </c>
      <c r="Q1942" s="30" t="s">
        <v>112</v>
      </c>
      <c r="R1942" s="30" t="s">
        <v>185</v>
      </c>
      <c r="S1942" s="81">
        <f>HLOOKUP(L1942,データについて!$J$6:$M$18,13,FALSE)</f>
        <v>1</v>
      </c>
      <c r="T1942" s="81">
        <f>HLOOKUP(M1942,データについて!$J$7:$M$18,12,FALSE)</f>
        <v>2</v>
      </c>
      <c r="U1942" s="81">
        <f>HLOOKUP(N1942,データについて!$J$8:$M$18,11,FALSE)</f>
        <v>2</v>
      </c>
      <c r="V1942" s="81">
        <f>HLOOKUP(O1942,データについて!$J$9:$M$18,10,FALSE)</f>
        <v>1</v>
      </c>
      <c r="W1942" s="81">
        <f>HLOOKUP(P1942,データについて!$J$10:$M$18,9,FALSE)</f>
        <v>1</v>
      </c>
      <c r="X1942" s="81">
        <f>HLOOKUP(Q1942,データについて!$J$11:$M$18,8,FALSE)</f>
        <v>1</v>
      </c>
      <c r="Y1942" s="81">
        <f>HLOOKUP(R1942,データについて!$J$12:$M$18,7,FALSE)</f>
        <v>2</v>
      </c>
      <c r="Z1942" s="81">
        <f>HLOOKUP(I1942,データについて!$J$3:$M$18,16,FALSE)</f>
        <v>1</v>
      </c>
      <c r="AA1942" s="81">
        <f>IFERROR(HLOOKUP(J1942,データについて!$J$4:$AH$19,16,FALSE),"")</f>
        <v>9</v>
      </c>
      <c r="AB1942" s="81" t="str">
        <f>IFERROR(HLOOKUP(K1942,データについて!$J$5:$AH$20,14,FALSE),"")</f>
        <v/>
      </c>
      <c r="AC1942" s="81">
        <f>IF(X1942=1,HLOOKUP(R1942,データについて!$J$12:$M$18,7,FALSE),"*")</f>
        <v>2</v>
      </c>
      <c r="AD1942" s="81" t="str">
        <f>IF(X1942=2,HLOOKUP(R1942,データについて!$J$12:$M$18,7,FALSE),"*")</f>
        <v>*</v>
      </c>
    </row>
    <row r="1943" spans="1:30">
      <c r="A1943" s="30">
        <v>3249</v>
      </c>
      <c r="B1943" s="30" t="s">
        <v>1937</v>
      </c>
      <c r="C1943" s="30" t="s">
        <v>1938</v>
      </c>
      <c r="D1943" s="30" t="s">
        <v>106</v>
      </c>
      <c r="E1943" s="30"/>
      <c r="F1943" s="30" t="s">
        <v>107</v>
      </c>
      <c r="G1943" s="30" t="s">
        <v>106</v>
      </c>
      <c r="H1943" s="30"/>
      <c r="I1943" s="30" t="s">
        <v>192</v>
      </c>
      <c r="J1943" s="30" t="s">
        <v>635</v>
      </c>
      <c r="K1943" s="30"/>
      <c r="L1943" s="30" t="s">
        <v>117</v>
      </c>
      <c r="M1943" s="30" t="s">
        <v>113</v>
      </c>
      <c r="N1943" s="30" t="s">
        <v>114</v>
      </c>
      <c r="O1943" s="30" t="s">
        <v>115</v>
      </c>
      <c r="P1943" s="30" t="s">
        <v>112</v>
      </c>
      <c r="Q1943" s="30" t="s">
        <v>112</v>
      </c>
      <c r="R1943" s="30" t="s">
        <v>185</v>
      </c>
      <c r="S1943" s="81">
        <f>HLOOKUP(L1943,データについて!$J$6:$M$18,13,FALSE)</f>
        <v>2</v>
      </c>
      <c r="T1943" s="81">
        <f>HLOOKUP(M1943,データについて!$J$7:$M$18,12,FALSE)</f>
        <v>1</v>
      </c>
      <c r="U1943" s="81">
        <f>HLOOKUP(N1943,データについて!$J$8:$M$18,11,FALSE)</f>
        <v>1</v>
      </c>
      <c r="V1943" s="81">
        <f>HLOOKUP(O1943,データについて!$J$9:$M$18,10,FALSE)</f>
        <v>1</v>
      </c>
      <c r="W1943" s="81">
        <f>HLOOKUP(P1943,データについて!$J$10:$M$18,9,FALSE)</f>
        <v>1</v>
      </c>
      <c r="X1943" s="81">
        <f>HLOOKUP(Q1943,データについて!$J$11:$M$18,8,FALSE)</f>
        <v>1</v>
      </c>
      <c r="Y1943" s="81">
        <f>HLOOKUP(R1943,データについて!$J$12:$M$18,7,FALSE)</f>
        <v>2</v>
      </c>
      <c r="Z1943" s="81">
        <f>HLOOKUP(I1943,データについて!$J$3:$M$18,16,FALSE)</f>
        <v>1</v>
      </c>
      <c r="AA1943" s="81">
        <f>IFERROR(HLOOKUP(J1943,データについて!$J$4:$AH$19,16,FALSE),"")</f>
        <v>9</v>
      </c>
      <c r="AB1943" s="81" t="str">
        <f>IFERROR(HLOOKUP(K1943,データについて!$J$5:$AH$20,14,FALSE),"")</f>
        <v/>
      </c>
      <c r="AC1943" s="81">
        <f>IF(X1943=1,HLOOKUP(R1943,データについて!$J$12:$M$18,7,FALSE),"*")</f>
        <v>2</v>
      </c>
      <c r="AD1943" s="81" t="str">
        <f>IF(X1943=2,HLOOKUP(R1943,データについて!$J$12:$M$18,7,FALSE),"*")</f>
        <v>*</v>
      </c>
    </row>
    <row r="1944" spans="1:30">
      <c r="A1944" s="30">
        <v>3248</v>
      </c>
      <c r="B1944" s="30" t="s">
        <v>1939</v>
      </c>
      <c r="C1944" s="30" t="s">
        <v>1940</v>
      </c>
      <c r="D1944" s="30" t="s">
        <v>106</v>
      </c>
      <c r="E1944" s="30"/>
      <c r="F1944" s="30" t="s">
        <v>107</v>
      </c>
      <c r="G1944" s="30" t="s">
        <v>106</v>
      </c>
      <c r="H1944" s="30"/>
      <c r="I1944" s="30" t="s">
        <v>192</v>
      </c>
      <c r="J1944" s="30" t="s">
        <v>635</v>
      </c>
      <c r="K1944" s="30"/>
      <c r="L1944" s="30" t="s">
        <v>117</v>
      </c>
      <c r="M1944" s="30" t="s">
        <v>113</v>
      </c>
      <c r="N1944" s="30" t="s">
        <v>110</v>
      </c>
      <c r="O1944" s="30" t="s">
        <v>115</v>
      </c>
      <c r="P1944" s="30" t="s">
        <v>112</v>
      </c>
      <c r="Q1944" s="30" t="s">
        <v>112</v>
      </c>
      <c r="R1944" s="30" t="s">
        <v>183</v>
      </c>
      <c r="S1944" s="81">
        <f>HLOOKUP(L1944,データについて!$J$6:$M$18,13,FALSE)</f>
        <v>2</v>
      </c>
      <c r="T1944" s="81">
        <f>HLOOKUP(M1944,データについて!$J$7:$M$18,12,FALSE)</f>
        <v>1</v>
      </c>
      <c r="U1944" s="81">
        <f>HLOOKUP(N1944,データについて!$J$8:$M$18,11,FALSE)</f>
        <v>2</v>
      </c>
      <c r="V1944" s="81">
        <f>HLOOKUP(O1944,データについて!$J$9:$M$18,10,FALSE)</f>
        <v>1</v>
      </c>
      <c r="W1944" s="81">
        <f>HLOOKUP(P1944,データについて!$J$10:$M$18,9,FALSE)</f>
        <v>1</v>
      </c>
      <c r="X1944" s="81">
        <f>HLOOKUP(Q1944,データについて!$J$11:$M$18,8,FALSE)</f>
        <v>1</v>
      </c>
      <c r="Y1944" s="81">
        <f>HLOOKUP(R1944,データについて!$J$12:$M$18,7,FALSE)</f>
        <v>1</v>
      </c>
      <c r="Z1944" s="81">
        <f>HLOOKUP(I1944,データについて!$J$3:$M$18,16,FALSE)</f>
        <v>1</v>
      </c>
      <c r="AA1944" s="81">
        <f>IFERROR(HLOOKUP(J1944,データについて!$J$4:$AH$19,16,FALSE),"")</f>
        <v>9</v>
      </c>
      <c r="AB1944" s="81" t="str">
        <f>IFERROR(HLOOKUP(K1944,データについて!$J$5:$AH$20,14,FALSE),"")</f>
        <v/>
      </c>
      <c r="AC1944" s="81">
        <f>IF(X1944=1,HLOOKUP(R1944,データについて!$J$12:$M$18,7,FALSE),"*")</f>
        <v>1</v>
      </c>
      <c r="AD1944" s="81" t="str">
        <f>IF(X1944=2,HLOOKUP(R1944,データについて!$J$12:$M$18,7,FALSE),"*")</f>
        <v>*</v>
      </c>
    </row>
    <row r="1945" spans="1:30">
      <c r="A1945" s="30">
        <v>3247</v>
      </c>
      <c r="B1945" s="30" t="s">
        <v>1941</v>
      </c>
      <c r="C1945" s="30" t="s">
        <v>1940</v>
      </c>
      <c r="D1945" s="30" t="s">
        <v>106</v>
      </c>
      <c r="E1945" s="30"/>
      <c r="F1945" s="30" t="s">
        <v>107</v>
      </c>
      <c r="G1945" s="30" t="s">
        <v>106</v>
      </c>
      <c r="H1945" s="30"/>
      <c r="I1945" s="30" t="s">
        <v>192</v>
      </c>
      <c r="J1945" s="30" t="s">
        <v>635</v>
      </c>
      <c r="K1945" s="30"/>
      <c r="L1945" s="30" t="s">
        <v>108</v>
      </c>
      <c r="M1945" s="30" t="s">
        <v>113</v>
      </c>
      <c r="N1945" s="30" t="s">
        <v>110</v>
      </c>
      <c r="O1945" s="30" t="s">
        <v>111</v>
      </c>
      <c r="P1945" s="30" t="s">
        <v>112</v>
      </c>
      <c r="Q1945" s="30" t="s">
        <v>112</v>
      </c>
      <c r="R1945" s="30" t="s">
        <v>187</v>
      </c>
      <c r="S1945" s="81">
        <f>HLOOKUP(L1945,データについて!$J$6:$M$18,13,FALSE)</f>
        <v>1</v>
      </c>
      <c r="T1945" s="81">
        <f>HLOOKUP(M1945,データについて!$J$7:$M$18,12,FALSE)</f>
        <v>1</v>
      </c>
      <c r="U1945" s="81">
        <f>HLOOKUP(N1945,データについて!$J$8:$M$18,11,FALSE)</f>
        <v>2</v>
      </c>
      <c r="V1945" s="81">
        <f>HLOOKUP(O1945,データについて!$J$9:$M$18,10,FALSE)</f>
        <v>3</v>
      </c>
      <c r="W1945" s="81">
        <f>HLOOKUP(P1945,データについて!$J$10:$M$18,9,FALSE)</f>
        <v>1</v>
      </c>
      <c r="X1945" s="81">
        <f>HLOOKUP(Q1945,データについて!$J$11:$M$18,8,FALSE)</f>
        <v>1</v>
      </c>
      <c r="Y1945" s="81">
        <f>HLOOKUP(R1945,データについて!$J$12:$M$18,7,FALSE)</f>
        <v>3</v>
      </c>
      <c r="Z1945" s="81">
        <f>HLOOKUP(I1945,データについて!$J$3:$M$18,16,FALSE)</f>
        <v>1</v>
      </c>
      <c r="AA1945" s="81">
        <f>IFERROR(HLOOKUP(J1945,データについて!$J$4:$AH$19,16,FALSE),"")</f>
        <v>9</v>
      </c>
      <c r="AB1945" s="81" t="str">
        <f>IFERROR(HLOOKUP(K1945,データについて!$J$5:$AH$20,14,FALSE),"")</f>
        <v/>
      </c>
      <c r="AC1945" s="81">
        <f>IF(X1945=1,HLOOKUP(R1945,データについて!$J$12:$M$18,7,FALSE),"*")</f>
        <v>3</v>
      </c>
      <c r="AD1945" s="81" t="str">
        <f>IF(X1945=2,HLOOKUP(R1945,データについて!$J$12:$M$18,7,FALSE),"*")</f>
        <v>*</v>
      </c>
    </row>
    <row r="1946" spans="1:30">
      <c r="A1946" s="30">
        <v>3246</v>
      </c>
      <c r="B1946" s="30" t="s">
        <v>1942</v>
      </c>
      <c r="C1946" s="30" t="s">
        <v>1943</v>
      </c>
      <c r="D1946" s="30" t="s">
        <v>106</v>
      </c>
      <c r="E1946" s="30"/>
      <c r="F1946" s="30" t="s">
        <v>107</v>
      </c>
      <c r="G1946" s="30" t="s">
        <v>106</v>
      </c>
      <c r="H1946" s="30"/>
      <c r="I1946" s="30" t="s">
        <v>192</v>
      </c>
      <c r="J1946" s="30" t="s">
        <v>635</v>
      </c>
      <c r="K1946" s="30"/>
      <c r="L1946" s="30" t="s">
        <v>117</v>
      </c>
      <c r="M1946" s="30" t="s">
        <v>124</v>
      </c>
      <c r="N1946" s="30" t="s">
        <v>110</v>
      </c>
      <c r="O1946" s="30" t="s">
        <v>123</v>
      </c>
      <c r="P1946" s="30" t="s">
        <v>118</v>
      </c>
      <c r="Q1946" s="30" t="s">
        <v>118</v>
      </c>
      <c r="R1946" s="30" t="s">
        <v>189</v>
      </c>
      <c r="S1946" s="81">
        <f>HLOOKUP(L1946,データについて!$J$6:$M$18,13,FALSE)</f>
        <v>2</v>
      </c>
      <c r="T1946" s="81">
        <f>HLOOKUP(M1946,データについて!$J$7:$M$18,12,FALSE)</f>
        <v>3</v>
      </c>
      <c r="U1946" s="81">
        <f>HLOOKUP(N1946,データについて!$J$8:$M$18,11,FALSE)</f>
        <v>2</v>
      </c>
      <c r="V1946" s="81">
        <f>HLOOKUP(O1946,データについて!$J$9:$M$18,10,FALSE)</f>
        <v>4</v>
      </c>
      <c r="W1946" s="81">
        <f>HLOOKUP(P1946,データについて!$J$10:$M$18,9,FALSE)</f>
        <v>2</v>
      </c>
      <c r="X1946" s="81">
        <f>HLOOKUP(Q1946,データについて!$J$11:$M$18,8,FALSE)</f>
        <v>2</v>
      </c>
      <c r="Y1946" s="81">
        <f>HLOOKUP(R1946,データについて!$J$12:$M$18,7,FALSE)</f>
        <v>4</v>
      </c>
      <c r="Z1946" s="81">
        <f>HLOOKUP(I1946,データについて!$J$3:$M$18,16,FALSE)</f>
        <v>1</v>
      </c>
      <c r="AA1946" s="81">
        <f>IFERROR(HLOOKUP(J1946,データについて!$J$4:$AH$19,16,FALSE),"")</f>
        <v>9</v>
      </c>
      <c r="AB1946" s="81" t="str">
        <f>IFERROR(HLOOKUP(K1946,データについて!$J$5:$AH$20,14,FALSE),"")</f>
        <v/>
      </c>
      <c r="AC1946" s="81" t="str">
        <f>IF(X1946=1,HLOOKUP(R1946,データについて!$J$12:$M$18,7,FALSE),"*")</f>
        <v>*</v>
      </c>
      <c r="AD1946" s="81">
        <f>IF(X1946=2,HLOOKUP(R1946,データについて!$J$12:$M$18,7,FALSE),"*")</f>
        <v>4</v>
      </c>
    </row>
    <row r="1947" spans="1:30">
      <c r="A1947" s="30">
        <v>3245</v>
      </c>
      <c r="B1947" s="30" t="s">
        <v>1944</v>
      </c>
      <c r="C1947" s="30" t="s">
        <v>1945</v>
      </c>
      <c r="D1947" s="30" t="s">
        <v>106</v>
      </c>
      <c r="E1947" s="30"/>
      <c r="F1947" s="30" t="s">
        <v>107</v>
      </c>
      <c r="G1947" s="30" t="s">
        <v>106</v>
      </c>
      <c r="H1947" s="30"/>
      <c r="I1947" s="30" t="s">
        <v>192</v>
      </c>
      <c r="J1947" s="30" t="s">
        <v>635</v>
      </c>
      <c r="K1947" s="30"/>
      <c r="L1947" s="30" t="s">
        <v>117</v>
      </c>
      <c r="M1947" s="30" t="s">
        <v>113</v>
      </c>
      <c r="N1947" s="30" t="s">
        <v>114</v>
      </c>
      <c r="O1947" s="30" t="s">
        <v>123</v>
      </c>
      <c r="P1947" s="30" t="s">
        <v>112</v>
      </c>
      <c r="Q1947" s="30" t="s">
        <v>112</v>
      </c>
      <c r="R1947" s="30" t="s">
        <v>183</v>
      </c>
      <c r="S1947" s="81">
        <f>HLOOKUP(L1947,データについて!$J$6:$M$18,13,FALSE)</f>
        <v>2</v>
      </c>
      <c r="T1947" s="81">
        <f>HLOOKUP(M1947,データについて!$J$7:$M$18,12,FALSE)</f>
        <v>1</v>
      </c>
      <c r="U1947" s="81">
        <f>HLOOKUP(N1947,データについて!$J$8:$M$18,11,FALSE)</f>
        <v>1</v>
      </c>
      <c r="V1947" s="81">
        <f>HLOOKUP(O1947,データについて!$J$9:$M$18,10,FALSE)</f>
        <v>4</v>
      </c>
      <c r="W1947" s="81">
        <f>HLOOKUP(P1947,データについて!$J$10:$M$18,9,FALSE)</f>
        <v>1</v>
      </c>
      <c r="X1947" s="81">
        <f>HLOOKUP(Q1947,データについて!$J$11:$M$18,8,FALSE)</f>
        <v>1</v>
      </c>
      <c r="Y1947" s="81">
        <f>HLOOKUP(R1947,データについて!$J$12:$M$18,7,FALSE)</f>
        <v>1</v>
      </c>
      <c r="Z1947" s="81">
        <f>HLOOKUP(I1947,データについて!$J$3:$M$18,16,FALSE)</f>
        <v>1</v>
      </c>
      <c r="AA1947" s="81">
        <f>IFERROR(HLOOKUP(J1947,データについて!$J$4:$AH$19,16,FALSE),"")</f>
        <v>9</v>
      </c>
      <c r="AB1947" s="81" t="str">
        <f>IFERROR(HLOOKUP(K1947,データについて!$J$5:$AH$20,14,FALSE),"")</f>
        <v/>
      </c>
      <c r="AC1947" s="81">
        <f>IF(X1947=1,HLOOKUP(R1947,データについて!$J$12:$M$18,7,FALSE),"*")</f>
        <v>1</v>
      </c>
      <c r="AD1947" s="81" t="str">
        <f>IF(X1947=2,HLOOKUP(R1947,データについて!$J$12:$M$18,7,FALSE),"*")</f>
        <v>*</v>
      </c>
    </row>
    <row r="1948" spans="1:30">
      <c r="A1948" s="30">
        <v>3244</v>
      </c>
      <c r="B1948" s="30" t="s">
        <v>1946</v>
      </c>
      <c r="C1948" s="30" t="s">
        <v>1945</v>
      </c>
      <c r="D1948" s="30" t="s">
        <v>106</v>
      </c>
      <c r="E1948" s="30"/>
      <c r="F1948" s="30" t="s">
        <v>107</v>
      </c>
      <c r="G1948" s="30" t="s">
        <v>106</v>
      </c>
      <c r="H1948" s="30"/>
      <c r="I1948" s="30" t="s">
        <v>192</v>
      </c>
      <c r="J1948" s="30" t="s">
        <v>635</v>
      </c>
      <c r="K1948" s="30"/>
      <c r="L1948" s="30" t="s">
        <v>108</v>
      </c>
      <c r="M1948" s="30" t="s">
        <v>113</v>
      </c>
      <c r="N1948" s="30" t="s">
        <v>114</v>
      </c>
      <c r="O1948" s="30" t="s">
        <v>115</v>
      </c>
      <c r="P1948" s="30" t="s">
        <v>112</v>
      </c>
      <c r="Q1948" s="30" t="s">
        <v>112</v>
      </c>
      <c r="R1948" s="30" t="s">
        <v>185</v>
      </c>
      <c r="S1948" s="81">
        <f>HLOOKUP(L1948,データについて!$J$6:$M$18,13,FALSE)</f>
        <v>1</v>
      </c>
      <c r="T1948" s="81">
        <f>HLOOKUP(M1948,データについて!$J$7:$M$18,12,FALSE)</f>
        <v>1</v>
      </c>
      <c r="U1948" s="81">
        <f>HLOOKUP(N1948,データについて!$J$8:$M$18,11,FALSE)</f>
        <v>1</v>
      </c>
      <c r="V1948" s="81">
        <f>HLOOKUP(O1948,データについて!$J$9:$M$18,10,FALSE)</f>
        <v>1</v>
      </c>
      <c r="W1948" s="81">
        <f>HLOOKUP(P1948,データについて!$J$10:$M$18,9,FALSE)</f>
        <v>1</v>
      </c>
      <c r="X1948" s="81">
        <f>HLOOKUP(Q1948,データについて!$J$11:$M$18,8,FALSE)</f>
        <v>1</v>
      </c>
      <c r="Y1948" s="81">
        <f>HLOOKUP(R1948,データについて!$J$12:$M$18,7,FALSE)</f>
        <v>2</v>
      </c>
      <c r="Z1948" s="81">
        <f>HLOOKUP(I1948,データについて!$J$3:$M$18,16,FALSE)</f>
        <v>1</v>
      </c>
      <c r="AA1948" s="81">
        <f>IFERROR(HLOOKUP(J1948,データについて!$J$4:$AH$19,16,FALSE),"")</f>
        <v>9</v>
      </c>
      <c r="AB1948" s="81" t="str">
        <f>IFERROR(HLOOKUP(K1948,データについて!$J$5:$AH$20,14,FALSE),"")</f>
        <v/>
      </c>
      <c r="AC1948" s="81">
        <f>IF(X1948=1,HLOOKUP(R1948,データについて!$J$12:$M$18,7,FALSE),"*")</f>
        <v>2</v>
      </c>
      <c r="AD1948" s="81" t="str">
        <f>IF(X1948=2,HLOOKUP(R1948,データについて!$J$12:$M$18,7,FALSE),"*")</f>
        <v>*</v>
      </c>
    </row>
    <row r="1949" spans="1:30">
      <c r="A1949" s="30">
        <v>3243</v>
      </c>
      <c r="B1949" s="30" t="s">
        <v>1947</v>
      </c>
      <c r="C1949" s="30" t="s">
        <v>1948</v>
      </c>
      <c r="D1949" s="30" t="s">
        <v>106</v>
      </c>
      <c r="E1949" s="30"/>
      <c r="F1949" s="30" t="s">
        <v>107</v>
      </c>
      <c r="G1949" s="30" t="s">
        <v>106</v>
      </c>
      <c r="H1949" s="30"/>
      <c r="I1949" s="30" t="s">
        <v>192</v>
      </c>
      <c r="J1949" s="30" t="s">
        <v>635</v>
      </c>
      <c r="K1949" s="30"/>
      <c r="L1949" s="30" t="s">
        <v>108</v>
      </c>
      <c r="M1949" s="30" t="s">
        <v>109</v>
      </c>
      <c r="N1949" s="30" t="s">
        <v>114</v>
      </c>
      <c r="O1949" s="30" t="s">
        <v>115</v>
      </c>
      <c r="P1949" s="30" t="s">
        <v>112</v>
      </c>
      <c r="Q1949" s="30" t="s">
        <v>112</v>
      </c>
      <c r="R1949" s="30" t="s">
        <v>185</v>
      </c>
      <c r="S1949" s="81">
        <f>HLOOKUP(L1949,データについて!$J$6:$M$18,13,FALSE)</f>
        <v>1</v>
      </c>
      <c r="T1949" s="81">
        <f>HLOOKUP(M1949,データについて!$J$7:$M$18,12,FALSE)</f>
        <v>2</v>
      </c>
      <c r="U1949" s="81">
        <f>HLOOKUP(N1949,データについて!$J$8:$M$18,11,FALSE)</f>
        <v>1</v>
      </c>
      <c r="V1949" s="81">
        <f>HLOOKUP(O1949,データについて!$J$9:$M$18,10,FALSE)</f>
        <v>1</v>
      </c>
      <c r="W1949" s="81">
        <f>HLOOKUP(P1949,データについて!$J$10:$M$18,9,FALSE)</f>
        <v>1</v>
      </c>
      <c r="X1949" s="81">
        <f>HLOOKUP(Q1949,データについて!$J$11:$M$18,8,FALSE)</f>
        <v>1</v>
      </c>
      <c r="Y1949" s="81">
        <f>HLOOKUP(R1949,データについて!$J$12:$M$18,7,FALSE)</f>
        <v>2</v>
      </c>
      <c r="Z1949" s="81">
        <f>HLOOKUP(I1949,データについて!$J$3:$M$18,16,FALSE)</f>
        <v>1</v>
      </c>
      <c r="AA1949" s="81">
        <f>IFERROR(HLOOKUP(J1949,データについて!$J$4:$AH$19,16,FALSE),"")</f>
        <v>9</v>
      </c>
      <c r="AB1949" s="81" t="str">
        <f>IFERROR(HLOOKUP(K1949,データについて!$J$5:$AH$20,14,FALSE),"")</f>
        <v/>
      </c>
      <c r="AC1949" s="81">
        <f>IF(X1949=1,HLOOKUP(R1949,データについて!$J$12:$M$18,7,FALSE),"*")</f>
        <v>2</v>
      </c>
      <c r="AD1949" s="81" t="str">
        <f>IF(X1949=2,HLOOKUP(R1949,データについて!$J$12:$M$18,7,FALSE),"*")</f>
        <v>*</v>
      </c>
    </row>
    <row r="1950" spans="1:30">
      <c r="A1950" s="30">
        <v>3242</v>
      </c>
      <c r="B1950" s="30" t="s">
        <v>1949</v>
      </c>
      <c r="C1950" s="30" t="s">
        <v>1948</v>
      </c>
      <c r="D1950" s="30" t="s">
        <v>106</v>
      </c>
      <c r="E1950" s="30"/>
      <c r="F1950" s="30" t="s">
        <v>107</v>
      </c>
      <c r="G1950" s="30" t="s">
        <v>106</v>
      </c>
      <c r="H1950" s="30"/>
      <c r="I1950" s="30" t="s">
        <v>192</v>
      </c>
      <c r="J1950" s="30" t="s">
        <v>635</v>
      </c>
      <c r="K1950" s="30"/>
      <c r="L1950" s="30" t="s">
        <v>108</v>
      </c>
      <c r="M1950" s="30" t="s">
        <v>109</v>
      </c>
      <c r="N1950" s="30" t="s">
        <v>110</v>
      </c>
      <c r="O1950" s="30" t="s">
        <v>116</v>
      </c>
      <c r="P1950" s="30" t="s">
        <v>112</v>
      </c>
      <c r="Q1950" s="30" t="s">
        <v>112</v>
      </c>
      <c r="R1950" s="30" t="s">
        <v>185</v>
      </c>
      <c r="S1950" s="81">
        <f>HLOOKUP(L1950,データについて!$J$6:$M$18,13,FALSE)</f>
        <v>1</v>
      </c>
      <c r="T1950" s="81">
        <f>HLOOKUP(M1950,データについて!$J$7:$M$18,12,FALSE)</f>
        <v>2</v>
      </c>
      <c r="U1950" s="81">
        <f>HLOOKUP(N1950,データについて!$J$8:$M$18,11,FALSE)</f>
        <v>2</v>
      </c>
      <c r="V1950" s="81">
        <f>HLOOKUP(O1950,データについて!$J$9:$M$18,10,FALSE)</f>
        <v>2</v>
      </c>
      <c r="W1950" s="81">
        <f>HLOOKUP(P1950,データについて!$J$10:$M$18,9,FALSE)</f>
        <v>1</v>
      </c>
      <c r="X1950" s="81">
        <f>HLOOKUP(Q1950,データについて!$J$11:$M$18,8,FALSE)</f>
        <v>1</v>
      </c>
      <c r="Y1950" s="81">
        <f>HLOOKUP(R1950,データについて!$J$12:$M$18,7,FALSE)</f>
        <v>2</v>
      </c>
      <c r="Z1950" s="81">
        <f>HLOOKUP(I1950,データについて!$J$3:$M$18,16,FALSE)</f>
        <v>1</v>
      </c>
      <c r="AA1950" s="81">
        <f>IFERROR(HLOOKUP(J1950,データについて!$J$4:$AH$19,16,FALSE),"")</f>
        <v>9</v>
      </c>
      <c r="AB1950" s="81" t="str">
        <f>IFERROR(HLOOKUP(K1950,データについて!$J$5:$AH$20,14,FALSE),"")</f>
        <v/>
      </c>
      <c r="AC1950" s="81">
        <f>IF(X1950=1,HLOOKUP(R1950,データについて!$J$12:$M$18,7,FALSE),"*")</f>
        <v>2</v>
      </c>
      <c r="AD1950" s="81" t="str">
        <f>IF(X1950=2,HLOOKUP(R1950,データについて!$J$12:$M$18,7,FALSE),"*")</f>
        <v>*</v>
      </c>
    </row>
    <row r="1951" spans="1:30">
      <c r="A1951" s="30">
        <v>3241</v>
      </c>
      <c r="B1951" s="30" t="s">
        <v>1950</v>
      </c>
      <c r="C1951" s="30" t="s">
        <v>1951</v>
      </c>
      <c r="D1951" s="30" t="s">
        <v>106</v>
      </c>
      <c r="E1951" s="30"/>
      <c r="F1951" s="30" t="s">
        <v>107</v>
      </c>
      <c r="G1951" s="30" t="s">
        <v>106</v>
      </c>
      <c r="H1951" s="30"/>
      <c r="I1951" s="30" t="s">
        <v>192</v>
      </c>
      <c r="J1951" s="30" t="s">
        <v>635</v>
      </c>
      <c r="K1951" s="30"/>
      <c r="L1951" s="30" t="s">
        <v>108</v>
      </c>
      <c r="M1951" s="30" t="s">
        <v>109</v>
      </c>
      <c r="N1951" s="30" t="s">
        <v>114</v>
      </c>
      <c r="O1951" s="30" t="s">
        <v>115</v>
      </c>
      <c r="P1951" s="30" t="s">
        <v>112</v>
      </c>
      <c r="Q1951" s="30" t="s">
        <v>112</v>
      </c>
      <c r="R1951" s="30" t="s">
        <v>185</v>
      </c>
      <c r="S1951" s="81">
        <f>HLOOKUP(L1951,データについて!$J$6:$M$18,13,FALSE)</f>
        <v>1</v>
      </c>
      <c r="T1951" s="81">
        <f>HLOOKUP(M1951,データについて!$J$7:$M$18,12,FALSE)</f>
        <v>2</v>
      </c>
      <c r="U1951" s="81">
        <f>HLOOKUP(N1951,データについて!$J$8:$M$18,11,FALSE)</f>
        <v>1</v>
      </c>
      <c r="V1951" s="81">
        <f>HLOOKUP(O1951,データについて!$J$9:$M$18,10,FALSE)</f>
        <v>1</v>
      </c>
      <c r="W1951" s="81">
        <f>HLOOKUP(P1951,データについて!$J$10:$M$18,9,FALSE)</f>
        <v>1</v>
      </c>
      <c r="X1951" s="81">
        <f>HLOOKUP(Q1951,データについて!$J$11:$M$18,8,FALSE)</f>
        <v>1</v>
      </c>
      <c r="Y1951" s="81">
        <f>HLOOKUP(R1951,データについて!$J$12:$M$18,7,FALSE)</f>
        <v>2</v>
      </c>
      <c r="Z1951" s="81">
        <f>HLOOKUP(I1951,データについて!$J$3:$M$18,16,FALSE)</f>
        <v>1</v>
      </c>
      <c r="AA1951" s="81">
        <f>IFERROR(HLOOKUP(J1951,データについて!$J$4:$AH$19,16,FALSE),"")</f>
        <v>9</v>
      </c>
      <c r="AB1951" s="81" t="str">
        <f>IFERROR(HLOOKUP(K1951,データについて!$J$5:$AH$20,14,FALSE),"")</f>
        <v/>
      </c>
      <c r="AC1951" s="81">
        <f>IF(X1951=1,HLOOKUP(R1951,データについて!$J$12:$M$18,7,FALSE),"*")</f>
        <v>2</v>
      </c>
      <c r="AD1951" s="81" t="str">
        <f>IF(X1951=2,HLOOKUP(R1951,データについて!$J$12:$M$18,7,FALSE),"*")</f>
        <v>*</v>
      </c>
    </row>
    <row r="1952" spans="1:30">
      <c r="A1952" s="30">
        <v>3240</v>
      </c>
      <c r="B1952" s="30" t="s">
        <v>1952</v>
      </c>
      <c r="C1952" s="30" t="s">
        <v>1951</v>
      </c>
      <c r="D1952" s="30" t="s">
        <v>106</v>
      </c>
      <c r="E1952" s="30"/>
      <c r="F1952" s="30" t="s">
        <v>107</v>
      </c>
      <c r="G1952" s="30" t="s">
        <v>106</v>
      </c>
      <c r="H1952" s="30"/>
      <c r="I1952" s="30" t="s">
        <v>192</v>
      </c>
      <c r="J1952" s="30" t="s">
        <v>635</v>
      </c>
      <c r="K1952" s="30"/>
      <c r="L1952" s="30" t="s">
        <v>117</v>
      </c>
      <c r="M1952" s="30" t="s">
        <v>113</v>
      </c>
      <c r="N1952" s="30" t="s">
        <v>114</v>
      </c>
      <c r="O1952" s="30" t="s">
        <v>115</v>
      </c>
      <c r="P1952" s="30" t="s">
        <v>112</v>
      </c>
      <c r="Q1952" s="30" t="s">
        <v>112</v>
      </c>
      <c r="R1952" s="30" t="s">
        <v>185</v>
      </c>
      <c r="S1952" s="81">
        <f>HLOOKUP(L1952,データについて!$J$6:$M$18,13,FALSE)</f>
        <v>2</v>
      </c>
      <c r="T1952" s="81">
        <f>HLOOKUP(M1952,データについて!$J$7:$M$18,12,FALSE)</f>
        <v>1</v>
      </c>
      <c r="U1952" s="81">
        <f>HLOOKUP(N1952,データについて!$J$8:$M$18,11,FALSE)</f>
        <v>1</v>
      </c>
      <c r="V1952" s="81">
        <f>HLOOKUP(O1952,データについて!$J$9:$M$18,10,FALSE)</f>
        <v>1</v>
      </c>
      <c r="W1952" s="81">
        <f>HLOOKUP(P1952,データについて!$J$10:$M$18,9,FALSE)</f>
        <v>1</v>
      </c>
      <c r="X1952" s="81">
        <f>HLOOKUP(Q1952,データについて!$J$11:$M$18,8,FALSE)</f>
        <v>1</v>
      </c>
      <c r="Y1952" s="81">
        <f>HLOOKUP(R1952,データについて!$J$12:$M$18,7,FALSE)</f>
        <v>2</v>
      </c>
      <c r="Z1952" s="81">
        <f>HLOOKUP(I1952,データについて!$J$3:$M$18,16,FALSE)</f>
        <v>1</v>
      </c>
      <c r="AA1952" s="81">
        <f>IFERROR(HLOOKUP(J1952,データについて!$J$4:$AH$19,16,FALSE),"")</f>
        <v>9</v>
      </c>
      <c r="AB1952" s="81" t="str">
        <f>IFERROR(HLOOKUP(K1952,データについて!$J$5:$AH$20,14,FALSE),"")</f>
        <v/>
      </c>
      <c r="AC1952" s="81">
        <f>IF(X1952=1,HLOOKUP(R1952,データについて!$J$12:$M$18,7,FALSE),"*")</f>
        <v>2</v>
      </c>
      <c r="AD1952" s="81" t="str">
        <f>IF(X1952=2,HLOOKUP(R1952,データについて!$J$12:$M$18,7,FALSE),"*")</f>
        <v>*</v>
      </c>
    </row>
    <row r="1953" spans="1:30">
      <c r="A1953" s="30">
        <v>3239</v>
      </c>
      <c r="B1953" s="30" t="s">
        <v>1953</v>
      </c>
      <c r="C1953" s="30" t="s">
        <v>1954</v>
      </c>
      <c r="D1953" s="30" t="s">
        <v>106</v>
      </c>
      <c r="E1953" s="30"/>
      <c r="F1953" s="30" t="s">
        <v>107</v>
      </c>
      <c r="G1953" s="30" t="s">
        <v>106</v>
      </c>
      <c r="H1953" s="30"/>
      <c r="I1953" s="30" t="s">
        <v>192</v>
      </c>
      <c r="J1953" s="30" t="s">
        <v>630</v>
      </c>
      <c r="K1953" s="30"/>
      <c r="L1953" s="30" t="s">
        <v>117</v>
      </c>
      <c r="M1953" s="30" t="s">
        <v>113</v>
      </c>
      <c r="N1953" s="30" t="s">
        <v>114</v>
      </c>
      <c r="O1953" s="30" t="s">
        <v>115</v>
      </c>
      <c r="P1953" s="30" t="s">
        <v>112</v>
      </c>
      <c r="Q1953" s="30" t="s">
        <v>112</v>
      </c>
      <c r="R1953" s="30" t="s">
        <v>183</v>
      </c>
      <c r="S1953" s="81">
        <f>HLOOKUP(L1953,データについて!$J$6:$M$18,13,FALSE)</f>
        <v>2</v>
      </c>
      <c r="T1953" s="81">
        <f>HLOOKUP(M1953,データについて!$J$7:$M$18,12,FALSE)</f>
        <v>1</v>
      </c>
      <c r="U1953" s="81">
        <f>HLOOKUP(N1953,データについて!$J$8:$M$18,11,FALSE)</f>
        <v>1</v>
      </c>
      <c r="V1953" s="81">
        <f>HLOOKUP(O1953,データについて!$J$9:$M$18,10,FALSE)</f>
        <v>1</v>
      </c>
      <c r="W1953" s="81">
        <f>HLOOKUP(P1953,データについて!$J$10:$M$18,9,FALSE)</f>
        <v>1</v>
      </c>
      <c r="X1953" s="81">
        <f>HLOOKUP(Q1953,データについて!$J$11:$M$18,8,FALSE)</f>
        <v>1</v>
      </c>
      <c r="Y1953" s="81">
        <f>HLOOKUP(R1953,データについて!$J$12:$M$18,7,FALSE)</f>
        <v>1</v>
      </c>
      <c r="Z1953" s="81">
        <f>HLOOKUP(I1953,データについて!$J$3:$M$18,16,FALSE)</f>
        <v>1</v>
      </c>
      <c r="AA1953" s="81">
        <f>IFERROR(HLOOKUP(J1953,データについて!$J$4:$AH$19,16,FALSE),"")</f>
        <v>4</v>
      </c>
      <c r="AB1953" s="81" t="str">
        <f>IFERROR(HLOOKUP(K1953,データについて!$J$5:$AH$20,14,FALSE),"")</f>
        <v/>
      </c>
      <c r="AC1953" s="81">
        <f>IF(X1953=1,HLOOKUP(R1953,データについて!$J$12:$M$18,7,FALSE),"*")</f>
        <v>1</v>
      </c>
      <c r="AD1953" s="81" t="str">
        <f>IF(X1953=2,HLOOKUP(R1953,データについて!$J$12:$M$18,7,FALSE),"*")</f>
        <v>*</v>
      </c>
    </row>
    <row r="1954" spans="1:30">
      <c r="A1954" s="30">
        <v>3238</v>
      </c>
      <c r="B1954" s="30" t="s">
        <v>1955</v>
      </c>
      <c r="C1954" s="30" t="s">
        <v>1956</v>
      </c>
      <c r="D1954" s="30" t="s">
        <v>106</v>
      </c>
      <c r="E1954" s="30"/>
      <c r="F1954" s="30" t="s">
        <v>107</v>
      </c>
      <c r="G1954" s="30" t="s">
        <v>106</v>
      </c>
      <c r="H1954" s="30"/>
      <c r="I1954" s="30" t="s">
        <v>192</v>
      </c>
      <c r="J1954" s="30" t="s">
        <v>635</v>
      </c>
      <c r="K1954" s="30"/>
      <c r="L1954" s="30" t="s">
        <v>108</v>
      </c>
      <c r="M1954" s="30" t="s">
        <v>113</v>
      </c>
      <c r="N1954" s="30" t="s">
        <v>114</v>
      </c>
      <c r="O1954" s="30" t="s">
        <v>111</v>
      </c>
      <c r="P1954" s="30" t="s">
        <v>112</v>
      </c>
      <c r="Q1954" s="30" t="s">
        <v>118</v>
      </c>
      <c r="R1954" s="30" t="s">
        <v>185</v>
      </c>
      <c r="S1954" s="81">
        <f>HLOOKUP(L1954,データについて!$J$6:$M$18,13,FALSE)</f>
        <v>1</v>
      </c>
      <c r="T1954" s="81">
        <f>HLOOKUP(M1954,データについて!$J$7:$M$18,12,FALSE)</f>
        <v>1</v>
      </c>
      <c r="U1954" s="81">
        <f>HLOOKUP(N1954,データについて!$J$8:$M$18,11,FALSE)</f>
        <v>1</v>
      </c>
      <c r="V1954" s="81">
        <f>HLOOKUP(O1954,データについて!$J$9:$M$18,10,FALSE)</f>
        <v>3</v>
      </c>
      <c r="W1954" s="81">
        <f>HLOOKUP(P1954,データについて!$J$10:$M$18,9,FALSE)</f>
        <v>1</v>
      </c>
      <c r="X1954" s="81">
        <f>HLOOKUP(Q1954,データについて!$J$11:$M$18,8,FALSE)</f>
        <v>2</v>
      </c>
      <c r="Y1954" s="81">
        <f>HLOOKUP(R1954,データについて!$J$12:$M$18,7,FALSE)</f>
        <v>2</v>
      </c>
      <c r="Z1954" s="81">
        <f>HLOOKUP(I1954,データについて!$J$3:$M$18,16,FALSE)</f>
        <v>1</v>
      </c>
      <c r="AA1954" s="81">
        <f>IFERROR(HLOOKUP(J1954,データについて!$J$4:$AH$19,16,FALSE),"")</f>
        <v>9</v>
      </c>
      <c r="AB1954" s="81" t="str">
        <f>IFERROR(HLOOKUP(K1954,データについて!$J$5:$AH$20,14,FALSE),"")</f>
        <v/>
      </c>
      <c r="AC1954" s="81" t="str">
        <f>IF(X1954=1,HLOOKUP(R1954,データについて!$J$12:$M$18,7,FALSE),"*")</f>
        <v>*</v>
      </c>
      <c r="AD1954" s="81">
        <f>IF(X1954=2,HLOOKUP(R1954,データについて!$J$12:$M$18,7,FALSE),"*")</f>
        <v>2</v>
      </c>
    </row>
    <row r="1955" spans="1:30">
      <c r="A1955" s="30">
        <v>3237</v>
      </c>
      <c r="B1955" s="30" t="s">
        <v>1957</v>
      </c>
      <c r="C1955" s="30" t="s">
        <v>1958</v>
      </c>
      <c r="D1955" s="30" t="s">
        <v>106</v>
      </c>
      <c r="E1955" s="30"/>
      <c r="F1955" s="30" t="s">
        <v>107</v>
      </c>
      <c r="G1955" s="30" t="s">
        <v>106</v>
      </c>
      <c r="H1955" s="30"/>
      <c r="I1955" s="30" t="s">
        <v>192</v>
      </c>
      <c r="J1955" s="30" t="s">
        <v>942</v>
      </c>
      <c r="K1955" s="30"/>
      <c r="L1955" s="30" t="s">
        <v>117</v>
      </c>
      <c r="M1955" s="30" t="s">
        <v>113</v>
      </c>
      <c r="N1955" s="30" t="s">
        <v>110</v>
      </c>
      <c r="O1955" s="30" t="s">
        <v>115</v>
      </c>
      <c r="P1955" s="30" t="s">
        <v>112</v>
      </c>
      <c r="Q1955" s="30" t="s">
        <v>112</v>
      </c>
      <c r="R1955" s="30" t="s">
        <v>189</v>
      </c>
      <c r="S1955" s="81">
        <f>HLOOKUP(L1955,データについて!$J$6:$M$18,13,FALSE)</f>
        <v>2</v>
      </c>
      <c r="T1955" s="81">
        <f>HLOOKUP(M1955,データについて!$J$7:$M$18,12,FALSE)</f>
        <v>1</v>
      </c>
      <c r="U1955" s="81">
        <f>HLOOKUP(N1955,データについて!$J$8:$M$18,11,FALSE)</f>
        <v>2</v>
      </c>
      <c r="V1955" s="81">
        <f>HLOOKUP(O1955,データについて!$J$9:$M$18,10,FALSE)</f>
        <v>1</v>
      </c>
      <c r="W1955" s="81">
        <f>HLOOKUP(P1955,データについて!$J$10:$M$18,9,FALSE)</f>
        <v>1</v>
      </c>
      <c r="X1955" s="81">
        <f>HLOOKUP(Q1955,データについて!$J$11:$M$18,8,FALSE)</f>
        <v>1</v>
      </c>
      <c r="Y1955" s="81">
        <f>HLOOKUP(R1955,データについて!$J$12:$M$18,7,FALSE)</f>
        <v>4</v>
      </c>
      <c r="Z1955" s="81">
        <f>HLOOKUP(I1955,データについて!$J$3:$M$18,16,FALSE)</f>
        <v>1</v>
      </c>
      <c r="AA1955" s="81">
        <f>IFERROR(HLOOKUP(J1955,データについて!$J$4:$AH$19,16,FALSE),"")</f>
        <v>7</v>
      </c>
      <c r="AB1955" s="81" t="str">
        <f>IFERROR(HLOOKUP(K1955,データについて!$J$5:$AH$20,14,FALSE),"")</f>
        <v/>
      </c>
      <c r="AC1955" s="81">
        <f>IF(X1955=1,HLOOKUP(R1955,データについて!$J$12:$M$18,7,FALSE),"*")</f>
        <v>4</v>
      </c>
      <c r="AD1955" s="81" t="str">
        <f>IF(X1955=2,HLOOKUP(R1955,データについて!$J$12:$M$18,7,FALSE),"*")</f>
        <v>*</v>
      </c>
    </row>
    <row r="1956" spans="1:30">
      <c r="A1956" s="30">
        <v>3236</v>
      </c>
      <c r="B1956" s="30" t="s">
        <v>1959</v>
      </c>
      <c r="C1956" s="30" t="s">
        <v>1960</v>
      </c>
      <c r="D1956" s="30" t="s">
        <v>106</v>
      </c>
      <c r="E1956" s="30"/>
      <c r="F1956" s="30" t="s">
        <v>107</v>
      </c>
      <c r="G1956" s="30" t="s">
        <v>106</v>
      </c>
      <c r="H1956" s="30"/>
      <c r="I1956" s="30" t="s">
        <v>192</v>
      </c>
      <c r="J1956" s="30" t="s">
        <v>942</v>
      </c>
      <c r="K1956" s="30"/>
      <c r="L1956" s="30" t="s">
        <v>117</v>
      </c>
      <c r="M1956" s="30" t="s">
        <v>109</v>
      </c>
      <c r="N1956" s="30" t="s">
        <v>110</v>
      </c>
      <c r="O1956" s="30" t="s">
        <v>115</v>
      </c>
      <c r="P1956" s="30" t="s">
        <v>112</v>
      </c>
      <c r="Q1956" s="30" t="s">
        <v>112</v>
      </c>
      <c r="R1956" s="30" t="s">
        <v>185</v>
      </c>
      <c r="S1956" s="81">
        <f>HLOOKUP(L1956,データについて!$J$6:$M$18,13,FALSE)</f>
        <v>2</v>
      </c>
      <c r="T1956" s="81">
        <f>HLOOKUP(M1956,データについて!$J$7:$M$18,12,FALSE)</f>
        <v>2</v>
      </c>
      <c r="U1956" s="81">
        <f>HLOOKUP(N1956,データについて!$J$8:$M$18,11,FALSE)</f>
        <v>2</v>
      </c>
      <c r="V1956" s="81">
        <f>HLOOKUP(O1956,データについて!$J$9:$M$18,10,FALSE)</f>
        <v>1</v>
      </c>
      <c r="W1956" s="81">
        <f>HLOOKUP(P1956,データについて!$J$10:$M$18,9,FALSE)</f>
        <v>1</v>
      </c>
      <c r="X1956" s="81">
        <f>HLOOKUP(Q1956,データについて!$J$11:$M$18,8,FALSE)</f>
        <v>1</v>
      </c>
      <c r="Y1956" s="81">
        <f>HLOOKUP(R1956,データについて!$J$12:$M$18,7,FALSE)</f>
        <v>2</v>
      </c>
      <c r="Z1956" s="81">
        <f>HLOOKUP(I1956,データについて!$J$3:$M$18,16,FALSE)</f>
        <v>1</v>
      </c>
      <c r="AA1956" s="81">
        <f>IFERROR(HLOOKUP(J1956,データについて!$J$4:$AH$19,16,FALSE),"")</f>
        <v>7</v>
      </c>
      <c r="AB1956" s="81" t="str">
        <f>IFERROR(HLOOKUP(K1956,データについて!$J$5:$AH$20,14,FALSE),"")</f>
        <v/>
      </c>
      <c r="AC1956" s="81">
        <f>IF(X1956=1,HLOOKUP(R1956,データについて!$J$12:$M$18,7,FALSE),"*")</f>
        <v>2</v>
      </c>
      <c r="AD1956" s="81" t="str">
        <f>IF(X1956=2,HLOOKUP(R1956,データについて!$J$12:$M$18,7,FALSE),"*")</f>
        <v>*</v>
      </c>
    </row>
    <row r="1957" spans="1:30">
      <c r="A1957" s="30">
        <v>3235</v>
      </c>
      <c r="B1957" s="30" t="s">
        <v>1961</v>
      </c>
      <c r="C1957" s="30" t="s">
        <v>1962</v>
      </c>
      <c r="D1957" s="30" t="s">
        <v>106</v>
      </c>
      <c r="E1957" s="30"/>
      <c r="F1957" s="30" t="s">
        <v>107</v>
      </c>
      <c r="G1957" s="30" t="s">
        <v>106</v>
      </c>
      <c r="H1957" s="30"/>
      <c r="I1957" s="30" t="s">
        <v>192</v>
      </c>
      <c r="J1957" s="30" t="s">
        <v>630</v>
      </c>
      <c r="K1957" s="30"/>
      <c r="L1957" s="30" t="s">
        <v>108</v>
      </c>
      <c r="M1957" s="30" t="s">
        <v>113</v>
      </c>
      <c r="N1957" s="30" t="s">
        <v>110</v>
      </c>
      <c r="O1957" s="30" t="s">
        <v>115</v>
      </c>
      <c r="P1957" s="30" t="s">
        <v>112</v>
      </c>
      <c r="Q1957" s="30" t="s">
        <v>118</v>
      </c>
      <c r="R1957" s="30" t="s">
        <v>187</v>
      </c>
      <c r="S1957" s="81">
        <f>HLOOKUP(L1957,データについて!$J$6:$M$18,13,FALSE)</f>
        <v>1</v>
      </c>
      <c r="T1957" s="81">
        <f>HLOOKUP(M1957,データについて!$J$7:$M$18,12,FALSE)</f>
        <v>1</v>
      </c>
      <c r="U1957" s="81">
        <f>HLOOKUP(N1957,データについて!$J$8:$M$18,11,FALSE)</f>
        <v>2</v>
      </c>
      <c r="V1957" s="81">
        <f>HLOOKUP(O1957,データについて!$J$9:$M$18,10,FALSE)</f>
        <v>1</v>
      </c>
      <c r="W1957" s="81">
        <f>HLOOKUP(P1957,データについて!$J$10:$M$18,9,FALSE)</f>
        <v>1</v>
      </c>
      <c r="X1957" s="81">
        <f>HLOOKUP(Q1957,データについて!$J$11:$M$18,8,FALSE)</f>
        <v>2</v>
      </c>
      <c r="Y1957" s="81">
        <f>HLOOKUP(R1957,データについて!$J$12:$M$18,7,FALSE)</f>
        <v>3</v>
      </c>
      <c r="Z1957" s="81">
        <f>HLOOKUP(I1957,データについて!$J$3:$M$18,16,FALSE)</f>
        <v>1</v>
      </c>
      <c r="AA1957" s="81">
        <f>IFERROR(HLOOKUP(J1957,データについて!$J$4:$AH$19,16,FALSE),"")</f>
        <v>4</v>
      </c>
      <c r="AB1957" s="81" t="str">
        <f>IFERROR(HLOOKUP(K1957,データについて!$J$5:$AH$20,14,FALSE),"")</f>
        <v/>
      </c>
      <c r="AC1957" s="81" t="str">
        <f>IF(X1957=1,HLOOKUP(R1957,データについて!$J$12:$M$18,7,FALSE),"*")</f>
        <v>*</v>
      </c>
      <c r="AD1957" s="81">
        <f>IF(X1957=2,HLOOKUP(R1957,データについて!$J$12:$M$18,7,FALSE),"*")</f>
        <v>3</v>
      </c>
    </row>
    <row r="1958" spans="1:30">
      <c r="A1958" s="30">
        <v>3234</v>
      </c>
      <c r="B1958" s="30" t="s">
        <v>1963</v>
      </c>
      <c r="C1958" s="30" t="s">
        <v>1964</v>
      </c>
      <c r="D1958" s="30" t="s">
        <v>106</v>
      </c>
      <c r="E1958" s="30"/>
      <c r="F1958" s="30" t="s">
        <v>107</v>
      </c>
      <c r="G1958" s="30" t="s">
        <v>106</v>
      </c>
      <c r="H1958" s="30"/>
      <c r="I1958" s="30" t="s">
        <v>192</v>
      </c>
      <c r="J1958" s="30" t="s">
        <v>630</v>
      </c>
      <c r="K1958" s="30"/>
      <c r="L1958" s="30" t="s">
        <v>108</v>
      </c>
      <c r="M1958" s="30" t="s">
        <v>109</v>
      </c>
      <c r="N1958" s="30" t="s">
        <v>110</v>
      </c>
      <c r="O1958" s="30" t="s">
        <v>115</v>
      </c>
      <c r="P1958" s="30" t="s">
        <v>112</v>
      </c>
      <c r="Q1958" s="30" t="s">
        <v>112</v>
      </c>
      <c r="R1958" s="30" t="s">
        <v>185</v>
      </c>
      <c r="S1958" s="81">
        <f>HLOOKUP(L1958,データについて!$J$6:$M$18,13,FALSE)</f>
        <v>1</v>
      </c>
      <c r="T1958" s="81">
        <f>HLOOKUP(M1958,データについて!$J$7:$M$18,12,FALSE)</f>
        <v>2</v>
      </c>
      <c r="U1958" s="81">
        <f>HLOOKUP(N1958,データについて!$J$8:$M$18,11,FALSE)</f>
        <v>2</v>
      </c>
      <c r="V1958" s="81">
        <f>HLOOKUP(O1958,データについて!$J$9:$M$18,10,FALSE)</f>
        <v>1</v>
      </c>
      <c r="W1958" s="81">
        <f>HLOOKUP(P1958,データについて!$J$10:$M$18,9,FALSE)</f>
        <v>1</v>
      </c>
      <c r="X1958" s="81">
        <f>HLOOKUP(Q1958,データについて!$J$11:$M$18,8,FALSE)</f>
        <v>1</v>
      </c>
      <c r="Y1958" s="81">
        <f>HLOOKUP(R1958,データについて!$J$12:$M$18,7,FALSE)</f>
        <v>2</v>
      </c>
      <c r="Z1958" s="81">
        <f>HLOOKUP(I1958,データについて!$J$3:$M$18,16,FALSE)</f>
        <v>1</v>
      </c>
      <c r="AA1958" s="81">
        <f>IFERROR(HLOOKUP(J1958,データについて!$J$4:$AH$19,16,FALSE),"")</f>
        <v>4</v>
      </c>
      <c r="AB1958" s="81" t="str">
        <f>IFERROR(HLOOKUP(K1958,データについて!$J$5:$AH$20,14,FALSE),"")</f>
        <v/>
      </c>
      <c r="AC1958" s="81">
        <f>IF(X1958=1,HLOOKUP(R1958,データについて!$J$12:$M$18,7,FALSE),"*")</f>
        <v>2</v>
      </c>
      <c r="AD1958" s="81" t="str">
        <f>IF(X1958=2,HLOOKUP(R1958,データについて!$J$12:$M$18,7,FALSE),"*")</f>
        <v>*</v>
      </c>
    </row>
    <row r="1959" spans="1:30">
      <c r="A1959" s="30">
        <v>3233</v>
      </c>
      <c r="B1959" s="30" t="s">
        <v>1965</v>
      </c>
      <c r="C1959" s="30" t="s">
        <v>1966</v>
      </c>
      <c r="D1959" s="30" t="s">
        <v>106</v>
      </c>
      <c r="E1959" s="30"/>
      <c r="F1959" s="30" t="s">
        <v>107</v>
      </c>
      <c r="G1959" s="30" t="s">
        <v>106</v>
      </c>
      <c r="H1959" s="30"/>
      <c r="I1959" s="30" t="s">
        <v>192</v>
      </c>
      <c r="J1959" s="30" t="s">
        <v>630</v>
      </c>
      <c r="K1959" s="30"/>
      <c r="L1959" s="30" t="s">
        <v>108</v>
      </c>
      <c r="M1959" s="30" t="s">
        <v>109</v>
      </c>
      <c r="N1959" s="30" t="s">
        <v>114</v>
      </c>
      <c r="O1959" s="30" t="s">
        <v>115</v>
      </c>
      <c r="P1959" s="30" t="s">
        <v>112</v>
      </c>
      <c r="Q1959" s="30" t="s">
        <v>112</v>
      </c>
      <c r="R1959" s="30" t="s">
        <v>183</v>
      </c>
      <c r="S1959" s="81">
        <f>HLOOKUP(L1959,データについて!$J$6:$M$18,13,FALSE)</f>
        <v>1</v>
      </c>
      <c r="T1959" s="81">
        <f>HLOOKUP(M1959,データについて!$J$7:$M$18,12,FALSE)</f>
        <v>2</v>
      </c>
      <c r="U1959" s="81">
        <f>HLOOKUP(N1959,データについて!$J$8:$M$18,11,FALSE)</f>
        <v>1</v>
      </c>
      <c r="V1959" s="81">
        <f>HLOOKUP(O1959,データについて!$J$9:$M$18,10,FALSE)</f>
        <v>1</v>
      </c>
      <c r="W1959" s="81">
        <f>HLOOKUP(P1959,データについて!$J$10:$M$18,9,FALSE)</f>
        <v>1</v>
      </c>
      <c r="X1959" s="81">
        <f>HLOOKUP(Q1959,データについて!$J$11:$M$18,8,FALSE)</f>
        <v>1</v>
      </c>
      <c r="Y1959" s="81">
        <f>HLOOKUP(R1959,データについて!$J$12:$M$18,7,FALSE)</f>
        <v>1</v>
      </c>
      <c r="Z1959" s="81">
        <f>HLOOKUP(I1959,データについて!$J$3:$M$18,16,FALSE)</f>
        <v>1</v>
      </c>
      <c r="AA1959" s="81">
        <f>IFERROR(HLOOKUP(J1959,データについて!$J$4:$AH$19,16,FALSE),"")</f>
        <v>4</v>
      </c>
      <c r="AB1959" s="81" t="str">
        <f>IFERROR(HLOOKUP(K1959,データについて!$J$5:$AH$20,14,FALSE),"")</f>
        <v/>
      </c>
      <c r="AC1959" s="81">
        <f>IF(X1959=1,HLOOKUP(R1959,データについて!$J$12:$M$18,7,FALSE),"*")</f>
        <v>1</v>
      </c>
      <c r="AD1959" s="81" t="str">
        <f>IF(X1959=2,HLOOKUP(R1959,データについて!$J$12:$M$18,7,FALSE),"*")</f>
        <v>*</v>
      </c>
    </row>
    <row r="1960" spans="1:30">
      <c r="A1960" s="30">
        <v>3232</v>
      </c>
      <c r="B1960" s="30" t="s">
        <v>1967</v>
      </c>
      <c r="C1960" s="30" t="s">
        <v>1968</v>
      </c>
      <c r="D1960" s="30" t="s">
        <v>106</v>
      </c>
      <c r="E1960" s="30"/>
      <c r="F1960" s="30" t="s">
        <v>107</v>
      </c>
      <c r="G1960" s="30" t="s">
        <v>106</v>
      </c>
      <c r="H1960" s="30"/>
      <c r="I1960" s="30" t="s">
        <v>192</v>
      </c>
      <c r="J1960" s="30" t="s">
        <v>630</v>
      </c>
      <c r="K1960" s="30"/>
      <c r="L1960" s="30" t="s">
        <v>117</v>
      </c>
      <c r="M1960" s="30" t="s">
        <v>113</v>
      </c>
      <c r="N1960" s="30" t="s">
        <v>114</v>
      </c>
      <c r="O1960" s="30" t="s">
        <v>115</v>
      </c>
      <c r="P1960" s="30" t="s">
        <v>112</v>
      </c>
      <c r="Q1960" s="30" t="s">
        <v>112</v>
      </c>
      <c r="R1960" s="30" t="s">
        <v>183</v>
      </c>
      <c r="S1960" s="81">
        <f>HLOOKUP(L1960,データについて!$J$6:$M$18,13,FALSE)</f>
        <v>2</v>
      </c>
      <c r="T1960" s="81">
        <f>HLOOKUP(M1960,データについて!$J$7:$M$18,12,FALSE)</f>
        <v>1</v>
      </c>
      <c r="U1960" s="81">
        <f>HLOOKUP(N1960,データについて!$J$8:$M$18,11,FALSE)</f>
        <v>1</v>
      </c>
      <c r="V1960" s="81">
        <f>HLOOKUP(O1960,データについて!$J$9:$M$18,10,FALSE)</f>
        <v>1</v>
      </c>
      <c r="W1960" s="81">
        <f>HLOOKUP(P1960,データについて!$J$10:$M$18,9,FALSE)</f>
        <v>1</v>
      </c>
      <c r="X1960" s="81">
        <f>HLOOKUP(Q1960,データについて!$J$11:$M$18,8,FALSE)</f>
        <v>1</v>
      </c>
      <c r="Y1960" s="81">
        <f>HLOOKUP(R1960,データについて!$J$12:$M$18,7,FALSE)</f>
        <v>1</v>
      </c>
      <c r="Z1960" s="81">
        <f>HLOOKUP(I1960,データについて!$J$3:$M$18,16,FALSE)</f>
        <v>1</v>
      </c>
      <c r="AA1960" s="81">
        <f>IFERROR(HLOOKUP(J1960,データについて!$J$4:$AH$19,16,FALSE),"")</f>
        <v>4</v>
      </c>
      <c r="AB1960" s="81" t="str">
        <f>IFERROR(HLOOKUP(K1960,データについて!$J$5:$AH$20,14,FALSE),"")</f>
        <v/>
      </c>
      <c r="AC1960" s="81">
        <f>IF(X1960=1,HLOOKUP(R1960,データについて!$J$12:$M$18,7,FALSE),"*")</f>
        <v>1</v>
      </c>
      <c r="AD1960" s="81" t="str">
        <f>IF(X1960=2,HLOOKUP(R1960,データについて!$J$12:$M$18,7,FALSE),"*")</f>
        <v>*</v>
      </c>
    </row>
    <row r="1961" spans="1:30">
      <c r="A1961" s="30">
        <v>3231</v>
      </c>
      <c r="B1961" s="30" t="s">
        <v>1969</v>
      </c>
      <c r="C1961" s="30" t="s">
        <v>1970</v>
      </c>
      <c r="D1961" s="30" t="s">
        <v>106</v>
      </c>
      <c r="E1961" s="30"/>
      <c r="F1961" s="30" t="s">
        <v>107</v>
      </c>
      <c r="G1961" s="30" t="s">
        <v>106</v>
      </c>
      <c r="H1961" s="30"/>
      <c r="I1961" s="30" t="s">
        <v>192</v>
      </c>
      <c r="J1961" s="30" t="s">
        <v>630</v>
      </c>
      <c r="K1961" s="30"/>
      <c r="L1961" s="30" t="s">
        <v>117</v>
      </c>
      <c r="M1961" s="30" t="s">
        <v>113</v>
      </c>
      <c r="N1961" s="30" t="s">
        <v>110</v>
      </c>
      <c r="O1961" s="30" t="s">
        <v>116</v>
      </c>
      <c r="P1961" s="30" t="s">
        <v>112</v>
      </c>
      <c r="Q1961" s="30" t="s">
        <v>112</v>
      </c>
      <c r="R1961" s="30" t="s">
        <v>187</v>
      </c>
      <c r="S1961" s="81">
        <f>HLOOKUP(L1961,データについて!$J$6:$M$18,13,FALSE)</f>
        <v>2</v>
      </c>
      <c r="T1961" s="81">
        <f>HLOOKUP(M1961,データについて!$J$7:$M$18,12,FALSE)</f>
        <v>1</v>
      </c>
      <c r="U1961" s="81">
        <f>HLOOKUP(N1961,データについて!$J$8:$M$18,11,FALSE)</f>
        <v>2</v>
      </c>
      <c r="V1961" s="81">
        <f>HLOOKUP(O1961,データについて!$J$9:$M$18,10,FALSE)</f>
        <v>2</v>
      </c>
      <c r="W1961" s="81">
        <f>HLOOKUP(P1961,データについて!$J$10:$M$18,9,FALSE)</f>
        <v>1</v>
      </c>
      <c r="X1961" s="81">
        <f>HLOOKUP(Q1961,データについて!$J$11:$M$18,8,FALSE)</f>
        <v>1</v>
      </c>
      <c r="Y1961" s="81">
        <f>HLOOKUP(R1961,データについて!$J$12:$M$18,7,FALSE)</f>
        <v>3</v>
      </c>
      <c r="Z1961" s="81">
        <f>HLOOKUP(I1961,データについて!$J$3:$M$18,16,FALSE)</f>
        <v>1</v>
      </c>
      <c r="AA1961" s="81">
        <f>IFERROR(HLOOKUP(J1961,データについて!$J$4:$AH$19,16,FALSE),"")</f>
        <v>4</v>
      </c>
      <c r="AB1961" s="81" t="str">
        <f>IFERROR(HLOOKUP(K1961,データについて!$J$5:$AH$20,14,FALSE),"")</f>
        <v/>
      </c>
      <c r="AC1961" s="81">
        <f>IF(X1961=1,HLOOKUP(R1961,データについて!$J$12:$M$18,7,FALSE),"*")</f>
        <v>3</v>
      </c>
      <c r="AD1961" s="81" t="str">
        <f>IF(X1961=2,HLOOKUP(R1961,データについて!$J$12:$M$18,7,FALSE),"*")</f>
        <v>*</v>
      </c>
    </row>
    <row r="1962" spans="1:30">
      <c r="A1962" s="30">
        <v>3230</v>
      </c>
      <c r="B1962" s="30" t="s">
        <v>1971</v>
      </c>
      <c r="C1962" s="30" t="s">
        <v>1972</v>
      </c>
      <c r="D1962" s="30" t="s">
        <v>106</v>
      </c>
      <c r="E1962" s="30"/>
      <c r="F1962" s="30" t="s">
        <v>107</v>
      </c>
      <c r="G1962" s="30" t="s">
        <v>106</v>
      </c>
      <c r="H1962" s="30"/>
      <c r="I1962" s="30" t="s">
        <v>192</v>
      </c>
      <c r="J1962" s="30" t="s">
        <v>630</v>
      </c>
      <c r="K1962" s="30"/>
      <c r="L1962" s="30" t="s">
        <v>108</v>
      </c>
      <c r="M1962" s="30" t="s">
        <v>109</v>
      </c>
      <c r="N1962" s="30" t="s">
        <v>122</v>
      </c>
      <c r="O1962" s="30" t="s">
        <v>115</v>
      </c>
      <c r="P1962" s="30" t="s">
        <v>112</v>
      </c>
      <c r="Q1962" s="30" t="s">
        <v>118</v>
      </c>
      <c r="R1962" s="30" t="s">
        <v>187</v>
      </c>
      <c r="S1962" s="81">
        <f>HLOOKUP(L1962,データについて!$J$6:$M$18,13,FALSE)</f>
        <v>1</v>
      </c>
      <c r="T1962" s="81">
        <f>HLOOKUP(M1962,データについて!$J$7:$M$18,12,FALSE)</f>
        <v>2</v>
      </c>
      <c r="U1962" s="81">
        <f>HLOOKUP(N1962,データについて!$J$8:$M$18,11,FALSE)</f>
        <v>3</v>
      </c>
      <c r="V1962" s="81">
        <f>HLOOKUP(O1962,データについて!$J$9:$M$18,10,FALSE)</f>
        <v>1</v>
      </c>
      <c r="W1962" s="81">
        <f>HLOOKUP(P1962,データについて!$J$10:$M$18,9,FALSE)</f>
        <v>1</v>
      </c>
      <c r="X1962" s="81">
        <f>HLOOKUP(Q1962,データについて!$J$11:$M$18,8,FALSE)</f>
        <v>2</v>
      </c>
      <c r="Y1962" s="81">
        <f>HLOOKUP(R1962,データについて!$J$12:$M$18,7,FALSE)</f>
        <v>3</v>
      </c>
      <c r="Z1962" s="81">
        <f>HLOOKUP(I1962,データについて!$J$3:$M$18,16,FALSE)</f>
        <v>1</v>
      </c>
      <c r="AA1962" s="81">
        <f>IFERROR(HLOOKUP(J1962,データについて!$J$4:$AH$19,16,FALSE),"")</f>
        <v>4</v>
      </c>
      <c r="AB1962" s="81" t="str">
        <f>IFERROR(HLOOKUP(K1962,データについて!$J$5:$AH$20,14,FALSE),"")</f>
        <v/>
      </c>
      <c r="AC1962" s="81" t="str">
        <f>IF(X1962=1,HLOOKUP(R1962,データについて!$J$12:$M$18,7,FALSE),"*")</f>
        <v>*</v>
      </c>
      <c r="AD1962" s="81">
        <f>IF(X1962=2,HLOOKUP(R1962,データについて!$J$12:$M$18,7,FALSE),"*")</f>
        <v>3</v>
      </c>
    </row>
    <row r="1963" spans="1:30">
      <c r="A1963" s="30">
        <v>3229</v>
      </c>
      <c r="B1963" s="30" t="s">
        <v>1973</v>
      </c>
      <c r="C1963" s="30" t="s">
        <v>1974</v>
      </c>
      <c r="D1963" s="30" t="s">
        <v>106</v>
      </c>
      <c r="E1963" s="30"/>
      <c r="F1963" s="30" t="s">
        <v>107</v>
      </c>
      <c r="G1963" s="30" t="s">
        <v>106</v>
      </c>
      <c r="H1963" s="30"/>
      <c r="I1963" s="30" t="s">
        <v>192</v>
      </c>
      <c r="J1963" s="30" t="s">
        <v>630</v>
      </c>
      <c r="K1963" s="30"/>
      <c r="L1963" s="30" t="s">
        <v>117</v>
      </c>
      <c r="M1963" s="30" t="s">
        <v>113</v>
      </c>
      <c r="N1963" s="30" t="s">
        <v>114</v>
      </c>
      <c r="O1963" s="30" t="s">
        <v>123</v>
      </c>
      <c r="P1963" s="30" t="s">
        <v>112</v>
      </c>
      <c r="Q1963" s="30" t="s">
        <v>118</v>
      </c>
      <c r="R1963" s="30" t="s">
        <v>187</v>
      </c>
      <c r="S1963" s="81">
        <f>HLOOKUP(L1963,データについて!$J$6:$M$18,13,FALSE)</f>
        <v>2</v>
      </c>
      <c r="T1963" s="81">
        <f>HLOOKUP(M1963,データについて!$J$7:$M$18,12,FALSE)</f>
        <v>1</v>
      </c>
      <c r="U1963" s="81">
        <f>HLOOKUP(N1963,データについて!$J$8:$M$18,11,FALSE)</f>
        <v>1</v>
      </c>
      <c r="V1963" s="81">
        <f>HLOOKUP(O1963,データについて!$J$9:$M$18,10,FALSE)</f>
        <v>4</v>
      </c>
      <c r="W1963" s="81">
        <f>HLOOKUP(P1963,データについて!$J$10:$M$18,9,FALSE)</f>
        <v>1</v>
      </c>
      <c r="X1963" s="81">
        <f>HLOOKUP(Q1963,データについて!$J$11:$M$18,8,FALSE)</f>
        <v>2</v>
      </c>
      <c r="Y1963" s="81">
        <f>HLOOKUP(R1963,データについて!$J$12:$M$18,7,FALSE)</f>
        <v>3</v>
      </c>
      <c r="Z1963" s="81">
        <f>HLOOKUP(I1963,データについて!$J$3:$M$18,16,FALSE)</f>
        <v>1</v>
      </c>
      <c r="AA1963" s="81">
        <f>IFERROR(HLOOKUP(J1963,データについて!$J$4:$AH$19,16,FALSE),"")</f>
        <v>4</v>
      </c>
      <c r="AB1963" s="81" t="str">
        <f>IFERROR(HLOOKUP(K1963,データについて!$J$5:$AH$20,14,FALSE),"")</f>
        <v/>
      </c>
      <c r="AC1963" s="81" t="str">
        <f>IF(X1963=1,HLOOKUP(R1963,データについて!$J$12:$M$18,7,FALSE),"*")</f>
        <v>*</v>
      </c>
      <c r="AD1963" s="81">
        <f>IF(X1963=2,HLOOKUP(R1963,データについて!$J$12:$M$18,7,FALSE),"*")</f>
        <v>3</v>
      </c>
    </row>
    <row r="1964" spans="1:30">
      <c r="A1964" s="30">
        <v>3228</v>
      </c>
      <c r="B1964" s="30" t="s">
        <v>1975</v>
      </c>
      <c r="C1964" s="30" t="s">
        <v>1976</v>
      </c>
      <c r="D1964" s="30" t="s">
        <v>106</v>
      </c>
      <c r="E1964" s="30"/>
      <c r="F1964" s="30" t="s">
        <v>107</v>
      </c>
      <c r="G1964" s="30" t="s">
        <v>106</v>
      </c>
      <c r="H1964" s="30"/>
      <c r="I1964" s="30" t="s">
        <v>192</v>
      </c>
      <c r="J1964" s="30" t="s">
        <v>630</v>
      </c>
      <c r="K1964" s="30"/>
      <c r="L1964" s="30" t="s">
        <v>108</v>
      </c>
      <c r="M1964" s="30" t="s">
        <v>113</v>
      </c>
      <c r="N1964" s="30" t="s">
        <v>110</v>
      </c>
      <c r="O1964" s="30" t="s">
        <v>115</v>
      </c>
      <c r="P1964" s="30" t="s">
        <v>112</v>
      </c>
      <c r="Q1964" s="30" t="s">
        <v>112</v>
      </c>
      <c r="R1964" s="30" t="s">
        <v>187</v>
      </c>
      <c r="S1964" s="81">
        <f>HLOOKUP(L1964,データについて!$J$6:$M$18,13,FALSE)</f>
        <v>1</v>
      </c>
      <c r="T1964" s="81">
        <f>HLOOKUP(M1964,データについて!$J$7:$M$18,12,FALSE)</f>
        <v>1</v>
      </c>
      <c r="U1964" s="81">
        <f>HLOOKUP(N1964,データについて!$J$8:$M$18,11,FALSE)</f>
        <v>2</v>
      </c>
      <c r="V1964" s="81">
        <f>HLOOKUP(O1964,データについて!$J$9:$M$18,10,FALSE)</f>
        <v>1</v>
      </c>
      <c r="W1964" s="81">
        <f>HLOOKUP(P1964,データについて!$J$10:$M$18,9,FALSE)</f>
        <v>1</v>
      </c>
      <c r="X1964" s="81">
        <f>HLOOKUP(Q1964,データについて!$J$11:$M$18,8,FALSE)</f>
        <v>1</v>
      </c>
      <c r="Y1964" s="81">
        <f>HLOOKUP(R1964,データについて!$J$12:$M$18,7,FALSE)</f>
        <v>3</v>
      </c>
      <c r="Z1964" s="81">
        <f>HLOOKUP(I1964,データについて!$J$3:$M$18,16,FALSE)</f>
        <v>1</v>
      </c>
      <c r="AA1964" s="81">
        <f>IFERROR(HLOOKUP(J1964,データについて!$J$4:$AH$19,16,FALSE),"")</f>
        <v>4</v>
      </c>
      <c r="AB1964" s="81" t="str">
        <f>IFERROR(HLOOKUP(K1964,データについて!$J$5:$AH$20,14,FALSE),"")</f>
        <v/>
      </c>
      <c r="AC1964" s="81">
        <f>IF(X1964=1,HLOOKUP(R1964,データについて!$J$12:$M$18,7,FALSE),"*")</f>
        <v>3</v>
      </c>
      <c r="AD1964" s="81" t="str">
        <f>IF(X1964=2,HLOOKUP(R1964,データについて!$J$12:$M$18,7,FALSE),"*")</f>
        <v>*</v>
      </c>
    </row>
    <row r="1965" spans="1:30">
      <c r="A1965" s="30">
        <v>3227</v>
      </c>
      <c r="B1965" s="30" t="s">
        <v>1977</v>
      </c>
      <c r="C1965" s="30" t="s">
        <v>1978</v>
      </c>
      <c r="D1965" s="30" t="s">
        <v>106</v>
      </c>
      <c r="E1965" s="30"/>
      <c r="F1965" s="30" t="s">
        <v>107</v>
      </c>
      <c r="G1965" s="30" t="s">
        <v>106</v>
      </c>
      <c r="H1965" s="30"/>
      <c r="I1965" s="30" t="s">
        <v>192</v>
      </c>
      <c r="J1965" s="30" t="s">
        <v>630</v>
      </c>
      <c r="K1965" s="30"/>
      <c r="L1965" s="30" t="s">
        <v>108</v>
      </c>
      <c r="M1965" s="30" t="s">
        <v>113</v>
      </c>
      <c r="N1965" s="30" t="s">
        <v>110</v>
      </c>
      <c r="O1965" s="30" t="s">
        <v>115</v>
      </c>
      <c r="P1965" s="30" t="s">
        <v>112</v>
      </c>
      <c r="Q1965" s="30" t="s">
        <v>118</v>
      </c>
      <c r="R1965" s="30" t="s">
        <v>189</v>
      </c>
      <c r="S1965" s="81">
        <f>HLOOKUP(L1965,データについて!$J$6:$M$18,13,FALSE)</f>
        <v>1</v>
      </c>
      <c r="T1965" s="81">
        <f>HLOOKUP(M1965,データについて!$J$7:$M$18,12,FALSE)</f>
        <v>1</v>
      </c>
      <c r="U1965" s="81">
        <f>HLOOKUP(N1965,データについて!$J$8:$M$18,11,FALSE)</f>
        <v>2</v>
      </c>
      <c r="V1965" s="81">
        <f>HLOOKUP(O1965,データについて!$J$9:$M$18,10,FALSE)</f>
        <v>1</v>
      </c>
      <c r="W1965" s="81">
        <f>HLOOKUP(P1965,データについて!$J$10:$M$18,9,FALSE)</f>
        <v>1</v>
      </c>
      <c r="X1965" s="81">
        <f>HLOOKUP(Q1965,データについて!$J$11:$M$18,8,FALSE)</f>
        <v>2</v>
      </c>
      <c r="Y1965" s="81">
        <f>HLOOKUP(R1965,データについて!$J$12:$M$18,7,FALSE)</f>
        <v>4</v>
      </c>
      <c r="Z1965" s="81">
        <f>HLOOKUP(I1965,データについて!$J$3:$M$18,16,FALSE)</f>
        <v>1</v>
      </c>
      <c r="AA1965" s="81">
        <f>IFERROR(HLOOKUP(J1965,データについて!$J$4:$AH$19,16,FALSE),"")</f>
        <v>4</v>
      </c>
      <c r="AB1965" s="81" t="str">
        <f>IFERROR(HLOOKUP(K1965,データについて!$J$5:$AH$20,14,FALSE),"")</f>
        <v/>
      </c>
      <c r="AC1965" s="81" t="str">
        <f>IF(X1965=1,HLOOKUP(R1965,データについて!$J$12:$M$18,7,FALSE),"*")</f>
        <v>*</v>
      </c>
      <c r="AD1965" s="81">
        <f>IF(X1965=2,HLOOKUP(R1965,データについて!$J$12:$M$18,7,FALSE),"*")</f>
        <v>4</v>
      </c>
    </row>
    <row r="1966" spans="1:30">
      <c r="A1966" s="30">
        <v>3226</v>
      </c>
      <c r="B1966" s="30" t="s">
        <v>1979</v>
      </c>
      <c r="C1966" s="30" t="s">
        <v>1980</v>
      </c>
      <c r="D1966" s="30" t="s">
        <v>106</v>
      </c>
      <c r="E1966" s="30"/>
      <c r="F1966" s="30" t="s">
        <v>107</v>
      </c>
      <c r="G1966" s="30" t="s">
        <v>106</v>
      </c>
      <c r="H1966" s="30"/>
      <c r="I1966" s="30" t="s">
        <v>192</v>
      </c>
      <c r="J1966" s="30" t="s">
        <v>630</v>
      </c>
      <c r="K1966" s="30"/>
      <c r="L1966" s="30" t="s">
        <v>108</v>
      </c>
      <c r="M1966" s="30" t="s">
        <v>113</v>
      </c>
      <c r="N1966" s="30" t="s">
        <v>114</v>
      </c>
      <c r="O1966" s="30" t="s">
        <v>115</v>
      </c>
      <c r="P1966" s="30" t="s">
        <v>112</v>
      </c>
      <c r="Q1966" s="30" t="s">
        <v>112</v>
      </c>
      <c r="R1966" s="30" t="s">
        <v>185</v>
      </c>
      <c r="S1966" s="81">
        <f>HLOOKUP(L1966,データについて!$J$6:$M$18,13,FALSE)</f>
        <v>1</v>
      </c>
      <c r="T1966" s="81">
        <f>HLOOKUP(M1966,データについて!$J$7:$M$18,12,FALSE)</f>
        <v>1</v>
      </c>
      <c r="U1966" s="81">
        <f>HLOOKUP(N1966,データについて!$J$8:$M$18,11,FALSE)</f>
        <v>1</v>
      </c>
      <c r="V1966" s="81">
        <f>HLOOKUP(O1966,データについて!$J$9:$M$18,10,FALSE)</f>
        <v>1</v>
      </c>
      <c r="W1966" s="81">
        <f>HLOOKUP(P1966,データについて!$J$10:$M$18,9,FALSE)</f>
        <v>1</v>
      </c>
      <c r="X1966" s="81">
        <f>HLOOKUP(Q1966,データについて!$J$11:$M$18,8,FALSE)</f>
        <v>1</v>
      </c>
      <c r="Y1966" s="81">
        <f>HLOOKUP(R1966,データについて!$J$12:$M$18,7,FALSE)</f>
        <v>2</v>
      </c>
      <c r="Z1966" s="81">
        <f>HLOOKUP(I1966,データについて!$J$3:$M$18,16,FALSE)</f>
        <v>1</v>
      </c>
      <c r="AA1966" s="81">
        <f>IFERROR(HLOOKUP(J1966,データについて!$J$4:$AH$19,16,FALSE),"")</f>
        <v>4</v>
      </c>
      <c r="AB1966" s="81" t="str">
        <f>IFERROR(HLOOKUP(K1966,データについて!$J$5:$AH$20,14,FALSE),"")</f>
        <v/>
      </c>
      <c r="AC1966" s="81">
        <f>IF(X1966=1,HLOOKUP(R1966,データについて!$J$12:$M$18,7,FALSE),"*")</f>
        <v>2</v>
      </c>
      <c r="AD1966" s="81" t="str">
        <f>IF(X1966=2,HLOOKUP(R1966,データについて!$J$12:$M$18,7,FALSE),"*")</f>
        <v>*</v>
      </c>
    </row>
    <row r="1967" spans="1:30">
      <c r="A1967" s="30">
        <v>3225</v>
      </c>
      <c r="B1967" s="30" t="s">
        <v>1981</v>
      </c>
      <c r="C1967" s="30" t="s">
        <v>1982</v>
      </c>
      <c r="D1967" s="30" t="s">
        <v>106</v>
      </c>
      <c r="E1967" s="30"/>
      <c r="F1967" s="30" t="s">
        <v>107</v>
      </c>
      <c r="G1967" s="30" t="s">
        <v>106</v>
      </c>
      <c r="H1967" s="30"/>
      <c r="I1967" s="30" t="s">
        <v>192</v>
      </c>
      <c r="J1967" s="30" t="s">
        <v>630</v>
      </c>
      <c r="K1967" s="30"/>
      <c r="L1967" s="30" t="s">
        <v>117</v>
      </c>
      <c r="M1967" s="30" t="s">
        <v>109</v>
      </c>
      <c r="N1967" s="30" t="s">
        <v>110</v>
      </c>
      <c r="O1967" s="30" t="s">
        <v>115</v>
      </c>
      <c r="P1967" s="30" t="s">
        <v>112</v>
      </c>
      <c r="Q1967" s="30" t="s">
        <v>112</v>
      </c>
      <c r="R1967" s="30" t="s">
        <v>185</v>
      </c>
      <c r="S1967" s="81">
        <f>HLOOKUP(L1967,データについて!$J$6:$M$18,13,FALSE)</f>
        <v>2</v>
      </c>
      <c r="T1967" s="81">
        <f>HLOOKUP(M1967,データについて!$J$7:$M$18,12,FALSE)</f>
        <v>2</v>
      </c>
      <c r="U1967" s="81">
        <f>HLOOKUP(N1967,データについて!$J$8:$M$18,11,FALSE)</f>
        <v>2</v>
      </c>
      <c r="V1967" s="81">
        <f>HLOOKUP(O1967,データについて!$J$9:$M$18,10,FALSE)</f>
        <v>1</v>
      </c>
      <c r="W1967" s="81">
        <f>HLOOKUP(P1967,データについて!$J$10:$M$18,9,FALSE)</f>
        <v>1</v>
      </c>
      <c r="X1967" s="81">
        <f>HLOOKUP(Q1967,データについて!$J$11:$M$18,8,FALSE)</f>
        <v>1</v>
      </c>
      <c r="Y1967" s="81">
        <f>HLOOKUP(R1967,データについて!$J$12:$M$18,7,FALSE)</f>
        <v>2</v>
      </c>
      <c r="Z1967" s="81">
        <f>HLOOKUP(I1967,データについて!$J$3:$M$18,16,FALSE)</f>
        <v>1</v>
      </c>
      <c r="AA1967" s="81">
        <f>IFERROR(HLOOKUP(J1967,データについて!$J$4:$AH$19,16,FALSE),"")</f>
        <v>4</v>
      </c>
      <c r="AB1967" s="81" t="str">
        <f>IFERROR(HLOOKUP(K1967,データについて!$J$5:$AH$20,14,FALSE),"")</f>
        <v/>
      </c>
      <c r="AC1967" s="81">
        <f>IF(X1967=1,HLOOKUP(R1967,データについて!$J$12:$M$18,7,FALSE),"*")</f>
        <v>2</v>
      </c>
      <c r="AD1967" s="81" t="str">
        <f>IF(X1967=2,HLOOKUP(R1967,データについて!$J$12:$M$18,7,FALSE),"*")</f>
        <v>*</v>
      </c>
    </row>
    <row r="1968" spans="1:30">
      <c r="A1968" s="30">
        <v>3224</v>
      </c>
      <c r="B1968" s="30" t="s">
        <v>1983</v>
      </c>
      <c r="C1968" s="30" t="s">
        <v>1982</v>
      </c>
      <c r="D1968" s="30" t="s">
        <v>106</v>
      </c>
      <c r="E1968" s="30"/>
      <c r="F1968" s="30" t="s">
        <v>107</v>
      </c>
      <c r="G1968" s="30" t="s">
        <v>106</v>
      </c>
      <c r="H1968" s="30"/>
      <c r="I1968" s="30" t="s">
        <v>192</v>
      </c>
      <c r="J1968" s="30" t="s">
        <v>630</v>
      </c>
      <c r="K1968" s="30"/>
      <c r="L1968" s="30" t="s">
        <v>108</v>
      </c>
      <c r="M1968" s="30" t="s">
        <v>109</v>
      </c>
      <c r="N1968" s="30" t="s">
        <v>114</v>
      </c>
      <c r="O1968" s="30" t="s">
        <v>115</v>
      </c>
      <c r="P1968" s="30" t="s">
        <v>112</v>
      </c>
      <c r="Q1968" s="30" t="s">
        <v>118</v>
      </c>
      <c r="R1968" s="30" t="s">
        <v>187</v>
      </c>
      <c r="S1968" s="81">
        <f>HLOOKUP(L1968,データについて!$J$6:$M$18,13,FALSE)</f>
        <v>1</v>
      </c>
      <c r="T1968" s="81">
        <f>HLOOKUP(M1968,データについて!$J$7:$M$18,12,FALSE)</f>
        <v>2</v>
      </c>
      <c r="U1968" s="81">
        <f>HLOOKUP(N1968,データについて!$J$8:$M$18,11,FALSE)</f>
        <v>1</v>
      </c>
      <c r="V1968" s="81">
        <f>HLOOKUP(O1968,データについて!$J$9:$M$18,10,FALSE)</f>
        <v>1</v>
      </c>
      <c r="W1968" s="81">
        <f>HLOOKUP(P1968,データについて!$J$10:$M$18,9,FALSE)</f>
        <v>1</v>
      </c>
      <c r="X1968" s="81">
        <f>HLOOKUP(Q1968,データについて!$J$11:$M$18,8,FALSE)</f>
        <v>2</v>
      </c>
      <c r="Y1968" s="81">
        <f>HLOOKUP(R1968,データについて!$J$12:$M$18,7,FALSE)</f>
        <v>3</v>
      </c>
      <c r="Z1968" s="81">
        <f>HLOOKUP(I1968,データについて!$J$3:$M$18,16,FALSE)</f>
        <v>1</v>
      </c>
      <c r="AA1968" s="81">
        <f>IFERROR(HLOOKUP(J1968,データについて!$J$4:$AH$19,16,FALSE),"")</f>
        <v>4</v>
      </c>
      <c r="AB1968" s="81" t="str">
        <f>IFERROR(HLOOKUP(K1968,データについて!$J$5:$AH$20,14,FALSE),"")</f>
        <v/>
      </c>
      <c r="AC1968" s="81" t="str">
        <f>IF(X1968=1,HLOOKUP(R1968,データについて!$J$12:$M$18,7,FALSE),"*")</f>
        <v>*</v>
      </c>
      <c r="AD1968" s="81">
        <f>IF(X1968=2,HLOOKUP(R1968,データについて!$J$12:$M$18,7,FALSE),"*")</f>
        <v>3</v>
      </c>
    </row>
    <row r="1969" spans="1:30">
      <c r="A1969" s="30">
        <v>3223</v>
      </c>
      <c r="B1969" s="30" t="s">
        <v>1984</v>
      </c>
      <c r="C1969" s="30" t="s">
        <v>1985</v>
      </c>
      <c r="D1969" s="30" t="s">
        <v>106</v>
      </c>
      <c r="E1969" s="30"/>
      <c r="F1969" s="30" t="s">
        <v>107</v>
      </c>
      <c r="G1969" s="30" t="s">
        <v>106</v>
      </c>
      <c r="H1969" s="30"/>
      <c r="I1969" s="30" t="s">
        <v>192</v>
      </c>
      <c r="J1969" s="30" t="s">
        <v>630</v>
      </c>
      <c r="K1969" s="30"/>
      <c r="L1969" s="30" t="s">
        <v>117</v>
      </c>
      <c r="M1969" s="30" t="s">
        <v>109</v>
      </c>
      <c r="N1969" s="30" t="s">
        <v>110</v>
      </c>
      <c r="O1969" s="30" t="s">
        <v>115</v>
      </c>
      <c r="P1969" s="30" t="s">
        <v>112</v>
      </c>
      <c r="Q1969" s="30" t="s">
        <v>112</v>
      </c>
      <c r="R1969" s="30" t="s">
        <v>187</v>
      </c>
      <c r="S1969" s="81">
        <f>HLOOKUP(L1969,データについて!$J$6:$M$18,13,FALSE)</f>
        <v>2</v>
      </c>
      <c r="T1969" s="81">
        <f>HLOOKUP(M1969,データについて!$J$7:$M$18,12,FALSE)</f>
        <v>2</v>
      </c>
      <c r="U1969" s="81">
        <f>HLOOKUP(N1969,データについて!$J$8:$M$18,11,FALSE)</f>
        <v>2</v>
      </c>
      <c r="V1969" s="81">
        <f>HLOOKUP(O1969,データについて!$J$9:$M$18,10,FALSE)</f>
        <v>1</v>
      </c>
      <c r="W1969" s="81">
        <f>HLOOKUP(P1969,データについて!$J$10:$M$18,9,FALSE)</f>
        <v>1</v>
      </c>
      <c r="X1969" s="81">
        <f>HLOOKUP(Q1969,データについて!$J$11:$M$18,8,FALSE)</f>
        <v>1</v>
      </c>
      <c r="Y1969" s="81">
        <f>HLOOKUP(R1969,データについて!$J$12:$M$18,7,FALSE)</f>
        <v>3</v>
      </c>
      <c r="Z1969" s="81">
        <f>HLOOKUP(I1969,データについて!$J$3:$M$18,16,FALSE)</f>
        <v>1</v>
      </c>
      <c r="AA1969" s="81">
        <f>IFERROR(HLOOKUP(J1969,データについて!$J$4:$AH$19,16,FALSE),"")</f>
        <v>4</v>
      </c>
      <c r="AB1969" s="81" t="str">
        <f>IFERROR(HLOOKUP(K1969,データについて!$J$5:$AH$20,14,FALSE),"")</f>
        <v/>
      </c>
      <c r="AC1969" s="81">
        <f>IF(X1969=1,HLOOKUP(R1969,データについて!$J$12:$M$18,7,FALSE),"*")</f>
        <v>3</v>
      </c>
      <c r="AD1969" s="81" t="str">
        <f>IF(X1969=2,HLOOKUP(R1969,データについて!$J$12:$M$18,7,FALSE),"*")</f>
        <v>*</v>
      </c>
    </row>
    <row r="1970" spans="1:30">
      <c r="A1970" s="30">
        <v>3222</v>
      </c>
      <c r="B1970" s="30" t="s">
        <v>1986</v>
      </c>
      <c r="C1970" s="30" t="s">
        <v>1985</v>
      </c>
      <c r="D1970" s="30" t="s">
        <v>106</v>
      </c>
      <c r="E1970" s="30"/>
      <c r="F1970" s="30" t="s">
        <v>107</v>
      </c>
      <c r="G1970" s="30" t="s">
        <v>106</v>
      </c>
      <c r="H1970" s="30"/>
      <c r="I1970" s="30" t="s">
        <v>192</v>
      </c>
      <c r="J1970" s="30" t="s">
        <v>630</v>
      </c>
      <c r="K1970" s="30"/>
      <c r="L1970" s="30" t="s">
        <v>117</v>
      </c>
      <c r="M1970" s="30" t="s">
        <v>113</v>
      </c>
      <c r="N1970" s="30" t="s">
        <v>110</v>
      </c>
      <c r="O1970" s="30" t="s">
        <v>115</v>
      </c>
      <c r="P1970" s="30" t="s">
        <v>112</v>
      </c>
      <c r="Q1970" s="30" t="s">
        <v>112</v>
      </c>
      <c r="R1970" s="30" t="s">
        <v>183</v>
      </c>
      <c r="S1970" s="81">
        <f>HLOOKUP(L1970,データについて!$J$6:$M$18,13,FALSE)</f>
        <v>2</v>
      </c>
      <c r="T1970" s="81">
        <f>HLOOKUP(M1970,データについて!$J$7:$M$18,12,FALSE)</f>
        <v>1</v>
      </c>
      <c r="U1970" s="81">
        <f>HLOOKUP(N1970,データについて!$J$8:$M$18,11,FALSE)</f>
        <v>2</v>
      </c>
      <c r="V1970" s="81">
        <f>HLOOKUP(O1970,データについて!$J$9:$M$18,10,FALSE)</f>
        <v>1</v>
      </c>
      <c r="W1970" s="81">
        <f>HLOOKUP(P1970,データについて!$J$10:$M$18,9,FALSE)</f>
        <v>1</v>
      </c>
      <c r="X1970" s="81">
        <f>HLOOKUP(Q1970,データについて!$J$11:$M$18,8,FALSE)</f>
        <v>1</v>
      </c>
      <c r="Y1970" s="81">
        <f>HLOOKUP(R1970,データについて!$J$12:$M$18,7,FALSE)</f>
        <v>1</v>
      </c>
      <c r="Z1970" s="81">
        <f>HLOOKUP(I1970,データについて!$J$3:$M$18,16,FALSE)</f>
        <v>1</v>
      </c>
      <c r="AA1970" s="81">
        <f>IFERROR(HLOOKUP(J1970,データについて!$J$4:$AH$19,16,FALSE),"")</f>
        <v>4</v>
      </c>
      <c r="AB1970" s="81" t="str">
        <f>IFERROR(HLOOKUP(K1970,データについて!$J$5:$AH$20,14,FALSE),"")</f>
        <v/>
      </c>
      <c r="AC1970" s="81">
        <f>IF(X1970=1,HLOOKUP(R1970,データについて!$J$12:$M$18,7,FALSE),"*")</f>
        <v>1</v>
      </c>
      <c r="AD1970" s="81" t="str">
        <f>IF(X1970=2,HLOOKUP(R1970,データについて!$J$12:$M$18,7,FALSE),"*")</f>
        <v>*</v>
      </c>
    </row>
    <row r="1971" spans="1:30">
      <c r="A1971" s="30">
        <v>3221</v>
      </c>
      <c r="B1971" s="30" t="s">
        <v>1987</v>
      </c>
      <c r="C1971" s="30" t="s">
        <v>1988</v>
      </c>
      <c r="D1971" s="30" t="s">
        <v>106</v>
      </c>
      <c r="E1971" s="30"/>
      <c r="F1971" s="30" t="s">
        <v>107</v>
      </c>
      <c r="G1971" s="30" t="s">
        <v>106</v>
      </c>
      <c r="H1971" s="30"/>
      <c r="I1971" s="30" t="s">
        <v>192</v>
      </c>
      <c r="J1971" s="30" t="s">
        <v>630</v>
      </c>
      <c r="K1971" s="30"/>
      <c r="L1971" s="30" t="s">
        <v>108</v>
      </c>
      <c r="M1971" s="30" t="s">
        <v>109</v>
      </c>
      <c r="N1971" s="30" t="s">
        <v>119</v>
      </c>
      <c r="O1971" s="30" t="s">
        <v>123</v>
      </c>
      <c r="P1971" s="30" t="s">
        <v>112</v>
      </c>
      <c r="Q1971" s="30" t="s">
        <v>118</v>
      </c>
      <c r="R1971" s="30" t="s">
        <v>189</v>
      </c>
      <c r="S1971" s="81">
        <f>HLOOKUP(L1971,データについて!$J$6:$M$18,13,FALSE)</f>
        <v>1</v>
      </c>
      <c r="T1971" s="81">
        <f>HLOOKUP(M1971,データについて!$J$7:$M$18,12,FALSE)</f>
        <v>2</v>
      </c>
      <c r="U1971" s="81">
        <f>HLOOKUP(N1971,データについて!$J$8:$M$18,11,FALSE)</f>
        <v>4</v>
      </c>
      <c r="V1971" s="81">
        <f>HLOOKUP(O1971,データについて!$J$9:$M$18,10,FALSE)</f>
        <v>4</v>
      </c>
      <c r="W1971" s="81">
        <f>HLOOKUP(P1971,データについて!$J$10:$M$18,9,FALSE)</f>
        <v>1</v>
      </c>
      <c r="X1971" s="81">
        <f>HLOOKUP(Q1971,データについて!$J$11:$M$18,8,FALSE)</f>
        <v>2</v>
      </c>
      <c r="Y1971" s="81">
        <f>HLOOKUP(R1971,データについて!$J$12:$M$18,7,FALSE)</f>
        <v>4</v>
      </c>
      <c r="Z1971" s="81">
        <f>HLOOKUP(I1971,データについて!$J$3:$M$18,16,FALSE)</f>
        <v>1</v>
      </c>
      <c r="AA1971" s="81">
        <f>IFERROR(HLOOKUP(J1971,データについて!$J$4:$AH$19,16,FALSE),"")</f>
        <v>4</v>
      </c>
      <c r="AB1971" s="81" t="str">
        <f>IFERROR(HLOOKUP(K1971,データについて!$J$5:$AH$20,14,FALSE),"")</f>
        <v/>
      </c>
      <c r="AC1971" s="81" t="str">
        <f>IF(X1971=1,HLOOKUP(R1971,データについて!$J$12:$M$18,7,FALSE),"*")</f>
        <v>*</v>
      </c>
      <c r="AD1971" s="81">
        <f>IF(X1971=2,HLOOKUP(R1971,データについて!$J$12:$M$18,7,FALSE),"*")</f>
        <v>4</v>
      </c>
    </row>
    <row r="1972" spans="1:30">
      <c r="A1972" s="30">
        <v>3220</v>
      </c>
      <c r="B1972" s="30" t="s">
        <v>1989</v>
      </c>
      <c r="C1972" s="30" t="s">
        <v>1990</v>
      </c>
      <c r="D1972" s="30" t="s">
        <v>106</v>
      </c>
      <c r="E1972" s="30"/>
      <c r="F1972" s="30" t="s">
        <v>107</v>
      </c>
      <c r="G1972" s="30" t="s">
        <v>106</v>
      </c>
      <c r="H1972" s="30"/>
      <c r="I1972" s="30" t="s">
        <v>192</v>
      </c>
      <c r="J1972" s="30" t="s">
        <v>630</v>
      </c>
      <c r="K1972" s="30"/>
      <c r="L1972" s="30" t="s">
        <v>117</v>
      </c>
      <c r="M1972" s="30" t="s">
        <v>113</v>
      </c>
      <c r="N1972" s="30" t="s">
        <v>110</v>
      </c>
      <c r="O1972" s="30" t="s">
        <v>115</v>
      </c>
      <c r="P1972" s="30" t="s">
        <v>112</v>
      </c>
      <c r="Q1972" s="30" t="s">
        <v>112</v>
      </c>
      <c r="R1972" s="30" t="s">
        <v>183</v>
      </c>
      <c r="S1972" s="81">
        <f>HLOOKUP(L1972,データについて!$J$6:$M$18,13,FALSE)</f>
        <v>2</v>
      </c>
      <c r="T1972" s="81">
        <f>HLOOKUP(M1972,データについて!$J$7:$M$18,12,FALSE)</f>
        <v>1</v>
      </c>
      <c r="U1972" s="81">
        <f>HLOOKUP(N1972,データについて!$J$8:$M$18,11,FALSE)</f>
        <v>2</v>
      </c>
      <c r="V1972" s="81">
        <f>HLOOKUP(O1972,データについて!$J$9:$M$18,10,FALSE)</f>
        <v>1</v>
      </c>
      <c r="W1972" s="81">
        <f>HLOOKUP(P1972,データについて!$J$10:$M$18,9,FALSE)</f>
        <v>1</v>
      </c>
      <c r="X1972" s="81">
        <f>HLOOKUP(Q1972,データについて!$J$11:$M$18,8,FALSE)</f>
        <v>1</v>
      </c>
      <c r="Y1972" s="81">
        <f>HLOOKUP(R1972,データについて!$J$12:$M$18,7,FALSE)</f>
        <v>1</v>
      </c>
      <c r="Z1972" s="81">
        <f>HLOOKUP(I1972,データについて!$J$3:$M$18,16,FALSE)</f>
        <v>1</v>
      </c>
      <c r="AA1972" s="81">
        <f>IFERROR(HLOOKUP(J1972,データについて!$J$4:$AH$19,16,FALSE),"")</f>
        <v>4</v>
      </c>
      <c r="AB1972" s="81" t="str">
        <f>IFERROR(HLOOKUP(K1972,データについて!$J$5:$AH$20,14,FALSE),"")</f>
        <v/>
      </c>
      <c r="AC1972" s="81">
        <f>IF(X1972=1,HLOOKUP(R1972,データについて!$J$12:$M$18,7,FALSE),"*")</f>
        <v>1</v>
      </c>
      <c r="AD1972" s="81" t="str">
        <f>IF(X1972=2,HLOOKUP(R1972,データについて!$J$12:$M$18,7,FALSE),"*")</f>
        <v>*</v>
      </c>
    </row>
    <row r="1973" spans="1:30">
      <c r="A1973" s="30">
        <v>3219</v>
      </c>
      <c r="B1973" s="30" t="s">
        <v>1991</v>
      </c>
      <c r="C1973" s="30" t="s">
        <v>1990</v>
      </c>
      <c r="D1973" s="30" t="s">
        <v>106</v>
      </c>
      <c r="E1973" s="30"/>
      <c r="F1973" s="30" t="s">
        <v>107</v>
      </c>
      <c r="G1973" s="30" t="s">
        <v>106</v>
      </c>
      <c r="H1973" s="30"/>
      <c r="I1973" s="30" t="s">
        <v>192</v>
      </c>
      <c r="J1973" s="30" t="s">
        <v>630</v>
      </c>
      <c r="K1973" s="30"/>
      <c r="L1973" s="30" t="s">
        <v>108</v>
      </c>
      <c r="M1973" s="30" t="s">
        <v>109</v>
      </c>
      <c r="N1973" s="30" t="s">
        <v>122</v>
      </c>
      <c r="O1973" s="30" t="s">
        <v>115</v>
      </c>
      <c r="P1973" s="30" t="s">
        <v>112</v>
      </c>
      <c r="Q1973" s="30" t="s">
        <v>112</v>
      </c>
      <c r="R1973" s="30" t="s">
        <v>187</v>
      </c>
      <c r="S1973" s="81">
        <f>HLOOKUP(L1973,データについて!$J$6:$M$18,13,FALSE)</f>
        <v>1</v>
      </c>
      <c r="T1973" s="81">
        <f>HLOOKUP(M1973,データについて!$J$7:$M$18,12,FALSE)</f>
        <v>2</v>
      </c>
      <c r="U1973" s="81">
        <f>HLOOKUP(N1973,データについて!$J$8:$M$18,11,FALSE)</f>
        <v>3</v>
      </c>
      <c r="V1973" s="81">
        <f>HLOOKUP(O1973,データについて!$J$9:$M$18,10,FALSE)</f>
        <v>1</v>
      </c>
      <c r="W1973" s="81">
        <f>HLOOKUP(P1973,データについて!$J$10:$M$18,9,FALSE)</f>
        <v>1</v>
      </c>
      <c r="X1973" s="81">
        <f>HLOOKUP(Q1973,データについて!$J$11:$M$18,8,FALSE)</f>
        <v>1</v>
      </c>
      <c r="Y1973" s="81">
        <f>HLOOKUP(R1973,データについて!$J$12:$M$18,7,FALSE)</f>
        <v>3</v>
      </c>
      <c r="Z1973" s="81">
        <f>HLOOKUP(I1973,データについて!$J$3:$M$18,16,FALSE)</f>
        <v>1</v>
      </c>
      <c r="AA1973" s="81">
        <f>IFERROR(HLOOKUP(J1973,データについて!$J$4:$AH$19,16,FALSE),"")</f>
        <v>4</v>
      </c>
      <c r="AB1973" s="81" t="str">
        <f>IFERROR(HLOOKUP(K1973,データについて!$J$5:$AH$20,14,FALSE),"")</f>
        <v/>
      </c>
      <c r="AC1973" s="81">
        <f>IF(X1973=1,HLOOKUP(R1973,データについて!$J$12:$M$18,7,FALSE),"*")</f>
        <v>3</v>
      </c>
      <c r="AD1973" s="81" t="str">
        <f>IF(X1973=2,HLOOKUP(R1973,データについて!$J$12:$M$18,7,FALSE),"*")</f>
        <v>*</v>
      </c>
    </row>
    <row r="1974" spans="1:30">
      <c r="A1974" s="30">
        <v>3218</v>
      </c>
      <c r="B1974" s="30" t="s">
        <v>1992</v>
      </c>
      <c r="C1974" s="30" t="s">
        <v>1990</v>
      </c>
      <c r="D1974" s="30" t="s">
        <v>106</v>
      </c>
      <c r="E1974" s="30"/>
      <c r="F1974" s="30" t="s">
        <v>107</v>
      </c>
      <c r="G1974" s="30" t="s">
        <v>106</v>
      </c>
      <c r="H1974" s="30"/>
      <c r="I1974" s="30" t="s">
        <v>192</v>
      </c>
      <c r="J1974" s="30" t="s">
        <v>630</v>
      </c>
      <c r="K1974" s="30"/>
      <c r="L1974" s="30" t="s">
        <v>117</v>
      </c>
      <c r="M1974" s="30" t="s">
        <v>113</v>
      </c>
      <c r="N1974" s="30" t="s">
        <v>110</v>
      </c>
      <c r="O1974" s="30" t="s">
        <v>115</v>
      </c>
      <c r="P1974" s="30" t="s">
        <v>112</v>
      </c>
      <c r="Q1974" s="30" t="s">
        <v>112</v>
      </c>
      <c r="R1974" s="30" t="s">
        <v>185</v>
      </c>
      <c r="S1974" s="81">
        <f>HLOOKUP(L1974,データについて!$J$6:$M$18,13,FALSE)</f>
        <v>2</v>
      </c>
      <c r="T1974" s="81">
        <f>HLOOKUP(M1974,データについて!$J$7:$M$18,12,FALSE)</f>
        <v>1</v>
      </c>
      <c r="U1974" s="81">
        <f>HLOOKUP(N1974,データについて!$J$8:$M$18,11,FALSE)</f>
        <v>2</v>
      </c>
      <c r="V1974" s="81">
        <f>HLOOKUP(O1974,データについて!$J$9:$M$18,10,FALSE)</f>
        <v>1</v>
      </c>
      <c r="W1974" s="81">
        <f>HLOOKUP(P1974,データについて!$J$10:$M$18,9,FALSE)</f>
        <v>1</v>
      </c>
      <c r="X1974" s="81">
        <f>HLOOKUP(Q1974,データについて!$J$11:$M$18,8,FALSE)</f>
        <v>1</v>
      </c>
      <c r="Y1974" s="81">
        <f>HLOOKUP(R1974,データについて!$J$12:$M$18,7,FALSE)</f>
        <v>2</v>
      </c>
      <c r="Z1974" s="81">
        <f>HLOOKUP(I1974,データについて!$J$3:$M$18,16,FALSE)</f>
        <v>1</v>
      </c>
      <c r="AA1974" s="81">
        <f>IFERROR(HLOOKUP(J1974,データについて!$J$4:$AH$19,16,FALSE),"")</f>
        <v>4</v>
      </c>
      <c r="AB1974" s="81" t="str">
        <f>IFERROR(HLOOKUP(K1974,データについて!$J$5:$AH$20,14,FALSE),"")</f>
        <v/>
      </c>
      <c r="AC1974" s="81">
        <f>IF(X1974=1,HLOOKUP(R1974,データについて!$J$12:$M$18,7,FALSE),"*")</f>
        <v>2</v>
      </c>
      <c r="AD1974" s="81" t="str">
        <f>IF(X1974=2,HLOOKUP(R1974,データについて!$J$12:$M$18,7,FALSE),"*")</f>
        <v>*</v>
      </c>
    </row>
    <row r="1975" spans="1:30">
      <c r="A1975" s="30">
        <v>3217</v>
      </c>
      <c r="B1975" s="30" t="s">
        <v>1993</v>
      </c>
      <c r="C1975" s="30" t="s">
        <v>1994</v>
      </c>
      <c r="D1975" s="30" t="s">
        <v>106</v>
      </c>
      <c r="E1975" s="30"/>
      <c r="F1975" s="30" t="s">
        <v>107</v>
      </c>
      <c r="G1975" s="30" t="s">
        <v>106</v>
      </c>
      <c r="H1975" s="30"/>
      <c r="I1975" s="30" t="s">
        <v>192</v>
      </c>
      <c r="J1975" s="30" t="s">
        <v>630</v>
      </c>
      <c r="K1975" s="30"/>
      <c r="L1975" s="30" t="s">
        <v>108</v>
      </c>
      <c r="M1975" s="30" t="s">
        <v>113</v>
      </c>
      <c r="N1975" s="30" t="s">
        <v>114</v>
      </c>
      <c r="O1975" s="30" t="s">
        <v>115</v>
      </c>
      <c r="P1975" s="30" t="s">
        <v>112</v>
      </c>
      <c r="Q1975" s="30" t="s">
        <v>112</v>
      </c>
      <c r="R1975" s="30" t="s">
        <v>183</v>
      </c>
      <c r="S1975" s="81">
        <f>HLOOKUP(L1975,データについて!$J$6:$M$18,13,FALSE)</f>
        <v>1</v>
      </c>
      <c r="T1975" s="81">
        <f>HLOOKUP(M1975,データについて!$J$7:$M$18,12,FALSE)</f>
        <v>1</v>
      </c>
      <c r="U1975" s="81">
        <f>HLOOKUP(N1975,データについて!$J$8:$M$18,11,FALSE)</f>
        <v>1</v>
      </c>
      <c r="V1975" s="81">
        <f>HLOOKUP(O1975,データについて!$J$9:$M$18,10,FALSE)</f>
        <v>1</v>
      </c>
      <c r="W1975" s="81">
        <f>HLOOKUP(P1975,データについて!$J$10:$M$18,9,FALSE)</f>
        <v>1</v>
      </c>
      <c r="X1975" s="81">
        <f>HLOOKUP(Q1975,データについて!$J$11:$M$18,8,FALSE)</f>
        <v>1</v>
      </c>
      <c r="Y1975" s="81">
        <f>HLOOKUP(R1975,データについて!$J$12:$M$18,7,FALSE)</f>
        <v>1</v>
      </c>
      <c r="Z1975" s="81">
        <f>HLOOKUP(I1975,データについて!$J$3:$M$18,16,FALSE)</f>
        <v>1</v>
      </c>
      <c r="AA1975" s="81">
        <f>IFERROR(HLOOKUP(J1975,データについて!$J$4:$AH$19,16,FALSE),"")</f>
        <v>4</v>
      </c>
      <c r="AB1975" s="81" t="str">
        <f>IFERROR(HLOOKUP(K1975,データについて!$J$5:$AH$20,14,FALSE),"")</f>
        <v/>
      </c>
      <c r="AC1975" s="81">
        <f>IF(X1975=1,HLOOKUP(R1975,データについて!$J$12:$M$18,7,FALSE),"*")</f>
        <v>1</v>
      </c>
      <c r="AD1975" s="81" t="str">
        <f>IF(X1975=2,HLOOKUP(R1975,データについて!$J$12:$M$18,7,FALSE),"*")</f>
        <v>*</v>
      </c>
    </row>
    <row r="1976" spans="1:30">
      <c r="A1976" s="30">
        <v>3216</v>
      </c>
      <c r="B1976" s="30" t="s">
        <v>1995</v>
      </c>
      <c r="C1976" s="30" t="s">
        <v>1996</v>
      </c>
      <c r="D1976" s="30" t="s">
        <v>106</v>
      </c>
      <c r="E1976" s="30"/>
      <c r="F1976" s="30" t="s">
        <v>107</v>
      </c>
      <c r="G1976" s="30" t="s">
        <v>106</v>
      </c>
      <c r="H1976" s="30"/>
      <c r="I1976" s="30" t="s">
        <v>192</v>
      </c>
      <c r="J1976" s="30" t="s">
        <v>630</v>
      </c>
      <c r="K1976" s="30"/>
      <c r="L1976" s="30" t="s">
        <v>117</v>
      </c>
      <c r="M1976" s="30" t="s">
        <v>113</v>
      </c>
      <c r="N1976" s="30" t="s">
        <v>119</v>
      </c>
      <c r="O1976" s="30" t="s">
        <v>115</v>
      </c>
      <c r="P1976" s="30" t="s">
        <v>112</v>
      </c>
      <c r="Q1976" s="30" t="s">
        <v>112</v>
      </c>
      <c r="R1976" s="30" t="s">
        <v>183</v>
      </c>
      <c r="S1976" s="81">
        <f>HLOOKUP(L1976,データについて!$J$6:$M$18,13,FALSE)</f>
        <v>2</v>
      </c>
      <c r="T1976" s="81">
        <f>HLOOKUP(M1976,データについて!$J$7:$M$18,12,FALSE)</f>
        <v>1</v>
      </c>
      <c r="U1976" s="81">
        <f>HLOOKUP(N1976,データについて!$J$8:$M$18,11,FALSE)</f>
        <v>4</v>
      </c>
      <c r="V1976" s="81">
        <f>HLOOKUP(O1976,データについて!$J$9:$M$18,10,FALSE)</f>
        <v>1</v>
      </c>
      <c r="W1976" s="81">
        <f>HLOOKUP(P1976,データについて!$J$10:$M$18,9,FALSE)</f>
        <v>1</v>
      </c>
      <c r="X1976" s="81">
        <f>HLOOKUP(Q1976,データについて!$J$11:$M$18,8,FALSE)</f>
        <v>1</v>
      </c>
      <c r="Y1976" s="81">
        <f>HLOOKUP(R1976,データについて!$J$12:$M$18,7,FALSE)</f>
        <v>1</v>
      </c>
      <c r="Z1976" s="81">
        <f>HLOOKUP(I1976,データについて!$J$3:$M$18,16,FALSE)</f>
        <v>1</v>
      </c>
      <c r="AA1976" s="81">
        <f>IFERROR(HLOOKUP(J1976,データについて!$J$4:$AH$19,16,FALSE),"")</f>
        <v>4</v>
      </c>
      <c r="AB1976" s="81" t="str">
        <f>IFERROR(HLOOKUP(K1976,データについて!$J$5:$AH$20,14,FALSE),"")</f>
        <v/>
      </c>
      <c r="AC1976" s="81">
        <f>IF(X1976=1,HLOOKUP(R1976,データについて!$J$12:$M$18,7,FALSE),"*")</f>
        <v>1</v>
      </c>
      <c r="AD1976" s="81" t="str">
        <f>IF(X1976=2,HLOOKUP(R1976,データについて!$J$12:$M$18,7,FALSE),"*")</f>
        <v>*</v>
      </c>
    </row>
    <row r="1977" spans="1:30">
      <c r="A1977" s="30">
        <v>3215</v>
      </c>
      <c r="B1977" s="30" t="s">
        <v>1997</v>
      </c>
      <c r="C1977" s="30" t="s">
        <v>1998</v>
      </c>
      <c r="D1977" s="30" t="s">
        <v>106</v>
      </c>
      <c r="E1977" s="30"/>
      <c r="F1977" s="30" t="s">
        <v>107</v>
      </c>
      <c r="G1977" s="30" t="s">
        <v>106</v>
      </c>
      <c r="H1977" s="30"/>
      <c r="I1977" s="30" t="s">
        <v>192</v>
      </c>
      <c r="J1977" s="30" t="s">
        <v>630</v>
      </c>
      <c r="K1977" s="30"/>
      <c r="L1977" s="30" t="s">
        <v>108</v>
      </c>
      <c r="M1977" s="30" t="s">
        <v>113</v>
      </c>
      <c r="N1977" s="30" t="s">
        <v>114</v>
      </c>
      <c r="O1977" s="30" t="s">
        <v>115</v>
      </c>
      <c r="P1977" s="30" t="s">
        <v>112</v>
      </c>
      <c r="Q1977" s="30" t="s">
        <v>112</v>
      </c>
      <c r="R1977" s="30" t="s">
        <v>183</v>
      </c>
      <c r="S1977" s="81">
        <f>HLOOKUP(L1977,データについて!$J$6:$M$18,13,FALSE)</f>
        <v>1</v>
      </c>
      <c r="T1977" s="81">
        <f>HLOOKUP(M1977,データについて!$J$7:$M$18,12,FALSE)</f>
        <v>1</v>
      </c>
      <c r="U1977" s="81">
        <f>HLOOKUP(N1977,データについて!$J$8:$M$18,11,FALSE)</f>
        <v>1</v>
      </c>
      <c r="V1977" s="81">
        <f>HLOOKUP(O1977,データについて!$J$9:$M$18,10,FALSE)</f>
        <v>1</v>
      </c>
      <c r="W1977" s="81">
        <f>HLOOKUP(P1977,データについて!$J$10:$M$18,9,FALSE)</f>
        <v>1</v>
      </c>
      <c r="X1977" s="81">
        <f>HLOOKUP(Q1977,データについて!$J$11:$M$18,8,FALSE)</f>
        <v>1</v>
      </c>
      <c r="Y1977" s="81">
        <f>HLOOKUP(R1977,データについて!$J$12:$M$18,7,FALSE)</f>
        <v>1</v>
      </c>
      <c r="Z1977" s="81">
        <f>HLOOKUP(I1977,データについて!$J$3:$M$18,16,FALSE)</f>
        <v>1</v>
      </c>
      <c r="AA1977" s="81">
        <f>IFERROR(HLOOKUP(J1977,データについて!$J$4:$AH$19,16,FALSE),"")</f>
        <v>4</v>
      </c>
      <c r="AB1977" s="81" t="str">
        <f>IFERROR(HLOOKUP(K1977,データについて!$J$5:$AH$20,14,FALSE),"")</f>
        <v/>
      </c>
      <c r="AC1977" s="81">
        <f>IF(X1977=1,HLOOKUP(R1977,データについて!$J$12:$M$18,7,FALSE),"*")</f>
        <v>1</v>
      </c>
      <c r="AD1977" s="81" t="str">
        <f>IF(X1977=2,HLOOKUP(R1977,データについて!$J$12:$M$18,7,FALSE),"*")</f>
        <v>*</v>
      </c>
    </row>
    <row r="1978" spans="1:30">
      <c r="A1978" s="30">
        <v>3214</v>
      </c>
      <c r="B1978" s="30" t="s">
        <v>1999</v>
      </c>
      <c r="C1978" s="30" t="s">
        <v>2000</v>
      </c>
      <c r="D1978" s="30" t="s">
        <v>106</v>
      </c>
      <c r="E1978" s="30"/>
      <c r="F1978" s="30" t="s">
        <v>107</v>
      </c>
      <c r="G1978" s="30" t="s">
        <v>106</v>
      </c>
      <c r="H1978" s="30"/>
      <c r="I1978" s="30" t="s">
        <v>192</v>
      </c>
      <c r="J1978" s="30" t="s">
        <v>630</v>
      </c>
      <c r="K1978" s="30"/>
      <c r="L1978" s="30" t="s">
        <v>117</v>
      </c>
      <c r="M1978" s="30" t="s">
        <v>109</v>
      </c>
      <c r="N1978" s="30" t="s">
        <v>114</v>
      </c>
      <c r="O1978" s="30" t="s">
        <v>115</v>
      </c>
      <c r="P1978" s="30" t="s">
        <v>112</v>
      </c>
      <c r="Q1978" s="30" t="s">
        <v>118</v>
      </c>
      <c r="R1978" s="30" t="s">
        <v>183</v>
      </c>
      <c r="S1978" s="81">
        <f>HLOOKUP(L1978,データについて!$J$6:$M$18,13,FALSE)</f>
        <v>2</v>
      </c>
      <c r="T1978" s="81">
        <f>HLOOKUP(M1978,データについて!$J$7:$M$18,12,FALSE)</f>
        <v>2</v>
      </c>
      <c r="U1978" s="81">
        <f>HLOOKUP(N1978,データについて!$J$8:$M$18,11,FALSE)</f>
        <v>1</v>
      </c>
      <c r="V1978" s="81">
        <f>HLOOKUP(O1978,データについて!$J$9:$M$18,10,FALSE)</f>
        <v>1</v>
      </c>
      <c r="W1978" s="81">
        <f>HLOOKUP(P1978,データについて!$J$10:$M$18,9,FALSE)</f>
        <v>1</v>
      </c>
      <c r="X1978" s="81">
        <f>HLOOKUP(Q1978,データについて!$J$11:$M$18,8,FALSE)</f>
        <v>2</v>
      </c>
      <c r="Y1978" s="81">
        <f>HLOOKUP(R1978,データについて!$J$12:$M$18,7,FALSE)</f>
        <v>1</v>
      </c>
      <c r="Z1978" s="81">
        <f>HLOOKUP(I1978,データについて!$J$3:$M$18,16,FALSE)</f>
        <v>1</v>
      </c>
      <c r="AA1978" s="81">
        <f>IFERROR(HLOOKUP(J1978,データについて!$J$4:$AH$19,16,FALSE),"")</f>
        <v>4</v>
      </c>
      <c r="AB1978" s="81" t="str">
        <f>IFERROR(HLOOKUP(K1978,データについて!$J$5:$AH$20,14,FALSE),"")</f>
        <v/>
      </c>
      <c r="AC1978" s="81" t="str">
        <f>IF(X1978=1,HLOOKUP(R1978,データについて!$J$12:$M$18,7,FALSE),"*")</f>
        <v>*</v>
      </c>
      <c r="AD1978" s="81">
        <f>IF(X1978=2,HLOOKUP(R1978,データについて!$J$12:$M$18,7,FALSE),"*")</f>
        <v>1</v>
      </c>
    </row>
    <row r="1979" spans="1:30">
      <c r="A1979" s="30">
        <v>3213</v>
      </c>
      <c r="B1979" s="30" t="s">
        <v>2001</v>
      </c>
      <c r="C1979" s="30" t="s">
        <v>2002</v>
      </c>
      <c r="D1979" s="30" t="s">
        <v>106</v>
      </c>
      <c r="E1979" s="30"/>
      <c r="F1979" s="30" t="s">
        <v>107</v>
      </c>
      <c r="G1979" s="30" t="s">
        <v>106</v>
      </c>
      <c r="H1979" s="30"/>
      <c r="I1979" s="30" t="s">
        <v>192</v>
      </c>
      <c r="J1979" s="30" t="s">
        <v>630</v>
      </c>
      <c r="K1979" s="30"/>
      <c r="L1979" s="30" t="s">
        <v>117</v>
      </c>
      <c r="M1979" s="30" t="s">
        <v>113</v>
      </c>
      <c r="N1979" s="30" t="s">
        <v>114</v>
      </c>
      <c r="O1979" s="30" t="s">
        <v>115</v>
      </c>
      <c r="P1979" s="30" t="s">
        <v>112</v>
      </c>
      <c r="Q1979" s="30" t="s">
        <v>112</v>
      </c>
      <c r="R1979" s="30" t="s">
        <v>185</v>
      </c>
      <c r="S1979" s="81">
        <f>HLOOKUP(L1979,データについて!$J$6:$M$18,13,FALSE)</f>
        <v>2</v>
      </c>
      <c r="T1979" s="81">
        <f>HLOOKUP(M1979,データについて!$J$7:$M$18,12,FALSE)</f>
        <v>1</v>
      </c>
      <c r="U1979" s="81">
        <f>HLOOKUP(N1979,データについて!$J$8:$M$18,11,FALSE)</f>
        <v>1</v>
      </c>
      <c r="V1979" s="81">
        <f>HLOOKUP(O1979,データについて!$J$9:$M$18,10,FALSE)</f>
        <v>1</v>
      </c>
      <c r="W1979" s="81">
        <f>HLOOKUP(P1979,データについて!$J$10:$M$18,9,FALSE)</f>
        <v>1</v>
      </c>
      <c r="X1979" s="81">
        <f>HLOOKUP(Q1979,データについて!$J$11:$M$18,8,FALSE)</f>
        <v>1</v>
      </c>
      <c r="Y1979" s="81">
        <f>HLOOKUP(R1979,データについて!$J$12:$M$18,7,FALSE)</f>
        <v>2</v>
      </c>
      <c r="Z1979" s="81">
        <f>HLOOKUP(I1979,データについて!$J$3:$M$18,16,FALSE)</f>
        <v>1</v>
      </c>
      <c r="AA1979" s="81">
        <f>IFERROR(HLOOKUP(J1979,データについて!$J$4:$AH$19,16,FALSE),"")</f>
        <v>4</v>
      </c>
      <c r="AB1979" s="81" t="str">
        <f>IFERROR(HLOOKUP(K1979,データについて!$J$5:$AH$20,14,FALSE),"")</f>
        <v/>
      </c>
      <c r="AC1979" s="81">
        <f>IF(X1979=1,HLOOKUP(R1979,データについて!$J$12:$M$18,7,FALSE),"*")</f>
        <v>2</v>
      </c>
      <c r="AD1979" s="81" t="str">
        <f>IF(X1979=2,HLOOKUP(R1979,データについて!$J$12:$M$18,7,FALSE),"*")</f>
        <v>*</v>
      </c>
    </row>
    <row r="1980" spans="1:30">
      <c r="A1980" s="30">
        <v>3212</v>
      </c>
      <c r="B1980" s="30" t="s">
        <v>2003</v>
      </c>
      <c r="C1980" s="30" t="s">
        <v>2004</v>
      </c>
      <c r="D1980" s="30" t="s">
        <v>106</v>
      </c>
      <c r="E1980" s="30"/>
      <c r="F1980" s="30" t="s">
        <v>107</v>
      </c>
      <c r="G1980" s="30" t="s">
        <v>106</v>
      </c>
      <c r="H1980" s="30"/>
      <c r="I1980" s="30" t="s">
        <v>192</v>
      </c>
      <c r="J1980" s="30" t="s">
        <v>630</v>
      </c>
      <c r="K1980" s="30"/>
      <c r="L1980" s="30" t="s">
        <v>117</v>
      </c>
      <c r="M1980" s="30" t="s">
        <v>109</v>
      </c>
      <c r="N1980" s="30" t="s">
        <v>114</v>
      </c>
      <c r="O1980" s="30" t="s">
        <v>115</v>
      </c>
      <c r="P1980" s="30" t="s">
        <v>112</v>
      </c>
      <c r="Q1980" s="30" t="s">
        <v>118</v>
      </c>
      <c r="R1980" s="30" t="s">
        <v>189</v>
      </c>
      <c r="S1980" s="81">
        <f>HLOOKUP(L1980,データについて!$J$6:$M$18,13,FALSE)</f>
        <v>2</v>
      </c>
      <c r="T1980" s="81">
        <f>HLOOKUP(M1980,データについて!$J$7:$M$18,12,FALSE)</f>
        <v>2</v>
      </c>
      <c r="U1980" s="81">
        <f>HLOOKUP(N1980,データについて!$J$8:$M$18,11,FALSE)</f>
        <v>1</v>
      </c>
      <c r="V1980" s="81">
        <f>HLOOKUP(O1980,データについて!$J$9:$M$18,10,FALSE)</f>
        <v>1</v>
      </c>
      <c r="W1980" s="81">
        <f>HLOOKUP(P1980,データについて!$J$10:$M$18,9,FALSE)</f>
        <v>1</v>
      </c>
      <c r="X1980" s="81">
        <f>HLOOKUP(Q1980,データについて!$J$11:$M$18,8,FALSE)</f>
        <v>2</v>
      </c>
      <c r="Y1980" s="81">
        <f>HLOOKUP(R1980,データについて!$J$12:$M$18,7,FALSE)</f>
        <v>4</v>
      </c>
      <c r="Z1980" s="81">
        <f>HLOOKUP(I1980,データについて!$J$3:$M$18,16,FALSE)</f>
        <v>1</v>
      </c>
      <c r="AA1980" s="81">
        <f>IFERROR(HLOOKUP(J1980,データについて!$J$4:$AH$19,16,FALSE),"")</f>
        <v>4</v>
      </c>
      <c r="AB1980" s="81" t="str">
        <f>IFERROR(HLOOKUP(K1980,データについて!$J$5:$AH$20,14,FALSE),"")</f>
        <v/>
      </c>
      <c r="AC1980" s="81" t="str">
        <f>IF(X1980=1,HLOOKUP(R1980,データについて!$J$12:$M$18,7,FALSE),"*")</f>
        <v>*</v>
      </c>
      <c r="AD1980" s="81">
        <f>IF(X1980=2,HLOOKUP(R1980,データについて!$J$12:$M$18,7,FALSE),"*")</f>
        <v>4</v>
      </c>
    </row>
    <row r="1981" spans="1:30">
      <c r="A1981" s="30">
        <v>3211</v>
      </c>
      <c r="B1981" s="30" t="s">
        <v>2005</v>
      </c>
      <c r="C1981" s="30" t="s">
        <v>2004</v>
      </c>
      <c r="D1981" s="30" t="s">
        <v>106</v>
      </c>
      <c r="E1981" s="30"/>
      <c r="F1981" s="30" t="s">
        <v>107</v>
      </c>
      <c r="G1981" s="30" t="s">
        <v>106</v>
      </c>
      <c r="H1981" s="30"/>
      <c r="I1981" s="30" t="s">
        <v>192</v>
      </c>
      <c r="J1981" s="30" t="s">
        <v>630</v>
      </c>
      <c r="K1981" s="30"/>
      <c r="L1981" s="30" t="s">
        <v>117</v>
      </c>
      <c r="M1981" s="30" t="s">
        <v>124</v>
      </c>
      <c r="N1981" s="30" t="s">
        <v>110</v>
      </c>
      <c r="O1981" s="30" t="s">
        <v>115</v>
      </c>
      <c r="P1981" s="30" t="s">
        <v>118</v>
      </c>
      <c r="Q1981" s="30" t="s">
        <v>112</v>
      </c>
      <c r="R1981" s="30" t="s">
        <v>185</v>
      </c>
      <c r="S1981" s="81">
        <f>HLOOKUP(L1981,データについて!$J$6:$M$18,13,FALSE)</f>
        <v>2</v>
      </c>
      <c r="T1981" s="81">
        <f>HLOOKUP(M1981,データについて!$J$7:$M$18,12,FALSE)</f>
        <v>3</v>
      </c>
      <c r="U1981" s="81">
        <f>HLOOKUP(N1981,データについて!$J$8:$M$18,11,FALSE)</f>
        <v>2</v>
      </c>
      <c r="V1981" s="81">
        <f>HLOOKUP(O1981,データについて!$J$9:$M$18,10,FALSE)</f>
        <v>1</v>
      </c>
      <c r="W1981" s="81">
        <f>HLOOKUP(P1981,データについて!$J$10:$M$18,9,FALSE)</f>
        <v>2</v>
      </c>
      <c r="X1981" s="81">
        <f>HLOOKUP(Q1981,データについて!$J$11:$M$18,8,FALSE)</f>
        <v>1</v>
      </c>
      <c r="Y1981" s="81">
        <f>HLOOKUP(R1981,データについて!$J$12:$M$18,7,FALSE)</f>
        <v>2</v>
      </c>
      <c r="Z1981" s="81">
        <f>HLOOKUP(I1981,データについて!$J$3:$M$18,16,FALSE)</f>
        <v>1</v>
      </c>
      <c r="AA1981" s="81">
        <f>IFERROR(HLOOKUP(J1981,データについて!$J$4:$AH$19,16,FALSE),"")</f>
        <v>4</v>
      </c>
      <c r="AB1981" s="81" t="str">
        <f>IFERROR(HLOOKUP(K1981,データについて!$J$5:$AH$20,14,FALSE),"")</f>
        <v/>
      </c>
      <c r="AC1981" s="81">
        <f>IF(X1981=1,HLOOKUP(R1981,データについて!$J$12:$M$18,7,FALSE),"*")</f>
        <v>2</v>
      </c>
      <c r="AD1981" s="81" t="str">
        <f>IF(X1981=2,HLOOKUP(R1981,データについて!$J$12:$M$18,7,FALSE),"*")</f>
        <v>*</v>
      </c>
    </row>
    <row r="1982" spans="1:30">
      <c r="A1982" s="30">
        <v>3210</v>
      </c>
      <c r="B1982" s="30" t="s">
        <v>2006</v>
      </c>
      <c r="C1982" s="30" t="s">
        <v>2007</v>
      </c>
      <c r="D1982" s="30" t="s">
        <v>106</v>
      </c>
      <c r="E1982" s="30"/>
      <c r="F1982" s="30" t="s">
        <v>107</v>
      </c>
      <c r="G1982" s="30" t="s">
        <v>106</v>
      </c>
      <c r="H1982" s="30"/>
      <c r="I1982" s="30" t="s">
        <v>192</v>
      </c>
      <c r="J1982" s="30" t="s">
        <v>630</v>
      </c>
      <c r="K1982" s="30"/>
      <c r="L1982" s="30" t="s">
        <v>117</v>
      </c>
      <c r="M1982" s="30" t="s">
        <v>113</v>
      </c>
      <c r="N1982" s="30" t="s">
        <v>110</v>
      </c>
      <c r="O1982" s="30" t="s">
        <v>115</v>
      </c>
      <c r="P1982" s="30" t="s">
        <v>112</v>
      </c>
      <c r="Q1982" s="30" t="s">
        <v>112</v>
      </c>
      <c r="R1982" s="30" t="s">
        <v>183</v>
      </c>
      <c r="S1982" s="81">
        <f>HLOOKUP(L1982,データについて!$J$6:$M$18,13,FALSE)</f>
        <v>2</v>
      </c>
      <c r="T1982" s="81">
        <f>HLOOKUP(M1982,データについて!$J$7:$M$18,12,FALSE)</f>
        <v>1</v>
      </c>
      <c r="U1982" s="81">
        <f>HLOOKUP(N1982,データについて!$J$8:$M$18,11,FALSE)</f>
        <v>2</v>
      </c>
      <c r="V1982" s="81">
        <f>HLOOKUP(O1982,データについて!$J$9:$M$18,10,FALSE)</f>
        <v>1</v>
      </c>
      <c r="W1982" s="81">
        <f>HLOOKUP(P1982,データについて!$J$10:$M$18,9,FALSE)</f>
        <v>1</v>
      </c>
      <c r="X1982" s="81">
        <f>HLOOKUP(Q1982,データについて!$J$11:$M$18,8,FALSE)</f>
        <v>1</v>
      </c>
      <c r="Y1982" s="81">
        <f>HLOOKUP(R1982,データについて!$J$12:$M$18,7,FALSE)</f>
        <v>1</v>
      </c>
      <c r="Z1982" s="81">
        <f>HLOOKUP(I1982,データについて!$J$3:$M$18,16,FALSE)</f>
        <v>1</v>
      </c>
      <c r="AA1982" s="81">
        <f>IFERROR(HLOOKUP(J1982,データについて!$J$4:$AH$19,16,FALSE),"")</f>
        <v>4</v>
      </c>
      <c r="AB1982" s="81" t="str">
        <f>IFERROR(HLOOKUP(K1982,データについて!$J$5:$AH$20,14,FALSE),"")</f>
        <v/>
      </c>
      <c r="AC1982" s="81">
        <f>IF(X1982=1,HLOOKUP(R1982,データについて!$J$12:$M$18,7,FALSE),"*")</f>
        <v>1</v>
      </c>
      <c r="AD1982" s="81" t="str">
        <f>IF(X1982=2,HLOOKUP(R1982,データについて!$J$12:$M$18,7,FALSE),"*")</f>
        <v>*</v>
      </c>
    </row>
    <row r="1983" spans="1:30">
      <c r="A1983" s="30">
        <v>3209</v>
      </c>
      <c r="B1983" s="30" t="s">
        <v>2008</v>
      </c>
      <c r="C1983" s="30" t="s">
        <v>2009</v>
      </c>
      <c r="D1983" s="30" t="s">
        <v>106</v>
      </c>
      <c r="E1983" s="30"/>
      <c r="F1983" s="30" t="s">
        <v>107</v>
      </c>
      <c r="G1983" s="30" t="s">
        <v>106</v>
      </c>
      <c r="H1983" s="30"/>
      <c r="I1983" s="30" t="s">
        <v>192</v>
      </c>
      <c r="J1983" s="30" t="s">
        <v>630</v>
      </c>
      <c r="K1983" s="30"/>
      <c r="L1983" s="30" t="s">
        <v>117</v>
      </c>
      <c r="M1983" s="30" t="s">
        <v>113</v>
      </c>
      <c r="N1983" s="30" t="s">
        <v>119</v>
      </c>
      <c r="O1983" s="30" t="s">
        <v>115</v>
      </c>
      <c r="P1983" s="30" t="s">
        <v>112</v>
      </c>
      <c r="Q1983" s="30" t="s">
        <v>112</v>
      </c>
      <c r="R1983" s="30" t="s">
        <v>187</v>
      </c>
      <c r="S1983" s="81">
        <f>HLOOKUP(L1983,データについて!$J$6:$M$18,13,FALSE)</f>
        <v>2</v>
      </c>
      <c r="T1983" s="81">
        <f>HLOOKUP(M1983,データについて!$J$7:$M$18,12,FALSE)</f>
        <v>1</v>
      </c>
      <c r="U1983" s="81">
        <f>HLOOKUP(N1983,データについて!$J$8:$M$18,11,FALSE)</f>
        <v>4</v>
      </c>
      <c r="V1983" s="81">
        <f>HLOOKUP(O1983,データについて!$J$9:$M$18,10,FALSE)</f>
        <v>1</v>
      </c>
      <c r="W1983" s="81">
        <f>HLOOKUP(P1983,データについて!$J$10:$M$18,9,FALSE)</f>
        <v>1</v>
      </c>
      <c r="X1983" s="81">
        <f>HLOOKUP(Q1983,データについて!$J$11:$M$18,8,FALSE)</f>
        <v>1</v>
      </c>
      <c r="Y1983" s="81">
        <f>HLOOKUP(R1983,データについて!$J$12:$M$18,7,FALSE)</f>
        <v>3</v>
      </c>
      <c r="Z1983" s="81">
        <f>HLOOKUP(I1983,データについて!$J$3:$M$18,16,FALSE)</f>
        <v>1</v>
      </c>
      <c r="AA1983" s="81">
        <f>IFERROR(HLOOKUP(J1983,データについて!$J$4:$AH$19,16,FALSE),"")</f>
        <v>4</v>
      </c>
      <c r="AB1983" s="81" t="str">
        <f>IFERROR(HLOOKUP(K1983,データについて!$J$5:$AH$20,14,FALSE),"")</f>
        <v/>
      </c>
      <c r="AC1983" s="81">
        <f>IF(X1983=1,HLOOKUP(R1983,データについて!$J$12:$M$18,7,FALSE),"*")</f>
        <v>3</v>
      </c>
      <c r="AD1983" s="81" t="str">
        <f>IF(X1983=2,HLOOKUP(R1983,データについて!$J$12:$M$18,7,FALSE),"*")</f>
        <v>*</v>
      </c>
    </row>
    <row r="1984" spans="1:30">
      <c r="A1984" s="30">
        <v>3208</v>
      </c>
      <c r="B1984" s="30" t="s">
        <v>2010</v>
      </c>
      <c r="C1984" s="30" t="s">
        <v>2011</v>
      </c>
      <c r="D1984" s="30" t="s">
        <v>106</v>
      </c>
      <c r="E1984" s="30"/>
      <c r="F1984" s="30" t="s">
        <v>107</v>
      </c>
      <c r="G1984" s="30" t="s">
        <v>106</v>
      </c>
      <c r="H1984" s="30"/>
      <c r="I1984" s="30" t="s">
        <v>192</v>
      </c>
      <c r="J1984" s="30" t="s">
        <v>630</v>
      </c>
      <c r="K1984" s="30"/>
      <c r="L1984" s="30" t="s">
        <v>117</v>
      </c>
      <c r="M1984" s="30" t="s">
        <v>109</v>
      </c>
      <c r="N1984" s="30" t="s">
        <v>110</v>
      </c>
      <c r="O1984" s="30" t="s">
        <v>115</v>
      </c>
      <c r="P1984" s="30" t="s">
        <v>112</v>
      </c>
      <c r="Q1984" s="30" t="s">
        <v>112</v>
      </c>
      <c r="R1984" s="30" t="s">
        <v>185</v>
      </c>
      <c r="S1984" s="81">
        <f>HLOOKUP(L1984,データについて!$J$6:$M$18,13,FALSE)</f>
        <v>2</v>
      </c>
      <c r="T1984" s="81">
        <f>HLOOKUP(M1984,データについて!$J$7:$M$18,12,FALSE)</f>
        <v>2</v>
      </c>
      <c r="U1984" s="81">
        <f>HLOOKUP(N1984,データについて!$J$8:$M$18,11,FALSE)</f>
        <v>2</v>
      </c>
      <c r="V1984" s="81">
        <f>HLOOKUP(O1984,データについて!$J$9:$M$18,10,FALSE)</f>
        <v>1</v>
      </c>
      <c r="W1984" s="81">
        <f>HLOOKUP(P1984,データについて!$J$10:$M$18,9,FALSE)</f>
        <v>1</v>
      </c>
      <c r="X1984" s="81">
        <f>HLOOKUP(Q1984,データについて!$J$11:$M$18,8,FALSE)</f>
        <v>1</v>
      </c>
      <c r="Y1984" s="81">
        <f>HLOOKUP(R1984,データについて!$J$12:$M$18,7,FALSE)</f>
        <v>2</v>
      </c>
      <c r="Z1984" s="81">
        <f>HLOOKUP(I1984,データについて!$J$3:$M$18,16,FALSE)</f>
        <v>1</v>
      </c>
      <c r="AA1984" s="81">
        <f>IFERROR(HLOOKUP(J1984,データについて!$J$4:$AH$19,16,FALSE),"")</f>
        <v>4</v>
      </c>
      <c r="AB1984" s="81" t="str">
        <f>IFERROR(HLOOKUP(K1984,データについて!$J$5:$AH$20,14,FALSE),"")</f>
        <v/>
      </c>
      <c r="AC1984" s="81">
        <f>IF(X1984=1,HLOOKUP(R1984,データについて!$J$12:$M$18,7,FALSE),"*")</f>
        <v>2</v>
      </c>
      <c r="AD1984" s="81" t="str">
        <f>IF(X1984=2,HLOOKUP(R1984,データについて!$J$12:$M$18,7,FALSE),"*")</f>
        <v>*</v>
      </c>
    </row>
    <row r="1985" spans="1:30">
      <c r="A1985" s="30">
        <v>3207</v>
      </c>
      <c r="B1985" s="30" t="s">
        <v>2012</v>
      </c>
      <c r="C1985" s="30" t="s">
        <v>2013</v>
      </c>
      <c r="D1985" s="30" t="s">
        <v>106</v>
      </c>
      <c r="E1985" s="30"/>
      <c r="F1985" s="30" t="s">
        <v>107</v>
      </c>
      <c r="G1985" s="30" t="s">
        <v>106</v>
      </c>
      <c r="H1985" s="30"/>
      <c r="I1985" s="30" t="s">
        <v>192</v>
      </c>
      <c r="J1985" s="30" t="s">
        <v>630</v>
      </c>
      <c r="K1985" s="30"/>
      <c r="L1985" s="30" t="s">
        <v>117</v>
      </c>
      <c r="M1985" s="30" t="s">
        <v>113</v>
      </c>
      <c r="N1985" s="30" t="s">
        <v>114</v>
      </c>
      <c r="O1985" s="30" t="s">
        <v>115</v>
      </c>
      <c r="P1985" s="30" t="s">
        <v>112</v>
      </c>
      <c r="Q1985" s="30" t="s">
        <v>112</v>
      </c>
      <c r="R1985" s="30" t="s">
        <v>185</v>
      </c>
      <c r="S1985" s="81">
        <f>HLOOKUP(L1985,データについて!$J$6:$M$18,13,FALSE)</f>
        <v>2</v>
      </c>
      <c r="T1985" s="81">
        <f>HLOOKUP(M1985,データについて!$J$7:$M$18,12,FALSE)</f>
        <v>1</v>
      </c>
      <c r="U1985" s="81">
        <f>HLOOKUP(N1985,データについて!$J$8:$M$18,11,FALSE)</f>
        <v>1</v>
      </c>
      <c r="V1985" s="81">
        <f>HLOOKUP(O1985,データについて!$J$9:$M$18,10,FALSE)</f>
        <v>1</v>
      </c>
      <c r="W1985" s="81">
        <f>HLOOKUP(P1985,データについて!$J$10:$M$18,9,FALSE)</f>
        <v>1</v>
      </c>
      <c r="X1985" s="81">
        <f>HLOOKUP(Q1985,データについて!$J$11:$M$18,8,FALSE)</f>
        <v>1</v>
      </c>
      <c r="Y1985" s="81">
        <f>HLOOKUP(R1985,データについて!$J$12:$M$18,7,FALSE)</f>
        <v>2</v>
      </c>
      <c r="Z1985" s="81">
        <f>HLOOKUP(I1985,データについて!$J$3:$M$18,16,FALSE)</f>
        <v>1</v>
      </c>
      <c r="AA1985" s="81">
        <f>IFERROR(HLOOKUP(J1985,データについて!$J$4:$AH$19,16,FALSE),"")</f>
        <v>4</v>
      </c>
      <c r="AB1985" s="81" t="str">
        <f>IFERROR(HLOOKUP(K1985,データについて!$J$5:$AH$20,14,FALSE),"")</f>
        <v/>
      </c>
      <c r="AC1985" s="81">
        <f>IF(X1985=1,HLOOKUP(R1985,データについて!$J$12:$M$18,7,FALSE),"*")</f>
        <v>2</v>
      </c>
      <c r="AD1985" s="81" t="str">
        <f>IF(X1985=2,HLOOKUP(R1985,データについて!$J$12:$M$18,7,FALSE),"*")</f>
        <v>*</v>
      </c>
    </row>
    <row r="1986" spans="1:30">
      <c r="A1986" s="30">
        <v>3206</v>
      </c>
      <c r="B1986" s="30" t="s">
        <v>2014</v>
      </c>
      <c r="C1986" s="30" t="s">
        <v>2015</v>
      </c>
      <c r="D1986" s="30" t="s">
        <v>106</v>
      </c>
      <c r="E1986" s="30"/>
      <c r="F1986" s="30" t="s">
        <v>107</v>
      </c>
      <c r="G1986" s="30" t="s">
        <v>106</v>
      </c>
      <c r="H1986" s="30"/>
      <c r="I1986" s="30" t="s">
        <v>191</v>
      </c>
      <c r="J1986" s="30"/>
      <c r="K1986" s="30" t="s">
        <v>1713</v>
      </c>
      <c r="L1986" s="30" t="s">
        <v>108</v>
      </c>
      <c r="M1986" s="30" t="s">
        <v>121</v>
      </c>
      <c r="N1986" s="30" t="s">
        <v>110</v>
      </c>
      <c r="O1986" s="30" t="s">
        <v>115</v>
      </c>
      <c r="P1986" s="30" t="s">
        <v>118</v>
      </c>
      <c r="Q1986" s="30" t="s">
        <v>118</v>
      </c>
      <c r="R1986" s="30" t="s">
        <v>187</v>
      </c>
      <c r="S1986" s="81">
        <f>HLOOKUP(L1986,データについて!$J$6:$M$18,13,FALSE)</f>
        <v>1</v>
      </c>
      <c r="T1986" s="81">
        <f>HLOOKUP(M1986,データについて!$J$7:$M$18,12,FALSE)</f>
        <v>4</v>
      </c>
      <c r="U1986" s="81">
        <f>HLOOKUP(N1986,データについて!$J$8:$M$18,11,FALSE)</f>
        <v>2</v>
      </c>
      <c r="V1986" s="81">
        <f>HLOOKUP(O1986,データについて!$J$9:$M$18,10,FALSE)</f>
        <v>1</v>
      </c>
      <c r="W1986" s="81">
        <f>HLOOKUP(P1986,データについて!$J$10:$M$18,9,FALSE)</f>
        <v>2</v>
      </c>
      <c r="X1986" s="81">
        <f>HLOOKUP(Q1986,データについて!$J$11:$M$18,8,FALSE)</f>
        <v>2</v>
      </c>
      <c r="Y1986" s="81">
        <f>HLOOKUP(R1986,データについて!$J$12:$M$18,7,FALSE)</f>
        <v>3</v>
      </c>
      <c r="Z1986" s="81">
        <f>HLOOKUP(I1986,データについて!$J$3:$M$18,16,FALSE)</f>
        <v>2</v>
      </c>
      <c r="AA1986" s="81" t="str">
        <f>IFERROR(HLOOKUP(J1986,データについて!$J$4:$AH$19,16,FALSE),"")</f>
        <v/>
      </c>
      <c r="AB1986" s="81">
        <f>IFERROR(HLOOKUP(K1986,データについて!$J$5:$AH$20,14,FALSE),"")</f>
        <v>2</v>
      </c>
      <c r="AC1986" s="81" t="str">
        <f>IF(X1986=1,HLOOKUP(R1986,データについて!$J$12:$M$18,7,FALSE),"*")</f>
        <v>*</v>
      </c>
      <c r="AD1986" s="81">
        <f>IF(X1986=2,HLOOKUP(R1986,データについて!$J$12:$M$18,7,FALSE),"*")</f>
        <v>3</v>
      </c>
    </row>
    <row r="1987" spans="1:30">
      <c r="A1987" s="30">
        <v>3205</v>
      </c>
      <c r="B1987" s="30" t="s">
        <v>2016</v>
      </c>
      <c r="C1987" s="30" t="s">
        <v>2015</v>
      </c>
      <c r="D1987" s="30" t="s">
        <v>106</v>
      </c>
      <c r="E1987" s="30"/>
      <c r="F1987" s="30" t="s">
        <v>107</v>
      </c>
      <c r="G1987" s="30" t="s">
        <v>106</v>
      </c>
      <c r="H1987" s="30"/>
      <c r="I1987" s="30" t="s">
        <v>191</v>
      </c>
      <c r="J1987" s="30"/>
      <c r="K1987" s="30" t="s">
        <v>1713</v>
      </c>
      <c r="L1987" s="30" t="s">
        <v>117</v>
      </c>
      <c r="M1987" s="30" t="s">
        <v>109</v>
      </c>
      <c r="N1987" s="30" t="s">
        <v>119</v>
      </c>
      <c r="O1987" s="30" t="s">
        <v>115</v>
      </c>
      <c r="P1987" s="30" t="s">
        <v>112</v>
      </c>
      <c r="Q1987" s="30" t="s">
        <v>112</v>
      </c>
      <c r="R1987" s="30" t="s">
        <v>189</v>
      </c>
      <c r="S1987" s="81">
        <f>HLOOKUP(L1987,データについて!$J$6:$M$18,13,FALSE)</f>
        <v>2</v>
      </c>
      <c r="T1987" s="81">
        <f>HLOOKUP(M1987,データについて!$J$7:$M$18,12,FALSE)</f>
        <v>2</v>
      </c>
      <c r="U1987" s="81">
        <f>HLOOKUP(N1987,データについて!$J$8:$M$18,11,FALSE)</f>
        <v>4</v>
      </c>
      <c r="V1987" s="81">
        <f>HLOOKUP(O1987,データについて!$J$9:$M$18,10,FALSE)</f>
        <v>1</v>
      </c>
      <c r="W1987" s="81">
        <f>HLOOKUP(P1987,データについて!$J$10:$M$18,9,FALSE)</f>
        <v>1</v>
      </c>
      <c r="X1987" s="81">
        <f>HLOOKUP(Q1987,データについて!$J$11:$M$18,8,FALSE)</f>
        <v>1</v>
      </c>
      <c r="Y1987" s="81">
        <f>HLOOKUP(R1987,データについて!$J$12:$M$18,7,FALSE)</f>
        <v>4</v>
      </c>
      <c r="Z1987" s="81">
        <f>HLOOKUP(I1987,データについて!$J$3:$M$18,16,FALSE)</f>
        <v>2</v>
      </c>
      <c r="AA1987" s="81" t="str">
        <f>IFERROR(HLOOKUP(J1987,データについて!$J$4:$AH$19,16,FALSE),"")</f>
        <v/>
      </c>
      <c r="AB1987" s="81">
        <f>IFERROR(HLOOKUP(K1987,データについて!$J$5:$AH$20,14,FALSE),"")</f>
        <v>2</v>
      </c>
      <c r="AC1987" s="81">
        <f>IF(X1987=1,HLOOKUP(R1987,データについて!$J$12:$M$18,7,FALSE),"*")</f>
        <v>4</v>
      </c>
      <c r="AD1987" s="81" t="str">
        <f>IF(X1987=2,HLOOKUP(R1987,データについて!$J$12:$M$18,7,FALSE),"*")</f>
        <v>*</v>
      </c>
    </row>
    <row r="1988" spans="1:30">
      <c r="A1988" s="30">
        <v>3204</v>
      </c>
      <c r="B1988" s="30" t="s">
        <v>2017</v>
      </c>
      <c r="C1988" s="30" t="s">
        <v>2018</v>
      </c>
      <c r="D1988" s="30" t="s">
        <v>106</v>
      </c>
      <c r="E1988" s="30"/>
      <c r="F1988" s="30" t="s">
        <v>107</v>
      </c>
      <c r="G1988" s="30" t="s">
        <v>106</v>
      </c>
      <c r="H1988" s="30"/>
      <c r="I1988" s="30" t="s">
        <v>191</v>
      </c>
      <c r="J1988" s="30"/>
      <c r="K1988" s="30" t="s">
        <v>1713</v>
      </c>
      <c r="L1988" s="30" t="s">
        <v>108</v>
      </c>
      <c r="M1988" s="30" t="s">
        <v>113</v>
      </c>
      <c r="N1988" s="30" t="s">
        <v>114</v>
      </c>
      <c r="O1988" s="30" t="s">
        <v>115</v>
      </c>
      <c r="P1988" s="30" t="s">
        <v>112</v>
      </c>
      <c r="Q1988" s="30" t="s">
        <v>118</v>
      </c>
      <c r="R1988" s="30" t="s">
        <v>187</v>
      </c>
      <c r="S1988" s="81">
        <f>HLOOKUP(L1988,データについて!$J$6:$M$18,13,FALSE)</f>
        <v>1</v>
      </c>
      <c r="T1988" s="81">
        <f>HLOOKUP(M1988,データについて!$J$7:$M$18,12,FALSE)</f>
        <v>1</v>
      </c>
      <c r="U1988" s="81">
        <f>HLOOKUP(N1988,データについて!$J$8:$M$18,11,FALSE)</f>
        <v>1</v>
      </c>
      <c r="V1988" s="81">
        <f>HLOOKUP(O1988,データについて!$J$9:$M$18,10,FALSE)</f>
        <v>1</v>
      </c>
      <c r="W1988" s="81">
        <f>HLOOKUP(P1988,データについて!$J$10:$M$18,9,FALSE)</f>
        <v>1</v>
      </c>
      <c r="X1988" s="81">
        <f>HLOOKUP(Q1988,データについて!$J$11:$M$18,8,FALSE)</f>
        <v>2</v>
      </c>
      <c r="Y1988" s="81">
        <f>HLOOKUP(R1988,データについて!$J$12:$M$18,7,FALSE)</f>
        <v>3</v>
      </c>
      <c r="Z1988" s="81">
        <f>HLOOKUP(I1988,データについて!$J$3:$M$18,16,FALSE)</f>
        <v>2</v>
      </c>
      <c r="AA1988" s="81" t="str">
        <f>IFERROR(HLOOKUP(J1988,データについて!$J$4:$AH$19,16,FALSE),"")</f>
        <v/>
      </c>
      <c r="AB1988" s="81">
        <f>IFERROR(HLOOKUP(K1988,データについて!$J$5:$AH$20,14,FALSE),"")</f>
        <v>2</v>
      </c>
      <c r="AC1988" s="81" t="str">
        <f>IF(X1988=1,HLOOKUP(R1988,データについて!$J$12:$M$18,7,FALSE),"*")</f>
        <v>*</v>
      </c>
      <c r="AD1988" s="81">
        <f>IF(X1988=2,HLOOKUP(R1988,データについて!$J$12:$M$18,7,FALSE),"*")</f>
        <v>3</v>
      </c>
    </row>
    <row r="1989" spans="1:30">
      <c r="A1989" s="30">
        <v>3203</v>
      </c>
      <c r="B1989" s="30" t="s">
        <v>2019</v>
      </c>
      <c r="C1989" s="30" t="s">
        <v>2020</v>
      </c>
      <c r="D1989" s="30" t="s">
        <v>106</v>
      </c>
      <c r="E1989" s="30"/>
      <c r="F1989" s="30" t="s">
        <v>107</v>
      </c>
      <c r="G1989" s="30" t="s">
        <v>106</v>
      </c>
      <c r="H1989" s="30"/>
      <c r="I1989" s="30" t="s">
        <v>191</v>
      </c>
      <c r="J1989" s="30"/>
      <c r="K1989" s="30" t="s">
        <v>1713</v>
      </c>
      <c r="L1989" s="30" t="s">
        <v>117</v>
      </c>
      <c r="M1989" s="30" t="s">
        <v>121</v>
      </c>
      <c r="N1989" s="30" t="s">
        <v>122</v>
      </c>
      <c r="O1989" s="30" t="s">
        <v>115</v>
      </c>
      <c r="P1989" s="30" t="s">
        <v>112</v>
      </c>
      <c r="Q1989" s="30" t="s">
        <v>112</v>
      </c>
      <c r="R1989" s="30" t="s">
        <v>187</v>
      </c>
      <c r="S1989" s="81">
        <f>HLOOKUP(L1989,データについて!$J$6:$M$18,13,FALSE)</f>
        <v>2</v>
      </c>
      <c r="T1989" s="81">
        <f>HLOOKUP(M1989,データについて!$J$7:$M$18,12,FALSE)</f>
        <v>4</v>
      </c>
      <c r="U1989" s="81">
        <f>HLOOKUP(N1989,データについて!$J$8:$M$18,11,FALSE)</f>
        <v>3</v>
      </c>
      <c r="V1989" s="81">
        <f>HLOOKUP(O1989,データについて!$J$9:$M$18,10,FALSE)</f>
        <v>1</v>
      </c>
      <c r="W1989" s="81">
        <f>HLOOKUP(P1989,データについて!$J$10:$M$18,9,FALSE)</f>
        <v>1</v>
      </c>
      <c r="X1989" s="81">
        <f>HLOOKUP(Q1989,データについて!$J$11:$M$18,8,FALSE)</f>
        <v>1</v>
      </c>
      <c r="Y1989" s="81">
        <f>HLOOKUP(R1989,データについて!$J$12:$M$18,7,FALSE)</f>
        <v>3</v>
      </c>
      <c r="Z1989" s="81">
        <f>HLOOKUP(I1989,データについて!$J$3:$M$18,16,FALSE)</f>
        <v>2</v>
      </c>
      <c r="AA1989" s="81" t="str">
        <f>IFERROR(HLOOKUP(J1989,データについて!$J$4:$AH$19,16,FALSE),"")</f>
        <v/>
      </c>
      <c r="AB1989" s="81">
        <f>IFERROR(HLOOKUP(K1989,データについて!$J$5:$AH$20,14,FALSE),"")</f>
        <v>2</v>
      </c>
      <c r="AC1989" s="81">
        <f>IF(X1989=1,HLOOKUP(R1989,データについて!$J$12:$M$18,7,FALSE),"*")</f>
        <v>3</v>
      </c>
      <c r="AD1989" s="81" t="str">
        <f>IF(X1989=2,HLOOKUP(R1989,データについて!$J$12:$M$18,7,FALSE),"*")</f>
        <v>*</v>
      </c>
    </row>
    <row r="1990" spans="1:30">
      <c r="A1990" s="30">
        <v>3202</v>
      </c>
      <c r="B1990" s="30" t="s">
        <v>2021</v>
      </c>
      <c r="C1990" s="30" t="s">
        <v>2022</v>
      </c>
      <c r="D1990" s="30" t="s">
        <v>106</v>
      </c>
      <c r="E1990" s="30"/>
      <c r="F1990" s="30" t="s">
        <v>107</v>
      </c>
      <c r="G1990" s="30" t="s">
        <v>106</v>
      </c>
      <c r="H1990" s="30"/>
      <c r="I1990" s="30" t="s">
        <v>191</v>
      </c>
      <c r="J1990" s="30"/>
      <c r="K1990" s="30" t="s">
        <v>1713</v>
      </c>
      <c r="L1990" s="30" t="s">
        <v>108</v>
      </c>
      <c r="M1990" s="30" t="s">
        <v>109</v>
      </c>
      <c r="N1990" s="30" t="s">
        <v>110</v>
      </c>
      <c r="O1990" s="30" t="s">
        <v>115</v>
      </c>
      <c r="P1990" s="30" t="s">
        <v>118</v>
      </c>
      <c r="Q1990" s="30" t="s">
        <v>112</v>
      </c>
      <c r="R1990" s="30" t="s">
        <v>187</v>
      </c>
      <c r="S1990" s="81">
        <f>HLOOKUP(L1990,データについて!$J$6:$M$18,13,FALSE)</f>
        <v>1</v>
      </c>
      <c r="T1990" s="81">
        <f>HLOOKUP(M1990,データについて!$J$7:$M$18,12,FALSE)</f>
        <v>2</v>
      </c>
      <c r="U1990" s="81">
        <f>HLOOKUP(N1990,データについて!$J$8:$M$18,11,FALSE)</f>
        <v>2</v>
      </c>
      <c r="V1990" s="81">
        <f>HLOOKUP(O1990,データについて!$J$9:$M$18,10,FALSE)</f>
        <v>1</v>
      </c>
      <c r="W1990" s="81">
        <f>HLOOKUP(P1990,データについて!$J$10:$M$18,9,FALSE)</f>
        <v>2</v>
      </c>
      <c r="X1990" s="81">
        <f>HLOOKUP(Q1990,データについて!$J$11:$M$18,8,FALSE)</f>
        <v>1</v>
      </c>
      <c r="Y1990" s="81">
        <f>HLOOKUP(R1990,データについて!$J$12:$M$18,7,FALSE)</f>
        <v>3</v>
      </c>
      <c r="Z1990" s="81">
        <f>HLOOKUP(I1990,データについて!$J$3:$M$18,16,FALSE)</f>
        <v>2</v>
      </c>
      <c r="AA1990" s="81" t="str">
        <f>IFERROR(HLOOKUP(J1990,データについて!$J$4:$AH$19,16,FALSE),"")</f>
        <v/>
      </c>
      <c r="AB1990" s="81">
        <f>IFERROR(HLOOKUP(K1990,データについて!$J$5:$AH$20,14,FALSE),"")</f>
        <v>2</v>
      </c>
      <c r="AC1990" s="81">
        <f>IF(X1990=1,HLOOKUP(R1990,データについて!$J$12:$M$18,7,FALSE),"*")</f>
        <v>3</v>
      </c>
      <c r="AD1990" s="81" t="str">
        <f>IF(X1990=2,HLOOKUP(R1990,データについて!$J$12:$M$18,7,FALSE),"*")</f>
        <v>*</v>
      </c>
    </row>
    <row r="1991" spans="1:30">
      <c r="A1991" s="30">
        <v>3201</v>
      </c>
      <c r="B1991" s="30" t="s">
        <v>2023</v>
      </c>
      <c r="C1991" s="30" t="s">
        <v>2024</v>
      </c>
      <c r="D1991" s="30" t="s">
        <v>106</v>
      </c>
      <c r="E1991" s="30"/>
      <c r="F1991" s="30" t="s">
        <v>107</v>
      </c>
      <c r="G1991" s="30" t="s">
        <v>106</v>
      </c>
      <c r="H1991" s="30"/>
      <c r="I1991" s="30" t="s">
        <v>191</v>
      </c>
      <c r="J1991" s="30"/>
      <c r="K1991" s="30" t="s">
        <v>1713</v>
      </c>
      <c r="L1991" s="30" t="s">
        <v>108</v>
      </c>
      <c r="M1991" s="30" t="s">
        <v>113</v>
      </c>
      <c r="N1991" s="30" t="s">
        <v>114</v>
      </c>
      <c r="O1991" s="30" t="s">
        <v>115</v>
      </c>
      <c r="P1991" s="30" t="s">
        <v>118</v>
      </c>
      <c r="Q1991" s="30" t="s">
        <v>112</v>
      </c>
      <c r="R1991" s="30" t="s">
        <v>185</v>
      </c>
      <c r="S1991" s="81">
        <f>HLOOKUP(L1991,データについて!$J$6:$M$18,13,FALSE)</f>
        <v>1</v>
      </c>
      <c r="T1991" s="81">
        <f>HLOOKUP(M1991,データについて!$J$7:$M$18,12,FALSE)</f>
        <v>1</v>
      </c>
      <c r="U1991" s="81">
        <f>HLOOKUP(N1991,データについて!$J$8:$M$18,11,FALSE)</f>
        <v>1</v>
      </c>
      <c r="V1991" s="81">
        <f>HLOOKUP(O1991,データについて!$J$9:$M$18,10,FALSE)</f>
        <v>1</v>
      </c>
      <c r="W1991" s="81">
        <f>HLOOKUP(P1991,データについて!$J$10:$M$18,9,FALSE)</f>
        <v>2</v>
      </c>
      <c r="X1991" s="81">
        <f>HLOOKUP(Q1991,データについて!$J$11:$M$18,8,FALSE)</f>
        <v>1</v>
      </c>
      <c r="Y1991" s="81">
        <f>HLOOKUP(R1991,データについて!$J$12:$M$18,7,FALSE)</f>
        <v>2</v>
      </c>
      <c r="Z1991" s="81">
        <f>HLOOKUP(I1991,データについて!$J$3:$M$18,16,FALSE)</f>
        <v>2</v>
      </c>
      <c r="AA1991" s="81" t="str">
        <f>IFERROR(HLOOKUP(J1991,データについて!$J$4:$AH$19,16,FALSE),"")</f>
        <v/>
      </c>
      <c r="AB1991" s="81">
        <f>IFERROR(HLOOKUP(K1991,データについて!$J$5:$AH$20,14,FALSE),"")</f>
        <v>2</v>
      </c>
      <c r="AC1991" s="81">
        <f>IF(X1991=1,HLOOKUP(R1991,データについて!$J$12:$M$18,7,FALSE),"*")</f>
        <v>2</v>
      </c>
      <c r="AD1991" s="81" t="str">
        <f>IF(X1991=2,HLOOKUP(R1991,データについて!$J$12:$M$18,7,FALSE),"*")</f>
        <v>*</v>
      </c>
    </row>
    <row r="1992" spans="1:30">
      <c r="A1992" s="30">
        <v>3200</v>
      </c>
      <c r="B1992" s="30" t="s">
        <v>2025</v>
      </c>
      <c r="C1992" s="30" t="s">
        <v>2026</v>
      </c>
      <c r="D1992" s="30" t="s">
        <v>106</v>
      </c>
      <c r="E1992" s="30"/>
      <c r="F1992" s="30" t="s">
        <v>107</v>
      </c>
      <c r="G1992" s="30" t="s">
        <v>106</v>
      </c>
      <c r="H1992" s="30"/>
      <c r="I1992" s="30" t="s">
        <v>191</v>
      </c>
      <c r="J1992" s="30"/>
      <c r="K1992" s="30" t="s">
        <v>1713</v>
      </c>
      <c r="L1992" s="30" t="s">
        <v>117</v>
      </c>
      <c r="M1992" s="30" t="s">
        <v>109</v>
      </c>
      <c r="N1992" s="30" t="s">
        <v>122</v>
      </c>
      <c r="O1992" s="30" t="s">
        <v>115</v>
      </c>
      <c r="P1992" s="30" t="s">
        <v>118</v>
      </c>
      <c r="Q1992" s="30" t="s">
        <v>112</v>
      </c>
      <c r="R1992" s="30" t="s">
        <v>185</v>
      </c>
      <c r="S1992" s="81">
        <f>HLOOKUP(L1992,データについて!$J$6:$M$18,13,FALSE)</f>
        <v>2</v>
      </c>
      <c r="T1992" s="81">
        <f>HLOOKUP(M1992,データについて!$J$7:$M$18,12,FALSE)</f>
        <v>2</v>
      </c>
      <c r="U1992" s="81">
        <f>HLOOKUP(N1992,データについて!$J$8:$M$18,11,FALSE)</f>
        <v>3</v>
      </c>
      <c r="V1992" s="81">
        <f>HLOOKUP(O1992,データについて!$J$9:$M$18,10,FALSE)</f>
        <v>1</v>
      </c>
      <c r="W1992" s="81">
        <f>HLOOKUP(P1992,データについて!$J$10:$M$18,9,FALSE)</f>
        <v>2</v>
      </c>
      <c r="X1992" s="81">
        <f>HLOOKUP(Q1992,データについて!$J$11:$M$18,8,FALSE)</f>
        <v>1</v>
      </c>
      <c r="Y1992" s="81">
        <f>HLOOKUP(R1992,データについて!$J$12:$M$18,7,FALSE)</f>
        <v>2</v>
      </c>
      <c r="Z1992" s="81">
        <f>HLOOKUP(I1992,データについて!$J$3:$M$18,16,FALSE)</f>
        <v>2</v>
      </c>
      <c r="AA1992" s="81" t="str">
        <f>IFERROR(HLOOKUP(J1992,データについて!$J$4:$AH$19,16,FALSE),"")</f>
        <v/>
      </c>
      <c r="AB1992" s="81">
        <f>IFERROR(HLOOKUP(K1992,データについて!$J$5:$AH$20,14,FALSE),"")</f>
        <v>2</v>
      </c>
      <c r="AC1992" s="81">
        <f>IF(X1992=1,HLOOKUP(R1992,データについて!$J$12:$M$18,7,FALSE),"*")</f>
        <v>2</v>
      </c>
      <c r="AD1992" s="81" t="str">
        <f>IF(X1992=2,HLOOKUP(R1992,データについて!$J$12:$M$18,7,FALSE),"*")</f>
        <v>*</v>
      </c>
    </row>
    <row r="1993" spans="1:30">
      <c r="A1993" s="30">
        <v>3199</v>
      </c>
      <c r="B1993" s="30" t="s">
        <v>2027</v>
      </c>
      <c r="C1993" s="30" t="s">
        <v>2028</v>
      </c>
      <c r="D1993" s="30" t="s">
        <v>106</v>
      </c>
      <c r="E1993" s="30"/>
      <c r="F1993" s="30" t="s">
        <v>107</v>
      </c>
      <c r="G1993" s="30" t="s">
        <v>106</v>
      </c>
      <c r="H1993" s="30"/>
      <c r="I1993" s="30" t="s">
        <v>191</v>
      </c>
      <c r="J1993" s="30"/>
      <c r="K1993" s="30" t="s">
        <v>1713</v>
      </c>
      <c r="L1993" s="30" t="s">
        <v>108</v>
      </c>
      <c r="M1993" s="30" t="s">
        <v>109</v>
      </c>
      <c r="N1993" s="30" t="s">
        <v>110</v>
      </c>
      <c r="O1993" s="30" t="s">
        <v>115</v>
      </c>
      <c r="P1993" s="30" t="s">
        <v>112</v>
      </c>
      <c r="Q1993" s="30" t="s">
        <v>118</v>
      </c>
      <c r="R1993" s="30" t="s">
        <v>187</v>
      </c>
      <c r="S1993" s="81">
        <f>HLOOKUP(L1993,データについて!$J$6:$M$18,13,FALSE)</f>
        <v>1</v>
      </c>
      <c r="T1993" s="81">
        <f>HLOOKUP(M1993,データについて!$J$7:$M$18,12,FALSE)</f>
        <v>2</v>
      </c>
      <c r="U1993" s="81">
        <f>HLOOKUP(N1993,データについて!$J$8:$M$18,11,FALSE)</f>
        <v>2</v>
      </c>
      <c r="V1993" s="81">
        <f>HLOOKUP(O1993,データについて!$J$9:$M$18,10,FALSE)</f>
        <v>1</v>
      </c>
      <c r="W1993" s="81">
        <f>HLOOKUP(P1993,データについて!$J$10:$M$18,9,FALSE)</f>
        <v>1</v>
      </c>
      <c r="X1993" s="81">
        <f>HLOOKUP(Q1993,データについて!$J$11:$M$18,8,FALSE)</f>
        <v>2</v>
      </c>
      <c r="Y1993" s="81">
        <f>HLOOKUP(R1993,データについて!$J$12:$M$18,7,FALSE)</f>
        <v>3</v>
      </c>
      <c r="Z1993" s="81">
        <f>HLOOKUP(I1993,データについて!$J$3:$M$18,16,FALSE)</f>
        <v>2</v>
      </c>
      <c r="AA1993" s="81" t="str">
        <f>IFERROR(HLOOKUP(J1993,データについて!$J$4:$AH$19,16,FALSE),"")</f>
        <v/>
      </c>
      <c r="AB1993" s="81">
        <f>IFERROR(HLOOKUP(K1993,データについて!$J$5:$AH$20,14,FALSE),"")</f>
        <v>2</v>
      </c>
      <c r="AC1993" s="81" t="str">
        <f>IF(X1993=1,HLOOKUP(R1993,データについて!$J$12:$M$18,7,FALSE),"*")</f>
        <v>*</v>
      </c>
      <c r="AD1993" s="81">
        <f>IF(X1993=2,HLOOKUP(R1993,データについて!$J$12:$M$18,7,FALSE),"*")</f>
        <v>3</v>
      </c>
    </row>
    <row r="1994" spans="1:30">
      <c r="A1994" s="30">
        <v>3198</v>
      </c>
      <c r="B1994" s="30" t="s">
        <v>2029</v>
      </c>
      <c r="C1994" s="30" t="s">
        <v>2030</v>
      </c>
      <c r="D1994" s="30" t="s">
        <v>106</v>
      </c>
      <c r="E1994" s="30"/>
      <c r="F1994" s="30" t="s">
        <v>107</v>
      </c>
      <c r="G1994" s="30" t="s">
        <v>106</v>
      </c>
      <c r="H1994" s="30"/>
      <c r="I1994" s="30" t="s">
        <v>191</v>
      </c>
      <c r="J1994" s="30"/>
      <c r="K1994" s="30" t="s">
        <v>1713</v>
      </c>
      <c r="L1994" s="30" t="s">
        <v>117</v>
      </c>
      <c r="M1994" s="30" t="s">
        <v>113</v>
      </c>
      <c r="N1994" s="30" t="s">
        <v>110</v>
      </c>
      <c r="O1994" s="30" t="s">
        <v>115</v>
      </c>
      <c r="P1994" s="30" t="s">
        <v>112</v>
      </c>
      <c r="Q1994" s="30" t="s">
        <v>112</v>
      </c>
      <c r="R1994" s="30" t="s">
        <v>183</v>
      </c>
      <c r="S1994" s="81">
        <f>HLOOKUP(L1994,データについて!$J$6:$M$18,13,FALSE)</f>
        <v>2</v>
      </c>
      <c r="T1994" s="81">
        <f>HLOOKUP(M1994,データについて!$J$7:$M$18,12,FALSE)</f>
        <v>1</v>
      </c>
      <c r="U1994" s="81">
        <f>HLOOKUP(N1994,データについて!$J$8:$M$18,11,FALSE)</f>
        <v>2</v>
      </c>
      <c r="V1994" s="81">
        <f>HLOOKUP(O1994,データについて!$J$9:$M$18,10,FALSE)</f>
        <v>1</v>
      </c>
      <c r="W1994" s="81">
        <f>HLOOKUP(P1994,データについて!$J$10:$M$18,9,FALSE)</f>
        <v>1</v>
      </c>
      <c r="X1994" s="81">
        <f>HLOOKUP(Q1994,データについて!$J$11:$M$18,8,FALSE)</f>
        <v>1</v>
      </c>
      <c r="Y1994" s="81">
        <f>HLOOKUP(R1994,データについて!$J$12:$M$18,7,FALSE)</f>
        <v>1</v>
      </c>
      <c r="Z1994" s="81">
        <f>HLOOKUP(I1994,データについて!$J$3:$M$18,16,FALSE)</f>
        <v>2</v>
      </c>
      <c r="AA1994" s="81" t="str">
        <f>IFERROR(HLOOKUP(J1994,データについて!$J$4:$AH$19,16,FALSE),"")</f>
        <v/>
      </c>
      <c r="AB1994" s="81">
        <f>IFERROR(HLOOKUP(K1994,データについて!$J$5:$AH$20,14,FALSE),"")</f>
        <v>2</v>
      </c>
      <c r="AC1994" s="81">
        <f>IF(X1994=1,HLOOKUP(R1994,データについて!$J$12:$M$18,7,FALSE),"*")</f>
        <v>1</v>
      </c>
      <c r="AD1994" s="81" t="str">
        <f>IF(X1994=2,HLOOKUP(R1994,データについて!$J$12:$M$18,7,FALSE),"*")</f>
        <v>*</v>
      </c>
    </row>
    <row r="1995" spans="1:30">
      <c r="A1995" s="30">
        <v>3197</v>
      </c>
      <c r="B1995" s="30" t="s">
        <v>2031</v>
      </c>
      <c r="C1995" s="30" t="s">
        <v>2032</v>
      </c>
      <c r="D1995" s="30" t="s">
        <v>106</v>
      </c>
      <c r="E1995" s="30"/>
      <c r="F1995" s="30" t="s">
        <v>107</v>
      </c>
      <c r="G1995" s="30" t="s">
        <v>106</v>
      </c>
      <c r="H1995" s="30"/>
      <c r="I1995" s="30" t="s">
        <v>191</v>
      </c>
      <c r="J1995" s="30"/>
      <c r="K1995" s="30" t="s">
        <v>1713</v>
      </c>
      <c r="L1995" s="30" t="s">
        <v>117</v>
      </c>
      <c r="M1995" s="30" t="s">
        <v>121</v>
      </c>
      <c r="N1995" s="30" t="s">
        <v>110</v>
      </c>
      <c r="O1995" s="30" t="s">
        <v>115</v>
      </c>
      <c r="P1995" s="30" t="s">
        <v>112</v>
      </c>
      <c r="Q1995" s="30" t="s">
        <v>118</v>
      </c>
      <c r="R1995" s="30" t="s">
        <v>189</v>
      </c>
      <c r="S1995" s="81">
        <f>HLOOKUP(L1995,データについて!$J$6:$M$18,13,FALSE)</f>
        <v>2</v>
      </c>
      <c r="T1995" s="81">
        <f>HLOOKUP(M1995,データについて!$J$7:$M$18,12,FALSE)</f>
        <v>4</v>
      </c>
      <c r="U1995" s="81">
        <f>HLOOKUP(N1995,データについて!$J$8:$M$18,11,FALSE)</f>
        <v>2</v>
      </c>
      <c r="V1995" s="81">
        <f>HLOOKUP(O1995,データについて!$J$9:$M$18,10,FALSE)</f>
        <v>1</v>
      </c>
      <c r="W1995" s="81">
        <f>HLOOKUP(P1995,データについて!$J$10:$M$18,9,FALSE)</f>
        <v>1</v>
      </c>
      <c r="X1995" s="81">
        <f>HLOOKUP(Q1995,データについて!$J$11:$M$18,8,FALSE)</f>
        <v>2</v>
      </c>
      <c r="Y1995" s="81">
        <f>HLOOKUP(R1995,データについて!$J$12:$M$18,7,FALSE)</f>
        <v>4</v>
      </c>
      <c r="Z1995" s="81">
        <f>HLOOKUP(I1995,データについて!$J$3:$M$18,16,FALSE)</f>
        <v>2</v>
      </c>
      <c r="AA1995" s="81" t="str">
        <f>IFERROR(HLOOKUP(J1995,データについて!$J$4:$AH$19,16,FALSE),"")</f>
        <v/>
      </c>
      <c r="AB1995" s="81">
        <f>IFERROR(HLOOKUP(K1995,データについて!$J$5:$AH$20,14,FALSE),"")</f>
        <v>2</v>
      </c>
      <c r="AC1995" s="81" t="str">
        <f>IF(X1995=1,HLOOKUP(R1995,データについて!$J$12:$M$18,7,FALSE),"*")</f>
        <v>*</v>
      </c>
      <c r="AD1995" s="81">
        <f>IF(X1995=2,HLOOKUP(R1995,データについて!$J$12:$M$18,7,FALSE),"*")</f>
        <v>4</v>
      </c>
    </row>
    <row r="1996" spans="1:30">
      <c r="A1996" s="30">
        <v>3196</v>
      </c>
      <c r="B1996" s="30" t="s">
        <v>2033</v>
      </c>
      <c r="C1996" s="30" t="s">
        <v>2034</v>
      </c>
      <c r="D1996" s="30" t="s">
        <v>106</v>
      </c>
      <c r="E1996" s="30"/>
      <c r="F1996" s="30" t="s">
        <v>107</v>
      </c>
      <c r="G1996" s="30" t="s">
        <v>106</v>
      </c>
      <c r="H1996" s="30"/>
      <c r="I1996" s="30" t="s">
        <v>191</v>
      </c>
      <c r="J1996" s="30"/>
      <c r="K1996" s="30" t="s">
        <v>1713</v>
      </c>
      <c r="L1996" s="30" t="s">
        <v>108</v>
      </c>
      <c r="M1996" s="30" t="s">
        <v>124</v>
      </c>
      <c r="N1996" s="30" t="s">
        <v>110</v>
      </c>
      <c r="O1996" s="30" t="s">
        <v>115</v>
      </c>
      <c r="P1996" s="30" t="s">
        <v>112</v>
      </c>
      <c r="Q1996" s="30" t="s">
        <v>112</v>
      </c>
      <c r="R1996" s="30" t="s">
        <v>187</v>
      </c>
      <c r="S1996" s="81">
        <f>HLOOKUP(L1996,データについて!$J$6:$M$18,13,FALSE)</f>
        <v>1</v>
      </c>
      <c r="T1996" s="81">
        <f>HLOOKUP(M1996,データについて!$J$7:$M$18,12,FALSE)</f>
        <v>3</v>
      </c>
      <c r="U1996" s="81">
        <f>HLOOKUP(N1996,データについて!$J$8:$M$18,11,FALSE)</f>
        <v>2</v>
      </c>
      <c r="V1996" s="81">
        <f>HLOOKUP(O1996,データについて!$J$9:$M$18,10,FALSE)</f>
        <v>1</v>
      </c>
      <c r="W1996" s="81">
        <f>HLOOKUP(P1996,データについて!$J$10:$M$18,9,FALSE)</f>
        <v>1</v>
      </c>
      <c r="X1996" s="81">
        <f>HLOOKUP(Q1996,データについて!$J$11:$M$18,8,FALSE)</f>
        <v>1</v>
      </c>
      <c r="Y1996" s="81">
        <f>HLOOKUP(R1996,データについて!$J$12:$M$18,7,FALSE)</f>
        <v>3</v>
      </c>
      <c r="Z1996" s="81">
        <f>HLOOKUP(I1996,データについて!$J$3:$M$18,16,FALSE)</f>
        <v>2</v>
      </c>
      <c r="AA1996" s="81" t="str">
        <f>IFERROR(HLOOKUP(J1996,データについて!$J$4:$AH$19,16,FALSE),"")</f>
        <v/>
      </c>
      <c r="AB1996" s="81">
        <f>IFERROR(HLOOKUP(K1996,データについて!$J$5:$AH$20,14,FALSE),"")</f>
        <v>2</v>
      </c>
      <c r="AC1996" s="81">
        <f>IF(X1996=1,HLOOKUP(R1996,データについて!$J$12:$M$18,7,FALSE),"*")</f>
        <v>3</v>
      </c>
      <c r="AD1996" s="81" t="str">
        <f>IF(X1996=2,HLOOKUP(R1996,データについて!$J$12:$M$18,7,FALSE),"*")</f>
        <v>*</v>
      </c>
    </row>
    <row r="1997" spans="1:30">
      <c r="A1997" s="30">
        <v>3195</v>
      </c>
      <c r="B1997" s="30" t="s">
        <v>2035</v>
      </c>
      <c r="C1997" s="30" t="s">
        <v>2036</v>
      </c>
      <c r="D1997" s="30" t="s">
        <v>106</v>
      </c>
      <c r="E1997" s="30"/>
      <c r="F1997" s="30" t="s">
        <v>107</v>
      </c>
      <c r="G1997" s="30" t="s">
        <v>106</v>
      </c>
      <c r="H1997" s="30"/>
      <c r="I1997" s="30" t="s">
        <v>191</v>
      </c>
      <c r="J1997" s="30"/>
      <c r="K1997" s="30" t="s">
        <v>1713</v>
      </c>
      <c r="L1997" s="30" t="s">
        <v>117</v>
      </c>
      <c r="M1997" s="30" t="s">
        <v>109</v>
      </c>
      <c r="N1997" s="30" t="s">
        <v>122</v>
      </c>
      <c r="O1997" s="30" t="s">
        <v>115</v>
      </c>
      <c r="P1997" s="30" t="s">
        <v>112</v>
      </c>
      <c r="Q1997" s="30" t="s">
        <v>112</v>
      </c>
      <c r="R1997" s="30" t="s">
        <v>189</v>
      </c>
      <c r="S1997" s="81">
        <f>HLOOKUP(L1997,データについて!$J$6:$M$18,13,FALSE)</f>
        <v>2</v>
      </c>
      <c r="T1997" s="81">
        <f>HLOOKUP(M1997,データについて!$J$7:$M$18,12,FALSE)</f>
        <v>2</v>
      </c>
      <c r="U1997" s="81">
        <f>HLOOKUP(N1997,データについて!$J$8:$M$18,11,FALSE)</f>
        <v>3</v>
      </c>
      <c r="V1997" s="81">
        <f>HLOOKUP(O1997,データについて!$J$9:$M$18,10,FALSE)</f>
        <v>1</v>
      </c>
      <c r="W1997" s="81">
        <f>HLOOKUP(P1997,データについて!$J$10:$M$18,9,FALSE)</f>
        <v>1</v>
      </c>
      <c r="X1997" s="81">
        <f>HLOOKUP(Q1997,データについて!$J$11:$M$18,8,FALSE)</f>
        <v>1</v>
      </c>
      <c r="Y1997" s="81">
        <f>HLOOKUP(R1997,データについて!$J$12:$M$18,7,FALSE)</f>
        <v>4</v>
      </c>
      <c r="Z1997" s="81">
        <f>HLOOKUP(I1997,データについて!$J$3:$M$18,16,FALSE)</f>
        <v>2</v>
      </c>
      <c r="AA1997" s="81" t="str">
        <f>IFERROR(HLOOKUP(J1997,データについて!$J$4:$AH$19,16,FALSE),"")</f>
        <v/>
      </c>
      <c r="AB1997" s="81">
        <f>IFERROR(HLOOKUP(K1997,データについて!$J$5:$AH$20,14,FALSE),"")</f>
        <v>2</v>
      </c>
      <c r="AC1997" s="81">
        <f>IF(X1997=1,HLOOKUP(R1997,データについて!$J$12:$M$18,7,FALSE),"*")</f>
        <v>4</v>
      </c>
      <c r="AD1997" s="81" t="str">
        <f>IF(X1997=2,HLOOKUP(R1997,データについて!$J$12:$M$18,7,FALSE),"*")</f>
        <v>*</v>
      </c>
    </row>
    <row r="1998" spans="1:30">
      <c r="A1998" s="30">
        <v>3194</v>
      </c>
      <c r="B1998" s="30" t="s">
        <v>2037</v>
      </c>
      <c r="C1998" s="30" t="s">
        <v>2038</v>
      </c>
      <c r="D1998" s="30" t="s">
        <v>106</v>
      </c>
      <c r="E1998" s="30"/>
      <c r="F1998" s="30" t="s">
        <v>107</v>
      </c>
      <c r="G1998" s="30" t="s">
        <v>106</v>
      </c>
      <c r="H1998" s="30"/>
      <c r="I1998" s="30" t="s">
        <v>191</v>
      </c>
      <c r="J1998" s="30"/>
      <c r="K1998" s="30" t="s">
        <v>1713</v>
      </c>
      <c r="L1998" s="30" t="s">
        <v>108</v>
      </c>
      <c r="M1998" s="30" t="s">
        <v>113</v>
      </c>
      <c r="N1998" s="30" t="s">
        <v>110</v>
      </c>
      <c r="O1998" s="30" t="s">
        <v>116</v>
      </c>
      <c r="P1998" s="30" t="s">
        <v>118</v>
      </c>
      <c r="Q1998" s="30" t="s">
        <v>112</v>
      </c>
      <c r="R1998" s="30" t="s">
        <v>185</v>
      </c>
      <c r="S1998" s="81">
        <f>HLOOKUP(L1998,データについて!$J$6:$M$18,13,FALSE)</f>
        <v>1</v>
      </c>
      <c r="T1998" s="81">
        <f>HLOOKUP(M1998,データについて!$J$7:$M$18,12,FALSE)</f>
        <v>1</v>
      </c>
      <c r="U1998" s="81">
        <f>HLOOKUP(N1998,データについて!$J$8:$M$18,11,FALSE)</f>
        <v>2</v>
      </c>
      <c r="V1998" s="81">
        <f>HLOOKUP(O1998,データについて!$J$9:$M$18,10,FALSE)</f>
        <v>2</v>
      </c>
      <c r="W1998" s="81">
        <f>HLOOKUP(P1998,データについて!$J$10:$M$18,9,FALSE)</f>
        <v>2</v>
      </c>
      <c r="X1998" s="81">
        <f>HLOOKUP(Q1998,データについて!$J$11:$M$18,8,FALSE)</f>
        <v>1</v>
      </c>
      <c r="Y1998" s="81">
        <f>HLOOKUP(R1998,データについて!$J$12:$M$18,7,FALSE)</f>
        <v>2</v>
      </c>
      <c r="Z1998" s="81">
        <f>HLOOKUP(I1998,データについて!$J$3:$M$18,16,FALSE)</f>
        <v>2</v>
      </c>
      <c r="AA1998" s="81" t="str">
        <f>IFERROR(HLOOKUP(J1998,データについて!$J$4:$AH$19,16,FALSE),"")</f>
        <v/>
      </c>
      <c r="AB1998" s="81">
        <f>IFERROR(HLOOKUP(K1998,データについて!$J$5:$AH$20,14,FALSE),"")</f>
        <v>2</v>
      </c>
      <c r="AC1998" s="81">
        <f>IF(X1998=1,HLOOKUP(R1998,データについて!$J$12:$M$18,7,FALSE),"*")</f>
        <v>2</v>
      </c>
      <c r="AD1998" s="81" t="str">
        <f>IF(X1998=2,HLOOKUP(R1998,データについて!$J$12:$M$18,7,FALSE),"*")</f>
        <v>*</v>
      </c>
    </row>
    <row r="1999" spans="1:30">
      <c r="A1999" s="30">
        <v>3193</v>
      </c>
      <c r="B1999" s="30" t="s">
        <v>2039</v>
      </c>
      <c r="C1999" s="30" t="s">
        <v>2038</v>
      </c>
      <c r="D1999" s="30" t="s">
        <v>106</v>
      </c>
      <c r="E1999" s="30"/>
      <c r="F1999" s="30" t="s">
        <v>107</v>
      </c>
      <c r="G1999" s="30" t="s">
        <v>106</v>
      </c>
      <c r="H1999" s="30"/>
      <c r="I1999" s="30" t="s">
        <v>191</v>
      </c>
      <c r="J1999" s="30"/>
      <c r="K1999" s="30" t="s">
        <v>1713</v>
      </c>
      <c r="L1999" s="30" t="s">
        <v>108</v>
      </c>
      <c r="M1999" s="30" t="s">
        <v>113</v>
      </c>
      <c r="N1999" s="30" t="s">
        <v>110</v>
      </c>
      <c r="O1999" s="30" t="s">
        <v>115</v>
      </c>
      <c r="P1999" s="30" t="s">
        <v>118</v>
      </c>
      <c r="Q1999" s="30" t="s">
        <v>118</v>
      </c>
      <c r="R1999" s="30" t="s">
        <v>185</v>
      </c>
      <c r="S1999" s="81">
        <f>HLOOKUP(L1999,データについて!$J$6:$M$18,13,FALSE)</f>
        <v>1</v>
      </c>
      <c r="T1999" s="81">
        <f>HLOOKUP(M1999,データについて!$J$7:$M$18,12,FALSE)</f>
        <v>1</v>
      </c>
      <c r="U1999" s="81">
        <f>HLOOKUP(N1999,データについて!$J$8:$M$18,11,FALSE)</f>
        <v>2</v>
      </c>
      <c r="V1999" s="81">
        <f>HLOOKUP(O1999,データについて!$J$9:$M$18,10,FALSE)</f>
        <v>1</v>
      </c>
      <c r="W1999" s="81">
        <f>HLOOKUP(P1999,データについて!$J$10:$M$18,9,FALSE)</f>
        <v>2</v>
      </c>
      <c r="X1999" s="81">
        <f>HLOOKUP(Q1999,データについて!$J$11:$M$18,8,FALSE)</f>
        <v>2</v>
      </c>
      <c r="Y1999" s="81">
        <f>HLOOKUP(R1999,データについて!$J$12:$M$18,7,FALSE)</f>
        <v>2</v>
      </c>
      <c r="Z1999" s="81">
        <f>HLOOKUP(I1999,データについて!$J$3:$M$18,16,FALSE)</f>
        <v>2</v>
      </c>
      <c r="AA1999" s="81" t="str">
        <f>IFERROR(HLOOKUP(J1999,データについて!$J$4:$AH$19,16,FALSE),"")</f>
        <v/>
      </c>
      <c r="AB1999" s="81">
        <f>IFERROR(HLOOKUP(K1999,データについて!$J$5:$AH$20,14,FALSE),"")</f>
        <v>2</v>
      </c>
      <c r="AC1999" s="81" t="str">
        <f>IF(X1999=1,HLOOKUP(R1999,データについて!$J$12:$M$18,7,FALSE),"*")</f>
        <v>*</v>
      </c>
      <c r="AD1999" s="81">
        <f>IF(X1999=2,HLOOKUP(R1999,データについて!$J$12:$M$18,7,FALSE),"*")</f>
        <v>2</v>
      </c>
    </row>
    <row r="2000" spans="1:30">
      <c r="A2000" s="30">
        <v>3192</v>
      </c>
      <c r="B2000" s="30" t="s">
        <v>2040</v>
      </c>
      <c r="C2000" s="30" t="s">
        <v>2041</v>
      </c>
      <c r="D2000" s="30" t="s">
        <v>106</v>
      </c>
      <c r="E2000" s="30"/>
      <c r="F2000" s="30" t="s">
        <v>107</v>
      </c>
      <c r="G2000" s="30" t="s">
        <v>106</v>
      </c>
      <c r="H2000" s="30"/>
      <c r="I2000" s="30" t="s">
        <v>191</v>
      </c>
      <c r="J2000" s="30"/>
      <c r="K2000" s="30" t="s">
        <v>1713</v>
      </c>
      <c r="L2000" s="30" t="s">
        <v>117</v>
      </c>
      <c r="M2000" s="30" t="s">
        <v>113</v>
      </c>
      <c r="N2000" s="30" t="s">
        <v>119</v>
      </c>
      <c r="O2000" s="30" t="s">
        <v>116</v>
      </c>
      <c r="P2000" s="30" t="s">
        <v>118</v>
      </c>
      <c r="Q2000" s="30" t="s">
        <v>112</v>
      </c>
      <c r="R2000" s="30" t="s">
        <v>183</v>
      </c>
      <c r="S2000" s="81">
        <f>HLOOKUP(L2000,データについて!$J$6:$M$18,13,FALSE)</f>
        <v>2</v>
      </c>
      <c r="T2000" s="81">
        <f>HLOOKUP(M2000,データについて!$J$7:$M$18,12,FALSE)</f>
        <v>1</v>
      </c>
      <c r="U2000" s="81">
        <f>HLOOKUP(N2000,データについて!$J$8:$M$18,11,FALSE)</f>
        <v>4</v>
      </c>
      <c r="V2000" s="81">
        <f>HLOOKUP(O2000,データについて!$J$9:$M$18,10,FALSE)</f>
        <v>2</v>
      </c>
      <c r="W2000" s="81">
        <f>HLOOKUP(P2000,データについて!$J$10:$M$18,9,FALSE)</f>
        <v>2</v>
      </c>
      <c r="X2000" s="81">
        <f>HLOOKUP(Q2000,データについて!$J$11:$M$18,8,FALSE)</f>
        <v>1</v>
      </c>
      <c r="Y2000" s="81">
        <f>HLOOKUP(R2000,データについて!$J$12:$M$18,7,FALSE)</f>
        <v>1</v>
      </c>
      <c r="Z2000" s="81">
        <f>HLOOKUP(I2000,データについて!$J$3:$M$18,16,FALSE)</f>
        <v>2</v>
      </c>
      <c r="AA2000" s="81" t="str">
        <f>IFERROR(HLOOKUP(J2000,データについて!$J$4:$AH$19,16,FALSE),"")</f>
        <v/>
      </c>
      <c r="AB2000" s="81">
        <f>IFERROR(HLOOKUP(K2000,データについて!$J$5:$AH$20,14,FALSE),"")</f>
        <v>2</v>
      </c>
      <c r="AC2000" s="81">
        <f>IF(X2000=1,HLOOKUP(R2000,データについて!$J$12:$M$18,7,FALSE),"*")</f>
        <v>1</v>
      </c>
      <c r="AD2000" s="81" t="str">
        <f>IF(X2000=2,HLOOKUP(R2000,データについて!$J$12:$M$18,7,FALSE),"*")</f>
        <v>*</v>
      </c>
    </row>
    <row r="2001" spans="1:30">
      <c r="A2001" s="30">
        <v>3191</v>
      </c>
      <c r="B2001" s="30" t="s">
        <v>2042</v>
      </c>
      <c r="C2001" s="30" t="s">
        <v>2043</v>
      </c>
      <c r="D2001" s="30" t="s">
        <v>106</v>
      </c>
      <c r="E2001" s="30"/>
      <c r="F2001" s="30" t="s">
        <v>107</v>
      </c>
      <c r="G2001" s="30" t="s">
        <v>106</v>
      </c>
      <c r="H2001" s="30"/>
      <c r="I2001" s="30" t="s">
        <v>191</v>
      </c>
      <c r="J2001" s="30"/>
      <c r="K2001" s="30" t="s">
        <v>1713</v>
      </c>
      <c r="L2001" s="30" t="s">
        <v>108</v>
      </c>
      <c r="M2001" s="30" t="s">
        <v>109</v>
      </c>
      <c r="N2001" s="30" t="s">
        <v>114</v>
      </c>
      <c r="O2001" s="30" t="s">
        <v>115</v>
      </c>
      <c r="P2001" s="30" t="s">
        <v>112</v>
      </c>
      <c r="Q2001" s="30" t="s">
        <v>118</v>
      </c>
      <c r="R2001" s="30" t="s">
        <v>185</v>
      </c>
      <c r="S2001" s="81">
        <f>HLOOKUP(L2001,データについて!$J$6:$M$18,13,FALSE)</f>
        <v>1</v>
      </c>
      <c r="T2001" s="81">
        <f>HLOOKUP(M2001,データについて!$J$7:$M$18,12,FALSE)</f>
        <v>2</v>
      </c>
      <c r="U2001" s="81">
        <f>HLOOKUP(N2001,データについて!$J$8:$M$18,11,FALSE)</f>
        <v>1</v>
      </c>
      <c r="V2001" s="81">
        <f>HLOOKUP(O2001,データについて!$J$9:$M$18,10,FALSE)</f>
        <v>1</v>
      </c>
      <c r="W2001" s="81">
        <f>HLOOKUP(P2001,データについて!$J$10:$M$18,9,FALSE)</f>
        <v>1</v>
      </c>
      <c r="X2001" s="81">
        <f>HLOOKUP(Q2001,データについて!$J$11:$M$18,8,FALSE)</f>
        <v>2</v>
      </c>
      <c r="Y2001" s="81">
        <f>HLOOKUP(R2001,データについて!$J$12:$M$18,7,FALSE)</f>
        <v>2</v>
      </c>
      <c r="Z2001" s="81">
        <f>HLOOKUP(I2001,データについて!$J$3:$M$18,16,FALSE)</f>
        <v>2</v>
      </c>
      <c r="AA2001" s="81" t="str">
        <f>IFERROR(HLOOKUP(J2001,データについて!$J$4:$AH$19,16,FALSE),"")</f>
        <v/>
      </c>
      <c r="AB2001" s="81">
        <f>IFERROR(HLOOKUP(K2001,データについて!$J$5:$AH$20,14,FALSE),"")</f>
        <v>2</v>
      </c>
      <c r="AC2001" s="81" t="str">
        <f>IF(X2001=1,HLOOKUP(R2001,データについて!$J$12:$M$18,7,FALSE),"*")</f>
        <v>*</v>
      </c>
      <c r="AD2001" s="81">
        <f>IF(X2001=2,HLOOKUP(R2001,データについて!$J$12:$M$18,7,FALSE),"*")</f>
        <v>2</v>
      </c>
    </row>
    <row r="2002" spans="1:30">
      <c r="A2002" s="30">
        <v>3190</v>
      </c>
      <c r="B2002" s="30" t="s">
        <v>2044</v>
      </c>
      <c r="C2002" s="30" t="s">
        <v>2045</v>
      </c>
      <c r="D2002" s="30" t="s">
        <v>106</v>
      </c>
      <c r="E2002" s="30"/>
      <c r="F2002" s="30" t="s">
        <v>107</v>
      </c>
      <c r="G2002" s="30" t="s">
        <v>106</v>
      </c>
      <c r="H2002" s="30"/>
      <c r="I2002" s="30" t="s">
        <v>191</v>
      </c>
      <c r="J2002" s="30"/>
      <c r="K2002" s="30" t="s">
        <v>1713</v>
      </c>
      <c r="L2002" s="30" t="s">
        <v>117</v>
      </c>
      <c r="M2002" s="30" t="s">
        <v>113</v>
      </c>
      <c r="N2002" s="30" t="s">
        <v>114</v>
      </c>
      <c r="O2002" s="30" t="s">
        <v>115</v>
      </c>
      <c r="P2002" s="30" t="s">
        <v>112</v>
      </c>
      <c r="Q2002" s="30" t="s">
        <v>118</v>
      </c>
      <c r="R2002" s="30" t="s">
        <v>185</v>
      </c>
      <c r="S2002" s="81">
        <f>HLOOKUP(L2002,データについて!$J$6:$M$18,13,FALSE)</f>
        <v>2</v>
      </c>
      <c r="T2002" s="81">
        <f>HLOOKUP(M2002,データについて!$J$7:$M$18,12,FALSE)</f>
        <v>1</v>
      </c>
      <c r="U2002" s="81">
        <f>HLOOKUP(N2002,データについて!$J$8:$M$18,11,FALSE)</f>
        <v>1</v>
      </c>
      <c r="V2002" s="81">
        <f>HLOOKUP(O2002,データについて!$J$9:$M$18,10,FALSE)</f>
        <v>1</v>
      </c>
      <c r="W2002" s="81">
        <f>HLOOKUP(P2002,データについて!$J$10:$M$18,9,FALSE)</f>
        <v>1</v>
      </c>
      <c r="X2002" s="81">
        <f>HLOOKUP(Q2002,データについて!$J$11:$M$18,8,FALSE)</f>
        <v>2</v>
      </c>
      <c r="Y2002" s="81">
        <f>HLOOKUP(R2002,データについて!$J$12:$M$18,7,FALSE)</f>
        <v>2</v>
      </c>
      <c r="Z2002" s="81">
        <f>HLOOKUP(I2002,データについて!$J$3:$M$18,16,FALSE)</f>
        <v>2</v>
      </c>
      <c r="AA2002" s="81" t="str">
        <f>IFERROR(HLOOKUP(J2002,データについて!$J$4:$AH$19,16,FALSE),"")</f>
        <v/>
      </c>
      <c r="AB2002" s="81">
        <f>IFERROR(HLOOKUP(K2002,データについて!$J$5:$AH$20,14,FALSE),"")</f>
        <v>2</v>
      </c>
      <c r="AC2002" s="81" t="str">
        <f>IF(X2002=1,HLOOKUP(R2002,データについて!$J$12:$M$18,7,FALSE),"*")</f>
        <v>*</v>
      </c>
      <c r="AD2002" s="81">
        <f>IF(X2002=2,HLOOKUP(R2002,データについて!$J$12:$M$18,7,FALSE),"*")</f>
        <v>2</v>
      </c>
    </row>
    <row r="2003" spans="1:30">
      <c r="A2003" s="30">
        <v>3189</v>
      </c>
      <c r="B2003" s="30" t="s">
        <v>2046</v>
      </c>
      <c r="C2003" s="30" t="s">
        <v>2047</v>
      </c>
      <c r="D2003" s="30" t="s">
        <v>106</v>
      </c>
      <c r="E2003" s="30"/>
      <c r="F2003" s="30" t="s">
        <v>107</v>
      </c>
      <c r="G2003" s="30" t="s">
        <v>106</v>
      </c>
      <c r="H2003" s="30"/>
      <c r="I2003" s="30" t="s">
        <v>191</v>
      </c>
      <c r="J2003" s="30"/>
      <c r="K2003" s="30" t="s">
        <v>1713</v>
      </c>
      <c r="L2003" s="30" t="s">
        <v>108</v>
      </c>
      <c r="M2003" s="30" t="s">
        <v>113</v>
      </c>
      <c r="N2003" s="30" t="s">
        <v>114</v>
      </c>
      <c r="O2003" s="30" t="s">
        <v>115</v>
      </c>
      <c r="P2003" s="30" t="s">
        <v>118</v>
      </c>
      <c r="Q2003" s="30" t="s">
        <v>112</v>
      </c>
      <c r="R2003" s="30" t="s">
        <v>185</v>
      </c>
      <c r="S2003" s="81">
        <f>HLOOKUP(L2003,データについて!$J$6:$M$18,13,FALSE)</f>
        <v>1</v>
      </c>
      <c r="T2003" s="81">
        <f>HLOOKUP(M2003,データについて!$J$7:$M$18,12,FALSE)</f>
        <v>1</v>
      </c>
      <c r="U2003" s="81">
        <f>HLOOKUP(N2003,データについて!$J$8:$M$18,11,FALSE)</f>
        <v>1</v>
      </c>
      <c r="V2003" s="81">
        <f>HLOOKUP(O2003,データについて!$J$9:$M$18,10,FALSE)</f>
        <v>1</v>
      </c>
      <c r="W2003" s="81">
        <f>HLOOKUP(P2003,データについて!$J$10:$M$18,9,FALSE)</f>
        <v>2</v>
      </c>
      <c r="X2003" s="81">
        <f>HLOOKUP(Q2003,データについて!$J$11:$M$18,8,FALSE)</f>
        <v>1</v>
      </c>
      <c r="Y2003" s="81">
        <f>HLOOKUP(R2003,データについて!$J$12:$M$18,7,FALSE)</f>
        <v>2</v>
      </c>
      <c r="Z2003" s="81">
        <f>HLOOKUP(I2003,データについて!$J$3:$M$18,16,FALSE)</f>
        <v>2</v>
      </c>
      <c r="AA2003" s="81" t="str">
        <f>IFERROR(HLOOKUP(J2003,データについて!$J$4:$AH$19,16,FALSE),"")</f>
        <v/>
      </c>
      <c r="AB2003" s="81">
        <f>IFERROR(HLOOKUP(K2003,データについて!$J$5:$AH$20,14,FALSE),"")</f>
        <v>2</v>
      </c>
      <c r="AC2003" s="81">
        <f>IF(X2003=1,HLOOKUP(R2003,データについて!$J$12:$M$18,7,FALSE),"*")</f>
        <v>2</v>
      </c>
      <c r="AD2003" s="81" t="str">
        <f>IF(X2003=2,HLOOKUP(R2003,データについて!$J$12:$M$18,7,FALSE),"*")</f>
        <v>*</v>
      </c>
    </row>
    <row r="2004" spans="1:30">
      <c r="A2004" s="30">
        <v>3188</v>
      </c>
      <c r="B2004" s="30" t="s">
        <v>2048</v>
      </c>
      <c r="C2004" s="30" t="s">
        <v>2049</v>
      </c>
      <c r="D2004" s="30" t="s">
        <v>106</v>
      </c>
      <c r="E2004" s="30"/>
      <c r="F2004" s="30" t="s">
        <v>107</v>
      </c>
      <c r="G2004" s="30" t="s">
        <v>106</v>
      </c>
      <c r="H2004" s="30"/>
      <c r="I2004" s="30" t="s">
        <v>191</v>
      </c>
      <c r="J2004" s="30"/>
      <c r="K2004" s="30" t="s">
        <v>1713</v>
      </c>
      <c r="L2004" s="30" t="s">
        <v>108</v>
      </c>
      <c r="M2004" s="30" t="s">
        <v>121</v>
      </c>
      <c r="N2004" s="30" t="s">
        <v>114</v>
      </c>
      <c r="O2004" s="30" t="s">
        <v>115</v>
      </c>
      <c r="P2004" s="30" t="s">
        <v>118</v>
      </c>
      <c r="Q2004" s="30" t="s">
        <v>112</v>
      </c>
      <c r="R2004" s="30" t="s">
        <v>183</v>
      </c>
      <c r="S2004" s="81">
        <f>HLOOKUP(L2004,データについて!$J$6:$M$18,13,FALSE)</f>
        <v>1</v>
      </c>
      <c r="T2004" s="81">
        <f>HLOOKUP(M2004,データについて!$J$7:$M$18,12,FALSE)</f>
        <v>4</v>
      </c>
      <c r="U2004" s="81">
        <f>HLOOKUP(N2004,データについて!$J$8:$M$18,11,FALSE)</f>
        <v>1</v>
      </c>
      <c r="V2004" s="81">
        <f>HLOOKUP(O2004,データについて!$J$9:$M$18,10,FALSE)</f>
        <v>1</v>
      </c>
      <c r="W2004" s="81">
        <f>HLOOKUP(P2004,データについて!$J$10:$M$18,9,FALSE)</f>
        <v>2</v>
      </c>
      <c r="X2004" s="81">
        <f>HLOOKUP(Q2004,データについて!$J$11:$M$18,8,FALSE)</f>
        <v>1</v>
      </c>
      <c r="Y2004" s="81">
        <f>HLOOKUP(R2004,データについて!$J$12:$M$18,7,FALSE)</f>
        <v>1</v>
      </c>
      <c r="Z2004" s="81">
        <f>HLOOKUP(I2004,データについて!$J$3:$M$18,16,FALSE)</f>
        <v>2</v>
      </c>
      <c r="AA2004" s="81" t="str">
        <f>IFERROR(HLOOKUP(J2004,データについて!$J$4:$AH$19,16,FALSE),"")</f>
        <v/>
      </c>
      <c r="AB2004" s="81">
        <f>IFERROR(HLOOKUP(K2004,データについて!$J$5:$AH$20,14,FALSE),"")</f>
        <v>2</v>
      </c>
      <c r="AC2004" s="81">
        <f>IF(X2004=1,HLOOKUP(R2004,データについて!$J$12:$M$18,7,FALSE),"*")</f>
        <v>1</v>
      </c>
      <c r="AD2004" s="81" t="str">
        <f>IF(X2004=2,HLOOKUP(R2004,データについて!$J$12:$M$18,7,FALSE),"*")</f>
        <v>*</v>
      </c>
    </row>
    <row r="2005" spans="1:30">
      <c r="A2005" s="30">
        <v>3187</v>
      </c>
      <c r="B2005" s="30" t="s">
        <v>2050</v>
      </c>
      <c r="C2005" s="30" t="s">
        <v>2051</v>
      </c>
      <c r="D2005" s="30" t="s">
        <v>106</v>
      </c>
      <c r="E2005" s="30"/>
      <c r="F2005" s="30" t="s">
        <v>107</v>
      </c>
      <c r="G2005" s="30" t="s">
        <v>106</v>
      </c>
      <c r="H2005" s="30"/>
      <c r="I2005" s="30" t="s">
        <v>191</v>
      </c>
      <c r="J2005" s="30"/>
      <c r="K2005" s="30" t="s">
        <v>1713</v>
      </c>
      <c r="L2005" s="30" t="s">
        <v>117</v>
      </c>
      <c r="M2005" s="30" t="s">
        <v>109</v>
      </c>
      <c r="N2005" s="30" t="s">
        <v>110</v>
      </c>
      <c r="O2005" s="30" t="s">
        <v>115</v>
      </c>
      <c r="P2005" s="30" t="s">
        <v>112</v>
      </c>
      <c r="Q2005" s="30" t="s">
        <v>112</v>
      </c>
      <c r="R2005" s="30" t="s">
        <v>189</v>
      </c>
      <c r="S2005" s="81">
        <f>HLOOKUP(L2005,データについて!$J$6:$M$18,13,FALSE)</f>
        <v>2</v>
      </c>
      <c r="T2005" s="81">
        <f>HLOOKUP(M2005,データについて!$J$7:$M$18,12,FALSE)</f>
        <v>2</v>
      </c>
      <c r="U2005" s="81">
        <f>HLOOKUP(N2005,データについて!$J$8:$M$18,11,FALSE)</f>
        <v>2</v>
      </c>
      <c r="V2005" s="81">
        <f>HLOOKUP(O2005,データについて!$J$9:$M$18,10,FALSE)</f>
        <v>1</v>
      </c>
      <c r="W2005" s="81">
        <f>HLOOKUP(P2005,データについて!$J$10:$M$18,9,FALSE)</f>
        <v>1</v>
      </c>
      <c r="X2005" s="81">
        <f>HLOOKUP(Q2005,データについて!$J$11:$M$18,8,FALSE)</f>
        <v>1</v>
      </c>
      <c r="Y2005" s="81">
        <f>HLOOKUP(R2005,データについて!$J$12:$M$18,7,FALSE)</f>
        <v>4</v>
      </c>
      <c r="Z2005" s="81">
        <f>HLOOKUP(I2005,データについて!$J$3:$M$18,16,FALSE)</f>
        <v>2</v>
      </c>
      <c r="AA2005" s="81" t="str">
        <f>IFERROR(HLOOKUP(J2005,データについて!$J$4:$AH$19,16,FALSE),"")</f>
        <v/>
      </c>
      <c r="AB2005" s="81">
        <f>IFERROR(HLOOKUP(K2005,データについて!$J$5:$AH$20,14,FALSE),"")</f>
        <v>2</v>
      </c>
      <c r="AC2005" s="81">
        <f>IF(X2005=1,HLOOKUP(R2005,データについて!$J$12:$M$18,7,FALSE),"*")</f>
        <v>4</v>
      </c>
      <c r="AD2005" s="81" t="str">
        <f>IF(X2005=2,HLOOKUP(R2005,データについて!$J$12:$M$18,7,FALSE),"*")</f>
        <v>*</v>
      </c>
    </row>
    <row r="2006" spans="1:30">
      <c r="A2006" s="30">
        <v>3186</v>
      </c>
      <c r="B2006" s="30" t="s">
        <v>2052</v>
      </c>
      <c r="C2006" s="30" t="s">
        <v>2053</v>
      </c>
      <c r="D2006" s="30" t="s">
        <v>106</v>
      </c>
      <c r="E2006" s="30"/>
      <c r="F2006" s="30" t="s">
        <v>107</v>
      </c>
      <c r="G2006" s="30" t="s">
        <v>106</v>
      </c>
      <c r="H2006" s="30"/>
      <c r="I2006" s="30" t="s">
        <v>191</v>
      </c>
      <c r="J2006" s="30"/>
      <c r="K2006" s="30" t="s">
        <v>1713</v>
      </c>
      <c r="L2006" s="30" t="s">
        <v>108</v>
      </c>
      <c r="M2006" s="30" t="s">
        <v>113</v>
      </c>
      <c r="N2006" s="30" t="s">
        <v>119</v>
      </c>
      <c r="O2006" s="30" t="s">
        <v>115</v>
      </c>
      <c r="P2006" s="30" t="s">
        <v>118</v>
      </c>
      <c r="Q2006" s="30" t="s">
        <v>112</v>
      </c>
      <c r="R2006" s="30" t="s">
        <v>185</v>
      </c>
      <c r="S2006" s="81">
        <f>HLOOKUP(L2006,データについて!$J$6:$M$18,13,FALSE)</f>
        <v>1</v>
      </c>
      <c r="T2006" s="81">
        <f>HLOOKUP(M2006,データについて!$J$7:$M$18,12,FALSE)</f>
        <v>1</v>
      </c>
      <c r="U2006" s="81">
        <f>HLOOKUP(N2006,データについて!$J$8:$M$18,11,FALSE)</f>
        <v>4</v>
      </c>
      <c r="V2006" s="81">
        <f>HLOOKUP(O2006,データについて!$J$9:$M$18,10,FALSE)</f>
        <v>1</v>
      </c>
      <c r="W2006" s="81">
        <f>HLOOKUP(P2006,データについて!$J$10:$M$18,9,FALSE)</f>
        <v>2</v>
      </c>
      <c r="X2006" s="81">
        <f>HLOOKUP(Q2006,データについて!$J$11:$M$18,8,FALSE)</f>
        <v>1</v>
      </c>
      <c r="Y2006" s="81">
        <f>HLOOKUP(R2006,データについて!$J$12:$M$18,7,FALSE)</f>
        <v>2</v>
      </c>
      <c r="Z2006" s="81">
        <f>HLOOKUP(I2006,データについて!$J$3:$M$18,16,FALSE)</f>
        <v>2</v>
      </c>
      <c r="AA2006" s="81" t="str">
        <f>IFERROR(HLOOKUP(J2006,データについて!$J$4:$AH$19,16,FALSE),"")</f>
        <v/>
      </c>
      <c r="AB2006" s="81">
        <f>IFERROR(HLOOKUP(K2006,データについて!$J$5:$AH$20,14,FALSE),"")</f>
        <v>2</v>
      </c>
      <c r="AC2006" s="81">
        <f>IF(X2006=1,HLOOKUP(R2006,データについて!$J$12:$M$18,7,FALSE),"*")</f>
        <v>2</v>
      </c>
      <c r="AD2006" s="81" t="str">
        <f>IF(X2006=2,HLOOKUP(R2006,データについて!$J$12:$M$18,7,FALSE),"*")</f>
        <v>*</v>
      </c>
    </row>
    <row r="2007" spans="1:30">
      <c r="A2007" s="30">
        <v>3185</v>
      </c>
      <c r="B2007" s="30" t="s">
        <v>2054</v>
      </c>
      <c r="C2007" s="30" t="s">
        <v>2053</v>
      </c>
      <c r="D2007" s="30" t="s">
        <v>106</v>
      </c>
      <c r="E2007" s="30"/>
      <c r="F2007" s="30" t="s">
        <v>107</v>
      </c>
      <c r="G2007" s="30" t="s">
        <v>106</v>
      </c>
      <c r="H2007" s="30"/>
      <c r="I2007" s="30" t="s">
        <v>191</v>
      </c>
      <c r="J2007" s="30"/>
      <c r="K2007" s="30" t="s">
        <v>1713</v>
      </c>
      <c r="L2007" s="30" t="s">
        <v>117</v>
      </c>
      <c r="M2007" s="30" t="s">
        <v>109</v>
      </c>
      <c r="N2007" s="30" t="s">
        <v>122</v>
      </c>
      <c r="O2007" s="30" t="s">
        <v>115</v>
      </c>
      <c r="P2007" s="30" t="s">
        <v>118</v>
      </c>
      <c r="Q2007" s="30" t="s">
        <v>112</v>
      </c>
      <c r="R2007" s="30" t="s">
        <v>185</v>
      </c>
      <c r="S2007" s="81">
        <f>HLOOKUP(L2007,データについて!$J$6:$M$18,13,FALSE)</f>
        <v>2</v>
      </c>
      <c r="T2007" s="81">
        <f>HLOOKUP(M2007,データについて!$J$7:$M$18,12,FALSE)</f>
        <v>2</v>
      </c>
      <c r="U2007" s="81">
        <f>HLOOKUP(N2007,データについて!$J$8:$M$18,11,FALSE)</f>
        <v>3</v>
      </c>
      <c r="V2007" s="81">
        <f>HLOOKUP(O2007,データについて!$J$9:$M$18,10,FALSE)</f>
        <v>1</v>
      </c>
      <c r="W2007" s="81">
        <f>HLOOKUP(P2007,データについて!$J$10:$M$18,9,FALSE)</f>
        <v>2</v>
      </c>
      <c r="X2007" s="81">
        <f>HLOOKUP(Q2007,データについて!$J$11:$M$18,8,FALSE)</f>
        <v>1</v>
      </c>
      <c r="Y2007" s="81">
        <f>HLOOKUP(R2007,データについて!$J$12:$M$18,7,FALSE)</f>
        <v>2</v>
      </c>
      <c r="Z2007" s="81">
        <f>HLOOKUP(I2007,データについて!$J$3:$M$18,16,FALSE)</f>
        <v>2</v>
      </c>
      <c r="AA2007" s="81" t="str">
        <f>IFERROR(HLOOKUP(J2007,データについて!$J$4:$AH$19,16,FALSE),"")</f>
        <v/>
      </c>
      <c r="AB2007" s="81">
        <f>IFERROR(HLOOKUP(K2007,データについて!$J$5:$AH$20,14,FALSE),"")</f>
        <v>2</v>
      </c>
      <c r="AC2007" s="81">
        <f>IF(X2007=1,HLOOKUP(R2007,データについて!$J$12:$M$18,7,FALSE),"*")</f>
        <v>2</v>
      </c>
      <c r="AD2007" s="81" t="str">
        <f>IF(X2007=2,HLOOKUP(R2007,データについて!$J$12:$M$18,7,FALSE),"*")</f>
        <v>*</v>
      </c>
    </row>
    <row r="2008" spans="1:30">
      <c r="A2008" s="30">
        <v>3184</v>
      </c>
      <c r="B2008" s="30" t="s">
        <v>2055</v>
      </c>
      <c r="C2008" s="30" t="s">
        <v>2056</v>
      </c>
      <c r="D2008" s="30" t="s">
        <v>106</v>
      </c>
      <c r="E2008" s="30"/>
      <c r="F2008" s="30" t="s">
        <v>107</v>
      </c>
      <c r="G2008" s="30" t="s">
        <v>106</v>
      </c>
      <c r="H2008" s="30"/>
      <c r="I2008" s="30" t="s">
        <v>191</v>
      </c>
      <c r="J2008" s="30"/>
      <c r="K2008" s="30" t="s">
        <v>1713</v>
      </c>
      <c r="L2008" s="30" t="s">
        <v>108</v>
      </c>
      <c r="M2008" s="30" t="s">
        <v>109</v>
      </c>
      <c r="N2008" s="30" t="s">
        <v>110</v>
      </c>
      <c r="O2008" s="30" t="s">
        <v>115</v>
      </c>
      <c r="P2008" s="30" t="s">
        <v>112</v>
      </c>
      <c r="Q2008" s="30" t="s">
        <v>112</v>
      </c>
      <c r="R2008" s="30" t="s">
        <v>185</v>
      </c>
      <c r="S2008" s="81">
        <f>HLOOKUP(L2008,データについて!$J$6:$M$18,13,FALSE)</f>
        <v>1</v>
      </c>
      <c r="T2008" s="81">
        <f>HLOOKUP(M2008,データについて!$J$7:$M$18,12,FALSE)</f>
        <v>2</v>
      </c>
      <c r="U2008" s="81">
        <f>HLOOKUP(N2008,データについて!$J$8:$M$18,11,FALSE)</f>
        <v>2</v>
      </c>
      <c r="V2008" s="81">
        <f>HLOOKUP(O2008,データについて!$J$9:$M$18,10,FALSE)</f>
        <v>1</v>
      </c>
      <c r="W2008" s="81">
        <f>HLOOKUP(P2008,データについて!$J$10:$M$18,9,FALSE)</f>
        <v>1</v>
      </c>
      <c r="X2008" s="81">
        <f>HLOOKUP(Q2008,データについて!$J$11:$M$18,8,FALSE)</f>
        <v>1</v>
      </c>
      <c r="Y2008" s="81">
        <f>HLOOKUP(R2008,データについて!$J$12:$M$18,7,FALSE)</f>
        <v>2</v>
      </c>
      <c r="Z2008" s="81">
        <f>HLOOKUP(I2008,データについて!$J$3:$M$18,16,FALSE)</f>
        <v>2</v>
      </c>
      <c r="AA2008" s="81" t="str">
        <f>IFERROR(HLOOKUP(J2008,データについて!$J$4:$AH$19,16,FALSE),"")</f>
        <v/>
      </c>
      <c r="AB2008" s="81">
        <f>IFERROR(HLOOKUP(K2008,データについて!$J$5:$AH$20,14,FALSE),"")</f>
        <v>2</v>
      </c>
      <c r="AC2008" s="81">
        <f>IF(X2008=1,HLOOKUP(R2008,データについて!$J$12:$M$18,7,FALSE),"*")</f>
        <v>2</v>
      </c>
      <c r="AD2008" s="81" t="str">
        <f>IF(X2008=2,HLOOKUP(R2008,データについて!$J$12:$M$18,7,FALSE),"*")</f>
        <v>*</v>
      </c>
    </row>
    <row r="2009" spans="1:30">
      <c r="A2009" s="30">
        <v>3183</v>
      </c>
      <c r="B2009" s="30" t="s">
        <v>2057</v>
      </c>
      <c r="C2009" s="30" t="s">
        <v>2058</v>
      </c>
      <c r="D2009" s="30" t="s">
        <v>106</v>
      </c>
      <c r="E2009" s="30"/>
      <c r="F2009" s="30" t="s">
        <v>107</v>
      </c>
      <c r="G2009" s="30" t="s">
        <v>106</v>
      </c>
      <c r="H2009" s="30"/>
      <c r="I2009" s="30" t="s">
        <v>191</v>
      </c>
      <c r="J2009" s="30"/>
      <c r="K2009" s="30" t="s">
        <v>1713</v>
      </c>
      <c r="L2009" s="30" t="s">
        <v>117</v>
      </c>
      <c r="M2009" s="30" t="s">
        <v>109</v>
      </c>
      <c r="N2009" s="30" t="s">
        <v>110</v>
      </c>
      <c r="O2009" s="30" t="s">
        <v>115</v>
      </c>
      <c r="P2009" s="30" t="s">
        <v>112</v>
      </c>
      <c r="Q2009" s="30" t="s">
        <v>112</v>
      </c>
      <c r="R2009" s="30" t="s">
        <v>187</v>
      </c>
      <c r="S2009" s="81">
        <f>HLOOKUP(L2009,データについて!$J$6:$M$18,13,FALSE)</f>
        <v>2</v>
      </c>
      <c r="T2009" s="81">
        <f>HLOOKUP(M2009,データについて!$J$7:$M$18,12,FALSE)</f>
        <v>2</v>
      </c>
      <c r="U2009" s="81">
        <f>HLOOKUP(N2009,データについて!$J$8:$M$18,11,FALSE)</f>
        <v>2</v>
      </c>
      <c r="V2009" s="81">
        <f>HLOOKUP(O2009,データについて!$J$9:$M$18,10,FALSE)</f>
        <v>1</v>
      </c>
      <c r="W2009" s="81">
        <f>HLOOKUP(P2009,データについて!$J$10:$M$18,9,FALSE)</f>
        <v>1</v>
      </c>
      <c r="X2009" s="81">
        <f>HLOOKUP(Q2009,データについて!$J$11:$M$18,8,FALSE)</f>
        <v>1</v>
      </c>
      <c r="Y2009" s="81">
        <f>HLOOKUP(R2009,データについて!$J$12:$M$18,7,FALSE)</f>
        <v>3</v>
      </c>
      <c r="Z2009" s="81">
        <f>HLOOKUP(I2009,データについて!$J$3:$M$18,16,FALSE)</f>
        <v>2</v>
      </c>
      <c r="AA2009" s="81" t="str">
        <f>IFERROR(HLOOKUP(J2009,データについて!$J$4:$AH$19,16,FALSE),"")</f>
        <v/>
      </c>
      <c r="AB2009" s="81">
        <f>IFERROR(HLOOKUP(K2009,データについて!$J$5:$AH$20,14,FALSE),"")</f>
        <v>2</v>
      </c>
      <c r="AC2009" s="81">
        <f>IF(X2009=1,HLOOKUP(R2009,データについて!$J$12:$M$18,7,FALSE),"*")</f>
        <v>3</v>
      </c>
      <c r="AD2009" s="81" t="str">
        <f>IF(X2009=2,HLOOKUP(R2009,データについて!$J$12:$M$18,7,FALSE),"*")</f>
        <v>*</v>
      </c>
    </row>
    <row r="2010" spans="1:30">
      <c r="A2010" s="30">
        <v>3182</v>
      </c>
      <c r="B2010" s="30" t="s">
        <v>2059</v>
      </c>
      <c r="C2010" s="30" t="s">
        <v>2060</v>
      </c>
      <c r="D2010" s="30" t="s">
        <v>106</v>
      </c>
      <c r="E2010" s="30"/>
      <c r="F2010" s="30" t="s">
        <v>107</v>
      </c>
      <c r="G2010" s="30" t="s">
        <v>106</v>
      </c>
      <c r="H2010" s="30"/>
      <c r="I2010" s="30" t="s">
        <v>191</v>
      </c>
      <c r="J2010" s="30"/>
      <c r="K2010" s="30" t="s">
        <v>1713</v>
      </c>
      <c r="L2010" s="30" t="s">
        <v>108</v>
      </c>
      <c r="M2010" s="30" t="s">
        <v>124</v>
      </c>
      <c r="N2010" s="30" t="s">
        <v>110</v>
      </c>
      <c r="O2010" s="30" t="s">
        <v>115</v>
      </c>
      <c r="P2010" s="30" t="s">
        <v>112</v>
      </c>
      <c r="Q2010" s="30" t="s">
        <v>118</v>
      </c>
      <c r="R2010" s="30" t="s">
        <v>183</v>
      </c>
      <c r="S2010" s="81">
        <f>HLOOKUP(L2010,データについて!$J$6:$M$18,13,FALSE)</f>
        <v>1</v>
      </c>
      <c r="T2010" s="81">
        <f>HLOOKUP(M2010,データについて!$J$7:$M$18,12,FALSE)</f>
        <v>3</v>
      </c>
      <c r="U2010" s="81">
        <f>HLOOKUP(N2010,データについて!$J$8:$M$18,11,FALSE)</f>
        <v>2</v>
      </c>
      <c r="V2010" s="81">
        <f>HLOOKUP(O2010,データについて!$J$9:$M$18,10,FALSE)</f>
        <v>1</v>
      </c>
      <c r="W2010" s="81">
        <f>HLOOKUP(P2010,データについて!$J$10:$M$18,9,FALSE)</f>
        <v>1</v>
      </c>
      <c r="X2010" s="81">
        <f>HLOOKUP(Q2010,データについて!$J$11:$M$18,8,FALSE)</f>
        <v>2</v>
      </c>
      <c r="Y2010" s="81">
        <f>HLOOKUP(R2010,データについて!$J$12:$M$18,7,FALSE)</f>
        <v>1</v>
      </c>
      <c r="Z2010" s="81">
        <f>HLOOKUP(I2010,データについて!$J$3:$M$18,16,FALSE)</f>
        <v>2</v>
      </c>
      <c r="AA2010" s="81" t="str">
        <f>IFERROR(HLOOKUP(J2010,データについて!$J$4:$AH$19,16,FALSE),"")</f>
        <v/>
      </c>
      <c r="AB2010" s="81">
        <f>IFERROR(HLOOKUP(K2010,データについて!$J$5:$AH$20,14,FALSE),"")</f>
        <v>2</v>
      </c>
      <c r="AC2010" s="81" t="str">
        <f>IF(X2010=1,HLOOKUP(R2010,データについて!$J$12:$M$18,7,FALSE),"*")</f>
        <v>*</v>
      </c>
      <c r="AD2010" s="81">
        <f>IF(X2010=2,HLOOKUP(R2010,データについて!$J$12:$M$18,7,FALSE),"*")</f>
        <v>1</v>
      </c>
    </row>
    <row r="2011" spans="1:30">
      <c r="A2011" s="30">
        <v>3181</v>
      </c>
      <c r="B2011" s="30" t="s">
        <v>2061</v>
      </c>
      <c r="C2011" s="30" t="s">
        <v>2062</v>
      </c>
      <c r="D2011" s="30" t="s">
        <v>106</v>
      </c>
      <c r="E2011" s="30"/>
      <c r="F2011" s="30" t="s">
        <v>107</v>
      </c>
      <c r="G2011" s="30" t="s">
        <v>106</v>
      </c>
      <c r="H2011" s="30"/>
      <c r="I2011" s="30" t="s">
        <v>191</v>
      </c>
      <c r="J2011" s="30"/>
      <c r="K2011" s="30" t="s">
        <v>1713</v>
      </c>
      <c r="L2011" s="30" t="s">
        <v>108</v>
      </c>
      <c r="M2011" s="30" t="s">
        <v>113</v>
      </c>
      <c r="N2011" s="30" t="s">
        <v>119</v>
      </c>
      <c r="O2011" s="30" t="s">
        <v>115</v>
      </c>
      <c r="P2011" s="30" t="s">
        <v>112</v>
      </c>
      <c r="Q2011" s="30" t="s">
        <v>118</v>
      </c>
      <c r="R2011" s="30" t="s">
        <v>187</v>
      </c>
      <c r="S2011" s="81">
        <f>HLOOKUP(L2011,データについて!$J$6:$M$18,13,FALSE)</f>
        <v>1</v>
      </c>
      <c r="T2011" s="81">
        <f>HLOOKUP(M2011,データについて!$J$7:$M$18,12,FALSE)</f>
        <v>1</v>
      </c>
      <c r="U2011" s="81">
        <f>HLOOKUP(N2011,データについて!$J$8:$M$18,11,FALSE)</f>
        <v>4</v>
      </c>
      <c r="V2011" s="81">
        <f>HLOOKUP(O2011,データについて!$J$9:$M$18,10,FALSE)</f>
        <v>1</v>
      </c>
      <c r="W2011" s="81">
        <f>HLOOKUP(P2011,データについて!$J$10:$M$18,9,FALSE)</f>
        <v>1</v>
      </c>
      <c r="X2011" s="81">
        <f>HLOOKUP(Q2011,データについて!$J$11:$M$18,8,FALSE)</f>
        <v>2</v>
      </c>
      <c r="Y2011" s="81">
        <f>HLOOKUP(R2011,データについて!$J$12:$M$18,7,FALSE)</f>
        <v>3</v>
      </c>
      <c r="Z2011" s="81">
        <f>HLOOKUP(I2011,データについて!$J$3:$M$18,16,FALSE)</f>
        <v>2</v>
      </c>
      <c r="AA2011" s="81" t="str">
        <f>IFERROR(HLOOKUP(J2011,データについて!$J$4:$AH$19,16,FALSE),"")</f>
        <v/>
      </c>
      <c r="AB2011" s="81">
        <f>IFERROR(HLOOKUP(K2011,データについて!$J$5:$AH$20,14,FALSE),"")</f>
        <v>2</v>
      </c>
      <c r="AC2011" s="81" t="str">
        <f>IF(X2011=1,HLOOKUP(R2011,データについて!$J$12:$M$18,7,FALSE),"*")</f>
        <v>*</v>
      </c>
      <c r="AD2011" s="81">
        <f>IF(X2011=2,HLOOKUP(R2011,データについて!$J$12:$M$18,7,FALSE),"*")</f>
        <v>3</v>
      </c>
    </row>
    <row r="2012" spans="1:30">
      <c r="A2012" s="30">
        <v>3180</v>
      </c>
      <c r="B2012" s="30" t="s">
        <v>2063</v>
      </c>
      <c r="C2012" s="30" t="s">
        <v>2064</v>
      </c>
      <c r="D2012" s="30" t="s">
        <v>106</v>
      </c>
      <c r="E2012" s="30"/>
      <c r="F2012" s="30" t="s">
        <v>107</v>
      </c>
      <c r="G2012" s="30" t="s">
        <v>106</v>
      </c>
      <c r="H2012" s="30"/>
      <c r="I2012" s="30" t="s">
        <v>191</v>
      </c>
      <c r="J2012" s="30"/>
      <c r="K2012" s="30" t="s">
        <v>1713</v>
      </c>
      <c r="L2012" s="30" t="s">
        <v>117</v>
      </c>
      <c r="M2012" s="30" t="s">
        <v>109</v>
      </c>
      <c r="N2012" s="30" t="s">
        <v>110</v>
      </c>
      <c r="O2012" s="30" t="s">
        <v>115</v>
      </c>
      <c r="P2012" s="30" t="s">
        <v>118</v>
      </c>
      <c r="Q2012" s="30" t="s">
        <v>118</v>
      </c>
      <c r="R2012" s="30" t="s">
        <v>189</v>
      </c>
      <c r="S2012" s="81">
        <f>HLOOKUP(L2012,データについて!$J$6:$M$18,13,FALSE)</f>
        <v>2</v>
      </c>
      <c r="T2012" s="81">
        <f>HLOOKUP(M2012,データについて!$J$7:$M$18,12,FALSE)</f>
        <v>2</v>
      </c>
      <c r="U2012" s="81">
        <f>HLOOKUP(N2012,データについて!$J$8:$M$18,11,FALSE)</f>
        <v>2</v>
      </c>
      <c r="V2012" s="81">
        <f>HLOOKUP(O2012,データについて!$J$9:$M$18,10,FALSE)</f>
        <v>1</v>
      </c>
      <c r="W2012" s="81">
        <f>HLOOKUP(P2012,データについて!$J$10:$M$18,9,FALSE)</f>
        <v>2</v>
      </c>
      <c r="X2012" s="81">
        <f>HLOOKUP(Q2012,データについて!$J$11:$M$18,8,FALSE)</f>
        <v>2</v>
      </c>
      <c r="Y2012" s="81">
        <f>HLOOKUP(R2012,データについて!$J$12:$M$18,7,FALSE)</f>
        <v>4</v>
      </c>
      <c r="Z2012" s="81">
        <f>HLOOKUP(I2012,データについて!$J$3:$M$18,16,FALSE)</f>
        <v>2</v>
      </c>
      <c r="AA2012" s="81" t="str">
        <f>IFERROR(HLOOKUP(J2012,データについて!$J$4:$AH$19,16,FALSE),"")</f>
        <v/>
      </c>
      <c r="AB2012" s="81">
        <f>IFERROR(HLOOKUP(K2012,データについて!$J$5:$AH$20,14,FALSE),"")</f>
        <v>2</v>
      </c>
      <c r="AC2012" s="81" t="str">
        <f>IF(X2012=1,HLOOKUP(R2012,データについて!$J$12:$M$18,7,FALSE),"*")</f>
        <v>*</v>
      </c>
      <c r="AD2012" s="81">
        <f>IF(X2012=2,HLOOKUP(R2012,データについて!$J$12:$M$18,7,FALSE),"*")</f>
        <v>4</v>
      </c>
    </row>
    <row r="2013" spans="1:30">
      <c r="A2013" s="30">
        <v>3179</v>
      </c>
      <c r="B2013" s="30" t="s">
        <v>2065</v>
      </c>
      <c r="C2013" s="30" t="s">
        <v>2066</v>
      </c>
      <c r="D2013" s="30" t="s">
        <v>106</v>
      </c>
      <c r="E2013" s="30"/>
      <c r="F2013" s="30" t="s">
        <v>107</v>
      </c>
      <c r="G2013" s="30" t="s">
        <v>106</v>
      </c>
      <c r="H2013" s="30"/>
      <c r="I2013" s="30" t="s">
        <v>191</v>
      </c>
      <c r="J2013" s="30"/>
      <c r="K2013" s="30" t="s">
        <v>1713</v>
      </c>
      <c r="L2013" s="30" t="s">
        <v>108</v>
      </c>
      <c r="M2013" s="30" t="s">
        <v>121</v>
      </c>
      <c r="N2013" s="30" t="s">
        <v>122</v>
      </c>
      <c r="O2013" s="30" t="s">
        <v>123</v>
      </c>
      <c r="P2013" s="30" t="s">
        <v>118</v>
      </c>
      <c r="Q2013" s="30" t="s">
        <v>112</v>
      </c>
      <c r="R2013" s="30" t="s">
        <v>187</v>
      </c>
      <c r="S2013" s="81">
        <f>HLOOKUP(L2013,データについて!$J$6:$M$18,13,FALSE)</f>
        <v>1</v>
      </c>
      <c r="T2013" s="81">
        <f>HLOOKUP(M2013,データについて!$J$7:$M$18,12,FALSE)</f>
        <v>4</v>
      </c>
      <c r="U2013" s="81">
        <f>HLOOKUP(N2013,データについて!$J$8:$M$18,11,FALSE)</f>
        <v>3</v>
      </c>
      <c r="V2013" s="81">
        <f>HLOOKUP(O2013,データについて!$J$9:$M$18,10,FALSE)</f>
        <v>4</v>
      </c>
      <c r="W2013" s="81">
        <f>HLOOKUP(P2013,データについて!$J$10:$M$18,9,FALSE)</f>
        <v>2</v>
      </c>
      <c r="X2013" s="81">
        <f>HLOOKUP(Q2013,データについて!$J$11:$M$18,8,FALSE)</f>
        <v>1</v>
      </c>
      <c r="Y2013" s="81">
        <f>HLOOKUP(R2013,データについて!$J$12:$M$18,7,FALSE)</f>
        <v>3</v>
      </c>
      <c r="Z2013" s="81">
        <f>HLOOKUP(I2013,データについて!$J$3:$M$18,16,FALSE)</f>
        <v>2</v>
      </c>
      <c r="AA2013" s="81" t="str">
        <f>IFERROR(HLOOKUP(J2013,データについて!$J$4:$AH$19,16,FALSE),"")</f>
        <v/>
      </c>
      <c r="AB2013" s="81">
        <f>IFERROR(HLOOKUP(K2013,データについて!$J$5:$AH$20,14,FALSE),"")</f>
        <v>2</v>
      </c>
      <c r="AC2013" s="81">
        <f>IF(X2013=1,HLOOKUP(R2013,データについて!$J$12:$M$18,7,FALSE),"*")</f>
        <v>3</v>
      </c>
      <c r="AD2013" s="81" t="str">
        <f>IF(X2013=2,HLOOKUP(R2013,データについて!$J$12:$M$18,7,FALSE),"*")</f>
        <v>*</v>
      </c>
    </row>
    <row r="2014" spans="1:30">
      <c r="A2014" s="30">
        <v>3178</v>
      </c>
      <c r="B2014" s="30" t="s">
        <v>2067</v>
      </c>
      <c r="C2014" s="30" t="s">
        <v>2068</v>
      </c>
      <c r="D2014" s="30" t="s">
        <v>106</v>
      </c>
      <c r="E2014" s="30"/>
      <c r="F2014" s="30" t="s">
        <v>107</v>
      </c>
      <c r="G2014" s="30" t="s">
        <v>106</v>
      </c>
      <c r="H2014" s="30"/>
      <c r="I2014" s="30" t="s">
        <v>191</v>
      </c>
      <c r="J2014" s="30"/>
      <c r="K2014" s="30" t="s">
        <v>1713</v>
      </c>
      <c r="L2014" s="30" t="s">
        <v>117</v>
      </c>
      <c r="M2014" s="30" t="s">
        <v>113</v>
      </c>
      <c r="N2014" s="30" t="s">
        <v>114</v>
      </c>
      <c r="O2014" s="30" t="s">
        <v>115</v>
      </c>
      <c r="P2014" s="30" t="s">
        <v>118</v>
      </c>
      <c r="Q2014" s="30" t="s">
        <v>112</v>
      </c>
      <c r="R2014" s="30" t="s">
        <v>185</v>
      </c>
      <c r="S2014" s="81">
        <f>HLOOKUP(L2014,データについて!$J$6:$M$18,13,FALSE)</f>
        <v>2</v>
      </c>
      <c r="T2014" s="81">
        <f>HLOOKUP(M2014,データについて!$J$7:$M$18,12,FALSE)</f>
        <v>1</v>
      </c>
      <c r="U2014" s="81">
        <f>HLOOKUP(N2014,データについて!$J$8:$M$18,11,FALSE)</f>
        <v>1</v>
      </c>
      <c r="V2014" s="81">
        <f>HLOOKUP(O2014,データについて!$J$9:$M$18,10,FALSE)</f>
        <v>1</v>
      </c>
      <c r="W2014" s="81">
        <f>HLOOKUP(P2014,データについて!$J$10:$M$18,9,FALSE)</f>
        <v>2</v>
      </c>
      <c r="X2014" s="81">
        <f>HLOOKUP(Q2014,データについて!$J$11:$M$18,8,FALSE)</f>
        <v>1</v>
      </c>
      <c r="Y2014" s="81">
        <f>HLOOKUP(R2014,データについて!$J$12:$M$18,7,FALSE)</f>
        <v>2</v>
      </c>
      <c r="Z2014" s="81">
        <f>HLOOKUP(I2014,データについて!$J$3:$M$18,16,FALSE)</f>
        <v>2</v>
      </c>
      <c r="AA2014" s="81" t="str">
        <f>IFERROR(HLOOKUP(J2014,データについて!$J$4:$AH$19,16,FALSE),"")</f>
        <v/>
      </c>
      <c r="AB2014" s="81">
        <f>IFERROR(HLOOKUP(K2014,データについて!$J$5:$AH$20,14,FALSE),"")</f>
        <v>2</v>
      </c>
      <c r="AC2014" s="81">
        <f>IF(X2014=1,HLOOKUP(R2014,データについて!$J$12:$M$18,7,FALSE),"*")</f>
        <v>2</v>
      </c>
      <c r="AD2014" s="81" t="str">
        <f>IF(X2014=2,HLOOKUP(R2014,データについて!$J$12:$M$18,7,FALSE),"*")</f>
        <v>*</v>
      </c>
    </row>
    <row r="2015" spans="1:30">
      <c r="A2015" s="30">
        <v>3177</v>
      </c>
      <c r="B2015" s="30" t="s">
        <v>2069</v>
      </c>
      <c r="C2015" s="30" t="s">
        <v>2070</v>
      </c>
      <c r="D2015" s="30" t="s">
        <v>106</v>
      </c>
      <c r="E2015" s="30"/>
      <c r="F2015" s="30" t="s">
        <v>107</v>
      </c>
      <c r="G2015" s="30" t="s">
        <v>106</v>
      </c>
      <c r="H2015" s="30"/>
      <c r="I2015" s="30" t="s">
        <v>191</v>
      </c>
      <c r="J2015" s="30"/>
      <c r="K2015" s="30" t="s">
        <v>1713</v>
      </c>
      <c r="L2015" s="30" t="s">
        <v>117</v>
      </c>
      <c r="M2015" s="30" t="s">
        <v>124</v>
      </c>
      <c r="N2015" s="30" t="s">
        <v>114</v>
      </c>
      <c r="O2015" s="30" t="s">
        <v>123</v>
      </c>
      <c r="P2015" s="30" t="s">
        <v>112</v>
      </c>
      <c r="Q2015" s="30" t="s">
        <v>118</v>
      </c>
      <c r="R2015" s="30" t="s">
        <v>189</v>
      </c>
      <c r="S2015" s="81">
        <f>HLOOKUP(L2015,データについて!$J$6:$M$18,13,FALSE)</f>
        <v>2</v>
      </c>
      <c r="T2015" s="81">
        <f>HLOOKUP(M2015,データについて!$J$7:$M$18,12,FALSE)</f>
        <v>3</v>
      </c>
      <c r="U2015" s="81">
        <f>HLOOKUP(N2015,データについて!$J$8:$M$18,11,FALSE)</f>
        <v>1</v>
      </c>
      <c r="V2015" s="81">
        <f>HLOOKUP(O2015,データについて!$J$9:$M$18,10,FALSE)</f>
        <v>4</v>
      </c>
      <c r="W2015" s="81">
        <f>HLOOKUP(P2015,データについて!$J$10:$M$18,9,FALSE)</f>
        <v>1</v>
      </c>
      <c r="X2015" s="81">
        <f>HLOOKUP(Q2015,データについて!$J$11:$M$18,8,FALSE)</f>
        <v>2</v>
      </c>
      <c r="Y2015" s="81">
        <f>HLOOKUP(R2015,データについて!$J$12:$M$18,7,FALSE)</f>
        <v>4</v>
      </c>
      <c r="Z2015" s="81">
        <f>HLOOKUP(I2015,データについて!$J$3:$M$18,16,FALSE)</f>
        <v>2</v>
      </c>
      <c r="AA2015" s="81" t="str">
        <f>IFERROR(HLOOKUP(J2015,データについて!$J$4:$AH$19,16,FALSE),"")</f>
        <v/>
      </c>
      <c r="AB2015" s="81">
        <f>IFERROR(HLOOKUP(K2015,データについて!$J$5:$AH$20,14,FALSE),"")</f>
        <v>2</v>
      </c>
      <c r="AC2015" s="81" t="str">
        <f>IF(X2015=1,HLOOKUP(R2015,データについて!$J$12:$M$18,7,FALSE),"*")</f>
        <v>*</v>
      </c>
      <c r="AD2015" s="81">
        <f>IF(X2015=2,HLOOKUP(R2015,データについて!$J$12:$M$18,7,FALSE),"*")</f>
        <v>4</v>
      </c>
    </row>
    <row r="2016" spans="1:30">
      <c r="A2016" s="30">
        <v>3176</v>
      </c>
      <c r="B2016" s="30" t="s">
        <v>2071</v>
      </c>
      <c r="C2016" s="30" t="s">
        <v>2072</v>
      </c>
      <c r="D2016" s="30" t="s">
        <v>106</v>
      </c>
      <c r="E2016" s="30"/>
      <c r="F2016" s="30" t="s">
        <v>107</v>
      </c>
      <c r="G2016" s="30" t="s">
        <v>106</v>
      </c>
      <c r="H2016" s="30"/>
      <c r="I2016" s="30" t="s">
        <v>191</v>
      </c>
      <c r="J2016" s="30"/>
      <c r="K2016" s="30" t="s">
        <v>1713</v>
      </c>
      <c r="L2016" s="30" t="s">
        <v>117</v>
      </c>
      <c r="M2016" s="30" t="s">
        <v>113</v>
      </c>
      <c r="N2016" s="30" t="s">
        <v>119</v>
      </c>
      <c r="O2016" s="30" t="s">
        <v>115</v>
      </c>
      <c r="P2016" s="30" t="s">
        <v>112</v>
      </c>
      <c r="Q2016" s="30" t="s">
        <v>112</v>
      </c>
      <c r="R2016" s="30" t="s">
        <v>185</v>
      </c>
      <c r="S2016" s="81">
        <f>HLOOKUP(L2016,データについて!$J$6:$M$18,13,FALSE)</f>
        <v>2</v>
      </c>
      <c r="T2016" s="81">
        <f>HLOOKUP(M2016,データについて!$J$7:$M$18,12,FALSE)</f>
        <v>1</v>
      </c>
      <c r="U2016" s="81">
        <f>HLOOKUP(N2016,データについて!$J$8:$M$18,11,FALSE)</f>
        <v>4</v>
      </c>
      <c r="V2016" s="81">
        <f>HLOOKUP(O2016,データについて!$J$9:$M$18,10,FALSE)</f>
        <v>1</v>
      </c>
      <c r="W2016" s="81">
        <f>HLOOKUP(P2016,データについて!$J$10:$M$18,9,FALSE)</f>
        <v>1</v>
      </c>
      <c r="X2016" s="81">
        <f>HLOOKUP(Q2016,データについて!$J$11:$M$18,8,FALSE)</f>
        <v>1</v>
      </c>
      <c r="Y2016" s="81">
        <f>HLOOKUP(R2016,データについて!$J$12:$M$18,7,FALSE)</f>
        <v>2</v>
      </c>
      <c r="Z2016" s="81">
        <f>HLOOKUP(I2016,データについて!$J$3:$M$18,16,FALSE)</f>
        <v>2</v>
      </c>
      <c r="AA2016" s="81" t="str">
        <f>IFERROR(HLOOKUP(J2016,データについて!$J$4:$AH$19,16,FALSE),"")</f>
        <v/>
      </c>
      <c r="AB2016" s="81">
        <f>IFERROR(HLOOKUP(K2016,データについて!$J$5:$AH$20,14,FALSE),"")</f>
        <v>2</v>
      </c>
      <c r="AC2016" s="81">
        <f>IF(X2016=1,HLOOKUP(R2016,データについて!$J$12:$M$18,7,FALSE),"*")</f>
        <v>2</v>
      </c>
      <c r="AD2016" s="81" t="str">
        <f>IF(X2016=2,HLOOKUP(R2016,データについて!$J$12:$M$18,7,FALSE),"*")</f>
        <v>*</v>
      </c>
    </row>
    <row r="2017" spans="1:30">
      <c r="A2017" s="30">
        <v>3175</v>
      </c>
      <c r="B2017" s="30" t="s">
        <v>2073</v>
      </c>
      <c r="C2017" s="30" t="s">
        <v>2074</v>
      </c>
      <c r="D2017" s="30" t="s">
        <v>106</v>
      </c>
      <c r="E2017" s="30"/>
      <c r="F2017" s="30" t="s">
        <v>107</v>
      </c>
      <c r="G2017" s="30" t="s">
        <v>106</v>
      </c>
      <c r="H2017" s="30"/>
      <c r="I2017" s="30" t="s">
        <v>192</v>
      </c>
      <c r="J2017" s="30" t="s">
        <v>630</v>
      </c>
      <c r="K2017" s="30"/>
      <c r="L2017" s="30" t="s">
        <v>117</v>
      </c>
      <c r="M2017" s="30" t="s">
        <v>121</v>
      </c>
      <c r="N2017" s="30" t="s">
        <v>114</v>
      </c>
      <c r="O2017" s="30" t="s">
        <v>123</v>
      </c>
      <c r="P2017" s="30" t="s">
        <v>118</v>
      </c>
      <c r="Q2017" s="30" t="s">
        <v>112</v>
      </c>
      <c r="R2017" s="30" t="s">
        <v>189</v>
      </c>
      <c r="S2017" s="81">
        <f>HLOOKUP(L2017,データについて!$J$6:$M$18,13,FALSE)</f>
        <v>2</v>
      </c>
      <c r="T2017" s="81">
        <f>HLOOKUP(M2017,データについて!$J$7:$M$18,12,FALSE)</f>
        <v>4</v>
      </c>
      <c r="U2017" s="81">
        <f>HLOOKUP(N2017,データについて!$J$8:$M$18,11,FALSE)</f>
        <v>1</v>
      </c>
      <c r="V2017" s="81">
        <f>HLOOKUP(O2017,データについて!$J$9:$M$18,10,FALSE)</f>
        <v>4</v>
      </c>
      <c r="W2017" s="81">
        <f>HLOOKUP(P2017,データについて!$J$10:$M$18,9,FALSE)</f>
        <v>2</v>
      </c>
      <c r="X2017" s="81">
        <f>HLOOKUP(Q2017,データについて!$J$11:$M$18,8,FALSE)</f>
        <v>1</v>
      </c>
      <c r="Y2017" s="81">
        <f>HLOOKUP(R2017,データについて!$J$12:$M$18,7,FALSE)</f>
        <v>4</v>
      </c>
      <c r="Z2017" s="81">
        <f>HLOOKUP(I2017,データについて!$J$3:$M$18,16,FALSE)</f>
        <v>1</v>
      </c>
      <c r="AA2017" s="81">
        <f>IFERROR(HLOOKUP(J2017,データについて!$J$4:$AH$19,16,FALSE),"")</f>
        <v>4</v>
      </c>
      <c r="AB2017" s="81" t="str">
        <f>IFERROR(HLOOKUP(K2017,データについて!$J$5:$AH$20,14,FALSE),"")</f>
        <v/>
      </c>
      <c r="AC2017" s="81">
        <f>IF(X2017=1,HLOOKUP(R2017,データについて!$J$12:$M$18,7,FALSE),"*")</f>
        <v>4</v>
      </c>
      <c r="AD2017" s="81" t="str">
        <f>IF(X2017=2,HLOOKUP(R2017,データについて!$J$12:$M$18,7,FALSE),"*")</f>
        <v>*</v>
      </c>
    </row>
    <row r="2018" spans="1:30">
      <c r="A2018" s="30">
        <v>3174</v>
      </c>
      <c r="B2018" s="30" t="s">
        <v>2075</v>
      </c>
      <c r="C2018" s="30" t="s">
        <v>2076</v>
      </c>
      <c r="D2018" s="30" t="s">
        <v>106</v>
      </c>
      <c r="E2018" s="30"/>
      <c r="F2018" s="30" t="s">
        <v>107</v>
      </c>
      <c r="G2018" s="30" t="s">
        <v>106</v>
      </c>
      <c r="H2018" s="30"/>
      <c r="I2018" s="30" t="s">
        <v>192</v>
      </c>
      <c r="J2018" s="30" t="s">
        <v>630</v>
      </c>
      <c r="K2018" s="30"/>
      <c r="L2018" s="30" t="s">
        <v>108</v>
      </c>
      <c r="M2018" s="30" t="s">
        <v>109</v>
      </c>
      <c r="N2018" s="30" t="s">
        <v>110</v>
      </c>
      <c r="O2018" s="30" t="s">
        <v>115</v>
      </c>
      <c r="P2018" s="30" t="s">
        <v>112</v>
      </c>
      <c r="Q2018" s="30" t="s">
        <v>112</v>
      </c>
      <c r="R2018" s="30" t="s">
        <v>185</v>
      </c>
      <c r="S2018" s="81">
        <f>HLOOKUP(L2018,データについて!$J$6:$M$18,13,FALSE)</f>
        <v>1</v>
      </c>
      <c r="T2018" s="81">
        <f>HLOOKUP(M2018,データについて!$J$7:$M$18,12,FALSE)</f>
        <v>2</v>
      </c>
      <c r="U2018" s="81">
        <f>HLOOKUP(N2018,データについて!$J$8:$M$18,11,FALSE)</f>
        <v>2</v>
      </c>
      <c r="V2018" s="81">
        <f>HLOOKUP(O2018,データについて!$J$9:$M$18,10,FALSE)</f>
        <v>1</v>
      </c>
      <c r="W2018" s="81">
        <f>HLOOKUP(P2018,データについて!$J$10:$M$18,9,FALSE)</f>
        <v>1</v>
      </c>
      <c r="X2018" s="81">
        <f>HLOOKUP(Q2018,データについて!$J$11:$M$18,8,FALSE)</f>
        <v>1</v>
      </c>
      <c r="Y2018" s="81">
        <f>HLOOKUP(R2018,データについて!$J$12:$M$18,7,FALSE)</f>
        <v>2</v>
      </c>
      <c r="Z2018" s="81">
        <f>HLOOKUP(I2018,データについて!$J$3:$M$18,16,FALSE)</f>
        <v>1</v>
      </c>
      <c r="AA2018" s="81">
        <f>IFERROR(HLOOKUP(J2018,データについて!$J$4:$AH$19,16,FALSE),"")</f>
        <v>4</v>
      </c>
      <c r="AB2018" s="81" t="str">
        <f>IFERROR(HLOOKUP(K2018,データについて!$J$5:$AH$20,14,FALSE),"")</f>
        <v/>
      </c>
      <c r="AC2018" s="81">
        <f>IF(X2018=1,HLOOKUP(R2018,データについて!$J$12:$M$18,7,FALSE),"*")</f>
        <v>2</v>
      </c>
      <c r="AD2018" s="81" t="str">
        <f>IF(X2018=2,HLOOKUP(R2018,データについて!$J$12:$M$18,7,FALSE),"*")</f>
        <v>*</v>
      </c>
    </row>
    <row r="2019" spans="1:30">
      <c r="A2019" s="30">
        <v>3173</v>
      </c>
      <c r="B2019" s="30" t="s">
        <v>2077</v>
      </c>
      <c r="C2019" s="30" t="s">
        <v>2078</v>
      </c>
      <c r="D2019" s="30" t="s">
        <v>106</v>
      </c>
      <c r="E2019" s="30"/>
      <c r="F2019" s="30" t="s">
        <v>107</v>
      </c>
      <c r="G2019" s="30" t="s">
        <v>106</v>
      </c>
      <c r="H2019" s="30"/>
      <c r="I2019" s="30" t="s">
        <v>192</v>
      </c>
      <c r="J2019" s="30" t="s">
        <v>630</v>
      </c>
      <c r="K2019" s="30"/>
      <c r="L2019" s="30" t="s">
        <v>108</v>
      </c>
      <c r="M2019" s="30" t="s">
        <v>113</v>
      </c>
      <c r="N2019" s="30" t="s">
        <v>122</v>
      </c>
      <c r="O2019" s="30" t="s">
        <v>115</v>
      </c>
      <c r="P2019" s="30" t="s">
        <v>112</v>
      </c>
      <c r="Q2019" s="30" t="s">
        <v>112</v>
      </c>
      <c r="R2019" s="30" t="s">
        <v>187</v>
      </c>
      <c r="S2019" s="81">
        <f>HLOOKUP(L2019,データについて!$J$6:$M$18,13,FALSE)</f>
        <v>1</v>
      </c>
      <c r="T2019" s="81">
        <f>HLOOKUP(M2019,データについて!$J$7:$M$18,12,FALSE)</f>
        <v>1</v>
      </c>
      <c r="U2019" s="81">
        <f>HLOOKUP(N2019,データについて!$J$8:$M$18,11,FALSE)</f>
        <v>3</v>
      </c>
      <c r="V2019" s="81">
        <f>HLOOKUP(O2019,データについて!$J$9:$M$18,10,FALSE)</f>
        <v>1</v>
      </c>
      <c r="W2019" s="81">
        <f>HLOOKUP(P2019,データについて!$J$10:$M$18,9,FALSE)</f>
        <v>1</v>
      </c>
      <c r="X2019" s="81">
        <f>HLOOKUP(Q2019,データについて!$J$11:$M$18,8,FALSE)</f>
        <v>1</v>
      </c>
      <c r="Y2019" s="81">
        <f>HLOOKUP(R2019,データについて!$J$12:$M$18,7,FALSE)</f>
        <v>3</v>
      </c>
      <c r="Z2019" s="81">
        <f>HLOOKUP(I2019,データについて!$J$3:$M$18,16,FALSE)</f>
        <v>1</v>
      </c>
      <c r="AA2019" s="81">
        <f>IFERROR(HLOOKUP(J2019,データについて!$J$4:$AH$19,16,FALSE),"")</f>
        <v>4</v>
      </c>
      <c r="AB2019" s="81" t="str">
        <f>IFERROR(HLOOKUP(K2019,データについて!$J$5:$AH$20,14,FALSE),"")</f>
        <v/>
      </c>
      <c r="AC2019" s="81">
        <f>IF(X2019=1,HLOOKUP(R2019,データについて!$J$12:$M$18,7,FALSE),"*")</f>
        <v>3</v>
      </c>
      <c r="AD2019" s="81" t="str">
        <f>IF(X2019=2,HLOOKUP(R2019,データについて!$J$12:$M$18,7,FALSE),"*")</f>
        <v>*</v>
      </c>
    </row>
    <row r="2020" spans="1:30">
      <c r="A2020" s="30">
        <v>3172</v>
      </c>
      <c r="B2020" s="30" t="s">
        <v>2079</v>
      </c>
      <c r="C2020" s="30" t="s">
        <v>2080</v>
      </c>
      <c r="D2020" s="30" t="s">
        <v>106</v>
      </c>
      <c r="E2020" s="30"/>
      <c r="F2020" s="30" t="s">
        <v>107</v>
      </c>
      <c r="G2020" s="30" t="s">
        <v>106</v>
      </c>
      <c r="H2020" s="30"/>
      <c r="I2020" s="30" t="s">
        <v>192</v>
      </c>
      <c r="J2020" s="30" t="s">
        <v>630</v>
      </c>
      <c r="K2020" s="30"/>
      <c r="L2020" s="30" t="s">
        <v>108</v>
      </c>
      <c r="M2020" s="30" t="s">
        <v>113</v>
      </c>
      <c r="N2020" s="30" t="s">
        <v>110</v>
      </c>
      <c r="O2020" s="30" t="s">
        <v>115</v>
      </c>
      <c r="P2020" s="30" t="s">
        <v>112</v>
      </c>
      <c r="Q2020" s="30" t="s">
        <v>112</v>
      </c>
      <c r="R2020" s="30" t="s">
        <v>185</v>
      </c>
      <c r="S2020" s="81">
        <f>HLOOKUP(L2020,データについて!$J$6:$M$18,13,FALSE)</f>
        <v>1</v>
      </c>
      <c r="T2020" s="81">
        <f>HLOOKUP(M2020,データについて!$J$7:$M$18,12,FALSE)</f>
        <v>1</v>
      </c>
      <c r="U2020" s="81">
        <f>HLOOKUP(N2020,データについて!$J$8:$M$18,11,FALSE)</f>
        <v>2</v>
      </c>
      <c r="V2020" s="81">
        <f>HLOOKUP(O2020,データについて!$J$9:$M$18,10,FALSE)</f>
        <v>1</v>
      </c>
      <c r="W2020" s="81">
        <f>HLOOKUP(P2020,データについて!$J$10:$M$18,9,FALSE)</f>
        <v>1</v>
      </c>
      <c r="X2020" s="81">
        <f>HLOOKUP(Q2020,データについて!$J$11:$M$18,8,FALSE)</f>
        <v>1</v>
      </c>
      <c r="Y2020" s="81">
        <f>HLOOKUP(R2020,データについて!$J$12:$M$18,7,FALSE)</f>
        <v>2</v>
      </c>
      <c r="Z2020" s="81">
        <f>HLOOKUP(I2020,データについて!$J$3:$M$18,16,FALSE)</f>
        <v>1</v>
      </c>
      <c r="AA2020" s="81">
        <f>IFERROR(HLOOKUP(J2020,データについて!$J$4:$AH$19,16,FALSE),"")</f>
        <v>4</v>
      </c>
      <c r="AB2020" s="81" t="str">
        <f>IFERROR(HLOOKUP(K2020,データについて!$J$5:$AH$20,14,FALSE),"")</f>
        <v/>
      </c>
      <c r="AC2020" s="81">
        <f>IF(X2020=1,HLOOKUP(R2020,データについて!$J$12:$M$18,7,FALSE),"*")</f>
        <v>2</v>
      </c>
      <c r="AD2020" s="81" t="str">
        <f>IF(X2020=2,HLOOKUP(R2020,データについて!$J$12:$M$18,7,FALSE),"*")</f>
        <v>*</v>
      </c>
    </row>
    <row r="2021" spans="1:30">
      <c r="A2021" s="30">
        <v>3171</v>
      </c>
      <c r="B2021" s="30" t="s">
        <v>2081</v>
      </c>
      <c r="C2021" s="30" t="s">
        <v>2082</v>
      </c>
      <c r="D2021" s="30" t="s">
        <v>106</v>
      </c>
      <c r="E2021" s="30"/>
      <c r="F2021" s="30" t="s">
        <v>107</v>
      </c>
      <c r="G2021" s="30" t="s">
        <v>106</v>
      </c>
      <c r="H2021" s="30"/>
      <c r="I2021" s="30" t="s">
        <v>192</v>
      </c>
      <c r="J2021" s="30" t="s">
        <v>630</v>
      </c>
      <c r="K2021" s="30"/>
      <c r="L2021" s="30" t="s">
        <v>117</v>
      </c>
      <c r="M2021" s="30" t="s">
        <v>121</v>
      </c>
      <c r="N2021" s="30" t="s">
        <v>114</v>
      </c>
      <c r="O2021" s="30" t="s">
        <v>123</v>
      </c>
      <c r="P2021" s="30" t="s">
        <v>112</v>
      </c>
      <c r="Q2021" s="30" t="s">
        <v>118</v>
      </c>
      <c r="R2021" s="30" t="s">
        <v>189</v>
      </c>
      <c r="S2021" s="81">
        <f>HLOOKUP(L2021,データについて!$J$6:$M$18,13,FALSE)</f>
        <v>2</v>
      </c>
      <c r="T2021" s="81">
        <f>HLOOKUP(M2021,データについて!$J$7:$M$18,12,FALSE)</f>
        <v>4</v>
      </c>
      <c r="U2021" s="81">
        <f>HLOOKUP(N2021,データについて!$J$8:$M$18,11,FALSE)</f>
        <v>1</v>
      </c>
      <c r="V2021" s="81">
        <f>HLOOKUP(O2021,データについて!$J$9:$M$18,10,FALSE)</f>
        <v>4</v>
      </c>
      <c r="W2021" s="81">
        <f>HLOOKUP(P2021,データについて!$J$10:$M$18,9,FALSE)</f>
        <v>1</v>
      </c>
      <c r="X2021" s="81">
        <f>HLOOKUP(Q2021,データについて!$J$11:$M$18,8,FALSE)</f>
        <v>2</v>
      </c>
      <c r="Y2021" s="81">
        <f>HLOOKUP(R2021,データについて!$J$12:$M$18,7,FALSE)</f>
        <v>4</v>
      </c>
      <c r="Z2021" s="81">
        <f>HLOOKUP(I2021,データについて!$J$3:$M$18,16,FALSE)</f>
        <v>1</v>
      </c>
      <c r="AA2021" s="81">
        <f>IFERROR(HLOOKUP(J2021,データについて!$J$4:$AH$19,16,FALSE),"")</f>
        <v>4</v>
      </c>
      <c r="AB2021" s="81" t="str">
        <f>IFERROR(HLOOKUP(K2021,データについて!$J$5:$AH$20,14,FALSE),"")</f>
        <v/>
      </c>
      <c r="AC2021" s="81" t="str">
        <f>IF(X2021=1,HLOOKUP(R2021,データについて!$J$12:$M$18,7,FALSE),"*")</f>
        <v>*</v>
      </c>
      <c r="AD2021" s="81">
        <f>IF(X2021=2,HLOOKUP(R2021,データについて!$J$12:$M$18,7,FALSE),"*")</f>
        <v>4</v>
      </c>
    </row>
    <row r="2022" spans="1:30">
      <c r="A2022" s="30">
        <v>3170</v>
      </c>
      <c r="B2022" s="30" t="s">
        <v>2083</v>
      </c>
      <c r="C2022" s="30" t="s">
        <v>2084</v>
      </c>
      <c r="D2022" s="30" t="s">
        <v>106</v>
      </c>
      <c r="E2022" s="30"/>
      <c r="F2022" s="30" t="s">
        <v>107</v>
      </c>
      <c r="G2022" s="30" t="s">
        <v>106</v>
      </c>
      <c r="H2022" s="30"/>
      <c r="I2022" s="30" t="s">
        <v>192</v>
      </c>
      <c r="J2022" s="30" t="s">
        <v>630</v>
      </c>
      <c r="K2022" s="30"/>
      <c r="L2022" s="30" t="s">
        <v>108</v>
      </c>
      <c r="M2022" s="30" t="s">
        <v>109</v>
      </c>
      <c r="N2022" s="30" t="s">
        <v>110</v>
      </c>
      <c r="O2022" s="30" t="s">
        <v>115</v>
      </c>
      <c r="P2022" s="30" t="s">
        <v>112</v>
      </c>
      <c r="Q2022" s="30" t="s">
        <v>118</v>
      </c>
      <c r="R2022" s="30" t="s">
        <v>189</v>
      </c>
      <c r="S2022" s="81">
        <f>HLOOKUP(L2022,データについて!$J$6:$M$18,13,FALSE)</f>
        <v>1</v>
      </c>
      <c r="T2022" s="81">
        <f>HLOOKUP(M2022,データについて!$J$7:$M$18,12,FALSE)</f>
        <v>2</v>
      </c>
      <c r="U2022" s="81">
        <f>HLOOKUP(N2022,データについて!$J$8:$M$18,11,FALSE)</f>
        <v>2</v>
      </c>
      <c r="V2022" s="81">
        <f>HLOOKUP(O2022,データについて!$J$9:$M$18,10,FALSE)</f>
        <v>1</v>
      </c>
      <c r="W2022" s="81">
        <f>HLOOKUP(P2022,データについて!$J$10:$M$18,9,FALSE)</f>
        <v>1</v>
      </c>
      <c r="X2022" s="81">
        <f>HLOOKUP(Q2022,データについて!$J$11:$M$18,8,FALSE)</f>
        <v>2</v>
      </c>
      <c r="Y2022" s="81">
        <f>HLOOKUP(R2022,データについて!$J$12:$M$18,7,FALSE)</f>
        <v>4</v>
      </c>
      <c r="Z2022" s="81">
        <f>HLOOKUP(I2022,データについて!$J$3:$M$18,16,FALSE)</f>
        <v>1</v>
      </c>
      <c r="AA2022" s="81">
        <f>IFERROR(HLOOKUP(J2022,データについて!$J$4:$AH$19,16,FALSE),"")</f>
        <v>4</v>
      </c>
      <c r="AB2022" s="81" t="str">
        <f>IFERROR(HLOOKUP(K2022,データについて!$J$5:$AH$20,14,FALSE),"")</f>
        <v/>
      </c>
      <c r="AC2022" s="81" t="str">
        <f>IF(X2022=1,HLOOKUP(R2022,データについて!$J$12:$M$18,7,FALSE),"*")</f>
        <v>*</v>
      </c>
      <c r="AD2022" s="81">
        <f>IF(X2022=2,HLOOKUP(R2022,データについて!$J$12:$M$18,7,FALSE),"*")</f>
        <v>4</v>
      </c>
    </row>
    <row r="2023" spans="1:30">
      <c r="A2023" s="30">
        <v>3169</v>
      </c>
      <c r="B2023" s="30" t="s">
        <v>2085</v>
      </c>
      <c r="C2023" s="30" t="s">
        <v>2086</v>
      </c>
      <c r="D2023" s="30" t="s">
        <v>106</v>
      </c>
      <c r="E2023" s="30"/>
      <c r="F2023" s="30" t="s">
        <v>107</v>
      </c>
      <c r="G2023" s="30" t="s">
        <v>106</v>
      </c>
      <c r="H2023" s="30"/>
      <c r="I2023" s="30" t="s">
        <v>192</v>
      </c>
      <c r="J2023" s="30" t="s">
        <v>630</v>
      </c>
      <c r="K2023" s="30"/>
      <c r="L2023" s="30" t="s">
        <v>108</v>
      </c>
      <c r="M2023" s="30" t="s">
        <v>109</v>
      </c>
      <c r="N2023" s="30" t="s">
        <v>119</v>
      </c>
      <c r="O2023" s="30" t="s">
        <v>115</v>
      </c>
      <c r="P2023" s="30" t="s">
        <v>112</v>
      </c>
      <c r="Q2023" s="30" t="s">
        <v>112</v>
      </c>
      <c r="R2023" s="30" t="s">
        <v>189</v>
      </c>
      <c r="S2023" s="81">
        <f>HLOOKUP(L2023,データについて!$J$6:$M$18,13,FALSE)</f>
        <v>1</v>
      </c>
      <c r="T2023" s="81">
        <f>HLOOKUP(M2023,データについて!$J$7:$M$18,12,FALSE)</f>
        <v>2</v>
      </c>
      <c r="U2023" s="81">
        <f>HLOOKUP(N2023,データについて!$J$8:$M$18,11,FALSE)</f>
        <v>4</v>
      </c>
      <c r="V2023" s="81">
        <f>HLOOKUP(O2023,データについて!$J$9:$M$18,10,FALSE)</f>
        <v>1</v>
      </c>
      <c r="W2023" s="81">
        <f>HLOOKUP(P2023,データについて!$J$10:$M$18,9,FALSE)</f>
        <v>1</v>
      </c>
      <c r="X2023" s="81">
        <f>HLOOKUP(Q2023,データについて!$J$11:$M$18,8,FALSE)</f>
        <v>1</v>
      </c>
      <c r="Y2023" s="81">
        <f>HLOOKUP(R2023,データについて!$J$12:$M$18,7,FALSE)</f>
        <v>4</v>
      </c>
      <c r="Z2023" s="81">
        <f>HLOOKUP(I2023,データについて!$J$3:$M$18,16,FALSE)</f>
        <v>1</v>
      </c>
      <c r="AA2023" s="81">
        <f>IFERROR(HLOOKUP(J2023,データについて!$J$4:$AH$19,16,FALSE),"")</f>
        <v>4</v>
      </c>
      <c r="AB2023" s="81" t="str">
        <f>IFERROR(HLOOKUP(K2023,データについて!$J$5:$AH$20,14,FALSE),"")</f>
        <v/>
      </c>
      <c r="AC2023" s="81">
        <f>IF(X2023=1,HLOOKUP(R2023,データについて!$J$12:$M$18,7,FALSE),"*")</f>
        <v>4</v>
      </c>
      <c r="AD2023" s="81" t="str">
        <f>IF(X2023=2,HLOOKUP(R2023,データについて!$J$12:$M$18,7,FALSE),"*")</f>
        <v>*</v>
      </c>
    </row>
    <row r="2024" spans="1:30">
      <c r="A2024" s="30">
        <v>3168</v>
      </c>
      <c r="B2024" s="30" t="s">
        <v>2087</v>
      </c>
      <c r="C2024" s="30" t="s">
        <v>2088</v>
      </c>
      <c r="D2024" s="30" t="s">
        <v>106</v>
      </c>
      <c r="E2024" s="30"/>
      <c r="F2024" s="30" t="s">
        <v>107</v>
      </c>
      <c r="G2024" s="30" t="s">
        <v>106</v>
      </c>
      <c r="H2024" s="30"/>
      <c r="I2024" s="30" t="s">
        <v>192</v>
      </c>
      <c r="J2024" s="30" t="s">
        <v>630</v>
      </c>
      <c r="K2024" s="30"/>
      <c r="L2024" s="30" t="s">
        <v>117</v>
      </c>
      <c r="M2024" s="30" t="s">
        <v>113</v>
      </c>
      <c r="N2024" s="30" t="s">
        <v>114</v>
      </c>
      <c r="O2024" s="30" t="s">
        <v>115</v>
      </c>
      <c r="P2024" s="30" t="s">
        <v>112</v>
      </c>
      <c r="Q2024" s="30" t="s">
        <v>112</v>
      </c>
      <c r="R2024" s="30" t="s">
        <v>183</v>
      </c>
      <c r="S2024" s="81">
        <f>HLOOKUP(L2024,データについて!$J$6:$M$18,13,FALSE)</f>
        <v>2</v>
      </c>
      <c r="T2024" s="81">
        <f>HLOOKUP(M2024,データについて!$J$7:$M$18,12,FALSE)</f>
        <v>1</v>
      </c>
      <c r="U2024" s="81">
        <f>HLOOKUP(N2024,データについて!$J$8:$M$18,11,FALSE)</f>
        <v>1</v>
      </c>
      <c r="V2024" s="81">
        <f>HLOOKUP(O2024,データについて!$J$9:$M$18,10,FALSE)</f>
        <v>1</v>
      </c>
      <c r="W2024" s="81">
        <f>HLOOKUP(P2024,データについて!$J$10:$M$18,9,FALSE)</f>
        <v>1</v>
      </c>
      <c r="X2024" s="81">
        <f>HLOOKUP(Q2024,データについて!$J$11:$M$18,8,FALSE)</f>
        <v>1</v>
      </c>
      <c r="Y2024" s="81">
        <f>HLOOKUP(R2024,データについて!$J$12:$M$18,7,FALSE)</f>
        <v>1</v>
      </c>
      <c r="Z2024" s="81">
        <f>HLOOKUP(I2024,データについて!$J$3:$M$18,16,FALSE)</f>
        <v>1</v>
      </c>
      <c r="AA2024" s="81">
        <f>IFERROR(HLOOKUP(J2024,データについて!$J$4:$AH$19,16,FALSE),"")</f>
        <v>4</v>
      </c>
      <c r="AB2024" s="81" t="str">
        <f>IFERROR(HLOOKUP(K2024,データについて!$J$5:$AH$20,14,FALSE),"")</f>
        <v/>
      </c>
      <c r="AC2024" s="81">
        <f>IF(X2024=1,HLOOKUP(R2024,データについて!$J$12:$M$18,7,FALSE),"*")</f>
        <v>1</v>
      </c>
      <c r="AD2024" s="81" t="str">
        <f>IF(X2024=2,HLOOKUP(R2024,データについて!$J$12:$M$18,7,FALSE),"*")</f>
        <v>*</v>
      </c>
    </row>
    <row r="2025" spans="1:30">
      <c r="A2025" s="30">
        <v>3167</v>
      </c>
      <c r="B2025" s="30" t="s">
        <v>2089</v>
      </c>
      <c r="C2025" s="30" t="s">
        <v>2090</v>
      </c>
      <c r="D2025" s="30" t="s">
        <v>106</v>
      </c>
      <c r="E2025" s="30"/>
      <c r="F2025" s="30" t="s">
        <v>107</v>
      </c>
      <c r="G2025" s="30" t="s">
        <v>106</v>
      </c>
      <c r="H2025" s="30"/>
      <c r="I2025" s="30" t="s">
        <v>192</v>
      </c>
      <c r="J2025" s="30" t="s">
        <v>630</v>
      </c>
      <c r="K2025" s="30"/>
      <c r="L2025" s="30" t="s">
        <v>108</v>
      </c>
      <c r="M2025" s="30" t="s">
        <v>113</v>
      </c>
      <c r="N2025" s="30" t="s">
        <v>114</v>
      </c>
      <c r="O2025" s="30" t="s">
        <v>115</v>
      </c>
      <c r="P2025" s="30" t="s">
        <v>112</v>
      </c>
      <c r="Q2025" s="30" t="s">
        <v>112</v>
      </c>
      <c r="R2025" s="30" t="s">
        <v>183</v>
      </c>
      <c r="S2025" s="81">
        <f>HLOOKUP(L2025,データについて!$J$6:$M$18,13,FALSE)</f>
        <v>1</v>
      </c>
      <c r="T2025" s="81">
        <f>HLOOKUP(M2025,データについて!$J$7:$M$18,12,FALSE)</f>
        <v>1</v>
      </c>
      <c r="U2025" s="81">
        <f>HLOOKUP(N2025,データについて!$J$8:$M$18,11,FALSE)</f>
        <v>1</v>
      </c>
      <c r="V2025" s="81">
        <f>HLOOKUP(O2025,データについて!$J$9:$M$18,10,FALSE)</f>
        <v>1</v>
      </c>
      <c r="W2025" s="81">
        <f>HLOOKUP(P2025,データについて!$J$10:$M$18,9,FALSE)</f>
        <v>1</v>
      </c>
      <c r="X2025" s="81">
        <f>HLOOKUP(Q2025,データについて!$J$11:$M$18,8,FALSE)</f>
        <v>1</v>
      </c>
      <c r="Y2025" s="81">
        <f>HLOOKUP(R2025,データについて!$J$12:$M$18,7,FALSE)</f>
        <v>1</v>
      </c>
      <c r="Z2025" s="81">
        <f>HLOOKUP(I2025,データについて!$J$3:$M$18,16,FALSE)</f>
        <v>1</v>
      </c>
      <c r="AA2025" s="81">
        <f>IFERROR(HLOOKUP(J2025,データについて!$J$4:$AH$19,16,FALSE),"")</f>
        <v>4</v>
      </c>
      <c r="AB2025" s="81" t="str">
        <f>IFERROR(HLOOKUP(K2025,データについて!$J$5:$AH$20,14,FALSE),"")</f>
        <v/>
      </c>
      <c r="AC2025" s="81">
        <f>IF(X2025=1,HLOOKUP(R2025,データについて!$J$12:$M$18,7,FALSE),"*")</f>
        <v>1</v>
      </c>
      <c r="AD2025" s="81" t="str">
        <f>IF(X2025=2,HLOOKUP(R2025,データについて!$J$12:$M$18,7,FALSE),"*")</f>
        <v>*</v>
      </c>
    </row>
    <row r="2026" spans="1:30">
      <c r="A2026" s="30">
        <v>3166</v>
      </c>
      <c r="B2026" s="30" t="s">
        <v>2091</v>
      </c>
      <c r="C2026" s="30" t="s">
        <v>2092</v>
      </c>
      <c r="D2026" s="30" t="s">
        <v>106</v>
      </c>
      <c r="E2026" s="30"/>
      <c r="F2026" s="30" t="s">
        <v>107</v>
      </c>
      <c r="G2026" s="30" t="s">
        <v>106</v>
      </c>
      <c r="H2026" s="30"/>
      <c r="I2026" s="30" t="s">
        <v>192</v>
      </c>
      <c r="J2026" s="30" t="s">
        <v>630</v>
      </c>
      <c r="K2026" s="30"/>
      <c r="L2026" s="30" t="s">
        <v>117</v>
      </c>
      <c r="M2026" s="30" t="s">
        <v>113</v>
      </c>
      <c r="N2026" s="30" t="s">
        <v>114</v>
      </c>
      <c r="O2026" s="30" t="s">
        <v>115</v>
      </c>
      <c r="P2026" s="30" t="s">
        <v>112</v>
      </c>
      <c r="Q2026" s="30" t="s">
        <v>112</v>
      </c>
      <c r="R2026" s="30" t="s">
        <v>185</v>
      </c>
      <c r="S2026" s="81">
        <f>HLOOKUP(L2026,データについて!$J$6:$M$18,13,FALSE)</f>
        <v>2</v>
      </c>
      <c r="T2026" s="81">
        <f>HLOOKUP(M2026,データについて!$J$7:$M$18,12,FALSE)</f>
        <v>1</v>
      </c>
      <c r="U2026" s="81">
        <f>HLOOKUP(N2026,データについて!$J$8:$M$18,11,FALSE)</f>
        <v>1</v>
      </c>
      <c r="V2026" s="81">
        <f>HLOOKUP(O2026,データについて!$J$9:$M$18,10,FALSE)</f>
        <v>1</v>
      </c>
      <c r="W2026" s="81">
        <f>HLOOKUP(P2026,データについて!$J$10:$M$18,9,FALSE)</f>
        <v>1</v>
      </c>
      <c r="X2026" s="81">
        <f>HLOOKUP(Q2026,データについて!$J$11:$M$18,8,FALSE)</f>
        <v>1</v>
      </c>
      <c r="Y2026" s="81">
        <f>HLOOKUP(R2026,データについて!$J$12:$M$18,7,FALSE)</f>
        <v>2</v>
      </c>
      <c r="Z2026" s="81">
        <f>HLOOKUP(I2026,データについて!$J$3:$M$18,16,FALSE)</f>
        <v>1</v>
      </c>
      <c r="AA2026" s="81">
        <f>IFERROR(HLOOKUP(J2026,データについて!$J$4:$AH$19,16,FALSE),"")</f>
        <v>4</v>
      </c>
      <c r="AB2026" s="81" t="str">
        <f>IFERROR(HLOOKUP(K2026,データについて!$J$5:$AH$20,14,FALSE),"")</f>
        <v/>
      </c>
      <c r="AC2026" s="81">
        <f>IF(X2026=1,HLOOKUP(R2026,データについて!$J$12:$M$18,7,FALSE),"*")</f>
        <v>2</v>
      </c>
      <c r="AD2026" s="81" t="str">
        <f>IF(X2026=2,HLOOKUP(R2026,データについて!$J$12:$M$18,7,FALSE),"*")</f>
        <v>*</v>
      </c>
    </row>
    <row r="2027" spans="1:30">
      <c r="A2027" s="30">
        <v>3165</v>
      </c>
      <c r="B2027" s="30" t="s">
        <v>2093</v>
      </c>
      <c r="C2027" s="30" t="s">
        <v>2094</v>
      </c>
      <c r="D2027" s="30" t="s">
        <v>106</v>
      </c>
      <c r="E2027" s="30"/>
      <c r="F2027" s="30" t="s">
        <v>107</v>
      </c>
      <c r="G2027" s="30" t="s">
        <v>106</v>
      </c>
      <c r="H2027" s="30"/>
      <c r="I2027" s="30" t="s">
        <v>192</v>
      </c>
      <c r="J2027" s="30" t="s">
        <v>630</v>
      </c>
      <c r="K2027" s="30"/>
      <c r="L2027" s="30" t="s">
        <v>117</v>
      </c>
      <c r="M2027" s="30" t="s">
        <v>113</v>
      </c>
      <c r="N2027" s="30" t="s">
        <v>122</v>
      </c>
      <c r="O2027" s="30" t="s">
        <v>115</v>
      </c>
      <c r="P2027" s="30" t="s">
        <v>112</v>
      </c>
      <c r="Q2027" s="30" t="s">
        <v>112</v>
      </c>
      <c r="R2027" s="30" t="s">
        <v>185</v>
      </c>
      <c r="S2027" s="81">
        <f>HLOOKUP(L2027,データについて!$J$6:$M$18,13,FALSE)</f>
        <v>2</v>
      </c>
      <c r="T2027" s="81">
        <f>HLOOKUP(M2027,データについて!$J$7:$M$18,12,FALSE)</f>
        <v>1</v>
      </c>
      <c r="U2027" s="81">
        <f>HLOOKUP(N2027,データについて!$J$8:$M$18,11,FALSE)</f>
        <v>3</v>
      </c>
      <c r="V2027" s="81">
        <f>HLOOKUP(O2027,データについて!$J$9:$M$18,10,FALSE)</f>
        <v>1</v>
      </c>
      <c r="W2027" s="81">
        <f>HLOOKUP(P2027,データについて!$J$10:$M$18,9,FALSE)</f>
        <v>1</v>
      </c>
      <c r="X2027" s="81">
        <f>HLOOKUP(Q2027,データについて!$J$11:$M$18,8,FALSE)</f>
        <v>1</v>
      </c>
      <c r="Y2027" s="81">
        <f>HLOOKUP(R2027,データについて!$J$12:$M$18,7,FALSE)</f>
        <v>2</v>
      </c>
      <c r="Z2027" s="81">
        <f>HLOOKUP(I2027,データについて!$J$3:$M$18,16,FALSE)</f>
        <v>1</v>
      </c>
      <c r="AA2027" s="81">
        <f>IFERROR(HLOOKUP(J2027,データについて!$J$4:$AH$19,16,FALSE),"")</f>
        <v>4</v>
      </c>
      <c r="AB2027" s="81" t="str">
        <f>IFERROR(HLOOKUP(K2027,データについて!$J$5:$AH$20,14,FALSE),"")</f>
        <v/>
      </c>
      <c r="AC2027" s="81">
        <f>IF(X2027=1,HLOOKUP(R2027,データについて!$J$12:$M$18,7,FALSE),"*")</f>
        <v>2</v>
      </c>
      <c r="AD2027" s="81" t="str">
        <f>IF(X2027=2,HLOOKUP(R2027,データについて!$J$12:$M$18,7,FALSE),"*")</f>
        <v>*</v>
      </c>
    </row>
    <row r="2028" spans="1:30">
      <c r="A2028" s="30">
        <v>3164</v>
      </c>
      <c r="B2028" s="30" t="s">
        <v>2095</v>
      </c>
      <c r="C2028" s="30" t="s">
        <v>2096</v>
      </c>
      <c r="D2028" s="30" t="s">
        <v>106</v>
      </c>
      <c r="E2028" s="30"/>
      <c r="F2028" s="30" t="s">
        <v>107</v>
      </c>
      <c r="G2028" s="30" t="s">
        <v>106</v>
      </c>
      <c r="H2028" s="30"/>
      <c r="I2028" s="30" t="s">
        <v>192</v>
      </c>
      <c r="J2028" s="30" t="s">
        <v>630</v>
      </c>
      <c r="K2028" s="30"/>
      <c r="L2028" s="30" t="s">
        <v>117</v>
      </c>
      <c r="M2028" s="30" t="s">
        <v>113</v>
      </c>
      <c r="N2028" s="30" t="s">
        <v>110</v>
      </c>
      <c r="O2028" s="30" t="s">
        <v>115</v>
      </c>
      <c r="P2028" s="30" t="s">
        <v>112</v>
      </c>
      <c r="Q2028" s="30" t="s">
        <v>112</v>
      </c>
      <c r="R2028" s="30" t="s">
        <v>185</v>
      </c>
      <c r="S2028" s="81">
        <f>HLOOKUP(L2028,データについて!$J$6:$M$18,13,FALSE)</f>
        <v>2</v>
      </c>
      <c r="T2028" s="81">
        <f>HLOOKUP(M2028,データについて!$J$7:$M$18,12,FALSE)</f>
        <v>1</v>
      </c>
      <c r="U2028" s="81">
        <f>HLOOKUP(N2028,データについて!$J$8:$M$18,11,FALSE)</f>
        <v>2</v>
      </c>
      <c r="V2028" s="81">
        <f>HLOOKUP(O2028,データについて!$J$9:$M$18,10,FALSE)</f>
        <v>1</v>
      </c>
      <c r="W2028" s="81">
        <f>HLOOKUP(P2028,データについて!$J$10:$M$18,9,FALSE)</f>
        <v>1</v>
      </c>
      <c r="X2028" s="81">
        <f>HLOOKUP(Q2028,データについて!$J$11:$M$18,8,FALSE)</f>
        <v>1</v>
      </c>
      <c r="Y2028" s="81">
        <f>HLOOKUP(R2028,データについて!$J$12:$M$18,7,FALSE)</f>
        <v>2</v>
      </c>
      <c r="Z2028" s="81">
        <f>HLOOKUP(I2028,データについて!$J$3:$M$18,16,FALSE)</f>
        <v>1</v>
      </c>
      <c r="AA2028" s="81">
        <f>IFERROR(HLOOKUP(J2028,データについて!$J$4:$AH$19,16,FALSE),"")</f>
        <v>4</v>
      </c>
      <c r="AB2028" s="81" t="str">
        <f>IFERROR(HLOOKUP(K2028,データについて!$J$5:$AH$20,14,FALSE),"")</f>
        <v/>
      </c>
      <c r="AC2028" s="81">
        <f>IF(X2028=1,HLOOKUP(R2028,データについて!$J$12:$M$18,7,FALSE),"*")</f>
        <v>2</v>
      </c>
      <c r="AD2028" s="81" t="str">
        <f>IF(X2028=2,HLOOKUP(R2028,データについて!$J$12:$M$18,7,FALSE),"*")</f>
        <v>*</v>
      </c>
    </row>
    <row r="2029" spans="1:30">
      <c r="A2029" s="30">
        <v>3163</v>
      </c>
      <c r="B2029" s="30" t="s">
        <v>2097</v>
      </c>
      <c r="C2029" s="30" t="s">
        <v>2098</v>
      </c>
      <c r="D2029" s="30" t="s">
        <v>106</v>
      </c>
      <c r="E2029" s="30"/>
      <c r="F2029" s="30" t="s">
        <v>107</v>
      </c>
      <c r="G2029" s="30" t="s">
        <v>106</v>
      </c>
      <c r="H2029" s="30"/>
      <c r="I2029" s="30" t="s">
        <v>192</v>
      </c>
      <c r="J2029" s="30" t="s">
        <v>630</v>
      </c>
      <c r="K2029" s="30"/>
      <c r="L2029" s="30" t="s">
        <v>117</v>
      </c>
      <c r="M2029" s="30" t="s">
        <v>113</v>
      </c>
      <c r="N2029" s="30" t="s">
        <v>110</v>
      </c>
      <c r="O2029" s="30" t="s">
        <v>115</v>
      </c>
      <c r="P2029" s="30" t="s">
        <v>118</v>
      </c>
      <c r="Q2029" s="30" t="s">
        <v>112</v>
      </c>
      <c r="R2029" s="30" t="s">
        <v>185</v>
      </c>
      <c r="S2029" s="81">
        <f>HLOOKUP(L2029,データについて!$J$6:$M$18,13,FALSE)</f>
        <v>2</v>
      </c>
      <c r="T2029" s="81">
        <f>HLOOKUP(M2029,データについて!$J$7:$M$18,12,FALSE)</f>
        <v>1</v>
      </c>
      <c r="U2029" s="81">
        <f>HLOOKUP(N2029,データについて!$J$8:$M$18,11,FALSE)</f>
        <v>2</v>
      </c>
      <c r="V2029" s="81">
        <f>HLOOKUP(O2029,データについて!$J$9:$M$18,10,FALSE)</f>
        <v>1</v>
      </c>
      <c r="W2029" s="81">
        <f>HLOOKUP(P2029,データについて!$J$10:$M$18,9,FALSE)</f>
        <v>2</v>
      </c>
      <c r="X2029" s="81">
        <f>HLOOKUP(Q2029,データについて!$J$11:$M$18,8,FALSE)</f>
        <v>1</v>
      </c>
      <c r="Y2029" s="81">
        <f>HLOOKUP(R2029,データについて!$J$12:$M$18,7,FALSE)</f>
        <v>2</v>
      </c>
      <c r="Z2029" s="81">
        <f>HLOOKUP(I2029,データについて!$J$3:$M$18,16,FALSE)</f>
        <v>1</v>
      </c>
      <c r="AA2029" s="81">
        <f>IFERROR(HLOOKUP(J2029,データについて!$J$4:$AH$19,16,FALSE),"")</f>
        <v>4</v>
      </c>
      <c r="AB2029" s="81" t="str">
        <f>IFERROR(HLOOKUP(K2029,データについて!$J$5:$AH$20,14,FALSE),"")</f>
        <v/>
      </c>
      <c r="AC2029" s="81">
        <f>IF(X2029=1,HLOOKUP(R2029,データについて!$J$12:$M$18,7,FALSE),"*")</f>
        <v>2</v>
      </c>
      <c r="AD2029" s="81" t="str">
        <f>IF(X2029=2,HLOOKUP(R2029,データについて!$J$12:$M$18,7,FALSE),"*")</f>
        <v>*</v>
      </c>
    </row>
    <row r="2030" spans="1:30">
      <c r="A2030" s="30">
        <v>3162</v>
      </c>
      <c r="B2030" s="30" t="s">
        <v>2099</v>
      </c>
      <c r="C2030" s="30" t="s">
        <v>2100</v>
      </c>
      <c r="D2030" s="30" t="s">
        <v>106</v>
      </c>
      <c r="E2030" s="30"/>
      <c r="F2030" s="30" t="s">
        <v>107</v>
      </c>
      <c r="G2030" s="30" t="s">
        <v>106</v>
      </c>
      <c r="H2030" s="30"/>
      <c r="I2030" s="30" t="s">
        <v>192</v>
      </c>
      <c r="J2030" s="30" t="s">
        <v>630</v>
      </c>
      <c r="K2030" s="30"/>
      <c r="L2030" s="30" t="s">
        <v>108</v>
      </c>
      <c r="M2030" s="30" t="s">
        <v>113</v>
      </c>
      <c r="N2030" s="30" t="s">
        <v>114</v>
      </c>
      <c r="O2030" s="30" t="s">
        <v>115</v>
      </c>
      <c r="P2030" s="30" t="s">
        <v>112</v>
      </c>
      <c r="Q2030" s="30" t="s">
        <v>112</v>
      </c>
      <c r="R2030" s="30" t="s">
        <v>183</v>
      </c>
      <c r="S2030" s="81">
        <f>HLOOKUP(L2030,データについて!$J$6:$M$18,13,FALSE)</f>
        <v>1</v>
      </c>
      <c r="T2030" s="81">
        <f>HLOOKUP(M2030,データについて!$J$7:$M$18,12,FALSE)</f>
        <v>1</v>
      </c>
      <c r="U2030" s="81">
        <f>HLOOKUP(N2030,データについて!$J$8:$M$18,11,FALSE)</f>
        <v>1</v>
      </c>
      <c r="V2030" s="81">
        <f>HLOOKUP(O2030,データについて!$J$9:$M$18,10,FALSE)</f>
        <v>1</v>
      </c>
      <c r="W2030" s="81">
        <f>HLOOKUP(P2030,データについて!$J$10:$M$18,9,FALSE)</f>
        <v>1</v>
      </c>
      <c r="X2030" s="81">
        <f>HLOOKUP(Q2030,データについて!$J$11:$M$18,8,FALSE)</f>
        <v>1</v>
      </c>
      <c r="Y2030" s="81">
        <f>HLOOKUP(R2030,データについて!$J$12:$M$18,7,FALSE)</f>
        <v>1</v>
      </c>
      <c r="Z2030" s="81">
        <f>HLOOKUP(I2030,データについて!$J$3:$M$18,16,FALSE)</f>
        <v>1</v>
      </c>
      <c r="AA2030" s="81">
        <f>IFERROR(HLOOKUP(J2030,データについて!$J$4:$AH$19,16,FALSE),"")</f>
        <v>4</v>
      </c>
      <c r="AB2030" s="81" t="str">
        <f>IFERROR(HLOOKUP(K2030,データについて!$J$5:$AH$20,14,FALSE),"")</f>
        <v/>
      </c>
      <c r="AC2030" s="81">
        <f>IF(X2030=1,HLOOKUP(R2030,データについて!$J$12:$M$18,7,FALSE),"*")</f>
        <v>1</v>
      </c>
      <c r="AD2030" s="81" t="str">
        <f>IF(X2030=2,HLOOKUP(R2030,データについて!$J$12:$M$18,7,FALSE),"*")</f>
        <v>*</v>
      </c>
    </row>
    <row r="2031" spans="1:30">
      <c r="A2031" s="30">
        <v>3161</v>
      </c>
      <c r="B2031" s="30" t="s">
        <v>2101</v>
      </c>
      <c r="C2031" s="30" t="s">
        <v>2102</v>
      </c>
      <c r="D2031" s="30" t="s">
        <v>106</v>
      </c>
      <c r="E2031" s="30"/>
      <c r="F2031" s="30" t="s">
        <v>107</v>
      </c>
      <c r="G2031" s="30" t="s">
        <v>106</v>
      </c>
      <c r="H2031" s="30"/>
      <c r="I2031" s="30" t="s">
        <v>192</v>
      </c>
      <c r="J2031" s="30" t="s">
        <v>630</v>
      </c>
      <c r="K2031" s="30"/>
      <c r="L2031" s="30" t="s">
        <v>117</v>
      </c>
      <c r="M2031" s="30" t="s">
        <v>113</v>
      </c>
      <c r="N2031" s="30" t="s">
        <v>110</v>
      </c>
      <c r="O2031" s="30" t="s">
        <v>115</v>
      </c>
      <c r="P2031" s="30" t="s">
        <v>112</v>
      </c>
      <c r="Q2031" s="30" t="s">
        <v>112</v>
      </c>
      <c r="R2031" s="30" t="s">
        <v>187</v>
      </c>
      <c r="S2031" s="81">
        <f>HLOOKUP(L2031,データについて!$J$6:$M$18,13,FALSE)</f>
        <v>2</v>
      </c>
      <c r="T2031" s="81">
        <f>HLOOKUP(M2031,データについて!$J$7:$M$18,12,FALSE)</f>
        <v>1</v>
      </c>
      <c r="U2031" s="81">
        <f>HLOOKUP(N2031,データについて!$J$8:$M$18,11,FALSE)</f>
        <v>2</v>
      </c>
      <c r="V2031" s="81">
        <f>HLOOKUP(O2031,データについて!$J$9:$M$18,10,FALSE)</f>
        <v>1</v>
      </c>
      <c r="W2031" s="81">
        <f>HLOOKUP(P2031,データについて!$J$10:$M$18,9,FALSE)</f>
        <v>1</v>
      </c>
      <c r="X2031" s="81">
        <f>HLOOKUP(Q2031,データについて!$J$11:$M$18,8,FALSE)</f>
        <v>1</v>
      </c>
      <c r="Y2031" s="81">
        <f>HLOOKUP(R2031,データについて!$J$12:$M$18,7,FALSE)</f>
        <v>3</v>
      </c>
      <c r="Z2031" s="81">
        <f>HLOOKUP(I2031,データについて!$J$3:$M$18,16,FALSE)</f>
        <v>1</v>
      </c>
      <c r="AA2031" s="81">
        <f>IFERROR(HLOOKUP(J2031,データについて!$J$4:$AH$19,16,FALSE),"")</f>
        <v>4</v>
      </c>
      <c r="AB2031" s="81" t="str">
        <f>IFERROR(HLOOKUP(K2031,データについて!$J$5:$AH$20,14,FALSE),"")</f>
        <v/>
      </c>
      <c r="AC2031" s="81">
        <f>IF(X2031=1,HLOOKUP(R2031,データについて!$J$12:$M$18,7,FALSE),"*")</f>
        <v>3</v>
      </c>
      <c r="AD2031" s="81" t="str">
        <f>IF(X2031=2,HLOOKUP(R2031,データについて!$J$12:$M$18,7,FALSE),"*")</f>
        <v>*</v>
      </c>
    </row>
    <row r="2032" spans="1:30">
      <c r="A2032" s="30">
        <v>3160</v>
      </c>
      <c r="B2032" s="30" t="s">
        <v>2103</v>
      </c>
      <c r="C2032" s="30" t="s">
        <v>2102</v>
      </c>
      <c r="D2032" s="30" t="s">
        <v>106</v>
      </c>
      <c r="E2032" s="30"/>
      <c r="F2032" s="30" t="s">
        <v>107</v>
      </c>
      <c r="G2032" s="30" t="s">
        <v>106</v>
      </c>
      <c r="H2032" s="30"/>
      <c r="I2032" s="30" t="s">
        <v>192</v>
      </c>
      <c r="J2032" s="30" t="s">
        <v>630</v>
      </c>
      <c r="K2032" s="30"/>
      <c r="L2032" s="30" t="s">
        <v>108</v>
      </c>
      <c r="M2032" s="30" t="s">
        <v>113</v>
      </c>
      <c r="N2032" s="30" t="s">
        <v>114</v>
      </c>
      <c r="O2032" s="30" t="s">
        <v>115</v>
      </c>
      <c r="P2032" s="30" t="s">
        <v>112</v>
      </c>
      <c r="Q2032" s="30" t="s">
        <v>118</v>
      </c>
      <c r="R2032" s="30" t="s">
        <v>187</v>
      </c>
      <c r="S2032" s="81">
        <f>HLOOKUP(L2032,データについて!$J$6:$M$18,13,FALSE)</f>
        <v>1</v>
      </c>
      <c r="T2032" s="81">
        <f>HLOOKUP(M2032,データについて!$J$7:$M$18,12,FALSE)</f>
        <v>1</v>
      </c>
      <c r="U2032" s="81">
        <f>HLOOKUP(N2032,データについて!$J$8:$M$18,11,FALSE)</f>
        <v>1</v>
      </c>
      <c r="V2032" s="81">
        <f>HLOOKUP(O2032,データについて!$J$9:$M$18,10,FALSE)</f>
        <v>1</v>
      </c>
      <c r="W2032" s="81">
        <f>HLOOKUP(P2032,データについて!$J$10:$M$18,9,FALSE)</f>
        <v>1</v>
      </c>
      <c r="X2032" s="81">
        <f>HLOOKUP(Q2032,データについて!$J$11:$M$18,8,FALSE)</f>
        <v>2</v>
      </c>
      <c r="Y2032" s="81">
        <f>HLOOKUP(R2032,データについて!$J$12:$M$18,7,FALSE)</f>
        <v>3</v>
      </c>
      <c r="Z2032" s="81">
        <f>HLOOKUP(I2032,データについて!$J$3:$M$18,16,FALSE)</f>
        <v>1</v>
      </c>
      <c r="AA2032" s="81">
        <f>IFERROR(HLOOKUP(J2032,データについて!$J$4:$AH$19,16,FALSE),"")</f>
        <v>4</v>
      </c>
      <c r="AB2032" s="81" t="str">
        <f>IFERROR(HLOOKUP(K2032,データについて!$J$5:$AH$20,14,FALSE),"")</f>
        <v/>
      </c>
      <c r="AC2032" s="81" t="str">
        <f>IF(X2032=1,HLOOKUP(R2032,データについて!$J$12:$M$18,7,FALSE),"*")</f>
        <v>*</v>
      </c>
      <c r="AD2032" s="81">
        <f>IF(X2032=2,HLOOKUP(R2032,データについて!$J$12:$M$18,7,FALSE),"*")</f>
        <v>3</v>
      </c>
    </row>
    <row r="2033" spans="1:30">
      <c r="A2033" s="30">
        <v>3159</v>
      </c>
      <c r="B2033" s="30" t="s">
        <v>2104</v>
      </c>
      <c r="C2033" s="30" t="s">
        <v>2105</v>
      </c>
      <c r="D2033" s="30" t="s">
        <v>106</v>
      </c>
      <c r="E2033" s="30"/>
      <c r="F2033" s="30" t="s">
        <v>107</v>
      </c>
      <c r="G2033" s="30" t="s">
        <v>106</v>
      </c>
      <c r="H2033" s="30"/>
      <c r="I2033" s="30" t="s">
        <v>192</v>
      </c>
      <c r="J2033" s="30" t="s">
        <v>630</v>
      </c>
      <c r="K2033" s="30"/>
      <c r="L2033" s="30" t="s">
        <v>108</v>
      </c>
      <c r="M2033" s="30" t="s">
        <v>113</v>
      </c>
      <c r="N2033" s="30" t="s">
        <v>114</v>
      </c>
      <c r="O2033" s="30" t="s">
        <v>116</v>
      </c>
      <c r="P2033" s="30" t="s">
        <v>112</v>
      </c>
      <c r="Q2033" s="30" t="s">
        <v>112</v>
      </c>
      <c r="R2033" s="30" t="s">
        <v>185</v>
      </c>
      <c r="S2033" s="81">
        <f>HLOOKUP(L2033,データについて!$J$6:$M$18,13,FALSE)</f>
        <v>1</v>
      </c>
      <c r="T2033" s="81">
        <f>HLOOKUP(M2033,データについて!$J$7:$M$18,12,FALSE)</f>
        <v>1</v>
      </c>
      <c r="U2033" s="81">
        <f>HLOOKUP(N2033,データについて!$J$8:$M$18,11,FALSE)</f>
        <v>1</v>
      </c>
      <c r="V2033" s="81">
        <f>HLOOKUP(O2033,データについて!$J$9:$M$18,10,FALSE)</f>
        <v>2</v>
      </c>
      <c r="W2033" s="81">
        <f>HLOOKUP(P2033,データについて!$J$10:$M$18,9,FALSE)</f>
        <v>1</v>
      </c>
      <c r="X2033" s="81">
        <f>HLOOKUP(Q2033,データについて!$J$11:$M$18,8,FALSE)</f>
        <v>1</v>
      </c>
      <c r="Y2033" s="81">
        <f>HLOOKUP(R2033,データについて!$J$12:$M$18,7,FALSE)</f>
        <v>2</v>
      </c>
      <c r="Z2033" s="81">
        <f>HLOOKUP(I2033,データについて!$J$3:$M$18,16,FALSE)</f>
        <v>1</v>
      </c>
      <c r="AA2033" s="81">
        <f>IFERROR(HLOOKUP(J2033,データについて!$J$4:$AH$19,16,FALSE),"")</f>
        <v>4</v>
      </c>
      <c r="AB2033" s="81" t="str">
        <f>IFERROR(HLOOKUP(K2033,データについて!$J$5:$AH$20,14,FALSE),"")</f>
        <v/>
      </c>
      <c r="AC2033" s="81">
        <f>IF(X2033=1,HLOOKUP(R2033,データについて!$J$12:$M$18,7,FALSE),"*")</f>
        <v>2</v>
      </c>
      <c r="AD2033" s="81" t="str">
        <f>IF(X2033=2,HLOOKUP(R2033,データについて!$J$12:$M$18,7,FALSE),"*")</f>
        <v>*</v>
      </c>
    </row>
    <row r="2034" spans="1:30">
      <c r="A2034" s="30">
        <v>3158</v>
      </c>
      <c r="B2034" s="30" t="s">
        <v>2106</v>
      </c>
      <c r="C2034" s="30" t="s">
        <v>2105</v>
      </c>
      <c r="D2034" s="30" t="s">
        <v>106</v>
      </c>
      <c r="E2034" s="30"/>
      <c r="F2034" s="30" t="s">
        <v>107</v>
      </c>
      <c r="G2034" s="30" t="s">
        <v>106</v>
      </c>
      <c r="H2034" s="30"/>
      <c r="I2034" s="30" t="s">
        <v>192</v>
      </c>
      <c r="J2034" s="30" t="s">
        <v>630</v>
      </c>
      <c r="K2034" s="30"/>
      <c r="L2034" s="30" t="s">
        <v>108</v>
      </c>
      <c r="M2034" s="30" t="s">
        <v>113</v>
      </c>
      <c r="N2034" s="30" t="s">
        <v>110</v>
      </c>
      <c r="O2034" s="30" t="s">
        <v>115</v>
      </c>
      <c r="P2034" s="30" t="s">
        <v>112</v>
      </c>
      <c r="Q2034" s="30" t="s">
        <v>112</v>
      </c>
      <c r="R2034" s="30" t="s">
        <v>185</v>
      </c>
      <c r="S2034" s="81">
        <f>HLOOKUP(L2034,データについて!$J$6:$M$18,13,FALSE)</f>
        <v>1</v>
      </c>
      <c r="T2034" s="81">
        <f>HLOOKUP(M2034,データについて!$J$7:$M$18,12,FALSE)</f>
        <v>1</v>
      </c>
      <c r="U2034" s="81">
        <f>HLOOKUP(N2034,データについて!$J$8:$M$18,11,FALSE)</f>
        <v>2</v>
      </c>
      <c r="V2034" s="81">
        <f>HLOOKUP(O2034,データについて!$J$9:$M$18,10,FALSE)</f>
        <v>1</v>
      </c>
      <c r="W2034" s="81">
        <f>HLOOKUP(P2034,データについて!$J$10:$M$18,9,FALSE)</f>
        <v>1</v>
      </c>
      <c r="X2034" s="81">
        <f>HLOOKUP(Q2034,データについて!$J$11:$M$18,8,FALSE)</f>
        <v>1</v>
      </c>
      <c r="Y2034" s="81">
        <f>HLOOKUP(R2034,データについて!$J$12:$M$18,7,FALSE)</f>
        <v>2</v>
      </c>
      <c r="Z2034" s="81">
        <f>HLOOKUP(I2034,データについて!$J$3:$M$18,16,FALSE)</f>
        <v>1</v>
      </c>
      <c r="AA2034" s="81">
        <f>IFERROR(HLOOKUP(J2034,データについて!$J$4:$AH$19,16,FALSE),"")</f>
        <v>4</v>
      </c>
      <c r="AB2034" s="81" t="str">
        <f>IFERROR(HLOOKUP(K2034,データについて!$J$5:$AH$20,14,FALSE),"")</f>
        <v/>
      </c>
      <c r="AC2034" s="81">
        <f>IF(X2034=1,HLOOKUP(R2034,データについて!$J$12:$M$18,7,FALSE),"*")</f>
        <v>2</v>
      </c>
      <c r="AD2034" s="81" t="str">
        <f>IF(X2034=2,HLOOKUP(R2034,データについて!$J$12:$M$18,7,FALSE),"*")</f>
        <v>*</v>
      </c>
    </row>
    <row r="2035" spans="1:30">
      <c r="A2035" s="30">
        <v>3157</v>
      </c>
      <c r="B2035" s="30" t="s">
        <v>2107</v>
      </c>
      <c r="C2035" s="30" t="s">
        <v>2108</v>
      </c>
      <c r="D2035" s="30" t="s">
        <v>106</v>
      </c>
      <c r="E2035" s="30"/>
      <c r="F2035" s="30" t="s">
        <v>107</v>
      </c>
      <c r="G2035" s="30" t="s">
        <v>106</v>
      </c>
      <c r="H2035" s="30"/>
      <c r="I2035" s="30" t="s">
        <v>192</v>
      </c>
      <c r="J2035" s="30" t="s">
        <v>630</v>
      </c>
      <c r="K2035" s="30"/>
      <c r="L2035" s="30" t="s">
        <v>117</v>
      </c>
      <c r="M2035" s="30" t="s">
        <v>113</v>
      </c>
      <c r="N2035" s="30" t="s">
        <v>114</v>
      </c>
      <c r="O2035" s="30" t="s">
        <v>115</v>
      </c>
      <c r="P2035" s="30" t="s">
        <v>112</v>
      </c>
      <c r="Q2035" s="30" t="s">
        <v>118</v>
      </c>
      <c r="R2035" s="30" t="s">
        <v>187</v>
      </c>
      <c r="S2035" s="81">
        <f>HLOOKUP(L2035,データについて!$J$6:$M$18,13,FALSE)</f>
        <v>2</v>
      </c>
      <c r="T2035" s="81">
        <f>HLOOKUP(M2035,データについて!$J$7:$M$18,12,FALSE)</f>
        <v>1</v>
      </c>
      <c r="U2035" s="81">
        <f>HLOOKUP(N2035,データについて!$J$8:$M$18,11,FALSE)</f>
        <v>1</v>
      </c>
      <c r="V2035" s="81">
        <f>HLOOKUP(O2035,データについて!$J$9:$M$18,10,FALSE)</f>
        <v>1</v>
      </c>
      <c r="W2035" s="81">
        <f>HLOOKUP(P2035,データについて!$J$10:$M$18,9,FALSE)</f>
        <v>1</v>
      </c>
      <c r="X2035" s="81">
        <f>HLOOKUP(Q2035,データについて!$J$11:$M$18,8,FALSE)</f>
        <v>2</v>
      </c>
      <c r="Y2035" s="81">
        <f>HLOOKUP(R2035,データについて!$J$12:$M$18,7,FALSE)</f>
        <v>3</v>
      </c>
      <c r="Z2035" s="81">
        <f>HLOOKUP(I2035,データについて!$J$3:$M$18,16,FALSE)</f>
        <v>1</v>
      </c>
      <c r="AA2035" s="81">
        <f>IFERROR(HLOOKUP(J2035,データについて!$J$4:$AH$19,16,FALSE),"")</f>
        <v>4</v>
      </c>
      <c r="AB2035" s="81" t="str">
        <f>IFERROR(HLOOKUP(K2035,データについて!$J$5:$AH$20,14,FALSE),"")</f>
        <v/>
      </c>
      <c r="AC2035" s="81" t="str">
        <f>IF(X2035=1,HLOOKUP(R2035,データについて!$J$12:$M$18,7,FALSE),"*")</f>
        <v>*</v>
      </c>
      <c r="AD2035" s="81">
        <f>IF(X2035=2,HLOOKUP(R2035,データについて!$J$12:$M$18,7,FALSE),"*")</f>
        <v>3</v>
      </c>
    </row>
    <row r="2036" spans="1:30">
      <c r="A2036" s="30">
        <v>3156</v>
      </c>
      <c r="B2036" s="30" t="s">
        <v>2109</v>
      </c>
      <c r="C2036" s="30" t="s">
        <v>2108</v>
      </c>
      <c r="D2036" s="30" t="s">
        <v>106</v>
      </c>
      <c r="E2036" s="30"/>
      <c r="F2036" s="30" t="s">
        <v>107</v>
      </c>
      <c r="G2036" s="30" t="s">
        <v>106</v>
      </c>
      <c r="H2036" s="30"/>
      <c r="I2036" s="30" t="s">
        <v>192</v>
      </c>
      <c r="J2036" s="30" t="s">
        <v>630</v>
      </c>
      <c r="K2036" s="30"/>
      <c r="L2036" s="30" t="s">
        <v>117</v>
      </c>
      <c r="M2036" s="30" t="s">
        <v>109</v>
      </c>
      <c r="N2036" s="30" t="s">
        <v>114</v>
      </c>
      <c r="O2036" s="30" t="s">
        <v>115</v>
      </c>
      <c r="P2036" s="30" t="s">
        <v>112</v>
      </c>
      <c r="Q2036" s="30" t="s">
        <v>112</v>
      </c>
      <c r="R2036" s="30" t="s">
        <v>183</v>
      </c>
      <c r="S2036" s="81">
        <f>HLOOKUP(L2036,データについて!$J$6:$M$18,13,FALSE)</f>
        <v>2</v>
      </c>
      <c r="T2036" s="81">
        <f>HLOOKUP(M2036,データについて!$J$7:$M$18,12,FALSE)</f>
        <v>2</v>
      </c>
      <c r="U2036" s="81">
        <f>HLOOKUP(N2036,データについて!$J$8:$M$18,11,FALSE)</f>
        <v>1</v>
      </c>
      <c r="V2036" s="81">
        <f>HLOOKUP(O2036,データについて!$J$9:$M$18,10,FALSE)</f>
        <v>1</v>
      </c>
      <c r="W2036" s="81">
        <f>HLOOKUP(P2036,データについて!$J$10:$M$18,9,FALSE)</f>
        <v>1</v>
      </c>
      <c r="X2036" s="81">
        <f>HLOOKUP(Q2036,データについて!$J$11:$M$18,8,FALSE)</f>
        <v>1</v>
      </c>
      <c r="Y2036" s="81">
        <f>HLOOKUP(R2036,データについて!$J$12:$M$18,7,FALSE)</f>
        <v>1</v>
      </c>
      <c r="Z2036" s="81">
        <f>HLOOKUP(I2036,データについて!$J$3:$M$18,16,FALSE)</f>
        <v>1</v>
      </c>
      <c r="AA2036" s="81">
        <f>IFERROR(HLOOKUP(J2036,データについて!$J$4:$AH$19,16,FALSE),"")</f>
        <v>4</v>
      </c>
      <c r="AB2036" s="81" t="str">
        <f>IFERROR(HLOOKUP(K2036,データについて!$J$5:$AH$20,14,FALSE),"")</f>
        <v/>
      </c>
      <c r="AC2036" s="81">
        <f>IF(X2036=1,HLOOKUP(R2036,データについて!$J$12:$M$18,7,FALSE),"*")</f>
        <v>1</v>
      </c>
      <c r="AD2036" s="81" t="str">
        <f>IF(X2036=2,HLOOKUP(R2036,データについて!$J$12:$M$18,7,FALSE),"*")</f>
        <v>*</v>
      </c>
    </row>
    <row r="2037" spans="1:30">
      <c r="A2037" s="30">
        <v>3155</v>
      </c>
      <c r="B2037" s="30" t="s">
        <v>2110</v>
      </c>
      <c r="C2037" s="30" t="s">
        <v>2111</v>
      </c>
      <c r="D2037" s="30" t="s">
        <v>106</v>
      </c>
      <c r="E2037" s="30"/>
      <c r="F2037" s="30" t="s">
        <v>107</v>
      </c>
      <c r="G2037" s="30" t="s">
        <v>106</v>
      </c>
      <c r="H2037" s="30"/>
      <c r="I2037" s="30" t="s">
        <v>192</v>
      </c>
      <c r="J2037" s="30" t="s">
        <v>630</v>
      </c>
      <c r="K2037" s="30"/>
      <c r="L2037" s="30" t="s">
        <v>108</v>
      </c>
      <c r="M2037" s="30" t="s">
        <v>109</v>
      </c>
      <c r="N2037" s="30" t="s">
        <v>122</v>
      </c>
      <c r="O2037" s="30" t="s">
        <v>115</v>
      </c>
      <c r="P2037" s="30" t="s">
        <v>112</v>
      </c>
      <c r="Q2037" s="30" t="s">
        <v>112</v>
      </c>
      <c r="R2037" s="30" t="s">
        <v>189</v>
      </c>
      <c r="S2037" s="81">
        <f>HLOOKUP(L2037,データについて!$J$6:$M$18,13,FALSE)</f>
        <v>1</v>
      </c>
      <c r="T2037" s="81">
        <f>HLOOKUP(M2037,データについて!$J$7:$M$18,12,FALSE)</f>
        <v>2</v>
      </c>
      <c r="U2037" s="81">
        <f>HLOOKUP(N2037,データについて!$J$8:$M$18,11,FALSE)</f>
        <v>3</v>
      </c>
      <c r="V2037" s="81">
        <f>HLOOKUP(O2037,データについて!$J$9:$M$18,10,FALSE)</f>
        <v>1</v>
      </c>
      <c r="W2037" s="81">
        <f>HLOOKUP(P2037,データについて!$J$10:$M$18,9,FALSE)</f>
        <v>1</v>
      </c>
      <c r="X2037" s="81">
        <f>HLOOKUP(Q2037,データについて!$J$11:$M$18,8,FALSE)</f>
        <v>1</v>
      </c>
      <c r="Y2037" s="81">
        <f>HLOOKUP(R2037,データについて!$J$12:$M$18,7,FALSE)</f>
        <v>4</v>
      </c>
      <c r="Z2037" s="81">
        <f>HLOOKUP(I2037,データについて!$J$3:$M$18,16,FALSE)</f>
        <v>1</v>
      </c>
      <c r="AA2037" s="81">
        <f>IFERROR(HLOOKUP(J2037,データについて!$J$4:$AH$19,16,FALSE),"")</f>
        <v>4</v>
      </c>
      <c r="AB2037" s="81" t="str">
        <f>IFERROR(HLOOKUP(K2037,データについて!$J$5:$AH$20,14,FALSE),"")</f>
        <v/>
      </c>
      <c r="AC2037" s="81">
        <f>IF(X2037=1,HLOOKUP(R2037,データについて!$J$12:$M$18,7,FALSE),"*")</f>
        <v>4</v>
      </c>
      <c r="AD2037" s="81" t="str">
        <f>IF(X2037=2,HLOOKUP(R2037,データについて!$J$12:$M$18,7,FALSE),"*")</f>
        <v>*</v>
      </c>
    </row>
    <row r="2038" spans="1:30">
      <c r="A2038" s="30">
        <v>3154</v>
      </c>
      <c r="B2038" s="30" t="s">
        <v>2112</v>
      </c>
      <c r="C2038" s="30" t="s">
        <v>2113</v>
      </c>
      <c r="D2038" s="30" t="s">
        <v>106</v>
      </c>
      <c r="E2038" s="30"/>
      <c r="F2038" s="30" t="s">
        <v>107</v>
      </c>
      <c r="G2038" s="30" t="s">
        <v>106</v>
      </c>
      <c r="H2038" s="30"/>
      <c r="I2038" s="30" t="s">
        <v>192</v>
      </c>
      <c r="J2038" s="30" t="s">
        <v>630</v>
      </c>
      <c r="K2038" s="30"/>
      <c r="L2038" s="30" t="s">
        <v>108</v>
      </c>
      <c r="M2038" s="30" t="s">
        <v>113</v>
      </c>
      <c r="N2038" s="30" t="s">
        <v>114</v>
      </c>
      <c r="O2038" s="30" t="s">
        <v>116</v>
      </c>
      <c r="P2038" s="30" t="s">
        <v>112</v>
      </c>
      <c r="Q2038" s="30" t="s">
        <v>112</v>
      </c>
      <c r="R2038" s="30" t="s">
        <v>185</v>
      </c>
      <c r="S2038" s="81">
        <f>HLOOKUP(L2038,データについて!$J$6:$M$18,13,FALSE)</f>
        <v>1</v>
      </c>
      <c r="T2038" s="81">
        <f>HLOOKUP(M2038,データについて!$J$7:$M$18,12,FALSE)</f>
        <v>1</v>
      </c>
      <c r="U2038" s="81">
        <f>HLOOKUP(N2038,データについて!$J$8:$M$18,11,FALSE)</f>
        <v>1</v>
      </c>
      <c r="V2038" s="81">
        <f>HLOOKUP(O2038,データについて!$J$9:$M$18,10,FALSE)</f>
        <v>2</v>
      </c>
      <c r="W2038" s="81">
        <f>HLOOKUP(P2038,データについて!$J$10:$M$18,9,FALSE)</f>
        <v>1</v>
      </c>
      <c r="X2038" s="81">
        <f>HLOOKUP(Q2038,データについて!$J$11:$M$18,8,FALSE)</f>
        <v>1</v>
      </c>
      <c r="Y2038" s="81">
        <f>HLOOKUP(R2038,データについて!$J$12:$M$18,7,FALSE)</f>
        <v>2</v>
      </c>
      <c r="Z2038" s="81">
        <f>HLOOKUP(I2038,データについて!$J$3:$M$18,16,FALSE)</f>
        <v>1</v>
      </c>
      <c r="AA2038" s="81">
        <f>IFERROR(HLOOKUP(J2038,データについて!$J$4:$AH$19,16,FALSE),"")</f>
        <v>4</v>
      </c>
      <c r="AB2038" s="81" t="str">
        <f>IFERROR(HLOOKUP(K2038,データについて!$J$5:$AH$20,14,FALSE),"")</f>
        <v/>
      </c>
      <c r="AC2038" s="81">
        <f>IF(X2038=1,HLOOKUP(R2038,データについて!$J$12:$M$18,7,FALSE),"*")</f>
        <v>2</v>
      </c>
      <c r="AD2038" s="81" t="str">
        <f>IF(X2038=2,HLOOKUP(R2038,データについて!$J$12:$M$18,7,FALSE),"*")</f>
        <v>*</v>
      </c>
    </row>
    <row r="2039" spans="1:30">
      <c r="A2039" s="30">
        <v>3153</v>
      </c>
      <c r="B2039" s="30" t="s">
        <v>2114</v>
      </c>
      <c r="C2039" s="30" t="s">
        <v>2115</v>
      </c>
      <c r="D2039" s="30" t="s">
        <v>106</v>
      </c>
      <c r="E2039" s="30"/>
      <c r="F2039" s="30" t="s">
        <v>107</v>
      </c>
      <c r="G2039" s="30" t="s">
        <v>106</v>
      </c>
      <c r="H2039" s="30"/>
      <c r="I2039" s="30" t="s">
        <v>192</v>
      </c>
      <c r="J2039" s="30" t="s">
        <v>630</v>
      </c>
      <c r="K2039" s="30"/>
      <c r="L2039" s="30" t="s">
        <v>117</v>
      </c>
      <c r="M2039" s="30" t="s">
        <v>113</v>
      </c>
      <c r="N2039" s="30" t="s">
        <v>114</v>
      </c>
      <c r="O2039" s="30" t="s">
        <v>115</v>
      </c>
      <c r="P2039" s="30" t="s">
        <v>112</v>
      </c>
      <c r="Q2039" s="30" t="s">
        <v>112</v>
      </c>
      <c r="R2039" s="30" t="s">
        <v>183</v>
      </c>
      <c r="S2039" s="81">
        <f>HLOOKUP(L2039,データについて!$J$6:$M$18,13,FALSE)</f>
        <v>2</v>
      </c>
      <c r="T2039" s="81">
        <f>HLOOKUP(M2039,データについて!$J$7:$M$18,12,FALSE)</f>
        <v>1</v>
      </c>
      <c r="U2039" s="81">
        <f>HLOOKUP(N2039,データについて!$J$8:$M$18,11,FALSE)</f>
        <v>1</v>
      </c>
      <c r="V2039" s="81">
        <f>HLOOKUP(O2039,データについて!$J$9:$M$18,10,FALSE)</f>
        <v>1</v>
      </c>
      <c r="W2039" s="81">
        <f>HLOOKUP(P2039,データについて!$J$10:$M$18,9,FALSE)</f>
        <v>1</v>
      </c>
      <c r="X2039" s="81">
        <f>HLOOKUP(Q2039,データについて!$J$11:$M$18,8,FALSE)</f>
        <v>1</v>
      </c>
      <c r="Y2039" s="81">
        <f>HLOOKUP(R2039,データについて!$J$12:$M$18,7,FALSE)</f>
        <v>1</v>
      </c>
      <c r="Z2039" s="81">
        <f>HLOOKUP(I2039,データについて!$J$3:$M$18,16,FALSE)</f>
        <v>1</v>
      </c>
      <c r="AA2039" s="81">
        <f>IFERROR(HLOOKUP(J2039,データについて!$J$4:$AH$19,16,FALSE),"")</f>
        <v>4</v>
      </c>
      <c r="AB2039" s="81" t="str">
        <f>IFERROR(HLOOKUP(K2039,データについて!$J$5:$AH$20,14,FALSE),"")</f>
        <v/>
      </c>
      <c r="AC2039" s="81">
        <f>IF(X2039=1,HLOOKUP(R2039,データについて!$J$12:$M$18,7,FALSE),"*")</f>
        <v>1</v>
      </c>
      <c r="AD2039" s="81" t="str">
        <f>IF(X2039=2,HLOOKUP(R2039,データについて!$J$12:$M$18,7,FALSE),"*")</f>
        <v>*</v>
      </c>
    </row>
    <row r="2040" spans="1:30">
      <c r="A2040" s="30">
        <v>3152</v>
      </c>
      <c r="B2040" s="30" t="s">
        <v>2116</v>
      </c>
      <c r="C2040" s="30" t="s">
        <v>2117</v>
      </c>
      <c r="D2040" s="30" t="s">
        <v>106</v>
      </c>
      <c r="E2040" s="30"/>
      <c r="F2040" s="30" t="s">
        <v>107</v>
      </c>
      <c r="G2040" s="30" t="s">
        <v>106</v>
      </c>
      <c r="H2040" s="30"/>
      <c r="I2040" s="30" t="s">
        <v>192</v>
      </c>
      <c r="J2040" s="30" t="s">
        <v>630</v>
      </c>
      <c r="K2040" s="30"/>
      <c r="L2040" s="30" t="s">
        <v>117</v>
      </c>
      <c r="M2040" s="30" t="s">
        <v>109</v>
      </c>
      <c r="N2040" s="30" t="s">
        <v>122</v>
      </c>
      <c r="O2040" s="30" t="s">
        <v>115</v>
      </c>
      <c r="P2040" s="30" t="s">
        <v>112</v>
      </c>
      <c r="Q2040" s="30" t="s">
        <v>112</v>
      </c>
      <c r="R2040" s="30" t="s">
        <v>189</v>
      </c>
      <c r="S2040" s="81">
        <f>HLOOKUP(L2040,データについて!$J$6:$M$18,13,FALSE)</f>
        <v>2</v>
      </c>
      <c r="T2040" s="81">
        <f>HLOOKUP(M2040,データについて!$J$7:$M$18,12,FALSE)</f>
        <v>2</v>
      </c>
      <c r="U2040" s="81">
        <f>HLOOKUP(N2040,データについて!$J$8:$M$18,11,FALSE)</f>
        <v>3</v>
      </c>
      <c r="V2040" s="81">
        <f>HLOOKUP(O2040,データについて!$J$9:$M$18,10,FALSE)</f>
        <v>1</v>
      </c>
      <c r="W2040" s="81">
        <f>HLOOKUP(P2040,データについて!$J$10:$M$18,9,FALSE)</f>
        <v>1</v>
      </c>
      <c r="X2040" s="81">
        <f>HLOOKUP(Q2040,データについて!$J$11:$M$18,8,FALSE)</f>
        <v>1</v>
      </c>
      <c r="Y2040" s="81">
        <f>HLOOKUP(R2040,データについて!$J$12:$M$18,7,FALSE)</f>
        <v>4</v>
      </c>
      <c r="Z2040" s="81">
        <f>HLOOKUP(I2040,データについて!$J$3:$M$18,16,FALSE)</f>
        <v>1</v>
      </c>
      <c r="AA2040" s="81">
        <f>IFERROR(HLOOKUP(J2040,データについて!$J$4:$AH$19,16,FALSE),"")</f>
        <v>4</v>
      </c>
      <c r="AB2040" s="81" t="str">
        <f>IFERROR(HLOOKUP(K2040,データについて!$J$5:$AH$20,14,FALSE),"")</f>
        <v/>
      </c>
      <c r="AC2040" s="81">
        <f>IF(X2040=1,HLOOKUP(R2040,データについて!$J$12:$M$18,7,FALSE),"*")</f>
        <v>4</v>
      </c>
      <c r="AD2040" s="81" t="str">
        <f>IF(X2040=2,HLOOKUP(R2040,データについて!$J$12:$M$18,7,FALSE),"*")</f>
        <v>*</v>
      </c>
    </row>
    <row r="2041" spans="1:30">
      <c r="A2041" s="30">
        <v>3151</v>
      </c>
      <c r="B2041" s="30" t="s">
        <v>2118</v>
      </c>
      <c r="C2041" s="30" t="s">
        <v>2119</v>
      </c>
      <c r="D2041" s="30" t="s">
        <v>106</v>
      </c>
      <c r="E2041" s="30"/>
      <c r="F2041" s="30" t="s">
        <v>107</v>
      </c>
      <c r="G2041" s="30" t="s">
        <v>106</v>
      </c>
      <c r="H2041" s="30"/>
      <c r="I2041" s="30" t="s">
        <v>192</v>
      </c>
      <c r="J2041" s="30" t="s">
        <v>630</v>
      </c>
      <c r="K2041" s="30"/>
      <c r="L2041" s="30" t="s">
        <v>117</v>
      </c>
      <c r="M2041" s="30" t="s">
        <v>109</v>
      </c>
      <c r="N2041" s="30" t="s">
        <v>114</v>
      </c>
      <c r="O2041" s="30" t="s">
        <v>115</v>
      </c>
      <c r="P2041" s="30" t="s">
        <v>112</v>
      </c>
      <c r="Q2041" s="30" t="s">
        <v>112</v>
      </c>
      <c r="R2041" s="30" t="s">
        <v>183</v>
      </c>
      <c r="S2041" s="81">
        <f>HLOOKUP(L2041,データについて!$J$6:$M$18,13,FALSE)</f>
        <v>2</v>
      </c>
      <c r="T2041" s="81">
        <f>HLOOKUP(M2041,データについて!$J$7:$M$18,12,FALSE)</f>
        <v>2</v>
      </c>
      <c r="U2041" s="81">
        <f>HLOOKUP(N2041,データについて!$J$8:$M$18,11,FALSE)</f>
        <v>1</v>
      </c>
      <c r="V2041" s="81">
        <f>HLOOKUP(O2041,データについて!$J$9:$M$18,10,FALSE)</f>
        <v>1</v>
      </c>
      <c r="W2041" s="81">
        <f>HLOOKUP(P2041,データについて!$J$10:$M$18,9,FALSE)</f>
        <v>1</v>
      </c>
      <c r="X2041" s="81">
        <f>HLOOKUP(Q2041,データについて!$J$11:$M$18,8,FALSE)</f>
        <v>1</v>
      </c>
      <c r="Y2041" s="81">
        <f>HLOOKUP(R2041,データについて!$J$12:$M$18,7,FALSE)</f>
        <v>1</v>
      </c>
      <c r="Z2041" s="81">
        <f>HLOOKUP(I2041,データについて!$J$3:$M$18,16,FALSE)</f>
        <v>1</v>
      </c>
      <c r="AA2041" s="81">
        <f>IFERROR(HLOOKUP(J2041,データについて!$J$4:$AH$19,16,FALSE),"")</f>
        <v>4</v>
      </c>
      <c r="AB2041" s="81" t="str">
        <f>IFERROR(HLOOKUP(K2041,データについて!$J$5:$AH$20,14,FALSE),"")</f>
        <v/>
      </c>
      <c r="AC2041" s="81">
        <f>IF(X2041=1,HLOOKUP(R2041,データについて!$J$12:$M$18,7,FALSE),"*")</f>
        <v>1</v>
      </c>
      <c r="AD2041" s="81" t="str">
        <f>IF(X2041=2,HLOOKUP(R2041,データについて!$J$12:$M$18,7,FALSE),"*")</f>
        <v>*</v>
      </c>
    </row>
    <row r="2042" spans="1:30">
      <c r="A2042" s="30">
        <v>3150</v>
      </c>
      <c r="B2042" s="30" t="s">
        <v>2120</v>
      </c>
      <c r="C2042" s="30" t="s">
        <v>2121</v>
      </c>
      <c r="D2042" s="30" t="s">
        <v>106</v>
      </c>
      <c r="E2042" s="30"/>
      <c r="F2042" s="30" t="s">
        <v>107</v>
      </c>
      <c r="G2042" s="30" t="s">
        <v>106</v>
      </c>
      <c r="H2042" s="30"/>
      <c r="I2042" s="30" t="s">
        <v>192</v>
      </c>
      <c r="J2042" s="30" t="s">
        <v>630</v>
      </c>
      <c r="K2042" s="30"/>
      <c r="L2042" s="30" t="s">
        <v>117</v>
      </c>
      <c r="M2042" s="30" t="s">
        <v>113</v>
      </c>
      <c r="N2042" s="30" t="s">
        <v>110</v>
      </c>
      <c r="O2042" s="30" t="s">
        <v>115</v>
      </c>
      <c r="P2042" s="30" t="s">
        <v>112</v>
      </c>
      <c r="Q2042" s="30" t="s">
        <v>112</v>
      </c>
      <c r="R2042" s="30" t="s">
        <v>185</v>
      </c>
      <c r="S2042" s="81">
        <f>HLOOKUP(L2042,データについて!$J$6:$M$18,13,FALSE)</f>
        <v>2</v>
      </c>
      <c r="T2042" s="81">
        <f>HLOOKUP(M2042,データについて!$J$7:$M$18,12,FALSE)</f>
        <v>1</v>
      </c>
      <c r="U2042" s="81">
        <f>HLOOKUP(N2042,データについて!$J$8:$M$18,11,FALSE)</f>
        <v>2</v>
      </c>
      <c r="V2042" s="81">
        <f>HLOOKUP(O2042,データについて!$J$9:$M$18,10,FALSE)</f>
        <v>1</v>
      </c>
      <c r="W2042" s="81">
        <f>HLOOKUP(P2042,データについて!$J$10:$M$18,9,FALSE)</f>
        <v>1</v>
      </c>
      <c r="X2042" s="81">
        <f>HLOOKUP(Q2042,データについて!$J$11:$M$18,8,FALSE)</f>
        <v>1</v>
      </c>
      <c r="Y2042" s="81">
        <f>HLOOKUP(R2042,データについて!$J$12:$M$18,7,FALSE)</f>
        <v>2</v>
      </c>
      <c r="Z2042" s="81">
        <f>HLOOKUP(I2042,データについて!$J$3:$M$18,16,FALSE)</f>
        <v>1</v>
      </c>
      <c r="AA2042" s="81">
        <f>IFERROR(HLOOKUP(J2042,データについて!$J$4:$AH$19,16,FALSE),"")</f>
        <v>4</v>
      </c>
      <c r="AB2042" s="81" t="str">
        <f>IFERROR(HLOOKUP(K2042,データについて!$J$5:$AH$20,14,FALSE),"")</f>
        <v/>
      </c>
      <c r="AC2042" s="81">
        <f>IF(X2042=1,HLOOKUP(R2042,データについて!$J$12:$M$18,7,FALSE),"*")</f>
        <v>2</v>
      </c>
      <c r="AD2042" s="81" t="str">
        <f>IF(X2042=2,HLOOKUP(R2042,データについて!$J$12:$M$18,7,FALSE),"*")</f>
        <v>*</v>
      </c>
    </row>
    <row r="2043" spans="1:30">
      <c r="A2043" s="30">
        <v>3149</v>
      </c>
      <c r="B2043" s="30" t="s">
        <v>2122</v>
      </c>
      <c r="C2043" s="30" t="s">
        <v>2121</v>
      </c>
      <c r="D2043" s="30" t="s">
        <v>106</v>
      </c>
      <c r="E2043" s="30"/>
      <c r="F2043" s="30" t="s">
        <v>107</v>
      </c>
      <c r="G2043" s="30" t="s">
        <v>106</v>
      </c>
      <c r="H2043" s="30"/>
      <c r="I2043" s="30" t="s">
        <v>192</v>
      </c>
      <c r="J2043" s="30" t="s">
        <v>630</v>
      </c>
      <c r="K2043" s="30"/>
      <c r="L2043" s="30" t="s">
        <v>108</v>
      </c>
      <c r="M2043" s="30" t="s">
        <v>109</v>
      </c>
      <c r="N2043" s="30" t="s">
        <v>122</v>
      </c>
      <c r="O2043" s="30" t="s">
        <v>115</v>
      </c>
      <c r="P2043" s="30" t="s">
        <v>112</v>
      </c>
      <c r="Q2043" s="30" t="s">
        <v>112</v>
      </c>
      <c r="R2043" s="30" t="s">
        <v>187</v>
      </c>
      <c r="S2043" s="81">
        <f>HLOOKUP(L2043,データについて!$J$6:$M$18,13,FALSE)</f>
        <v>1</v>
      </c>
      <c r="T2043" s="81">
        <f>HLOOKUP(M2043,データについて!$J$7:$M$18,12,FALSE)</f>
        <v>2</v>
      </c>
      <c r="U2043" s="81">
        <f>HLOOKUP(N2043,データについて!$J$8:$M$18,11,FALSE)</f>
        <v>3</v>
      </c>
      <c r="V2043" s="81">
        <f>HLOOKUP(O2043,データについて!$J$9:$M$18,10,FALSE)</f>
        <v>1</v>
      </c>
      <c r="W2043" s="81">
        <f>HLOOKUP(P2043,データについて!$J$10:$M$18,9,FALSE)</f>
        <v>1</v>
      </c>
      <c r="X2043" s="81">
        <f>HLOOKUP(Q2043,データについて!$J$11:$M$18,8,FALSE)</f>
        <v>1</v>
      </c>
      <c r="Y2043" s="81">
        <f>HLOOKUP(R2043,データについて!$J$12:$M$18,7,FALSE)</f>
        <v>3</v>
      </c>
      <c r="Z2043" s="81">
        <f>HLOOKUP(I2043,データについて!$J$3:$M$18,16,FALSE)</f>
        <v>1</v>
      </c>
      <c r="AA2043" s="81">
        <f>IFERROR(HLOOKUP(J2043,データについて!$J$4:$AH$19,16,FALSE),"")</f>
        <v>4</v>
      </c>
      <c r="AB2043" s="81" t="str">
        <f>IFERROR(HLOOKUP(K2043,データについて!$J$5:$AH$20,14,FALSE),"")</f>
        <v/>
      </c>
      <c r="AC2043" s="81">
        <f>IF(X2043=1,HLOOKUP(R2043,データについて!$J$12:$M$18,7,FALSE),"*")</f>
        <v>3</v>
      </c>
      <c r="AD2043" s="81" t="str">
        <f>IF(X2043=2,HLOOKUP(R2043,データについて!$J$12:$M$18,7,FALSE),"*")</f>
        <v>*</v>
      </c>
    </row>
    <row r="2044" spans="1:30">
      <c r="A2044" s="30">
        <v>3148</v>
      </c>
      <c r="B2044" s="30" t="s">
        <v>2123</v>
      </c>
      <c r="C2044" s="30" t="s">
        <v>2124</v>
      </c>
      <c r="D2044" s="30" t="s">
        <v>106</v>
      </c>
      <c r="E2044" s="30"/>
      <c r="F2044" s="30" t="s">
        <v>107</v>
      </c>
      <c r="G2044" s="30" t="s">
        <v>106</v>
      </c>
      <c r="H2044" s="30"/>
      <c r="I2044" s="30" t="s">
        <v>192</v>
      </c>
      <c r="J2044" s="30" t="s">
        <v>630</v>
      </c>
      <c r="K2044" s="30"/>
      <c r="L2044" s="30" t="s">
        <v>108</v>
      </c>
      <c r="M2044" s="30" t="s">
        <v>109</v>
      </c>
      <c r="N2044" s="30" t="s">
        <v>110</v>
      </c>
      <c r="O2044" s="30" t="s">
        <v>115</v>
      </c>
      <c r="P2044" s="30" t="s">
        <v>112</v>
      </c>
      <c r="Q2044" s="30" t="s">
        <v>112</v>
      </c>
      <c r="R2044" s="30" t="s">
        <v>185</v>
      </c>
      <c r="S2044" s="81">
        <f>HLOOKUP(L2044,データについて!$J$6:$M$18,13,FALSE)</f>
        <v>1</v>
      </c>
      <c r="T2044" s="81">
        <f>HLOOKUP(M2044,データについて!$J$7:$M$18,12,FALSE)</f>
        <v>2</v>
      </c>
      <c r="U2044" s="81">
        <f>HLOOKUP(N2044,データについて!$J$8:$M$18,11,FALSE)</f>
        <v>2</v>
      </c>
      <c r="V2044" s="81">
        <f>HLOOKUP(O2044,データについて!$J$9:$M$18,10,FALSE)</f>
        <v>1</v>
      </c>
      <c r="W2044" s="81">
        <f>HLOOKUP(P2044,データについて!$J$10:$M$18,9,FALSE)</f>
        <v>1</v>
      </c>
      <c r="X2044" s="81">
        <f>HLOOKUP(Q2044,データについて!$J$11:$M$18,8,FALSE)</f>
        <v>1</v>
      </c>
      <c r="Y2044" s="81">
        <f>HLOOKUP(R2044,データについて!$J$12:$M$18,7,FALSE)</f>
        <v>2</v>
      </c>
      <c r="Z2044" s="81">
        <f>HLOOKUP(I2044,データについて!$J$3:$M$18,16,FALSE)</f>
        <v>1</v>
      </c>
      <c r="AA2044" s="81">
        <f>IFERROR(HLOOKUP(J2044,データについて!$J$4:$AH$19,16,FALSE),"")</f>
        <v>4</v>
      </c>
      <c r="AB2044" s="81" t="str">
        <f>IFERROR(HLOOKUP(K2044,データについて!$J$5:$AH$20,14,FALSE),"")</f>
        <v/>
      </c>
      <c r="AC2044" s="81">
        <f>IF(X2044=1,HLOOKUP(R2044,データについて!$J$12:$M$18,7,FALSE),"*")</f>
        <v>2</v>
      </c>
      <c r="AD2044" s="81" t="str">
        <f>IF(X2044=2,HLOOKUP(R2044,データについて!$J$12:$M$18,7,FALSE),"*")</f>
        <v>*</v>
      </c>
    </row>
    <row r="2045" spans="1:30">
      <c r="A2045" s="30">
        <v>3147</v>
      </c>
      <c r="B2045" s="30" t="s">
        <v>2125</v>
      </c>
      <c r="C2045" s="30" t="s">
        <v>2126</v>
      </c>
      <c r="D2045" s="30" t="s">
        <v>106</v>
      </c>
      <c r="E2045" s="30"/>
      <c r="F2045" s="30" t="s">
        <v>107</v>
      </c>
      <c r="G2045" s="30" t="s">
        <v>106</v>
      </c>
      <c r="H2045" s="30"/>
      <c r="I2045" s="30" t="s">
        <v>192</v>
      </c>
      <c r="J2045" s="30" t="s">
        <v>630</v>
      </c>
      <c r="K2045" s="30"/>
      <c r="L2045" s="30" t="s">
        <v>108</v>
      </c>
      <c r="M2045" s="30" t="s">
        <v>109</v>
      </c>
      <c r="N2045" s="30" t="s">
        <v>122</v>
      </c>
      <c r="O2045" s="30" t="s">
        <v>116</v>
      </c>
      <c r="P2045" s="30" t="s">
        <v>112</v>
      </c>
      <c r="Q2045" s="30" t="s">
        <v>112</v>
      </c>
      <c r="R2045" s="30" t="s">
        <v>185</v>
      </c>
      <c r="S2045" s="81">
        <f>HLOOKUP(L2045,データについて!$J$6:$M$18,13,FALSE)</f>
        <v>1</v>
      </c>
      <c r="T2045" s="81">
        <f>HLOOKUP(M2045,データについて!$J$7:$M$18,12,FALSE)</f>
        <v>2</v>
      </c>
      <c r="U2045" s="81">
        <f>HLOOKUP(N2045,データについて!$J$8:$M$18,11,FALSE)</f>
        <v>3</v>
      </c>
      <c r="V2045" s="81">
        <f>HLOOKUP(O2045,データについて!$J$9:$M$18,10,FALSE)</f>
        <v>2</v>
      </c>
      <c r="W2045" s="81">
        <f>HLOOKUP(P2045,データについて!$J$10:$M$18,9,FALSE)</f>
        <v>1</v>
      </c>
      <c r="X2045" s="81">
        <f>HLOOKUP(Q2045,データについて!$J$11:$M$18,8,FALSE)</f>
        <v>1</v>
      </c>
      <c r="Y2045" s="81">
        <f>HLOOKUP(R2045,データについて!$J$12:$M$18,7,FALSE)</f>
        <v>2</v>
      </c>
      <c r="Z2045" s="81">
        <f>HLOOKUP(I2045,データについて!$J$3:$M$18,16,FALSE)</f>
        <v>1</v>
      </c>
      <c r="AA2045" s="81">
        <f>IFERROR(HLOOKUP(J2045,データについて!$J$4:$AH$19,16,FALSE),"")</f>
        <v>4</v>
      </c>
      <c r="AB2045" s="81" t="str">
        <f>IFERROR(HLOOKUP(K2045,データについて!$J$5:$AH$20,14,FALSE),"")</f>
        <v/>
      </c>
      <c r="AC2045" s="81">
        <f>IF(X2045=1,HLOOKUP(R2045,データについて!$J$12:$M$18,7,FALSE),"*")</f>
        <v>2</v>
      </c>
      <c r="AD2045" s="81" t="str">
        <f>IF(X2045=2,HLOOKUP(R2045,データについて!$J$12:$M$18,7,FALSE),"*")</f>
        <v>*</v>
      </c>
    </row>
    <row r="2046" spans="1:30">
      <c r="A2046" s="30">
        <v>3146</v>
      </c>
      <c r="B2046" s="30" t="s">
        <v>2127</v>
      </c>
      <c r="C2046" s="30" t="s">
        <v>2128</v>
      </c>
      <c r="D2046" s="30" t="s">
        <v>106</v>
      </c>
      <c r="E2046" s="30"/>
      <c r="F2046" s="30" t="s">
        <v>107</v>
      </c>
      <c r="G2046" s="30" t="s">
        <v>106</v>
      </c>
      <c r="H2046" s="30"/>
      <c r="I2046" s="30" t="s">
        <v>192</v>
      </c>
      <c r="J2046" s="30" t="s">
        <v>630</v>
      </c>
      <c r="K2046" s="30"/>
      <c r="L2046" s="30" t="s">
        <v>117</v>
      </c>
      <c r="M2046" s="30" t="s">
        <v>109</v>
      </c>
      <c r="N2046" s="30" t="s">
        <v>110</v>
      </c>
      <c r="O2046" s="30" t="s">
        <v>115</v>
      </c>
      <c r="P2046" s="30" t="s">
        <v>112</v>
      </c>
      <c r="Q2046" s="30" t="s">
        <v>118</v>
      </c>
      <c r="R2046" s="30" t="s">
        <v>185</v>
      </c>
      <c r="S2046" s="81">
        <f>HLOOKUP(L2046,データについて!$J$6:$M$18,13,FALSE)</f>
        <v>2</v>
      </c>
      <c r="T2046" s="81">
        <f>HLOOKUP(M2046,データについて!$J$7:$M$18,12,FALSE)</f>
        <v>2</v>
      </c>
      <c r="U2046" s="81">
        <f>HLOOKUP(N2046,データについて!$J$8:$M$18,11,FALSE)</f>
        <v>2</v>
      </c>
      <c r="V2046" s="81">
        <f>HLOOKUP(O2046,データについて!$J$9:$M$18,10,FALSE)</f>
        <v>1</v>
      </c>
      <c r="W2046" s="81">
        <f>HLOOKUP(P2046,データについて!$J$10:$M$18,9,FALSE)</f>
        <v>1</v>
      </c>
      <c r="X2046" s="81">
        <f>HLOOKUP(Q2046,データについて!$J$11:$M$18,8,FALSE)</f>
        <v>2</v>
      </c>
      <c r="Y2046" s="81">
        <f>HLOOKUP(R2046,データについて!$J$12:$M$18,7,FALSE)</f>
        <v>2</v>
      </c>
      <c r="Z2046" s="81">
        <f>HLOOKUP(I2046,データについて!$J$3:$M$18,16,FALSE)</f>
        <v>1</v>
      </c>
      <c r="AA2046" s="81">
        <f>IFERROR(HLOOKUP(J2046,データについて!$J$4:$AH$19,16,FALSE),"")</f>
        <v>4</v>
      </c>
      <c r="AB2046" s="81" t="str">
        <f>IFERROR(HLOOKUP(K2046,データについて!$J$5:$AH$20,14,FALSE),"")</f>
        <v/>
      </c>
      <c r="AC2046" s="81" t="str">
        <f>IF(X2046=1,HLOOKUP(R2046,データについて!$J$12:$M$18,7,FALSE),"*")</f>
        <v>*</v>
      </c>
      <c r="AD2046" s="81">
        <f>IF(X2046=2,HLOOKUP(R2046,データについて!$J$12:$M$18,7,FALSE),"*")</f>
        <v>2</v>
      </c>
    </row>
    <row r="2047" spans="1:30">
      <c r="A2047" s="30">
        <v>3145</v>
      </c>
      <c r="B2047" s="30" t="s">
        <v>2129</v>
      </c>
      <c r="C2047" s="30" t="s">
        <v>2128</v>
      </c>
      <c r="D2047" s="30" t="s">
        <v>106</v>
      </c>
      <c r="E2047" s="30"/>
      <c r="F2047" s="30" t="s">
        <v>107</v>
      </c>
      <c r="G2047" s="30" t="s">
        <v>106</v>
      </c>
      <c r="H2047" s="30"/>
      <c r="I2047" s="30" t="s">
        <v>192</v>
      </c>
      <c r="J2047" s="30" t="s">
        <v>630</v>
      </c>
      <c r="K2047" s="30"/>
      <c r="L2047" s="30" t="s">
        <v>117</v>
      </c>
      <c r="M2047" s="30" t="s">
        <v>109</v>
      </c>
      <c r="N2047" s="30" t="s">
        <v>122</v>
      </c>
      <c r="O2047" s="30" t="s">
        <v>115</v>
      </c>
      <c r="P2047" s="30" t="s">
        <v>112</v>
      </c>
      <c r="Q2047" s="30" t="s">
        <v>112</v>
      </c>
      <c r="R2047" s="30" t="s">
        <v>187</v>
      </c>
      <c r="S2047" s="81">
        <f>HLOOKUP(L2047,データについて!$J$6:$M$18,13,FALSE)</f>
        <v>2</v>
      </c>
      <c r="T2047" s="81">
        <f>HLOOKUP(M2047,データについて!$J$7:$M$18,12,FALSE)</f>
        <v>2</v>
      </c>
      <c r="U2047" s="81">
        <f>HLOOKUP(N2047,データについて!$J$8:$M$18,11,FALSE)</f>
        <v>3</v>
      </c>
      <c r="V2047" s="81">
        <f>HLOOKUP(O2047,データについて!$J$9:$M$18,10,FALSE)</f>
        <v>1</v>
      </c>
      <c r="W2047" s="81">
        <f>HLOOKUP(P2047,データについて!$J$10:$M$18,9,FALSE)</f>
        <v>1</v>
      </c>
      <c r="X2047" s="81">
        <f>HLOOKUP(Q2047,データについて!$J$11:$M$18,8,FALSE)</f>
        <v>1</v>
      </c>
      <c r="Y2047" s="81">
        <f>HLOOKUP(R2047,データについて!$J$12:$M$18,7,FALSE)</f>
        <v>3</v>
      </c>
      <c r="Z2047" s="81">
        <f>HLOOKUP(I2047,データについて!$J$3:$M$18,16,FALSE)</f>
        <v>1</v>
      </c>
      <c r="AA2047" s="81">
        <f>IFERROR(HLOOKUP(J2047,データについて!$J$4:$AH$19,16,FALSE),"")</f>
        <v>4</v>
      </c>
      <c r="AB2047" s="81" t="str">
        <f>IFERROR(HLOOKUP(K2047,データについて!$J$5:$AH$20,14,FALSE),"")</f>
        <v/>
      </c>
      <c r="AC2047" s="81">
        <f>IF(X2047=1,HLOOKUP(R2047,データについて!$J$12:$M$18,7,FALSE),"*")</f>
        <v>3</v>
      </c>
      <c r="AD2047" s="81" t="str">
        <f>IF(X2047=2,HLOOKUP(R2047,データについて!$J$12:$M$18,7,FALSE),"*")</f>
        <v>*</v>
      </c>
    </row>
    <row r="2048" spans="1:30">
      <c r="A2048" s="30">
        <v>3144</v>
      </c>
      <c r="B2048" s="30" t="s">
        <v>2130</v>
      </c>
      <c r="C2048" s="30" t="s">
        <v>2131</v>
      </c>
      <c r="D2048" s="30" t="s">
        <v>106</v>
      </c>
      <c r="E2048" s="30"/>
      <c r="F2048" s="30" t="s">
        <v>107</v>
      </c>
      <c r="G2048" s="30" t="s">
        <v>106</v>
      </c>
      <c r="H2048" s="30"/>
      <c r="I2048" s="30" t="s">
        <v>192</v>
      </c>
      <c r="J2048" s="30" t="s">
        <v>630</v>
      </c>
      <c r="K2048" s="30"/>
      <c r="L2048" s="30" t="s">
        <v>117</v>
      </c>
      <c r="M2048" s="30" t="s">
        <v>113</v>
      </c>
      <c r="N2048" s="30" t="s">
        <v>114</v>
      </c>
      <c r="O2048" s="30" t="s">
        <v>115</v>
      </c>
      <c r="P2048" s="30" t="s">
        <v>112</v>
      </c>
      <c r="Q2048" s="30" t="s">
        <v>112</v>
      </c>
      <c r="R2048" s="30" t="s">
        <v>183</v>
      </c>
      <c r="S2048" s="81">
        <f>HLOOKUP(L2048,データについて!$J$6:$M$18,13,FALSE)</f>
        <v>2</v>
      </c>
      <c r="T2048" s="81">
        <f>HLOOKUP(M2048,データについて!$J$7:$M$18,12,FALSE)</f>
        <v>1</v>
      </c>
      <c r="U2048" s="81">
        <f>HLOOKUP(N2048,データについて!$J$8:$M$18,11,FALSE)</f>
        <v>1</v>
      </c>
      <c r="V2048" s="81">
        <f>HLOOKUP(O2048,データについて!$J$9:$M$18,10,FALSE)</f>
        <v>1</v>
      </c>
      <c r="W2048" s="81">
        <f>HLOOKUP(P2048,データについて!$J$10:$M$18,9,FALSE)</f>
        <v>1</v>
      </c>
      <c r="X2048" s="81">
        <f>HLOOKUP(Q2048,データについて!$J$11:$M$18,8,FALSE)</f>
        <v>1</v>
      </c>
      <c r="Y2048" s="81">
        <f>HLOOKUP(R2048,データについて!$J$12:$M$18,7,FALSE)</f>
        <v>1</v>
      </c>
      <c r="Z2048" s="81">
        <f>HLOOKUP(I2048,データについて!$J$3:$M$18,16,FALSE)</f>
        <v>1</v>
      </c>
      <c r="AA2048" s="81">
        <f>IFERROR(HLOOKUP(J2048,データについて!$J$4:$AH$19,16,FALSE),"")</f>
        <v>4</v>
      </c>
      <c r="AB2048" s="81" t="str">
        <f>IFERROR(HLOOKUP(K2048,データについて!$J$5:$AH$20,14,FALSE),"")</f>
        <v/>
      </c>
      <c r="AC2048" s="81">
        <f>IF(X2048=1,HLOOKUP(R2048,データについて!$J$12:$M$18,7,FALSE),"*")</f>
        <v>1</v>
      </c>
      <c r="AD2048" s="81" t="str">
        <f>IF(X2048=2,HLOOKUP(R2048,データについて!$J$12:$M$18,7,FALSE),"*")</f>
        <v>*</v>
      </c>
    </row>
    <row r="2049" spans="1:30">
      <c r="A2049" s="30">
        <v>3143</v>
      </c>
      <c r="B2049" s="30" t="s">
        <v>2132</v>
      </c>
      <c r="C2049" s="30" t="s">
        <v>2133</v>
      </c>
      <c r="D2049" s="30" t="s">
        <v>106</v>
      </c>
      <c r="E2049" s="30"/>
      <c r="F2049" s="30" t="s">
        <v>107</v>
      </c>
      <c r="G2049" s="30" t="s">
        <v>106</v>
      </c>
      <c r="H2049" s="30"/>
      <c r="I2049" s="30" t="s">
        <v>192</v>
      </c>
      <c r="J2049" s="30" t="s">
        <v>630</v>
      </c>
      <c r="K2049" s="30"/>
      <c r="L2049" s="30" t="s">
        <v>108</v>
      </c>
      <c r="M2049" s="30" t="s">
        <v>113</v>
      </c>
      <c r="N2049" s="30" t="s">
        <v>114</v>
      </c>
      <c r="O2049" s="30" t="s">
        <v>111</v>
      </c>
      <c r="P2049" s="30" t="s">
        <v>112</v>
      </c>
      <c r="Q2049" s="30" t="s">
        <v>112</v>
      </c>
      <c r="R2049" s="30" t="s">
        <v>183</v>
      </c>
      <c r="S2049" s="81">
        <f>HLOOKUP(L2049,データについて!$J$6:$M$18,13,FALSE)</f>
        <v>1</v>
      </c>
      <c r="T2049" s="81">
        <f>HLOOKUP(M2049,データについて!$J$7:$M$18,12,FALSE)</f>
        <v>1</v>
      </c>
      <c r="U2049" s="81">
        <f>HLOOKUP(N2049,データについて!$J$8:$M$18,11,FALSE)</f>
        <v>1</v>
      </c>
      <c r="V2049" s="81">
        <f>HLOOKUP(O2049,データについて!$J$9:$M$18,10,FALSE)</f>
        <v>3</v>
      </c>
      <c r="W2049" s="81">
        <f>HLOOKUP(P2049,データについて!$J$10:$M$18,9,FALSE)</f>
        <v>1</v>
      </c>
      <c r="X2049" s="81">
        <f>HLOOKUP(Q2049,データについて!$J$11:$M$18,8,FALSE)</f>
        <v>1</v>
      </c>
      <c r="Y2049" s="81">
        <f>HLOOKUP(R2049,データについて!$J$12:$M$18,7,FALSE)</f>
        <v>1</v>
      </c>
      <c r="Z2049" s="81">
        <f>HLOOKUP(I2049,データについて!$J$3:$M$18,16,FALSE)</f>
        <v>1</v>
      </c>
      <c r="AA2049" s="81">
        <f>IFERROR(HLOOKUP(J2049,データについて!$J$4:$AH$19,16,FALSE),"")</f>
        <v>4</v>
      </c>
      <c r="AB2049" s="81" t="str">
        <f>IFERROR(HLOOKUP(K2049,データについて!$J$5:$AH$20,14,FALSE),"")</f>
        <v/>
      </c>
      <c r="AC2049" s="81">
        <f>IF(X2049=1,HLOOKUP(R2049,データについて!$J$12:$M$18,7,FALSE),"*")</f>
        <v>1</v>
      </c>
      <c r="AD2049" s="81" t="str">
        <f>IF(X2049=2,HLOOKUP(R2049,データについて!$J$12:$M$18,7,FALSE),"*")</f>
        <v>*</v>
      </c>
    </row>
    <row r="2050" spans="1:30">
      <c r="A2050" s="30">
        <v>3142</v>
      </c>
      <c r="B2050" s="30" t="s">
        <v>2134</v>
      </c>
      <c r="C2050" s="30" t="s">
        <v>2135</v>
      </c>
      <c r="D2050" s="30" t="s">
        <v>106</v>
      </c>
      <c r="E2050" s="30"/>
      <c r="F2050" s="30" t="s">
        <v>107</v>
      </c>
      <c r="G2050" s="30" t="s">
        <v>106</v>
      </c>
      <c r="H2050" s="30"/>
      <c r="I2050" s="30" t="s">
        <v>191</v>
      </c>
      <c r="J2050" s="30"/>
      <c r="K2050" s="30" t="s">
        <v>1713</v>
      </c>
      <c r="L2050" s="30" t="s">
        <v>108</v>
      </c>
      <c r="M2050" s="30" t="s">
        <v>113</v>
      </c>
      <c r="N2050" s="30" t="s">
        <v>110</v>
      </c>
      <c r="O2050" s="30" t="s">
        <v>115</v>
      </c>
      <c r="P2050" s="30" t="s">
        <v>112</v>
      </c>
      <c r="Q2050" s="30" t="s">
        <v>112</v>
      </c>
      <c r="R2050" s="30" t="s">
        <v>183</v>
      </c>
      <c r="S2050" s="81">
        <f>HLOOKUP(L2050,データについて!$J$6:$M$18,13,FALSE)</f>
        <v>1</v>
      </c>
      <c r="T2050" s="81">
        <f>HLOOKUP(M2050,データについて!$J$7:$M$18,12,FALSE)</f>
        <v>1</v>
      </c>
      <c r="U2050" s="81">
        <f>HLOOKUP(N2050,データについて!$J$8:$M$18,11,FALSE)</f>
        <v>2</v>
      </c>
      <c r="V2050" s="81">
        <f>HLOOKUP(O2050,データについて!$J$9:$M$18,10,FALSE)</f>
        <v>1</v>
      </c>
      <c r="W2050" s="81">
        <f>HLOOKUP(P2050,データについて!$J$10:$M$18,9,FALSE)</f>
        <v>1</v>
      </c>
      <c r="X2050" s="81">
        <f>HLOOKUP(Q2050,データについて!$J$11:$M$18,8,FALSE)</f>
        <v>1</v>
      </c>
      <c r="Y2050" s="81">
        <f>HLOOKUP(R2050,データについて!$J$12:$M$18,7,FALSE)</f>
        <v>1</v>
      </c>
      <c r="Z2050" s="81">
        <f>HLOOKUP(I2050,データについて!$J$3:$M$18,16,FALSE)</f>
        <v>2</v>
      </c>
      <c r="AA2050" s="81" t="str">
        <f>IFERROR(HLOOKUP(J2050,データについて!$J$4:$AH$19,16,FALSE),"")</f>
        <v/>
      </c>
      <c r="AB2050" s="81">
        <f>IFERROR(HLOOKUP(K2050,データについて!$J$5:$AH$20,14,FALSE),"")</f>
        <v>2</v>
      </c>
      <c r="AC2050" s="81">
        <f>IF(X2050=1,HLOOKUP(R2050,データについて!$J$12:$M$18,7,FALSE),"*")</f>
        <v>1</v>
      </c>
      <c r="AD2050" s="81" t="str">
        <f>IF(X2050=2,HLOOKUP(R2050,データについて!$J$12:$M$18,7,FALSE),"*")</f>
        <v>*</v>
      </c>
    </row>
    <row r="2051" spans="1:30">
      <c r="A2051" s="30">
        <v>3141</v>
      </c>
      <c r="B2051" s="30" t="s">
        <v>2136</v>
      </c>
      <c r="C2051" s="30" t="s">
        <v>2137</v>
      </c>
      <c r="D2051" s="30" t="s">
        <v>106</v>
      </c>
      <c r="E2051" s="30"/>
      <c r="F2051" s="30" t="s">
        <v>107</v>
      </c>
      <c r="G2051" s="30" t="s">
        <v>106</v>
      </c>
      <c r="H2051" s="30"/>
      <c r="I2051" s="30" t="s">
        <v>191</v>
      </c>
      <c r="J2051" s="30"/>
      <c r="K2051" s="30" t="s">
        <v>1713</v>
      </c>
      <c r="L2051" s="30" t="s">
        <v>108</v>
      </c>
      <c r="M2051" s="30" t="s">
        <v>113</v>
      </c>
      <c r="N2051" s="30" t="s">
        <v>114</v>
      </c>
      <c r="O2051" s="30" t="s">
        <v>115</v>
      </c>
      <c r="P2051" s="30" t="s">
        <v>118</v>
      </c>
      <c r="Q2051" s="30" t="s">
        <v>112</v>
      </c>
      <c r="R2051" s="30" t="s">
        <v>183</v>
      </c>
      <c r="S2051" s="81">
        <f>HLOOKUP(L2051,データについて!$J$6:$M$18,13,FALSE)</f>
        <v>1</v>
      </c>
      <c r="T2051" s="81">
        <f>HLOOKUP(M2051,データについて!$J$7:$M$18,12,FALSE)</f>
        <v>1</v>
      </c>
      <c r="U2051" s="81">
        <f>HLOOKUP(N2051,データについて!$J$8:$M$18,11,FALSE)</f>
        <v>1</v>
      </c>
      <c r="V2051" s="81">
        <f>HLOOKUP(O2051,データについて!$J$9:$M$18,10,FALSE)</f>
        <v>1</v>
      </c>
      <c r="W2051" s="81">
        <f>HLOOKUP(P2051,データについて!$J$10:$M$18,9,FALSE)</f>
        <v>2</v>
      </c>
      <c r="X2051" s="81">
        <f>HLOOKUP(Q2051,データについて!$J$11:$M$18,8,FALSE)</f>
        <v>1</v>
      </c>
      <c r="Y2051" s="81">
        <f>HLOOKUP(R2051,データについて!$J$12:$M$18,7,FALSE)</f>
        <v>1</v>
      </c>
      <c r="Z2051" s="81">
        <f>HLOOKUP(I2051,データについて!$J$3:$M$18,16,FALSE)</f>
        <v>2</v>
      </c>
      <c r="AA2051" s="81" t="str">
        <f>IFERROR(HLOOKUP(J2051,データについて!$J$4:$AH$19,16,FALSE),"")</f>
        <v/>
      </c>
      <c r="AB2051" s="81">
        <f>IFERROR(HLOOKUP(K2051,データについて!$J$5:$AH$20,14,FALSE),"")</f>
        <v>2</v>
      </c>
      <c r="AC2051" s="81">
        <f>IF(X2051=1,HLOOKUP(R2051,データについて!$J$12:$M$18,7,FALSE),"*")</f>
        <v>1</v>
      </c>
      <c r="AD2051" s="81" t="str">
        <f>IF(X2051=2,HLOOKUP(R2051,データについて!$J$12:$M$18,7,FALSE),"*")</f>
        <v>*</v>
      </c>
    </row>
    <row r="2052" spans="1:30">
      <c r="A2052" s="30">
        <v>3140</v>
      </c>
      <c r="B2052" s="30" t="s">
        <v>2138</v>
      </c>
      <c r="C2052" s="30" t="s">
        <v>2139</v>
      </c>
      <c r="D2052" s="30" t="s">
        <v>106</v>
      </c>
      <c r="E2052" s="30"/>
      <c r="F2052" s="30" t="s">
        <v>107</v>
      </c>
      <c r="G2052" s="30" t="s">
        <v>106</v>
      </c>
      <c r="H2052" s="30"/>
      <c r="I2052" s="30" t="s">
        <v>191</v>
      </c>
      <c r="J2052" s="30"/>
      <c r="K2052" s="30" t="s">
        <v>1713</v>
      </c>
      <c r="L2052" s="30" t="s">
        <v>108</v>
      </c>
      <c r="M2052" s="30" t="s">
        <v>113</v>
      </c>
      <c r="N2052" s="30" t="s">
        <v>114</v>
      </c>
      <c r="O2052" s="30" t="s">
        <v>115</v>
      </c>
      <c r="P2052" s="30" t="s">
        <v>118</v>
      </c>
      <c r="Q2052" s="30" t="s">
        <v>112</v>
      </c>
      <c r="R2052" s="30" t="s">
        <v>185</v>
      </c>
      <c r="S2052" s="81">
        <f>HLOOKUP(L2052,データについて!$J$6:$M$18,13,FALSE)</f>
        <v>1</v>
      </c>
      <c r="T2052" s="81">
        <f>HLOOKUP(M2052,データについて!$J$7:$M$18,12,FALSE)</f>
        <v>1</v>
      </c>
      <c r="U2052" s="81">
        <f>HLOOKUP(N2052,データについて!$J$8:$M$18,11,FALSE)</f>
        <v>1</v>
      </c>
      <c r="V2052" s="81">
        <f>HLOOKUP(O2052,データについて!$J$9:$M$18,10,FALSE)</f>
        <v>1</v>
      </c>
      <c r="W2052" s="81">
        <f>HLOOKUP(P2052,データについて!$J$10:$M$18,9,FALSE)</f>
        <v>2</v>
      </c>
      <c r="X2052" s="81">
        <f>HLOOKUP(Q2052,データについて!$J$11:$M$18,8,FALSE)</f>
        <v>1</v>
      </c>
      <c r="Y2052" s="81">
        <f>HLOOKUP(R2052,データについて!$J$12:$M$18,7,FALSE)</f>
        <v>2</v>
      </c>
      <c r="Z2052" s="81">
        <f>HLOOKUP(I2052,データについて!$J$3:$M$18,16,FALSE)</f>
        <v>2</v>
      </c>
      <c r="AA2052" s="81" t="str">
        <f>IFERROR(HLOOKUP(J2052,データについて!$J$4:$AH$19,16,FALSE),"")</f>
        <v/>
      </c>
      <c r="AB2052" s="81">
        <f>IFERROR(HLOOKUP(K2052,データについて!$J$5:$AH$20,14,FALSE),"")</f>
        <v>2</v>
      </c>
      <c r="AC2052" s="81">
        <f>IF(X2052=1,HLOOKUP(R2052,データについて!$J$12:$M$18,7,FALSE),"*")</f>
        <v>2</v>
      </c>
      <c r="AD2052" s="81" t="str">
        <f>IF(X2052=2,HLOOKUP(R2052,データについて!$J$12:$M$18,7,FALSE),"*")</f>
        <v>*</v>
      </c>
    </row>
    <row r="2053" spans="1:30">
      <c r="A2053" s="30">
        <v>3139</v>
      </c>
      <c r="B2053" s="30" t="s">
        <v>2140</v>
      </c>
      <c r="C2053" s="30" t="s">
        <v>2141</v>
      </c>
      <c r="D2053" s="30" t="s">
        <v>106</v>
      </c>
      <c r="E2053" s="30"/>
      <c r="F2053" s="30" t="s">
        <v>107</v>
      </c>
      <c r="G2053" s="30" t="s">
        <v>106</v>
      </c>
      <c r="H2053" s="30"/>
      <c r="I2053" s="30" t="s">
        <v>191</v>
      </c>
      <c r="J2053" s="30"/>
      <c r="K2053" s="30" t="s">
        <v>1713</v>
      </c>
      <c r="L2053" s="30" t="s">
        <v>117</v>
      </c>
      <c r="M2053" s="30" t="s">
        <v>109</v>
      </c>
      <c r="N2053" s="30" t="s">
        <v>122</v>
      </c>
      <c r="O2053" s="30" t="s">
        <v>115</v>
      </c>
      <c r="P2053" s="30" t="s">
        <v>112</v>
      </c>
      <c r="Q2053" s="30" t="s">
        <v>112</v>
      </c>
      <c r="R2053" s="30" t="s">
        <v>189</v>
      </c>
      <c r="S2053" s="81">
        <f>HLOOKUP(L2053,データについて!$J$6:$M$18,13,FALSE)</f>
        <v>2</v>
      </c>
      <c r="T2053" s="81">
        <f>HLOOKUP(M2053,データについて!$J$7:$M$18,12,FALSE)</f>
        <v>2</v>
      </c>
      <c r="U2053" s="81">
        <f>HLOOKUP(N2053,データについて!$J$8:$M$18,11,FALSE)</f>
        <v>3</v>
      </c>
      <c r="V2053" s="81">
        <f>HLOOKUP(O2053,データについて!$J$9:$M$18,10,FALSE)</f>
        <v>1</v>
      </c>
      <c r="W2053" s="81">
        <f>HLOOKUP(P2053,データについて!$J$10:$M$18,9,FALSE)</f>
        <v>1</v>
      </c>
      <c r="X2053" s="81">
        <f>HLOOKUP(Q2053,データについて!$J$11:$M$18,8,FALSE)</f>
        <v>1</v>
      </c>
      <c r="Y2053" s="81">
        <f>HLOOKUP(R2053,データについて!$J$12:$M$18,7,FALSE)</f>
        <v>4</v>
      </c>
      <c r="Z2053" s="81">
        <f>HLOOKUP(I2053,データについて!$J$3:$M$18,16,FALSE)</f>
        <v>2</v>
      </c>
      <c r="AA2053" s="81" t="str">
        <f>IFERROR(HLOOKUP(J2053,データについて!$J$4:$AH$19,16,FALSE),"")</f>
        <v/>
      </c>
      <c r="AB2053" s="81">
        <f>IFERROR(HLOOKUP(K2053,データについて!$J$5:$AH$20,14,FALSE),"")</f>
        <v>2</v>
      </c>
      <c r="AC2053" s="81">
        <f>IF(X2053=1,HLOOKUP(R2053,データについて!$J$12:$M$18,7,FALSE),"*")</f>
        <v>4</v>
      </c>
      <c r="AD2053" s="81" t="str">
        <f>IF(X2053=2,HLOOKUP(R2053,データについて!$J$12:$M$18,7,FALSE),"*")</f>
        <v>*</v>
      </c>
    </row>
    <row r="2054" spans="1:30">
      <c r="A2054" s="30">
        <v>3138</v>
      </c>
      <c r="B2054" s="30" t="s">
        <v>2142</v>
      </c>
      <c r="C2054" s="30" t="s">
        <v>2143</v>
      </c>
      <c r="D2054" s="30" t="s">
        <v>106</v>
      </c>
      <c r="E2054" s="30"/>
      <c r="F2054" s="30" t="s">
        <v>107</v>
      </c>
      <c r="G2054" s="30" t="s">
        <v>106</v>
      </c>
      <c r="H2054" s="30"/>
      <c r="I2054" s="30" t="s">
        <v>191</v>
      </c>
      <c r="J2054" s="30"/>
      <c r="K2054" s="30" t="s">
        <v>1713</v>
      </c>
      <c r="L2054" s="30" t="s">
        <v>108</v>
      </c>
      <c r="M2054" s="30" t="s">
        <v>121</v>
      </c>
      <c r="N2054" s="30" t="s">
        <v>122</v>
      </c>
      <c r="O2054" s="30" t="s">
        <v>115</v>
      </c>
      <c r="P2054" s="30" t="s">
        <v>112</v>
      </c>
      <c r="Q2054" s="30" t="s">
        <v>112</v>
      </c>
      <c r="R2054" s="30" t="s">
        <v>187</v>
      </c>
      <c r="S2054" s="81">
        <f>HLOOKUP(L2054,データについて!$J$6:$M$18,13,FALSE)</f>
        <v>1</v>
      </c>
      <c r="T2054" s="81">
        <f>HLOOKUP(M2054,データについて!$J$7:$M$18,12,FALSE)</f>
        <v>4</v>
      </c>
      <c r="U2054" s="81">
        <f>HLOOKUP(N2054,データについて!$J$8:$M$18,11,FALSE)</f>
        <v>3</v>
      </c>
      <c r="V2054" s="81">
        <f>HLOOKUP(O2054,データについて!$J$9:$M$18,10,FALSE)</f>
        <v>1</v>
      </c>
      <c r="W2054" s="81">
        <f>HLOOKUP(P2054,データについて!$J$10:$M$18,9,FALSE)</f>
        <v>1</v>
      </c>
      <c r="X2054" s="81">
        <f>HLOOKUP(Q2054,データについて!$J$11:$M$18,8,FALSE)</f>
        <v>1</v>
      </c>
      <c r="Y2054" s="81">
        <f>HLOOKUP(R2054,データについて!$J$12:$M$18,7,FALSE)</f>
        <v>3</v>
      </c>
      <c r="Z2054" s="81">
        <f>HLOOKUP(I2054,データについて!$J$3:$M$18,16,FALSE)</f>
        <v>2</v>
      </c>
      <c r="AA2054" s="81" t="str">
        <f>IFERROR(HLOOKUP(J2054,データについて!$J$4:$AH$19,16,FALSE),"")</f>
        <v/>
      </c>
      <c r="AB2054" s="81">
        <f>IFERROR(HLOOKUP(K2054,データについて!$J$5:$AH$20,14,FALSE),"")</f>
        <v>2</v>
      </c>
      <c r="AC2054" s="81">
        <f>IF(X2054=1,HLOOKUP(R2054,データについて!$J$12:$M$18,7,FALSE),"*")</f>
        <v>3</v>
      </c>
      <c r="AD2054" s="81" t="str">
        <f>IF(X2054=2,HLOOKUP(R2054,データについて!$J$12:$M$18,7,FALSE),"*")</f>
        <v>*</v>
      </c>
    </row>
    <row r="2055" spans="1:30">
      <c r="A2055" s="30">
        <v>3137</v>
      </c>
      <c r="B2055" s="30" t="s">
        <v>2144</v>
      </c>
      <c r="C2055" s="30" t="s">
        <v>2145</v>
      </c>
      <c r="D2055" s="30" t="s">
        <v>106</v>
      </c>
      <c r="E2055" s="30"/>
      <c r="F2055" s="30" t="s">
        <v>107</v>
      </c>
      <c r="G2055" s="30" t="s">
        <v>106</v>
      </c>
      <c r="H2055" s="30"/>
      <c r="I2055" s="30" t="s">
        <v>191</v>
      </c>
      <c r="J2055" s="30"/>
      <c r="K2055" s="30" t="s">
        <v>1713</v>
      </c>
      <c r="L2055" s="30" t="s">
        <v>108</v>
      </c>
      <c r="M2055" s="30" t="s">
        <v>113</v>
      </c>
      <c r="N2055" s="30" t="s">
        <v>114</v>
      </c>
      <c r="O2055" s="30" t="s">
        <v>115</v>
      </c>
      <c r="P2055" s="30" t="s">
        <v>118</v>
      </c>
      <c r="Q2055" s="30" t="s">
        <v>118</v>
      </c>
      <c r="R2055" s="30" t="s">
        <v>183</v>
      </c>
      <c r="S2055" s="81">
        <f>HLOOKUP(L2055,データについて!$J$6:$M$18,13,FALSE)</f>
        <v>1</v>
      </c>
      <c r="T2055" s="81">
        <f>HLOOKUP(M2055,データについて!$J$7:$M$18,12,FALSE)</f>
        <v>1</v>
      </c>
      <c r="U2055" s="81">
        <f>HLOOKUP(N2055,データについて!$J$8:$M$18,11,FALSE)</f>
        <v>1</v>
      </c>
      <c r="V2055" s="81">
        <f>HLOOKUP(O2055,データについて!$J$9:$M$18,10,FALSE)</f>
        <v>1</v>
      </c>
      <c r="W2055" s="81">
        <f>HLOOKUP(P2055,データについて!$J$10:$M$18,9,FALSE)</f>
        <v>2</v>
      </c>
      <c r="X2055" s="81">
        <f>HLOOKUP(Q2055,データについて!$J$11:$M$18,8,FALSE)</f>
        <v>2</v>
      </c>
      <c r="Y2055" s="81">
        <f>HLOOKUP(R2055,データについて!$J$12:$M$18,7,FALSE)</f>
        <v>1</v>
      </c>
      <c r="Z2055" s="81">
        <f>HLOOKUP(I2055,データについて!$J$3:$M$18,16,FALSE)</f>
        <v>2</v>
      </c>
      <c r="AA2055" s="81" t="str">
        <f>IFERROR(HLOOKUP(J2055,データについて!$J$4:$AH$19,16,FALSE),"")</f>
        <v/>
      </c>
      <c r="AB2055" s="81">
        <f>IFERROR(HLOOKUP(K2055,データについて!$J$5:$AH$20,14,FALSE),"")</f>
        <v>2</v>
      </c>
      <c r="AC2055" s="81" t="str">
        <f>IF(X2055=1,HLOOKUP(R2055,データについて!$J$12:$M$18,7,FALSE),"*")</f>
        <v>*</v>
      </c>
      <c r="AD2055" s="81">
        <f>IF(X2055=2,HLOOKUP(R2055,データについて!$J$12:$M$18,7,FALSE),"*")</f>
        <v>1</v>
      </c>
    </row>
    <row r="2056" spans="1:30">
      <c r="A2056" s="30">
        <v>3136</v>
      </c>
      <c r="B2056" s="30" t="s">
        <v>2146</v>
      </c>
      <c r="C2056" s="30" t="s">
        <v>2147</v>
      </c>
      <c r="D2056" s="30" t="s">
        <v>106</v>
      </c>
      <c r="E2056" s="30"/>
      <c r="F2056" s="30" t="s">
        <v>107</v>
      </c>
      <c r="G2056" s="30" t="s">
        <v>106</v>
      </c>
      <c r="H2056" s="30"/>
      <c r="I2056" s="30" t="s">
        <v>191</v>
      </c>
      <c r="J2056" s="30"/>
      <c r="K2056" s="30" t="s">
        <v>1713</v>
      </c>
      <c r="L2056" s="30" t="s">
        <v>108</v>
      </c>
      <c r="M2056" s="30" t="s">
        <v>121</v>
      </c>
      <c r="N2056" s="30" t="s">
        <v>122</v>
      </c>
      <c r="O2056" s="30" t="s">
        <v>115</v>
      </c>
      <c r="P2056" s="30" t="s">
        <v>112</v>
      </c>
      <c r="Q2056" s="30" t="s">
        <v>118</v>
      </c>
      <c r="R2056" s="30" t="s">
        <v>183</v>
      </c>
      <c r="S2056" s="81">
        <f>HLOOKUP(L2056,データについて!$J$6:$M$18,13,FALSE)</f>
        <v>1</v>
      </c>
      <c r="T2056" s="81">
        <f>HLOOKUP(M2056,データについて!$J$7:$M$18,12,FALSE)</f>
        <v>4</v>
      </c>
      <c r="U2056" s="81">
        <f>HLOOKUP(N2056,データについて!$J$8:$M$18,11,FALSE)</f>
        <v>3</v>
      </c>
      <c r="V2056" s="81">
        <f>HLOOKUP(O2056,データについて!$J$9:$M$18,10,FALSE)</f>
        <v>1</v>
      </c>
      <c r="W2056" s="81">
        <f>HLOOKUP(P2056,データについて!$J$10:$M$18,9,FALSE)</f>
        <v>1</v>
      </c>
      <c r="X2056" s="81">
        <f>HLOOKUP(Q2056,データについて!$J$11:$M$18,8,FALSE)</f>
        <v>2</v>
      </c>
      <c r="Y2056" s="81">
        <f>HLOOKUP(R2056,データについて!$J$12:$M$18,7,FALSE)</f>
        <v>1</v>
      </c>
      <c r="Z2056" s="81">
        <f>HLOOKUP(I2056,データについて!$J$3:$M$18,16,FALSE)</f>
        <v>2</v>
      </c>
      <c r="AA2056" s="81" t="str">
        <f>IFERROR(HLOOKUP(J2056,データについて!$J$4:$AH$19,16,FALSE),"")</f>
        <v/>
      </c>
      <c r="AB2056" s="81">
        <f>IFERROR(HLOOKUP(K2056,データについて!$J$5:$AH$20,14,FALSE),"")</f>
        <v>2</v>
      </c>
      <c r="AC2056" s="81" t="str">
        <f>IF(X2056=1,HLOOKUP(R2056,データについて!$J$12:$M$18,7,FALSE),"*")</f>
        <v>*</v>
      </c>
      <c r="AD2056" s="81">
        <f>IF(X2056=2,HLOOKUP(R2056,データについて!$J$12:$M$18,7,FALSE),"*")</f>
        <v>1</v>
      </c>
    </row>
    <row r="2057" spans="1:30">
      <c r="A2057" s="30">
        <v>3135</v>
      </c>
      <c r="B2057" s="30" t="s">
        <v>2148</v>
      </c>
      <c r="C2057" s="30" t="s">
        <v>2149</v>
      </c>
      <c r="D2057" s="30" t="s">
        <v>106</v>
      </c>
      <c r="E2057" s="30"/>
      <c r="F2057" s="30" t="s">
        <v>107</v>
      </c>
      <c r="G2057" s="30" t="s">
        <v>106</v>
      </c>
      <c r="H2057" s="30"/>
      <c r="I2057" s="30" t="s">
        <v>191</v>
      </c>
      <c r="J2057" s="30"/>
      <c r="K2057" s="30" t="s">
        <v>1713</v>
      </c>
      <c r="L2057" s="30" t="s">
        <v>108</v>
      </c>
      <c r="M2057" s="30" t="s">
        <v>124</v>
      </c>
      <c r="N2057" s="30" t="s">
        <v>119</v>
      </c>
      <c r="O2057" s="30" t="s">
        <v>123</v>
      </c>
      <c r="P2057" s="30" t="s">
        <v>118</v>
      </c>
      <c r="Q2057" s="30" t="s">
        <v>118</v>
      </c>
      <c r="R2057" s="30" t="s">
        <v>187</v>
      </c>
      <c r="S2057" s="81">
        <f>HLOOKUP(L2057,データについて!$J$6:$M$18,13,FALSE)</f>
        <v>1</v>
      </c>
      <c r="T2057" s="81">
        <f>HLOOKUP(M2057,データについて!$J$7:$M$18,12,FALSE)</f>
        <v>3</v>
      </c>
      <c r="U2057" s="81">
        <f>HLOOKUP(N2057,データについて!$J$8:$M$18,11,FALSE)</f>
        <v>4</v>
      </c>
      <c r="V2057" s="81">
        <f>HLOOKUP(O2057,データについて!$J$9:$M$18,10,FALSE)</f>
        <v>4</v>
      </c>
      <c r="W2057" s="81">
        <f>HLOOKUP(P2057,データについて!$J$10:$M$18,9,FALSE)</f>
        <v>2</v>
      </c>
      <c r="X2057" s="81">
        <f>HLOOKUP(Q2057,データについて!$J$11:$M$18,8,FALSE)</f>
        <v>2</v>
      </c>
      <c r="Y2057" s="81">
        <f>HLOOKUP(R2057,データについて!$J$12:$M$18,7,FALSE)</f>
        <v>3</v>
      </c>
      <c r="Z2057" s="81">
        <f>HLOOKUP(I2057,データについて!$J$3:$M$18,16,FALSE)</f>
        <v>2</v>
      </c>
      <c r="AA2057" s="81" t="str">
        <f>IFERROR(HLOOKUP(J2057,データについて!$J$4:$AH$19,16,FALSE),"")</f>
        <v/>
      </c>
      <c r="AB2057" s="81">
        <f>IFERROR(HLOOKUP(K2057,データについて!$J$5:$AH$20,14,FALSE),"")</f>
        <v>2</v>
      </c>
      <c r="AC2057" s="81" t="str">
        <f>IF(X2057=1,HLOOKUP(R2057,データについて!$J$12:$M$18,7,FALSE),"*")</f>
        <v>*</v>
      </c>
      <c r="AD2057" s="81">
        <f>IF(X2057=2,HLOOKUP(R2057,データについて!$J$12:$M$18,7,FALSE),"*")</f>
        <v>3</v>
      </c>
    </row>
    <row r="2058" spans="1:30">
      <c r="A2058" s="30">
        <v>3134</v>
      </c>
      <c r="B2058" s="30" t="s">
        <v>2150</v>
      </c>
      <c r="C2058" s="30" t="s">
        <v>2151</v>
      </c>
      <c r="D2058" s="30" t="s">
        <v>106</v>
      </c>
      <c r="E2058" s="30"/>
      <c r="F2058" s="30" t="s">
        <v>107</v>
      </c>
      <c r="G2058" s="30" t="s">
        <v>106</v>
      </c>
      <c r="H2058" s="30"/>
      <c r="I2058" s="30" t="s">
        <v>191</v>
      </c>
      <c r="J2058" s="30"/>
      <c r="K2058" s="30" t="s">
        <v>1713</v>
      </c>
      <c r="L2058" s="30" t="s">
        <v>117</v>
      </c>
      <c r="M2058" s="30" t="s">
        <v>113</v>
      </c>
      <c r="N2058" s="30" t="s">
        <v>114</v>
      </c>
      <c r="O2058" s="30" t="s">
        <v>115</v>
      </c>
      <c r="P2058" s="30" t="s">
        <v>112</v>
      </c>
      <c r="Q2058" s="30" t="s">
        <v>118</v>
      </c>
      <c r="R2058" s="30" t="s">
        <v>187</v>
      </c>
      <c r="S2058" s="81">
        <f>HLOOKUP(L2058,データについて!$J$6:$M$18,13,FALSE)</f>
        <v>2</v>
      </c>
      <c r="T2058" s="81">
        <f>HLOOKUP(M2058,データについて!$J$7:$M$18,12,FALSE)</f>
        <v>1</v>
      </c>
      <c r="U2058" s="81">
        <f>HLOOKUP(N2058,データについて!$J$8:$M$18,11,FALSE)</f>
        <v>1</v>
      </c>
      <c r="V2058" s="81">
        <f>HLOOKUP(O2058,データについて!$J$9:$M$18,10,FALSE)</f>
        <v>1</v>
      </c>
      <c r="W2058" s="81">
        <f>HLOOKUP(P2058,データについて!$J$10:$M$18,9,FALSE)</f>
        <v>1</v>
      </c>
      <c r="X2058" s="81">
        <f>HLOOKUP(Q2058,データについて!$J$11:$M$18,8,FALSE)</f>
        <v>2</v>
      </c>
      <c r="Y2058" s="81">
        <f>HLOOKUP(R2058,データについて!$J$12:$M$18,7,FALSE)</f>
        <v>3</v>
      </c>
      <c r="Z2058" s="81">
        <f>HLOOKUP(I2058,データについて!$J$3:$M$18,16,FALSE)</f>
        <v>2</v>
      </c>
      <c r="AA2058" s="81" t="str">
        <f>IFERROR(HLOOKUP(J2058,データについて!$J$4:$AH$19,16,FALSE),"")</f>
        <v/>
      </c>
      <c r="AB2058" s="81">
        <f>IFERROR(HLOOKUP(K2058,データについて!$J$5:$AH$20,14,FALSE),"")</f>
        <v>2</v>
      </c>
      <c r="AC2058" s="81" t="str">
        <f>IF(X2058=1,HLOOKUP(R2058,データについて!$J$12:$M$18,7,FALSE),"*")</f>
        <v>*</v>
      </c>
      <c r="AD2058" s="81">
        <f>IF(X2058=2,HLOOKUP(R2058,データについて!$J$12:$M$18,7,FALSE),"*")</f>
        <v>3</v>
      </c>
    </row>
    <row r="2059" spans="1:30">
      <c r="A2059" s="30">
        <v>3133</v>
      </c>
      <c r="B2059" s="30" t="s">
        <v>2152</v>
      </c>
      <c r="C2059" s="30" t="s">
        <v>2153</v>
      </c>
      <c r="D2059" s="30" t="s">
        <v>106</v>
      </c>
      <c r="E2059" s="30"/>
      <c r="F2059" s="30" t="s">
        <v>107</v>
      </c>
      <c r="G2059" s="30" t="s">
        <v>106</v>
      </c>
      <c r="H2059" s="30"/>
      <c r="I2059" s="30" t="s">
        <v>191</v>
      </c>
      <c r="J2059" s="30"/>
      <c r="K2059" s="30" t="s">
        <v>1713</v>
      </c>
      <c r="L2059" s="30" t="s">
        <v>117</v>
      </c>
      <c r="M2059" s="30" t="s">
        <v>109</v>
      </c>
      <c r="N2059" s="30" t="s">
        <v>110</v>
      </c>
      <c r="O2059" s="30" t="s">
        <v>115</v>
      </c>
      <c r="P2059" s="30" t="s">
        <v>118</v>
      </c>
      <c r="Q2059" s="30" t="s">
        <v>112</v>
      </c>
      <c r="R2059" s="30" t="s">
        <v>185</v>
      </c>
      <c r="S2059" s="81">
        <f>HLOOKUP(L2059,データについて!$J$6:$M$18,13,FALSE)</f>
        <v>2</v>
      </c>
      <c r="T2059" s="81">
        <f>HLOOKUP(M2059,データについて!$J$7:$M$18,12,FALSE)</f>
        <v>2</v>
      </c>
      <c r="U2059" s="81">
        <f>HLOOKUP(N2059,データについて!$J$8:$M$18,11,FALSE)</f>
        <v>2</v>
      </c>
      <c r="V2059" s="81">
        <f>HLOOKUP(O2059,データについて!$J$9:$M$18,10,FALSE)</f>
        <v>1</v>
      </c>
      <c r="W2059" s="81">
        <f>HLOOKUP(P2059,データについて!$J$10:$M$18,9,FALSE)</f>
        <v>2</v>
      </c>
      <c r="X2059" s="81">
        <f>HLOOKUP(Q2059,データについて!$J$11:$M$18,8,FALSE)</f>
        <v>1</v>
      </c>
      <c r="Y2059" s="81">
        <f>HLOOKUP(R2059,データについて!$J$12:$M$18,7,FALSE)</f>
        <v>2</v>
      </c>
      <c r="Z2059" s="81">
        <f>HLOOKUP(I2059,データについて!$J$3:$M$18,16,FALSE)</f>
        <v>2</v>
      </c>
      <c r="AA2059" s="81" t="str">
        <f>IFERROR(HLOOKUP(J2059,データについて!$J$4:$AH$19,16,FALSE),"")</f>
        <v/>
      </c>
      <c r="AB2059" s="81">
        <f>IFERROR(HLOOKUP(K2059,データについて!$J$5:$AH$20,14,FALSE),"")</f>
        <v>2</v>
      </c>
      <c r="AC2059" s="81">
        <f>IF(X2059=1,HLOOKUP(R2059,データについて!$J$12:$M$18,7,FALSE),"*")</f>
        <v>2</v>
      </c>
      <c r="AD2059" s="81" t="str">
        <f>IF(X2059=2,HLOOKUP(R2059,データについて!$J$12:$M$18,7,FALSE),"*")</f>
        <v>*</v>
      </c>
    </row>
    <row r="2060" spans="1:30">
      <c r="A2060" s="30">
        <v>3132</v>
      </c>
      <c r="B2060" s="30" t="s">
        <v>2154</v>
      </c>
      <c r="C2060" s="30" t="s">
        <v>2155</v>
      </c>
      <c r="D2060" s="30" t="s">
        <v>106</v>
      </c>
      <c r="E2060" s="30"/>
      <c r="F2060" s="30" t="s">
        <v>107</v>
      </c>
      <c r="G2060" s="30" t="s">
        <v>106</v>
      </c>
      <c r="H2060" s="30"/>
      <c r="I2060" s="30" t="s">
        <v>191</v>
      </c>
      <c r="J2060" s="30"/>
      <c r="K2060" s="30" t="s">
        <v>1713</v>
      </c>
      <c r="L2060" s="30" t="s">
        <v>108</v>
      </c>
      <c r="M2060" s="30" t="s">
        <v>124</v>
      </c>
      <c r="N2060" s="30" t="s">
        <v>119</v>
      </c>
      <c r="O2060" s="30" t="s">
        <v>115</v>
      </c>
      <c r="P2060" s="30" t="s">
        <v>118</v>
      </c>
      <c r="Q2060" s="30" t="s">
        <v>112</v>
      </c>
      <c r="R2060" s="30" t="s">
        <v>189</v>
      </c>
      <c r="S2060" s="81">
        <f>HLOOKUP(L2060,データについて!$J$6:$M$18,13,FALSE)</f>
        <v>1</v>
      </c>
      <c r="T2060" s="81">
        <f>HLOOKUP(M2060,データについて!$J$7:$M$18,12,FALSE)</f>
        <v>3</v>
      </c>
      <c r="U2060" s="81">
        <f>HLOOKUP(N2060,データについて!$J$8:$M$18,11,FALSE)</f>
        <v>4</v>
      </c>
      <c r="V2060" s="81">
        <f>HLOOKUP(O2060,データについて!$J$9:$M$18,10,FALSE)</f>
        <v>1</v>
      </c>
      <c r="W2060" s="81">
        <f>HLOOKUP(P2060,データについて!$J$10:$M$18,9,FALSE)</f>
        <v>2</v>
      </c>
      <c r="X2060" s="81">
        <f>HLOOKUP(Q2060,データについて!$J$11:$M$18,8,FALSE)</f>
        <v>1</v>
      </c>
      <c r="Y2060" s="81">
        <f>HLOOKUP(R2060,データについて!$J$12:$M$18,7,FALSE)</f>
        <v>4</v>
      </c>
      <c r="Z2060" s="81">
        <f>HLOOKUP(I2060,データについて!$J$3:$M$18,16,FALSE)</f>
        <v>2</v>
      </c>
      <c r="AA2060" s="81" t="str">
        <f>IFERROR(HLOOKUP(J2060,データについて!$J$4:$AH$19,16,FALSE),"")</f>
        <v/>
      </c>
      <c r="AB2060" s="81">
        <f>IFERROR(HLOOKUP(K2060,データについて!$J$5:$AH$20,14,FALSE),"")</f>
        <v>2</v>
      </c>
      <c r="AC2060" s="81">
        <f>IF(X2060=1,HLOOKUP(R2060,データについて!$J$12:$M$18,7,FALSE),"*")</f>
        <v>4</v>
      </c>
      <c r="AD2060" s="81" t="str">
        <f>IF(X2060=2,HLOOKUP(R2060,データについて!$J$12:$M$18,7,FALSE),"*")</f>
        <v>*</v>
      </c>
    </row>
    <row r="2061" spans="1:30">
      <c r="A2061" s="30">
        <v>3131</v>
      </c>
      <c r="B2061" s="30" t="s">
        <v>2156</v>
      </c>
      <c r="C2061" s="30" t="s">
        <v>2155</v>
      </c>
      <c r="D2061" s="30" t="s">
        <v>106</v>
      </c>
      <c r="E2061" s="30"/>
      <c r="F2061" s="30" t="s">
        <v>107</v>
      </c>
      <c r="G2061" s="30" t="s">
        <v>106</v>
      </c>
      <c r="H2061" s="30"/>
      <c r="I2061" s="30" t="s">
        <v>191</v>
      </c>
      <c r="J2061" s="30"/>
      <c r="K2061" s="30" t="s">
        <v>1713</v>
      </c>
      <c r="L2061" s="30" t="s">
        <v>108</v>
      </c>
      <c r="M2061" s="30" t="s">
        <v>109</v>
      </c>
      <c r="N2061" s="30" t="s">
        <v>114</v>
      </c>
      <c r="O2061" s="30" t="s">
        <v>115</v>
      </c>
      <c r="P2061" s="30" t="s">
        <v>112</v>
      </c>
      <c r="Q2061" s="30" t="s">
        <v>112</v>
      </c>
      <c r="R2061" s="30" t="s">
        <v>185</v>
      </c>
      <c r="S2061" s="81">
        <f>HLOOKUP(L2061,データについて!$J$6:$M$18,13,FALSE)</f>
        <v>1</v>
      </c>
      <c r="T2061" s="81">
        <f>HLOOKUP(M2061,データについて!$J$7:$M$18,12,FALSE)</f>
        <v>2</v>
      </c>
      <c r="U2061" s="81">
        <f>HLOOKUP(N2061,データについて!$J$8:$M$18,11,FALSE)</f>
        <v>1</v>
      </c>
      <c r="V2061" s="81">
        <f>HLOOKUP(O2061,データについて!$J$9:$M$18,10,FALSE)</f>
        <v>1</v>
      </c>
      <c r="W2061" s="81">
        <f>HLOOKUP(P2061,データについて!$J$10:$M$18,9,FALSE)</f>
        <v>1</v>
      </c>
      <c r="X2061" s="81">
        <f>HLOOKUP(Q2061,データについて!$J$11:$M$18,8,FALSE)</f>
        <v>1</v>
      </c>
      <c r="Y2061" s="81">
        <f>HLOOKUP(R2061,データについて!$J$12:$M$18,7,FALSE)</f>
        <v>2</v>
      </c>
      <c r="Z2061" s="81">
        <f>HLOOKUP(I2061,データについて!$J$3:$M$18,16,FALSE)</f>
        <v>2</v>
      </c>
      <c r="AA2061" s="81" t="str">
        <f>IFERROR(HLOOKUP(J2061,データについて!$J$4:$AH$19,16,FALSE),"")</f>
        <v/>
      </c>
      <c r="AB2061" s="81">
        <f>IFERROR(HLOOKUP(K2061,データについて!$J$5:$AH$20,14,FALSE),"")</f>
        <v>2</v>
      </c>
      <c r="AC2061" s="81">
        <f>IF(X2061=1,HLOOKUP(R2061,データについて!$J$12:$M$18,7,FALSE),"*")</f>
        <v>2</v>
      </c>
      <c r="AD2061" s="81" t="str">
        <f>IF(X2061=2,HLOOKUP(R2061,データについて!$J$12:$M$18,7,FALSE),"*")</f>
        <v>*</v>
      </c>
    </row>
    <row r="2062" spans="1:30">
      <c r="A2062" s="30">
        <v>3130</v>
      </c>
      <c r="B2062" s="30" t="s">
        <v>2157</v>
      </c>
      <c r="C2062" s="30" t="s">
        <v>2158</v>
      </c>
      <c r="D2062" s="30" t="s">
        <v>106</v>
      </c>
      <c r="E2062" s="30"/>
      <c r="F2062" s="30" t="s">
        <v>107</v>
      </c>
      <c r="G2062" s="30" t="s">
        <v>106</v>
      </c>
      <c r="H2062" s="30"/>
      <c r="I2062" s="30" t="s">
        <v>191</v>
      </c>
      <c r="J2062" s="30"/>
      <c r="K2062" s="30" t="s">
        <v>1713</v>
      </c>
      <c r="L2062" s="30" t="s">
        <v>117</v>
      </c>
      <c r="M2062" s="30" t="s">
        <v>124</v>
      </c>
      <c r="N2062" s="30" t="s">
        <v>110</v>
      </c>
      <c r="O2062" s="30" t="s">
        <v>116</v>
      </c>
      <c r="P2062" s="30" t="s">
        <v>112</v>
      </c>
      <c r="Q2062" s="30" t="s">
        <v>118</v>
      </c>
      <c r="R2062" s="30" t="s">
        <v>189</v>
      </c>
      <c r="S2062" s="81">
        <f>HLOOKUP(L2062,データについて!$J$6:$M$18,13,FALSE)</f>
        <v>2</v>
      </c>
      <c r="T2062" s="81">
        <f>HLOOKUP(M2062,データについて!$J$7:$M$18,12,FALSE)</f>
        <v>3</v>
      </c>
      <c r="U2062" s="81">
        <f>HLOOKUP(N2062,データについて!$J$8:$M$18,11,FALSE)</f>
        <v>2</v>
      </c>
      <c r="V2062" s="81">
        <f>HLOOKUP(O2062,データについて!$J$9:$M$18,10,FALSE)</f>
        <v>2</v>
      </c>
      <c r="W2062" s="81">
        <f>HLOOKUP(P2062,データについて!$J$10:$M$18,9,FALSE)</f>
        <v>1</v>
      </c>
      <c r="X2062" s="81">
        <f>HLOOKUP(Q2062,データについて!$J$11:$M$18,8,FALSE)</f>
        <v>2</v>
      </c>
      <c r="Y2062" s="81">
        <f>HLOOKUP(R2062,データについて!$J$12:$M$18,7,FALSE)</f>
        <v>4</v>
      </c>
      <c r="Z2062" s="81">
        <f>HLOOKUP(I2062,データについて!$J$3:$M$18,16,FALSE)</f>
        <v>2</v>
      </c>
      <c r="AA2062" s="81" t="str">
        <f>IFERROR(HLOOKUP(J2062,データについて!$J$4:$AH$19,16,FALSE),"")</f>
        <v/>
      </c>
      <c r="AB2062" s="81">
        <f>IFERROR(HLOOKUP(K2062,データについて!$J$5:$AH$20,14,FALSE),"")</f>
        <v>2</v>
      </c>
      <c r="AC2062" s="81" t="str">
        <f>IF(X2062=1,HLOOKUP(R2062,データについて!$J$12:$M$18,7,FALSE),"*")</f>
        <v>*</v>
      </c>
      <c r="AD2062" s="81">
        <f>IF(X2062=2,HLOOKUP(R2062,データについて!$J$12:$M$18,7,FALSE),"*")</f>
        <v>4</v>
      </c>
    </row>
    <row r="2063" spans="1:30">
      <c r="A2063" s="30">
        <v>3129</v>
      </c>
      <c r="B2063" s="30" t="s">
        <v>2159</v>
      </c>
      <c r="C2063" s="30" t="s">
        <v>2160</v>
      </c>
      <c r="D2063" s="30" t="s">
        <v>106</v>
      </c>
      <c r="E2063" s="30"/>
      <c r="F2063" s="30" t="s">
        <v>107</v>
      </c>
      <c r="G2063" s="30" t="s">
        <v>106</v>
      </c>
      <c r="H2063" s="30"/>
      <c r="I2063" s="30" t="s">
        <v>191</v>
      </c>
      <c r="J2063" s="30"/>
      <c r="K2063" s="30" t="s">
        <v>1713</v>
      </c>
      <c r="L2063" s="30" t="s">
        <v>117</v>
      </c>
      <c r="M2063" s="30" t="s">
        <v>124</v>
      </c>
      <c r="N2063" s="30" t="s">
        <v>110</v>
      </c>
      <c r="O2063" s="30" t="s">
        <v>115</v>
      </c>
      <c r="P2063" s="30" t="s">
        <v>118</v>
      </c>
      <c r="Q2063" s="30" t="s">
        <v>112</v>
      </c>
      <c r="R2063" s="30" t="s">
        <v>185</v>
      </c>
      <c r="S2063" s="81">
        <f>HLOOKUP(L2063,データについて!$J$6:$M$18,13,FALSE)</f>
        <v>2</v>
      </c>
      <c r="T2063" s="81">
        <f>HLOOKUP(M2063,データについて!$J$7:$M$18,12,FALSE)</f>
        <v>3</v>
      </c>
      <c r="U2063" s="81">
        <f>HLOOKUP(N2063,データについて!$J$8:$M$18,11,FALSE)</f>
        <v>2</v>
      </c>
      <c r="V2063" s="81">
        <f>HLOOKUP(O2063,データについて!$J$9:$M$18,10,FALSE)</f>
        <v>1</v>
      </c>
      <c r="W2063" s="81">
        <f>HLOOKUP(P2063,データについて!$J$10:$M$18,9,FALSE)</f>
        <v>2</v>
      </c>
      <c r="X2063" s="81">
        <f>HLOOKUP(Q2063,データについて!$J$11:$M$18,8,FALSE)</f>
        <v>1</v>
      </c>
      <c r="Y2063" s="81">
        <f>HLOOKUP(R2063,データについて!$J$12:$M$18,7,FALSE)</f>
        <v>2</v>
      </c>
      <c r="Z2063" s="81">
        <f>HLOOKUP(I2063,データについて!$J$3:$M$18,16,FALSE)</f>
        <v>2</v>
      </c>
      <c r="AA2063" s="81" t="str">
        <f>IFERROR(HLOOKUP(J2063,データについて!$J$4:$AH$19,16,FALSE),"")</f>
        <v/>
      </c>
      <c r="AB2063" s="81">
        <f>IFERROR(HLOOKUP(K2063,データについて!$J$5:$AH$20,14,FALSE),"")</f>
        <v>2</v>
      </c>
      <c r="AC2063" s="81">
        <f>IF(X2063=1,HLOOKUP(R2063,データについて!$J$12:$M$18,7,FALSE),"*")</f>
        <v>2</v>
      </c>
      <c r="AD2063" s="81" t="str">
        <f>IF(X2063=2,HLOOKUP(R2063,データについて!$J$12:$M$18,7,FALSE),"*")</f>
        <v>*</v>
      </c>
    </row>
    <row r="2064" spans="1:30">
      <c r="A2064" s="30">
        <v>3128</v>
      </c>
      <c r="B2064" s="30" t="s">
        <v>2161</v>
      </c>
      <c r="C2064" s="30" t="s">
        <v>2162</v>
      </c>
      <c r="D2064" s="30" t="s">
        <v>106</v>
      </c>
      <c r="E2064" s="30"/>
      <c r="F2064" s="30" t="s">
        <v>107</v>
      </c>
      <c r="G2064" s="30" t="s">
        <v>106</v>
      </c>
      <c r="H2064" s="30"/>
      <c r="I2064" s="30" t="s">
        <v>191</v>
      </c>
      <c r="J2064" s="30"/>
      <c r="K2064" s="30" t="s">
        <v>1713</v>
      </c>
      <c r="L2064" s="30" t="s">
        <v>108</v>
      </c>
      <c r="M2064" s="30" t="s">
        <v>121</v>
      </c>
      <c r="N2064" s="30" t="s">
        <v>110</v>
      </c>
      <c r="O2064" s="30" t="s">
        <v>115</v>
      </c>
      <c r="P2064" s="30" t="s">
        <v>112</v>
      </c>
      <c r="Q2064" s="30" t="s">
        <v>118</v>
      </c>
      <c r="R2064" s="30" t="s">
        <v>183</v>
      </c>
      <c r="S2064" s="81">
        <f>HLOOKUP(L2064,データについて!$J$6:$M$18,13,FALSE)</f>
        <v>1</v>
      </c>
      <c r="T2064" s="81">
        <f>HLOOKUP(M2064,データについて!$J$7:$M$18,12,FALSE)</f>
        <v>4</v>
      </c>
      <c r="U2064" s="81">
        <f>HLOOKUP(N2064,データについて!$J$8:$M$18,11,FALSE)</f>
        <v>2</v>
      </c>
      <c r="V2064" s="81">
        <f>HLOOKUP(O2064,データについて!$J$9:$M$18,10,FALSE)</f>
        <v>1</v>
      </c>
      <c r="W2064" s="81">
        <f>HLOOKUP(P2064,データについて!$J$10:$M$18,9,FALSE)</f>
        <v>1</v>
      </c>
      <c r="X2064" s="81">
        <f>HLOOKUP(Q2064,データについて!$J$11:$M$18,8,FALSE)</f>
        <v>2</v>
      </c>
      <c r="Y2064" s="81">
        <f>HLOOKUP(R2064,データについて!$J$12:$M$18,7,FALSE)</f>
        <v>1</v>
      </c>
      <c r="Z2064" s="81">
        <f>HLOOKUP(I2064,データについて!$J$3:$M$18,16,FALSE)</f>
        <v>2</v>
      </c>
      <c r="AA2064" s="81" t="str">
        <f>IFERROR(HLOOKUP(J2064,データについて!$J$4:$AH$19,16,FALSE),"")</f>
        <v/>
      </c>
      <c r="AB2064" s="81">
        <f>IFERROR(HLOOKUP(K2064,データについて!$J$5:$AH$20,14,FALSE),"")</f>
        <v>2</v>
      </c>
      <c r="AC2064" s="81" t="str">
        <f>IF(X2064=1,HLOOKUP(R2064,データについて!$J$12:$M$18,7,FALSE),"*")</f>
        <v>*</v>
      </c>
      <c r="AD2064" s="81">
        <f>IF(X2064=2,HLOOKUP(R2064,データについて!$J$12:$M$18,7,FALSE),"*")</f>
        <v>1</v>
      </c>
    </row>
    <row r="2065" spans="1:30">
      <c r="A2065" s="30">
        <v>3127</v>
      </c>
      <c r="B2065" s="30" t="s">
        <v>2163</v>
      </c>
      <c r="C2065" s="30" t="s">
        <v>2164</v>
      </c>
      <c r="D2065" s="30" t="s">
        <v>106</v>
      </c>
      <c r="E2065" s="30"/>
      <c r="F2065" s="30" t="s">
        <v>107</v>
      </c>
      <c r="G2065" s="30" t="s">
        <v>106</v>
      </c>
      <c r="H2065" s="30"/>
      <c r="I2065" s="30" t="s">
        <v>191</v>
      </c>
      <c r="J2065" s="30"/>
      <c r="K2065" s="30" t="s">
        <v>1713</v>
      </c>
      <c r="L2065" s="30" t="s">
        <v>108</v>
      </c>
      <c r="M2065" s="30" t="s">
        <v>113</v>
      </c>
      <c r="N2065" s="30" t="s">
        <v>110</v>
      </c>
      <c r="O2065" s="30" t="s">
        <v>115</v>
      </c>
      <c r="P2065" s="30" t="s">
        <v>118</v>
      </c>
      <c r="Q2065" s="30" t="s">
        <v>112</v>
      </c>
      <c r="R2065" s="30" t="s">
        <v>185</v>
      </c>
      <c r="S2065" s="81">
        <f>HLOOKUP(L2065,データについて!$J$6:$M$18,13,FALSE)</f>
        <v>1</v>
      </c>
      <c r="T2065" s="81">
        <f>HLOOKUP(M2065,データについて!$J$7:$M$18,12,FALSE)</f>
        <v>1</v>
      </c>
      <c r="U2065" s="81">
        <f>HLOOKUP(N2065,データについて!$J$8:$M$18,11,FALSE)</f>
        <v>2</v>
      </c>
      <c r="V2065" s="81">
        <f>HLOOKUP(O2065,データについて!$J$9:$M$18,10,FALSE)</f>
        <v>1</v>
      </c>
      <c r="W2065" s="81">
        <f>HLOOKUP(P2065,データについて!$J$10:$M$18,9,FALSE)</f>
        <v>2</v>
      </c>
      <c r="X2065" s="81">
        <f>HLOOKUP(Q2065,データについて!$J$11:$M$18,8,FALSE)</f>
        <v>1</v>
      </c>
      <c r="Y2065" s="81">
        <f>HLOOKUP(R2065,データについて!$J$12:$M$18,7,FALSE)</f>
        <v>2</v>
      </c>
      <c r="Z2065" s="81">
        <f>HLOOKUP(I2065,データについて!$J$3:$M$18,16,FALSE)</f>
        <v>2</v>
      </c>
      <c r="AA2065" s="81" t="str">
        <f>IFERROR(HLOOKUP(J2065,データについて!$J$4:$AH$19,16,FALSE),"")</f>
        <v/>
      </c>
      <c r="AB2065" s="81">
        <f>IFERROR(HLOOKUP(K2065,データについて!$J$5:$AH$20,14,FALSE),"")</f>
        <v>2</v>
      </c>
      <c r="AC2065" s="81">
        <f>IF(X2065=1,HLOOKUP(R2065,データについて!$J$12:$M$18,7,FALSE),"*")</f>
        <v>2</v>
      </c>
      <c r="AD2065" s="81" t="str">
        <f>IF(X2065=2,HLOOKUP(R2065,データについて!$J$12:$M$18,7,FALSE),"*")</f>
        <v>*</v>
      </c>
    </row>
    <row r="2066" spans="1:30">
      <c r="A2066" s="30">
        <v>3126</v>
      </c>
      <c r="B2066" s="30" t="s">
        <v>2165</v>
      </c>
      <c r="C2066" s="30" t="s">
        <v>2166</v>
      </c>
      <c r="D2066" s="30" t="s">
        <v>106</v>
      </c>
      <c r="E2066" s="30"/>
      <c r="F2066" s="30" t="s">
        <v>107</v>
      </c>
      <c r="G2066" s="30" t="s">
        <v>106</v>
      </c>
      <c r="H2066" s="30"/>
      <c r="I2066" s="30" t="s">
        <v>191</v>
      </c>
      <c r="J2066" s="30"/>
      <c r="K2066" s="30" t="s">
        <v>1713</v>
      </c>
      <c r="L2066" s="30" t="s">
        <v>120</v>
      </c>
      <c r="M2066" s="30" t="s">
        <v>124</v>
      </c>
      <c r="N2066" s="30" t="s">
        <v>122</v>
      </c>
      <c r="O2066" s="30" t="s">
        <v>116</v>
      </c>
      <c r="P2066" s="30" t="s">
        <v>118</v>
      </c>
      <c r="Q2066" s="30" t="s">
        <v>112</v>
      </c>
      <c r="R2066" s="30" t="s">
        <v>187</v>
      </c>
      <c r="S2066" s="81">
        <f>HLOOKUP(L2066,データについて!$J$6:$M$18,13,FALSE)</f>
        <v>3</v>
      </c>
      <c r="T2066" s="81">
        <f>HLOOKUP(M2066,データについて!$J$7:$M$18,12,FALSE)</f>
        <v>3</v>
      </c>
      <c r="U2066" s="81">
        <f>HLOOKUP(N2066,データについて!$J$8:$M$18,11,FALSE)</f>
        <v>3</v>
      </c>
      <c r="V2066" s="81">
        <f>HLOOKUP(O2066,データについて!$J$9:$M$18,10,FALSE)</f>
        <v>2</v>
      </c>
      <c r="W2066" s="81">
        <f>HLOOKUP(P2066,データについて!$J$10:$M$18,9,FALSE)</f>
        <v>2</v>
      </c>
      <c r="X2066" s="81">
        <f>HLOOKUP(Q2066,データについて!$J$11:$M$18,8,FALSE)</f>
        <v>1</v>
      </c>
      <c r="Y2066" s="81">
        <f>HLOOKUP(R2066,データについて!$J$12:$M$18,7,FALSE)</f>
        <v>3</v>
      </c>
      <c r="Z2066" s="81">
        <f>HLOOKUP(I2066,データについて!$J$3:$M$18,16,FALSE)</f>
        <v>2</v>
      </c>
      <c r="AA2066" s="81" t="str">
        <f>IFERROR(HLOOKUP(J2066,データについて!$J$4:$AH$19,16,FALSE),"")</f>
        <v/>
      </c>
      <c r="AB2066" s="81">
        <f>IFERROR(HLOOKUP(K2066,データについて!$J$5:$AH$20,14,FALSE),"")</f>
        <v>2</v>
      </c>
      <c r="AC2066" s="81">
        <f>IF(X2066=1,HLOOKUP(R2066,データについて!$J$12:$M$18,7,FALSE),"*")</f>
        <v>3</v>
      </c>
      <c r="AD2066" s="81" t="str">
        <f>IF(X2066=2,HLOOKUP(R2066,データについて!$J$12:$M$18,7,FALSE),"*")</f>
        <v>*</v>
      </c>
    </row>
    <row r="2067" spans="1:30">
      <c r="A2067" s="30">
        <v>3125</v>
      </c>
      <c r="B2067" s="30" t="s">
        <v>2167</v>
      </c>
      <c r="C2067" s="30" t="s">
        <v>2168</v>
      </c>
      <c r="D2067" s="30" t="s">
        <v>106</v>
      </c>
      <c r="E2067" s="30"/>
      <c r="F2067" s="30" t="s">
        <v>107</v>
      </c>
      <c r="G2067" s="30" t="s">
        <v>106</v>
      </c>
      <c r="H2067" s="30"/>
      <c r="I2067" s="30" t="s">
        <v>191</v>
      </c>
      <c r="J2067" s="30"/>
      <c r="K2067" s="30" t="s">
        <v>1713</v>
      </c>
      <c r="L2067" s="30" t="s">
        <v>117</v>
      </c>
      <c r="M2067" s="30" t="s">
        <v>109</v>
      </c>
      <c r="N2067" s="30" t="s">
        <v>110</v>
      </c>
      <c r="O2067" s="30" t="s">
        <v>115</v>
      </c>
      <c r="P2067" s="30" t="s">
        <v>118</v>
      </c>
      <c r="Q2067" s="30" t="s">
        <v>112</v>
      </c>
      <c r="R2067" s="30" t="s">
        <v>189</v>
      </c>
      <c r="S2067" s="81">
        <f>HLOOKUP(L2067,データについて!$J$6:$M$18,13,FALSE)</f>
        <v>2</v>
      </c>
      <c r="T2067" s="81">
        <f>HLOOKUP(M2067,データについて!$J$7:$M$18,12,FALSE)</f>
        <v>2</v>
      </c>
      <c r="U2067" s="81">
        <f>HLOOKUP(N2067,データについて!$J$8:$M$18,11,FALSE)</f>
        <v>2</v>
      </c>
      <c r="V2067" s="81">
        <f>HLOOKUP(O2067,データについて!$J$9:$M$18,10,FALSE)</f>
        <v>1</v>
      </c>
      <c r="W2067" s="81">
        <f>HLOOKUP(P2067,データについて!$J$10:$M$18,9,FALSE)</f>
        <v>2</v>
      </c>
      <c r="X2067" s="81">
        <f>HLOOKUP(Q2067,データについて!$J$11:$M$18,8,FALSE)</f>
        <v>1</v>
      </c>
      <c r="Y2067" s="81">
        <f>HLOOKUP(R2067,データについて!$J$12:$M$18,7,FALSE)</f>
        <v>4</v>
      </c>
      <c r="Z2067" s="81">
        <f>HLOOKUP(I2067,データについて!$J$3:$M$18,16,FALSE)</f>
        <v>2</v>
      </c>
      <c r="AA2067" s="81" t="str">
        <f>IFERROR(HLOOKUP(J2067,データについて!$J$4:$AH$19,16,FALSE),"")</f>
        <v/>
      </c>
      <c r="AB2067" s="81">
        <f>IFERROR(HLOOKUP(K2067,データについて!$J$5:$AH$20,14,FALSE),"")</f>
        <v>2</v>
      </c>
      <c r="AC2067" s="81">
        <f>IF(X2067=1,HLOOKUP(R2067,データについて!$J$12:$M$18,7,FALSE),"*")</f>
        <v>4</v>
      </c>
      <c r="AD2067" s="81" t="str">
        <f>IF(X2067=2,HLOOKUP(R2067,データについて!$J$12:$M$18,7,FALSE),"*")</f>
        <v>*</v>
      </c>
    </row>
    <row r="2068" spans="1:30">
      <c r="A2068" s="30">
        <v>3124</v>
      </c>
      <c r="B2068" s="30" t="s">
        <v>2169</v>
      </c>
      <c r="C2068" s="30" t="s">
        <v>2170</v>
      </c>
      <c r="D2068" s="30" t="s">
        <v>106</v>
      </c>
      <c r="E2068" s="30"/>
      <c r="F2068" s="30" t="s">
        <v>107</v>
      </c>
      <c r="G2068" s="30" t="s">
        <v>106</v>
      </c>
      <c r="H2068" s="30"/>
      <c r="I2068" s="30" t="s">
        <v>191</v>
      </c>
      <c r="J2068" s="30"/>
      <c r="K2068" s="30" t="s">
        <v>1713</v>
      </c>
      <c r="L2068" s="30" t="s">
        <v>117</v>
      </c>
      <c r="M2068" s="30" t="s">
        <v>113</v>
      </c>
      <c r="N2068" s="30" t="s">
        <v>122</v>
      </c>
      <c r="O2068" s="30" t="s">
        <v>115</v>
      </c>
      <c r="P2068" s="30" t="s">
        <v>112</v>
      </c>
      <c r="Q2068" s="30" t="s">
        <v>112</v>
      </c>
      <c r="R2068" s="30" t="s">
        <v>187</v>
      </c>
      <c r="S2068" s="81">
        <f>HLOOKUP(L2068,データについて!$J$6:$M$18,13,FALSE)</f>
        <v>2</v>
      </c>
      <c r="T2068" s="81">
        <f>HLOOKUP(M2068,データについて!$J$7:$M$18,12,FALSE)</f>
        <v>1</v>
      </c>
      <c r="U2068" s="81">
        <f>HLOOKUP(N2068,データについて!$J$8:$M$18,11,FALSE)</f>
        <v>3</v>
      </c>
      <c r="V2068" s="81">
        <f>HLOOKUP(O2068,データについて!$J$9:$M$18,10,FALSE)</f>
        <v>1</v>
      </c>
      <c r="W2068" s="81">
        <f>HLOOKUP(P2068,データについて!$J$10:$M$18,9,FALSE)</f>
        <v>1</v>
      </c>
      <c r="X2068" s="81">
        <f>HLOOKUP(Q2068,データについて!$J$11:$M$18,8,FALSE)</f>
        <v>1</v>
      </c>
      <c r="Y2068" s="81">
        <f>HLOOKUP(R2068,データについて!$J$12:$M$18,7,FALSE)</f>
        <v>3</v>
      </c>
      <c r="Z2068" s="81">
        <f>HLOOKUP(I2068,データについて!$J$3:$M$18,16,FALSE)</f>
        <v>2</v>
      </c>
      <c r="AA2068" s="81" t="str">
        <f>IFERROR(HLOOKUP(J2068,データについて!$J$4:$AH$19,16,FALSE),"")</f>
        <v/>
      </c>
      <c r="AB2068" s="81">
        <f>IFERROR(HLOOKUP(K2068,データについて!$J$5:$AH$20,14,FALSE),"")</f>
        <v>2</v>
      </c>
      <c r="AC2068" s="81">
        <f>IF(X2068=1,HLOOKUP(R2068,データについて!$J$12:$M$18,7,FALSE),"*")</f>
        <v>3</v>
      </c>
      <c r="AD2068" s="81" t="str">
        <f>IF(X2068=2,HLOOKUP(R2068,データについて!$J$12:$M$18,7,FALSE),"*")</f>
        <v>*</v>
      </c>
    </row>
    <row r="2069" spans="1:30">
      <c r="A2069" s="30">
        <v>3123</v>
      </c>
      <c r="B2069" s="30" t="s">
        <v>2171</v>
      </c>
      <c r="C2069" s="30" t="s">
        <v>2172</v>
      </c>
      <c r="D2069" s="30" t="s">
        <v>106</v>
      </c>
      <c r="E2069" s="30"/>
      <c r="F2069" s="30" t="s">
        <v>107</v>
      </c>
      <c r="G2069" s="30" t="s">
        <v>106</v>
      </c>
      <c r="H2069" s="30"/>
      <c r="I2069" s="30" t="s">
        <v>191</v>
      </c>
      <c r="J2069" s="30"/>
      <c r="K2069" s="30" t="s">
        <v>1713</v>
      </c>
      <c r="L2069" s="30" t="s">
        <v>117</v>
      </c>
      <c r="M2069" s="30" t="s">
        <v>124</v>
      </c>
      <c r="N2069" s="30" t="s">
        <v>122</v>
      </c>
      <c r="O2069" s="30" t="s">
        <v>115</v>
      </c>
      <c r="P2069" s="30" t="s">
        <v>112</v>
      </c>
      <c r="Q2069" s="30" t="s">
        <v>118</v>
      </c>
      <c r="R2069" s="30" t="s">
        <v>187</v>
      </c>
      <c r="S2069" s="81">
        <f>HLOOKUP(L2069,データについて!$J$6:$M$18,13,FALSE)</f>
        <v>2</v>
      </c>
      <c r="T2069" s="81">
        <f>HLOOKUP(M2069,データについて!$J$7:$M$18,12,FALSE)</f>
        <v>3</v>
      </c>
      <c r="U2069" s="81">
        <f>HLOOKUP(N2069,データについて!$J$8:$M$18,11,FALSE)</f>
        <v>3</v>
      </c>
      <c r="V2069" s="81">
        <f>HLOOKUP(O2069,データについて!$J$9:$M$18,10,FALSE)</f>
        <v>1</v>
      </c>
      <c r="W2069" s="81">
        <f>HLOOKUP(P2069,データについて!$J$10:$M$18,9,FALSE)</f>
        <v>1</v>
      </c>
      <c r="X2069" s="81">
        <f>HLOOKUP(Q2069,データについて!$J$11:$M$18,8,FALSE)</f>
        <v>2</v>
      </c>
      <c r="Y2069" s="81">
        <f>HLOOKUP(R2069,データについて!$J$12:$M$18,7,FALSE)</f>
        <v>3</v>
      </c>
      <c r="Z2069" s="81">
        <f>HLOOKUP(I2069,データについて!$J$3:$M$18,16,FALSE)</f>
        <v>2</v>
      </c>
      <c r="AA2069" s="81" t="str">
        <f>IFERROR(HLOOKUP(J2069,データについて!$J$4:$AH$19,16,FALSE),"")</f>
        <v/>
      </c>
      <c r="AB2069" s="81">
        <f>IFERROR(HLOOKUP(K2069,データについて!$J$5:$AH$20,14,FALSE),"")</f>
        <v>2</v>
      </c>
      <c r="AC2069" s="81" t="str">
        <f>IF(X2069=1,HLOOKUP(R2069,データについて!$J$12:$M$18,7,FALSE),"*")</f>
        <v>*</v>
      </c>
      <c r="AD2069" s="81">
        <f>IF(X2069=2,HLOOKUP(R2069,データについて!$J$12:$M$18,7,FALSE),"*")</f>
        <v>3</v>
      </c>
    </row>
    <row r="2070" spans="1:30">
      <c r="A2070" s="30">
        <v>3122</v>
      </c>
      <c r="B2070" s="30" t="s">
        <v>2173</v>
      </c>
      <c r="C2070" s="30" t="s">
        <v>2174</v>
      </c>
      <c r="D2070" s="30" t="s">
        <v>106</v>
      </c>
      <c r="E2070" s="30"/>
      <c r="F2070" s="30" t="s">
        <v>107</v>
      </c>
      <c r="G2070" s="30" t="s">
        <v>106</v>
      </c>
      <c r="H2070" s="30"/>
      <c r="I2070" s="30" t="s">
        <v>191</v>
      </c>
      <c r="J2070" s="30"/>
      <c r="K2070" s="30" t="s">
        <v>1713</v>
      </c>
      <c r="L2070" s="30" t="s">
        <v>108</v>
      </c>
      <c r="M2070" s="30" t="s">
        <v>113</v>
      </c>
      <c r="N2070" s="30" t="s">
        <v>114</v>
      </c>
      <c r="O2070" s="30" t="s">
        <v>115</v>
      </c>
      <c r="P2070" s="30" t="s">
        <v>112</v>
      </c>
      <c r="Q2070" s="30" t="s">
        <v>112</v>
      </c>
      <c r="R2070" s="30" t="s">
        <v>183</v>
      </c>
      <c r="S2070" s="81">
        <f>HLOOKUP(L2070,データについて!$J$6:$M$18,13,FALSE)</f>
        <v>1</v>
      </c>
      <c r="T2070" s="81">
        <f>HLOOKUP(M2070,データについて!$J$7:$M$18,12,FALSE)</f>
        <v>1</v>
      </c>
      <c r="U2070" s="81">
        <f>HLOOKUP(N2070,データについて!$J$8:$M$18,11,FALSE)</f>
        <v>1</v>
      </c>
      <c r="V2070" s="81">
        <f>HLOOKUP(O2070,データについて!$J$9:$M$18,10,FALSE)</f>
        <v>1</v>
      </c>
      <c r="W2070" s="81">
        <f>HLOOKUP(P2070,データについて!$J$10:$M$18,9,FALSE)</f>
        <v>1</v>
      </c>
      <c r="X2070" s="81">
        <f>HLOOKUP(Q2070,データについて!$J$11:$M$18,8,FALSE)</f>
        <v>1</v>
      </c>
      <c r="Y2070" s="81">
        <f>HLOOKUP(R2070,データについて!$J$12:$M$18,7,FALSE)</f>
        <v>1</v>
      </c>
      <c r="Z2070" s="81">
        <f>HLOOKUP(I2070,データについて!$J$3:$M$18,16,FALSE)</f>
        <v>2</v>
      </c>
      <c r="AA2070" s="81" t="str">
        <f>IFERROR(HLOOKUP(J2070,データについて!$J$4:$AH$19,16,FALSE),"")</f>
        <v/>
      </c>
      <c r="AB2070" s="81">
        <f>IFERROR(HLOOKUP(K2070,データについて!$J$5:$AH$20,14,FALSE),"")</f>
        <v>2</v>
      </c>
      <c r="AC2070" s="81">
        <f>IF(X2070=1,HLOOKUP(R2070,データについて!$J$12:$M$18,7,FALSE),"*")</f>
        <v>1</v>
      </c>
      <c r="AD2070" s="81" t="str">
        <f>IF(X2070=2,HLOOKUP(R2070,データについて!$J$12:$M$18,7,FALSE),"*")</f>
        <v>*</v>
      </c>
    </row>
    <row r="2071" spans="1:30">
      <c r="A2071" s="30">
        <v>3121</v>
      </c>
      <c r="B2071" s="30" t="s">
        <v>2175</v>
      </c>
      <c r="C2071" s="30" t="s">
        <v>2176</v>
      </c>
      <c r="D2071" s="30" t="s">
        <v>106</v>
      </c>
      <c r="E2071" s="30"/>
      <c r="F2071" s="30" t="s">
        <v>107</v>
      </c>
      <c r="G2071" s="30" t="s">
        <v>106</v>
      </c>
      <c r="H2071" s="30"/>
      <c r="I2071" s="30" t="s">
        <v>191</v>
      </c>
      <c r="J2071" s="30"/>
      <c r="K2071" s="30" t="s">
        <v>1713</v>
      </c>
      <c r="L2071" s="30" t="s">
        <v>117</v>
      </c>
      <c r="M2071" s="30" t="s">
        <v>113</v>
      </c>
      <c r="N2071" s="30" t="s">
        <v>122</v>
      </c>
      <c r="O2071" s="30" t="s">
        <v>115</v>
      </c>
      <c r="P2071" s="30" t="s">
        <v>112</v>
      </c>
      <c r="Q2071" s="30" t="s">
        <v>112</v>
      </c>
      <c r="R2071" s="30" t="s">
        <v>183</v>
      </c>
      <c r="S2071" s="81">
        <f>HLOOKUP(L2071,データについて!$J$6:$M$18,13,FALSE)</f>
        <v>2</v>
      </c>
      <c r="T2071" s="81">
        <f>HLOOKUP(M2071,データについて!$J$7:$M$18,12,FALSE)</f>
        <v>1</v>
      </c>
      <c r="U2071" s="81">
        <f>HLOOKUP(N2071,データについて!$J$8:$M$18,11,FALSE)</f>
        <v>3</v>
      </c>
      <c r="V2071" s="81">
        <f>HLOOKUP(O2071,データについて!$J$9:$M$18,10,FALSE)</f>
        <v>1</v>
      </c>
      <c r="W2071" s="81">
        <f>HLOOKUP(P2071,データについて!$J$10:$M$18,9,FALSE)</f>
        <v>1</v>
      </c>
      <c r="X2071" s="81">
        <f>HLOOKUP(Q2071,データについて!$J$11:$M$18,8,FALSE)</f>
        <v>1</v>
      </c>
      <c r="Y2071" s="81">
        <f>HLOOKUP(R2071,データについて!$J$12:$M$18,7,FALSE)</f>
        <v>1</v>
      </c>
      <c r="Z2071" s="81">
        <f>HLOOKUP(I2071,データについて!$J$3:$M$18,16,FALSE)</f>
        <v>2</v>
      </c>
      <c r="AA2071" s="81" t="str">
        <f>IFERROR(HLOOKUP(J2071,データについて!$J$4:$AH$19,16,FALSE),"")</f>
        <v/>
      </c>
      <c r="AB2071" s="81">
        <f>IFERROR(HLOOKUP(K2071,データについて!$J$5:$AH$20,14,FALSE),"")</f>
        <v>2</v>
      </c>
      <c r="AC2071" s="81">
        <f>IF(X2071=1,HLOOKUP(R2071,データについて!$J$12:$M$18,7,FALSE),"*")</f>
        <v>1</v>
      </c>
      <c r="AD2071" s="81" t="str">
        <f>IF(X2071=2,HLOOKUP(R2071,データについて!$J$12:$M$18,7,FALSE),"*")</f>
        <v>*</v>
      </c>
    </row>
    <row r="2072" spans="1:30">
      <c r="A2072" s="30">
        <v>3120</v>
      </c>
      <c r="B2072" s="30" t="s">
        <v>2177</v>
      </c>
      <c r="C2072" s="30" t="s">
        <v>2178</v>
      </c>
      <c r="D2072" s="30" t="s">
        <v>106</v>
      </c>
      <c r="E2072" s="30"/>
      <c r="F2072" s="30" t="s">
        <v>107</v>
      </c>
      <c r="G2072" s="30" t="s">
        <v>106</v>
      </c>
      <c r="H2072" s="30"/>
      <c r="I2072" s="30" t="s">
        <v>191</v>
      </c>
      <c r="J2072" s="30"/>
      <c r="K2072" s="30" t="s">
        <v>1713</v>
      </c>
      <c r="L2072" s="30" t="s">
        <v>108</v>
      </c>
      <c r="M2072" s="30" t="s">
        <v>109</v>
      </c>
      <c r="N2072" s="30" t="s">
        <v>114</v>
      </c>
      <c r="O2072" s="30" t="s">
        <v>115</v>
      </c>
      <c r="P2072" s="30" t="s">
        <v>118</v>
      </c>
      <c r="Q2072" s="30" t="s">
        <v>118</v>
      </c>
      <c r="R2072" s="30" t="s">
        <v>187</v>
      </c>
      <c r="S2072" s="81">
        <f>HLOOKUP(L2072,データについて!$J$6:$M$18,13,FALSE)</f>
        <v>1</v>
      </c>
      <c r="T2072" s="81">
        <f>HLOOKUP(M2072,データについて!$J$7:$M$18,12,FALSE)</f>
        <v>2</v>
      </c>
      <c r="U2072" s="81">
        <f>HLOOKUP(N2072,データについて!$J$8:$M$18,11,FALSE)</f>
        <v>1</v>
      </c>
      <c r="V2072" s="81">
        <f>HLOOKUP(O2072,データについて!$J$9:$M$18,10,FALSE)</f>
        <v>1</v>
      </c>
      <c r="W2072" s="81">
        <f>HLOOKUP(P2072,データについて!$J$10:$M$18,9,FALSE)</f>
        <v>2</v>
      </c>
      <c r="X2072" s="81">
        <f>HLOOKUP(Q2072,データについて!$J$11:$M$18,8,FALSE)</f>
        <v>2</v>
      </c>
      <c r="Y2072" s="81">
        <f>HLOOKUP(R2072,データについて!$J$12:$M$18,7,FALSE)</f>
        <v>3</v>
      </c>
      <c r="Z2072" s="81">
        <f>HLOOKUP(I2072,データについて!$J$3:$M$18,16,FALSE)</f>
        <v>2</v>
      </c>
      <c r="AA2072" s="81" t="str">
        <f>IFERROR(HLOOKUP(J2072,データについて!$J$4:$AH$19,16,FALSE),"")</f>
        <v/>
      </c>
      <c r="AB2072" s="81">
        <f>IFERROR(HLOOKUP(K2072,データについて!$J$5:$AH$20,14,FALSE),"")</f>
        <v>2</v>
      </c>
      <c r="AC2072" s="81" t="str">
        <f>IF(X2072=1,HLOOKUP(R2072,データについて!$J$12:$M$18,7,FALSE),"*")</f>
        <v>*</v>
      </c>
      <c r="AD2072" s="81">
        <f>IF(X2072=2,HLOOKUP(R2072,データについて!$J$12:$M$18,7,FALSE),"*")</f>
        <v>3</v>
      </c>
    </row>
    <row r="2073" spans="1:30">
      <c r="A2073" s="30">
        <v>3119</v>
      </c>
      <c r="B2073" s="30" t="s">
        <v>2179</v>
      </c>
      <c r="C2073" s="30" t="s">
        <v>2180</v>
      </c>
      <c r="D2073" s="30" t="s">
        <v>106</v>
      </c>
      <c r="E2073" s="30"/>
      <c r="F2073" s="30" t="s">
        <v>107</v>
      </c>
      <c r="G2073" s="30" t="s">
        <v>106</v>
      </c>
      <c r="H2073" s="30"/>
      <c r="I2073" s="30" t="s">
        <v>191</v>
      </c>
      <c r="J2073" s="30"/>
      <c r="K2073" s="30" t="s">
        <v>1713</v>
      </c>
      <c r="L2073" s="30" t="s">
        <v>108</v>
      </c>
      <c r="M2073" s="30" t="s">
        <v>113</v>
      </c>
      <c r="N2073" s="30" t="s">
        <v>110</v>
      </c>
      <c r="O2073" s="30" t="s">
        <v>115</v>
      </c>
      <c r="P2073" s="30" t="s">
        <v>112</v>
      </c>
      <c r="Q2073" s="30" t="s">
        <v>112</v>
      </c>
      <c r="R2073" s="30" t="s">
        <v>185</v>
      </c>
      <c r="S2073" s="81">
        <f>HLOOKUP(L2073,データについて!$J$6:$M$18,13,FALSE)</f>
        <v>1</v>
      </c>
      <c r="T2073" s="81">
        <f>HLOOKUP(M2073,データについて!$J$7:$M$18,12,FALSE)</f>
        <v>1</v>
      </c>
      <c r="U2073" s="81">
        <f>HLOOKUP(N2073,データについて!$J$8:$M$18,11,FALSE)</f>
        <v>2</v>
      </c>
      <c r="V2073" s="81">
        <f>HLOOKUP(O2073,データについて!$J$9:$M$18,10,FALSE)</f>
        <v>1</v>
      </c>
      <c r="W2073" s="81">
        <f>HLOOKUP(P2073,データについて!$J$10:$M$18,9,FALSE)</f>
        <v>1</v>
      </c>
      <c r="X2073" s="81">
        <f>HLOOKUP(Q2073,データについて!$J$11:$M$18,8,FALSE)</f>
        <v>1</v>
      </c>
      <c r="Y2073" s="81">
        <f>HLOOKUP(R2073,データについて!$J$12:$M$18,7,FALSE)</f>
        <v>2</v>
      </c>
      <c r="Z2073" s="81">
        <f>HLOOKUP(I2073,データについて!$J$3:$M$18,16,FALSE)</f>
        <v>2</v>
      </c>
      <c r="AA2073" s="81" t="str">
        <f>IFERROR(HLOOKUP(J2073,データについて!$J$4:$AH$19,16,FALSE),"")</f>
        <v/>
      </c>
      <c r="AB2073" s="81">
        <f>IFERROR(HLOOKUP(K2073,データについて!$J$5:$AH$20,14,FALSE),"")</f>
        <v>2</v>
      </c>
      <c r="AC2073" s="81">
        <f>IF(X2073=1,HLOOKUP(R2073,データについて!$J$12:$M$18,7,FALSE),"*")</f>
        <v>2</v>
      </c>
      <c r="AD2073" s="81" t="str">
        <f>IF(X2073=2,HLOOKUP(R2073,データについて!$J$12:$M$18,7,FALSE),"*")</f>
        <v>*</v>
      </c>
    </row>
    <row r="2074" spans="1:30">
      <c r="A2074" s="30">
        <v>3118</v>
      </c>
      <c r="B2074" s="30" t="s">
        <v>2181</v>
      </c>
      <c r="C2074" s="30" t="s">
        <v>2182</v>
      </c>
      <c r="D2074" s="30" t="s">
        <v>106</v>
      </c>
      <c r="E2074" s="30"/>
      <c r="F2074" s="30" t="s">
        <v>107</v>
      </c>
      <c r="G2074" s="30" t="s">
        <v>106</v>
      </c>
      <c r="H2074" s="30"/>
      <c r="I2074" s="30" t="s">
        <v>191</v>
      </c>
      <c r="J2074" s="30"/>
      <c r="K2074" s="30" t="s">
        <v>1713</v>
      </c>
      <c r="L2074" s="30" t="s">
        <v>108</v>
      </c>
      <c r="M2074" s="30" t="s">
        <v>109</v>
      </c>
      <c r="N2074" s="30" t="s">
        <v>110</v>
      </c>
      <c r="O2074" s="30" t="s">
        <v>115</v>
      </c>
      <c r="P2074" s="30" t="s">
        <v>112</v>
      </c>
      <c r="Q2074" s="30" t="s">
        <v>118</v>
      </c>
      <c r="R2074" s="30" t="s">
        <v>185</v>
      </c>
      <c r="S2074" s="81">
        <f>HLOOKUP(L2074,データについて!$J$6:$M$18,13,FALSE)</f>
        <v>1</v>
      </c>
      <c r="T2074" s="81">
        <f>HLOOKUP(M2074,データについて!$J$7:$M$18,12,FALSE)</f>
        <v>2</v>
      </c>
      <c r="U2074" s="81">
        <f>HLOOKUP(N2074,データについて!$J$8:$M$18,11,FALSE)</f>
        <v>2</v>
      </c>
      <c r="V2074" s="81">
        <f>HLOOKUP(O2074,データについて!$J$9:$M$18,10,FALSE)</f>
        <v>1</v>
      </c>
      <c r="W2074" s="81">
        <f>HLOOKUP(P2074,データについて!$J$10:$M$18,9,FALSE)</f>
        <v>1</v>
      </c>
      <c r="X2074" s="81">
        <f>HLOOKUP(Q2074,データについて!$J$11:$M$18,8,FALSE)</f>
        <v>2</v>
      </c>
      <c r="Y2074" s="81">
        <f>HLOOKUP(R2074,データについて!$J$12:$M$18,7,FALSE)</f>
        <v>2</v>
      </c>
      <c r="Z2074" s="81">
        <f>HLOOKUP(I2074,データについて!$J$3:$M$18,16,FALSE)</f>
        <v>2</v>
      </c>
      <c r="AA2074" s="81" t="str">
        <f>IFERROR(HLOOKUP(J2074,データについて!$J$4:$AH$19,16,FALSE),"")</f>
        <v/>
      </c>
      <c r="AB2074" s="81">
        <f>IFERROR(HLOOKUP(K2074,データについて!$J$5:$AH$20,14,FALSE),"")</f>
        <v>2</v>
      </c>
      <c r="AC2074" s="81" t="str">
        <f>IF(X2074=1,HLOOKUP(R2074,データについて!$J$12:$M$18,7,FALSE),"*")</f>
        <v>*</v>
      </c>
      <c r="AD2074" s="81">
        <f>IF(X2074=2,HLOOKUP(R2074,データについて!$J$12:$M$18,7,FALSE),"*")</f>
        <v>2</v>
      </c>
    </row>
    <row r="2075" spans="1:30">
      <c r="A2075" s="30">
        <v>3117</v>
      </c>
      <c r="B2075" s="30" t="s">
        <v>2183</v>
      </c>
      <c r="C2075" s="30" t="s">
        <v>2184</v>
      </c>
      <c r="D2075" s="30" t="s">
        <v>106</v>
      </c>
      <c r="E2075" s="30"/>
      <c r="F2075" s="30" t="s">
        <v>107</v>
      </c>
      <c r="G2075" s="30" t="s">
        <v>106</v>
      </c>
      <c r="H2075" s="30"/>
      <c r="I2075" s="30" t="s">
        <v>191</v>
      </c>
      <c r="J2075" s="30"/>
      <c r="K2075" s="30" t="s">
        <v>1713</v>
      </c>
      <c r="L2075" s="30" t="s">
        <v>108</v>
      </c>
      <c r="M2075" s="30" t="s">
        <v>109</v>
      </c>
      <c r="N2075" s="30" t="s">
        <v>114</v>
      </c>
      <c r="O2075" s="30" t="s">
        <v>123</v>
      </c>
      <c r="P2075" s="30" t="s">
        <v>118</v>
      </c>
      <c r="Q2075" s="30" t="s">
        <v>112</v>
      </c>
      <c r="R2075" s="30" t="s">
        <v>185</v>
      </c>
      <c r="S2075" s="81">
        <f>HLOOKUP(L2075,データについて!$J$6:$M$18,13,FALSE)</f>
        <v>1</v>
      </c>
      <c r="T2075" s="81">
        <f>HLOOKUP(M2075,データについて!$J$7:$M$18,12,FALSE)</f>
        <v>2</v>
      </c>
      <c r="U2075" s="81">
        <f>HLOOKUP(N2075,データについて!$J$8:$M$18,11,FALSE)</f>
        <v>1</v>
      </c>
      <c r="V2075" s="81">
        <f>HLOOKUP(O2075,データについて!$J$9:$M$18,10,FALSE)</f>
        <v>4</v>
      </c>
      <c r="W2075" s="81">
        <f>HLOOKUP(P2075,データについて!$J$10:$M$18,9,FALSE)</f>
        <v>2</v>
      </c>
      <c r="X2075" s="81">
        <f>HLOOKUP(Q2075,データについて!$J$11:$M$18,8,FALSE)</f>
        <v>1</v>
      </c>
      <c r="Y2075" s="81">
        <f>HLOOKUP(R2075,データについて!$J$12:$M$18,7,FALSE)</f>
        <v>2</v>
      </c>
      <c r="Z2075" s="81">
        <f>HLOOKUP(I2075,データについて!$J$3:$M$18,16,FALSE)</f>
        <v>2</v>
      </c>
      <c r="AA2075" s="81" t="str">
        <f>IFERROR(HLOOKUP(J2075,データについて!$J$4:$AH$19,16,FALSE),"")</f>
        <v/>
      </c>
      <c r="AB2075" s="81">
        <f>IFERROR(HLOOKUP(K2075,データについて!$J$5:$AH$20,14,FALSE),"")</f>
        <v>2</v>
      </c>
      <c r="AC2075" s="81">
        <f>IF(X2075=1,HLOOKUP(R2075,データについて!$J$12:$M$18,7,FALSE),"*")</f>
        <v>2</v>
      </c>
      <c r="AD2075" s="81" t="str">
        <f>IF(X2075=2,HLOOKUP(R2075,データについて!$J$12:$M$18,7,FALSE),"*")</f>
        <v>*</v>
      </c>
    </row>
    <row r="2076" spans="1:30">
      <c r="A2076" s="30">
        <v>3116</v>
      </c>
      <c r="B2076" s="30" t="s">
        <v>2185</v>
      </c>
      <c r="C2076" s="30" t="s">
        <v>2186</v>
      </c>
      <c r="D2076" s="30" t="s">
        <v>106</v>
      </c>
      <c r="E2076" s="30"/>
      <c r="F2076" s="30" t="s">
        <v>107</v>
      </c>
      <c r="G2076" s="30" t="s">
        <v>106</v>
      </c>
      <c r="H2076" s="30"/>
      <c r="I2076" s="30" t="s">
        <v>191</v>
      </c>
      <c r="J2076" s="30"/>
      <c r="K2076" s="30" t="s">
        <v>1713</v>
      </c>
      <c r="L2076" s="30" t="s">
        <v>108</v>
      </c>
      <c r="M2076" s="30" t="s">
        <v>109</v>
      </c>
      <c r="N2076" s="30" t="s">
        <v>110</v>
      </c>
      <c r="O2076" s="30" t="s">
        <v>115</v>
      </c>
      <c r="P2076" s="30" t="s">
        <v>112</v>
      </c>
      <c r="Q2076" s="30" t="s">
        <v>118</v>
      </c>
      <c r="R2076" s="30" t="s">
        <v>183</v>
      </c>
      <c r="S2076" s="81">
        <f>HLOOKUP(L2076,データについて!$J$6:$M$18,13,FALSE)</f>
        <v>1</v>
      </c>
      <c r="T2076" s="81">
        <f>HLOOKUP(M2076,データについて!$J$7:$M$18,12,FALSE)</f>
        <v>2</v>
      </c>
      <c r="U2076" s="81">
        <f>HLOOKUP(N2076,データについて!$J$8:$M$18,11,FALSE)</f>
        <v>2</v>
      </c>
      <c r="V2076" s="81">
        <f>HLOOKUP(O2076,データについて!$J$9:$M$18,10,FALSE)</f>
        <v>1</v>
      </c>
      <c r="W2076" s="81">
        <f>HLOOKUP(P2076,データについて!$J$10:$M$18,9,FALSE)</f>
        <v>1</v>
      </c>
      <c r="X2076" s="81">
        <f>HLOOKUP(Q2076,データについて!$J$11:$M$18,8,FALSE)</f>
        <v>2</v>
      </c>
      <c r="Y2076" s="81">
        <f>HLOOKUP(R2076,データについて!$J$12:$M$18,7,FALSE)</f>
        <v>1</v>
      </c>
      <c r="Z2076" s="81">
        <f>HLOOKUP(I2076,データについて!$J$3:$M$18,16,FALSE)</f>
        <v>2</v>
      </c>
      <c r="AA2076" s="81" t="str">
        <f>IFERROR(HLOOKUP(J2076,データについて!$J$4:$AH$19,16,FALSE),"")</f>
        <v/>
      </c>
      <c r="AB2076" s="81">
        <f>IFERROR(HLOOKUP(K2076,データについて!$J$5:$AH$20,14,FALSE),"")</f>
        <v>2</v>
      </c>
      <c r="AC2076" s="81" t="str">
        <f>IF(X2076=1,HLOOKUP(R2076,データについて!$J$12:$M$18,7,FALSE),"*")</f>
        <v>*</v>
      </c>
      <c r="AD2076" s="81">
        <f>IF(X2076=2,HLOOKUP(R2076,データについて!$J$12:$M$18,7,FALSE),"*")</f>
        <v>1</v>
      </c>
    </row>
    <row r="2077" spans="1:30">
      <c r="A2077" s="30">
        <v>3115</v>
      </c>
      <c r="B2077" s="30" t="s">
        <v>2187</v>
      </c>
      <c r="C2077" s="30" t="s">
        <v>2188</v>
      </c>
      <c r="D2077" s="30" t="s">
        <v>106</v>
      </c>
      <c r="E2077" s="30"/>
      <c r="F2077" s="30" t="s">
        <v>107</v>
      </c>
      <c r="G2077" s="30" t="s">
        <v>106</v>
      </c>
      <c r="H2077" s="30"/>
      <c r="I2077" s="30" t="s">
        <v>191</v>
      </c>
      <c r="J2077" s="30"/>
      <c r="K2077" s="30" t="s">
        <v>1713</v>
      </c>
      <c r="L2077" s="30" t="s">
        <v>117</v>
      </c>
      <c r="M2077" s="30" t="s">
        <v>109</v>
      </c>
      <c r="N2077" s="30" t="s">
        <v>110</v>
      </c>
      <c r="O2077" s="30" t="s">
        <v>115</v>
      </c>
      <c r="P2077" s="30" t="s">
        <v>112</v>
      </c>
      <c r="Q2077" s="30" t="s">
        <v>112</v>
      </c>
      <c r="R2077" s="30" t="s">
        <v>187</v>
      </c>
      <c r="S2077" s="81">
        <f>HLOOKUP(L2077,データについて!$J$6:$M$18,13,FALSE)</f>
        <v>2</v>
      </c>
      <c r="T2077" s="81">
        <f>HLOOKUP(M2077,データについて!$J$7:$M$18,12,FALSE)</f>
        <v>2</v>
      </c>
      <c r="U2077" s="81">
        <f>HLOOKUP(N2077,データについて!$J$8:$M$18,11,FALSE)</f>
        <v>2</v>
      </c>
      <c r="V2077" s="81">
        <f>HLOOKUP(O2077,データについて!$J$9:$M$18,10,FALSE)</f>
        <v>1</v>
      </c>
      <c r="W2077" s="81">
        <f>HLOOKUP(P2077,データについて!$J$10:$M$18,9,FALSE)</f>
        <v>1</v>
      </c>
      <c r="X2077" s="81">
        <f>HLOOKUP(Q2077,データについて!$J$11:$M$18,8,FALSE)</f>
        <v>1</v>
      </c>
      <c r="Y2077" s="81">
        <f>HLOOKUP(R2077,データについて!$J$12:$M$18,7,FALSE)</f>
        <v>3</v>
      </c>
      <c r="Z2077" s="81">
        <f>HLOOKUP(I2077,データについて!$J$3:$M$18,16,FALSE)</f>
        <v>2</v>
      </c>
      <c r="AA2077" s="81" t="str">
        <f>IFERROR(HLOOKUP(J2077,データについて!$J$4:$AH$19,16,FALSE),"")</f>
        <v/>
      </c>
      <c r="AB2077" s="81">
        <f>IFERROR(HLOOKUP(K2077,データについて!$J$5:$AH$20,14,FALSE),"")</f>
        <v>2</v>
      </c>
      <c r="AC2077" s="81">
        <f>IF(X2077=1,HLOOKUP(R2077,データについて!$J$12:$M$18,7,FALSE),"*")</f>
        <v>3</v>
      </c>
      <c r="AD2077" s="81" t="str">
        <f>IF(X2077=2,HLOOKUP(R2077,データについて!$J$12:$M$18,7,FALSE),"*")</f>
        <v>*</v>
      </c>
    </row>
    <row r="2078" spans="1:30">
      <c r="A2078" s="30">
        <v>3114</v>
      </c>
      <c r="B2078" s="30" t="s">
        <v>2189</v>
      </c>
      <c r="C2078" s="30" t="s">
        <v>2190</v>
      </c>
      <c r="D2078" s="30" t="s">
        <v>106</v>
      </c>
      <c r="E2078" s="30"/>
      <c r="F2078" s="30" t="s">
        <v>107</v>
      </c>
      <c r="G2078" s="30" t="s">
        <v>106</v>
      </c>
      <c r="H2078" s="30"/>
      <c r="I2078" s="30" t="s">
        <v>191</v>
      </c>
      <c r="J2078" s="30"/>
      <c r="K2078" s="30" t="s">
        <v>1713</v>
      </c>
      <c r="L2078" s="30" t="s">
        <v>108</v>
      </c>
      <c r="M2078" s="30" t="s">
        <v>109</v>
      </c>
      <c r="N2078" s="30" t="s">
        <v>110</v>
      </c>
      <c r="O2078" s="30" t="s">
        <v>115</v>
      </c>
      <c r="P2078" s="30" t="s">
        <v>112</v>
      </c>
      <c r="Q2078" s="30" t="s">
        <v>112</v>
      </c>
      <c r="R2078" s="30" t="s">
        <v>185</v>
      </c>
      <c r="S2078" s="81">
        <f>HLOOKUP(L2078,データについて!$J$6:$M$18,13,FALSE)</f>
        <v>1</v>
      </c>
      <c r="T2078" s="81">
        <f>HLOOKUP(M2078,データについて!$J$7:$M$18,12,FALSE)</f>
        <v>2</v>
      </c>
      <c r="U2078" s="81">
        <f>HLOOKUP(N2078,データについて!$J$8:$M$18,11,FALSE)</f>
        <v>2</v>
      </c>
      <c r="V2078" s="81">
        <f>HLOOKUP(O2078,データについて!$J$9:$M$18,10,FALSE)</f>
        <v>1</v>
      </c>
      <c r="W2078" s="81">
        <f>HLOOKUP(P2078,データについて!$J$10:$M$18,9,FALSE)</f>
        <v>1</v>
      </c>
      <c r="X2078" s="81">
        <f>HLOOKUP(Q2078,データについて!$J$11:$M$18,8,FALSE)</f>
        <v>1</v>
      </c>
      <c r="Y2078" s="81">
        <f>HLOOKUP(R2078,データについて!$J$12:$M$18,7,FALSE)</f>
        <v>2</v>
      </c>
      <c r="Z2078" s="81">
        <f>HLOOKUP(I2078,データについて!$J$3:$M$18,16,FALSE)</f>
        <v>2</v>
      </c>
      <c r="AA2078" s="81" t="str">
        <f>IFERROR(HLOOKUP(J2078,データについて!$J$4:$AH$19,16,FALSE),"")</f>
        <v/>
      </c>
      <c r="AB2078" s="81">
        <f>IFERROR(HLOOKUP(K2078,データについて!$J$5:$AH$20,14,FALSE),"")</f>
        <v>2</v>
      </c>
      <c r="AC2078" s="81">
        <f>IF(X2078=1,HLOOKUP(R2078,データについて!$J$12:$M$18,7,FALSE),"*")</f>
        <v>2</v>
      </c>
      <c r="AD2078" s="81" t="str">
        <f>IF(X2078=2,HLOOKUP(R2078,データについて!$J$12:$M$18,7,FALSE),"*")</f>
        <v>*</v>
      </c>
    </row>
    <row r="2079" spans="1:30">
      <c r="A2079" s="30">
        <v>3113</v>
      </c>
      <c r="B2079" s="30" t="s">
        <v>2191</v>
      </c>
      <c r="C2079" s="30" t="s">
        <v>2192</v>
      </c>
      <c r="D2079" s="30" t="s">
        <v>106</v>
      </c>
      <c r="E2079" s="30"/>
      <c r="F2079" s="30" t="s">
        <v>107</v>
      </c>
      <c r="G2079" s="30" t="s">
        <v>106</v>
      </c>
      <c r="H2079" s="30"/>
      <c r="I2079" s="30" t="s">
        <v>191</v>
      </c>
      <c r="J2079" s="30"/>
      <c r="K2079" s="30" t="s">
        <v>1713</v>
      </c>
      <c r="L2079" s="30" t="s">
        <v>108</v>
      </c>
      <c r="M2079" s="30" t="s">
        <v>113</v>
      </c>
      <c r="N2079" s="30" t="s">
        <v>110</v>
      </c>
      <c r="O2079" s="30" t="s">
        <v>115</v>
      </c>
      <c r="P2079" s="30" t="s">
        <v>112</v>
      </c>
      <c r="Q2079" s="30" t="s">
        <v>112</v>
      </c>
      <c r="R2079" s="30" t="s">
        <v>185</v>
      </c>
      <c r="S2079" s="81">
        <f>HLOOKUP(L2079,データについて!$J$6:$M$18,13,FALSE)</f>
        <v>1</v>
      </c>
      <c r="T2079" s="81">
        <f>HLOOKUP(M2079,データについて!$J$7:$M$18,12,FALSE)</f>
        <v>1</v>
      </c>
      <c r="U2079" s="81">
        <f>HLOOKUP(N2079,データについて!$J$8:$M$18,11,FALSE)</f>
        <v>2</v>
      </c>
      <c r="V2079" s="81">
        <f>HLOOKUP(O2079,データについて!$J$9:$M$18,10,FALSE)</f>
        <v>1</v>
      </c>
      <c r="W2079" s="81">
        <f>HLOOKUP(P2079,データについて!$J$10:$M$18,9,FALSE)</f>
        <v>1</v>
      </c>
      <c r="X2079" s="81">
        <f>HLOOKUP(Q2079,データについて!$J$11:$M$18,8,FALSE)</f>
        <v>1</v>
      </c>
      <c r="Y2079" s="81">
        <f>HLOOKUP(R2079,データについて!$J$12:$M$18,7,FALSE)</f>
        <v>2</v>
      </c>
      <c r="Z2079" s="81">
        <f>HLOOKUP(I2079,データについて!$J$3:$M$18,16,FALSE)</f>
        <v>2</v>
      </c>
      <c r="AA2079" s="81" t="str">
        <f>IFERROR(HLOOKUP(J2079,データについて!$J$4:$AH$19,16,FALSE),"")</f>
        <v/>
      </c>
      <c r="AB2079" s="81">
        <f>IFERROR(HLOOKUP(K2079,データについて!$J$5:$AH$20,14,FALSE),"")</f>
        <v>2</v>
      </c>
      <c r="AC2079" s="81">
        <f>IF(X2079=1,HLOOKUP(R2079,データについて!$J$12:$M$18,7,FALSE),"*")</f>
        <v>2</v>
      </c>
      <c r="AD2079" s="81" t="str">
        <f>IF(X2079=2,HLOOKUP(R2079,データについて!$J$12:$M$18,7,FALSE),"*")</f>
        <v>*</v>
      </c>
    </row>
    <row r="2080" spans="1:30">
      <c r="A2080" s="30">
        <v>3112</v>
      </c>
      <c r="B2080" s="30" t="s">
        <v>2193</v>
      </c>
      <c r="C2080" s="30" t="s">
        <v>2194</v>
      </c>
      <c r="D2080" s="30" t="s">
        <v>106</v>
      </c>
      <c r="E2080" s="30"/>
      <c r="F2080" s="30" t="s">
        <v>107</v>
      </c>
      <c r="G2080" s="30" t="s">
        <v>106</v>
      </c>
      <c r="H2080" s="30"/>
      <c r="I2080" s="30" t="s">
        <v>191</v>
      </c>
      <c r="J2080" s="30"/>
      <c r="K2080" s="30" t="s">
        <v>1713</v>
      </c>
      <c r="L2080" s="30" t="s">
        <v>117</v>
      </c>
      <c r="M2080" s="30" t="s">
        <v>113</v>
      </c>
      <c r="N2080" s="30" t="s">
        <v>114</v>
      </c>
      <c r="O2080" s="30" t="s">
        <v>115</v>
      </c>
      <c r="P2080" s="30" t="s">
        <v>112</v>
      </c>
      <c r="Q2080" s="30" t="s">
        <v>118</v>
      </c>
      <c r="R2080" s="30" t="s">
        <v>185</v>
      </c>
      <c r="S2080" s="81">
        <f>HLOOKUP(L2080,データについて!$J$6:$M$18,13,FALSE)</f>
        <v>2</v>
      </c>
      <c r="T2080" s="81">
        <f>HLOOKUP(M2080,データについて!$J$7:$M$18,12,FALSE)</f>
        <v>1</v>
      </c>
      <c r="U2080" s="81">
        <f>HLOOKUP(N2080,データについて!$J$8:$M$18,11,FALSE)</f>
        <v>1</v>
      </c>
      <c r="V2080" s="81">
        <f>HLOOKUP(O2080,データについて!$J$9:$M$18,10,FALSE)</f>
        <v>1</v>
      </c>
      <c r="W2080" s="81">
        <f>HLOOKUP(P2080,データについて!$J$10:$M$18,9,FALSE)</f>
        <v>1</v>
      </c>
      <c r="X2080" s="81">
        <f>HLOOKUP(Q2080,データについて!$J$11:$M$18,8,FALSE)</f>
        <v>2</v>
      </c>
      <c r="Y2080" s="81">
        <f>HLOOKUP(R2080,データについて!$J$12:$M$18,7,FALSE)</f>
        <v>2</v>
      </c>
      <c r="Z2080" s="81">
        <f>HLOOKUP(I2080,データについて!$J$3:$M$18,16,FALSE)</f>
        <v>2</v>
      </c>
      <c r="AA2080" s="81" t="str">
        <f>IFERROR(HLOOKUP(J2080,データについて!$J$4:$AH$19,16,FALSE),"")</f>
        <v/>
      </c>
      <c r="AB2080" s="81">
        <f>IFERROR(HLOOKUP(K2080,データについて!$J$5:$AH$20,14,FALSE),"")</f>
        <v>2</v>
      </c>
      <c r="AC2080" s="81" t="str">
        <f>IF(X2080=1,HLOOKUP(R2080,データについて!$J$12:$M$18,7,FALSE),"*")</f>
        <v>*</v>
      </c>
      <c r="AD2080" s="81">
        <f>IF(X2080=2,HLOOKUP(R2080,データについて!$J$12:$M$18,7,FALSE),"*")</f>
        <v>2</v>
      </c>
    </row>
    <row r="2081" spans="1:30">
      <c r="A2081" s="30">
        <v>3111</v>
      </c>
      <c r="B2081" s="30" t="s">
        <v>2195</v>
      </c>
      <c r="C2081" s="30" t="s">
        <v>2196</v>
      </c>
      <c r="D2081" s="30" t="s">
        <v>106</v>
      </c>
      <c r="E2081" s="30"/>
      <c r="F2081" s="30" t="s">
        <v>107</v>
      </c>
      <c r="G2081" s="30" t="s">
        <v>106</v>
      </c>
      <c r="H2081" s="30"/>
      <c r="I2081" s="30" t="s">
        <v>191</v>
      </c>
      <c r="J2081" s="30"/>
      <c r="K2081" s="30" t="s">
        <v>1713</v>
      </c>
      <c r="L2081" s="30" t="s">
        <v>108</v>
      </c>
      <c r="M2081" s="30" t="s">
        <v>113</v>
      </c>
      <c r="N2081" s="30" t="s">
        <v>114</v>
      </c>
      <c r="O2081" s="30" t="s">
        <v>115</v>
      </c>
      <c r="P2081" s="30" t="s">
        <v>112</v>
      </c>
      <c r="Q2081" s="30" t="s">
        <v>112</v>
      </c>
      <c r="R2081" s="30" t="s">
        <v>183</v>
      </c>
      <c r="S2081" s="81">
        <f>HLOOKUP(L2081,データについて!$J$6:$M$18,13,FALSE)</f>
        <v>1</v>
      </c>
      <c r="T2081" s="81">
        <f>HLOOKUP(M2081,データについて!$J$7:$M$18,12,FALSE)</f>
        <v>1</v>
      </c>
      <c r="U2081" s="81">
        <f>HLOOKUP(N2081,データについて!$J$8:$M$18,11,FALSE)</f>
        <v>1</v>
      </c>
      <c r="V2081" s="81">
        <f>HLOOKUP(O2081,データについて!$J$9:$M$18,10,FALSE)</f>
        <v>1</v>
      </c>
      <c r="W2081" s="81">
        <f>HLOOKUP(P2081,データについて!$J$10:$M$18,9,FALSE)</f>
        <v>1</v>
      </c>
      <c r="X2081" s="81">
        <f>HLOOKUP(Q2081,データについて!$J$11:$M$18,8,FALSE)</f>
        <v>1</v>
      </c>
      <c r="Y2081" s="81">
        <f>HLOOKUP(R2081,データについて!$J$12:$M$18,7,FALSE)</f>
        <v>1</v>
      </c>
      <c r="Z2081" s="81">
        <f>HLOOKUP(I2081,データについて!$J$3:$M$18,16,FALSE)</f>
        <v>2</v>
      </c>
      <c r="AA2081" s="81" t="str">
        <f>IFERROR(HLOOKUP(J2081,データについて!$J$4:$AH$19,16,FALSE),"")</f>
        <v/>
      </c>
      <c r="AB2081" s="81">
        <f>IFERROR(HLOOKUP(K2081,データについて!$J$5:$AH$20,14,FALSE),"")</f>
        <v>2</v>
      </c>
      <c r="AC2081" s="81">
        <f>IF(X2081=1,HLOOKUP(R2081,データについて!$J$12:$M$18,7,FALSE),"*")</f>
        <v>1</v>
      </c>
      <c r="AD2081" s="81" t="str">
        <f>IF(X2081=2,HLOOKUP(R2081,データについて!$J$12:$M$18,7,FALSE),"*")</f>
        <v>*</v>
      </c>
    </row>
    <row r="2082" spans="1:30">
      <c r="A2082" s="30">
        <v>3110</v>
      </c>
      <c r="B2082" s="30" t="s">
        <v>2197</v>
      </c>
      <c r="C2082" s="30" t="s">
        <v>2198</v>
      </c>
      <c r="D2082" s="30" t="s">
        <v>106</v>
      </c>
      <c r="E2082" s="30"/>
      <c r="F2082" s="30" t="s">
        <v>107</v>
      </c>
      <c r="G2082" s="30" t="s">
        <v>106</v>
      </c>
      <c r="H2082" s="30"/>
      <c r="I2082" s="30" t="s">
        <v>191</v>
      </c>
      <c r="J2082" s="30"/>
      <c r="K2082" s="30" t="s">
        <v>1713</v>
      </c>
      <c r="L2082" s="30" t="s">
        <v>117</v>
      </c>
      <c r="M2082" s="30" t="s">
        <v>113</v>
      </c>
      <c r="N2082" s="30" t="s">
        <v>110</v>
      </c>
      <c r="O2082" s="30" t="s">
        <v>115</v>
      </c>
      <c r="P2082" s="30" t="s">
        <v>112</v>
      </c>
      <c r="Q2082" s="30" t="s">
        <v>112</v>
      </c>
      <c r="R2082" s="30" t="s">
        <v>185</v>
      </c>
      <c r="S2082" s="81">
        <f>HLOOKUP(L2082,データについて!$J$6:$M$18,13,FALSE)</f>
        <v>2</v>
      </c>
      <c r="T2082" s="81">
        <f>HLOOKUP(M2082,データについて!$J$7:$M$18,12,FALSE)</f>
        <v>1</v>
      </c>
      <c r="U2082" s="81">
        <f>HLOOKUP(N2082,データについて!$J$8:$M$18,11,FALSE)</f>
        <v>2</v>
      </c>
      <c r="V2082" s="81">
        <f>HLOOKUP(O2082,データについて!$J$9:$M$18,10,FALSE)</f>
        <v>1</v>
      </c>
      <c r="W2082" s="81">
        <f>HLOOKUP(P2082,データについて!$J$10:$M$18,9,FALSE)</f>
        <v>1</v>
      </c>
      <c r="X2082" s="81">
        <f>HLOOKUP(Q2082,データについて!$J$11:$M$18,8,FALSE)</f>
        <v>1</v>
      </c>
      <c r="Y2082" s="81">
        <f>HLOOKUP(R2082,データについて!$J$12:$M$18,7,FALSE)</f>
        <v>2</v>
      </c>
      <c r="Z2082" s="81">
        <f>HLOOKUP(I2082,データについて!$J$3:$M$18,16,FALSE)</f>
        <v>2</v>
      </c>
      <c r="AA2082" s="81" t="str">
        <f>IFERROR(HLOOKUP(J2082,データについて!$J$4:$AH$19,16,FALSE),"")</f>
        <v/>
      </c>
      <c r="AB2082" s="81">
        <f>IFERROR(HLOOKUP(K2082,データについて!$J$5:$AH$20,14,FALSE),"")</f>
        <v>2</v>
      </c>
      <c r="AC2082" s="81">
        <f>IF(X2082=1,HLOOKUP(R2082,データについて!$J$12:$M$18,7,FALSE),"*")</f>
        <v>2</v>
      </c>
      <c r="AD2082" s="81" t="str">
        <f>IF(X2082=2,HLOOKUP(R2082,データについて!$J$12:$M$18,7,FALSE),"*")</f>
        <v>*</v>
      </c>
    </row>
    <row r="2083" spans="1:30">
      <c r="A2083" s="30">
        <v>3109</v>
      </c>
      <c r="B2083" s="30" t="s">
        <v>2199</v>
      </c>
      <c r="C2083" s="30" t="s">
        <v>2198</v>
      </c>
      <c r="D2083" s="30" t="s">
        <v>106</v>
      </c>
      <c r="E2083" s="30"/>
      <c r="F2083" s="30" t="s">
        <v>107</v>
      </c>
      <c r="G2083" s="30" t="s">
        <v>106</v>
      </c>
      <c r="H2083" s="30"/>
      <c r="I2083" s="30" t="s">
        <v>191</v>
      </c>
      <c r="J2083" s="30"/>
      <c r="K2083" s="30" t="s">
        <v>1713</v>
      </c>
      <c r="L2083" s="30" t="s">
        <v>108</v>
      </c>
      <c r="M2083" s="30" t="s">
        <v>124</v>
      </c>
      <c r="N2083" s="30" t="s">
        <v>110</v>
      </c>
      <c r="O2083" s="30" t="s">
        <v>111</v>
      </c>
      <c r="P2083" s="30" t="s">
        <v>112</v>
      </c>
      <c r="Q2083" s="30" t="s">
        <v>112</v>
      </c>
      <c r="R2083" s="30" t="s">
        <v>185</v>
      </c>
      <c r="S2083" s="81">
        <f>HLOOKUP(L2083,データについて!$J$6:$M$18,13,FALSE)</f>
        <v>1</v>
      </c>
      <c r="T2083" s="81">
        <f>HLOOKUP(M2083,データについて!$J$7:$M$18,12,FALSE)</f>
        <v>3</v>
      </c>
      <c r="U2083" s="81">
        <f>HLOOKUP(N2083,データについて!$J$8:$M$18,11,FALSE)</f>
        <v>2</v>
      </c>
      <c r="V2083" s="81">
        <f>HLOOKUP(O2083,データについて!$J$9:$M$18,10,FALSE)</f>
        <v>3</v>
      </c>
      <c r="W2083" s="81">
        <f>HLOOKUP(P2083,データについて!$J$10:$M$18,9,FALSE)</f>
        <v>1</v>
      </c>
      <c r="X2083" s="81">
        <f>HLOOKUP(Q2083,データについて!$J$11:$M$18,8,FALSE)</f>
        <v>1</v>
      </c>
      <c r="Y2083" s="81">
        <f>HLOOKUP(R2083,データについて!$J$12:$M$18,7,FALSE)</f>
        <v>2</v>
      </c>
      <c r="Z2083" s="81">
        <f>HLOOKUP(I2083,データについて!$J$3:$M$18,16,FALSE)</f>
        <v>2</v>
      </c>
      <c r="AA2083" s="81" t="str">
        <f>IFERROR(HLOOKUP(J2083,データについて!$J$4:$AH$19,16,FALSE),"")</f>
        <v/>
      </c>
      <c r="AB2083" s="81">
        <f>IFERROR(HLOOKUP(K2083,データについて!$J$5:$AH$20,14,FALSE),"")</f>
        <v>2</v>
      </c>
      <c r="AC2083" s="81">
        <f>IF(X2083=1,HLOOKUP(R2083,データについて!$J$12:$M$18,7,FALSE),"*")</f>
        <v>2</v>
      </c>
      <c r="AD2083" s="81" t="str">
        <f>IF(X2083=2,HLOOKUP(R2083,データについて!$J$12:$M$18,7,FALSE),"*")</f>
        <v>*</v>
      </c>
    </row>
    <row r="2084" spans="1:30">
      <c r="A2084" s="30">
        <v>3108</v>
      </c>
      <c r="B2084" s="30" t="s">
        <v>2200</v>
      </c>
      <c r="C2084" s="30" t="s">
        <v>2201</v>
      </c>
      <c r="D2084" s="30" t="s">
        <v>106</v>
      </c>
      <c r="E2084" s="30"/>
      <c r="F2084" s="30" t="s">
        <v>107</v>
      </c>
      <c r="G2084" s="30" t="s">
        <v>106</v>
      </c>
      <c r="H2084" s="30"/>
      <c r="I2084" s="30" t="s">
        <v>191</v>
      </c>
      <c r="J2084" s="30"/>
      <c r="K2084" s="30" t="s">
        <v>1713</v>
      </c>
      <c r="L2084" s="30" t="s">
        <v>108</v>
      </c>
      <c r="M2084" s="30" t="s">
        <v>113</v>
      </c>
      <c r="N2084" s="30" t="s">
        <v>110</v>
      </c>
      <c r="O2084" s="30" t="s">
        <v>115</v>
      </c>
      <c r="P2084" s="30" t="s">
        <v>112</v>
      </c>
      <c r="Q2084" s="30" t="s">
        <v>112</v>
      </c>
      <c r="R2084" s="30" t="s">
        <v>185</v>
      </c>
      <c r="S2084" s="81">
        <f>HLOOKUP(L2084,データについて!$J$6:$M$18,13,FALSE)</f>
        <v>1</v>
      </c>
      <c r="T2084" s="81">
        <f>HLOOKUP(M2084,データについて!$J$7:$M$18,12,FALSE)</f>
        <v>1</v>
      </c>
      <c r="U2084" s="81">
        <f>HLOOKUP(N2084,データについて!$J$8:$M$18,11,FALSE)</f>
        <v>2</v>
      </c>
      <c r="V2084" s="81">
        <f>HLOOKUP(O2084,データについて!$J$9:$M$18,10,FALSE)</f>
        <v>1</v>
      </c>
      <c r="W2084" s="81">
        <f>HLOOKUP(P2084,データについて!$J$10:$M$18,9,FALSE)</f>
        <v>1</v>
      </c>
      <c r="X2084" s="81">
        <f>HLOOKUP(Q2084,データについて!$J$11:$M$18,8,FALSE)</f>
        <v>1</v>
      </c>
      <c r="Y2084" s="81">
        <f>HLOOKUP(R2084,データについて!$J$12:$M$18,7,FALSE)</f>
        <v>2</v>
      </c>
      <c r="Z2084" s="81">
        <f>HLOOKUP(I2084,データについて!$J$3:$M$18,16,FALSE)</f>
        <v>2</v>
      </c>
      <c r="AA2084" s="81" t="str">
        <f>IFERROR(HLOOKUP(J2084,データについて!$J$4:$AH$19,16,FALSE),"")</f>
        <v/>
      </c>
      <c r="AB2084" s="81">
        <f>IFERROR(HLOOKUP(K2084,データについて!$J$5:$AH$20,14,FALSE),"")</f>
        <v>2</v>
      </c>
      <c r="AC2084" s="81">
        <f>IF(X2084=1,HLOOKUP(R2084,データについて!$J$12:$M$18,7,FALSE),"*")</f>
        <v>2</v>
      </c>
      <c r="AD2084" s="81" t="str">
        <f>IF(X2084=2,HLOOKUP(R2084,データについて!$J$12:$M$18,7,FALSE),"*")</f>
        <v>*</v>
      </c>
    </row>
    <row r="2085" spans="1:30">
      <c r="A2085" s="30">
        <v>3107</v>
      </c>
      <c r="B2085" s="30" t="s">
        <v>2202</v>
      </c>
      <c r="C2085" s="30" t="s">
        <v>2203</v>
      </c>
      <c r="D2085" s="30" t="s">
        <v>106</v>
      </c>
      <c r="E2085" s="30"/>
      <c r="F2085" s="30" t="s">
        <v>107</v>
      </c>
      <c r="G2085" s="30" t="s">
        <v>106</v>
      </c>
      <c r="H2085" s="30"/>
      <c r="I2085" s="30" t="s">
        <v>191</v>
      </c>
      <c r="J2085" s="30"/>
      <c r="K2085" s="30" t="s">
        <v>1713</v>
      </c>
      <c r="L2085" s="30" t="s">
        <v>108</v>
      </c>
      <c r="M2085" s="30" t="s">
        <v>113</v>
      </c>
      <c r="N2085" s="30" t="s">
        <v>110</v>
      </c>
      <c r="O2085" s="30" t="s">
        <v>116</v>
      </c>
      <c r="P2085" s="30" t="s">
        <v>112</v>
      </c>
      <c r="Q2085" s="30" t="s">
        <v>112</v>
      </c>
      <c r="R2085" s="30" t="s">
        <v>185</v>
      </c>
      <c r="S2085" s="81">
        <f>HLOOKUP(L2085,データについて!$J$6:$M$18,13,FALSE)</f>
        <v>1</v>
      </c>
      <c r="T2085" s="81">
        <f>HLOOKUP(M2085,データについて!$J$7:$M$18,12,FALSE)</f>
        <v>1</v>
      </c>
      <c r="U2085" s="81">
        <f>HLOOKUP(N2085,データについて!$J$8:$M$18,11,FALSE)</f>
        <v>2</v>
      </c>
      <c r="V2085" s="81">
        <f>HLOOKUP(O2085,データについて!$J$9:$M$18,10,FALSE)</f>
        <v>2</v>
      </c>
      <c r="W2085" s="81">
        <f>HLOOKUP(P2085,データについて!$J$10:$M$18,9,FALSE)</f>
        <v>1</v>
      </c>
      <c r="X2085" s="81">
        <f>HLOOKUP(Q2085,データについて!$J$11:$M$18,8,FALSE)</f>
        <v>1</v>
      </c>
      <c r="Y2085" s="81">
        <f>HLOOKUP(R2085,データについて!$J$12:$M$18,7,FALSE)</f>
        <v>2</v>
      </c>
      <c r="Z2085" s="81">
        <f>HLOOKUP(I2085,データについて!$J$3:$M$18,16,FALSE)</f>
        <v>2</v>
      </c>
      <c r="AA2085" s="81" t="str">
        <f>IFERROR(HLOOKUP(J2085,データについて!$J$4:$AH$19,16,FALSE),"")</f>
        <v/>
      </c>
      <c r="AB2085" s="81">
        <f>IFERROR(HLOOKUP(K2085,データについて!$J$5:$AH$20,14,FALSE),"")</f>
        <v>2</v>
      </c>
      <c r="AC2085" s="81">
        <f>IF(X2085=1,HLOOKUP(R2085,データについて!$J$12:$M$18,7,FALSE),"*")</f>
        <v>2</v>
      </c>
      <c r="AD2085" s="81" t="str">
        <f>IF(X2085=2,HLOOKUP(R2085,データについて!$J$12:$M$18,7,FALSE),"*")</f>
        <v>*</v>
      </c>
    </row>
    <row r="2086" spans="1:30">
      <c r="A2086" s="30">
        <v>3106</v>
      </c>
      <c r="B2086" s="30" t="s">
        <v>2204</v>
      </c>
      <c r="C2086" s="30" t="s">
        <v>2203</v>
      </c>
      <c r="D2086" s="30" t="s">
        <v>106</v>
      </c>
      <c r="E2086" s="30"/>
      <c r="F2086" s="30" t="s">
        <v>107</v>
      </c>
      <c r="G2086" s="30" t="s">
        <v>106</v>
      </c>
      <c r="H2086" s="30"/>
      <c r="I2086" s="30" t="s">
        <v>191</v>
      </c>
      <c r="J2086" s="30"/>
      <c r="K2086" s="30" t="s">
        <v>1713</v>
      </c>
      <c r="L2086" s="30" t="s">
        <v>117</v>
      </c>
      <c r="M2086" s="30" t="s">
        <v>109</v>
      </c>
      <c r="N2086" s="30" t="s">
        <v>119</v>
      </c>
      <c r="O2086" s="30" t="s">
        <v>115</v>
      </c>
      <c r="P2086" s="30" t="s">
        <v>118</v>
      </c>
      <c r="Q2086" s="30" t="s">
        <v>112</v>
      </c>
      <c r="R2086" s="30" t="s">
        <v>187</v>
      </c>
      <c r="S2086" s="81">
        <f>HLOOKUP(L2086,データについて!$J$6:$M$18,13,FALSE)</f>
        <v>2</v>
      </c>
      <c r="T2086" s="81">
        <f>HLOOKUP(M2086,データについて!$J$7:$M$18,12,FALSE)</f>
        <v>2</v>
      </c>
      <c r="U2086" s="81">
        <f>HLOOKUP(N2086,データについて!$J$8:$M$18,11,FALSE)</f>
        <v>4</v>
      </c>
      <c r="V2086" s="81">
        <f>HLOOKUP(O2086,データについて!$J$9:$M$18,10,FALSE)</f>
        <v>1</v>
      </c>
      <c r="W2086" s="81">
        <f>HLOOKUP(P2086,データについて!$J$10:$M$18,9,FALSE)</f>
        <v>2</v>
      </c>
      <c r="X2086" s="81">
        <f>HLOOKUP(Q2086,データについて!$J$11:$M$18,8,FALSE)</f>
        <v>1</v>
      </c>
      <c r="Y2086" s="81">
        <f>HLOOKUP(R2086,データについて!$J$12:$M$18,7,FALSE)</f>
        <v>3</v>
      </c>
      <c r="Z2086" s="81">
        <f>HLOOKUP(I2086,データについて!$J$3:$M$18,16,FALSE)</f>
        <v>2</v>
      </c>
      <c r="AA2086" s="81" t="str">
        <f>IFERROR(HLOOKUP(J2086,データについて!$J$4:$AH$19,16,FALSE),"")</f>
        <v/>
      </c>
      <c r="AB2086" s="81">
        <f>IFERROR(HLOOKUP(K2086,データについて!$J$5:$AH$20,14,FALSE),"")</f>
        <v>2</v>
      </c>
      <c r="AC2086" s="81">
        <f>IF(X2086=1,HLOOKUP(R2086,データについて!$J$12:$M$18,7,FALSE),"*")</f>
        <v>3</v>
      </c>
      <c r="AD2086" s="81" t="str">
        <f>IF(X2086=2,HLOOKUP(R2086,データについて!$J$12:$M$18,7,FALSE),"*")</f>
        <v>*</v>
      </c>
    </row>
    <row r="2087" spans="1:30">
      <c r="A2087" s="30">
        <v>3105</v>
      </c>
      <c r="B2087" s="30" t="s">
        <v>2205</v>
      </c>
      <c r="C2087" s="30" t="s">
        <v>2206</v>
      </c>
      <c r="D2087" s="30" t="s">
        <v>106</v>
      </c>
      <c r="E2087" s="30"/>
      <c r="F2087" s="30" t="s">
        <v>107</v>
      </c>
      <c r="G2087" s="30" t="s">
        <v>106</v>
      </c>
      <c r="H2087" s="30"/>
      <c r="I2087" s="30" t="s">
        <v>191</v>
      </c>
      <c r="J2087" s="30"/>
      <c r="K2087" s="30" t="s">
        <v>1713</v>
      </c>
      <c r="L2087" s="30" t="s">
        <v>108</v>
      </c>
      <c r="M2087" s="30" t="s">
        <v>109</v>
      </c>
      <c r="N2087" s="30" t="s">
        <v>110</v>
      </c>
      <c r="O2087" s="30" t="s">
        <v>115</v>
      </c>
      <c r="P2087" s="30" t="s">
        <v>118</v>
      </c>
      <c r="Q2087" s="30" t="s">
        <v>118</v>
      </c>
      <c r="R2087" s="30" t="s">
        <v>187</v>
      </c>
      <c r="S2087" s="81">
        <f>HLOOKUP(L2087,データについて!$J$6:$M$18,13,FALSE)</f>
        <v>1</v>
      </c>
      <c r="T2087" s="81">
        <f>HLOOKUP(M2087,データについて!$J$7:$M$18,12,FALSE)</f>
        <v>2</v>
      </c>
      <c r="U2087" s="81">
        <f>HLOOKUP(N2087,データについて!$J$8:$M$18,11,FALSE)</f>
        <v>2</v>
      </c>
      <c r="V2087" s="81">
        <f>HLOOKUP(O2087,データについて!$J$9:$M$18,10,FALSE)</f>
        <v>1</v>
      </c>
      <c r="W2087" s="81">
        <f>HLOOKUP(P2087,データについて!$J$10:$M$18,9,FALSE)</f>
        <v>2</v>
      </c>
      <c r="X2087" s="81">
        <f>HLOOKUP(Q2087,データについて!$J$11:$M$18,8,FALSE)</f>
        <v>2</v>
      </c>
      <c r="Y2087" s="81">
        <f>HLOOKUP(R2087,データについて!$J$12:$M$18,7,FALSE)</f>
        <v>3</v>
      </c>
      <c r="Z2087" s="81">
        <f>HLOOKUP(I2087,データについて!$J$3:$M$18,16,FALSE)</f>
        <v>2</v>
      </c>
      <c r="AA2087" s="81" t="str">
        <f>IFERROR(HLOOKUP(J2087,データについて!$J$4:$AH$19,16,FALSE),"")</f>
        <v/>
      </c>
      <c r="AB2087" s="81">
        <f>IFERROR(HLOOKUP(K2087,データについて!$J$5:$AH$20,14,FALSE),"")</f>
        <v>2</v>
      </c>
      <c r="AC2087" s="81" t="str">
        <f>IF(X2087=1,HLOOKUP(R2087,データについて!$J$12:$M$18,7,FALSE),"*")</f>
        <v>*</v>
      </c>
      <c r="AD2087" s="81">
        <f>IF(X2087=2,HLOOKUP(R2087,データについて!$J$12:$M$18,7,FALSE),"*")</f>
        <v>3</v>
      </c>
    </row>
    <row r="2088" spans="1:30">
      <c r="A2088" s="30">
        <v>3104</v>
      </c>
      <c r="B2088" s="30" t="s">
        <v>2207</v>
      </c>
      <c r="C2088" s="30" t="s">
        <v>2206</v>
      </c>
      <c r="D2088" s="30" t="s">
        <v>106</v>
      </c>
      <c r="E2088" s="30"/>
      <c r="F2088" s="30" t="s">
        <v>107</v>
      </c>
      <c r="G2088" s="30" t="s">
        <v>106</v>
      </c>
      <c r="H2088" s="30"/>
      <c r="I2088" s="30" t="s">
        <v>191</v>
      </c>
      <c r="J2088" s="30"/>
      <c r="K2088" s="30" t="s">
        <v>1713</v>
      </c>
      <c r="L2088" s="30" t="s">
        <v>108</v>
      </c>
      <c r="M2088" s="30" t="s">
        <v>109</v>
      </c>
      <c r="N2088" s="30" t="s">
        <v>110</v>
      </c>
      <c r="O2088" s="30" t="s">
        <v>116</v>
      </c>
      <c r="P2088" s="30" t="s">
        <v>112</v>
      </c>
      <c r="Q2088" s="30" t="s">
        <v>112</v>
      </c>
      <c r="R2088" s="30" t="s">
        <v>187</v>
      </c>
      <c r="S2088" s="81">
        <f>HLOOKUP(L2088,データについて!$J$6:$M$18,13,FALSE)</f>
        <v>1</v>
      </c>
      <c r="T2088" s="81">
        <f>HLOOKUP(M2088,データについて!$J$7:$M$18,12,FALSE)</f>
        <v>2</v>
      </c>
      <c r="U2088" s="81">
        <f>HLOOKUP(N2088,データについて!$J$8:$M$18,11,FALSE)</f>
        <v>2</v>
      </c>
      <c r="V2088" s="81">
        <f>HLOOKUP(O2088,データについて!$J$9:$M$18,10,FALSE)</f>
        <v>2</v>
      </c>
      <c r="W2088" s="81">
        <f>HLOOKUP(P2088,データについて!$J$10:$M$18,9,FALSE)</f>
        <v>1</v>
      </c>
      <c r="X2088" s="81">
        <f>HLOOKUP(Q2088,データについて!$J$11:$M$18,8,FALSE)</f>
        <v>1</v>
      </c>
      <c r="Y2088" s="81">
        <f>HLOOKUP(R2088,データについて!$J$12:$M$18,7,FALSE)</f>
        <v>3</v>
      </c>
      <c r="Z2088" s="81">
        <f>HLOOKUP(I2088,データについて!$J$3:$M$18,16,FALSE)</f>
        <v>2</v>
      </c>
      <c r="AA2088" s="81" t="str">
        <f>IFERROR(HLOOKUP(J2088,データについて!$J$4:$AH$19,16,FALSE),"")</f>
        <v/>
      </c>
      <c r="AB2088" s="81">
        <f>IFERROR(HLOOKUP(K2088,データについて!$J$5:$AH$20,14,FALSE),"")</f>
        <v>2</v>
      </c>
      <c r="AC2088" s="81">
        <f>IF(X2088=1,HLOOKUP(R2088,データについて!$J$12:$M$18,7,FALSE),"*")</f>
        <v>3</v>
      </c>
      <c r="AD2088" s="81" t="str">
        <f>IF(X2088=2,HLOOKUP(R2088,データについて!$J$12:$M$18,7,FALSE),"*")</f>
        <v>*</v>
      </c>
    </row>
    <row r="2089" spans="1:30">
      <c r="A2089" s="30">
        <v>3103</v>
      </c>
      <c r="B2089" s="30" t="s">
        <v>2208</v>
      </c>
      <c r="C2089" s="30" t="s">
        <v>2206</v>
      </c>
      <c r="D2089" s="30" t="s">
        <v>106</v>
      </c>
      <c r="E2089" s="30"/>
      <c r="F2089" s="30" t="s">
        <v>107</v>
      </c>
      <c r="G2089" s="30" t="s">
        <v>106</v>
      </c>
      <c r="H2089" s="30"/>
      <c r="I2089" s="30" t="s">
        <v>191</v>
      </c>
      <c r="J2089" s="30"/>
      <c r="K2089" s="30" t="s">
        <v>1713</v>
      </c>
      <c r="L2089" s="30" t="s">
        <v>117</v>
      </c>
      <c r="M2089" s="30" t="s">
        <v>113</v>
      </c>
      <c r="N2089" s="30" t="s">
        <v>110</v>
      </c>
      <c r="O2089" s="30" t="s">
        <v>115</v>
      </c>
      <c r="P2089" s="30" t="s">
        <v>112</v>
      </c>
      <c r="Q2089" s="30" t="s">
        <v>112</v>
      </c>
      <c r="R2089" s="30" t="s">
        <v>185</v>
      </c>
      <c r="S2089" s="81">
        <f>HLOOKUP(L2089,データについて!$J$6:$M$18,13,FALSE)</f>
        <v>2</v>
      </c>
      <c r="T2089" s="81">
        <f>HLOOKUP(M2089,データについて!$J$7:$M$18,12,FALSE)</f>
        <v>1</v>
      </c>
      <c r="U2089" s="81">
        <f>HLOOKUP(N2089,データについて!$J$8:$M$18,11,FALSE)</f>
        <v>2</v>
      </c>
      <c r="V2089" s="81">
        <f>HLOOKUP(O2089,データについて!$J$9:$M$18,10,FALSE)</f>
        <v>1</v>
      </c>
      <c r="W2089" s="81">
        <f>HLOOKUP(P2089,データについて!$J$10:$M$18,9,FALSE)</f>
        <v>1</v>
      </c>
      <c r="X2089" s="81">
        <f>HLOOKUP(Q2089,データについて!$J$11:$M$18,8,FALSE)</f>
        <v>1</v>
      </c>
      <c r="Y2089" s="81">
        <f>HLOOKUP(R2089,データについて!$J$12:$M$18,7,FALSE)</f>
        <v>2</v>
      </c>
      <c r="Z2089" s="81">
        <f>HLOOKUP(I2089,データについて!$J$3:$M$18,16,FALSE)</f>
        <v>2</v>
      </c>
      <c r="AA2089" s="81" t="str">
        <f>IFERROR(HLOOKUP(J2089,データについて!$J$4:$AH$19,16,FALSE),"")</f>
        <v/>
      </c>
      <c r="AB2089" s="81">
        <f>IFERROR(HLOOKUP(K2089,データについて!$J$5:$AH$20,14,FALSE),"")</f>
        <v>2</v>
      </c>
      <c r="AC2089" s="81">
        <f>IF(X2089=1,HLOOKUP(R2089,データについて!$J$12:$M$18,7,FALSE),"*")</f>
        <v>2</v>
      </c>
      <c r="AD2089" s="81" t="str">
        <f>IF(X2089=2,HLOOKUP(R2089,データについて!$J$12:$M$18,7,FALSE),"*")</f>
        <v>*</v>
      </c>
    </row>
    <row r="2090" spans="1:30">
      <c r="A2090" s="30">
        <v>3102</v>
      </c>
      <c r="B2090" s="30" t="s">
        <v>2209</v>
      </c>
      <c r="C2090" s="30" t="s">
        <v>2210</v>
      </c>
      <c r="D2090" s="30" t="s">
        <v>106</v>
      </c>
      <c r="E2090" s="30"/>
      <c r="F2090" s="30" t="s">
        <v>107</v>
      </c>
      <c r="G2090" s="30" t="s">
        <v>106</v>
      </c>
      <c r="H2090" s="30"/>
      <c r="I2090" s="30" t="s">
        <v>191</v>
      </c>
      <c r="J2090" s="30"/>
      <c r="K2090" s="30" t="s">
        <v>1713</v>
      </c>
      <c r="L2090" s="30" t="s">
        <v>108</v>
      </c>
      <c r="M2090" s="30" t="s">
        <v>109</v>
      </c>
      <c r="N2090" s="30" t="s">
        <v>114</v>
      </c>
      <c r="O2090" s="30" t="s">
        <v>115</v>
      </c>
      <c r="P2090" s="30" t="s">
        <v>118</v>
      </c>
      <c r="Q2090" s="30" t="s">
        <v>118</v>
      </c>
      <c r="R2090" s="30" t="s">
        <v>185</v>
      </c>
      <c r="S2090" s="81">
        <f>HLOOKUP(L2090,データについて!$J$6:$M$18,13,FALSE)</f>
        <v>1</v>
      </c>
      <c r="T2090" s="81">
        <f>HLOOKUP(M2090,データについて!$J$7:$M$18,12,FALSE)</f>
        <v>2</v>
      </c>
      <c r="U2090" s="81">
        <f>HLOOKUP(N2090,データについて!$J$8:$M$18,11,FALSE)</f>
        <v>1</v>
      </c>
      <c r="V2090" s="81">
        <f>HLOOKUP(O2090,データについて!$J$9:$M$18,10,FALSE)</f>
        <v>1</v>
      </c>
      <c r="W2090" s="81">
        <f>HLOOKUP(P2090,データについて!$J$10:$M$18,9,FALSE)</f>
        <v>2</v>
      </c>
      <c r="X2090" s="81">
        <f>HLOOKUP(Q2090,データについて!$J$11:$M$18,8,FALSE)</f>
        <v>2</v>
      </c>
      <c r="Y2090" s="81">
        <f>HLOOKUP(R2090,データについて!$J$12:$M$18,7,FALSE)</f>
        <v>2</v>
      </c>
      <c r="Z2090" s="81">
        <f>HLOOKUP(I2090,データについて!$J$3:$M$18,16,FALSE)</f>
        <v>2</v>
      </c>
      <c r="AA2090" s="81" t="str">
        <f>IFERROR(HLOOKUP(J2090,データについて!$J$4:$AH$19,16,FALSE),"")</f>
        <v/>
      </c>
      <c r="AB2090" s="81">
        <f>IFERROR(HLOOKUP(K2090,データについて!$J$5:$AH$20,14,FALSE),"")</f>
        <v>2</v>
      </c>
      <c r="AC2090" s="81" t="str">
        <f>IF(X2090=1,HLOOKUP(R2090,データについて!$J$12:$M$18,7,FALSE),"*")</f>
        <v>*</v>
      </c>
      <c r="AD2090" s="81">
        <f>IF(X2090=2,HLOOKUP(R2090,データについて!$J$12:$M$18,7,FALSE),"*")</f>
        <v>2</v>
      </c>
    </row>
    <row r="2091" spans="1:30">
      <c r="A2091" s="30">
        <v>3101</v>
      </c>
      <c r="B2091" s="30" t="s">
        <v>2211</v>
      </c>
      <c r="C2091" s="30" t="s">
        <v>2212</v>
      </c>
      <c r="D2091" s="30" t="s">
        <v>106</v>
      </c>
      <c r="E2091" s="30"/>
      <c r="F2091" s="30" t="s">
        <v>107</v>
      </c>
      <c r="G2091" s="30" t="s">
        <v>106</v>
      </c>
      <c r="H2091" s="30"/>
      <c r="I2091" s="30" t="s">
        <v>191</v>
      </c>
      <c r="J2091" s="30"/>
      <c r="K2091" s="30" t="s">
        <v>1713</v>
      </c>
      <c r="L2091" s="30" t="s">
        <v>117</v>
      </c>
      <c r="M2091" s="30" t="s">
        <v>113</v>
      </c>
      <c r="N2091" s="30" t="s">
        <v>114</v>
      </c>
      <c r="O2091" s="30" t="s">
        <v>115</v>
      </c>
      <c r="P2091" s="30" t="s">
        <v>118</v>
      </c>
      <c r="Q2091" s="30" t="s">
        <v>112</v>
      </c>
      <c r="R2091" s="30" t="s">
        <v>183</v>
      </c>
      <c r="S2091" s="81">
        <f>HLOOKUP(L2091,データについて!$J$6:$M$18,13,FALSE)</f>
        <v>2</v>
      </c>
      <c r="T2091" s="81">
        <f>HLOOKUP(M2091,データについて!$J$7:$M$18,12,FALSE)</f>
        <v>1</v>
      </c>
      <c r="U2091" s="81">
        <f>HLOOKUP(N2091,データについて!$J$8:$M$18,11,FALSE)</f>
        <v>1</v>
      </c>
      <c r="V2091" s="81">
        <f>HLOOKUP(O2091,データについて!$J$9:$M$18,10,FALSE)</f>
        <v>1</v>
      </c>
      <c r="W2091" s="81">
        <f>HLOOKUP(P2091,データについて!$J$10:$M$18,9,FALSE)</f>
        <v>2</v>
      </c>
      <c r="X2091" s="81">
        <f>HLOOKUP(Q2091,データについて!$J$11:$M$18,8,FALSE)</f>
        <v>1</v>
      </c>
      <c r="Y2091" s="81">
        <f>HLOOKUP(R2091,データについて!$J$12:$M$18,7,FALSE)</f>
        <v>1</v>
      </c>
      <c r="Z2091" s="81">
        <f>HLOOKUP(I2091,データについて!$J$3:$M$18,16,FALSE)</f>
        <v>2</v>
      </c>
      <c r="AA2091" s="81" t="str">
        <f>IFERROR(HLOOKUP(J2091,データについて!$J$4:$AH$19,16,FALSE),"")</f>
        <v/>
      </c>
      <c r="AB2091" s="81">
        <f>IFERROR(HLOOKUP(K2091,データについて!$J$5:$AH$20,14,FALSE),"")</f>
        <v>2</v>
      </c>
      <c r="AC2091" s="81">
        <f>IF(X2091=1,HLOOKUP(R2091,データについて!$J$12:$M$18,7,FALSE),"*")</f>
        <v>1</v>
      </c>
      <c r="AD2091" s="81" t="str">
        <f>IF(X2091=2,HLOOKUP(R2091,データについて!$J$12:$M$18,7,FALSE),"*")</f>
        <v>*</v>
      </c>
    </row>
    <row r="2092" spans="1:30">
      <c r="A2092" s="30">
        <v>3100</v>
      </c>
      <c r="B2092" s="30" t="s">
        <v>2213</v>
      </c>
      <c r="C2092" s="30" t="s">
        <v>2214</v>
      </c>
      <c r="D2092" s="30" t="s">
        <v>106</v>
      </c>
      <c r="E2092" s="30"/>
      <c r="F2092" s="30" t="s">
        <v>107</v>
      </c>
      <c r="G2092" s="30" t="s">
        <v>106</v>
      </c>
      <c r="H2092" s="30"/>
      <c r="I2092" s="30" t="s">
        <v>191</v>
      </c>
      <c r="J2092" s="30"/>
      <c r="K2092" s="30" t="s">
        <v>1713</v>
      </c>
      <c r="L2092" s="30" t="s">
        <v>108</v>
      </c>
      <c r="M2092" s="30" t="s">
        <v>124</v>
      </c>
      <c r="N2092" s="30" t="s">
        <v>110</v>
      </c>
      <c r="O2092" s="30" t="s">
        <v>115</v>
      </c>
      <c r="P2092" s="30" t="s">
        <v>118</v>
      </c>
      <c r="Q2092" s="30" t="s">
        <v>112</v>
      </c>
      <c r="R2092" s="30" t="s">
        <v>185</v>
      </c>
      <c r="S2092" s="81">
        <f>HLOOKUP(L2092,データについて!$J$6:$M$18,13,FALSE)</f>
        <v>1</v>
      </c>
      <c r="T2092" s="81">
        <f>HLOOKUP(M2092,データについて!$J$7:$M$18,12,FALSE)</f>
        <v>3</v>
      </c>
      <c r="U2092" s="81">
        <f>HLOOKUP(N2092,データについて!$J$8:$M$18,11,FALSE)</f>
        <v>2</v>
      </c>
      <c r="V2092" s="81">
        <f>HLOOKUP(O2092,データについて!$J$9:$M$18,10,FALSE)</f>
        <v>1</v>
      </c>
      <c r="W2092" s="81">
        <f>HLOOKUP(P2092,データについて!$J$10:$M$18,9,FALSE)</f>
        <v>2</v>
      </c>
      <c r="X2092" s="81">
        <f>HLOOKUP(Q2092,データについて!$J$11:$M$18,8,FALSE)</f>
        <v>1</v>
      </c>
      <c r="Y2092" s="81">
        <f>HLOOKUP(R2092,データについて!$J$12:$M$18,7,FALSE)</f>
        <v>2</v>
      </c>
      <c r="Z2092" s="81">
        <f>HLOOKUP(I2092,データについて!$J$3:$M$18,16,FALSE)</f>
        <v>2</v>
      </c>
      <c r="AA2092" s="81" t="str">
        <f>IFERROR(HLOOKUP(J2092,データについて!$J$4:$AH$19,16,FALSE),"")</f>
        <v/>
      </c>
      <c r="AB2092" s="81">
        <f>IFERROR(HLOOKUP(K2092,データについて!$J$5:$AH$20,14,FALSE),"")</f>
        <v>2</v>
      </c>
      <c r="AC2092" s="81">
        <f>IF(X2092=1,HLOOKUP(R2092,データについて!$J$12:$M$18,7,FALSE),"*")</f>
        <v>2</v>
      </c>
      <c r="AD2092" s="81" t="str">
        <f>IF(X2092=2,HLOOKUP(R2092,データについて!$J$12:$M$18,7,FALSE),"*")</f>
        <v>*</v>
      </c>
    </row>
    <row r="2093" spans="1:30">
      <c r="A2093" s="30">
        <v>3099</v>
      </c>
      <c r="B2093" s="30" t="s">
        <v>2215</v>
      </c>
      <c r="C2093" s="30" t="s">
        <v>2216</v>
      </c>
      <c r="D2093" s="30" t="s">
        <v>106</v>
      </c>
      <c r="E2093" s="30"/>
      <c r="F2093" s="30" t="s">
        <v>107</v>
      </c>
      <c r="G2093" s="30" t="s">
        <v>106</v>
      </c>
      <c r="H2093" s="30"/>
      <c r="I2093" s="30" t="s">
        <v>191</v>
      </c>
      <c r="J2093" s="30"/>
      <c r="K2093" s="30" t="s">
        <v>1713</v>
      </c>
      <c r="L2093" s="30" t="s">
        <v>117</v>
      </c>
      <c r="M2093" s="30" t="s">
        <v>124</v>
      </c>
      <c r="N2093" s="30" t="s">
        <v>114</v>
      </c>
      <c r="O2093" s="30" t="s">
        <v>116</v>
      </c>
      <c r="P2093" s="30" t="s">
        <v>112</v>
      </c>
      <c r="Q2093" s="30" t="s">
        <v>112</v>
      </c>
      <c r="R2093" s="30" t="s">
        <v>189</v>
      </c>
      <c r="S2093" s="81">
        <f>HLOOKUP(L2093,データについて!$J$6:$M$18,13,FALSE)</f>
        <v>2</v>
      </c>
      <c r="T2093" s="81">
        <f>HLOOKUP(M2093,データについて!$J$7:$M$18,12,FALSE)</f>
        <v>3</v>
      </c>
      <c r="U2093" s="81">
        <f>HLOOKUP(N2093,データについて!$J$8:$M$18,11,FALSE)</f>
        <v>1</v>
      </c>
      <c r="V2093" s="81">
        <f>HLOOKUP(O2093,データについて!$J$9:$M$18,10,FALSE)</f>
        <v>2</v>
      </c>
      <c r="W2093" s="81">
        <f>HLOOKUP(P2093,データについて!$J$10:$M$18,9,FALSE)</f>
        <v>1</v>
      </c>
      <c r="X2093" s="81">
        <f>HLOOKUP(Q2093,データについて!$J$11:$M$18,8,FALSE)</f>
        <v>1</v>
      </c>
      <c r="Y2093" s="81">
        <f>HLOOKUP(R2093,データについて!$J$12:$M$18,7,FALSE)</f>
        <v>4</v>
      </c>
      <c r="Z2093" s="81">
        <f>HLOOKUP(I2093,データについて!$J$3:$M$18,16,FALSE)</f>
        <v>2</v>
      </c>
      <c r="AA2093" s="81" t="str">
        <f>IFERROR(HLOOKUP(J2093,データについて!$J$4:$AH$19,16,FALSE),"")</f>
        <v/>
      </c>
      <c r="AB2093" s="81">
        <f>IFERROR(HLOOKUP(K2093,データについて!$J$5:$AH$20,14,FALSE),"")</f>
        <v>2</v>
      </c>
      <c r="AC2093" s="81">
        <f>IF(X2093=1,HLOOKUP(R2093,データについて!$J$12:$M$18,7,FALSE),"*")</f>
        <v>4</v>
      </c>
      <c r="AD2093" s="81" t="str">
        <f>IF(X2093=2,HLOOKUP(R2093,データについて!$J$12:$M$18,7,FALSE),"*")</f>
        <v>*</v>
      </c>
    </row>
    <row r="2094" spans="1:30">
      <c r="A2094" s="30">
        <v>3098</v>
      </c>
      <c r="B2094" s="30" t="s">
        <v>2217</v>
      </c>
      <c r="C2094" s="30" t="s">
        <v>2218</v>
      </c>
      <c r="D2094" s="30" t="s">
        <v>106</v>
      </c>
      <c r="E2094" s="30"/>
      <c r="F2094" s="30" t="s">
        <v>107</v>
      </c>
      <c r="G2094" s="30" t="s">
        <v>106</v>
      </c>
      <c r="H2094" s="30"/>
      <c r="I2094" s="30" t="s">
        <v>191</v>
      </c>
      <c r="J2094" s="30"/>
      <c r="K2094" s="30" t="s">
        <v>1713</v>
      </c>
      <c r="L2094" s="30" t="s">
        <v>108</v>
      </c>
      <c r="M2094" s="30" t="s">
        <v>124</v>
      </c>
      <c r="N2094" s="30" t="s">
        <v>110</v>
      </c>
      <c r="O2094" s="30" t="s">
        <v>111</v>
      </c>
      <c r="P2094" s="30" t="s">
        <v>112</v>
      </c>
      <c r="Q2094" s="30" t="s">
        <v>118</v>
      </c>
      <c r="R2094" s="30" t="s">
        <v>187</v>
      </c>
      <c r="S2094" s="81">
        <f>HLOOKUP(L2094,データについて!$J$6:$M$18,13,FALSE)</f>
        <v>1</v>
      </c>
      <c r="T2094" s="81">
        <f>HLOOKUP(M2094,データについて!$J$7:$M$18,12,FALSE)</f>
        <v>3</v>
      </c>
      <c r="U2094" s="81">
        <f>HLOOKUP(N2094,データについて!$J$8:$M$18,11,FALSE)</f>
        <v>2</v>
      </c>
      <c r="V2094" s="81">
        <f>HLOOKUP(O2094,データについて!$J$9:$M$18,10,FALSE)</f>
        <v>3</v>
      </c>
      <c r="W2094" s="81">
        <f>HLOOKUP(P2094,データについて!$J$10:$M$18,9,FALSE)</f>
        <v>1</v>
      </c>
      <c r="X2094" s="81">
        <f>HLOOKUP(Q2094,データについて!$J$11:$M$18,8,FALSE)</f>
        <v>2</v>
      </c>
      <c r="Y2094" s="81">
        <f>HLOOKUP(R2094,データについて!$J$12:$M$18,7,FALSE)</f>
        <v>3</v>
      </c>
      <c r="Z2094" s="81">
        <f>HLOOKUP(I2094,データについて!$J$3:$M$18,16,FALSE)</f>
        <v>2</v>
      </c>
      <c r="AA2094" s="81" t="str">
        <f>IFERROR(HLOOKUP(J2094,データについて!$J$4:$AH$19,16,FALSE),"")</f>
        <v/>
      </c>
      <c r="AB2094" s="81">
        <f>IFERROR(HLOOKUP(K2094,データについて!$J$5:$AH$20,14,FALSE),"")</f>
        <v>2</v>
      </c>
      <c r="AC2094" s="81" t="str">
        <f>IF(X2094=1,HLOOKUP(R2094,データについて!$J$12:$M$18,7,FALSE),"*")</f>
        <v>*</v>
      </c>
      <c r="AD2094" s="81">
        <f>IF(X2094=2,HLOOKUP(R2094,データについて!$J$12:$M$18,7,FALSE),"*")</f>
        <v>3</v>
      </c>
    </row>
    <row r="2095" spans="1:30">
      <c r="A2095" s="30">
        <v>3097</v>
      </c>
      <c r="B2095" s="30" t="s">
        <v>2219</v>
      </c>
      <c r="C2095" s="30" t="s">
        <v>2220</v>
      </c>
      <c r="D2095" s="30" t="s">
        <v>106</v>
      </c>
      <c r="E2095" s="30"/>
      <c r="F2095" s="30" t="s">
        <v>107</v>
      </c>
      <c r="G2095" s="30" t="s">
        <v>106</v>
      </c>
      <c r="H2095" s="30"/>
      <c r="I2095" s="30" t="s">
        <v>191</v>
      </c>
      <c r="J2095" s="30"/>
      <c r="K2095" s="30" t="s">
        <v>1713</v>
      </c>
      <c r="L2095" s="30" t="s">
        <v>117</v>
      </c>
      <c r="M2095" s="30" t="s">
        <v>109</v>
      </c>
      <c r="N2095" s="30" t="s">
        <v>122</v>
      </c>
      <c r="O2095" s="30" t="s">
        <v>115</v>
      </c>
      <c r="P2095" s="30" t="s">
        <v>118</v>
      </c>
      <c r="Q2095" s="30" t="s">
        <v>112</v>
      </c>
      <c r="R2095" s="30" t="s">
        <v>183</v>
      </c>
      <c r="S2095" s="81">
        <f>HLOOKUP(L2095,データについて!$J$6:$M$18,13,FALSE)</f>
        <v>2</v>
      </c>
      <c r="T2095" s="81">
        <f>HLOOKUP(M2095,データについて!$J$7:$M$18,12,FALSE)</f>
        <v>2</v>
      </c>
      <c r="U2095" s="81">
        <f>HLOOKUP(N2095,データについて!$J$8:$M$18,11,FALSE)</f>
        <v>3</v>
      </c>
      <c r="V2095" s="81">
        <f>HLOOKUP(O2095,データについて!$J$9:$M$18,10,FALSE)</f>
        <v>1</v>
      </c>
      <c r="W2095" s="81">
        <f>HLOOKUP(P2095,データについて!$J$10:$M$18,9,FALSE)</f>
        <v>2</v>
      </c>
      <c r="X2095" s="81">
        <f>HLOOKUP(Q2095,データについて!$J$11:$M$18,8,FALSE)</f>
        <v>1</v>
      </c>
      <c r="Y2095" s="81">
        <f>HLOOKUP(R2095,データについて!$J$12:$M$18,7,FALSE)</f>
        <v>1</v>
      </c>
      <c r="Z2095" s="81">
        <f>HLOOKUP(I2095,データについて!$J$3:$M$18,16,FALSE)</f>
        <v>2</v>
      </c>
      <c r="AA2095" s="81" t="str">
        <f>IFERROR(HLOOKUP(J2095,データについて!$J$4:$AH$19,16,FALSE),"")</f>
        <v/>
      </c>
      <c r="AB2095" s="81">
        <f>IFERROR(HLOOKUP(K2095,データについて!$J$5:$AH$20,14,FALSE),"")</f>
        <v>2</v>
      </c>
      <c r="AC2095" s="81">
        <f>IF(X2095=1,HLOOKUP(R2095,データについて!$J$12:$M$18,7,FALSE),"*")</f>
        <v>1</v>
      </c>
      <c r="AD2095" s="81" t="str">
        <f>IF(X2095=2,HLOOKUP(R2095,データについて!$J$12:$M$18,7,FALSE),"*")</f>
        <v>*</v>
      </c>
    </row>
    <row r="2096" spans="1:30">
      <c r="A2096" s="30">
        <v>3096</v>
      </c>
      <c r="B2096" s="30" t="s">
        <v>2221</v>
      </c>
      <c r="C2096" s="30" t="s">
        <v>2222</v>
      </c>
      <c r="D2096" s="30" t="s">
        <v>106</v>
      </c>
      <c r="E2096" s="30"/>
      <c r="F2096" s="30" t="s">
        <v>107</v>
      </c>
      <c r="G2096" s="30" t="s">
        <v>106</v>
      </c>
      <c r="H2096" s="30"/>
      <c r="I2096" s="30" t="s">
        <v>191</v>
      </c>
      <c r="J2096" s="30"/>
      <c r="K2096" s="30" t="s">
        <v>1713</v>
      </c>
      <c r="L2096" s="30" t="s">
        <v>117</v>
      </c>
      <c r="M2096" s="30" t="s">
        <v>109</v>
      </c>
      <c r="N2096" s="30" t="s">
        <v>114</v>
      </c>
      <c r="O2096" s="30" t="s">
        <v>115</v>
      </c>
      <c r="P2096" s="30" t="s">
        <v>118</v>
      </c>
      <c r="Q2096" s="30" t="s">
        <v>112</v>
      </c>
      <c r="R2096" s="30" t="s">
        <v>185</v>
      </c>
      <c r="S2096" s="81">
        <f>HLOOKUP(L2096,データについて!$J$6:$M$18,13,FALSE)</f>
        <v>2</v>
      </c>
      <c r="T2096" s="81">
        <f>HLOOKUP(M2096,データについて!$J$7:$M$18,12,FALSE)</f>
        <v>2</v>
      </c>
      <c r="U2096" s="81">
        <f>HLOOKUP(N2096,データについて!$J$8:$M$18,11,FALSE)</f>
        <v>1</v>
      </c>
      <c r="V2096" s="81">
        <f>HLOOKUP(O2096,データについて!$J$9:$M$18,10,FALSE)</f>
        <v>1</v>
      </c>
      <c r="W2096" s="81">
        <f>HLOOKUP(P2096,データについて!$J$10:$M$18,9,FALSE)</f>
        <v>2</v>
      </c>
      <c r="X2096" s="81">
        <f>HLOOKUP(Q2096,データについて!$J$11:$M$18,8,FALSE)</f>
        <v>1</v>
      </c>
      <c r="Y2096" s="81">
        <f>HLOOKUP(R2096,データについて!$J$12:$M$18,7,FALSE)</f>
        <v>2</v>
      </c>
      <c r="Z2096" s="81">
        <f>HLOOKUP(I2096,データについて!$J$3:$M$18,16,FALSE)</f>
        <v>2</v>
      </c>
      <c r="AA2096" s="81" t="str">
        <f>IFERROR(HLOOKUP(J2096,データについて!$J$4:$AH$19,16,FALSE),"")</f>
        <v/>
      </c>
      <c r="AB2096" s="81">
        <f>IFERROR(HLOOKUP(K2096,データについて!$J$5:$AH$20,14,FALSE),"")</f>
        <v>2</v>
      </c>
      <c r="AC2096" s="81">
        <f>IF(X2096=1,HLOOKUP(R2096,データについて!$J$12:$M$18,7,FALSE),"*")</f>
        <v>2</v>
      </c>
      <c r="AD2096" s="81" t="str">
        <f>IF(X2096=2,HLOOKUP(R2096,データについて!$J$12:$M$18,7,FALSE),"*")</f>
        <v>*</v>
      </c>
    </row>
    <row r="2097" spans="1:30">
      <c r="A2097" s="30">
        <v>3095</v>
      </c>
      <c r="B2097" s="30" t="s">
        <v>2223</v>
      </c>
      <c r="C2097" s="30" t="s">
        <v>2224</v>
      </c>
      <c r="D2097" s="30" t="s">
        <v>106</v>
      </c>
      <c r="E2097" s="30"/>
      <c r="F2097" s="30" t="s">
        <v>107</v>
      </c>
      <c r="G2097" s="30" t="s">
        <v>106</v>
      </c>
      <c r="H2097" s="30"/>
      <c r="I2097" s="30" t="s">
        <v>191</v>
      </c>
      <c r="J2097" s="30"/>
      <c r="K2097" s="30" t="s">
        <v>1713</v>
      </c>
      <c r="L2097" s="30" t="s">
        <v>117</v>
      </c>
      <c r="M2097" s="30" t="s">
        <v>109</v>
      </c>
      <c r="N2097" s="30" t="s">
        <v>110</v>
      </c>
      <c r="O2097" s="30" t="s">
        <v>115</v>
      </c>
      <c r="P2097" s="30" t="s">
        <v>112</v>
      </c>
      <c r="Q2097" s="30" t="s">
        <v>112</v>
      </c>
      <c r="R2097" s="30" t="s">
        <v>185</v>
      </c>
      <c r="S2097" s="81">
        <f>HLOOKUP(L2097,データについて!$J$6:$M$18,13,FALSE)</f>
        <v>2</v>
      </c>
      <c r="T2097" s="81">
        <f>HLOOKUP(M2097,データについて!$J$7:$M$18,12,FALSE)</f>
        <v>2</v>
      </c>
      <c r="U2097" s="81">
        <f>HLOOKUP(N2097,データについて!$J$8:$M$18,11,FALSE)</f>
        <v>2</v>
      </c>
      <c r="V2097" s="81">
        <f>HLOOKUP(O2097,データについて!$J$9:$M$18,10,FALSE)</f>
        <v>1</v>
      </c>
      <c r="W2097" s="81">
        <f>HLOOKUP(P2097,データについて!$J$10:$M$18,9,FALSE)</f>
        <v>1</v>
      </c>
      <c r="X2097" s="81">
        <f>HLOOKUP(Q2097,データについて!$J$11:$M$18,8,FALSE)</f>
        <v>1</v>
      </c>
      <c r="Y2097" s="81">
        <f>HLOOKUP(R2097,データについて!$J$12:$M$18,7,FALSE)</f>
        <v>2</v>
      </c>
      <c r="Z2097" s="81">
        <f>HLOOKUP(I2097,データについて!$J$3:$M$18,16,FALSE)</f>
        <v>2</v>
      </c>
      <c r="AA2097" s="81" t="str">
        <f>IFERROR(HLOOKUP(J2097,データについて!$J$4:$AH$19,16,FALSE),"")</f>
        <v/>
      </c>
      <c r="AB2097" s="81">
        <f>IFERROR(HLOOKUP(K2097,データについて!$J$5:$AH$20,14,FALSE),"")</f>
        <v>2</v>
      </c>
      <c r="AC2097" s="81">
        <f>IF(X2097=1,HLOOKUP(R2097,データについて!$J$12:$M$18,7,FALSE),"*")</f>
        <v>2</v>
      </c>
      <c r="AD2097" s="81" t="str">
        <f>IF(X2097=2,HLOOKUP(R2097,データについて!$J$12:$M$18,7,FALSE),"*")</f>
        <v>*</v>
      </c>
    </row>
    <row r="2098" spans="1:30">
      <c r="A2098" s="30">
        <v>3094</v>
      </c>
      <c r="B2098" s="30" t="s">
        <v>2225</v>
      </c>
      <c r="C2098" s="30" t="s">
        <v>2226</v>
      </c>
      <c r="D2098" s="30" t="s">
        <v>106</v>
      </c>
      <c r="E2098" s="30"/>
      <c r="F2098" s="30" t="s">
        <v>107</v>
      </c>
      <c r="G2098" s="30" t="s">
        <v>106</v>
      </c>
      <c r="H2098" s="30"/>
      <c r="I2098" s="30" t="s">
        <v>191</v>
      </c>
      <c r="J2098" s="30"/>
      <c r="K2098" s="30" t="s">
        <v>1713</v>
      </c>
      <c r="L2098" s="30" t="s">
        <v>108</v>
      </c>
      <c r="M2098" s="30" t="s">
        <v>113</v>
      </c>
      <c r="N2098" s="30" t="s">
        <v>119</v>
      </c>
      <c r="O2098" s="30" t="s">
        <v>115</v>
      </c>
      <c r="P2098" s="30" t="s">
        <v>112</v>
      </c>
      <c r="Q2098" s="30" t="s">
        <v>112</v>
      </c>
      <c r="R2098" s="30" t="s">
        <v>183</v>
      </c>
      <c r="S2098" s="81">
        <f>HLOOKUP(L2098,データについて!$J$6:$M$18,13,FALSE)</f>
        <v>1</v>
      </c>
      <c r="T2098" s="81">
        <f>HLOOKUP(M2098,データについて!$J$7:$M$18,12,FALSE)</f>
        <v>1</v>
      </c>
      <c r="U2098" s="81">
        <f>HLOOKUP(N2098,データについて!$J$8:$M$18,11,FALSE)</f>
        <v>4</v>
      </c>
      <c r="V2098" s="81">
        <f>HLOOKUP(O2098,データについて!$J$9:$M$18,10,FALSE)</f>
        <v>1</v>
      </c>
      <c r="W2098" s="81">
        <f>HLOOKUP(P2098,データについて!$J$10:$M$18,9,FALSE)</f>
        <v>1</v>
      </c>
      <c r="X2098" s="81">
        <f>HLOOKUP(Q2098,データについて!$J$11:$M$18,8,FALSE)</f>
        <v>1</v>
      </c>
      <c r="Y2098" s="81">
        <f>HLOOKUP(R2098,データについて!$J$12:$M$18,7,FALSE)</f>
        <v>1</v>
      </c>
      <c r="Z2098" s="81">
        <f>HLOOKUP(I2098,データについて!$J$3:$M$18,16,FALSE)</f>
        <v>2</v>
      </c>
      <c r="AA2098" s="81" t="str">
        <f>IFERROR(HLOOKUP(J2098,データについて!$J$4:$AH$19,16,FALSE),"")</f>
        <v/>
      </c>
      <c r="AB2098" s="81">
        <f>IFERROR(HLOOKUP(K2098,データについて!$J$5:$AH$20,14,FALSE),"")</f>
        <v>2</v>
      </c>
      <c r="AC2098" s="81">
        <f>IF(X2098=1,HLOOKUP(R2098,データについて!$J$12:$M$18,7,FALSE),"*")</f>
        <v>1</v>
      </c>
      <c r="AD2098" s="81" t="str">
        <f>IF(X2098=2,HLOOKUP(R2098,データについて!$J$12:$M$18,7,FALSE),"*")</f>
        <v>*</v>
      </c>
    </row>
    <row r="2099" spans="1:30">
      <c r="A2099" s="30">
        <v>3093</v>
      </c>
      <c r="B2099" s="30" t="s">
        <v>2227</v>
      </c>
      <c r="C2099" s="30" t="s">
        <v>2228</v>
      </c>
      <c r="D2099" s="30" t="s">
        <v>106</v>
      </c>
      <c r="E2099" s="30"/>
      <c r="F2099" s="30" t="s">
        <v>107</v>
      </c>
      <c r="G2099" s="30" t="s">
        <v>106</v>
      </c>
      <c r="H2099" s="30"/>
      <c r="I2099" s="30" t="s">
        <v>191</v>
      </c>
      <c r="J2099" s="30"/>
      <c r="K2099" s="30" t="s">
        <v>1713</v>
      </c>
      <c r="L2099" s="30" t="s">
        <v>117</v>
      </c>
      <c r="M2099" s="30" t="s">
        <v>113</v>
      </c>
      <c r="N2099" s="30" t="s">
        <v>122</v>
      </c>
      <c r="O2099" s="30" t="s">
        <v>115</v>
      </c>
      <c r="P2099" s="30" t="s">
        <v>112</v>
      </c>
      <c r="Q2099" s="30" t="s">
        <v>112</v>
      </c>
      <c r="R2099" s="30" t="s">
        <v>187</v>
      </c>
      <c r="S2099" s="81">
        <f>HLOOKUP(L2099,データについて!$J$6:$M$18,13,FALSE)</f>
        <v>2</v>
      </c>
      <c r="T2099" s="81">
        <f>HLOOKUP(M2099,データについて!$J$7:$M$18,12,FALSE)</f>
        <v>1</v>
      </c>
      <c r="U2099" s="81">
        <f>HLOOKUP(N2099,データについて!$J$8:$M$18,11,FALSE)</f>
        <v>3</v>
      </c>
      <c r="V2099" s="81">
        <f>HLOOKUP(O2099,データについて!$J$9:$M$18,10,FALSE)</f>
        <v>1</v>
      </c>
      <c r="W2099" s="81">
        <f>HLOOKUP(P2099,データについて!$J$10:$M$18,9,FALSE)</f>
        <v>1</v>
      </c>
      <c r="X2099" s="81">
        <f>HLOOKUP(Q2099,データについて!$J$11:$M$18,8,FALSE)</f>
        <v>1</v>
      </c>
      <c r="Y2099" s="81">
        <f>HLOOKUP(R2099,データについて!$J$12:$M$18,7,FALSE)</f>
        <v>3</v>
      </c>
      <c r="Z2099" s="81">
        <f>HLOOKUP(I2099,データについて!$J$3:$M$18,16,FALSE)</f>
        <v>2</v>
      </c>
      <c r="AA2099" s="81" t="str">
        <f>IFERROR(HLOOKUP(J2099,データについて!$J$4:$AH$19,16,FALSE),"")</f>
        <v/>
      </c>
      <c r="AB2099" s="81">
        <f>IFERROR(HLOOKUP(K2099,データについて!$J$5:$AH$20,14,FALSE),"")</f>
        <v>2</v>
      </c>
      <c r="AC2099" s="81">
        <f>IF(X2099=1,HLOOKUP(R2099,データについて!$J$12:$M$18,7,FALSE),"*")</f>
        <v>3</v>
      </c>
      <c r="AD2099" s="81" t="str">
        <f>IF(X2099=2,HLOOKUP(R2099,データについて!$J$12:$M$18,7,FALSE),"*")</f>
        <v>*</v>
      </c>
    </row>
    <row r="2100" spans="1:30">
      <c r="A2100" s="30">
        <v>3092</v>
      </c>
      <c r="B2100" s="30" t="s">
        <v>2229</v>
      </c>
      <c r="C2100" s="30" t="s">
        <v>2230</v>
      </c>
      <c r="D2100" s="30" t="s">
        <v>106</v>
      </c>
      <c r="E2100" s="30"/>
      <c r="F2100" s="30" t="s">
        <v>107</v>
      </c>
      <c r="G2100" s="30" t="s">
        <v>106</v>
      </c>
      <c r="H2100" s="30"/>
      <c r="I2100" s="30" t="s">
        <v>191</v>
      </c>
      <c r="J2100" s="30"/>
      <c r="K2100" s="30" t="s">
        <v>1713</v>
      </c>
      <c r="L2100" s="30" t="s">
        <v>117</v>
      </c>
      <c r="M2100" s="30" t="s">
        <v>113</v>
      </c>
      <c r="N2100" s="30" t="s">
        <v>110</v>
      </c>
      <c r="O2100" s="30" t="s">
        <v>115</v>
      </c>
      <c r="P2100" s="30" t="s">
        <v>118</v>
      </c>
      <c r="Q2100" s="30" t="s">
        <v>112</v>
      </c>
      <c r="R2100" s="30" t="s">
        <v>185</v>
      </c>
      <c r="S2100" s="81">
        <f>HLOOKUP(L2100,データについて!$J$6:$M$18,13,FALSE)</f>
        <v>2</v>
      </c>
      <c r="T2100" s="81">
        <f>HLOOKUP(M2100,データについて!$J$7:$M$18,12,FALSE)</f>
        <v>1</v>
      </c>
      <c r="U2100" s="81">
        <f>HLOOKUP(N2100,データについて!$J$8:$M$18,11,FALSE)</f>
        <v>2</v>
      </c>
      <c r="V2100" s="81">
        <f>HLOOKUP(O2100,データについて!$J$9:$M$18,10,FALSE)</f>
        <v>1</v>
      </c>
      <c r="W2100" s="81">
        <f>HLOOKUP(P2100,データについて!$J$10:$M$18,9,FALSE)</f>
        <v>2</v>
      </c>
      <c r="X2100" s="81">
        <f>HLOOKUP(Q2100,データについて!$J$11:$M$18,8,FALSE)</f>
        <v>1</v>
      </c>
      <c r="Y2100" s="81">
        <f>HLOOKUP(R2100,データについて!$J$12:$M$18,7,FALSE)</f>
        <v>2</v>
      </c>
      <c r="Z2100" s="81">
        <f>HLOOKUP(I2100,データについて!$J$3:$M$18,16,FALSE)</f>
        <v>2</v>
      </c>
      <c r="AA2100" s="81" t="str">
        <f>IFERROR(HLOOKUP(J2100,データについて!$J$4:$AH$19,16,FALSE),"")</f>
        <v/>
      </c>
      <c r="AB2100" s="81">
        <f>IFERROR(HLOOKUP(K2100,データについて!$J$5:$AH$20,14,FALSE),"")</f>
        <v>2</v>
      </c>
      <c r="AC2100" s="81">
        <f>IF(X2100=1,HLOOKUP(R2100,データについて!$J$12:$M$18,7,FALSE),"*")</f>
        <v>2</v>
      </c>
      <c r="AD2100" s="81" t="str">
        <f>IF(X2100=2,HLOOKUP(R2100,データについて!$J$12:$M$18,7,FALSE),"*")</f>
        <v>*</v>
      </c>
    </row>
    <row r="2101" spans="1:30">
      <c r="A2101" s="30">
        <v>3091</v>
      </c>
      <c r="B2101" s="30" t="s">
        <v>2231</v>
      </c>
      <c r="C2101" s="30" t="s">
        <v>2230</v>
      </c>
      <c r="D2101" s="30" t="s">
        <v>106</v>
      </c>
      <c r="E2101" s="30"/>
      <c r="F2101" s="30" t="s">
        <v>107</v>
      </c>
      <c r="G2101" s="30" t="s">
        <v>106</v>
      </c>
      <c r="H2101" s="30"/>
      <c r="I2101" s="30" t="s">
        <v>191</v>
      </c>
      <c r="J2101" s="30"/>
      <c r="K2101" s="30" t="s">
        <v>1713</v>
      </c>
      <c r="L2101" s="30" t="s">
        <v>108</v>
      </c>
      <c r="M2101" s="30" t="s">
        <v>121</v>
      </c>
      <c r="N2101" s="30" t="s">
        <v>122</v>
      </c>
      <c r="O2101" s="30" t="s">
        <v>123</v>
      </c>
      <c r="P2101" s="30" t="s">
        <v>118</v>
      </c>
      <c r="Q2101" s="30" t="s">
        <v>112</v>
      </c>
      <c r="R2101" s="30" t="s">
        <v>183</v>
      </c>
      <c r="S2101" s="81">
        <f>HLOOKUP(L2101,データについて!$J$6:$M$18,13,FALSE)</f>
        <v>1</v>
      </c>
      <c r="T2101" s="81">
        <f>HLOOKUP(M2101,データについて!$J$7:$M$18,12,FALSE)</f>
        <v>4</v>
      </c>
      <c r="U2101" s="81">
        <f>HLOOKUP(N2101,データについて!$J$8:$M$18,11,FALSE)</f>
        <v>3</v>
      </c>
      <c r="V2101" s="81">
        <f>HLOOKUP(O2101,データについて!$J$9:$M$18,10,FALSE)</f>
        <v>4</v>
      </c>
      <c r="W2101" s="81">
        <f>HLOOKUP(P2101,データについて!$J$10:$M$18,9,FALSE)</f>
        <v>2</v>
      </c>
      <c r="X2101" s="81">
        <f>HLOOKUP(Q2101,データについて!$J$11:$M$18,8,FALSE)</f>
        <v>1</v>
      </c>
      <c r="Y2101" s="81">
        <f>HLOOKUP(R2101,データについて!$J$12:$M$18,7,FALSE)</f>
        <v>1</v>
      </c>
      <c r="Z2101" s="81">
        <f>HLOOKUP(I2101,データについて!$J$3:$M$18,16,FALSE)</f>
        <v>2</v>
      </c>
      <c r="AA2101" s="81" t="str">
        <f>IFERROR(HLOOKUP(J2101,データについて!$J$4:$AH$19,16,FALSE),"")</f>
        <v/>
      </c>
      <c r="AB2101" s="81">
        <f>IFERROR(HLOOKUP(K2101,データについて!$J$5:$AH$20,14,FALSE),"")</f>
        <v>2</v>
      </c>
      <c r="AC2101" s="81">
        <f>IF(X2101=1,HLOOKUP(R2101,データについて!$J$12:$M$18,7,FALSE),"*")</f>
        <v>1</v>
      </c>
      <c r="AD2101" s="81" t="str">
        <f>IF(X2101=2,HLOOKUP(R2101,データについて!$J$12:$M$18,7,FALSE),"*")</f>
        <v>*</v>
      </c>
    </row>
    <row r="2102" spans="1:30">
      <c r="A2102" s="30">
        <v>3090</v>
      </c>
      <c r="B2102" s="30" t="s">
        <v>2232</v>
      </c>
      <c r="C2102" s="30" t="s">
        <v>2233</v>
      </c>
      <c r="D2102" s="30" t="s">
        <v>106</v>
      </c>
      <c r="E2102" s="30"/>
      <c r="F2102" s="30" t="s">
        <v>107</v>
      </c>
      <c r="G2102" s="30" t="s">
        <v>106</v>
      </c>
      <c r="H2102" s="30"/>
      <c r="I2102" s="30" t="s">
        <v>191</v>
      </c>
      <c r="J2102" s="30"/>
      <c r="K2102" s="30" t="s">
        <v>1713</v>
      </c>
      <c r="L2102" s="30" t="s">
        <v>108</v>
      </c>
      <c r="M2102" s="30" t="s">
        <v>109</v>
      </c>
      <c r="N2102" s="30" t="s">
        <v>114</v>
      </c>
      <c r="O2102" s="30" t="s">
        <v>115</v>
      </c>
      <c r="P2102" s="30" t="s">
        <v>112</v>
      </c>
      <c r="Q2102" s="30" t="s">
        <v>118</v>
      </c>
      <c r="R2102" s="30" t="s">
        <v>187</v>
      </c>
      <c r="S2102" s="81">
        <f>HLOOKUP(L2102,データについて!$J$6:$M$18,13,FALSE)</f>
        <v>1</v>
      </c>
      <c r="T2102" s="81">
        <f>HLOOKUP(M2102,データについて!$J$7:$M$18,12,FALSE)</f>
        <v>2</v>
      </c>
      <c r="U2102" s="81">
        <f>HLOOKUP(N2102,データについて!$J$8:$M$18,11,FALSE)</f>
        <v>1</v>
      </c>
      <c r="V2102" s="81">
        <f>HLOOKUP(O2102,データについて!$J$9:$M$18,10,FALSE)</f>
        <v>1</v>
      </c>
      <c r="W2102" s="81">
        <f>HLOOKUP(P2102,データについて!$J$10:$M$18,9,FALSE)</f>
        <v>1</v>
      </c>
      <c r="X2102" s="81">
        <f>HLOOKUP(Q2102,データについて!$J$11:$M$18,8,FALSE)</f>
        <v>2</v>
      </c>
      <c r="Y2102" s="81">
        <f>HLOOKUP(R2102,データについて!$J$12:$M$18,7,FALSE)</f>
        <v>3</v>
      </c>
      <c r="Z2102" s="81">
        <f>HLOOKUP(I2102,データについて!$J$3:$M$18,16,FALSE)</f>
        <v>2</v>
      </c>
      <c r="AA2102" s="81" t="str">
        <f>IFERROR(HLOOKUP(J2102,データについて!$J$4:$AH$19,16,FALSE),"")</f>
        <v/>
      </c>
      <c r="AB2102" s="81">
        <f>IFERROR(HLOOKUP(K2102,データについて!$J$5:$AH$20,14,FALSE),"")</f>
        <v>2</v>
      </c>
      <c r="AC2102" s="81" t="str">
        <f>IF(X2102=1,HLOOKUP(R2102,データについて!$J$12:$M$18,7,FALSE),"*")</f>
        <v>*</v>
      </c>
      <c r="AD2102" s="81">
        <f>IF(X2102=2,HLOOKUP(R2102,データについて!$J$12:$M$18,7,FALSE),"*")</f>
        <v>3</v>
      </c>
    </row>
    <row r="2103" spans="1:30">
      <c r="A2103" s="30">
        <v>3089</v>
      </c>
      <c r="B2103" s="30" t="s">
        <v>2234</v>
      </c>
      <c r="C2103" s="30" t="s">
        <v>2233</v>
      </c>
      <c r="D2103" s="30" t="s">
        <v>106</v>
      </c>
      <c r="E2103" s="30"/>
      <c r="F2103" s="30" t="s">
        <v>107</v>
      </c>
      <c r="G2103" s="30" t="s">
        <v>106</v>
      </c>
      <c r="H2103" s="30"/>
      <c r="I2103" s="30" t="s">
        <v>191</v>
      </c>
      <c r="J2103" s="30"/>
      <c r="K2103" s="30" t="s">
        <v>1713</v>
      </c>
      <c r="L2103" s="30" t="s">
        <v>108</v>
      </c>
      <c r="M2103" s="30" t="s">
        <v>113</v>
      </c>
      <c r="N2103" s="30" t="s">
        <v>110</v>
      </c>
      <c r="O2103" s="30" t="s">
        <v>115</v>
      </c>
      <c r="P2103" s="30" t="s">
        <v>118</v>
      </c>
      <c r="Q2103" s="30" t="s">
        <v>112</v>
      </c>
      <c r="R2103" s="30" t="s">
        <v>183</v>
      </c>
      <c r="S2103" s="81">
        <f>HLOOKUP(L2103,データについて!$J$6:$M$18,13,FALSE)</f>
        <v>1</v>
      </c>
      <c r="T2103" s="81">
        <f>HLOOKUP(M2103,データについて!$J$7:$M$18,12,FALSE)</f>
        <v>1</v>
      </c>
      <c r="U2103" s="81">
        <f>HLOOKUP(N2103,データについて!$J$8:$M$18,11,FALSE)</f>
        <v>2</v>
      </c>
      <c r="V2103" s="81">
        <f>HLOOKUP(O2103,データについて!$J$9:$M$18,10,FALSE)</f>
        <v>1</v>
      </c>
      <c r="W2103" s="81">
        <f>HLOOKUP(P2103,データについて!$J$10:$M$18,9,FALSE)</f>
        <v>2</v>
      </c>
      <c r="X2103" s="81">
        <f>HLOOKUP(Q2103,データについて!$J$11:$M$18,8,FALSE)</f>
        <v>1</v>
      </c>
      <c r="Y2103" s="81">
        <f>HLOOKUP(R2103,データについて!$J$12:$M$18,7,FALSE)</f>
        <v>1</v>
      </c>
      <c r="Z2103" s="81">
        <f>HLOOKUP(I2103,データについて!$J$3:$M$18,16,FALSE)</f>
        <v>2</v>
      </c>
      <c r="AA2103" s="81" t="str">
        <f>IFERROR(HLOOKUP(J2103,データについて!$J$4:$AH$19,16,FALSE),"")</f>
        <v/>
      </c>
      <c r="AB2103" s="81">
        <f>IFERROR(HLOOKUP(K2103,データについて!$J$5:$AH$20,14,FALSE),"")</f>
        <v>2</v>
      </c>
      <c r="AC2103" s="81">
        <f>IF(X2103=1,HLOOKUP(R2103,データについて!$J$12:$M$18,7,FALSE),"*")</f>
        <v>1</v>
      </c>
      <c r="AD2103" s="81" t="str">
        <f>IF(X2103=2,HLOOKUP(R2103,データについて!$J$12:$M$18,7,FALSE),"*")</f>
        <v>*</v>
      </c>
    </row>
    <row r="2104" spans="1:30">
      <c r="A2104" s="30">
        <v>3088</v>
      </c>
      <c r="B2104" s="30" t="s">
        <v>2235</v>
      </c>
      <c r="C2104" s="30" t="s">
        <v>2236</v>
      </c>
      <c r="D2104" s="30" t="s">
        <v>106</v>
      </c>
      <c r="E2104" s="30"/>
      <c r="F2104" s="30" t="s">
        <v>107</v>
      </c>
      <c r="G2104" s="30" t="s">
        <v>106</v>
      </c>
      <c r="H2104" s="30"/>
      <c r="I2104" s="30" t="s">
        <v>191</v>
      </c>
      <c r="J2104" s="30"/>
      <c r="K2104" s="30" t="s">
        <v>1713</v>
      </c>
      <c r="L2104" s="30" t="s">
        <v>108</v>
      </c>
      <c r="M2104" s="30" t="s">
        <v>113</v>
      </c>
      <c r="N2104" s="30" t="s">
        <v>110</v>
      </c>
      <c r="O2104" s="30" t="s">
        <v>111</v>
      </c>
      <c r="P2104" s="30" t="s">
        <v>118</v>
      </c>
      <c r="Q2104" s="30" t="s">
        <v>112</v>
      </c>
      <c r="R2104" s="30" t="s">
        <v>183</v>
      </c>
      <c r="S2104" s="81">
        <f>HLOOKUP(L2104,データについて!$J$6:$M$18,13,FALSE)</f>
        <v>1</v>
      </c>
      <c r="T2104" s="81">
        <f>HLOOKUP(M2104,データについて!$J$7:$M$18,12,FALSE)</f>
        <v>1</v>
      </c>
      <c r="U2104" s="81">
        <f>HLOOKUP(N2104,データについて!$J$8:$M$18,11,FALSE)</f>
        <v>2</v>
      </c>
      <c r="V2104" s="81">
        <f>HLOOKUP(O2104,データについて!$J$9:$M$18,10,FALSE)</f>
        <v>3</v>
      </c>
      <c r="W2104" s="81">
        <f>HLOOKUP(P2104,データについて!$J$10:$M$18,9,FALSE)</f>
        <v>2</v>
      </c>
      <c r="X2104" s="81">
        <f>HLOOKUP(Q2104,データについて!$J$11:$M$18,8,FALSE)</f>
        <v>1</v>
      </c>
      <c r="Y2104" s="81">
        <f>HLOOKUP(R2104,データについて!$J$12:$M$18,7,FALSE)</f>
        <v>1</v>
      </c>
      <c r="Z2104" s="81">
        <f>HLOOKUP(I2104,データについて!$J$3:$M$18,16,FALSE)</f>
        <v>2</v>
      </c>
      <c r="AA2104" s="81" t="str">
        <f>IFERROR(HLOOKUP(J2104,データについて!$J$4:$AH$19,16,FALSE),"")</f>
        <v/>
      </c>
      <c r="AB2104" s="81">
        <f>IFERROR(HLOOKUP(K2104,データについて!$J$5:$AH$20,14,FALSE),"")</f>
        <v>2</v>
      </c>
      <c r="AC2104" s="81">
        <f>IF(X2104=1,HLOOKUP(R2104,データについて!$J$12:$M$18,7,FALSE),"*")</f>
        <v>1</v>
      </c>
      <c r="AD2104" s="81" t="str">
        <f>IF(X2104=2,HLOOKUP(R2104,データについて!$J$12:$M$18,7,FALSE),"*")</f>
        <v>*</v>
      </c>
    </row>
    <row r="2105" spans="1:30">
      <c r="A2105" s="30">
        <v>3087</v>
      </c>
      <c r="B2105" s="30" t="s">
        <v>2237</v>
      </c>
      <c r="C2105" s="30" t="s">
        <v>2236</v>
      </c>
      <c r="D2105" s="30" t="s">
        <v>106</v>
      </c>
      <c r="E2105" s="30"/>
      <c r="F2105" s="30" t="s">
        <v>107</v>
      </c>
      <c r="G2105" s="30" t="s">
        <v>106</v>
      </c>
      <c r="H2105" s="30"/>
      <c r="I2105" s="30" t="s">
        <v>191</v>
      </c>
      <c r="J2105" s="30"/>
      <c r="K2105" s="30" t="s">
        <v>1713</v>
      </c>
      <c r="L2105" s="30" t="s">
        <v>108</v>
      </c>
      <c r="M2105" s="30" t="s">
        <v>109</v>
      </c>
      <c r="N2105" s="30" t="s">
        <v>114</v>
      </c>
      <c r="O2105" s="30" t="s">
        <v>123</v>
      </c>
      <c r="P2105" s="30" t="s">
        <v>118</v>
      </c>
      <c r="Q2105" s="30" t="s">
        <v>112</v>
      </c>
      <c r="R2105" s="30" t="s">
        <v>185</v>
      </c>
      <c r="S2105" s="81">
        <f>HLOOKUP(L2105,データについて!$J$6:$M$18,13,FALSE)</f>
        <v>1</v>
      </c>
      <c r="T2105" s="81">
        <f>HLOOKUP(M2105,データについて!$J$7:$M$18,12,FALSE)</f>
        <v>2</v>
      </c>
      <c r="U2105" s="81">
        <f>HLOOKUP(N2105,データについて!$J$8:$M$18,11,FALSE)</f>
        <v>1</v>
      </c>
      <c r="V2105" s="81">
        <f>HLOOKUP(O2105,データについて!$J$9:$M$18,10,FALSE)</f>
        <v>4</v>
      </c>
      <c r="W2105" s="81">
        <f>HLOOKUP(P2105,データについて!$J$10:$M$18,9,FALSE)</f>
        <v>2</v>
      </c>
      <c r="X2105" s="81">
        <f>HLOOKUP(Q2105,データについて!$J$11:$M$18,8,FALSE)</f>
        <v>1</v>
      </c>
      <c r="Y2105" s="81">
        <f>HLOOKUP(R2105,データについて!$J$12:$M$18,7,FALSE)</f>
        <v>2</v>
      </c>
      <c r="Z2105" s="81">
        <f>HLOOKUP(I2105,データについて!$J$3:$M$18,16,FALSE)</f>
        <v>2</v>
      </c>
      <c r="AA2105" s="81" t="str">
        <f>IFERROR(HLOOKUP(J2105,データについて!$J$4:$AH$19,16,FALSE),"")</f>
        <v/>
      </c>
      <c r="AB2105" s="81">
        <f>IFERROR(HLOOKUP(K2105,データについて!$J$5:$AH$20,14,FALSE),"")</f>
        <v>2</v>
      </c>
      <c r="AC2105" s="81">
        <f>IF(X2105=1,HLOOKUP(R2105,データについて!$J$12:$M$18,7,FALSE),"*")</f>
        <v>2</v>
      </c>
      <c r="AD2105" s="81" t="str">
        <f>IF(X2105=2,HLOOKUP(R2105,データについて!$J$12:$M$18,7,FALSE),"*")</f>
        <v>*</v>
      </c>
    </row>
    <row r="2106" spans="1:30">
      <c r="A2106" s="30">
        <v>3086</v>
      </c>
      <c r="B2106" s="30" t="s">
        <v>2238</v>
      </c>
      <c r="C2106" s="30" t="s">
        <v>2239</v>
      </c>
      <c r="D2106" s="30" t="s">
        <v>106</v>
      </c>
      <c r="E2106" s="30"/>
      <c r="F2106" s="30" t="s">
        <v>107</v>
      </c>
      <c r="G2106" s="30" t="s">
        <v>106</v>
      </c>
      <c r="H2106" s="30"/>
      <c r="I2106" s="30" t="s">
        <v>191</v>
      </c>
      <c r="J2106" s="30"/>
      <c r="K2106" s="30" t="s">
        <v>1713</v>
      </c>
      <c r="L2106" s="30" t="s">
        <v>117</v>
      </c>
      <c r="M2106" s="30" t="s">
        <v>109</v>
      </c>
      <c r="N2106" s="30" t="s">
        <v>122</v>
      </c>
      <c r="O2106" s="30" t="s">
        <v>115</v>
      </c>
      <c r="P2106" s="30" t="s">
        <v>118</v>
      </c>
      <c r="Q2106" s="30" t="s">
        <v>112</v>
      </c>
      <c r="R2106" s="30" t="s">
        <v>185</v>
      </c>
      <c r="S2106" s="81">
        <f>HLOOKUP(L2106,データについて!$J$6:$M$18,13,FALSE)</f>
        <v>2</v>
      </c>
      <c r="T2106" s="81">
        <f>HLOOKUP(M2106,データについて!$J$7:$M$18,12,FALSE)</f>
        <v>2</v>
      </c>
      <c r="U2106" s="81">
        <f>HLOOKUP(N2106,データについて!$J$8:$M$18,11,FALSE)</f>
        <v>3</v>
      </c>
      <c r="V2106" s="81">
        <f>HLOOKUP(O2106,データについて!$J$9:$M$18,10,FALSE)</f>
        <v>1</v>
      </c>
      <c r="W2106" s="81">
        <f>HLOOKUP(P2106,データについて!$J$10:$M$18,9,FALSE)</f>
        <v>2</v>
      </c>
      <c r="X2106" s="81">
        <f>HLOOKUP(Q2106,データについて!$J$11:$M$18,8,FALSE)</f>
        <v>1</v>
      </c>
      <c r="Y2106" s="81">
        <f>HLOOKUP(R2106,データについて!$J$12:$M$18,7,FALSE)</f>
        <v>2</v>
      </c>
      <c r="Z2106" s="81">
        <f>HLOOKUP(I2106,データについて!$J$3:$M$18,16,FALSE)</f>
        <v>2</v>
      </c>
      <c r="AA2106" s="81" t="str">
        <f>IFERROR(HLOOKUP(J2106,データについて!$J$4:$AH$19,16,FALSE),"")</f>
        <v/>
      </c>
      <c r="AB2106" s="81">
        <f>IFERROR(HLOOKUP(K2106,データについて!$J$5:$AH$20,14,FALSE),"")</f>
        <v>2</v>
      </c>
      <c r="AC2106" s="81">
        <f>IF(X2106=1,HLOOKUP(R2106,データについて!$J$12:$M$18,7,FALSE),"*")</f>
        <v>2</v>
      </c>
      <c r="AD2106" s="81" t="str">
        <f>IF(X2106=2,HLOOKUP(R2106,データについて!$J$12:$M$18,7,FALSE),"*")</f>
        <v>*</v>
      </c>
    </row>
    <row r="2107" spans="1:30">
      <c r="A2107" s="30">
        <v>3085</v>
      </c>
      <c r="B2107" s="30" t="s">
        <v>2240</v>
      </c>
      <c r="C2107" s="30" t="s">
        <v>2241</v>
      </c>
      <c r="D2107" s="30" t="s">
        <v>106</v>
      </c>
      <c r="E2107" s="30"/>
      <c r="F2107" s="30" t="s">
        <v>107</v>
      </c>
      <c r="G2107" s="30" t="s">
        <v>106</v>
      </c>
      <c r="H2107" s="30"/>
      <c r="I2107" s="30" t="s">
        <v>191</v>
      </c>
      <c r="J2107" s="30"/>
      <c r="K2107" s="30" t="s">
        <v>1713</v>
      </c>
      <c r="L2107" s="30" t="s">
        <v>117</v>
      </c>
      <c r="M2107" s="30" t="s">
        <v>124</v>
      </c>
      <c r="N2107" s="30" t="s">
        <v>114</v>
      </c>
      <c r="O2107" s="30" t="s">
        <v>116</v>
      </c>
      <c r="P2107" s="30" t="s">
        <v>112</v>
      </c>
      <c r="Q2107" s="30" t="s">
        <v>112</v>
      </c>
      <c r="R2107" s="30" t="s">
        <v>187</v>
      </c>
      <c r="S2107" s="81">
        <f>HLOOKUP(L2107,データについて!$J$6:$M$18,13,FALSE)</f>
        <v>2</v>
      </c>
      <c r="T2107" s="81">
        <f>HLOOKUP(M2107,データについて!$J$7:$M$18,12,FALSE)</f>
        <v>3</v>
      </c>
      <c r="U2107" s="81">
        <f>HLOOKUP(N2107,データについて!$J$8:$M$18,11,FALSE)</f>
        <v>1</v>
      </c>
      <c r="V2107" s="81">
        <f>HLOOKUP(O2107,データについて!$J$9:$M$18,10,FALSE)</f>
        <v>2</v>
      </c>
      <c r="W2107" s="81">
        <f>HLOOKUP(P2107,データについて!$J$10:$M$18,9,FALSE)</f>
        <v>1</v>
      </c>
      <c r="X2107" s="81">
        <f>HLOOKUP(Q2107,データについて!$J$11:$M$18,8,FALSE)</f>
        <v>1</v>
      </c>
      <c r="Y2107" s="81">
        <f>HLOOKUP(R2107,データについて!$J$12:$M$18,7,FALSE)</f>
        <v>3</v>
      </c>
      <c r="Z2107" s="81">
        <f>HLOOKUP(I2107,データについて!$J$3:$M$18,16,FALSE)</f>
        <v>2</v>
      </c>
      <c r="AA2107" s="81" t="str">
        <f>IFERROR(HLOOKUP(J2107,データについて!$J$4:$AH$19,16,FALSE),"")</f>
        <v/>
      </c>
      <c r="AB2107" s="81">
        <f>IFERROR(HLOOKUP(K2107,データについて!$J$5:$AH$20,14,FALSE),"")</f>
        <v>2</v>
      </c>
      <c r="AC2107" s="81">
        <f>IF(X2107=1,HLOOKUP(R2107,データについて!$J$12:$M$18,7,FALSE),"*")</f>
        <v>3</v>
      </c>
      <c r="AD2107" s="81" t="str">
        <f>IF(X2107=2,HLOOKUP(R2107,データについて!$J$12:$M$18,7,FALSE),"*")</f>
        <v>*</v>
      </c>
    </row>
    <row r="2108" spans="1:30">
      <c r="A2108" s="30">
        <v>3084</v>
      </c>
      <c r="B2108" s="30" t="s">
        <v>2242</v>
      </c>
      <c r="C2108" s="30" t="s">
        <v>2243</v>
      </c>
      <c r="D2108" s="30" t="s">
        <v>106</v>
      </c>
      <c r="E2108" s="30"/>
      <c r="F2108" s="30" t="s">
        <v>107</v>
      </c>
      <c r="G2108" s="30" t="s">
        <v>106</v>
      </c>
      <c r="H2108" s="30"/>
      <c r="I2108" s="30" t="s">
        <v>191</v>
      </c>
      <c r="J2108" s="30"/>
      <c r="K2108" s="30" t="s">
        <v>1713</v>
      </c>
      <c r="L2108" s="30" t="s">
        <v>117</v>
      </c>
      <c r="M2108" s="30" t="s">
        <v>113</v>
      </c>
      <c r="N2108" s="30" t="s">
        <v>114</v>
      </c>
      <c r="O2108" s="30" t="s">
        <v>115</v>
      </c>
      <c r="P2108" s="30" t="s">
        <v>118</v>
      </c>
      <c r="Q2108" s="30" t="s">
        <v>112</v>
      </c>
      <c r="R2108" s="30" t="s">
        <v>185</v>
      </c>
      <c r="S2108" s="81">
        <f>HLOOKUP(L2108,データについて!$J$6:$M$18,13,FALSE)</f>
        <v>2</v>
      </c>
      <c r="T2108" s="81">
        <f>HLOOKUP(M2108,データについて!$J$7:$M$18,12,FALSE)</f>
        <v>1</v>
      </c>
      <c r="U2108" s="81">
        <f>HLOOKUP(N2108,データについて!$J$8:$M$18,11,FALSE)</f>
        <v>1</v>
      </c>
      <c r="V2108" s="81">
        <f>HLOOKUP(O2108,データについて!$J$9:$M$18,10,FALSE)</f>
        <v>1</v>
      </c>
      <c r="W2108" s="81">
        <f>HLOOKUP(P2108,データについて!$J$10:$M$18,9,FALSE)</f>
        <v>2</v>
      </c>
      <c r="X2108" s="81">
        <f>HLOOKUP(Q2108,データについて!$J$11:$M$18,8,FALSE)</f>
        <v>1</v>
      </c>
      <c r="Y2108" s="81">
        <f>HLOOKUP(R2108,データについて!$J$12:$M$18,7,FALSE)</f>
        <v>2</v>
      </c>
      <c r="Z2108" s="81">
        <f>HLOOKUP(I2108,データについて!$J$3:$M$18,16,FALSE)</f>
        <v>2</v>
      </c>
      <c r="AA2108" s="81" t="str">
        <f>IFERROR(HLOOKUP(J2108,データについて!$J$4:$AH$19,16,FALSE),"")</f>
        <v/>
      </c>
      <c r="AB2108" s="81">
        <f>IFERROR(HLOOKUP(K2108,データについて!$J$5:$AH$20,14,FALSE),"")</f>
        <v>2</v>
      </c>
      <c r="AC2108" s="81">
        <f>IF(X2108=1,HLOOKUP(R2108,データについて!$J$12:$M$18,7,FALSE),"*")</f>
        <v>2</v>
      </c>
      <c r="AD2108" s="81" t="str">
        <f>IF(X2108=2,HLOOKUP(R2108,データについて!$J$12:$M$18,7,FALSE),"*")</f>
        <v>*</v>
      </c>
    </row>
    <row r="2109" spans="1:30">
      <c r="A2109" s="30">
        <v>3083</v>
      </c>
      <c r="B2109" s="30" t="s">
        <v>2244</v>
      </c>
      <c r="C2109" s="30" t="s">
        <v>2245</v>
      </c>
      <c r="D2109" s="30" t="s">
        <v>106</v>
      </c>
      <c r="E2109" s="30"/>
      <c r="F2109" s="30" t="s">
        <v>107</v>
      </c>
      <c r="G2109" s="30" t="s">
        <v>106</v>
      </c>
      <c r="H2109" s="30"/>
      <c r="I2109" s="30" t="s">
        <v>191</v>
      </c>
      <c r="J2109" s="30"/>
      <c r="K2109" s="30" t="s">
        <v>1713</v>
      </c>
      <c r="L2109" s="30" t="s">
        <v>108</v>
      </c>
      <c r="M2109" s="30" t="s">
        <v>113</v>
      </c>
      <c r="N2109" s="30" t="s">
        <v>114</v>
      </c>
      <c r="O2109" s="30" t="s">
        <v>115</v>
      </c>
      <c r="P2109" s="30" t="s">
        <v>118</v>
      </c>
      <c r="Q2109" s="30" t="s">
        <v>112</v>
      </c>
      <c r="R2109" s="30" t="s">
        <v>183</v>
      </c>
      <c r="S2109" s="81">
        <f>HLOOKUP(L2109,データについて!$J$6:$M$18,13,FALSE)</f>
        <v>1</v>
      </c>
      <c r="T2109" s="81">
        <f>HLOOKUP(M2109,データについて!$J$7:$M$18,12,FALSE)</f>
        <v>1</v>
      </c>
      <c r="U2109" s="81">
        <f>HLOOKUP(N2109,データについて!$J$8:$M$18,11,FALSE)</f>
        <v>1</v>
      </c>
      <c r="V2109" s="81">
        <f>HLOOKUP(O2109,データについて!$J$9:$M$18,10,FALSE)</f>
        <v>1</v>
      </c>
      <c r="W2109" s="81">
        <f>HLOOKUP(P2109,データについて!$J$10:$M$18,9,FALSE)</f>
        <v>2</v>
      </c>
      <c r="X2109" s="81">
        <f>HLOOKUP(Q2109,データについて!$J$11:$M$18,8,FALSE)</f>
        <v>1</v>
      </c>
      <c r="Y2109" s="81">
        <f>HLOOKUP(R2109,データについて!$J$12:$M$18,7,FALSE)</f>
        <v>1</v>
      </c>
      <c r="Z2109" s="81">
        <f>HLOOKUP(I2109,データについて!$J$3:$M$18,16,FALSE)</f>
        <v>2</v>
      </c>
      <c r="AA2109" s="81" t="str">
        <f>IFERROR(HLOOKUP(J2109,データについて!$J$4:$AH$19,16,FALSE),"")</f>
        <v/>
      </c>
      <c r="AB2109" s="81">
        <f>IFERROR(HLOOKUP(K2109,データについて!$J$5:$AH$20,14,FALSE),"")</f>
        <v>2</v>
      </c>
      <c r="AC2109" s="81">
        <f>IF(X2109=1,HLOOKUP(R2109,データについて!$J$12:$M$18,7,FALSE),"*")</f>
        <v>1</v>
      </c>
      <c r="AD2109" s="81" t="str">
        <f>IF(X2109=2,HLOOKUP(R2109,データについて!$J$12:$M$18,7,FALSE),"*")</f>
        <v>*</v>
      </c>
    </row>
    <row r="2110" spans="1:30">
      <c r="A2110" s="30">
        <v>3082</v>
      </c>
      <c r="B2110" s="30" t="s">
        <v>2246</v>
      </c>
      <c r="C2110" s="30" t="s">
        <v>2247</v>
      </c>
      <c r="D2110" s="30" t="s">
        <v>106</v>
      </c>
      <c r="E2110" s="30"/>
      <c r="F2110" s="30" t="s">
        <v>107</v>
      </c>
      <c r="G2110" s="30" t="s">
        <v>106</v>
      </c>
      <c r="H2110" s="30"/>
      <c r="I2110" s="30" t="s">
        <v>191</v>
      </c>
      <c r="J2110" s="30"/>
      <c r="K2110" s="30" t="s">
        <v>1713</v>
      </c>
      <c r="L2110" s="30" t="s">
        <v>117</v>
      </c>
      <c r="M2110" s="30" t="s">
        <v>113</v>
      </c>
      <c r="N2110" s="30" t="s">
        <v>110</v>
      </c>
      <c r="O2110" s="30" t="s">
        <v>115</v>
      </c>
      <c r="P2110" s="30" t="s">
        <v>112</v>
      </c>
      <c r="Q2110" s="30" t="s">
        <v>112</v>
      </c>
      <c r="R2110" s="30" t="s">
        <v>183</v>
      </c>
      <c r="S2110" s="81">
        <f>HLOOKUP(L2110,データについて!$J$6:$M$18,13,FALSE)</f>
        <v>2</v>
      </c>
      <c r="T2110" s="81">
        <f>HLOOKUP(M2110,データについて!$J$7:$M$18,12,FALSE)</f>
        <v>1</v>
      </c>
      <c r="U2110" s="81">
        <f>HLOOKUP(N2110,データについて!$J$8:$M$18,11,FALSE)</f>
        <v>2</v>
      </c>
      <c r="V2110" s="81">
        <f>HLOOKUP(O2110,データについて!$J$9:$M$18,10,FALSE)</f>
        <v>1</v>
      </c>
      <c r="W2110" s="81">
        <f>HLOOKUP(P2110,データについて!$J$10:$M$18,9,FALSE)</f>
        <v>1</v>
      </c>
      <c r="X2110" s="81">
        <f>HLOOKUP(Q2110,データについて!$J$11:$M$18,8,FALSE)</f>
        <v>1</v>
      </c>
      <c r="Y2110" s="81">
        <f>HLOOKUP(R2110,データについて!$J$12:$M$18,7,FALSE)</f>
        <v>1</v>
      </c>
      <c r="Z2110" s="81">
        <f>HLOOKUP(I2110,データについて!$J$3:$M$18,16,FALSE)</f>
        <v>2</v>
      </c>
      <c r="AA2110" s="81" t="str">
        <f>IFERROR(HLOOKUP(J2110,データについて!$J$4:$AH$19,16,FALSE),"")</f>
        <v/>
      </c>
      <c r="AB2110" s="81">
        <f>IFERROR(HLOOKUP(K2110,データについて!$J$5:$AH$20,14,FALSE),"")</f>
        <v>2</v>
      </c>
      <c r="AC2110" s="81">
        <f>IF(X2110=1,HLOOKUP(R2110,データについて!$J$12:$M$18,7,FALSE),"*")</f>
        <v>1</v>
      </c>
      <c r="AD2110" s="81" t="str">
        <f>IF(X2110=2,HLOOKUP(R2110,データについて!$J$12:$M$18,7,FALSE),"*")</f>
        <v>*</v>
      </c>
    </row>
    <row r="2111" spans="1:30">
      <c r="A2111" s="30">
        <v>3081</v>
      </c>
      <c r="B2111" s="30" t="s">
        <v>2248</v>
      </c>
      <c r="C2111" s="30" t="s">
        <v>2249</v>
      </c>
      <c r="D2111" s="30" t="s">
        <v>106</v>
      </c>
      <c r="E2111" s="30"/>
      <c r="F2111" s="30" t="s">
        <v>107</v>
      </c>
      <c r="G2111" s="30" t="s">
        <v>106</v>
      </c>
      <c r="H2111" s="30"/>
      <c r="I2111" s="30" t="s">
        <v>191</v>
      </c>
      <c r="J2111" s="30"/>
      <c r="K2111" s="30" t="s">
        <v>1713</v>
      </c>
      <c r="L2111" s="30" t="s">
        <v>117</v>
      </c>
      <c r="M2111" s="30" t="s">
        <v>109</v>
      </c>
      <c r="N2111" s="30" t="s">
        <v>119</v>
      </c>
      <c r="O2111" s="30" t="s">
        <v>115</v>
      </c>
      <c r="P2111" s="30" t="s">
        <v>112</v>
      </c>
      <c r="Q2111" s="30" t="s">
        <v>112</v>
      </c>
      <c r="R2111" s="30" t="s">
        <v>187</v>
      </c>
      <c r="S2111" s="81">
        <f>HLOOKUP(L2111,データについて!$J$6:$M$18,13,FALSE)</f>
        <v>2</v>
      </c>
      <c r="T2111" s="81">
        <f>HLOOKUP(M2111,データについて!$J$7:$M$18,12,FALSE)</f>
        <v>2</v>
      </c>
      <c r="U2111" s="81">
        <f>HLOOKUP(N2111,データについて!$J$8:$M$18,11,FALSE)</f>
        <v>4</v>
      </c>
      <c r="V2111" s="81">
        <f>HLOOKUP(O2111,データについて!$J$9:$M$18,10,FALSE)</f>
        <v>1</v>
      </c>
      <c r="W2111" s="81">
        <f>HLOOKUP(P2111,データについて!$J$10:$M$18,9,FALSE)</f>
        <v>1</v>
      </c>
      <c r="X2111" s="81">
        <f>HLOOKUP(Q2111,データについて!$J$11:$M$18,8,FALSE)</f>
        <v>1</v>
      </c>
      <c r="Y2111" s="81">
        <f>HLOOKUP(R2111,データについて!$J$12:$M$18,7,FALSE)</f>
        <v>3</v>
      </c>
      <c r="Z2111" s="81">
        <f>HLOOKUP(I2111,データについて!$J$3:$M$18,16,FALSE)</f>
        <v>2</v>
      </c>
      <c r="AA2111" s="81" t="str">
        <f>IFERROR(HLOOKUP(J2111,データについて!$J$4:$AH$19,16,FALSE),"")</f>
        <v/>
      </c>
      <c r="AB2111" s="81">
        <f>IFERROR(HLOOKUP(K2111,データについて!$J$5:$AH$20,14,FALSE),"")</f>
        <v>2</v>
      </c>
      <c r="AC2111" s="81">
        <f>IF(X2111=1,HLOOKUP(R2111,データについて!$J$12:$M$18,7,FALSE),"*")</f>
        <v>3</v>
      </c>
      <c r="AD2111" s="81" t="str">
        <f>IF(X2111=2,HLOOKUP(R2111,データについて!$J$12:$M$18,7,FALSE),"*")</f>
        <v>*</v>
      </c>
    </row>
    <row r="2112" spans="1:30">
      <c r="A2112" s="30">
        <v>3080</v>
      </c>
      <c r="B2112" s="30" t="s">
        <v>2250</v>
      </c>
      <c r="C2112" s="30" t="s">
        <v>2251</v>
      </c>
      <c r="D2112" s="30" t="s">
        <v>106</v>
      </c>
      <c r="E2112" s="30"/>
      <c r="F2112" s="30" t="s">
        <v>107</v>
      </c>
      <c r="G2112" s="30" t="s">
        <v>106</v>
      </c>
      <c r="H2112" s="30"/>
      <c r="I2112" s="30" t="s">
        <v>191</v>
      </c>
      <c r="J2112" s="30"/>
      <c r="K2112" s="30" t="s">
        <v>1713</v>
      </c>
      <c r="L2112" s="30" t="s">
        <v>117</v>
      </c>
      <c r="M2112" s="30" t="s">
        <v>113</v>
      </c>
      <c r="N2112" s="30" t="s">
        <v>114</v>
      </c>
      <c r="O2112" s="30" t="s">
        <v>115</v>
      </c>
      <c r="P2112" s="30" t="s">
        <v>112</v>
      </c>
      <c r="Q2112" s="30" t="s">
        <v>112</v>
      </c>
      <c r="R2112" s="30" t="s">
        <v>187</v>
      </c>
      <c r="S2112" s="81">
        <f>HLOOKUP(L2112,データについて!$J$6:$M$18,13,FALSE)</f>
        <v>2</v>
      </c>
      <c r="T2112" s="81">
        <f>HLOOKUP(M2112,データについて!$J$7:$M$18,12,FALSE)</f>
        <v>1</v>
      </c>
      <c r="U2112" s="81">
        <f>HLOOKUP(N2112,データについて!$J$8:$M$18,11,FALSE)</f>
        <v>1</v>
      </c>
      <c r="V2112" s="81">
        <f>HLOOKUP(O2112,データについて!$J$9:$M$18,10,FALSE)</f>
        <v>1</v>
      </c>
      <c r="W2112" s="81">
        <f>HLOOKUP(P2112,データについて!$J$10:$M$18,9,FALSE)</f>
        <v>1</v>
      </c>
      <c r="X2112" s="81">
        <f>HLOOKUP(Q2112,データについて!$J$11:$M$18,8,FALSE)</f>
        <v>1</v>
      </c>
      <c r="Y2112" s="81">
        <f>HLOOKUP(R2112,データについて!$J$12:$M$18,7,FALSE)</f>
        <v>3</v>
      </c>
      <c r="Z2112" s="81">
        <f>HLOOKUP(I2112,データについて!$J$3:$M$18,16,FALSE)</f>
        <v>2</v>
      </c>
      <c r="AA2112" s="81" t="str">
        <f>IFERROR(HLOOKUP(J2112,データについて!$J$4:$AH$19,16,FALSE),"")</f>
        <v/>
      </c>
      <c r="AB2112" s="81">
        <f>IFERROR(HLOOKUP(K2112,データについて!$J$5:$AH$20,14,FALSE),"")</f>
        <v>2</v>
      </c>
      <c r="AC2112" s="81">
        <f>IF(X2112=1,HLOOKUP(R2112,データについて!$J$12:$M$18,7,FALSE),"*")</f>
        <v>3</v>
      </c>
      <c r="AD2112" s="81" t="str">
        <f>IF(X2112=2,HLOOKUP(R2112,データについて!$J$12:$M$18,7,FALSE),"*")</f>
        <v>*</v>
      </c>
    </row>
    <row r="2113" spans="1:30">
      <c r="A2113" s="30">
        <v>3079</v>
      </c>
      <c r="B2113" s="30" t="s">
        <v>2252</v>
      </c>
      <c r="C2113" s="30" t="s">
        <v>2253</v>
      </c>
      <c r="D2113" s="30" t="s">
        <v>106</v>
      </c>
      <c r="E2113" s="30"/>
      <c r="F2113" s="30" t="s">
        <v>107</v>
      </c>
      <c r="G2113" s="30" t="s">
        <v>106</v>
      </c>
      <c r="H2113" s="30"/>
      <c r="I2113" s="30" t="s">
        <v>191</v>
      </c>
      <c r="J2113" s="30"/>
      <c r="K2113" s="30" t="s">
        <v>1713</v>
      </c>
      <c r="L2113" s="30" t="s">
        <v>108</v>
      </c>
      <c r="M2113" s="30" t="s">
        <v>109</v>
      </c>
      <c r="N2113" s="30" t="s">
        <v>110</v>
      </c>
      <c r="O2113" s="30" t="s">
        <v>115</v>
      </c>
      <c r="P2113" s="30" t="s">
        <v>112</v>
      </c>
      <c r="Q2113" s="30" t="s">
        <v>112</v>
      </c>
      <c r="R2113" s="30" t="s">
        <v>183</v>
      </c>
      <c r="S2113" s="81">
        <f>HLOOKUP(L2113,データについて!$J$6:$M$18,13,FALSE)</f>
        <v>1</v>
      </c>
      <c r="T2113" s="81">
        <f>HLOOKUP(M2113,データについて!$J$7:$M$18,12,FALSE)</f>
        <v>2</v>
      </c>
      <c r="U2113" s="81">
        <f>HLOOKUP(N2113,データについて!$J$8:$M$18,11,FALSE)</f>
        <v>2</v>
      </c>
      <c r="V2113" s="81">
        <f>HLOOKUP(O2113,データについて!$J$9:$M$18,10,FALSE)</f>
        <v>1</v>
      </c>
      <c r="W2113" s="81">
        <f>HLOOKUP(P2113,データについて!$J$10:$M$18,9,FALSE)</f>
        <v>1</v>
      </c>
      <c r="X2113" s="81">
        <f>HLOOKUP(Q2113,データについて!$J$11:$M$18,8,FALSE)</f>
        <v>1</v>
      </c>
      <c r="Y2113" s="81">
        <f>HLOOKUP(R2113,データについて!$J$12:$M$18,7,FALSE)</f>
        <v>1</v>
      </c>
      <c r="Z2113" s="81">
        <f>HLOOKUP(I2113,データについて!$J$3:$M$18,16,FALSE)</f>
        <v>2</v>
      </c>
      <c r="AA2113" s="81" t="str">
        <f>IFERROR(HLOOKUP(J2113,データについて!$J$4:$AH$19,16,FALSE),"")</f>
        <v/>
      </c>
      <c r="AB2113" s="81">
        <f>IFERROR(HLOOKUP(K2113,データについて!$J$5:$AH$20,14,FALSE),"")</f>
        <v>2</v>
      </c>
      <c r="AC2113" s="81">
        <f>IF(X2113=1,HLOOKUP(R2113,データについて!$J$12:$M$18,7,FALSE),"*")</f>
        <v>1</v>
      </c>
      <c r="AD2113" s="81" t="str">
        <f>IF(X2113=2,HLOOKUP(R2113,データについて!$J$12:$M$18,7,FALSE),"*")</f>
        <v>*</v>
      </c>
    </row>
    <row r="2114" spans="1:30">
      <c r="A2114" s="30">
        <v>3078</v>
      </c>
      <c r="B2114" s="30" t="s">
        <v>2254</v>
      </c>
      <c r="C2114" s="30" t="s">
        <v>2255</v>
      </c>
      <c r="D2114" s="30" t="s">
        <v>106</v>
      </c>
      <c r="E2114" s="30"/>
      <c r="F2114" s="30" t="s">
        <v>107</v>
      </c>
      <c r="G2114" s="30" t="s">
        <v>106</v>
      </c>
      <c r="H2114" s="30"/>
      <c r="I2114" s="30" t="s">
        <v>192</v>
      </c>
      <c r="J2114" s="30" t="s">
        <v>2256</v>
      </c>
      <c r="K2114" s="30"/>
      <c r="L2114" s="30" t="s">
        <v>108</v>
      </c>
      <c r="M2114" s="30" t="s">
        <v>109</v>
      </c>
      <c r="N2114" s="30" t="s">
        <v>110</v>
      </c>
      <c r="O2114" s="30" t="s">
        <v>115</v>
      </c>
      <c r="P2114" s="30" t="s">
        <v>112</v>
      </c>
      <c r="Q2114" s="30" t="s">
        <v>118</v>
      </c>
      <c r="R2114" s="30" t="s">
        <v>187</v>
      </c>
      <c r="S2114" s="81">
        <f>HLOOKUP(L2114,データについて!$J$6:$M$18,13,FALSE)</f>
        <v>1</v>
      </c>
      <c r="T2114" s="81">
        <f>HLOOKUP(M2114,データについて!$J$7:$M$18,12,FALSE)</f>
        <v>2</v>
      </c>
      <c r="U2114" s="81">
        <f>HLOOKUP(N2114,データについて!$J$8:$M$18,11,FALSE)</f>
        <v>2</v>
      </c>
      <c r="V2114" s="81">
        <f>HLOOKUP(O2114,データについて!$J$9:$M$18,10,FALSE)</f>
        <v>1</v>
      </c>
      <c r="W2114" s="81">
        <f>HLOOKUP(P2114,データについて!$J$10:$M$18,9,FALSE)</f>
        <v>1</v>
      </c>
      <c r="X2114" s="81">
        <f>HLOOKUP(Q2114,データについて!$J$11:$M$18,8,FALSE)</f>
        <v>2</v>
      </c>
      <c r="Y2114" s="81">
        <f>HLOOKUP(R2114,データについて!$J$12:$M$18,7,FALSE)</f>
        <v>3</v>
      </c>
      <c r="Z2114" s="81">
        <f>HLOOKUP(I2114,データについて!$J$3:$M$18,16,FALSE)</f>
        <v>1</v>
      </c>
      <c r="AA2114" s="81">
        <f>IFERROR(HLOOKUP(J2114,データについて!$J$4:$AH$19,16,FALSE),"")</f>
        <v>13</v>
      </c>
      <c r="AB2114" s="81" t="str">
        <f>IFERROR(HLOOKUP(K2114,データについて!$J$5:$AH$20,14,FALSE),"")</f>
        <v/>
      </c>
      <c r="AC2114" s="81" t="str">
        <f>IF(X2114=1,HLOOKUP(R2114,データについて!$J$12:$M$18,7,FALSE),"*")</f>
        <v>*</v>
      </c>
      <c r="AD2114" s="81">
        <f>IF(X2114=2,HLOOKUP(R2114,データについて!$J$12:$M$18,7,FALSE),"*")</f>
        <v>3</v>
      </c>
    </row>
    <row r="2115" spans="1:30">
      <c r="A2115" s="30">
        <v>3077</v>
      </c>
      <c r="B2115" s="30" t="s">
        <v>2257</v>
      </c>
      <c r="C2115" s="30" t="s">
        <v>2258</v>
      </c>
      <c r="D2115" s="30" t="s">
        <v>106</v>
      </c>
      <c r="E2115" s="30"/>
      <c r="F2115" s="30" t="s">
        <v>107</v>
      </c>
      <c r="G2115" s="30" t="s">
        <v>106</v>
      </c>
      <c r="H2115" s="30"/>
      <c r="I2115" s="30" t="s">
        <v>192</v>
      </c>
      <c r="J2115" s="30" t="s">
        <v>2256</v>
      </c>
      <c r="K2115" s="30"/>
      <c r="L2115" s="30" t="s">
        <v>108</v>
      </c>
      <c r="M2115" s="30" t="s">
        <v>109</v>
      </c>
      <c r="N2115" s="30" t="s">
        <v>110</v>
      </c>
      <c r="O2115" s="30" t="s">
        <v>115</v>
      </c>
      <c r="P2115" s="30" t="s">
        <v>112</v>
      </c>
      <c r="Q2115" s="30" t="s">
        <v>118</v>
      </c>
      <c r="R2115" s="30" t="s">
        <v>187</v>
      </c>
      <c r="S2115" s="81">
        <f>HLOOKUP(L2115,データについて!$J$6:$M$18,13,FALSE)</f>
        <v>1</v>
      </c>
      <c r="T2115" s="81">
        <f>HLOOKUP(M2115,データについて!$J$7:$M$18,12,FALSE)</f>
        <v>2</v>
      </c>
      <c r="U2115" s="81">
        <f>HLOOKUP(N2115,データについて!$J$8:$M$18,11,FALSE)</f>
        <v>2</v>
      </c>
      <c r="V2115" s="81">
        <f>HLOOKUP(O2115,データについて!$J$9:$M$18,10,FALSE)</f>
        <v>1</v>
      </c>
      <c r="W2115" s="81">
        <f>HLOOKUP(P2115,データについて!$J$10:$M$18,9,FALSE)</f>
        <v>1</v>
      </c>
      <c r="X2115" s="81">
        <f>HLOOKUP(Q2115,データについて!$J$11:$M$18,8,FALSE)</f>
        <v>2</v>
      </c>
      <c r="Y2115" s="81">
        <f>HLOOKUP(R2115,データについて!$J$12:$M$18,7,FALSE)</f>
        <v>3</v>
      </c>
      <c r="Z2115" s="81">
        <f>HLOOKUP(I2115,データについて!$J$3:$M$18,16,FALSE)</f>
        <v>1</v>
      </c>
      <c r="AA2115" s="81">
        <f>IFERROR(HLOOKUP(J2115,データについて!$J$4:$AH$19,16,FALSE),"")</f>
        <v>13</v>
      </c>
      <c r="AB2115" s="81" t="str">
        <f>IFERROR(HLOOKUP(K2115,データについて!$J$5:$AH$20,14,FALSE),"")</f>
        <v/>
      </c>
      <c r="AC2115" s="81" t="str">
        <f>IF(X2115=1,HLOOKUP(R2115,データについて!$J$12:$M$18,7,FALSE),"*")</f>
        <v>*</v>
      </c>
      <c r="AD2115" s="81">
        <f>IF(X2115=2,HLOOKUP(R2115,データについて!$J$12:$M$18,7,FALSE),"*")</f>
        <v>3</v>
      </c>
    </row>
    <row r="2116" spans="1:30">
      <c r="A2116" s="30">
        <v>3076</v>
      </c>
      <c r="B2116" s="30" t="s">
        <v>2259</v>
      </c>
      <c r="C2116" s="30" t="s">
        <v>2260</v>
      </c>
      <c r="D2116" s="30" t="s">
        <v>106</v>
      </c>
      <c r="E2116" s="30"/>
      <c r="F2116" s="30" t="s">
        <v>107</v>
      </c>
      <c r="G2116" s="30" t="s">
        <v>106</v>
      </c>
      <c r="H2116" s="30"/>
      <c r="I2116" s="30" t="s">
        <v>192</v>
      </c>
      <c r="J2116" s="30" t="s">
        <v>2256</v>
      </c>
      <c r="K2116" s="30"/>
      <c r="L2116" s="30" t="s">
        <v>117</v>
      </c>
      <c r="M2116" s="30" t="s">
        <v>124</v>
      </c>
      <c r="N2116" s="30" t="s">
        <v>122</v>
      </c>
      <c r="O2116" s="30" t="s">
        <v>115</v>
      </c>
      <c r="P2116" s="30" t="s">
        <v>112</v>
      </c>
      <c r="Q2116" s="30" t="s">
        <v>112</v>
      </c>
      <c r="R2116" s="30" t="s">
        <v>185</v>
      </c>
      <c r="S2116" s="81">
        <f>HLOOKUP(L2116,データについて!$J$6:$M$18,13,FALSE)</f>
        <v>2</v>
      </c>
      <c r="T2116" s="81">
        <f>HLOOKUP(M2116,データについて!$J$7:$M$18,12,FALSE)</f>
        <v>3</v>
      </c>
      <c r="U2116" s="81">
        <f>HLOOKUP(N2116,データについて!$J$8:$M$18,11,FALSE)</f>
        <v>3</v>
      </c>
      <c r="V2116" s="81">
        <f>HLOOKUP(O2116,データについて!$J$9:$M$18,10,FALSE)</f>
        <v>1</v>
      </c>
      <c r="W2116" s="81">
        <f>HLOOKUP(P2116,データについて!$J$10:$M$18,9,FALSE)</f>
        <v>1</v>
      </c>
      <c r="X2116" s="81">
        <f>HLOOKUP(Q2116,データについて!$J$11:$M$18,8,FALSE)</f>
        <v>1</v>
      </c>
      <c r="Y2116" s="81">
        <f>HLOOKUP(R2116,データについて!$J$12:$M$18,7,FALSE)</f>
        <v>2</v>
      </c>
      <c r="Z2116" s="81">
        <f>HLOOKUP(I2116,データについて!$J$3:$M$18,16,FALSE)</f>
        <v>1</v>
      </c>
      <c r="AA2116" s="81">
        <f>IFERROR(HLOOKUP(J2116,データについて!$J$4:$AH$19,16,FALSE),"")</f>
        <v>13</v>
      </c>
      <c r="AB2116" s="81" t="str">
        <f>IFERROR(HLOOKUP(K2116,データについて!$J$5:$AH$20,14,FALSE),"")</f>
        <v/>
      </c>
      <c r="AC2116" s="81">
        <f>IF(X2116=1,HLOOKUP(R2116,データについて!$J$12:$M$18,7,FALSE),"*")</f>
        <v>2</v>
      </c>
      <c r="AD2116" s="81" t="str">
        <f>IF(X2116=2,HLOOKUP(R2116,データについて!$J$12:$M$18,7,FALSE),"*")</f>
        <v>*</v>
      </c>
    </row>
    <row r="2117" spans="1:30">
      <c r="A2117" s="30">
        <v>3075</v>
      </c>
      <c r="B2117" s="30" t="s">
        <v>2261</v>
      </c>
      <c r="C2117" s="30" t="s">
        <v>2262</v>
      </c>
      <c r="D2117" s="30" t="s">
        <v>106</v>
      </c>
      <c r="E2117" s="30"/>
      <c r="F2117" s="30" t="s">
        <v>107</v>
      </c>
      <c r="G2117" s="30" t="s">
        <v>106</v>
      </c>
      <c r="H2117" s="30"/>
      <c r="I2117" s="30" t="s">
        <v>192</v>
      </c>
      <c r="J2117" s="30" t="s">
        <v>2256</v>
      </c>
      <c r="K2117" s="30"/>
      <c r="L2117" s="30" t="s">
        <v>117</v>
      </c>
      <c r="M2117" s="30" t="s">
        <v>113</v>
      </c>
      <c r="N2117" s="30" t="s">
        <v>114</v>
      </c>
      <c r="O2117" s="30" t="s">
        <v>115</v>
      </c>
      <c r="P2117" s="30" t="s">
        <v>112</v>
      </c>
      <c r="Q2117" s="30" t="s">
        <v>112</v>
      </c>
      <c r="R2117" s="30" t="s">
        <v>183</v>
      </c>
      <c r="S2117" s="81">
        <f>HLOOKUP(L2117,データについて!$J$6:$M$18,13,FALSE)</f>
        <v>2</v>
      </c>
      <c r="T2117" s="81">
        <f>HLOOKUP(M2117,データについて!$J$7:$M$18,12,FALSE)</f>
        <v>1</v>
      </c>
      <c r="U2117" s="81">
        <f>HLOOKUP(N2117,データについて!$J$8:$M$18,11,FALSE)</f>
        <v>1</v>
      </c>
      <c r="V2117" s="81">
        <f>HLOOKUP(O2117,データについて!$J$9:$M$18,10,FALSE)</f>
        <v>1</v>
      </c>
      <c r="W2117" s="81">
        <f>HLOOKUP(P2117,データについて!$J$10:$M$18,9,FALSE)</f>
        <v>1</v>
      </c>
      <c r="X2117" s="81">
        <f>HLOOKUP(Q2117,データについて!$J$11:$M$18,8,FALSE)</f>
        <v>1</v>
      </c>
      <c r="Y2117" s="81">
        <f>HLOOKUP(R2117,データについて!$J$12:$M$18,7,FALSE)</f>
        <v>1</v>
      </c>
      <c r="Z2117" s="81">
        <f>HLOOKUP(I2117,データについて!$J$3:$M$18,16,FALSE)</f>
        <v>1</v>
      </c>
      <c r="AA2117" s="81">
        <f>IFERROR(HLOOKUP(J2117,データについて!$J$4:$AH$19,16,FALSE),"")</f>
        <v>13</v>
      </c>
      <c r="AB2117" s="81" t="str">
        <f>IFERROR(HLOOKUP(K2117,データについて!$J$5:$AH$20,14,FALSE),"")</f>
        <v/>
      </c>
      <c r="AC2117" s="81">
        <f>IF(X2117=1,HLOOKUP(R2117,データについて!$J$12:$M$18,7,FALSE),"*")</f>
        <v>1</v>
      </c>
      <c r="AD2117" s="81" t="str">
        <f>IF(X2117=2,HLOOKUP(R2117,データについて!$J$12:$M$18,7,FALSE),"*")</f>
        <v>*</v>
      </c>
    </row>
    <row r="2118" spans="1:30">
      <c r="A2118" s="30">
        <v>3074</v>
      </c>
      <c r="B2118" s="30" t="s">
        <v>2263</v>
      </c>
      <c r="C2118" s="30" t="s">
        <v>2264</v>
      </c>
      <c r="D2118" s="30" t="s">
        <v>106</v>
      </c>
      <c r="E2118" s="30"/>
      <c r="F2118" s="30" t="s">
        <v>107</v>
      </c>
      <c r="G2118" s="30" t="s">
        <v>106</v>
      </c>
      <c r="H2118" s="30"/>
      <c r="I2118" s="30" t="s">
        <v>192</v>
      </c>
      <c r="J2118" s="30" t="s">
        <v>2256</v>
      </c>
      <c r="K2118" s="30"/>
      <c r="L2118" s="30" t="s">
        <v>108</v>
      </c>
      <c r="M2118" s="30" t="s">
        <v>113</v>
      </c>
      <c r="N2118" s="30" t="s">
        <v>110</v>
      </c>
      <c r="O2118" s="30" t="s">
        <v>115</v>
      </c>
      <c r="P2118" s="30" t="s">
        <v>112</v>
      </c>
      <c r="Q2118" s="30" t="s">
        <v>112</v>
      </c>
      <c r="R2118" s="30" t="s">
        <v>183</v>
      </c>
      <c r="S2118" s="81">
        <f>HLOOKUP(L2118,データについて!$J$6:$M$18,13,FALSE)</f>
        <v>1</v>
      </c>
      <c r="T2118" s="81">
        <f>HLOOKUP(M2118,データについて!$J$7:$M$18,12,FALSE)</f>
        <v>1</v>
      </c>
      <c r="U2118" s="81">
        <f>HLOOKUP(N2118,データについて!$J$8:$M$18,11,FALSE)</f>
        <v>2</v>
      </c>
      <c r="V2118" s="81">
        <f>HLOOKUP(O2118,データについて!$J$9:$M$18,10,FALSE)</f>
        <v>1</v>
      </c>
      <c r="W2118" s="81">
        <f>HLOOKUP(P2118,データについて!$J$10:$M$18,9,FALSE)</f>
        <v>1</v>
      </c>
      <c r="X2118" s="81">
        <f>HLOOKUP(Q2118,データについて!$J$11:$M$18,8,FALSE)</f>
        <v>1</v>
      </c>
      <c r="Y2118" s="81">
        <f>HLOOKUP(R2118,データについて!$J$12:$M$18,7,FALSE)</f>
        <v>1</v>
      </c>
      <c r="Z2118" s="81">
        <f>HLOOKUP(I2118,データについて!$J$3:$M$18,16,FALSE)</f>
        <v>1</v>
      </c>
      <c r="AA2118" s="81">
        <f>IFERROR(HLOOKUP(J2118,データについて!$J$4:$AH$19,16,FALSE),"")</f>
        <v>13</v>
      </c>
      <c r="AB2118" s="81" t="str">
        <f>IFERROR(HLOOKUP(K2118,データについて!$J$5:$AH$20,14,FALSE),"")</f>
        <v/>
      </c>
      <c r="AC2118" s="81">
        <f>IF(X2118=1,HLOOKUP(R2118,データについて!$J$12:$M$18,7,FALSE),"*")</f>
        <v>1</v>
      </c>
      <c r="AD2118" s="81" t="str">
        <f>IF(X2118=2,HLOOKUP(R2118,データについて!$J$12:$M$18,7,FALSE),"*")</f>
        <v>*</v>
      </c>
    </row>
    <row r="2119" spans="1:30">
      <c r="A2119" s="30">
        <v>3073</v>
      </c>
      <c r="B2119" s="30" t="s">
        <v>2265</v>
      </c>
      <c r="C2119" s="30" t="s">
        <v>2266</v>
      </c>
      <c r="D2119" s="30" t="s">
        <v>106</v>
      </c>
      <c r="E2119" s="30"/>
      <c r="F2119" s="30" t="s">
        <v>107</v>
      </c>
      <c r="G2119" s="30" t="s">
        <v>106</v>
      </c>
      <c r="H2119" s="30"/>
      <c r="I2119" s="30" t="s">
        <v>192</v>
      </c>
      <c r="J2119" s="30" t="s">
        <v>2256</v>
      </c>
      <c r="K2119" s="30"/>
      <c r="L2119" s="30" t="s">
        <v>117</v>
      </c>
      <c r="M2119" s="30" t="s">
        <v>113</v>
      </c>
      <c r="N2119" s="30" t="s">
        <v>114</v>
      </c>
      <c r="O2119" s="30" t="s">
        <v>115</v>
      </c>
      <c r="P2119" s="30" t="s">
        <v>112</v>
      </c>
      <c r="Q2119" s="30" t="s">
        <v>112</v>
      </c>
      <c r="R2119" s="30" t="s">
        <v>183</v>
      </c>
      <c r="S2119" s="81">
        <f>HLOOKUP(L2119,データについて!$J$6:$M$18,13,FALSE)</f>
        <v>2</v>
      </c>
      <c r="T2119" s="81">
        <f>HLOOKUP(M2119,データについて!$J$7:$M$18,12,FALSE)</f>
        <v>1</v>
      </c>
      <c r="U2119" s="81">
        <f>HLOOKUP(N2119,データについて!$J$8:$M$18,11,FALSE)</f>
        <v>1</v>
      </c>
      <c r="V2119" s="81">
        <f>HLOOKUP(O2119,データについて!$J$9:$M$18,10,FALSE)</f>
        <v>1</v>
      </c>
      <c r="W2119" s="81">
        <f>HLOOKUP(P2119,データについて!$J$10:$M$18,9,FALSE)</f>
        <v>1</v>
      </c>
      <c r="X2119" s="81">
        <f>HLOOKUP(Q2119,データについて!$J$11:$M$18,8,FALSE)</f>
        <v>1</v>
      </c>
      <c r="Y2119" s="81">
        <f>HLOOKUP(R2119,データについて!$J$12:$M$18,7,FALSE)</f>
        <v>1</v>
      </c>
      <c r="Z2119" s="81">
        <f>HLOOKUP(I2119,データについて!$J$3:$M$18,16,FALSE)</f>
        <v>1</v>
      </c>
      <c r="AA2119" s="81">
        <f>IFERROR(HLOOKUP(J2119,データについて!$J$4:$AH$19,16,FALSE),"")</f>
        <v>13</v>
      </c>
      <c r="AB2119" s="81" t="str">
        <f>IFERROR(HLOOKUP(K2119,データについて!$J$5:$AH$20,14,FALSE),"")</f>
        <v/>
      </c>
      <c r="AC2119" s="81">
        <f>IF(X2119=1,HLOOKUP(R2119,データについて!$J$12:$M$18,7,FALSE),"*")</f>
        <v>1</v>
      </c>
      <c r="AD2119" s="81" t="str">
        <f>IF(X2119=2,HLOOKUP(R2119,データについて!$J$12:$M$18,7,FALSE),"*")</f>
        <v>*</v>
      </c>
    </row>
    <row r="2120" spans="1:30">
      <c r="A2120" s="30">
        <v>3072</v>
      </c>
      <c r="B2120" s="30" t="s">
        <v>2267</v>
      </c>
      <c r="C2120" s="30" t="s">
        <v>2268</v>
      </c>
      <c r="D2120" s="30" t="s">
        <v>106</v>
      </c>
      <c r="E2120" s="30"/>
      <c r="F2120" s="30" t="s">
        <v>107</v>
      </c>
      <c r="G2120" s="30" t="s">
        <v>106</v>
      </c>
      <c r="H2120" s="30"/>
      <c r="I2120" s="30" t="s">
        <v>192</v>
      </c>
      <c r="J2120" s="30" t="s">
        <v>2256</v>
      </c>
      <c r="K2120" s="30"/>
      <c r="L2120" s="30" t="s">
        <v>117</v>
      </c>
      <c r="M2120" s="30" t="s">
        <v>113</v>
      </c>
      <c r="N2120" s="30" t="s">
        <v>119</v>
      </c>
      <c r="O2120" s="30" t="s">
        <v>115</v>
      </c>
      <c r="P2120" s="30" t="s">
        <v>112</v>
      </c>
      <c r="Q2120" s="30" t="s">
        <v>112</v>
      </c>
      <c r="R2120" s="30" t="s">
        <v>183</v>
      </c>
      <c r="S2120" s="81">
        <f>HLOOKUP(L2120,データについて!$J$6:$M$18,13,FALSE)</f>
        <v>2</v>
      </c>
      <c r="T2120" s="81">
        <f>HLOOKUP(M2120,データについて!$J$7:$M$18,12,FALSE)</f>
        <v>1</v>
      </c>
      <c r="U2120" s="81">
        <f>HLOOKUP(N2120,データについて!$J$8:$M$18,11,FALSE)</f>
        <v>4</v>
      </c>
      <c r="V2120" s="81">
        <f>HLOOKUP(O2120,データについて!$J$9:$M$18,10,FALSE)</f>
        <v>1</v>
      </c>
      <c r="W2120" s="81">
        <f>HLOOKUP(P2120,データについて!$J$10:$M$18,9,FALSE)</f>
        <v>1</v>
      </c>
      <c r="X2120" s="81">
        <f>HLOOKUP(Q2120,データについて!$J$11:$M$18,8,FALSE)</f>
        <v>1</v>
      </c>
      <c r="Y2120" s="81">
        <f>HLOOKUP(R2120,データについて!$J$12:$M$18,7,FALSE)</f>
        <v>1</v>
      </c>
      <c r="Z2120" s="81">
        <f>HLOOKUP(I2120,データについて!$J$3:$M$18,16,FALSE)</f>
        <v>1</v>
      </c>
      <c r="AA2120" s="81">
        <f>IFERROR(HLOOKUP(J2120,データについて!$J$4:$AH$19,16,FALSE),"")</f>
        <v>13</v>
      </c>
      <c r="AB2120" s="81" t="str">
        <f>IFERROR(HLOOKUP(K2120,データについて!$J$5:$AH$20,14,FALSE),"")</f>
        <v/>
      </c>
      <c r="AC2120" s="81">
        <f>IF(X2120=1,HLOOKUP(R2120,データについて!$J$12:$M$18,7,FALSE),"*")</f>
        <v>1</v>
      </c>
      <c r="AD2120" s="81" t="str">
        <f>IF(X2120=2,HLOOKUP(R2120,データについて!$J$12:$M$18,7,FALSE),"*")</f>
        <v>*</v>
      </c>
    </row>
    <row r="2121" spans="1:30">
      <c r="A2121" s="30">
        <v>3071</v>
      </c>
      <c r="B2121" s="30" t="s">
        <v>2269</v>
      </c>
      <c r="C2121" s="30" t="s">
        <v>2270</v>
      </c>
      <c r="D2121" s="30" t="s">
        <v>106</v>
      </c>
      <c r="E2121" s="30"/>
      <c r="F2121" s="30" t="s">
        <v>107</v>
      </c>
      <c r="G2121" s="30" t="s">
        <v>106</v>
      </c>
      <c r="H2121" s="30"/>
      <c r="I2121" s="30" t="s">
        <v>192</v>
      </c>
      <c r="J2121" s="30" t="s">
        <v>2256</v>
      </c>
      <c r="K2121" s="30"/>
      <c r="L2121" s="30" t="s">
        <v>117</v>
      </c>
      <c r="M2121" s="30" t="s">
        <v>113</v>
      </c>
      <c r="N2121" s="30" t="s">
        <v>114</v>
      </c>
      <c r="O2121" s="30" t="s">
        <v>115</v>
      </c>
      <c r="P2121" s="30" t="s">
        <v>112</v>
      </c>
      <c r="Q2121" s="30" t="s">
        <v>112</v>
      </c>
      <c r="R2121" s="30" t="s">
        <v>183</v>
      </c>
      <c r="S2121" s="81">
        <f>HLOOKUP(L2121,データについて!$J$6:$M$18,13,FALSE)</f>
        <v>2</v>
      </c>
      <c r="T2121" s="81">
        <f>HLOOKUP(M2121,データについて!$J$7:$M$18,12,FALSE)</f>
        <v>1</v>
      </c>
      <c r="U2121" s="81">
        <f>HLOOKUP(N2121,データについて!$J$8:$M$18,11,FALSE)</f>
        <v>1</v>
      </c>
      <c r="V2121" s="81">
        <f>HLOOKUP(O2121,データについて!$J$9:$M$18,10,FALSE)</f>
        <v>1</v>
      </c>
      <c r="W2121" s="81">
        <f>HLOOKUP(P2121,データについて!$J$10:$M$18,9,FALSE)</f>
        <v>1</v>
      </c>
      <c r="X2121" s="81">
        <f>HLOOKUP(Q2121,データについて!$J$11:$M$18,8,FALSE)</f>
        <v>1</v>
      </c>
      <c r="Y2121" s="81">
        <f>HLOOKUP(R2121,データについて!$J$12:$M$18,7,FALSE)</f>
        <v>1</v>
      </c>
      <c r="Z2121" s="81">
        <f>HLOOKUP(I2121,データについて!$J$3:$M$18,16,FALSE)</f>
        <v>1</v>
      </c>
      <c r="AA2121" s="81">
        <f>IFERROR(HLOOKUP(J2121,データについて!$J$4:$AH$19,16,FALSE),"")</f>
        <v>13</v>
      </c>
      <c r="AB2121" s="81" t="str">
        <f>IFERROR(HLOOKUP(K2121,データについて!$J$5:$AH$20,14,FALSE),"")</f>
        <v/>
      </c>
      <c r="AC2121" s="81">
        <f>IF(X2121=1,HLOOKUP(R2121,データについて!$J$12:$M$18,7,FALSE),"*")</f>
        <v>1</v>
      </c>
      <c r="AD2121" s="81" t="str">
        <f>IF(X2121=2,HLOOKUP(R2121,データについて!$J$12:$M$18,7,FALSE),"*")</f>
        <v>*</v>
      </c>
    </row>
    <row r="2122" spans="1:30">
      <c r="A2122" s="30">
        <v>3070</v>
      </c>
      <c r="B2122" s="30" t="s">
        <v>2271</v>
      </c>
      <c r="C2122" s="30" t="s">
        <v>2272</v>
      </c>
      <c r="D2122" s="30" t="s">
        <v>106</v>
      </c>
      <c r="E2122" s="30"/>
      <c r="F2122" s="30" t="s">
        <v>107</v>
      </c>
      <c r="G2122" s="30" t="s">
        <v>106</v>
      </c>
      <c r="H2122" s="30"/>
      <c r="I2122" s="30" t="s">
        <v>192</v>
      </c>
      <c r="J2122" s="30" t="s">
        <v>2256</v>
      </c>
      <c r="K2122" s="30"/>
      <c r="L2122" s="30" t="s">
        <v>108</v>
      </c>
      <c r="M2122" s="30" t="s">
        <v>109</v>
      </c>
      <c r="N2122" s="30" t="s">
        <v>114</v>
      </c>
      <c r="O2122" s="30" t="s">
        <v>115</v>
      </c>
      <c r="P2122" s="30" t="s">
        <v>112</v>
      </c>
      <c r="Q2122" s="30" t="s">
        <v>112</v>
      </c>
      <c r="R2122" s="30" t="s">
        <v>183</v>
      </c>
      <c r="S2122" s="81">
        <f>HLOOKUP(L2122,データについて!$J$6:$M$18,13,FALSE)</f>
        <v>1</v>
      </c>
      <c r="T2122" s="81">
        <f>HLOOKUP(M2122,データについて!$J$7:$M$18,12,FALSE)</f>
        <v>2</v>
      </c>
      <c r="U2122" s="81">
        <f>HLOOKUP(N2122,データについて!$J$8:$M$18,11,FALSE)</f>
        <v>1</v>
      </c>
      <c r="V2122" s="81">
        <f>HLOOKUP(O2122,データについて!$J$9:$M$18,10,FALSE)</f>
        <v>1</v>
      </c>
      <c r="W2122" s="81">
        <f>HLOOKUP(P2122,データについて!$J$10:$M$18,9,FALSE)</f>
        <v>1</v>
      </c>
      <c r="X2122" s="81">
        <f>HLOOKUP(Q2122,データについて!$J$11:$M$18,8,FALSE)</f>
        <v>1</v>
      </c>
      <c r="Y2122" s="81">
        <f>HLOOKUP(R2122,データについて!$J$12:$M$18,7,FALSE)</f>
        <v>1</v>
      </c>
      <c r="Z2122" s="81">
        <f>HLOOKUP(I2122,データについて!$J$3:$M$18,16,FALSE)</f>
        <v>1</v>
      </c>
      <c r="AA2122" s="81">
        <f>IFERROR(HLOOKUP(J2122,データについて!$J$4:$AH$19,16,FALSE),"")</f>
        <v>13</v>
      </c>
      <c r="AB2122" s="81" t="str">
        <f>IFERROR(HLOOKUP(K2122,データについて!$J$5:$AH$20,14,FALSE),"")</f>
        <v/>
      </c>
      <c r="AC2122" s="81">
        <f>IF(X2122=1,HLOOKUP(R2122,データについて!$J$12:$M$18,7,FALSE),"*")</f>
        <v>1</v>
      </c>
      <c r="AD2122" s="81" t="str">
        <f>IF(X2122=2,HLOOKUP(R2122,データについて!$J$12:$M$18,7,FALSE),"*")</f>
        <v>*</v>
      </c>
    </row>
    <row r="2123" spans="1:30">
      <c r="A2123" s="30">
        <v>3069</v>
      </c>
      <c r="B2123" s="30" t="s">
        <v>2273</v>
      </c>
      <c r="C2123" s="30" t="s">
        <v>2272</v>
      </c>
      <c r="D2123" s="30" t="s">
        <v>106</v>
      </c>
      <c r="E2123" s="30"/>
      <c r="F2123" s="30" t="s">
        <v>107</v>
      </c>
      <c r="G2123" s="30" t="s">
        <v>106</v>
      </c>
      <c r="H2123" s="30"/>
      <c r="I2123" s="30" t="s">
        <v>192</v>
      </c>
      <c r="J2123" s="30" t="s">
        <v>2256</v>
      </c>
      <c r="K2123" s="30"/>
      <c r="L2123" s="30" t="s">
        <v>117</v>
      </c>
      <c r="M2123" s="30" t="s">
        <v>113</v>
      </c>
      <c r="N2123" s="30" t="s">
        <v>110</v>
      </c>
      <c r="O2123" s="30" t="s">
        <v>115</v>
      </c>
      <c r="P2123" s="30" t="s">
        <v>112</v>
      </c>
      <c r="Q2123" s="30" t="s">
        <v>112</v>
      </c>
      <c r="R2123" s="30" t="s">
        <v>187</v>
      </c>
      <c r="S2123" s="81">
        <f>HLOOKUP(L2123,データについて!$J$6:$M$18,13,FALSE)</f>
        <v>2</v>
      </c>
      <c r="T2123" s="81">
        <f>HLOOKUP(M2123,データについて!$J$7:$M$18,12,FALSE)</f>
        <v>1</v>
      </c>
      <c r="U2123" s="81">
        <f>HLOOKUP(N2123,データについて!$J$8:$M$18,11,FALSE)</f>
        <v>2</v>
      </c>
      <c r="V2123" s="81">
        <f>HLOOKUP(O2123,データについて!$J$9:$M$18,10,FALSE)</f>
        <v>1</v>
      </c>
      <c r="W2123" s="81">
        <f>HLOOKUP(P2123,データについて!$J$10:$M$18,9,FALSE)</f>
        <v>1</v>
      </c>
      <c r="X2123" s="81">
        <f>HLOOKUP(Q2123,データについて!$J$11:$M$18,8,FALSE)</f>
        <v>1</v>
      </c>
      <c r="Y2123" s="81">
        <f>HLOOKUP(R2123,データについて!$J$12:$M$18,7,FALSE)</f>
        <v>3</v>
      </c>
      <c r="Z2123" s="81">
        <f>HLOOKUP(I2123,データについて!$J$3:$M$18,16,FALSE)</f>
        <v>1</v>
      </c>
      <c r="AA2123" s="81">
        <f>IFERROR(HLOOKUP(J2123,データについて!$J$4:$AH$19,16,FALSE),"")</f>
        <v>13</v>
      </c>
      <c r="AB2123" s="81" t="str">
        <f>IFERROR(HLOOKUP(K2123,データについて!$J$5:$AH$20,14,FALSE),"")</f>
        <v/>
      </c>
      <c r="AC2123" s="81">
        <f>IF(X2123=1,HLOOKUP(R2123,データについて!$J$12:$M$18,7,FALSE),"*")</f>
        <v>3</v>
      </c>
      <c r="AD2123" s="81" t="str">
        <f>IF(X2123=2,HLOOKUP(R2123,データについて!$J$12:$M$18,7,FALSE),"*")</f>
        <v>*</v>
      </c>
    </row>
    <row r="2124" spans="1:30">
      <c r="A2124" s="30">
        <v>3068</v>
      </c>
      <c r="B2124" s="30" t="s">
        <v>2274</v>
      </c>
      <c r="C2124" s="30" t="s">
        <v>2275</v>
      </c>
      <c r="D2124" s="30" t="s">
        <v>106</v>
      </c>
      <c r="E2124" s="30"/>
      <c r="F2124" s="30" t="s">
        <v>107</v>
      </c>
      <c r="G2124" s="30" t="s">
        <v>106</v>
      </c>
      <c r="H2124" s="30"/>
      <c r="I2124" s="30" t="s">
        <v>192</v>
      </c>
      <c r="J2124" s="30" t="s">
        <v>2256</v>
      </c>
      <c r="K2124" s="30"/>
      <c r="L2124" s="30" t="s">
        <v>117</v>
      </c>
      <c r="M2124" s="30" t="s">
        <v>113</v>
      </c>
      <c r="N2124" s="30" t="s">
        <v>114</v>
      </c>
      <c r="O2124" s="30" t="s">
        <v>115</v>
      </c>
      <c r="P2124" s="30" t="s">
        <v>112</v>
      </c>
      <c r="Q2124" s="30" t="s">
        <v>112</v>
      </c>
      <c r="R2124" s="30" t="s">
        <v>185</v>
      </c>
      <c r="S2124" s="81">
        <f>HLOOKUP(L2124,データについて!$J$6:$M$18,13,FALSE)</f>
        <v>2</v>
      </c>
      <c r="T2124" s="81">
        <f>HLOOKUP(M2124,データについて!$J$7:$M$18,12,FALSE)</f>
        <v>1</v>
      </c>
      <c r="U2124" s="81">
        <f>HLOOKUP(N2124,データについて!$J$8:$M$18,11,FALSE)</f>
        <v>1</v>
      </c>
      <c r="V2124" s="81">
        <f>HLOOKUP(O2124,データについて!$J$9:$M$18,10,FALSE)</f>
        <v>1</v>
      </c>
      <c r="W2124" s="81">
        <f>HLOOKUP(P2124,データについて!$J$10:$M$18,9,FALSE)</f>
        <v>1</v>
      </c>
      <c r="X2124" s="81">
        <f>HLOOKUP(Q2124,データについて!$J$11:$M$18,8,FALSE)</f>
        <v>1</v>
      </c>
      <c r="Y2124" s="81">
        <f>HLOOKUP(R2124,データについて!$J$12:$M$18,7,FALSE)</f>
        <v>2</v>
      </c>
      <c r="Z2124" s="81">
        <f>HLOOKUP(I2124,データについて!$J$3:$M$18,16,FALSE)</f>
        <v>1</v>
      </c>
      <c r="AA2124" s="81">
        <f>IFERROR(HLOOKUP(J2124,データについて!$J$4:$AH$19,16,FALSE),"")</f>
        <v>13</v>
      </c>
      <c r="AB2124" s="81" t="str">
        <f>IFERROR(HLOOKUP(K2124,データについて!$J$5:$AH$20,14,FALSE),"")</f>
        <v/>
      </c>
      <c r="AC2124" s="81">
        <f>IF(X2124=1,HLOOKUP(R2124,データについて!$J$12:$M$18,7,FALSE),"*")</f>
        <v>2</v>
      </c>
      <c r="AD2124" s="81" t="str">
        <f>IF(X2124=2,HLOOKUP(R2124,データについて!$J$12:$M$18,7,FALSE),"*")</f>
        <v>*</v>
      </c>
    </row>
    <row r="2125" spans="1:30">
      <c r="A2125" s="30">
        <v>3067</v>
      </c>
      <c r="B2125" s="30" t="s">
        <v>2276</v>
      </c>
      <c r="C2125" s="30" t="s">
        <v>2277</v>
      </c>
      <c r="D2125" s="30" t="s">
        <v>106</v>
      </c>
      <c r="E2125" s="30"/>
      <c r="F2125" s="30" t="s">
        <v>107</v>
      </c>
      <c r="G2125" s="30" t="s">
        <v>106</v>
      </c>
      <c r="H2125" s="30"/>
      <c r="I2125" s="30" t="s">
        <v>192</v>
      </c>
      <c r="J2125" s="30" t="s">
        <v>2256</v>
      </c>
      <c r="K2125" s="30"/>
      <c r="L2125" s="30" t="s">
        <v>117</v>
      </c>
      <c r="M2125" s="30" t="s">
        <v>109</v>
      </c>
      <c r="N2125" s="30" t="s">
        <v>122</v>
      </c>
      <c r="O2125" s="30" t="s">
        <v>115</v>
      </c>
      <c r="P2125" s="30" t="s">
        <v>112</v>
      </c>
      <c r="Q2125" s="30" t="s">
        <v>112</v>
      </c>
      <c r="R2125" s="30" t="s">
        <v>187</v>
      </c>
      <c r="S2125" s="81">
        <f>HLOOKUP(L2125,データについて!$J$6:$M$18,13,FALSE)</f>
        <v>2</v>
      </c>
      <c r="T2125" s="81">
        <f>HLOOKUP(M2125,データについて!$J$7:$M$18,12,FALSE)</f>
        <v>2</v>
      </c>
      <c r="U2125" s="81">
        <f>HLOOKUP(N2125,データについて!$J$8:$M$18,11,FALSE)</f>
        <v>3</v>
      </c>
      <c r="V2125" s="81">
        <f>HLOOKUP(O2125,データについて!$J$9:$M$18,10,FALSE)</f>
        <v>1</v>
      </c>
      <c r="W2125" s="81">
        <f>HLOOKUP(P2125,データについて!$J$10:$M$18,9,FALSE)</f>
        <v>1</v>
      </c>
      <c r="X2125" s="81">
        <f>HLOOKUP(Q2125,データについて!$J$11:$M$18,8,FALSE)</f>
        <v>1</v>
      </c>
      <c r="Y2125" s="81">
        <f>HLOOKUP(R2125,データについて!$J$12:$M$18,7,FALSE)</f>
        <v>3</v>
      </c>
      <c r="Z2125" s="81">
        <f>HLOOKUP(I2125,データについて!$J$3:$M$18,16,FALSE)</f>
        <v>1</v>
      </c>
      <c r="AA2125" s="81">
        <f>IFERROR(HLOOKUP(J2125,データについて!$J$4:$AH$19,16,FALSE),"")</f>
        <v>13</v>
      </c>
      <c r="AB2125" s="81" t="str">
        <f>IFERROR(HLOOKUP(K2125,データについて!$J$5:$AH$20,14,FALSE),"")</f>
        <v/>
      </c>
      <c r="AC2125" s="81">
        <f>IF(X2125=1,HLOOKUP(R2125,データについて!$J$12:$M$18,7,FALSE),"*")</f>
        <v>3</v>
      </c>
      <c r="AD2125" s="81" t="str">
        <f>IF(X2125=2,HLOOKUP(R2125,データについて!$J$12:$M$18,7,FALSE),"*")</f>
        <v>*</v>
      </c>
    </row>
    <row r="2126" spans="1:30">
      <c r="A2126" s="30">
        <v>3066</v>
      </c>
      <c r="B2126" s="30" t="s">
        <v>2278</v>
      </c>
      <c r="C2126" s="30" t="s">
        <v>2279</v>
      </c>
      <c r="D2126" s="30" t="s">
        <v>106</v>
      </c>
      <c r="E2126" s="30"/>
      <c r="F2126" s="30" t="s">
        <v>107</v>
      </c>
      <c r="G2126" s="30" t="s">
        <v>106</v>
      </c>
      <c r="H2126" s="30"/>
      <c r="I2126" s="30" t="s">
        <v>192</v>
      </c>
      <c r="J2126" s="30" t="s">
        <v>2256</v>
      </c>
      <c r="K2126" s="30"/>
      <c r="L2126" s="30" t="s">
        <v>117</v>
      </c>
      <c r="M2126" s="30" t="s">
        <v>109</v>
      </c>
      <c r="N2126" s="30" t="s">
        <v>110</v>
      </c>
      <c r="O2126" s="30" t="s">
        <v>115</v>
      </c>
      <c r="P2126" s="30" t="s">
        <v>112</v>
      </c>
      <c r="Q2126" s="30" t="s">
        <v>112</v>
      </c>
      <c r="R2126" s="30" t="s">
        <v>187</v>
      </c>
      <c r="S2126" s="81">
        <f>HLOOKUP(L2126,データについて!$J$6:$M$18,13,FALSE)</f>
        <v>2</v>
      </c>
      <c r="T2126" s="81">
        <f>HLOOKUP(M2126,データについて!$J$7:$M$18,12,FALSE)</f>
        <v>2</v>
      </c>
      <c r="U2126" s="81">
        <f>HLOOKUP(N2126,データについて!$J$8:$M$18,11,FALSE)</f>
        <v>2</v>
      </c>
      <c r="V2126" s="81">
        <f>HLOOKUP(O2126,データについて!$J$9:$M$18,10,FALSE)</f>
        <v>1</v>
      </c>
      <c r="W2126" s="81">
        <f>HLOOKUP(P2126,データについて!$J$10:$M$18,9,FALSE)</f>
        <v>1</v>
      </c>
      <c r="X2126" s="81">
        <f>HLOOKUP(Q2126,データについて!$J$11:$M$18,8,FALSE)</f>
        <v>1</v>
      </c>
      <c r="Y2126" s="81">
        <f>HLOOKUP(R2126,データについて!$J$12:$M$18,7,FALSE)</f>
        <v>3</v>
      </c>
      <c r="Z2126" s="81">
        <f>HLOOKUP(I2126,データについて!$J$3:$M$18,16,FALSE)</f>
        <v>1</v>
      </c>
      <c r="AA2126" s="81">
        <f>IFERROR(HLOOKUP(J2126,データについて!$J$4:$AH$19,16,FALSE),"")</f>
        <v>13</v>
      </c>
      <c r="AB2126" s="81" t="str">
        <f>IFERROR(HLOOKUP(K2126,データについて!$J$5:$AH$20,14,FALSE),"")</f>
        <v/>
      </c>
      <c r="AC2126" s="81">
        <f>IF(X2126=1,HLOOKUP(R2126,データについて!$J$12:$M$18,7,FALSE),"*")</f>
        <v>3</v>
      </c>
      <c r="AD2126" s="81" t="str">
        <f>IF(X2126=2,HLOOKUP(R2126,データについて!$J$12:$M$18,7,FALSE),"*")</f>
        <v>*</v>
      </c>
    </row>
    <row r="2127" spans="1:30">
      <c r="A2127" s="30">
        <v>3065</v>
      </c>
      <c r="B2127" s="30" t="s">
        <v>2280</v>
      </c>
      <c r="C2127" s="30" t="s">
        <v>2281</v>
      </c>
      <c r="D2127" s="30" t="s">
        <v>106</v>
      </c>
      <c r="E2127" s="30"/>
      <c r="F2127" s="30" t="s">
        <v>107</v>
      </c>
      <c r="G2127" s="30" t="s">
        <v>106</v>
      </c>
      <c r="H2127" s="30"/>
      <c r="I2127" s="30" t="s">
        <v>192</v>
      </c>
      <c r="J2127" s="30" t="s">
        <v>2256</v>
      </c>
      <c r="K2127" s="30"/>
      <c r="L2127" s="30" t="s">
        <v>117</v>
      </c>
      <c r="M2127" s="30" t="s">
        <v>109</v>
      </c>
      <c r="N2127" s="30" t="s">
        <v>114</v>
      </c>
      <c r="O2127" s="30" t="s">
        <v>115</v>
      </c>
      <c r="P2127" s="30" t="s">
        <v>112</v>
      </c>
      <c r="Q2127" s="30" t="s">
        <v>112</v>
      </c>
      <c r="R2127" s="30" t="s">
        <v>183</v>
      </c>
      <c r="S2127" s="81">
        <f>HLOOKUP(L2127,データについて!$J$6:$M$18,13,FALSE)</f>
        <v>2</v>
      </c>
      <c r="T2127" s="81">
        <f>HLOOKUP(M2127,データについて!$J$7:$M$18,12,FALSE)</f>
        <v>2</v>
      </c>
      <c r="U2127" s="81">
        <f>HLOOKUP(N2127,データについて!$J$8:$M$18,11,FALSE)</f>
        <v>1</v>
      </c>
      <c r="V2127" s="81">
        <f>HLOOKUP(O2127,データについて!$J$9:$M$18,10,FALSE)</f>
        <v>1</v>
      </c>
      <c r="W2127" s="81">
        <f>HLOOKUP(P2127,データについて!$J$10:$M$18,9,FALSE)</f>
        <v>1</v>
      </c>
      <c r="X2127" s="81">
        <f>HLOOKUP(Q2127,データについて!$J$11:$M$18,8,FALSE)</f>
        <v>1</v>
      </c>
      <c r="Y2127" s="81">
        <f>HLOOKUP(R2127,データについて!$J$12:$M$18,7,FALSE)</f>
        <v>1</v>
      </c>
      <c r="Z2127" s="81">
        <f>HLOOKUP(I2127,データについて!$J$3:$M$18,16,FALSE)</f>
        <v>1</v>
      </c>
      <c r="AA2127" s="81">
        <f>IFERROR(HLOOKUP(J2127,データについて!$J$4:$AH$19,16,FALSE),"")</f>
        <v>13</v>
      </c>
      <c r="AB2127" s="81" t="str">
        <f>IFERROR(HLOOKUP(K2127,データについて!$J$5:$AH$20,14,FALSE),"")</f>
        <v/>
      </c>
      <c r="AC2127" s="81">
        <f>IF(X2127=1,HLOOKUP(R2127,データについて!$J$12:$M$18,7,FALSE),"*")</f>
        <v>1</v>
      </c>
      <c r="AD2127" s="81" t="str">
        <f>IF(X2127=2,HLOOKUP(R2127,データについて!$J$12:$M$18,7,FALSE),"*")</f>
        <v>*</v>
      </c>
    </row>
    <row r="2128" spans="1:30">
      <c r="A2128" s="30">
        <v>3064</v>
      </c>
      <c r="B2128" s="30" t="s">
        <v>2282</v>
      </c>
      <c r="C2128" s="30" t="s">
        <v>2281</v>
      </c>
      <c r="D2128" s="30" t="s">
        <v>106</v>
      </c>
      <c r="E2128" s="30"/>
      <c r="F2128" s="30" t="s">
        <v>107</v>
      </c>
      <c r="G2128" s="30" t="s">
        <v>106</v>
      </c>
      <c r="H2128" s="30"/>
      <c r="I2128" s="30" t="s">
        <v>192</v>
      </c>
      <c r="J2128" s="30" t="s">
        <v>2256</v>
      </c>
      <c r="K2128" s="30"/>
      <c r="L2128" s="30" t="s">
        <v>117</v>
      </c>
      <c r="M2128" s="30" t="s">
        <v>124</v>
      </c>
      <c r="N2128" s="30" t="s">
        <v>119</v>
      </c>
      <c r="O2128" s="30" t="s">
        <v>115</v>
      </c>
      <c r="P2128" s="30" t="s">
        <v>112</v>
      </c>
      <c r="Q2128" s="30" t="s">
        <v>112</v>
      </c>
      <c r="R2128" s="30" t="s">
        <v>189</v>
      </c>
      <c r="S2128" s="81">
        <f>HLOOKUP(L2128,データについて!$J$6:$M$18,13,FALSE)</f>
        <v>2</v>
      </c>
      <c r="T2128" s="81">
        <f>HLOOKUP(M2128,データについて!$J$7:$M$18,12,FALSE)</f>
        <v>3</v>
      </c>
      <c r="U2128" s="81">
        <f>HLOOKUP(N2128,データについて!$J$8:$M$18,11,FALSE)</f>
        <v>4</v>
      </c>
      <c r="V2128" s="81">
        <f>HLOOKUP(O2128,データについて!$J$9:$M$18,10,FALSE)</f>
        <v>1</v>
      </c>
      <c r="W2128" s="81">
        <f>HLOOKUP(P2128,データについて!$J$10:$M$18,9,FALSE)</f>
        <v>1</v>
      </c>
      <c r="X2128" s="81">
        <f>HLOOKUP(Q2128,データについて!$J$11:$M$18,8,FALSE)</f>
        <v>1</v>
      </c>
      <c r="Y2128" s="81">
        <f>HLOOKUP(R2128,データについて!$J$12:$M$18,7,FALSE)</f>
        <v>4</v>
      </c>
      <c r="Z2128" s="81">
        <f>HLOOKUP(I2128,データについて!$J$3:$M$18,16,FALSE)</f>
        <v>1</v>
      </c>
      <c r="AA2128" s="81">
        <f>IFERROR(HLOOKUP(J2128,データについて!$J$4:$AH$19,16,FALSE),"")</f>
        <v>13</v>
      </c>
      <c r="AB2128" s="81" t="str">
        <f>IFERROR(HLOOKUP(K2128,データについて!$J$5:$AH$20,14,FALSE),"")</f>
        <v/>
      </c>
      <c r="AC2128" s="81">
        <f>IF(X2128=1,HLOOKUP(R2128,データについて!$J$12:$M$18,7,FALSE),"*")</f>
        <v>4</v>
      </c>
      <c r="AD2128" s="81" t="str">
        <f>IF(X2128=2,HLOOKUP(R2128,データについて!$J$12:$M$18,7,FALSE),"*")</f>
        <v>*</v>
      </c>
    </row>
    <row r="2129" spans="1:30">
      <c r="A2129" s="30">
        <v>3063</v>
      </c>
      <c r="B2129" s="30" t="s">
        <v>2283</v>
      </c>
      <c r="C2129" s="30" t="s">
        <v>2284</v>
      </c>
      <c r="D2129" s="30" t="s">
        <v>106</v>
      </c>
      <c r="E2129" s="30"/>
      <c r="F2129" s="30" t="s">
        <v>107</v>
      </c>
      <c r="G2129" s="30" t="s">
        <v>106</v>
      </c>
      <c r="H2129" s="30"/>
      <c r="I2129" s="30" t="s">
        <v>192</v>
      </c>
      <c r="J2129" s="30" t="s">
        <v>2256</v>
      </c>
      <c r="K2129" s="30"/>
      <c r="L2129" s="30" t="s">
        <v>108</v>
      </c>
      <c r="M2129" s="30" t="s">
        <v>113</v>
      </c>
      <c r="N2129" s="30" t="s">
        <v>114</v>
      </c>
      <c r="O2129" s="30" t="s">
        <v>115</v>
      </c>
      <c r="P2129" s="30" t="s">
        <v>112</v>
      </c>
      <c r="Q2129" s="30" t="s">
        <v>112</v>
      </c>
      <c r="R2129" s="30" t="s">
        <v>183</v>
      </c>
      <c r="S2129" s="81">
        <f>HLOOKUP(L2129,データについて!$J$6:$M$18,13,FALSE)</f>
        <v>1</v>
      </c>
      <c r="T2129" s="81">
        <f>HLOOKUP(M2129,データについて!$J$7:$M$18,12,FALSE)</f>
        <v>1</v>
      </c>
      <c r="U2129" s="81">
        <f>HLOOKUP(N2129,データについて!$J$8:$M$18,11,FALSE)</f>
        <v>1</v>
      </c>
      <c r="V2129" s="81">
        <f>HLOOKUP(O2129,データについて!$J$9:$M$18,10,FALSE)</f>
        <v>1</v>
      </c>
      <c r="W2129" s="81">
        <f>HLOOKUP(P2129,データについて!$J$10:$M$18,9,FALSE)</f>
        <v>1</v>
      </c>
      <c r="X2129" s="81">
        <f>HLOOKUP(Q2129,データについて!$J$11:$M$18,8,FALSE)</f>
        <v>1</v>
      </c>
      <c r="Y2129" s="81">
        <f>HLOOKUP(R2129,データについて!$J$12:$M$18,7,FALSE)</f>
        <v>1</v>
      </c>
      <c r="Z2129" s="81">
        <f>HLOOKUP(I2129,データについて!$J$3:$M$18,16,FALSE)</f>
        <v>1</v>
      </c>
      <c r="AA2129" s="81">
        <f>IFERROR(HLOOKUP(J2129,データについて!$J$4:$AH$19,16,FALSE),"")</f>
        <v>13</v>
      </c>
      <c r="AB2129" s="81" t="str">
        <f>IFERROR(HLOOKUP(K2129,データについて!$J$5:$AH$20,14,FALSE),"")</f>
        <v/>
      </c>
      <c r="AC2129" s="81">
        <f>IF(X2129=1,HLOOKUP(R2129,データについて!$J$12:$M$18,7,FALSE),"*")</f>
        <v>1</v>
      </c>
      <c r="AD2129" s="81" t="str">
        <f>IF(X2129=2,HLOOKUP(R2129,データについて!$J$12:$M$18,7,FALSE),"*")</f>
        <v>*</v>
      </c>
    </row>
    <row r="2130" spans="1:30">
      <c r="A2130" s="30">
        <v>3062</v>
      </c>
      <c r="B2130" s="30" t="s">
        <v>2285</v>
      </c>
      <c r="C2130" s="30" t="s">
        <v>2286</v>
      </c>
      <c r="D2130" s="30" t="s">
        <v>106</v>
      </c>
      <c r="E2130" s="30"/>
      <c r="F2130" s="30" t="s">
        <v>107</v>
      </c>
      <c r="G2130" s="30" t="s">
        <v>106</v>
      </c>
      <c r="H2130" s="30"/>
      <c r="I2130" s="30" t="s">
        <v>192</v>
      </c>
      <c r="J2130" s="30" t="s">
        <v>2256</v>
      </c>
      <c r="K2130" s="30"/>
      <c r="L2130" s="30" t="s">
        <v>108</v>
      </c>
      <c r="M2130" s="30" t="s">
        <v>113</v>
      </c>
      <c r="N2130" s="30" t="s">
        <v>110</v>
      </c>
      <c r="O2130" s="30" t="s">
        <v>115</v>
      </c>
      <c r="P2130" s="30" t="s">
        <v>112</v>
      </c>
      <c r="Q2130" s="30" t="s">
        <v>118</v>
      </c>
      <c r="R2130" s="30" t="s">
        <v>185</v>
      </c>
      <c r="S2130" s="81">
        <f>HLOOKUP(L2130,データについて!$J$6:$M$18,13,FALSE)</f>
        <v>1</v>
      </c>
      <c r="T2130" s="81">
        <f>HLOOKUP(M2130,データについて!$J$7:$M$18,12,FALSE)</f>
        <v>1</v>
      </c>
      <c r="U2130" s="81">
        <f>HLOOKUP(N2130,データについて!$J$8:$M$18,11,FALSE)</f>
        <v>2</v>
      </c>
      <c r="V2130" s="81">
        <f>HLOOKUP(O2130,データについて!$J$9:$M$18,10,FALSE)</f>
        <v>1</v>
      </c>
      <c r="W2130" s="81">
        <f>HLOOKUP(P2130,データについて!$J$10:$M$18,9,FALSE)</f>
        <v>1</v>
      </c>
      <c r="X2130" s="81">
        <f>HLOOKUP(Q2130,データについて!$J$11:$M$18,8,FALSE)</f>
        <v>2</v>
      </c>
      <c r="Y2130" s="81">
        <f>HLOOKUP(R2130,データについて!$J$12:$M$18,7,FALSE)</f>
        <v>2</v>
      </c>
      <c r="Z2130" s="81">
        <f>HLOOKUP(I2130,データについて!$J$3:$M$18,16,FALSE)</f>
        <v>1</v>
      </c>
      <c r="AA2130" s="81">
        <f>IFERROR(HLOOKUP(J2130,データについて!$J$4:$AH$19,16,FALSE),"")</f>
        <v>13</v>
      </c>
      <c r="AB2130" s="81" t="str">
        <f>IFERROR(HLOOKUP(K2130,データについて!$J$5:$AH$20,14,FALSE),"")</f>
        <v/>
      </c>
      <c r="AC2130" s="81" t="str">
        <f>IF(X2130=1,HLOOKUP(R2130,データについて!$J$12:$M$18,7,FALSE),"*")</f>
        <v>*</v>
      </c>
      <c r="AD2130" s="81">
        <f>IF(X2130=2,HLOOKUP(R2130,データについて!$J$12:$M$18,7,FALSE),"*")</f>
        <v>2</v>
      </c>
    </row>
    <row r="2131" spans="1:30">
      <c r="A2131" s="30">
        <v>3061</v>
      </c>
      <c r="B2131" s="30" t="s">
        <v>2287</v>
      </c>
      <c r="C2131" s="30" t="s">
        <v>2288</v>
      </c>
      <c r="D2131" s="30" t="s">
        <v>106</v>
      </c>
      <c r="E2131" s="30"/>
      <c r="F2131" s="30" t="s">
        <v>107</v>
      </c>
      <c r="G2131" s="30" t="s">
        <v>106</v>
      </c>
      <c r="H2131" s="30"/>
      <c r="I2131" s="30" t="s">
        <v>192</v>
      </c>
      <c r="J2131" s="30" t="s">
        <v>2256</v>
      </c>
      <c r="K2131" s="30"/>
      <c r="L2131" s="30" t="s">
        <v>117</v>
      </c>
      <c r="M2131" s="30" t="s">
        <v>109</v>
      </c>
      <c r="N2131" s="30" t="s">
        <v>110</v>
      </c>
      <c r="O2131" s="30" t="s">
        <v>115</v>
      </c>
      <c r="P2131" s="30" t="s">
        <v>112</v>
      </c>
      <c r="Q2131" s="30" t="s">
        <v>118</v>
      </c>
      <c r="R2131" s="30" t="s">
        <v>185</v>
      </c>
      <c r="S2131" s="81">
        <f>HLOOKUP(L2131,データについて!$J$6:$M$18,13,FALSE)</f>
        <v>2</v>
      </c>
      <c r="T2131" s="81">
        <f>HLOOKUP(M2131,データについて!$J$7:$M$18,12,FALSE)</f>
        <v>2</v>
      </c>
      <c r="U2131" s="81">
        <f>HLOOKUP(N2131,データについて!$J$8:$M$18,11,FALSE)</f>
        <v>2</v>
      </c>
      <c r="V2131" s="81">
        <f>HLOOKUP(O2131,データについて!$J$9:$M$18,10,FALSE)</f>
        <v>1</v>
      </c>
      <c r="W2131" s="81">
        <f>HLOOKUP(P2131,データについて!$J$10:$M$18,9,FALSE)</f>
        <v>1</v>
      </c>
      <c r="X2131" s="81">
        <f>HLOOKUP(Q2131,データについて!$J$11:$M$18,8,FALSE)</f>
        <v>2</v>
      </c>
      <c r="Y2131" s="81">
        <f>HLOOKUP(R2131,データについて!$J$12:$M$18,7,FALSE)</f>
        <v>2</v>
      </c>
      <c r="Z2131" s="81">
        <f>HLOOKUP(I2131,データについて!$J$3:$M$18,16,FALSE)</f>
        <v>1</v>
      </c>
      <c r="AA2131" s="81">
        <f>IFERROR(HLOOKUP(J2131,データについて!$J$4:$AH$19,16,FALSE),"")</f>
        <v>13</v>
      </c>
      <c r="AB2131" s="81" t="str">
        <f>IFERROR(HLOOKUP(K2131,データについて!$J$5:$AH$20,14,FALSE),"")</f>
        <v/>
      </c>
      <c r="AC2131" s="81" t="str">
        <f>IF(X2131=1,HLOOKUP(R2131,データについて!$J$12:$M$18,7,FALSE),"*")</f>
        <v>*</v>
      </c>
      <c r="AD2131" s="81">
        <f>IF(X2131=2,HLOOKUP(R2131,データについて!$J$12:$M$18,7,FALSE),"*")</f>
        <v>2</v>
      </c>
    </row>
    <row r="2132" spans="1:30">
      <c r="A2132" s="30">
        <v>3060</v>
      </c>
      <c r="B2132" s="30" t="s">
        <v>2289</v>
      </c>
      <c r="C2132" s="30" t="s">
        <v>2290</v>
      </c>
      <c r="D2132" s="30" t="s">
        <v>106</v>
      </c>
      <c r="E2132" s="30"/>
      <c r="F2132" s="30" t="s">
        <v>107</v>
      </c>
      <c r="G2132" s="30" t="s">
        <v>106</v>
      </c>
      <c r="H2132" s="30"/>
      <c r="I2132" s="30" t="s">
        <v>192</v>
      </c>
      <c r="J2132" s="30" t="s">
        <v>2256</v>
      </c>
      <c r="K2132" s="30"/>
      <c r="L2132" s="30" t="s">
        <v>108</v>
      </c>
      <c r="M2132" s="30" t="s">
        <v>113</v>
      </c>
      <c r="N2132" s="30" t="s">
        <v>110</v>
      </c>
      <c r="O2132" s="30" t="s">
        <v>123</v>
      </c>
      <c r="P2132" s="30" t="s">
        <v>112</v>
      </c>
      <c r="Q2132" s="30" t="s">
        <v>112</v>
      </c>
      <c r="R2132" s="30" t="s">
        <v>185</v>
      </c>
      <c r="S2132" s="81">
        <f>HLOOKUP(L2132,データについて!$J$6:$M$18,13,FALSE)</f>
        <v>1</v>
      </c>
      <c r="T2132" s="81">
        <f>HLOOKUP(M2132,データについて!$J$7:$M$18,12,FALSE)</f>
        <v>1</v>
      </c>
      <c r="U2132" s="81">
        <f>HLOOKUP(N2132,データについて!$J$8:$M$18,11,FALSE)</f>
        <v>2</v>
      </c>
      <c r="V2132" s="81">
        <f>HLOOKUP(O2132,データについて!$J$9:$M$18,10,FALSE)</f>
        <v>4</v>
      </c>
      <c r="W2132" s="81">
        <f>HLOOKUP(P2132,データについて!$J$10:$M$18,9,FALSE)</f>
        <v>1</v>
      </c>
      <c r="X2132" s="81">
        <f>HLOOKUP(Q2132,データについて!$J$11:$M$18,8,FALSE)</f>
        <v>1</v>
      </c>
      <c r="Y2132" s="81">
        <f>HLOOKUP(R2132,データについて!$J$12:$M$18,7,FALSE)</f>
        <v>2</v>
      </c>
      <c r="Z2132" s="81">
        <f>HLOOKUP(I2132,データについて!$J$3:$M$18,16,FALSE)</f>
        <v>1</v>
      </c>
      <c r="AA2132" s="81">
        <f>IFERROR(HLOOKUP(J2132,データについて!$J$4:$AH$19,16,FALSE),"")</f>
        <v>13</v>
      </c>
      <c r="AB2132" s="81" t="str">
        <f>IFERROR(HLOOKUP(K2132,データについて!$J$5:$AH$20,14,FALSE),"")</f>
        <v/>
      </c>
      <c r="AC2132" s="81">
        <f>IF(X2132=1,HLOOKUP(R2132,データについて!$J$12:$M$18,7,FALSE),"*")</f>
        <v>2</v>
      </c>
      <c r="AD2132" s="81" t="str">
        <f>IF(X2132=2,HLOOKUP(R2132,データについて!$J$12:$M$18,7,FALSE),"*")</f>
        <v>*</v>
      </c>
    </row>
    <row r="2133" spans="1:30">
      <c r="A2133" s="30">
        <v>3059</v>
      </c>
      <c r="B2133" s="30" t="s">
        <v>2291</v>
      </c>
      <c r="C2133" s="30" t="s">
        <v>2292</v>
      </c>
      <c r="D2133" s="30" t="s">
        <v>106</v>
      </c>
      <c r="E2133" s="30"/>
      <c r="F2133" s="30" t="s">
        <v>107</v>
      </c>
      <c r="G2133" s="30" t="s">
        <v>106</v>
      </c>
      <c r="H2133" s="30"/>
      <c r="I2133" s="30" t="s">
        <v>192</v>
      </c>
      <c r="J2133" s="30" t="s">
        <v>2256</v>
      </c>
      <c r="K2133" s="30"/>
      <c r="L2133" s="30" t="s">
        <v>117</v>
      </c>
      <c r="M2133" s="30" t="s">
        <v>113</v>
      </c>
      <c r="N2133" s="30" t="s">
        <v>114</v>
      </c>
      <c r="O2133" s="30" t="s">
        <v>115</v>
      </c>
      <c r="P2133" s="30" t="s">
        <v>112</v>
      </c>
      <c r="Q2133" s="30" t="s">
        <v>112</v>
      </c>
      <c r="R2133" s="30" t="s">
        <v>183</v>
      </c>
      <c r="S2133" s="81">
        <f>HLOOKUP(L2133,データについて!$J$6:$M$18,13,FALSE)</f>
        <v>2</v>
      </c>
      <c r="T2133" s="81">
        <f>HLOOKUP(M2133,データについて!$J$7:$M$18,12,FALSE)</f>
        <v>1</v>
      </c>
      <c r="U2133" s="81">
        <f>HLOOKUP(N2133,データについて!$J$8:$M$18,11,FALSE)</f>
        <v>1</v>
      </c>
      <c r="V2133" s="81">
        <f>HLOOKUP(O2133,データについて!$J$9:$M$18,10,FALSE)</f>
        <v>1</v>
      </c>
      <c r="W2133" s="81">
        <f>HLOOKUP(P2133,データについて!$J$10:$M$18,9,FALSE)</f>
        <v>1</v>
      </c>
      <c r="X2133" s="81">
        <f>HLOOKUP(Q2133,データについて!$J$11:$M$18,8,FALSE)</f>
        <v>1</v>
      </c>
      <c r="Y2133" s="81">
        <f>HLOOKUP(R2133,データについて!$J$12:$M$18,7,FALSE)</f>
        <v>1</v>
      </c>
      <c r="Z2133" s="81">
        <f>HLOOKUP(I2133,データについて!$J$3:$M$18,16,FALSE)</f>
        <v>1</v>
      </c>
      <c r="AA2133" s="81">
        <f>IFERROR(HLOOKUP(J2133,データについて!$J$4:$AH$19,16,FALSE),"")</f>
        <v>13</v>
      </c>
      <c r="AB2133" s="81" t="str">
        <f>IFERROR(HLOOKUP(K2133,データについて!$J$5:$AH$20,14,FALSE),"")</f>
        <v/>
      </c>
      <c r="AC2133" s="81">
        <f>IF(X2133=1,HLOOKUP(R2133,データについて!$J$12:$M$18,7,FALSE),"*")</f>
        <v>1</v>
      </c>
      <c r="AD2133" s="81" t="str">
        <f>IF(X2133=2,HLOOKUP(R2133,データについて!$J$12:$M$18,7,FALSE),"*")</f>
        <v>*</v>
      </c>
    </row>
    <row r="2134" spans="1:30">
      <c r="A2134" s="30">
        <v>3058</v>
      </c>
      <c r="B2134" s="30" t="s">
        <v>2293</v>
      </c>
      <c r="C2134" s="30" t="s">
        <v>2294</v>
      </c>
      <c r="D2134" s="30" t="s">
        <v>106</v>
      </c>
      <c r="E2134" s="30"/>
      <c r="F2134" s="30" t="s">
        <v>107</v>
      </c>
      <c r="G2134" s="30" t="s">
        <v>106</v>
      </c>
      <c r="H2134" s="30"/>
      <c r="I2134" s="30" t="s">
        <v>192</v>
      </c>
      <c r="J2134" s="30" t="s">
        <v>2256</v>
      </c>
      <c r="K2134" s="30"/>
      <c r="L2134" s="30" t="s">
        <v>108</v>
      </c>
      <c r="M2134" s="30" t="s">
        <v>109</v>
      </c>
      <c r="N2134" s="30" t="s">
        <v>110</v>
      </c>
      <c r="O2134" s="30" t="s">
        <v>123</v>
      </c>
      <c r="P2134" s="30" t="s">
        <v>112</v>
      </c>
      <c r="Q2134" s="30" t="s">
        <v>112</v>
      </c>
      <c r="R2134" s="30" t="s">
        <v>185</v>
      </c>
      <c r="S2134" s="81">
        <f>HLOOKUP(L2134,データについて!$J$6:$M$18,13,FALSE)</f>
        <v>1</v>
      </c>
      <c r="T2134" s="81">
        <f>HLOOKUP(M2134,データについて!$J$7:$M$18,12,FALSE)</f>
        <v>2</v>
      </c>
      <c r="U2134" s="81">
        <f>HLOOKUP(N2134,データについて!$J$8:$M$18,11,FALSE)</f>
        <v>2</v>
      </c>
      <c r="V2134" s="81">
        <f>HLOOKUP(O2134,データについて!$J$9:$M$18,10,FALSE)</f>
        <v>4</v>
      </c>
      <c r="W2134" s="81">
        <f>HLOOKUP(P2134,データについて!$J$10:$M$18,9,FALSE)</f>
        <v>1</v>
      </c>
      <c r="X2134" s="81">
        <f>HLOOKUP(Q2134,データについて!$J$11:$M$18,8,FALSE)</f>
        <v>1</v>
      </c>
      <c r="Y2134" s="81">
        <f>HLOOKUP(R2134,データについて!$J$12:$M$18,7,FALSE)</f>
        <v>2</v>
      </c>
      <c r="Z2134" s="81">
        <f>HLOOKUP(I2134,データについて!$J$3:$M$18,16,FALSE)</f>
        <v>1</v>
      </c>
      <c r="AA2134" s="81">
        <f>IFERROR(HLOOKUP(J2134,データについて!$J$4:$AH$19,16,FALSE),"")</f>
        <v>13</v>
      </c>
      <c r="AB2134" s="81" t="str">
        <f>IFERROR(HLOOKUP(K2134,データについて!$J$5:$AH$20,14,FALSE),"")</f>
        <v/>
      </c>
      <c r="AC2134" s="81">
        <f>IF(X2134=1,HLOOKUP(R2134,データについて!$J$12:$M$18,7,FALSE),"*")</f>
        <v>2</v>
      </c>
      <c r="AD2134" s="81" t="str">
        <f>IF(X2134=2,HLOOKUP(R2134,データについて!$J$12:$M$18,7,FALSE),"*")</f>
        <v>*</v>
      </c>
    </row>
    <row r="2135" spans="1:30">
      <c r="A2135" s="30">
        <v>3057</v>
      </c>
      <c r="B2135" s="30" t="s">
        <v>2295</v>
      </c>
      <c r="C2135" s="30" t="s">
        <v>2296</v>
      </c>
      <c r="D2135" s="30" t="s">
        <v>106</v>
      </c>
      <c r="E2135" s="30"/>
      <c r="F2135" s="30" t="s">
        <v>107</v>
      </c>
      <c r="G2135" s="30" t="s">
        <v>106</v>
      </c>
      <c r="H2135" s="30"/>
      <c r="I2135" s="30" t="s">
        <v>192</v>
      </c>
      <c r="J2135" s="30" t="s">
        <v>2256</v>
      </c>
      <c r="K2135" s="30"/>
      <c r="L2135" s="30" t="s">
        <v>108</v>
      </c>
      <c r="M2135" s="30" t="s">
        <v>113</v>
      </c>
      <c r="N2135" s="30" t="s">
        <v>114</v>
      </c>
      <c r="O2135" s="30" t="s">
        <v>115</v>
      </c>
      <c r="P2135" s="30" t="s">
        <v>112</v>
      </c>
      <c r="Q2135" s="30" t="s">
        <v>112</v>
      </c>
      <c r="R2135" s="30" t="s">
        <v>185</v>
      </c>
      <c r="S2135" s="81">
        <f>HLOOKUP(L2135,データについて!$J$6:$M$18,13,FALSE)</f>
        <v>1</v>
      </c>
      <c r="T2135" s="81">
        <f>HLOOKUP(M2135,データについて!$J$7:$M$18,12,FALSE)</f>
        <v>1</v>
      </c>
      <c r="U2135" s="81">
        <f>HLOOKUP(N2135,データについて!$J$8:$M$18,11,FALSE)</f>
        <v>1</v>
      </c>
      <c r="V2135" s="81">
        <f>HLOOKUP(O2135,データについて!$J$9:$M$18,10,FALSE)</f>
        <v>1</v>
      </c>
      <c r="W2135" s="81">
        <f>HLOOKUP(P2135,データについて!$J$10:$M$18,9,FALSE)</f>
        <v>1</v>
      </c>
      <c r="X2135" s="81">
        <f>HLOOKUP(Q2135,データについて!$J$11:$M$18,8,FALSE)</f>
        <v>1</v>
      </c>
      <c r="Y2135" s="81">
        <f>HLOOKUP(R2135,データについて!$J$12:$M$18,7,FALSE)</f>
        <v>2</v>
      </c>
      <c r="Z2135" s="81">
        <f>HLOOKUP(I2135,データについて!$J$3:$M$18,16,FALSE)</f>
        <v>1</v>
      </c>
      <c r="AA2135" s="81">
        <f>IFERROR(HLOOKUP(J2135,データについて!$J$4:$AH$19,16,FALSE),"")</f>
        <v>13</v>
      </c>
      <c r="AB2135" s="81" t="str">
        <f>IFERROR(HLOOKUP(K2135,データについて!$J$5:$AH$20,14,FALSE),"")</f>
        <v/>
      </c>
      <c r="AC2135" s="81">
        <f>IF(X2135=1,HLOOKUP(R2135,データについて!$J$12:$M$18,7,FALSE),"*")</f>
        <v>2</v>
      </c>
      <c r="AD2135" s="81" t="str">
        <f>IF(X2135=2,HLOOKUP(R2135,データについて!$J$12:$M$18,7,FALSE),"*")</f>
        <v>*</v>
      </c>
    </row>
    <row r="2136" spans="1:30">
      <c r="A2136" s="30">
        <v>3056</v>
      </c>
      <c r="B2136" s="30" t="s">
        <v>2297</v>
      </c>
      <c r="C2136" s="30" t="s">
        <v>2298</v>
      </c>
      <c r="D2136" s="30" t="s">
        <v>106</v>
      </c>
      <c r="E2136" s="30"/>
      <c r="F2136" s="30" t="s">
        <v>107</v>
      </c>
      <c r="G2136" s="30" t="s">
        <v>106</v>
      </c>
      <c r="H2136" s="30"/>
      <c r="I2136" s="30" t="s">
        <v>192</v>
      </c>
      <c r="J2136" s="30" t="s">
        <v>2256</v>
      </c>
      <c r="K2136" s="30"/>
      <c r="L2136" s="30" t="s">
        <v>108</v>
      </c>
      <c r="M2136" s="30" t="s">
        <v>109</v>
      </c>
      <c r="N2136" s="30" t="s">
        <v>122</v>
      </c>
      <c r="O2136" s="30" t="s">
        <v>123</v>
      </c>
      <c r="P2136" s="30" t="s">
        <v>112</v>
      </c>
      <c r="Q2136" s="30" t="s">
        <v>112</v>
      </c>
      <c r="R2136" s="30" t="s">
        <v>185</v>
      </c>
      <c r="S2136" s="81">
        <f>HLOOKUP(L2136,データについて!$J$6:$M$18,13,FALSE)</f>
        <v>1</v>
      </c>
      <c r="T2136" s="81">
        <f>HLOOKUP(M2136,データについて!$J$7:$M$18,12,FALSE)</f>
        <v>2</v>
      </c>
      <c r="U2136" s="81">
        <f>HLOOKUP(N2136,データについて!$J$8:$M$18,11,FALSE)</f>
        <v>3</v>
      </c>
      <c r="V2136" s="81">
        <f>HLOOKUP(O2136,データについて!$J$9:$M$18,10,FALSE)</f>
        <v>4</v>
      </c>
      <c r="W2136" s="81">
        <f>HLOOKUP(P2136,データについて!$J$10:$M$18,9,FALSE)</f>
        <v>1</v>
      </c>
      <c r="X2136" s="81">
        <f>HLOOKUP(Q2136,データについて!$J$11:$M$18,8,FALSE)</f>
        <v>1</v>
      </c>
      <c r="Y2136" s="81">
        <f>HLOOKUP(R2136,データについて!$J$12:$M$18,7,FALSE)</f>
        <v>2</v>
      </c>
      <c r="Z2136" s="81">
        <f>HLOOKUP(I2136,データについて!$J$3:$M$18,16,FALSE)</f>
        <v>1</v>
      </c>
      <c r="AA2136" s="81">
        <f>IFERROR(HLOOKUP(J2136,データについて!$J$4:$AH$19,16,FALSE),"")</f>
        <v>13</v>
      </c>
      <c r="AB2136" s="81" t="str">
        <f>IFERROR(HLOOKUP(K2136,データについて!$J$5:$AH$20,14,FALSE),"")</f>
        <v/>
      </c>
      <c r="AC2136" s="81">
        <f>IF(X2136=1,HLOOKUP(R2136,データについて!$J$12:$M$18,7,FALSE),"*")</f>
        <v>2</v>
      </c>
      <c r="AD2136" s="81" t="str">
        <f>IF(X2136=2,HLOOKUP(R2136,データについて!$J$12:$M$18,7,FALSE),"*")</f>
        <v>*</v>
      </c>
    </row>
    <row r="2137" spans="1:30">
      <c r="A2137" s="30">
        <v>3055</v>
      </c>
      <c r="B2137" s="30" t="s">
        <v>2299</v>
      </c>
      <c r="C2137" s="30" t="s">
        <v>2300</v>
      </c>
      <c r="D2137" s="30" t="s">
        <v>106</v>
      </c>
      <c r="E2137" s="30"/>
      <c r="F2137" s="30" t="s">
        <v>107</v>
      </c>
      <c r="G2137" s="30" t="s">
        <v>106</v>
      </c>
      <c r="H2137" s="30"/>
      <c r="I2137" s="30" t="s">
        <v>192</v>
      </c>
      <c r="J2137" s="30" t="s">
        <v>2256</v>
      </c>
      <c r="K2137" s="30"/>
      <c r="L2137" s="30" t="s">
        <v>108</v>
      </c>
      <c r="M2137" s="30" t="s">
        <v>113</v>
      </c>
      <c r="N2137" s="30" t="s">
        <v>114</v>
      </c>
      <c r="O2137" s="30" t="s">
        <v>115</v>
      </c>
      <c r="P2137" s="30" t="s">
        <v>112</v>
      </c>
      <c r="Q2137" s="30" t="s">
        <v>112</v>
      </c>
      <c r="R2137" s="30" t="s">
        <v>183</v>
      </c>
      <c r="S2137" s="81">
        <f>HLOOKUP(L2137,データについて!$J$6:$M$18,13,FALSE)</f>
        <v>1</v>
      </c>
      <c r="T2137" s="81">
        <f>HLOOKUP(M2137,データについて!$J$7:$M$18,12,FALSE)</f>
        <v>1</v>
      </c>
      <c r="U2137" s="81">
        <f>HLOOKUP(N2137,データについて!$J$8:$M$18,11,FALSE)</f>
        <v>1</v>
      </c>
      <c r="V2137" s="81">
        <f>HLOOKUP(O2137,データについて!$J$9:$M$18,10,FALSE)</f>
        <v>1</v>
      </c>
      <c r="W2137" s="81">
        <f>HLOOKUP(P2137,データについて!$J$10:$M$18,9,FALSE)</f>
        <v>1</v>
      </c>
      <c r="X2137" s="81">
        <f>HLOOKUP(Q2137,データについて!$J$11:$M$18,8,FALSE)</f>
        <v>1</v>
      </c>
      <c r="Y2137" s="81">
        <f>HLOOKUP(R2137,データについて!$J$12:$M$18,7,FALSE)</f>
        <v>1</v>
      </c>
      <c r="Z2137" s="81">
        <f>HLOOKUP(I2137,データについて!$J$3:$M$18,16,FALSE)</f>
        <v>1</v>
      </c>
      <c r="AA2137" s="81">
        <f>IFERROR(HLOOKUP(J2137,データについて!$J$4:$AH$19,16,FALSE),"")</f>
        <v>13</v>
      </c>
      <c r="AB2137" s="81" t="str">
        <f>IFERROR(HLOOKUP(K2137,データについて!$J$5:$AH$20,14,FALSE),"")</f>
        <v/>
      </c>
      <c r="AC2137" s="81">
        <f>IF(X2137=1,HLOOKUP(R2137,データについて!$J$12:$M$18,7,FALSE),"*")</f>
        <v>1</v>
      </c>
      <c r="AD2137" s="81" t="str">
        <f>IF(X2137=2,HLOOKUP(R2137,データについて!$J$12:$M$18,7,FALSE),"*")</f>
        <v>*</v>
      </c>
    </row>
    <row r="2138" spans="1:30">
      <c r="A2138" s="30">
        <v>3054</v>
      </c>
      <c r="B2138" s="30" t="s">
        <v>2301</v>
      </c>
      <c r="C2138" s="30" t="s">
        <v>2302</v>
      </c>
      <c r="D2138" s="30" t="s">
        <v>106</v>
      </c>
      <c r="E2138" s="30"/>
      <c r="F2138" s="30" t="s">
        <v>107</v>
      </c>
      <c r="G2138" s="30" t="s">
        <v>106</v>
      </c>
      <c r="H2138" s="30"/>
      <c r="I2138" s="30" t="s">
        <v>192</v>
      </c>
      <c r="J2138" s="30" t="s">
        <v>2256</v>
      </c>
      <c r="K2138" s="30"/>
      <c r="L2138" s="30" t="s">
        <v>108</v>
      </c>
      <c r="M2138" s="30" t="s">
        <v>109</v>
      </c>
      <c r="N2138" s="30" t="s">
        <v>114</v>
      </c>
      <c r="O2138" s="30" t="s">
        <v>115</v>
      </c>
      <c r="P2138" s="30" t="s">
        <v>112</v>
      </c>
      <c r="Q2138" s="30" t="s">
        <v>112</v>
      </c>
      <c r="R2138" s="30" t="s">
        <v>185</v>
      </c>
      <c r="S2138" s="81">
        <f>HLOOKUP(L2138,データについて!$J$6:$M$18,13,FALSE)</f>
        <v>1</v>
      </c>
      <c r="T2138" s="81">
        <f>HLOOKUP(M2138,データについて!$J$7:$M$18,12,FALSE)</f>
        <v>2</v>
      </c>
      <c r="U2138" s="81">
        <f>HLOOKUP(N2138,データについて!$J$8:$M$18,11,FALSE)</f>
        <v>1</v>
      </c>
      <c r="V2138" s="81">
        <f>HLOOKUP(O2138,データについて!$J$9:$M$18,10,FALSE)</f>
        <v>1</v>
      </c>
      <c r="W2138" s="81">
        <f>HLOOKUP(P2138,データについて!$J$10:$M$18,9,FALSE)</f>
        <v>1</v>
      </c>
      <c r="X2138" s="81">
        <f>HLOOKUP(Q2138,データについて!$J$11:$M$18,8,FALSE)</f>
        <v>1</v>
      </c>
      <c r="Y2138" s="81">
        <f>HLOOKUP(R2138,データについて!$J$12:$M$18,7,FALSE)</f>
        <v>2</v>
      </c>
      <c r="Z2138" s="81">
        <f>HLOOKUP(I2138,データについて!$J$3:$M$18,16,FALSE)</f>
        <v>1</v>
      </c>
      <c r="AA2138" s="81">
        <f>IFERROR(HLOOKUP(J2138,データについて!$J$4:$AH$19,16,FALSE),"")</f>
        <v>13</v>
      </c>
      <c r="AB2138" s="81" t="str">
        <f>IFERROR(HLOOKUP(K2138,データについて!$J$5:$AH$20,14,FALSE),"")</f>
        <v/>
      </c>
      <c r="AC2138" s="81">
        <f>IF(X2138=1,HLOOKUP(R2138,データについて!$J$12:$M$18,7,FALSE),"*")</f>
        <v>2</v>
      </c>
      <c r="AD2138" s="81" t="str">
        <f>IF(X2138=2,HLOOKUP(R2138,データについて!$J$12:$M$18,7,FALSE),"*")</f>
        <v>*</v>
      </c>
    </row>
    <row r="2139" spans="1:30">
      <c r="A2139" s="30">
        <v>3053</v>
      </c>
      <c r="B2139" s="30" t="s">
        <v>2303</v>
      </c>
      <c r="C2139" s="30" t="s">
        <v>2302</v>
      </c>
      <c r="D2139" s="30" t="s">
        <v>106</v>
      </c>
      <c r="E2139" s="30"/>
      <c r="F2139" s="30" t="s">
        <v>107</v>
      </c>
      <c r="G2139" s="30" t="s">
        <v>106</v>
      </c>
      <c r="H2139" s="30"/>
      <c r="I2139" s="30" t="s">
        <v>192</v>
      </c>
      <c r="J2139" s="30" t="s">
        <v>2256</v>
      </c>
      <c r="K2139" s="30"/>
      <c r="L2139" s="30" t="s">
        <v>108</v>
      </c>
      <c r="M2139" s="30" t="s">
        <v>109</v>
      </c>
      <c r="N2139" s="30" t="s">
        <v>122</v>
      </c>
      <c r="O2139" s="30" t="s">
        <v>115</v>
      </c>
      <c r="P2139" s="30" t="s">
        <v>112</v>
      </c>
      <c r="Q2139" s="30" t="s">
        <v>118</v>
      </c>
      <c r="R2139" s="30" t="s">
        <v>187</v>
      </c>
      <c r="S2139" s="81">
        <f>HLOOKUP(L2139,データについて!$J$6:$M$18,13,FALSE)</f>
        <v>1</v>
      </c>
      <c r="T2139" s="81">
        <f>HLOOKUP(M2139,データについて!$J$7:$M$18,12,FALSE)</f>
        <v>2</v>
      </c>
      <c r="U2139" s="81">
        <f>HLOOKUP(N2139,データについて!$J$8:$M$18,11,FALSE)</f>
        <v>3</v>
      </c>
      <c r="V2139" s="81">
        <f>HLOOKUP(O2139,データについて!$J$9:$M$18,10,FALSE)</f>
        <v>1</v>
      </c>
      <c r="W2139" s="81">
        <f>HLOOKUP(P2139,データについて!$J$10:$M$18,9,FALSE)</f>
        <v>1</v>
      </c>
      <c r="X2139" s="81">
        <f>HLOOKUP(Q2139,データについて!$J$11:$M$18,8,FALSE)</f>
        <v>2</v>
      </c>
      <c r="Y2139" s="81">
        <f>HLOOKUP(R2139,データについて!$J$12:$M$18,7,FALSE)</f>
        <v>3</v>
      </c>
      <c r="Z2139" s="81">
        <f>HLOOKUP(I2139,データについて!$J$3:$M$18,16,FALSE)</f>
        <v>1</v>
      </c>
      <c r="AA2139" s="81">
        <f>IFERROR(HLOOKUP(J2139,データについて!$J$4:$AH$19,16,FALSE),"")</f>
        <v>13</v>
      </c>
      <c r="AB2139" s="81" t="str">
        <f>IFERROR(HLOOKUP(K2139,データについて!$J$5:$AH$20,14,FALSE),"")</f>
        <v/>
      </c>
      <c r="AC2139" s="81" t="str">
        <f>IF(X2139=1,HLOOKUP(R2139,データについて!$J$12:$M$18,7,FALSE),"*")</f>
        <v>*</v>
      </c>
      <c r="AD2139" s="81">
        <f>IF(X2139=2,HLOOKUP(R2139,データについて!$J$12:$M$18,7,FALSE),"*")</f>
        <v>3</v>
      </c>
    </row>
    <row r="2140" spans="1:30">
      <c r="A2140" s="30">
        <v>3052</v>
      </c>
      <c r="B2140" s="30" t="s">
        <v>2304</v>
      </c>
      <c r="C2140" s="30" t="s">
        <v>2305</v>
      </c>
      <c r="D2140" s="30" t="s">
        <v>106</v>
      </c>
      <c r="E2140" s="30"/>
      <c r="F2140" s="30" t="s">
        <v>107</v>
      </c>
      <c r="G2140" s="30" t="s">
        <v>106</v>
      </c>
      <c r="H2140" s="30"/>
      <c r="I2140" s="30" t="s">
        <v>192</v>
      </c>
      <c r="J2140" s="30" t="s">
        <v>2256</v>
      </c>
      <c r="K2140" s="30"/>
      <c r="L2140" s="30" t="s">
        <v>117</v>
      </c>
      <c r="M2140" s="30" t="s">
        <v>113</v>
      </c>
      <c r="N2140" s="30" t="s">
        <v>110</v>
      </c>
      <c r="O2140" s="30" t="s">
        <v>115</v>
      </c>
      <c r="P2140" s="30" t="s">
        <v>112</v>
      </c>
      <c r="Q2140" s="30" t="s">
        <v>112</v>
      </c>
      <c r="R2140" s="30" t="s">
        <v>185</v>
      </c>
      <c r="S2140" s="81">
        <f>HLOOKUP(L2140,データについて!$J$6:$M$18,13,FALSE)</f>
        <v>2</v>
      </c>
      <c r="T2140" s="81">
        <f>HLOOKUP(M2140,データについて!$J$7:$M$18,12,FALSE)</f>
        <v>1</v>
      </c>
      <c r="U2140" s="81">
        <f>HLOOKUP(N2140,データについて!$J$8:$M$18,11,FALSE)</f>
        <v>2</v>
      </c>
      <c r="V2140" s="81">
        <f>HLOOKUP(O2140,データについて!$J$9:$M$18,10,FALSE)</f>
        <v>1</v>
      </c>
      <c r="W2140" s="81">
        <f>HLOOKUP(P2140,データについて!$J$10:$M$18,9,FALSE)</f>
        <v>1</v>
      </c>
      <c r="X2140" s="81">
        <f>HLOOKUP(Q2140,データについて!$J$11:$M$18,8,FALSE)</f>
        <v>1</v>
      </c>
      <c r="Y2140" s="81">
        <f>HLOOKUP(R2140,データについて!$J$12:$M$18,7,FALSE)</f>
        <v>2</v>
      </c>
      <c r="Z2140" s="81">
        <f>HLOOKUP(I2140,データについて!$J$3:$M$18,16,FALSE)</f>
        <v>1</v>
      </c>
      <c r="AA2140" s="81">
        <f>IFERROR(HLOOKUP(J2140,データについて!$J$4:$AH$19,16,FALSE),"")</f>
        <v>13</v>
      </c>
      <c r="AB2140" s="81" t="str">
        <f>IFERROR(HLOOKUP(K2140,データについて!$J$5:$AH$20,14,FALSE),"")</f>
        <v/>
      </c>
      <c r="AC2140" s="81">
        <f>IF(X2140=1,HLOOKUP(R2140,データについて!$J$12:$M$18,7,FALSE),"*")</f>
        <v>2</v>
      </c>
      <c r="AD2140" s="81" t="str">
        <f>IF(X2140=2,HLOOKUP(R2140,データについて!$J$12:$M$18,7,FALSE),"*")</f>
        <v>*</v>
      </c>
    </row>
    <row r="2141" spans="1:30">
      <c r="A2141" s="30">
        <v>3051</v>
      </c>
      <c r="B2141" s="30" t="s">
        <v>2306</v>
      </c>
      <c r="C2141" s="30" t="s">
        <v>2307</v>
      </c>
      <c r="D2141" s="30" t="s">
        <v>106</v>
      </c>
      <c r="E2141" s="30"/>
      <c r="F2141" s="30" t="s">
        <v>107</v>
      </c>
      <c r="G2141" s="30" t="s">
        <v>106</v>
      </c>
      <c r="H2141" s="30"/>
      <c r="I2141" s="30" t="s">
        <v>192</v>
      </c>
      <c r="J2141" s="30" t="s">
        <v>2256</v>
      </c>
      <c r="K2141" s="30"/>
      <c r="L2141" s="30" t="s">
        <v>117</v>
      </c>
      <c r="M2141" s="30" t="s">
        <v>109</v>
      </c>
      <c r="N2141" s="30" t="s">
        <v>122</v>
      </c>
      <c r="O2141" s="30" t="s">
        <v>115</v>
      </c>
      <c r="P2141" s="30" t="s">
        <v>112</v>
      </c>
      <c r="Q2141" s="30" t="s">
        <v>112</v>
      </c>
      <c r="R2141" s="30" t="s">
        <v>185</v>
      </c>
      <c r="S2141" s="81">
        <f>HLOOKUP(L2141,データについて!$J$6:$M$18,13,FALSE)</f>
        <v>2</v>
      </c>
      <c r="T2141" s="81">
        <f>HLOOKUP(M2141,データについて!$J$7:$M$18,12,FALSE)</f>
        <v>2</v>
      </c>
      <c r="U2141" s="81">
        <f>HLOOKUP(N2141,データについて!$J$8:$M$18,11,FALSE)</f>
        <v>3</v>
      </c>
      <c r="V2141" s="81">
        <f>HLOOKUP(O2141,データについて!$J$9:$M$18,10,FALSE)</f>
        <v>1</v>
      </c>
      <c r="W2141" s="81">
        <f>HLOOKUP(P2141,データについて!$J$10:$M$18,9,FALSE)</f>
        <v>1</v>
      </c>
      <c r="X2141" s="81">
        <f>HLOOKUP(Q2141,データについて!$J$11:$M$18,8,FALSE)</f>
        <v>1</v>
      </c>
      <c r="Y2141" s="81">
        <f>HLOOKUP(R2141,データについて!$J$12:$M$18,7,FALSE)</f>
        <v>2</v>
      </c>
      <c r="Z2141" s="81">
        <f>HLOOKUP(I2141,データについて!$J$3:$M$18,16,FALSE)</f>
        <v>1</v>
      </c>
      <c r="AA2141" s="81">
        <f>IFERROR(HLOOKUP(J2141,データについて!$J$4:$AH$19,16,FALSE),"")</f>
        <v>13</v>
      </c>
      <c r="AB2141" s="81" t="str">
        <f>IFERROR(HLOOKUP(K2141,データについて!$J$5:$AH$20,14,FALSE),"")</f>
        <v/>
      </c>
      <c r="AC2141" s="81">
        <f>IF(X2141=1,HLOOKUP(R2141,データについて!$J$12:$M$18,7,FALSE),"*")</f>
        <v>2</v>
      </c>
      <c r="AD2141" s="81" t="str">
        <f>IF(X2141=2,HLOOKUP(R2141,データについて!$J$12:$M$18,7,FALSE),"*")</f>
        <v>*</v>
      </c>
    </row>
    <row r="2142" spans="1:30">
      <c r="A2142" s="30">
        <v>3050</v>
      </c>
      <c r="B2142" s="30" t="s">
        <v>2308</v>
      </c>
      <c r="C2142" s="30" t="s">
        <v>2309</v>
      </c>
      <c r="D2142" s="30" t="s">
        <v>106</v>
      </c>
      <c r="E2142" s="30"/>
      <c r="F2142" s="30" t="s">
        <v>107</v>
      </c>
      <c r="G2142" s="30" t="s">
        <v>106</v>
      </c>
      <c r="H2142" s="30"/>
      <c r="I2142" s="30" t="s">
        <v>192</v>
      </c>
      <c r="J2142" s="30" t="s">
        <v>2256</v>
      </c>
      <c r="K2142" s="30"/>
      <c r="L2142" s="30" t="s">
        <v>108</v>
      </c>
      <c r="M2142" s="30" t="s">
        <v>113</v>
      </c>
      <c r="N2142" s="30" t="s">
        <v>114</v>
      </c>
      <c r="O2142" s="30" t="s">
        <v>115</v>
      </c>
      <c r="P2142" s="30" t="s">
        <v>112</v>
      </c>
      <c r="Q2142" s="30" t="s">
        <v>118</v>
      </c>
      <c r="R2142" s="30" t="s">
        <v>187</v>
      </c>
      <c r="S2142" s="81">
        <f>HLOOKUP(L2142,データについて!$J$6:$M$18,13,FALSE)</f>
        <v>1</v>
      </c>
      <c r="T2142" s="81">
        <f>HLOOKUP(M2142,データについて!$J$7:$M$18,12,FALSE)</f>
        <v>1</v>
      </c>
      <c r="U2142" s="81">
        <f>HLOOKUP(N2142,データについて!$J$8:$M$18,11,FALSE)</f>
        <v>1</v>
      </c>
      <c r="V2142" s="81">
        <f>HLOOKUP(O2142,データについて!$J$9:$M$18,10,FALSE)</f>
        <v>1</v>
      </c>
      <c r="W2142" s="81">
        <f>HLOOKUP(P2142,データについて!$J$10:$M$18,9,FALSE)</f>
        <v>1</v>
      </c>
      <c r="X2142" s="81">
        <f>HLOOKUP(Q2142,データについて!$J$11:$M$18,8,FALSE)</f>
        <v>2</v>
      </c>
      <c r="Y2142" s="81">
        <f>HLOOKUP(R2142,データについて!$J$12:$M$18,7,FALSE)</f>
        <v>3</v>
      </c>
      <c r="Z2142" s="81">
        <f>HLOOKUP(I2142,データについて!$J$3:$M$18,16,FALSE)</f>
        <v>1</v>
      </c>
      <c r="AA2142" s="81">
        <f>IFERROR(HLOOKUP(J2142,データについて!$J$4:$AH$19,16,FALSE),"")</f>
        <v>13</v>
      </c>
      <c r="AB2142" s="81" t="str">
        <f>IFERROR(HLOOKUP(K2142,データについて!$J$5:$AH$20,14,FALSE),"")</f>
        <v/>
      </c>
      <c r="AC2142" s="81" t="str">
        <f>IF(X2142=1,HLOOKUP(R2142,データについて!$J$12:$M$18,7,FALSE),"*")</f>
        <v>*</v>
      </c>
      <c r="AD2142" s="81">
        <f>IF(X2142=2,HLOOKUP(R2142,データについて!$J$12:$M$18,7,FALSE),"*")</f>
        <v>3</v>
      </c>
    </row>
    <row r="2143" spans="1:30">
      <c r="A2143" s="30">
        <v>3049</v>
      </c>
      <c r="B2143" s="30" t="s">
        <v>2310</v>
      </c>
      <c r="C2143" s="30" t="s">
        <v>2311</v>
      </c>
      <c r="D2143" s="30" t="s">
        <v>106</v>
      </c>
      <c r="E2143" s="30"/>
      <c r="F2143" s="30" t="s">
        <v>107</v>
      </c>
      <c r="G2143" s="30" t="s">
        <v>106</v>
      </c>
      <c r="H2143" s="30"/>
      <c r="I2143" s="30" t="s">
        <v>192</v>
      </c>
      <c r="J2143" s="30" t="s">
        <v>2256</v>
      </c>
      <c r="K2143" s="30"/>
      <c r="L2143" s="30" t="s">
        <v>117</v>
      </c>
      <c r="M2143" s="30" t="s">
        <v>113</v>
      </c>
      <c r="N2143" s="30" t="s">
        <v>114</v>
      </c>
      <c r="O2143" s="30" t="s">
        <v>115</v>
      </c>
      <c r="P2143" s="30" t="s">
        <v>112</v>
      </c>
      <c r="Q2143" s="30" t="s">
        <v>112</v>
      </c>
      <c r="R2143" s="30" t="s">
        <v>185</v>
      </c>
      <c r="S2143" s="81">
        <f>HLOOKUP(L2143,データについて!$J$6:$M$18,13,FALSE)</f>
        <v>2</v>
      </c>
      <c r="T2143" s="81">
        <f>HLOOKUP(M2143,データについて!$J$7:$M$18,12,FALSE)</f>
        <v>1</v>
      </c>
      <c r="U2143" s="81">
        <f>HLOOKUP(N2143,データについて!$J$8:$M$18,11,FALSE)</f>
        <v>1</v>
      </c>
      <c r="V2143" s="81">
        <f>HLOOKUP(O2143,データについて!$J$9:$M$18,10,FALSE)</f>
        <v>1</v>
      </c>
      <c r="W2143" s="81">
        <f>HLOOKUP(P2143,データについて!$J$10:$M$18,9,FALSE)</f>
        <v>1</v>
      </c>
      <c r="X2143" s="81">
        <f>HLOOKUP(Q2143,データについて!$J$11:$M$18,8,FALSE)</f>
        <v>1</v>
      </c>
      <c r="Y2143" s="81">
        <f>HLOOKUP(R2143,データについて!$J$12:$M$18,7,FALSE)</f>
        <v>2</v>
      </c>
      <c r="Z2143" s="81">
        <f>HLOOKUP(I2143,データについて!$J$3:$M$18,16,FALSE)</f>
        <v>1</v>
      </c>
      <c r="AA2143" s="81">
        <f>IFERROR(HLOOKUP(J2143,データについて!$J$4:$AH$19,16,FALSE),"")</f>
        <v>13</v>
      </c>
      <c r="AB2143" s="81" t="str">
        <f>IFERROR(HLOOKUP(K2143,データについて!$J$5:$AH$20,14,FALSE),"")</f>
        <v/>
      </c>
      <c r="AC2143" s="81">
        <f>IF(X2143=1,HLOOKUP(R2143,データについて!$J$12:$M$18,7,FALSE),"*")</f>
        <v>2</v>
      </c>
      <c r="AD2143" s="81" t="str">
        <f>IF(X2143=2,HLOOKUP(R2143,データについて!$J$12:$M$18,7,FALSE),"*")</f>
        <v>*</v>
      </c>
    </row>
    <row r="2144" spans="1:30">
      <c r="A2144" s="30">
        <v>3048</v>
      </c>
      <c r="B2144" s="30" t="s">
        <v>2312</v>
      </c>
      <c r="C2144" s="30" t="s">
        <v>2313</v>
      </c>
      <c r="D2144" s="30" t="s">
        <v>106</v>
      </c>
      <c r="E2144" s="30"/>
      <c r="F2144" s="30" t="s">
        <v>107</v>
      </c>
      <c r="G2144" s="30" t="s">
        <v>106</v>
      </c>
      <c r="H2144" s="30"/>
      <c r="I2144" s="30" t="s">
        <v>192</v>
      </c>
      <c r="J2144" s="30" t="s">
        <v>2256</v>
      </c>
      <c r="K2144" s="30"/>
      <c r="L2144" s="30" t="s">
        <v>117</v>
      </c>
      <c r="M2144" s="30" t="s">
        <v>113</v>
      </c>
      <c r="N2144" s="30" t="s">
        <v>110</v>
      </c>
      <c r="O2144" s="30" t="s">
        <v>115</v>
      </c>
      <c r="P2144" s="30" t="s">
        <v>112</v>
      </c>
      <c r="Q2144" s="30" t="s">
        <v>112</v>
      </c>
      <c r="R2144" s="30" t="s">
        <v>183</v>
      </c>
      <c r="S2144" s="81">
        <f>HLOOKUP(L2144,データについて!$J$6:$M$18,13,FALSE)</f>
        <v>2</v>
      </c>
      <c r="T2144" s="81">
        <f>HLOOKUP(M2144,データについて!$J$7:$M$18,12,FALSE)</f>
        <v>1</v>
      </c>
      <c r="U2144" s="81">
        <f>HLOOKUP(N2144,データについて!$J$8:$M$18,11,FALSE)</f>
        <v>2</v>
      </c>
      <c r="V2144" s="81">
        <f>HLOOKUP(O2144,データについて!$J$9:$M$18,10,FALSE)</f>
        <v>1</v>
      </c>
      <c r="W2144" s="81">
        <f>HLOOKUP(P2144,データについて!$J$10:$M$18,9,FALSE)</f>
        <v>1</v>
      </c>
      <c r="X2144" s="81">
        <f>HLOOKUP(Q2144,データについて!$J$11:$M$18,8,FALSE)</f>
        <v>1</v>
      </c>
      <c r="Y2144" s="81">
        <f>HLOOKUP(R2144,データについて!$J$12:$M$18,7,FALSE)</f>
        <v>1</v>
      </c>
      <c r="Z2144" s="81">
        <f>HLOOKUP(I2144,データについて!$J$3:$M$18,16,FALSE)</f>
        <v>1</v>
      </c>
      <c r="AA2144" s="81">
        <f>IFERROR(HLOOKUP(J2144,データについて!$J$4:$AH$19,16,FALSE),"")</f>
        <v>13</v>
      </c>
      <c r="AB2144" s="81" t="str">
        <f>IFERROR(HLOOKUP(K2144,データについて!$J$5:$AH$20,14,FALSE),"")</f>
        <v/>
      </c>
      <c r="AC2144" s="81">
        <f>IF(X2144=1,HLOOKUP(R2144,データについて!$J$12:$M$18,7,FALSE),"*")</f>
        <v>1</v>
      </c>
      <c r="AD2144" s="81" t="str">
        <f>IF(X2144=2,HLOOKUP(R2144,データについて!$J$12:$M$18,7,FALSE),"*")</f>
        <v>*</v>
      </c>
    </row>
    <row r="2145" spans="1:30">
      <c r="A2145" s="30">
        <v>3047</v>
      </c>
      <c r="B2145" s="30" t="s">
        <v>2314</v>
      </c>
      <c r="C2145" s="30" t="s">
        <v>2313</v>
      </c>
      <c r="D2145" s="30" t="s">
        <v>106</v>
      </c>
      <c r="E2145" s="30"/>
      <c r="F2145" s="30" t="s">
        <v>107</v>
      </c>
      <c r="G2145" s="30" t="s">
        <v>106</v>
      </c>
      <c r="H2145" s="30"/>
      <c r="I2145" s="30" t="s">
        <v>192</v>
      </c>
      <c r="J2145" s="30" t="s">
        <v>2256</v>
      </c>
      <c r="K2145" s="30"/>
      <c r="L2145" s="30" t="s">
        <v>108</v>
      </c>
      <c r="M2145" s="30" t="s">
        <v>113</v>
      </c>
      <c r="N2145" s="30" t="s">
        <v>110</v>
      </c>
      <c r="O2145" s="30" t="s">
        <v>115</v>
      </c>
      <c r="P2145" s="30" t="s">
        <v>112</v>
      </c>
      <c r="Q2145" s="30" t="s">
        <v>112</v>
      </c>
      <c r="R2145" s="30" t="s">
        <v>183</v>
      </c>
      <c r="S2145" s="81">
        <f>HLOOKUP(L2145,データについて!$J$6:$M$18,13,FALSE)</f>
        <v>1</v>
      </c>
      <c r="T2145" s="81">
        <f>HLOOKUP(M2145,データについて!$J$7:$M$18,12,FALSE)</f>
        <v>1</v>
      </c>
      <c r="U2145" s="81">
        <f>HLOOKUP(N2145,データについて!$J$8:$M$18,11,FALSE)</f>
        <v>2</v>
      </c>
      <c r="V2145" s="81">
        <f>HLOOKUP(O2145,データについて!$J$9:$M$18,10,FALSE)</f>
        <v>1</v>
      </c>
      <c r="W2145" s="81">
        <f>HLOOKUP(P2145,データについて!$J$10:$M$18,9,FALSE)</f>
        <v>1</v>
      </c>
      <c r="X2145" s="81">
        <f>HLOOKUP(Q2145,データについて!$J$11:$M$18,8,FALSE)</f>
        <v>1</v>
      </c>
      <c r="Y2145" s="81">
        <f>HLOOKUP(R2145,データについて!$J$12:$M$18,7,FALSE)</f>
        <v>1</v>
      </c>
      <c r="Z2145" s="81">
        <f>HLOOKUP(I2145,データについて!$J$3:$M$18,16,FALSE)</f>
        <v>1</v>
      </c>
      <c r="AA2145" s="81">
        <f>IFERROR(HLOOKUP(J2145,データについて!$J$4:$AH$19,16,FALSE),"")</f>
        <v>13</v>
      </c>
      <c r="AB2145" s="81" t="str">
        <f>IFERROR(HLOOKUP(K2145,データについて!$J$5:$AH$20,14,FALSE),"")</f>
        <v/>
      </c>
      <c r="AC2145" s="81">
        <f>IF(X2145=1,HLOOKUP(R2145,データについて!$J$12:$M$18,7,FALSE),"*")</f>
        <v>1</v>
      </c>
      <c r="AD2145" s="81" t="str">
        <f>IF(X2145=2,HLOOKUP(R2145,データについて!$J$12:$M$18,7,FALSE),"*")</f>
        <v>*</v>
      </c>
    </row>
    <row r="2146" spans="1:30">
      <c r="A2146" s="30">
        <v>3046</v>
      </c>
      <c r="B2146" s="30" t="s">
        <v>2315</v>
      </c>
      <c r="C2146" s="30" t="s">
        <v>2313</v>
      </c>
      <c r="D2146" s="30" t="s">
        <v>106</v>
      </c>
      <c r="E2146" s="30"/>
      <c r="F2146" s="30" t="s">
        <v>107</v>
      </c>
      <c r="G2146" s="30" t="s">
        <v>106</v>
      </c>
      <c r="H2146" s="30"/>
      <c r="I2146" s="30" t="s">
        <v>192</v>
      </c>
      <c r="J2146" s="30" t="s">
        <v>2256</v>
      </c>
      <c r="K2146" s="30"/>
      <c r="L2146" s="30" t="s">
        <v>108</v>
      </c>
      <c r="M2146" s="30" t="s">
        <v>113</v>
      </c>
      <c r="N2146" s="30" t="s">
        <v>114</v>
      </c>
      <c r="O2146" s="30" t="s">
        <v>115</v>
      </c>
      <c r="P2146" s="30" t="s">
        <v>112</v>
      </c>
      <c r="Q2146" s="30" t="s">
        <v>112</v>
      </c>
      <c r="R2146" s="30" t="s">
        <v>183</v>
      </c>
      <c r="S2146" s="81">
        <f>HLOOKUP(L2146,データについて!$J$6:$M$18,13,FALSE)</f>
        <v>1</v>
      </c>
      <c r="T2146" s="81">
        <f>HLOOKUP(M2146,データについて!$J$7:$M$18,12,FALSE)</f>
        <v>1</v>
      </c>
      <c r="U2146" s="81">
        <f>HLOOKUP(N2146,データについて!$J$8:$M$18,11,FALSE)</f>
        <v>1</v>
      </c>
      <c r="V2146" s="81">
        <f>HLOOKUP(O2146,データについて!$J$9:$M$18,10,FALSE)</f>
        <v>1</v>
      </c>
      <c r="W2146" s="81">
        <f>HLOOKUP(P2146,データについて!$J$10:$M$18,9,FALSE)</f>
        <v>1</v>
      </c>
      <c r="X2146" s="81">
        <f>HLOOKUP(Q2146,データについて!$J$11:$M$18,8,FALSE)</f>
        <v>1</v>
      </c>
      <c r="Y2146" s="81">
        <f>HLOOKUP(R2146,データについて!$J$12:$M$18,7,FALSE)</f>
        <v>1</v>
      </c>
      <c r="Z2146" s="81">
        <f>HLOOKUP(I2146,データについて!$J$3:$M$18,16,FALSE)</f>
        <v>1</v>
      </c>
      <c r="AA2146" s="81">
        <f>IFERROR(HLOOKUP(J2146,データについて!$J$4:$AH$19,16,FALSE),"")</f>
        <v>13</v>
      </c>
      <c r="AB2146" s="81" t="str">
        <f>IFERROR(HLOOKUP(K2146,データについて!$J$5:$AH$20,14,FALSE),"")</f>
        <v/>
      </c>
      <c r="AC2146" s="81">
        <f>IF(X2146=1,HLOOKUP(R2146,データについて!$J$12:$M$18,7,FALSE),"*")</f>
        <v>1</v>
      </c>
      <c r="AD2146" s="81" t="str">
        <f>IF(X2146=2,HLOOKUP(R2146,データについて!$J$12:$M$18,7,FALSE),"*")</f>
        <v>*</v>
      </c>
    </row>
    <row r="2147" spans="1:30">
      <c r="A2147" s="30">
        <v>3045</v>
      </c>
      <c r="B2147" s="30" t="s">
        <v>2316</v>
      </c>
      <c r="C2147" s="30" t="s">
        <v>2317</v>
      </c>
      <c r="D2147" s="30" t="s">
        <v>106</v>
      </c>
      <c r="E2147" s="30"/>
      <c r="F2147" s="30" t="s">
        <v>107</v>
      </c>
      <c r="G2147" s="30" t="s">
        <v>106</v>
      </c>
      <c r="H2147" s="30"/>
      <c r="I2147" s="30" t="s">
        <v>192</v>
      </c>
      <c r="J2147" s="30" t="s">
        <v>2256</v>
      </c>
      <c r="K2147" s="30"/>
      <c r="L2147" s="30" t="s">
        <v>108</v>
      </c>
      <c r="M2147" s="30" t="s">
        <v>113</v>
      </c>
      <c r="N2147" s="30" t="s">
        <v>114</v>
      </c>
      <c r="O2147" s="30" t="s">
        <v>115</v>
      </c>
      <c r="P2147" s="30" t="s">
        <v>112</v>
      </c>
      <c r="Q2147" s="30" t="s">
        <v>112</v>
      </c>
      <c r="R2147" s="30" t="s">
        <v>185</v>
      </c>
      <c r="S2147" s="81">
        <f>HLOOKUP(L2147,データについて!$J$6:$M$18,13,FALSE)</f>
        <v>1</v>
      </c>
      <c r="T2147" s="81">
        <f>HLOOKUP(M2147,データについて!$J$7:$M$18,12,FALSE)</f>
        <v>1</v>
      </c>
      <c r="U2147" s="81">
        <f>HLOOKUP(N2147,データについて!$J$8:$M$18,11,FALSE)</f>
        <v>1</v>
      </c>
      <c r="V2147" s="81">
        <f>HLOOKUP(O2147,データについて!$J$9:$M$18,10,FALSE)</f>
        <v>1</v>
      </c>
      <c r="W2147" s="81">
        <f>HLOOKUP(P2147,データについて!$J$10:$M$18,9,FALSE)</f>
        <v>1</v>
      </c>
      <c r="X2147" s="81">
        <f>HLOOKUP(Q2147,データについて!$J$11:$M$18,8,FALSE)</f>
        <v>1</v>
      </c>
      <c r="Y2147" s="81">
        <f>HLOOKUP(R2147,データについて!$J$12:$M$18,7,FALSE)</f>
        <v>2</v>
      </c>
      <c r="Z2147" s="81">
        <f>HLOOKUP(I2147,データについて!$J$3:$M$18,16,FALSE)</f>
        <v>1</v>
      </c>
      <c r="AA2147" s="81">
        <f>IFERROR(HLOOKUP(J2147,データについて!$J$4:$AH$19,16,FALSE),"")</f>
        <v>13</v>
      </c>
      <c r="AB2147" s="81" t="str">
        <f>IFERROR(HLOOKUP(K2147,データについて!$J$5:$AH$20,14,FALSE),"")</f>
        <v/>
      </c>
      <c r="AC2147" s="81">
        <f>IF(X2147=1,HLOOKUP(R2147,データについて!$J$12:$M$18,7,FALSE),"*")</f>
        <v>2</v>
      </c>
      <c r="AD2147" s="81" t="str">
        <f>IF(X2147=2,HLOOKUP(R2147,データについて!$J$12:$M$18,7,FALSE),"*")</f>
        <v>*</v>
      </c>
    </row>
    <row r="2148" spans="1:30">
      <c r="A2148" s="30">
        <v>3044</v>
      </c>
      <c r="B2148" s="30" t="s">
        <v>2318</v>
      </c>
      <c r="C2148" s="30" t="s">
        <v>2319</v>
      </c>
      <c r="D2148" s="30" t="s">
        <v>106</v>
      </c>
      <c r="E2148" s="30"/>
      <c r="F2148" s="30" t="s">
        <v>107</v>
      </c>
      <c r="G2148" s="30" t="s">
        <v>106</v>
      </c>
      <c r="H2148" s="30"/>
      <c r="I2148" s="30" t="s">
        <v>192</v>
      </c>
      <c r="J2148" s="30" t="s">
        <v>2256</v>
      </c>
      <c r="K2148" s="30"/>
      <c r="L2148" s="30" t="s">
        <v>117</v>
      </c>
      <c r="M2148" s="30" t="s">
        <v>113</v>
      </c>
      <c r="N2148" s="30" t="s">
        <v>114</v>
      </c>
      <c r="O2148" s="30" t="s">
        <v>115</v>
      </c>
      <c r="P2148" s="30" t="s">
        <v>112</v>
      </c>
      <c r="Q2148" s="30" t="s">
        <v>112</v>
      </c>
      <c r="R2148" s="30" t="s">
        <v>185</v>
      </c>
      <c r="S2148" s="81">
        <f>HLOOKUP(L2148,データについて!$J$6:$M$18,13,FALSE)</f>
        <v>2</v>
      </c>
      <c r="T2148" s="81">
        <f>HLOOKUP(M2148,データについて!$J$7:$M$18,12,FALSE)</f>
        <v>1</v>
      </c>
      <c r="U2148" s="81">
        <f>HLOOKUP(N2148,データについて!$J$8:$M$18,11,FALSE)</f>
        <v>1</v>
      </c>
      <c r="V2148" s="81">
        <f>HLOOKUP(O2148,データについて!$J$9:$M$18,10,FALSE)</f>
        <v>1</v>
      </c>
      <c r="W2148" s="81">
        <f>HLOOKUP(P2148,データについて!$J$10:$M$18,9,FALSE)</f>
        <v>1</v>
      </c>
      <c r="X2148" s="81">
        <f>HLOOKUP(Q2148,データについて!$J$11:$M$18,8,FALSE)</f>
        <v>1</v>
      </c>
      <c r="Y2148" s="81">
        <f>HLOOKUP(R2148,データについて!$J$12:$M$18,7,FALSE)</f>
        <v>2</v>
      </c>
      <c r="Z2148" s="81">
        <f>HLOOKUP(I2148,データについて!$J$3:$M$18,16,FALSE)</f>
        <v>1</v>
      </c>
      <c r="AA2148" s="81">
        <f>IFERROR(HLOOKUP(J2148,データについて!$J$4:$AH$19,16,FALSE),"")</f>
        <v>13</v>
      </c>
      <c r="AB2148" s="81" t="str">
        <f>IFERROR(HLOOKUP(K2148,データについて!$J$5:$AH$20,14,FALSE),"")</f>
        <v/>
      </c>
      <c r="AC2148" s="81">
        <f>IF(X2148=1,HLOOKUP(R2148,データについて!$J$12:$M$18,7,FALSE),"*")</f>
        <v>2</v>
      </c>
      <c r="AD2148" s="81" t="str">
        <f>IF(X2148=2,HLOOKUP(R2148,データについて!$J$12:$M$18,7,FALSE),"*")</f>
        <v>*</v>
      </c>
    </row>
    <row r="2149" spans="1:30">
      <c r="A2149" s="30">
        <v>3043</v>
      </c>
      <c r="B2149" s="30" t="s">
        <v>2320</v>
      </c>
      <c r="C2149" s="30" t="s">
        <v>2319</v>
      </c>
      <c r="D2149" s="30" t="s">
        <v>106</v>
      </c>
      <c r="E2149" s="30"/>
      <c r="F2149" s="30" t="s">
        <v>107</v>
      </c>
      <c r="G2149" s="30" t="s">
        <v>106</v>
      </c>
      <c r="H2149" s="30"/>
      <c r="I2149" s="30" t="s">
        <v>192</v>
      </c>
      <c r="J2149" s="30" t="s">
        <v>2256</v>
      </c>
      <c r="K2149" s="30"/>
      <c r="L2149" s="30" t="s">
        <v>108</v>
      </c>
      <c r="M2149" s="30" t="s">
        <v>113</v>
      </c>
      <c r="N2149" s="30" t="s">
        <v>110</v>
      </c>
      <c r="O2149" s="30" t="s">
        <v>115</v>
      </c>
      <c r="P2149" s="30" t="s">
        <v>112</v>
      </c>
      <c r="Q2149" s="30" t="s">
        <v>112</v>
      </c>
      <c r="R2149" s="30" t="s">
        <v>183</v>
      </c>
      <c r="S2149" s="81">
        <f>HLOOKUP(L2149,データについて!$J$6:$M$18,13,FALSE)</f>
        <v>1</v>
      </c>
      <c r="T2149" s="81">
        <f>HLOOKUP(M2149,データについて!$J$7:$M$18,12,FALSE)</f>
        <v>1</v>
      </c>
      <c r="U2149" s="81">
        <f>HLOOKUP(N2149,データについて!$J$8:$M$18,11,FALSE)</f>
        <v>2</v>
      </c>
      <c r="V2149" s="81">
        <f>HLOOKUP(O2149,データについて!$J$9:$M$18,10,FALSE)</f>
        <v>1</v>
      </c>
      <c r="W2149" s="81">
        <f>HLOOKUP(P2149,データについて!$J$10:$M$18,9,FALSE)</f>
        <v>1</v>
      </c>
      <c r="X2149" s="81">
        <f>HLOOKUP(Q2149,データについて!$J$11:$M$18,8,FALSE)</f>
        <v>1</v>
      </c>
      <c r="Y2149" s="81">
        <f>HLOOKUP(R2149,データについて!$J$12:$M$18,7,FALSE)</f>
        <v>1</v>
      </c>
      <c r="Z2149" s="81">
        <f>HLOOKUP(I2149,データについて!$J$3:$M$18,16,FALSE)</f>
        <v>1</v>
      </c>
      <c r="AA2149" s="81">
        <f>IFERROR(HLOOKUP(J2149,データについて!$J$4:$AH$19,16,FALSE),"")</f>
        <v>13</v>
      </c>
      <c r="AB2149" s="81" t="str">
        <f>IFERROR(HLOOKUP(K2149,データについて!$J$5:$AH$20,14,FALSE),"")</f>
        <v/>
      </c>
      <c r="AC2149" s="81">
        <f>IF(X2149=1,HLOOKUP(R2149,データについて!$J$12:$M$18,7,FALSE),"*")</f>
        <v>1</v>
      </c>
      <c r="AD2149" s="81" t="str">
        <f>IF(X2149=2,HLOOKUP(R2149,データについて!$J$12:$M$18,7,FALSE),"*")</f>
        <v>*</v>
      </c>
    </row>
    <row r="2150" spans="1:30">
      <c r="A2150" s="30">
        <v>3042</v>
      </c>
      <c r="B2150" s="30" t="s">
        <v>2321</v>
      </c>
      <c r="C2150" s="30" t="s">
        <v>2322</v>
      </c>
      <c r="D2150" s="30" t="s">
        <v>106</v>
      </c>
      <c r="E2150" s="30"/>
      <c r="F2150" s="30" t="s">
        <v>107</v>
      </c>
      <c r="G2150" s="30" t="s">
        <v>106</v>
      </c>
      <c r="H2150" s="30"/>
      <c r="I2150" s="30" t="s">
        <v>192</v>
      </c>
      <c r="J2150" s="30" t="s">
        <v>2256</v>
      </c>
      <c r="K2150" s="30"/>
      <c r="L2150" s="30" t="s">
        <v>108</v>
      </c>
      <c r="M2150" s="30" t="s">
        <v>113</v>
      </c>
      <c r="N2150" s="30" t="s">
        <v>114</v>
      </c>
      <c r="O2150" s="30" t="s">
        <v>115</v>
      </c>
      <c r="P2150" s="30" t="s">
        <v>112</v>
      </c>
      <c r="Q2150" s="30" t="s">
        <v>112</v>
      </c>
      <c r="R2150" s="30" t="s">
        <v>183</v>
      </c>
      <c r="S2150" s="81">
        <f>HLOOKUP(L2150,データについて!$J$6:$M$18,13,FALSE)</f>
        <v>1</v>
      </c>
      <c r="T2150" s="81">
        <f>HLOOKUP(M2150,データについて!$J$7:$M$18,12,FALSE)</f>
        <v>1</v>
      </c>
      <c r="U2150" s="81">
        <f>HLOOKUP(N2150,データについて!$J$8:$M$18,11,FALSE)</f>
        <v>1</v>
      </c>
      <c r="V2150" s="81">
        <f>HLOOKUP(O2150,データについて!$J$9:$M$18,10,FALSE)</f>
        <v>1</v>
      </c>
      <c r="W2150" s="81">
        <f>HLOOKUP(P2150,データについて!$J$10:$M$18,9,FALSE)</f>
        <v>1</v>
      </c>
      <c r="X2150" s="81">
        <f>HLOOKUP(Q2150,データについて!$J$11:$M$18,8,FALSE)</f>
        <v>1</v>
      </c>
      <c r="Y2150" s="81">
        <f>HLOOKUP(R2150,データについて!$J$12:$M$18,7,FALSE)</f>
        <v>1</v>
      </c>
      <c r="Z2150" s="81">
        <f>HLOOKUP(I2150,データについて!$J$3:$M$18,16,FALSE)</f>
        <v>1</v>
      </c>
      <c r="AA2150" s="81">
        <f>IFERROR(HLOOKUP(J2150,データについて!$J$4:$AH$19,16,FALSE),"")</f>
        <v>13</v>
      </c>
      <c r="AB2150" s="81" t="str">
        <f>IFERROR(HLOOKUP(K2150,データについて!$J$5:$AH$20,14,FALSE),"")</f>
        <v/>
      </c>
      <c r="AC2150" s="81">
        <f>IF(X2150=1,HLOOKUP(R2150,データについて!$J$12:$M$18,7,FALSE),"*")</f>
        <v>1</v>
      </c>
      <c r="AD2150" s="81" t="str">
        <f>IF(X2150=2,HLOOKUP(R2150,データについて!$J$12:$M$18,7,FALSE),"*")</f>
        <v>*</v>
      </c>
    </row>
    <row r="2151" spans="1:30">
      <c r="A2151" s="30">
        <v>3041</v>
      </c>
      <c r="B2151" s="30" t="s">
        <v>2323</v>
      </c>
      <c r="C2151" s="30" t="s">
        <v>2324</v>
      </c>
      <c r="D2151" s="30" t="s">
        <v>106</v>
      </c>
      <c r="E2151" s="30"/>
      <c r="F2151" s="30" t="s">
        <v>107</v>
      </c>
      <c r="G2151" s="30" t="s">
        <v>106</v>
      </c>
      <c r="H2151" s="30"/>
      <c r="I2151" s="30" t="s">
        <v>192</v>
      </c>
      <c r="J2151" s="30" t="s">
        <v>2256</v>
      </c>
      <c r="K2151" s="30"/>
      <c r="L2151" s="30" t="s">
        <v>108</v>
      </c>
      <c r="M2151" s="30" t="s">
        <v>113</v>
      </c>
      <c r="N2151" s="30" t="s">
        <v>114</v>
      </c>
      <c r="O2151" s="30" t="s">
        <v>115</v>
      </c>
      <c r="P2151" s="30" t="s">
        <v>112</v>
      </c>
      <c r="Q2151" s="30" t="s">
        <v>112</v>
      </c>
      <c r="R2151" s="30" t="s">
        <v>185</v>
      </c>
      <c r="S2151" s="81">
        <f>HLOOKUP(L2151,データについて!$J$6:$M$18,13,FALSE)</f>
        <v>1</v>
      </c>
      <c r="T2151" s="81">
        <f>HLOOKUP(M2151,データについて!$J$7:$M$18,12,FALSE)</f>
        <v>1</v>
      </c>
      <c r="U2151" s="81">
        <f>HLOOKUP(N2151,データについて!$J$8:$M$18,11,FALSE)</f>
        <v>1</v>
      </c>
      <c r="V2151" s="81">
        <f>HLOOKUP(O2151,データについて!$J$9:$M$18,10,FALSE)</f>
        <v>1</v>
      </c>
      <c r="W2151" s="81">
        <f>HLOOKUP(P2151,データについて!$J$10:$M$18,9,FALSE)</f>
        <v>1</v>
      </c>
      <c r="X2151" s="81">
        <f>HLOOKUP(Q2151,データについて!$J$11:$M$18,8,FALSE)</f>
        <v>1</v>
      </c>
      <c r="Y2151" s="81">
        <f>HLOOKUP(R2151,データについて!$J$12:$M$18,7,FALSE)</f>
        <v>2</v>
      </c>
      <c r="Z2151" s="81">
        <f>HLOOKUP(I2151,データについて!$J$3:$M$18,16,FALSE)</f>
        <v>1</v>
      </c>
      <c r="AA2151" s="81">
        <f>IFERROR(HLOOKUP(J2151,データについて!$J$4:$AH$19,16,FALSE),"")</f>
        <v>13</v>
      </c>
      <c r="AB2151" s="81" t="str">
        <f>IFERROR(HLOOKUP(K2151,データについて!$J$5:$AH$20,14,FALSE),"")</f>
        <v/>
      </c>
      <c r="AC2151" s="81">
        <f>IF(X2151=1,HLOOKUP(R2151,データについて!$J$12:$M$18,7,FALSE),"*")</f>
        <v>2</v>
      </c>
      <c r="AD2151" s="81" t="str">
        <f>IF(X2151=2,HLOOKUP(R2151,データについて!$J$12:$M$18,7,FALSE),"*")</f>
        <v>*</v>
      </c>
    </row>
    <row r="2152" spans="1:30">
      <c r="A2152" s="30">
        <v>3040</v>
      </c>
      <c r="B2152" s="30" t="s">
        <v>2325</v>
      </c>
      <c r="C2152" s="30" t="s">
        <v>2326</v>
      </c>
      <c r="D2152" s="30" t="s">
        <v>106</v>
      </c>
      <c r="E2152" s="30"/>
      <c r="F2152" s="30" t="s">
        <v>107</v>
      </c>
      <c r="G2152" s="30" t="s">
        <v>106</v>
      </c>
      <c r="H2152" s="30"/>
      <c r="I2152" s="30" t="s">
        <v>192</v>
      </c>
      <c r="J2152" s="30" t="s">
        <v>2256</v>
      </c>
      <c r="K2152" s="30"/>
      <c r="L2152" s="30" t="s">
        <v>117</v>
      </c>
      <c r="M2152" s="30" t="s">
        <v>113</v>
      </c>
      <c r="N2152" s="30" t="s">
        <v>114</v>
      </c>
      <c r="O2152" s="30" t="s">
        <v>115</v>
      </c>
      <c r="P2152" s="30" t="s">
        <v>112</v>
      </c>
      <c r="Q2152" s="30" t="s">
        <v>112</v>
      </c>
      <c r="R2152" s="30" t="s">
        <v>183</v>
      </c>
      <c r="S2152" s="81">
        <f>HLOOKUP(L2152,データについて!$J$6:$M$18,13,FALSE)</f>
        <v>2</v>
      </c>
      <c r="T2152" s="81">
        <f>HLOOKUP(M2152,データについて!$J$7:$M$18,12,FALSE)</f>
        <v>1</v>
      </c>
      <c r="U2152" s="81">
        <f>HLOOKUP(N2152,データについて!$J$8:$M$18,11,FALSE)</f>
        <v>1</v>
      </c>
      <c r="V2152" s="81">
        <f>HLOOKUP(O2152,データについて!$J$9:$M$18,10,FALSE)</f>
        <v>1</v>
      </c>
      <c r="W2152" s="81">
        <f>HLOOKUP(P2152,データについて!$J$10:$M$18,9,FALSE)</f>
        <v>1</v>
      </c>
      <c r="X2152" s="81">
        <f>HLOOKUP(Q2152,データについて!$J$11:$M$18,8,FALSE)</f>
        <v>1</v>
      </c>
      <c r="Y2152" s="81">
        <f>HLOOKUP(R2152,データについて!$J$12:$M$18,7,FALSE)</f>
        <v>1</v>
      </c>
      <c r="Z2152" s="81">
        <f>HLOOKUP(I2152,データについて!$J$3:$M$18,16,FALSE)</f>
        <v>1</v>
      </c>
      <c r="AA2152" s="81">
        <f>IFERROR(HLOOKUP(J2152,データについて!$J$4:$AH$19,16,FALSE),"")</f>
        <v>13</v>
      </c>
      <c r="AB2152" s="81" t="str">
        <f>IFERROR(HLOOKUP(K2152,データについて!$J$5:$AH$20,14,FALSE),"")</f>
        <v/>
      </c>
      <c r="AC2152" s="81">
        <f>IF(X2152=1,HLOOKUP(R2152,データについて!$J$12:$M$18,7,FALSE),"*")</f>
        <v>1</v>
      </c>
      <c r="AD2152" s="81" t="str">
        <f>IF(X2152=2,HLOOKUP(R2152,データについて!$J$12:$M$18,7,FALSE),"*")</f>
        <v>*</v>
      </c>
    </row>
    <row r="2153" spans="1:30">
      <c r="A2153" s="30">
        <v>3039</v>
      </c>
      <c r="B2153" s="30" t="s">
        <v>2327</v>
      </c>
      <c r="C2153" s="30" t="s">
        <v>2328</v>
      </c>
      <c r="D2153" s="30" t="s">
        <v>106</v>
      </c>
      <c r="E2153" s="30"/>
      <c r="F2153" s="30" t="s">
        <v>107</v>
      </c>
      <c r="G2153" s="30" t="s">
        <v>106</v>
      </c>
      <c r="H2153" s="30"/>
      <c r="I2153" s="30" t="s">
        <v>192</v>
      </c>
      <c r="J2153" s="30" t="s">
        <v>1415</v>
      </c>
      <c r="K2153" s="30"/>
      <c r="L2153" s="30" t="s">
        <v>117</v>
      </c>
      <c r="M2153" s="30" t="s">
        <v>124</v>
      </c>
      <c r="N2153" s="30" t="s">
        <v>110</v>
      </c>
      <c r="O2153" s="30" t="s">
        <v>115</v>
      </c>
      <c r="P2153" s="30" t="s">
        <v>112</v>
      </c>
      <c r="Q2153" s="30" t="s">
        <v>112</v>
      </c>
      <c r="R2153" s="30" t="s">
        <v>187</v>
      </c>
      <c r="S2153" s="81">
        <f>HLOOKUP(L2153,データについて!$J$6:$M$18,13,FALSE)</f>
        <v>2</v>
      </c>
      <c r="T2153" s="81">
        <f>HLOOKUP(M2153,データについて!$J$7:$M$18,12,FALSE)</f>
        <v>3</v>
      </c>
      <c r="U2153" s="81">
        <f>HLOOKUP(N2153,データについて!$J$8:$M$18,11,FALSE)</f>
        <v>2</v>
      </c>
      <c r="V2153" s="81">
        <f>HLOOKUP(O2153,データについて!$J$9:$M$18,10,FALSE)</f>
        <v>1</v>
      </c>
      <c r="W2153" s="81">
        <f>HLOOKUP(P2153,データについて!$J$10:$M$18,9,FALSE)</f>
        <v>1</v>
      </c>
      <c r="X2153" s="81">
        <f>HLOOKUP(Q2153,データについて!$J$11:$M$18,8,FALSE)</f>
        <v>1</v>
      </c>
      <c r="Y2153" s="81">
        <f>HLOOKUP(R2153,データについて!$J$12:$M$18,7,FALSE)</f>
        <v>3</v>
      </c>
      <c r="Z2153" s="81">
        <f>HLOOKUP(I2153,データについて!$J$3:$M$18,16,FALSE)</f>
        <v>1</v>
      </c>
      <c r="AA2153" s="81">
        <f>IFERROR(HLOOKUP(J2153,データについて!$J$4:$AH$19,16,FALSE),"")</f>
        <v>5</v>
      </c>
      <c r="AB2153" s="81" t="str">
        <f>IFERROR(HLOOKUP(K2153,データについて!$J$5:$AH$20,14,FALSE),"")</f>
        <v/>
      </c>
      <c r="AC2153" s="81">
        <f>IF(X2153=1,HLOOKUP(R2153,データについて!$J$12:$M$18,7,FALSE),"*")</f>
        <v>3</v>
      </c>
      <c r="AD2153" s="81" t="str">
        <f>IF(X2153=2,HLOOKUP(R2153,データについて!$J$12:$M$18,7,FALSE),"*")</f>
        <v>*</v>
      </c>
    </row>
    <row r="2154" spans="1:30">
      <c r="A2154" s="30">
        <v>3038</v>
      </c>
      <c r="B2154" s="30" t="s">
        <v>2329</v>
      </c>
      <c r="C2154" s="30" t="s">
        <v>2330</v>
      </c>
      <c r="D2154" s="30" t="s">
        <v>106</v>
      </c>
      <c r="E2154" s="30"/>
      <c r="F2154" s="30" t="s">
        <v>107</v>
      </c>
      <c r="G2154" s="30" t="s">
        <v>106</v>
      </c>
      <c r="H2154" s="30"/>
      <c r="I2154" s="30" t="s">
        <v>192</v>
      </c>
      <c r="J2154" s="30" t="s">
        <v>1415</v>
      </c>
      <c r="K2154" s="30"/>
      <c r="L2154" s="30" t="s">
        <v>108</v>
      </c>
      <c r="M2154" s="30" t="s">
        <v>109</v>
      </c>
      <c r="N2154" s="30" t="s">
        <v>110</v>
      </c>
      <c r="O2154" s="30" t="s">
        <v>115</v>
      </c>
      <c r="P2154" s="30" t="s">
        <v>112</v>
      </c>
      <c r="Q2154" s="30" t="s">
        <v>118</v>
      </c>
      <c r="R2154" s="30" t="s">
        <v>187</v>
      </c>
      <c r="S2154" s="81">
        <f>HLOOKUP(L2154,データについて!$J$6:$M$18,13,FALSE)</f>
        <v>1</v>
      </c>
      <c r="T2154" s="81">
        <f>HLOOKUP(M2154,データについて!$J$7:$M$18,12,FALSE)</f>
        <v>2</v>
      </c>
      <c r="U2154" s="81">
        <f>HLOOKUP(N2154,データについて!$J$8:$M$18,11,FALSE)</f>
        <v>2</v>
      </c>
      <c r="V2154" s="81">
        <f>HLOOKUP(O2154,データについて!$J$9:$M$18,10,FALSE)</f>
        <v>1</v>
      </c>
      <c r="W2154" s="81">
        <f>HLOOKUP(P2154,データについて!$J$10:$M$18,9,FALSE)</f>
        <v>1</v>
      </c>
      <c r="X2154" s="81">
        <f>HLOOKUP(Q2154,データについて!$J$11:$M$18,8,FALSE)</f>
        <v>2</v>
      </c>
      <c r="Y2154" s="81">
        <f>HLOOKUP(R2154,データについて!$J$12:$M$18,7,FALSE)</f>
        <v>3</v>
      </c>
      <c r="Z2154" s="81">
        <f>HLOOKUP(I2154,データについて!$J$3:$M$18,16,FALSE)</f>
        <v>1</v>
      </c>
      <c r="AA2154" s="81">
        <f>IFERROR(HLOOKUP(J2154,データについて!$J$4:$AH$19,16,FALSE),"")</f>
        <v>5</v>
      </c>
      <c r="AB2154" s="81" t="str">
        <f>IFERROR(HLOOKUP(K2154,データについて!$J$5:$AH$20,14,FALSE),"")</f>
        <v/>
      </c>
      <c r="AC2154" s="81" t="str">
        <f>IF(X2154=1,HLOOKUP(R2154,データについて!$J$12:$M$18,7,FALSE),"*")</f>
        <v>*</v>
      </c>
      <c r="AD2154" s="81">
        <f>IF(X2154=2,HLOOKUP(R2154,データについて!$J$12:$M$18,7,FALSE),"*")</f>
        <v>3</v>
      </c>
    </row>
    <row r="2155" spans="1:30">
      <c r="A2155" s="30">
        <v>3037</v>
      </c>
      <c r="B2155" s="30" t="s">
        <v>2331</v>
      </c>
      <c r="C2155" s="30" t="s">
        <v>2332</v>
      </c>
      <c r="D2155" s="30" t="s">
        <v>106</v>
      </c>
      <c r="E2155" s="30"/>
      <c r="F2155" s="30" t="s">
        <v>107</v>
      </c>
      <c r="G2155" s="30" t="s">
        <v>106</v>
      </c>
      <c r="H2155" s="30"/>
      <c r="I2155" s="30" t="s">
        <v>192</v>
      </c>
      <c r="J2155" s="30" t="s">
        <v>1415</v>
      </c>
      <c r="K2155" s="30"/>
      <c r="L2155" s="30" t="s">
        <v>108</v>
      </c>
      <c r="M2155" s="30" t="s">
        <v>109</v>
      </c>
      <c r="N2155" s="30" t="s">
        <v>114</v>
      </c>
      <c r="O2155" s="30" t="s">
        <v>115</v>
      </c>
      <c r="P2155" s="30" t="s">
        <v>112</v>
      </c>
      <c r="Q2155" s="30" t="s">
        <v>112</v>
      </c>
      <c r="R2155" s="30" t="s">
        <v>187</v>
      </c>
      <c r="S2155" s="81">
        <f>HLOOKUP(L2155,データについて!$J$6:$M$18,13,FALSE)</f>
        <v>1</v>
      </c>
      <c r="T2155" s="81">
        <f>HLOOKUP(M2155,データについて!$J$7:$M$18,12,FALSE)</f>
        <v>2</v>
      </c>
      <c r="U2155" s="81">
        <f>HLOOKUP(N2155,データについて!$J$8:$M$18,11,FALSE)</f>
        <v>1</v>
      </c>
      <c r="V2155" s="81">
        <f>HLOOKUP(O2155,データについて!$J$9:$M$18,10,FALSE)</f>
        <v>1</v>
      </c>
      <c r="W2155" s="81">
        <f>HLOOKUP(P2155,データについて!$J$10:$M$18,9,FALSE)</f>
        <v>1</v>
      </c>
      <c r="X2155" s="81">
        <f>HLOOKUP(Q2155,データについて!$J$11:$M$18,8,FALSE)</f>
        <v>1</v>
      </c>
      <c r="Y2155" s="81">
        <f>HLOOKUP(R2155,データについて!$J$12:$M$18,7,FALSE)</f>
        <v>3</v>
      </c>
      <c r="Z2155" s="81">
        <f>HLOOKUP(I2155,データについて!$J$3:$M$18,16,FALSE)</f>
        <v>1</v>
      </c>
      <c r="AA2155" s="81">
        <f>IFERROR(HLOOKUP(J2155,データについて!$J$4:$AH$19,16,FALSE),"")</f>
        <v>5</v>
      </c>
      <c r="AB2155" s="81" t="str">
        <f>IFERROR(HLOOKUP(K2155,データについて!$J$5:$AH$20,14,FALSE),"")</f>
        <v/>
      </c>
      <c r="AC2155" s="81">
        <f>IF(X2155=1,HLOOKUP(R2155,データについて!$J$12:$M$18,7,FALSE),"*")</f>
        <v>3</v>
      </c>
      <c r="AD2155" s="81" t="str">
        <f>IF(X2155=2,HLOOKUP(R2155,データについて!$J$12:$M$18,7,FALSE),"*")</f>
        <v>*</v>
      </c>
    </row>
    <row r="2156" spans="1:30">
      <c r="A2156" s="30">
        <v>3036</v>
      </c>
      <c r="B2156" s="30" t="s">
        <v>2333</v>
      </c>
      <c r="C2156" s="30" t="s">
        <v>2334</v>
      </c>
      <c r="D2156" s="30" t="s">
        <v>106</v>
      </c>
      <c r="E2156" s="30"/>
      <c r="F2156" s="30" t="s">
        <v>107</v>
      </c>
      <c r="G2156" s="30" t="s">
        <v>106</v>
      </c>
      <c r="H2156" s="30"/>
      <c r="I2156" s="30" t="s">
        <v>192</v>
      </c>
      <c r="J2156" s="30" t="s">
        <v>1415</v>
      </c>
      <c r="K2156" s="30"/>
      <c r="L2156" s="30" t="s">
        <v>108</v>
      </c>
      <c r="M2156" s="30" t="s">
        <v>113</v>
      </c>
      <c r="N2156" s="30" t="s">
        <v>114</v>
      </c>
      <c r="O2156" s="30" t="s">
        <v>115</v>
      </c>
      <c r="P2156" s="30" t="s">
        <v>112</v>
      </c>
      <c r="Q2156" s="30" t="s">
        <v>112</v>
      </c>
      <c r="R2156" s="30" t="s">
        <v>183</v>
      </c>
      <c r="S2156" s="81">
        <f>HLOOKUP(L2156,データについて!$J$6:$M$18,13,FALSE)</f>
        <v>1</v>
      </c>
      <c r="T2156" s="81">
        <f>HLOOKUP(M2156,データについて!$J$7:$M$18,12,FALSE)</f>
        <v>1</v>
      </c>
      <c r="U2156" s="81">
        <f>HLOOKUP(N2156,データについて!$J$8:$M$18,11,FALSE)</f>
        <v>1</v>
      </c>
      <c r="V2156" s="81">
        <f>HLOOKUP(O2156,データについて!$J$9:$M$18,10,FALSE)</f>
        <v>1</v>
      </c>
      <c r="W2156" s="81">
        <f>HLOOKUP(P2156,データについて!$J$10:$M$18,9,FALSE)</f>
        <v>1</v>
      </c>
      <c r="X2156" s="81">
        <f>HLOOKUP(Q2156,データについて!$J$11:$M$18,8,FALSE)</f>
        <v>1</v>
      </c>
      <c r="Y2156" s="81">
        <f>HLOOKUP(R2156,データについて!$J$12:$M$18,7,FALSE)</f>
        <v>1</v>
      </c>
      <c r="Z2156" s="81">
        <f>HLOOKUP(I2156,データについて!$J$3:$M$18,16,FALSE)</f>
        <v>1</v>
      </c>
      <c r="AA2156" s="81">
        <f>IFERROR(HLOOKUP(J2156,データについて!$J$4:$AH$19,16,FALSE),"")</f>
        <v>5</v>
      </c>
      <c r="AB2156" s="81" t="str">
        <f>IFERROR(HLOOKUP(K2156,データについて!$J$5:$AH$20,14,FALSE),"")</f>
        <v/>
      </c>
      <c r="AC2156" s="81">
        <f>IF(X2156=1,HLOOKUP(R2156,データについて!$J$12:$M$18,7,FALSE),"*")</f>
        <v>1</v>
      </c>
      <c r="AD2156" s="81" t="str">
        <f>IF(X2156=2,HLOOKUP(R2156,データについて!$J$12:$M$18,7,FALSE),"*")</f>
        <v>*</v>
      </c>
    </row>
    <row r="2157" spans="1:30">
      <c r="A2157" s="30">
        <v>3035</v>
      </c>
      <c r="B2157" s="30" t="s">
        <v>2335</v>
      </c>
      <c r="C2157" s="30" t="s">
        <v>2334</v>
      </c>
      <c r="D2157" s="30" t="s">
        <v>106</v>
      </c>
      <c r="E2157" s="30"/>
      <c r="F2157" s="30" t="s">
        <v>107</v>
      </c>
      <c r="G2157" s="30" t="s">
        <v>106</v>
      </c>
      <c r="H2157" s="30"/>
      <c r="I2157" s="30" t="s">
        <v>192</v>
      </c>
      <c r="J2157" s="30" t="s">
        <v>1415</v>
      </c>
      <c r="K2157" s="30"/>
      <c r="L2157" s="30" t="s">
        <v>117</v>
      </c>
      <c r="M2157" s="30" t="s">
        <v>109</v>
      </c>
      <c r="N2157" s="30" t="s">
        <v>114</v>
      </c>
      <c r="O2157" s="30" t="s">
        <v>115</v>
      </c>
      <c r="P2157" s="30" t="s">
        <v>118</v>
      </c>
      <c r="Q2157" s="30" t="s">
        <v>112</v>
      </c>
      <c r="R2157" s="30" t="s">
        <v>183</v>
      </c>
      <c r="S2157" s="81">
        <f>HLOOKUP(L2157,データについて!$J$6:$M$18,13,FALSE)</f>
        <v>2</v>
      </c>
      <c r="T2157" s="81">
        <f>HLOOKUP(M2157,データについて!$J$7:$M$18,12,FALSE)</f>
        <v>2</v>
      </c>
      <c r="U2157" s="81">
        <f>HLOOKUP(N2157,データについて!$J$8:$M$18,11,FALSE)</f>
        <v>1</v>
      </c>
      <c r="V2157" s="81">
        <f>HLOOKUP(O2157,データについて!$J$9:$M$18,10,FALSE)</f>
        <v>1</v>
      </c>
      <c r="W2157" s="81">
        <f>HLOOKUP(P2157,データについて!$J$10:$M$18,9,FALSE)</f>
        <v>2</v>
      </c>
      <c r="X2157" s="81">
        <f>HLOOKUP(Q2157,データについて!$J$11:$M$18,8,FALSE)</f>
        <v>1</v>
      </c>
      <c r="Y2157" s="81">
        <f>HLOOKUP(R2157,データについて!$J$12:$M$18,7,FALSE)</f>
        <v>1</v>
      </c>
      <c r="Z2157" s="81">
        <f>HLOOKUP(I2157,データについて!$J$3:$M$18,16,FALSE)</f>
        <v>1</v>
      </c>
      <c r="AA2157" s="81">
        <f>IFERROR(HLOOKUP(J2157,データについて!$J$4:$AH$19,16,FALSE),"")</f>
        <v>5</v>
      </c>
      <c r="AB2157" s="81" t="str">
        <f>IFERROR(HLOOKUP(K2157,データについて!$J$5:$AH$20,14,FALSE),"")</f>
        <v/>
      </c>
      <c r="AC2157" s="81">
        <f>IF(X2157=1,HLOOKUP(R2157,データについて!$J$12:$M$18,7,FALSE),"*")</f>
        <v>1</v>
      </c>
      <c r="AD2157" s="81" t="str">
        <f>IF(X2157=2,HLOOKUP(R2157,データについて!$J$12:$M$18,7,FALSE),"*")</f>
        <v>*</v>
      </c>
    </row>
    <row r="2158" spans="1:30">
      <c r="A2158" s="30">
        <v>3034</v>
      </c>
      <c r="B2158" s="30" t="s">
        <v>2336</v>
      </c>
      <c r="C2158" s="30" t="s">
        <v>2337</v>
      </c>
      <c r="D2158" s="30" t="s">
        <v>106</v>
      </c>
      <c r="E2158" s="30"/>
      <c r="F2158" s="30" t="s">
        <v>107</v>
      </c>
      <c r="G2158" s="30" t="s">
        <v>106</v>
      </c>
      <c r="H2158" s="30"/>
      <c r="I2158" s="30" t="s">
        <v>192</v>
      </c>
      <c r="J2158" s="30" t="s">
        <v>1415</v>
      </c>
      <c r="K2158" s="30"/>
      <c r="L2158" s="30" t="s">
        <v>108</v>
      </c>
      <c r="M2158" s="30" t="s">
        <v>113</v>
      </c>
      <c r="N2158" s="30" t="s">
        <v>110</v>
      </c>
      <c r="O2158" s="30" t="s">
        <v>116</v>
      </c>
      <c r="P2158" s="30" t="s">
        <v>112</v>
      </c>
      <c r="Q2158" s="30" t="s">
        <v>112</v>
      </c>
      <c r="R2158" s="30" t="s">
        <v>187</v>
      </c>
      <c r="S2158" s="81">
        <f>HLOOKUP(L2158,データについて!$J$6:$M$18,13,FALSE)</f>
        <v>1</v>
      </c>
      <c r="T2158" s="81">
        <f>HLOOKUP(M2158,データについて!$J$7:$M$18,12,FALSE)</f>
        <v>1</v>
      </c>
      <c r="U2158" s="81">
        <f>HLOOKUP(N2158,データについて!$J$8:$M$18,11,FALSE)</f>
        <v>2</v>
      </c>
      <c r="V2158" s="81">
        <f>HLOOKUP(O2158,データについて!$J$9:$M$18,10,FALSE)</f>
        <v>2</v>
      </c>
      <c r="W2158" s="81">
        <f>HLOOKUP(P2158,データについて!$J$10:$M$18,9,FALSE)</f>
        <v>1</v>
      </c>
      <c r="X2158" s="81">
        <f>HLOOKUP(Q2158,データについて!$J$11:$M$18,8,FALSE)</f>
        <v>1</v>
      </c>
      <c r="Y2158" s="81">
        <f>HLOOKUP(R2158,データについて!$J$12:$M$18,7,FALSE)</f>
        <v>3</v>
      </c>
      <c r="Z2158" s="81">
        <f>HLOOKUP(I2158,データについて!$J$3:$M$18,16,FALSE)</f>
        <v>1</v>
      </c>
      <c r="AA2158" s="81">
        <f>IFERROR(HLOOKUP(J2158,データについて!$J$4:$AH$19,16,FALSE),"")</f>
        <v>5</v>
      </c>
      <c r="AB2158" s="81" t="str">
        <f>IFERROR(HLOOKUP(K2158,データについて!$J$5:$AH$20,14,FALSE),"")</f>
        <v/>
      </c>
      <c r="AC2158" s="81">
        <f>IF(X2158=1,HLOOKUP(R2158,データについて!$J$12:$M$18,7,FALSE),"*")</f>
        <v>3</v>
      </c>
      <c r="AD2158" s="81" t="str">
        <f>IF(X2158=2,HLOOKUP(R2158,データについて!$J$12:$M$18,7,FALSE),"*")</f>
        <v>*</v>
      </c>
    </row>
    <row r="2159" spans="1:30">
      <c r="A2159" s="30">
        <v>3033</v>
      </c>
      <c r="B2159" s="30" t="s">
        <v>2338</v>
      </c>
      <c r="C2159" s="30" t="s">
        <v>2339</v>
      </c>
      <c r="D2159" s="30" t="s">
        <v>106</v>
      </c>
      <c r="E2159" s="30"/>
      <c r="F2159" s="30" t="s">
        <v>107</v>
      </c>
      <c r="G2159" s="30" t="s">
        <v>106</v>
      </c>
      <c r="H2159" s="30"/>
      <c r="I2159" s="30" t="s">
        <v>192</v>
      </c>
      <c r="J2159" s="30" t="s">
        <v>1415</v>
      </c>
      <c r="K2159" s="30"/>
      <c r="L2159" s="30" t="s">
        <v>108</v>
      </c>
      <c r="M2159" s="30" t="s">
        <v>109</v>
      </c>
      <c r="N2159" s="30" t="s">
        <v>114</v>
      </c>
      <c r="O2159" s="30" t="s">
        <v>115</v>
      </c>
      <c r="P2159" s="30" t="s">
        <v>112</v>
      </c>
      <c r="Q2159" s="30" t="s">
        <v>112</v>
      </c>
      <c r="R2159" s="30" t="s">
        <v>187</v>
      </c>
      <c r="S2159" s="81">
        <f>HLOOKUP(L2159,データについて!$J$6:$M$18,13,FALSE)</f>
        <v>1</v>
      </c>
      <c r="T2159" s="81">
        <f>HLOOKUP(M2159,データについて!$J$7:$M$18,12,FALSE)</f>
        <v>2</v>
      </c>
      <c r="U2159" s="81">
        <f>HLOOKUP(N2159,データについて!$J$8:$M$18,11,FALSE)</f>
        <v>1</v>
      </c>
      <c r="V2159" s="81">
        <f>HLOOKUP(O2159,データについて!$J$9:$M$18,10,FALSE)</f>
        <v>1</v>
      </c>
      <c r="W2159" s="81">
        <f>HLOOKUP(P2159,データについて!$J$10:$M$18,9,FALSE)</f>
        <v>1</v>
      </c>
      <c r="X2159" s="81">
        <f>HLOOKUP(Q2159,データについて!$J$11:$M$18,8,FALSE)</f>
        <v>1</v>
      </c>
      <c r="Y2159" s="81">
        <f>HLOOKUP(R2159,データについて!$J$12:$M$18,7,FALSE)</f>
        <v>3</v>
      </c>
      <c r="Z2159" s="81">
        <f>HLOOKUP(I2159,データについて!$J$3:$M$18,16,FALSE)</f>
        <v>1</v>
      </c>
      <c r="AA2159" s="81">
        <f>IFERROR(HLOOKUP(J2159,データについて!$J$4:$AH$19,16,FALSE),"")</f>
        <v>5</v>
      </c>
      <c r="AB2159" s="81" t="str">
        <f>IFERROR(HLOOKUP(K2159,データについて!$J$5:$AH$20,14,FALSE),"")</f>
        <v/>
      </c>
      <c r="AC2159" s="81">
        <f>IF(X2159=1,HLOOKUP(R2159,データについて!$J$12:$M$18,7,FALSE),"*")</f>
        <v>3</v>
      </c>
      <c r="AD2159" s="81" t="str">
        <f>IF(X2159=2,HLOOKUP(R2159,データについて!$J$12:$M$18,7,FALSE),"*")</f>
        <v>*</v>
      </c>
    </row>
    <row r="2160" spans="1:30">
      <c r="A2160" s="30">
        <v>3032</v>
      </c>
      <c r="B2160" s="30" t="s">
        <v>2340</v>
      </c>
      <c r="C2160" s="30" t="s">
        <v>2341</v>
      </c>
      <c r="D2160" s="30" t="s">
        <v>106</v>
      </c>
      <c r="E2160" s="30"/>
      <c r="F2160" s="30" t="s">
        <v>107</v>
      </c>
      <c r="G2160" s="30" t="s">
        <v>106</v>
      </c>
      <c r="H2160" s="30"/>
      <c r="I2160" s="30" t="s">
        <v>192</v>
      </c>
      <c r="J2160" s="30" t="s">
        <v>1415</v>
      </c>
      <c r="K2160" s="30"/>
      <c r="L2160" s="30" t="s">
        <v>117</v>
      </c>
      <c r="M2160" s="30" t="s">
        <v>113</v>
      </c>
      <c r="N2160" s="30" t="s">
        <v>114</v>
      </c>
      <c r="O2160" s="30" t="s">
        <v>116</v>
      </c>
      <c r="P2160" s="30" t="s">
        <v>112</v>
      </c>
      <c r="Q2160" s="30" t="s">
        <v>112</v>
      </c>
      <c r="R2160" s="30" t="s">
        <v>185</v>
      </c>
      <c r="S2160" s="81">
        <f>HLOOKUP(L2160,データについて!$J$6:$M$18,13,FALSE)</f>
        <v>2</v>
      </c>
      <c r="T2160" s="81">
        <f>HLOOKUP(M2160,データについて!$J$7:$M$18,12,FALSE)</f>
        <v>1</v>
      </c>
      <c r="U2160" s="81">
        <f>HLOOKUP(N2160,データについて!$J$8:$M$18,11,FALSE)</f>
        <v>1</v>
      </c>
      <c r="V2160" s="81">
        <f>HLOOKUP(O2160,データについて!$J$9:$M$18,10,FALSE)</f>
        <v>2</v>
      </c>
      <c r="W2160" s="81">
        <f>HLOOKUP(P2160,データについて!$J$10:$M$18,9,FALSE)</f>
        <v>1</v>
      </c>
      <c r="X2160" s="81">
        <f>HLOOKUP(Q2160,データについて!$J$11:$M$18,8,FALSE)</f>
        <v>1</v>
      </c>
      <c r="Y2160" s="81">
        <f>HLOOKUP(R2160,データについて!$J$12:$M$18,7,FALSE)</f>
        <v>2</v>
      </c>
      <c r="Z2160" s="81">
        <f>HLOOKUP(I2160,データについて!$J$3:$M$18,16,FALSE)</f>
        <v>1</v>
      </c>
      <c r="AA2160" s="81">
        <f>IFERROR(HLOOKUP(J2160,データについて!$J$4:$AH$19,16,FALSE),"")</f>
        <v>5</v>
      </c>
      <c r="AB2160" s="81" t="str">
        <f>IFERROR(HLOOKUP(K2160,データについて!$J$5:$AH$20,14,FALSE),"")</f>
        <v/>
      </c>
      <c r="AC2160" s="81">
        <f>IF(X2160=1,HLOOKUP(R2160,データについて!$J$12:$M$18,7,FALSE),"*")</f>
        <v>2</v>
      </c>
      <c r="AD2160" s="81" t="str">
        <f>IF(X2160=2,HLOOKUP(R2160,データについて!$J$12:$M$18,7,FALSE),"*")</f>
        <v>*</v>
      </c>
    </row>
    <row r="2161" spans="1:30">
      <c r="A2161" s="30">
        <v>3031</v>
      </c>
      <c r="B2161" s="30" t="s">
        <v>2342</v>
      </c>
      <c r="C2161" s="30" t="s">
        <v>2341</v>
      </c>
      <c r="D2161" s="30" t="s">
        <v>106</v>
      </c>
      <c r="E2161" s="30"/>
      <c r="F2161" s="30" t="s">
        <v>107</v>
      </c>
      <c r="G2161" s="30" t="s">
        <v>106</v>
      </c>
      <c r="H2161" s="30"/>
      <c r="I2161" s="30" t="s">
        <v>192</v>
      </c>
      <c r="J2161" s="30" t="s">
        <v>1415</v>
      </c>
      <c r="K2161" s="30"/>
      <c r="L2161" s="30" t="s">
        <v>117</v>
      </c>
      <c r="M2161" s="30" t="s">
        <v>109</v>
      </c>
      <c r="N2161" s="30" t="s">
        <v>114</v>
      </c>
      <c r="O2161" s="30" t="s">
        <v>115</v>
      </c>
      <c r="P2161" s="30" t="s">
        <v>118</v>
      </c>
      <c r="Q2161" s="30" t="s">
        <v>112</v>
      </c>
      <c r="R2161" s="30" t="s">
        <v>187</v>
      </c>
      <c r="S2161" s="81">
        <f>HLOOKUP(L2161,データについて!$J$6:$M$18,13,FALSE)</f>
        <v>2</v>
      </c>
      <c r="T2161" s="81">
        <f>HLOOKUP(M2161,データについて!$J$7:$M$18,12,FALSE)</f>
        <v>2</v>
      </c>
      <c r="U2161" s="81">
        <f>HLOOKUP(N2161,データについて!$J$8:$M$18,11,FALSE)</f>
        <v>1</v>
      </c>
      <c r="V2161" s="81">
        <f>HLOOKUP(O2161,データについて!$J$9:$M$18,10,FALSE)</f>
        <v>1</v>
      </c>
      <c r="W2161" s="81">
        <f>HLOOKUP(P2161,データについて!$J$10:$M$18,9,FALSE)</f>
        <v>2</v>
      </c>
      <c r="X2161" s="81">
        <f>HLOOKUP(Q2161,データについて!$J$11:$M$18,8,FALSE)</f>
        <v>1</v>
      </c>
      <c r="Y2161" s="81">
        <f>HLOOKUP(R2161,データについて!$J$12:$M$18,7,FALSE)</f>
        <v>3</v>
      </c>
      <c r="Z2161" s="81">
        <f>HLOOKUP(I2161,データについて!$J$3:$M$18,16,FALSE)</f>
        <v>1</v>
      </c>
      <c r="AA2161" s="81">
        <f>IFERROR(HLOOKUP(J2161,データについて!$J$4:$AH$19,16,FALSE),"")</f>
        <v>5</v>
      </c>
      <c r="AB2161" s="81" t="str">
        <f>IFERROR(HLOOKUP(K2161,データについて!$J$5:$AH$20,14,FALSE),"")</f>
        <v/>
      </c>
      <c r="AC2161" s="81">
        <f>IF(X2161=1,HLOOKUP(R2161,データについて!$J$12:$M$18,7,FALSE),"*")</f>
        <v>3</v>
      </c>
      <c r="AD2161" s="81" t="str">
        <f>IF(X2161=2,HLOOKUP(R2161,データについて!$J$12:$M$18,7,FALSE),"*")</f>
        <v>*</v>
      </c>
    </row>
    <row r="2162" spans="1:30">
      <c r="A2162" s="30">
        <v>3030</v>
      </c>
      <c r="B2162" s="30" t="s">
        <v>2343</v>
      </c>
      <c r="C2162" s="30" t="s">
        <v>2344</v>
      </c>
      <c r="D2162" s="30" t="s">
        <v>106</v>
      </c>
      <c r="E2162" s="30"/>
      <c r="F2162" s="30" t="s">
        <v>107</v>
      </c>
      <c r="G2162" s="30" t="s">
        <v>106</v>
      </c>
      <c r="H2162" s="30"/>
      <c r="I2162" s="30" t="s">
        <v>192</v>
      </c>
      <c r="J2162" s="30" t="s">
        <v>1415</v>
      </c>
      <c r="K2162" s="30"/>
      <c r="L2162" s="30" t="s">
        <v>117</v>
      </c>
      <c r="M2162" s="30" t="s">
        <v>113</v>
      </c>
      <c r="N2162" s="30" t="s">
        <v>110</v>
      </c>
      <c r="O2162" s="30" t="s">
        <v>115</v>
      </c>
      <c r="P2162" s="30" t="s">
        <v>112</v>
      </c>
      <c r="Q2162" s="30" t="s">
        <v>118</v>
      </c>
      <c r="R2162" s="30" t="s">
        <v>185</v>
      </c>
      <c r="S2162" s="81">
        <f>HLOOKUP(L2162,データについて!$J$6:$M$18,13,FALSE)</f>
        <v>2</v>
      </c>
      <c r="T2162" s="81">
        <f>HLOOKUP(M2162,データについて!$J$7:$M$18,12,FALSE)</f>
        <v>1</v>
      </c>
      <c r="U2162" s="81">
        <f>HLOOKUP(N2162,データについて!$J$8:$M$18,11,FALSE)</f>
        <v>2</v>
      </c>
      <c r="V2162" s="81">
        <f>HLOOKUP(O2162,データについて!$J$9:$M$18,10,FALSE)</f>
        <v>1</v>
      </c>
      <c r="W2162" s="81">
        <f>HLOOKUP(P2162,データについて!$J$10:$M$18,9,FALSE)</f>
        <v>1</v>
      </c>
      <c r="X2162" s="81">
        <f>HLOOKUP(Q2162,データについて!$J$11:$M$18,8,FALSE)</f>
        <v>2</v>
      </c>
      <c r="Y2162" s="81">
        <f>HLOOKUP(R2162,データについて!$J$12:$M$18,7,FALSE)</f>
        <v>2</v>
      </c>
      <c r="Z2162" s="81">
        <f>HLOOKUP(I2162,データについて!$J$3:$M$18,16,FALSE)</f>
        <v>1</v>
      </c>
      <c r="AA2162" s="81">
        <f>IFERROR(HLOOKUP(J2162,データについて!$J$4:$AH$19,16,FALSE),"")</f>
        <v>5</v>
      </c>
      <c r="AB2162" s="81" t="str">
        <f>IFERROR(HLOOKUP(K2162,データについて!$J$5:$AH$20,14,FALSE),"")</f>
        <v/>
      </c>
      <c r="AC2162" s="81" t="str">
        <f>IF(X2162=1,HLOOKUP(R2162,データについて!$J$12:$M$18,7,FALSE),"*")</f>
        <v>*</v>
      </c>
      <c r="AD2162" s="81">
        <f>IF(X2162=2,HLOOKUP(R2162,データについて!$J$12:$M$18,7,FALSE),"*")</f>
        <v>2</v>
      </c>
    </row>
    <row r="2163" spans="1:30">
      <c r="A2163" s="30">
        <v>3029</v>
      </c>
      <c r="B2163" s="30" t="s">
        <v>2345</v>
      </c>
      <c r="C2163" s="30" t="s">
        <v>2344</v>
      </c>
      <c r="D2163" s="30" t="s">
        <v>106</v>
      </c>
      <c r="E2163" s="30"/>
      <c r="F2163" s="30" t="s">
        <v>107</v>
      </c>
      <c r="G2163" s="30" t="s">
        <v>106</v>
      </c>
      <c r="H2163" s="30"/>
      <c r="I2163" s="30" t="s">
        <v>192</v>
      </c>
      <c r="J2163" s="30" t="s">
        <v>1415</v>
      </c>
      <c r="K2163" s="30"/>
      <c r="L2163" s="30" t="s">
        <v>108</v>
      </c>
      <c r="M2163" s="30" t="s">
        <v>113</v>
      </c>
      <c r="N2163" s="30" t="s">
        <v>110</v>
      </c>
      <c r="O2163" s="30" t="s">
        <v>115</v>
      </c>
      <c r="P2163" s="30" t="s">
        <v>112</v>
      </c>
      <c r="Q2163" s="30" t="s">
        <v>112</v>
      </c>
      <c r="R2163" s="30" t="s">
        <v>185</v>
      </c>
      <c r="S2163" s="81">
        <f>HLOOKUP(L2163,データについて!$J$6:$M$18,13,FALSE)</f>
        <v>1</v>
      </c>
      <c r="T2163" s="81">
        <f>HLOOKUP(M2163,データについて!$J$7:$M$18,12,FALSE)</f>
        <v>1</v>
      </c>
      <c r="U2163" s="81">
        <f>HLOOKUP(N2163,データについて!$J$8:$M$18,11,FALSE)</f>
        <v>2</v>
      </c>
      <c r="V2163" s="81">
        <f>HLOOKUP(O2163,データについて!$J$9:$M$18,10,FALSE)</f>
        <v>1</v>
      </c>
      <c r="W2163" s="81">
        <f>HLOOKUP(P2163,データについて!$J$10:$M$18,9,FALSE)</f>
        <v>1</v>
      </c>
      <c r="X2163" s="81">
        <f>HLOOKUP(Q2163,データについて!$J$11:$M$18,8,FALSE)</f>
        <v>1</v>
      </c>
      <c r="Y2163" s="81">
        <f>HLOOKUP(R2163,データについて!$J$12:$M$18,7,FALSE)</f>
        <v>2</v>
      </c>
      <c r="Z2163" s="81">
        <f>HLOOKUP(I2163,データについて!$J$3:$M$18,16,FALSE)</f>
        <v>1</v>
      </c>
      <c r="AA2163" s="81">
        <f>IFERROR(HLOOKUP(J2163,データについて!$J$4:$AH$19,16,FALSE),"")</f>
        <v>5</v>
      </c>
      <c r="AB2163" s="81" t="str">
        <f>IFERROR(HLOOKUP(K2163,データについて!$J$5:$AH$20,14,FALSE),"")</f>
        <v/>
      </c>
      <c r="AC2163" s="81">
        <f>IF(X2163=1,HLOOKUP(R2163,データについて!$J$12:$M$18,7,FALSE),"*")</f>
        <v>2</v>
      </c>
      <c r="AD2163" s="81" t="str">
        <f>IF(X2163=2,HLOOKUP(R2163,データについて!$J$12:$M$18,7,FALSE),"*")</f>
        <v>*</v>
      </c>
    </row>
    <row r="2164" spans="1:30">
      <c r="A2164" s="30">
        <v>3028</v>
      </c>
      <c r="B2164" s="30" t="s">
        <v>2346</v>
      </c>
      <c r="C2164" s="30" t="s">
        <v>2344</v>
      </c>
      <c r="D2164" s="30" t="s">
        <v>106</v>
      </c>
      <c r="E2164" s="30"/>
      <c r="F2164" s="30" t="s">
        <v>107</v>
      </c>
      <c r="G2164" s="30" t="s">
        <v>106</v>
      </c>
      <c r="H2164" s="30"/>
      <c r="I2164" s="30" t="s">
        <v>192</v>
      </c>
      <c r="J2164" s="30" t="s">
        <v>1415</v>
      </c>
      <c r="K2164" s="30"/>
      <c r="L2164" s="30" t="s">
        <v>108</v>
      </c>
      <c r="M2164" s="30" t="s">
        <v>113</v>
      </c>
      <c r="N2164" s="30" t="s">
        <v>114</v>
      </c>
      <c r="O2164" s="30" t="s">
        <v>115</v>
      </c>
      <c r="P2164" s="30" t="s">
        <v>112</v>
      </c>
      <c r="Q2164" s="30" t="s">
        <v>112</v>
      </c>
      <c r="R2164" s="30" t="s">
        <v>185</v>
      </c>
      <c r="S2164" s="81">
        <f>HLOOKUP(L2164,データについて!$J$6:$M$18,13,FALSE)</f>
        <v>1</v>
      </c>
      <c r="T2164" s="81">
        <f>HLOOKUP(M2164,データについて!$J$7:$M$18,12,FALSE)</f>
        <v>1</v>
      </c>
      <c r="U2164" s="81">
        <f>HLOOKUP(N2164,データについて!$J$8:$M$18,11,FALSE)</f>
        <v>1</v>
      </c>
      <c r="V2164" s="81">
        <f>HLOOKUP(O2164,データについて!$J$9:$M$18,10,FALSE)</f>
        <v>1</v>
      </c>
      <c r="W2164" s="81">
        <f>HLOOKUP(P2164,データについて!$J$10:$M$18,9,FALSE)</f>
        <v>1</v>
      </c>
      <c r="X2164" s="81">
        <f>HLOOKUP(Q2164,データについて!$J$11:$M$18,8,FALSE)</f>
        <v>1</v>
      </c>
      <c r="Y2164" s="81">
        <f>HLOOKUP(R2164,データについて!$J$12:$M$18,7,FALSE)</f>
        <v>2</v>
      </c>
      <c r="Z2164" s="81">
        <f>HLOOKUP(I2164,データについて!$J$3:$M$18,16,FALSE)</f>
        <v>1</v>
      </c>
      <c r="AA2164" s="81">
        <f>IFERROR(HLOOKUP(J2164,データについて!$J$4:$AH$19,16,FALSE),"")</f>
        <v>5</v>
      </c>
      <c r="AB2164" s="81" t="str">
        <f>IFERROR(HLOOKUP(K2164,データについて!$J$5:$AH$20,14,FALSE),"")</f>
        <v/>
      </c>
      <c r="AC2164" s="81">
        <f>IF(X2164=1,HLOOKUP(R2164,データについて!$J$12:$M$18,7,FALSE),"*")</f>
        <v>2</v>
      </c>
      <c r="AD2164" s="81" t="str">
        <f>IF(X2164=2,HLOOKUP(R2164,データについて!$J$12:$M$18,7,FALSE),"*")</f>
        <v>*</v>
      </c>
    </row>
    <row r="2165" spans="1:30">
      <c r="A2165" s="30">
        <v>3027</v>
      </c>
      <c r="B2165" s="30" t="s">
        <v>2347</v>
      </c>
      <c r="C2165" s="30" t="s">
        <v>2344</v>
      </c>
      <c r="D2165" s="30" t="s">
        <v>106</v>
      </c>
      <c r="E2165" s="30"/>
      <c r="F2165" s="30" t="s">
        <v>107</v>
      </c>
      <c r="G2165" s="30" t="s">
        <v>106</v>
      </c>
      <c r="H2165" s="30"/>
      <c r="I2165" s="30" t="s">
        <v>192</v>
      </c>
      <c r="J2165" s="30" t="s">
        <v>1415</v>
      </c>
      <c r="K2165" s="30"/>
      <c r="L2165" s="30" t="s">
        <v>108</v>
      </c>
      <c r="M2165" s="30" t="s">
        <v>109</v>
      </c>
      <c r="N2165" s="30" t="s">
        <v>110</v>
      </c>
      <c r="O2165" s="30" t="s">
        <v>115</v>
      </c>
      <c r="P2165" s="30" t="s">
        <v>112</v>
      </c>
      <c r="Q2165" s="30" t="s">
        <v>118</v>
      </c>
      <c r="R2165" s="30" t="s">
        <v>185</v>
      </c>
      <c r="S2165" s="81">
        <f>HLOOKUP(L2165,データについて!$J$6:$M$18,13,FALSE)</f>
        <v>1</v>
      </c>
      <c r="T2165" s="81">
        <f>HLOOKUP(M2165,データについて!$J$7:$M$18,12,FALSE)</f>
        <v>2</v>
      </c>
      <c r="U2165" s="81">
        <f>HLOOKUP(N2165,データについて!$J$8:$M$18,11,FALSE)</f>
        <v>2</v>
      </c>
      <c r="V2165" s="81">
        <f>HLOOKUP(O2165,データについて!$J$9:$M$18,10,FALSE)</f>
        <v>1</v>
      </c>
      <c r="W2165" s="81">
        <f>HLOOKUP(P2165,データについて!$J$10:$M$18,9,FALSE)</f>
        <v>1</v>
      </c>
      <c r="X2165" s="81">
        <f>HLOOKUP(Q2165,データについて!$J$11:$M$18,8,FALSE)</f>
        <v>2</v>
      </c>
      <c r="Y2165" s="81">
        <f>HLOOKUP(R2165,データについて!$J$12:$M$18,7,FALSE)</f>
        <v>2</v>
      </c>
      <c r="Z2165" s="81">
        <f>HLOOKUP(I2165,データについて!$J$3:$M$18,16,FALSE)</f>
        <v>1</v>
      </c>
      <c r="AA2165" s="81">
        <f>IFERROR(HLOOKUP(J2165,データについて!$J$4:$AH$19,16,FALSE),"")</f>
        <v>5</v>
      </c>
      <c r="AB2165" s="81" t="str">
        <f>IFERROR(HLOOKUP(K2165,データについて!$J$5:$AH$20,14,FALSE),"")</f>
        <v/>
      </c>
      <c r="AC2165" s="81" t="str">
        <f>IF(X2165=1,HLOOKUP(R2165,データについて!$J$12:$M$18,7,FALSE),"*")</f>
        <v>*</v>
      </c>
      <c r="AD2165" s="81">
        <f>IF(X2165=2,HLOOKUP(R2165,データについて!$J$12:$M$18,7,FALSE),"*")</f>
        <v>2</v>
      </c>
    </row>
    <row r="2166" spans="1:30">
      <c r="A2166" s="30">
        <v>3026</v>
      </c>
      <c r="B2166" s="30" t="s">
        <v>2348</v>
      </c>
      <c r="C2166" s="30" t="s">
        <v>2344</v>
      </c>
      <c r="D2166" s="30" t="s">
        <v>106</v>
      </c>
      <c r="E2166" s="30"/>
      <c r="F2166" s="30" t="s">
        <v>107</v>
      </c>
      <c r="G2166" s="30" t="s">
        <v>106</v>
      </c>
      <c r="H2166" s="30"/>
      <c r="I2166" s="30" t="s">
        <v>192</v>
      </c>
      <c r="J2166" s="30" t="s">
        <v>1415</v>
      </c>
      <c r="K2166" s="30"/>
      <c r="L2166" s="30" t="s">
        <v>108</v>
      </c>
      <c r="M2166" s="30" t="s">
        <v>109</v>
      </c>
      <c r="N2166" s="30" t="s">
        <v>114</v>
      </c>
      <c r="O2166" s="30" t="s">
        <v>111</v>
      </c>
      <c r="P2166" s="30" t="s">
        <v>112</v>
      </c>
      <c r="Q2166" s="30" t="s">
        <v>112</v>
      </c>
      <c r="R2166" s="30" t="s">
        <v>185</v>
      </c>
      <c r="S2166" s="81">
        <f>HLOOKUP(L2166,データについて!$J$6:$M$18,13,FALSE)</f>
        <v>1</v>
      </c>
      <c r="T2166" s="81">
        <f>HLOOKUP(M2166,データについて!$J$7:$M$18,12,FALSE)</f>
        <v>2</v>
      </c>
      <c r="U2166" s="81">
        <f>HLOOKUP(N2166,データについて!$J$8:$M$18,11,FALSE)</f>
        <v>1</v>
      </c>
      <c r="V2166" s="81">
        <f>HLOOKUP(O2166,データについて!$J$9:$M$18,10,FALSE)</f>
        <v>3</v>
      </c>
      <c r="W2166" s="81">
        <f>HLOOKUP(P2166,データについて!$J$10:$M$18,9,FALSE)</f>
        <v>1</v>
      </c>
      <c r="X2166" s="81">
        <f>HLOOKUP(Q2166,データについて!$J$11:$M$18,8,FALSE)</f>
        <v>1</v>
      </c>
      <c r="Y2166" s="81">
        <f>HLOOKUP(R2166,データについて!$J$12:$M$18,7,FALSE)</f>
        <v>2</v>
      </c>
      <c r="Z2166" s="81">
        <f>HLOOKUP(I2166,データについて!$J$3:$M$18,16,FALSE)</f>
        <v>1</v>
      </c>
      <c r="AA2166" s="81">
        <f>IFERROR(HLOOKUP(J2166,データについて!$J$4:$AH$19,16,FALSE),"")</f>
        <v>5</v>
      </c>
      <c r="AB2166" s="81" t="str">
        <f>IFERROR(HLOOKUP(K2166,データについて!$J$5:$AH$20,14,FALSE),"")</f>
        <v/>
      </c>
      <c r="AC2166" s="81">
        <f>IF(X2166=1,HLOOKUP(R2166,データについて!$J$12:$M$18,7,FALSE),"*")</f>
        <v>2</v>
      </c>
      <c r="AD2166" s="81" t="str">
        <f>IF(X2166=2,HLOOKUP(R2166,データについて!$J$12:$M$18,7,FALSE),"*")</f>
        <v>*</v>
      </c>
    </row>
    <row r="2167" spans="1:30">
      <c r="A2167" s="30">
        <v>3025</v>
      </c>
      <c r="B2167" s="30" t="s">
        <v>2349</v>
      </c>
      <c r="C2167" s="30" t="s">
        <v>2344</v>
      </c>
      <c r="D2167" s="30" t="s">
        <v>106</v>
      </c>
      <c r="E2167" s="30"/>
      <c r="F2167" s="30" t="s">
        <v>107</v>
      </c>
      <c r="G2167" s="30" t="s">
        <v>106</v>
      </c>
      <c r="H2167" s="30"/>
      <c r="I2167" s="30" t="s">
        <v>192</v>
      </c>
      <c r="J2167" s="30" t="s">
        <v>1415</v>
      </c>
      <c r="K2167" s="30"/>
      <c r="L2167" s="30" t="s">
        <v>108</v>
      </c>
      <c r="M2167" s="30" t="s">
        <v>113</v>
      </c>
      <c r="N2167" s="30" t="s">
        <v>110</v>
      </c>
      <c r="O2167" s="30" t="s">
        <v>115</v>
      </c>
      <c r="P2167" s="30" t="s">
        <v>112</v>
      </c>
      <c r="Q2167" s="30" t="s">
        <v>112</v>
      </c>
      <c r="R2167" s="30" t="s">
        <v>185</v>
      </c>
      <c r="S2167" s="81">
        <f>HLOOKUP(L2167,データについて!$J$6:$M$18,13,FALSE)</f>
        <v>1</v>
      </c>
      <c r="T2167" s="81">
        <f>HLOOKUP(M2167,データについて!$J$7:$M$18,12,FALSE)</f>
        <v>1</v>
      </c>
      <c r="U2167" s="81">
        <f>HLOOKUP(N2167,データについて!$J$8:$M$18,11,FALSE)</f>
        <v>2</v>
      </c>
      <c r="V2167" s="81">
        <f>HLOOKUP(O2167,データについて!$J$9:$M$18,10,FALSE)</f>
        <v>1</v>
      </c>
      <c r="W2167" s="81">
        <f>HLOOKUP(P2167,データについて!$J$10:$M$18,9,FALSE)</f>
        <v>1</v>
      </c>
      <c r="X2167" s="81">
        <f>HLOOKUP(Q2167,データについて!$J$11:$M$18,8,FALSE)</f>
        <v>1</v>
      </c>
      <c r="Y2167" s="81">
        <f>HLOOKUP(R2167,データについて!$J$12:$M$18,7,FALSE)</f>
        <v>2</v>
      </c>
      <c r="Z2167" s="81">
        <f>HLOOKUP(I2167,データについて!$J$3:$M$18,16,FALSE)</f>
        <v>1</v>
      </c>
      <c r="AA2167" s="81">
        <f>IFERROR(HLOOKUP(J2167,データについて!$J$4:$AH$19,16,FALSE),"")</f>
        <v>5</v>
      </c>
      <c r="AB2167" s="81" t="str">
        <f>IFERROR(HLOOKUP(K2167,データについて!$J$5:$AH$20,14,FALSE),"")</f>
        <v/>
      </c>
      <c r="AC2167" s="81">
        <f>IF(X2167=1,HLOOKUP(R2167,データについて!$J$12:$M$18,7,FALSE),"*")</f>
        <v>2</v>
      </c>
      <c r="AD2167" s="81" t="str">
        <f>IF(X2167=2,HLOOKUP(R2167,データについて!$J$12:$M$18,7,FALSE),"*")</f>
        <v>*</v>
      </c>
    </row>
    <row r="2168" spans="1:30">
      <c r="A2168" s="30">
        <v>3024</v>
      </c>
      <c r="B2168" s="30" t="s">
        <v>2350</v>
      </c>
      <c r="C2168" s="30" t="s">
        <v>2351</v>
      </c>
      <c r="D2168" s="30" t="s">
        <v>106</v>
      </c>
      <c r="E2168" s="30"/>
      <c r="F2168" s="30" t="s">
        <v>107</v>
      </c>
      <c r="G2168" s="30" t="s">
        <v>106</v>
      </c>
      <c r="H2168" s="30"/>
      <c r="I2168" s="30" t="s">
        <v>192</v>
      </c>
      <c r="J2168" s="30" t="s">
        <v>1415</v>
      </c>
      <c r="K2168" s="30"/>
      <c r="L2168" s="30" t="s">
        <v>108</v>
      </c>
      <c r="M2168" s="30" t="s">
        <v>113</v>
      </c>
      <c r="N2168" s="30" t="s">
        <v>122</v>
      </c>
      <c r="O2168" s="30" t="s">
        <v>115</v>
      </c>
      <c r="P2168" s="30" t="s">
        <v>112</v>
      </c>
      <c r="Q2168" s="30" t="s">
        <v>118</v>
      </c>
      <c r="R2168" s="30" t="s">
        <v>185</v>
      </c>
      <c r="S2168" s="81">
        <f>HLOOKUP(L2168,データについて!$J$6:$M$18,13,FALSE)</f>
        <v>1</v>
      </c>
      <c r="T2168" s="81">
        <f>HLOOKUP(M2168,データについて!$J$7:$M$18,12,FALSE)</f>
        <v>1</v>
      </c>
      <c r="U2168" s="81">
        <f>HLOOKUP(N2168,データについて!$J$8:$M$18,11,FALSE)</f>
        <v>3</v>
      </c>
      <c r="V2168" s="81">
        <f>HLOOKUP(O2168,データについて!$J$9:$M$18,10,FALSE)</f>
        <v>1</v>
      </c>
      <c r="W2168" s="81">
        <f>HLOOKUP(P2168,データについて!$J$10:$M$18,9,FALSE)</f>
        <v>1</v>
      </c>
      <c r="X2168" s="81">
        <f>HLOOKUP(Q2168,データについて!$J$11:$M$18,8,FALSE)</f>
        <v>2</v>
      </c>
      <c r="Y2168" s="81">
        <f>HLOOKUP(R2168,データについて!$J$12:$M$18,7,FALSE)</f>
        <v>2</v>
      </c>
      <c r="Z2168" s="81">
        <f>HLOOKUP(I2168,データについて!$J$3:$M$18,16,FALSE)</f>
        <v>1</v>
      </c>
      <c r="AA2168" s="81">
        <f>IFERROR(HLOOKUP(J2168,データについて!$J$4:$AH$19,16,FALSE),"")</f>
        <v>5</v>
      </c>
      <c r="AB2168" s="81" t="str">
        <f>IFERROR(HLOOKUP(K2168,データについて!$J$5:$AH$20,14,FALSE),"")</f>
        <v/>
      </c>
      <c r="AC2168" s="81" t="str">
        <f>IF(X2168=1,HLOOKUP(R2168,データについて!$J$12:$M$18,7,FALSE),"*")</f>
        <v>*</v>
      </c>
      <c r="AD2168" s="81">
        <f>IF(X2168=2,HLOOKUP(R2168,データについて!$J$12:$M$18,7,FALSE),"*")</f>
        <v>2</v>
      </c>
    </row>
    <row r="2169" spans="1:30">
      <c r="A2169" s="30">
        <v>3023</v>
      </c>
      <c r="B2169" s="30" t="s">
        <v>2352</v>
      </c>
      <c r="C2169" s="30" t="s">
        <v>2351</v>
      </c>
      <c r="D2169" s="30" t="s">
        <v>106</v>
      </c>
      <c r="E2169" s="30"/>
      <c r="F2169" s="30" t="s">
        <v>107</v>
      </c>
      <c r="G2169" s="30" t="s">
        <v>106</v>
      </c>
      <c r="H2169" s="30"/>
      <c r="I2169" s="30" t="s">
        <v>192</v>
      </c>
      <c r="J2169" s="30" t="s">
        <v>1415</v>
      </c>
      <c r="K2169" s="30"/>
      <c r="L2169" s="30" t="s">
        <v>117</v>
      </c>
      <c r="M2169" s="30" t="s">
        <v>113</v>
      </c>
      <c r="N2169" s="30" t="s">
        <v>114</v>
      </c>
      <c r="O2169" s="30" t="s">
        <v>115</v>
      </c>
      <c r="P2169" s="30" t="s">
        <v>112</v>
      </c>
      <c r="Q2169" s="30" t="s">
        <v>112</v>
      </c>
      <c r="R2169" s="30" t="s">
        <v>183</v>
      </c>
      <c r="S2169" s="81">
        <f>HLOOKUP(L2169,データについて!$J$6:$M$18,13,FALSE)</f>
        <v>2</v>
      </c>
      <c r="T2169" s="81">
        <f>HLOOKUP(M2169,データについて!$J$7:$M$18,12,FALSE)</f>
        <v>1</v>
      </c>
      <c r="U2169" s="81">
        <f>HLOOKUP(N2169,データについて!$J$8:$M$18,11,FALSE)</f>
        <v>1</v>
      </c>
      <c r="V2169" s="81">
        <f>HLOOKUP(O2169,データについて!$J$9:$M$18,10,FALSE)</f>
        <v>1</v>
      </c>
      <c r="W2169" s="81">
        <f>HLOOKUP(P2169,データについて!$J$10:$M$18,9,FALSE)</f>
        <v>1</v>
      </c>
      <c r="X2169" s="81">
        <f>HLOOKUP(Q2169,データについて!$J$11:$M$18,8,FALSE)</f>
        <v>1</v>
      </c>
      <c r="Y2169" s="81">
        <f>HLOOKUP(R2169,データについて!$J$12:$M$18,7,FALSE)</f>
        <v>1</v>
      </c>
      <c r="Z2169" s="81">
        <f>HLOOKUP(I2169,データについて!$J$3:$M$18,16,FALSE)</f>
        <v>1</v>
      </c>
      <c r="AA2169" s="81">
        <f>IFERROR(HLOOKUP(J2169,データについて!$J$4:$AH$19,16,FALSE),"")</f>
        <v>5</v>
      </c>
      <c r="AB2169" s="81" t="str">
        <f>IFERROR(HLOOKUP(K2169,データについて!$J$5:$AH$20,14,FALSE),"")</f>
        <v/>
      </c>
      <c r="AC2169" s="81">
        <f>IF(X2169=1,HLOOKUP(R2169,データについて!$J$12:$M$18,7,FALSE),"*")</f>
        <v>1</v>
      </c>
      <c r="AD2169" s="81" t="str">
        <f>IF(X2169=2,HLOOKUP(R2169,データについて!$J$12:$M$18,7,FALSE),"*")</f>
        <v>*</v>
      </c>
    </row>
    <row r="2170" spans="1:30">
      <c r="A2170" s="30">
        <v>3022</v>
      </c>
      <c r="B2170" s="30" t="s">
        <v>2353</v>
      </c>
      <c r="C2170" s="30" t="s">
        <v>2351</v>
      </c>
      <c r="D2170" s="30" t="s">
        <v>106</v>
      </c>
      <c r="E2170" s="30"/>
      <c r="F2170" s="30" t="s">
        <v>107</v>
      </c>
      <c r="G2170" s="30" t="s">
        <v>106</v>
      </c>
      <c r="H2170" s="30"/>
      <c r="I2170" s="30" t="s">
        <v>192</v>
      </c>
      <c r="J2170" s="30" t="s">
        <v>1415</v>
      </c>
      <c r="K2170" s="30"/>
      <c r="L2170" s="30" t="s">
        <v>108</v>
      </c>
      <c r="M2170" s="30" t="s">
        <v>113</v>
      </c>
      <c r="N2170" s="30" t="s">
        <v>114</v>
      </c>
      <c r="O2170" s="30" t="s">
        <v>115</v>
      </c>
      <c r="P2170" s="30" t="s">
        <v>112</v>
      </c>
      <c r="Q2170" s="30" t="s">
        <v>112</v>
      </c>
      <c r="R2170" s="30" t="s">
        <v>185</v>
      </c>
      <c r="S2170" s="81">
        <f>HLOOKUP(L2170,データについて!$J$6:$M$18,13,FALSE)</f>
        <v>1</v>
      </c>
      <c r="T2170" s="81">
        <f>HLOOKUP(M2170,データについて!$J$7:$M$18,12,FALSE)</f>
        <v>1</v>
      </c>
      <c r="U2170" s="81">
        <f>HLOOKUP(N2170,データについて!$J$8:$M$18,11,FALSE)</f>
        <v>1</v>
      </c>
      <c r="V2170" s="81">
        <f>HLOOKUP(O2170,データについて!$J$9:$M$18,10,FALSE)</f>
        <v>1</v>
      </c>
      <c r="W2170" s="81">
        <f>HLOOKUP(P2170,データについて!$J$10:$M$18,9,FALSE)</f>
        <v>1</v>
      </c>
      <c r="X2170" s="81">
        <f>HLOOKUP(Q2170,データについて!$J$11:$M$18,8,FALSE)</f>
        <v>1</v>
      </c>
      <c r="Y2170" s="81">
        <f>HLOOKUP(R2170,データについて!$J$12:$M$18,7,FALSE)</f>
        <v>2</v>
      </c>
      <c r="Z2170" s="81">
        <f>HLOOKUP(I2170,データについて!$J$3:$M$18,16,FALSE)</f>
        <v>1</v>
      </c>
      <c r="AA2170" s="81">
        <f>IFERROR(HLOOKUP(J2170,データについて!$J$4:$AH$19,16,FALSE),"")</f>
        <v>5</v>
      </c>
      <c r="AB2170" s="81" t="str">
        <f>IFERROR(HLOOKUP(K2170,データについて!$J$5:$AH$20,14,FALSE),"")</f>
        <v/>
      </c>
      <c r="AC2170" s="81">
        <f>IF(X2170=1,HLOOKUP(R2170,データについて!$J$12:$M$18,7,FALSE),"*")</f>
        <v>2</v>
      </c>
      <c r="AD2170" s="81" t="str">
        <f>IF(X2170=2,HLOOKUP(R2170,データについて!$J$12:$M$18,7,FALSE),"*")</f>
        <v>*</v>
      </c>
    </row>
    <row r="2171" spans="1:30">
      <c r="A2171" s="30">
        <v>3021</v>
      </c>
      <c r="B2171" s="30" t="s">
        <v>2354</v>
      </c>
      <c r="C2171" s="30" t="s">
        <v>2351</v>
      </c>
      <c r="D2171" s="30" t="s">
        <v>106</v>
      </c>
      <c r="E2171" s="30"/>
      <c r="F2171" s="30" t="s">
        <v>107</v>
      </c>
      <c r="G2171" s="30" t="s">
        <v>106</v>
      </c>
      <c r="H2171" s="30"/>
      <c r="I2171" s="30" t="s">
        <v>192</v>
      </c>
      <c r="J2171" s="30" t="s">
        <v>1415</v>
      </c>
      <c r="K2171" s="30"/>
      <c r="L2171" s="30" t="s">
        <v>117</v>
      </c>
      <c r="M2171" s="30" t="s">
        <v>124</v>
      </c>
      <c r="N2171" s="30" t="s">
        <v>122</v>
      </c>
      <c r="O2171" s="30" t="s">
        <v>115</v>
      </c>
      <c r="P2171" s="30" t="s">
        <v>112</v>
      </c>
      <c r="Q2171" s="30" t="s">
        <v>112</v>
      </c>
      <c r="R2171" s="30" t="s">
        <v>187</v>
      </c>
      <c r="S2171" s="81">
        <f>HLOOKUP(L2171,データについて!$J$6:$M$18,13,FALSE)</f>
        <v>2</v>
      </c>
      <c r="T2171" s="81">
        <f>HLOOKUP(M2171,データについて!$J$7:$M$18,12,FALSE)</f>
        <v>3</v>
      </c>
      <c r="U2171" s="81">
        <f>HLOOKUP(N2171,データについて!$J$8:$M$18,11,FALSE)</f>
        <v>3</v>
      </c>
      <c r="V2171" s="81">
        <f>HLOOKUP(O2171,データについて!$J$9:$M$18,10,FALSE)</f>
        <v>1</v>
      </c>
      <c r="W2171" s="81">
        <f>HLOOKUP(P2171,データについて!$J$10:$M$18,9,FALSE)</f>
        <v>1</v>
      </c>
      <c r="X2171" s="81">
        <f>HLOOKUP(Q2171,データについて!$J$11:$M$18,8,FALSE)</f>
        <v>1</v>
      </c>
      <c r="Y2171" s="81">
        <f>HLOOKUP(R2171,データについて!$J$12:$M$18,7,FALSE)</f>
        <v>3</v>
      </c>
      <c r="Z2171" s="81">
        <f>HLOOKUP(I2171,データについて!$J$3:$M$18,16,FALSE)</f>
        <v>1</v>
      </c>
      <c r="AA2171" s="81">
        <f>IFERROR(HLOOKUP(J2171,データについて!$J$4:$AH$19,16,FALSE),"")</f>
        <v>5</v>
      </c>
      <c r="AB2171" s="81" t="str">
        <f>IFERROR(HLOOKUP(K2171,データについて!$J$5:$AH$20,14,FALSE),"")</f>
        <v/>
      </c>
      <c r="AC2171" s="81">
        <f>IF(X2171=1,HLOOKUP(R2171,データについて!$J$12:$M$18,7,FALSE),"*")</f>
        <v>3</v>
      </c>
      <c r="AD2171" s="81" t="str">
        <f>IF(X2171=2,HLOOKUP(R2171,データについて!$J$12:$M$18,7,FALSE),"*")</f>
        <v>*</v>
      </c>
    </row>
    <row r="2172" spans="1:30">
      <c r="A2172" s="30">
        <v>3020</v>
      </c>
      <c r="B2172" s="30" t="s">
        <v>2355</v>
      </c>
      <c r="C2172" s="30" t="s">
        <v>2351</v>
      </c>
      <c r="D2172" s="30" t="s">
        <v>106</v>
      </c>
      <c r="E2172" s="30"/>
      <c r="F2172" s="30" t="s">
        <v>107</v>
      </c>
      <c r="G2172" s="30" t="s">
        <v>106</v>
      </c>
      <c r="H2172" s="30"/>
      <c r="I2172" s="30" t="s">
        <v>192</v>
      </c>
      <c r="J2172" s="30" t="s">
        <v>1415</v>
      </c>
      <c r="K2172" s="30"/>
      <c r="L2172" s="30" t="s">
        <v>108</v>
      </c>
      <c r="M2172" s="30" t="s">
        <v>109</v>
      </c>
      <c r="N2172" s="30" t="s">
        <v>114</v>
      </c>
      <c r="O2172" s="30" t="s">
        <v>115</v>
      </c>
      <c r="P2172" s="30" t="s">
        <v>112</v>
      </c>
      <c r="Q2172" s="30" t="s">
        <v>118</v>
      </c>
      <c r="R2172" s="30" t="s">
        <v>187</v>
      </c>
      <c r="S2172" s="81">
        <f>HLOOKUP(L2172,データについて!$J$6:$M$18,13,FALSE)</f>
        <v>1</v>
      </c>
      <c r="T2172" s="81">
        <f>HLOOKUP(M2172,データについて!$J$7:$M$18,12,FALSE)</f>
        <v>2</v>
      </c>
      <c r="U2172" s="81">
        <f>HLOOKUP(N2172,データについて!$J$8:$M$18,11,FALSE)</f>
        <v>1</v>
      </c>
      <c r="V2172" s="81">
        <f>HLOOKUP(O2172,データについて!$J$9:$M$18,10,FALSE)</f>
        <v>1</v>
      </c>
      <c r="W2172" s="81">
        <f>HLOOKUP(P2172,データについて!$J$10:$M$18,9,FALSE)</f>
        <v>1</v>
      </c>
      <c r="X2172" s="81">
        <f>HLOOKUP(Q2172,データについて!$J$11:$M$18,8,FALSE)</f>
        <v>2</v>
      </c>
      <c r="Y2172" s="81">
        <f>HLOOKUP(R2172,データについて!$J$12:$M$18,7,FALSE)</f>
        <v>3</v>
      </c>
      <c r="Z2172" s="81">
        <f>HLOOKUP(I2172,データについて!$J$3:$M$18,16,FALSE)</f>
        <v>1</v>
      </c>
      <c r="AA2172" s="81">
        <f>IFERROR(HLOOKUP(J2172,データについて!$J$4:$AH$19,16,FALSE),"")</f>
        <v>5</v>
      </c>
      <c r="AB2172" s="81" t="str">
        <f>IFERROR(HLOOKUP(K2172,データについて!$J$5:$AH$20,14,FALSE),"")</f>
        <v/>
      </c>
      <c r="AC2172" s="81" t="str">
        <f>IF(X2172=1,HLOOKUP(R2172,データについて!$J$12:$M$18,7,FALSE),"*")</f>
        <v>*</v>
      </c>
      <c r="AD2172" s="81">
        <f>IF(X2172=2,HLOOKUP(R2172,データについて!$J$12:$M$18,7,FALSE),"*")</f>
        <v>3</v>
      </c>
    </row>
    <row r="2173" spans="1:30">
      <c r="A2173" s="30">
        <v>3019</v>
      </c>
      <c r="B2173" s="30" t="s">
        <v>2356</v>
      </c>
      <c r="C2173" s="30" t="s">
        <v>2351</v>
      </c>
      <c r="D2173" s="30" t="s">
        <v>106</v>
      </c>
      <c r="E2173" s="30"/>
      <c r="F2173" s="30" t="s">
        <v>107</v>
      </c>
      <c r="G2173" s="30" t="s">
        <v>106</v>
      </c>
      <c r="H2173" s="30"/>
      <c r="I2173" s="30" t="s">
        <v>192</v>
      </c>
      <c r="J2173" s="30" t="s">
        <v>1415</v>
      </c>
      <c r="K2173" s="30"/>
      <c r="L2173" s="30" t="s">
        <v>117</v>
      </c>
      <c r="M2173" s="30" t="s">
        <v>109</v>
      </c>
      <c r="N2173" s="30" t="s">
        <v>110</v>
      </c>
      <c r="O2173" s="30" t="s">
        <v>115</v>
      </c>
      <c r="P2173" s="30" t="s">
        <v>112</v>
      </c>
      <c r="Q2173" s="30" t="s">
        <v>112</v>
      </c>
      <c r="R2173" s="30" t="s">
        <v>185</v>
      </c>
      <c r="S2173" s="81">
        <f>HLOOKUP(L2173,データについて!$J$6:$M$18,13,FALSE)</f>
        <v>2</v>
      </c>
      <c r="T2173" s="81">
        <f>HLOOKUP(M2173,データについて!$J$7:$M$18,12,FALSE)</f>
        <v>2</v>
      </c>
      <c r="U2173" s="81">
        <f>HLOOKUP(N2173,データについて!$J$8:$M$18,11,FALSE)</f>
        <v>2</v>
      </c>
      <c r="V2173" s="81">
        <f>HLOOKUP(O2173,データについて!$J$9:$M$18,10,FALSE)</f>
        <v>1</v>
      </c>
      <c r="W2173" s="81">
        <f>HLOOKUP(P2173,データについて!$J$10:$M$18,9,FALSE)</f>
        <v>1</v>
      </c>
      <c r="X2173" s="81">
        <f>HLOOKUP(Q2173,データについて!$J$11:$M$18,8,FALSE)</f>
        <v>1</v>
      </c>
      <c r="Y2173" s="81">
        <f>HLOOKUP(R2173,データについて!$J$12:$M$18,7,FALSE)</f>
        <v>2</v>
      </c>
      <c r="Z2173" s="81">
        <f>HLOOKUP(I2173,データについて!$J$3:$M$18,16,FALSE)</f>
        <v>1</v>
      </c>
      <c r="AA2173" s="81">
        <f>IFERROR(HLOOKUP(J2173,データについて!$J$4:$AH$19,16,FALSE),"")</f>
        <v>5</v>
      </c>
      <c r="AB2173" s="81" t="str">
        <f>IFERROR(HLOOKUP(K2173,データについて!$J$5:$AH$20,14,FALSE),"")</f>
        <v/>
      </c>
      <c r="AC2173" s="81">
        <f>IF(X2173=1,HLOOKUP(R2173,データについて!$J$12:$M$18,7,FALSE),"*")</f>
        <v>2</v>
      </c>
      <c r="AD2173" s="81" t="str">
        <f>IF(X2173=2,HLOOKUP(R2173,データについて!$J$12:$M$18,7,FALSE),"*")</f>
        <v>*</v>
      </c>
    </row>
    <row r="2174" spans="1:30">
      <c r="A2174" s="30">
        <v>3018</v>
      </c>
      <c r="B2174" s="30" t="s">
        <v>2357</v>
      </c>
      <c r="C2174" s="30" t="s">
        <v>2358</v>
      </c>
      <c r="D2174" s="30" t="s">
        <v>106</v>
      </c>
      <c r="E2174" s="30"/>
      <c r="F2174" s="30" t="s">
        <v>107</v>
      </c>
      <c r="G2174" s="30" t="s">
        <v>106</v>
      </c>
      <c r="H2174" s="30"/>
      <c r="I2174" s="30" t="s">
        <v>192</v>
      </c>
      <c r="J2174" s="30" t="s">
        <v>2359</v>
      </c>
      <c r="K2174" s="30"/>
      <c r="L2174" s="30" t="s">
        <v>117</v>
      </c>
      <c r="M2174" s="30" t="s">
        <v>113</v>
      </c>
      <c r="N2174" s="30" t="s">
        <v>114</v>
      </c>
      <c r="O2174" s="30" t="s">
        <v>123</v>
      </c>
      <c r="P2174" s="30" t="s">
        <v>118</v>
      </c>
      <c r="Q2174" s="30" t="s">
        <v>118</v>
      </c>
      <c r="R2174" s="30" t="s">
        <v>189</v>
      </c>
      <c r="S2174" s="81">
        <f>HLOOKUP(L2174,データについて!$J$6:$M$18,13,FALSE)</f>
        <v>2</v>
      </c>
      <c r="T2174" s="81">
        <f>HLOOKUP(M2174,データについて!$J$7:$M$18,12,FALSE)</f>
        <v>1</v>
      </c>
      <c r="U2174" s="81">
        <f>HLOOKUP(N2174,データについて!$J$8:$M$18,11,FALSE)</f>
        <v>1</v>
      </c>
      <c r="V2174" s="81">
        <f>HLOOKUP(O2174,データについて!$J$9:$M$18,10,FALSE)</f>
        <v>4</v>
      </c>
      <c r="W2174" s="81">
        <f>HLOOKUP(P2174,データについて!$J$10:$M$18,9,FALSE)</f>
        <v>2</v>
      </c>
      <c r="X2174" s="81">
        <f>HLOOKUP(Q2174,データについて!$J$11:$M$18,8,FALSE)</f>
        <v>2</v>
      </c>
      <c r="Y2174" s="81">
        <f>HLOOKUP(R2174,データについて!$J$12:$M$18,7,FALSE)</f>
        <v>4</v>
      </c>
      <c r="Z2174" s="81">
        <f>HLOOKUP(I2174,データについて!$J$3:$M$18,16,FALSE)</f>
        <v>1</v>
      </c>
      <c r="AA2174" s="81">
        <f>IFERROR(HLOOKUP(J2174,データについて!$J$4:$AH$19,16,FALSE),"")</f>
        <v>10</v>
      </c>
      <c r="AB2174" s="81" t="str">
        <f>IFERROR(HLOOKUP(K2174,データについて!$J$5:$AH$20,14,FALSE),"")</f>
        <v/>
      </c>
      <c r="AC2174" s="81" t="str">
        <f>IF(X2174=1,HLOOKUP(R2174,データについて!$J$12:$M$18,7,FALSE),"*")</f>
        <v>*</v>
      </c>
      <c r="AD2174" s="81">
        <f>IF(X2174=2,HLOOKUP(R2174,データについて!$J$12:$M$18,7,FALSE),"*")</f>
        <v>4</v>
      </c>
    </row>
    <row r="2175" spans="1:30">
      <c r="A2175" s="30">
        <v>3017</v>
      </c>
      <c r="B2175" s="30" t="s">
        <v>2360</v>
      </c>
      <c r="C2175" s="30" t="s">
        <v>2361</v>
      </c>
      <c r="D2175" s="30" t="s">
        <v>106</v>
      </c>
      <c r="E2175" s="30"/>
      <c r="F2175" s="30" t="s">
        <v>107</v>
      </c>
      <c r="G2175" s="30" t="s">
        <v>106</v>
      </c>
      <c r="H2175" s="30"/>
      <c r="I2175" s="30" t="s">
        <v>192</v>
      </c>
      <c r="J2175" s="30" t="s">
        <v>2359</v>
      </c>
      <c r="K2175" s="30"/>
      <c r="L2175" s="30" t="s">
        <v>117</v>
      </c>
      <c r="M2175" s="30" t="s">
        <v>113</v>
      </c>
      <c r="N2175" s="30" t="s">
        <v>114</v>
      </c>
      <c r="O2175" s="30" t="s">
        <v>116</v>
      </c>
      <c r="P2175" s="30" t="s">
        <v>112</v>
      </c>
      <c r="Q2175" s="30" t="s">
        <v>112</v>
      </c>
      <c r="R2175" s="30" t="s">
        <v>185</v>
      </c>
      <c r="S2175" s="81">
        <f>HLOOKUP(L2175,データについて!$J$6:$M$18,13,FALSE)</f>
        <v>2</v>
      </c>
      <c r="T2175" s="81">
        <f>HLOOKUP(M2175,データについて!$J$7:$M$18,12,FALSE)</f>
        <v>1</v>
      </c>
      <c r="U2175" s="81">
        <f>HLOOKUP(N2175,データについて!$J$8:$M$18,11,FALSE)</f>
        <v>1</v>
      </c>
      <c r="V2175" s="81">
        <f>HLOOKUP(O2175,データについて!$J$9:$M$18,10,FALSE)</f>
        <v>2</v>
      </c>
      <c r="W2175" s="81">
        <f>HLOOKUP(P2175,データについて!$J$10:$M$18,9,FALSE)</f>
        <v>1</v>
      </c>
      <c r="X2175" s="81">
        <f>HLOOKUP(Q2175,データについて!$J$11:$M$18,8,FALSE)</f>
        <v>1</v>
      </c>
      <c r="Y2175" s="81">
        <f>HLOOKUP(R2175,データについて!$J$12:$M$18,7,FALSE)</f>
        <v>2</v>
      </c>
      <c r="Z2175" s="81">
        <f>HLOOKUP(I2175,データについて!$J$3:$M$18,16,FALSE)</f>
        <v>1</v>
      </c>
      <c r="AA2175" s="81">
        <f>IFERROR(HLOOKUP(J2175,データについて!$J$4:$AH$19,16,FALSE),"")</f>
        <v>10</v>
      </c>
      <c r="AB2175" s="81" t="str">
        <f>IFERROR(HLOOKUP(K2175,データについて!$J$5:$AH$20,14,FALSE),"")</f>
        <v/>
      </c>
      <c r="AC2175" s="81">
        <f>IF(X2175=1,HLOOKUP(R2175,データについて!$J$12:$M$18,7,FALSE),"*")</f>
        <v>2</v>
      </c>
      <c r="AD2175" s="81" t="str">
        <f>IF(X2175=2,HLOOKUP(R2175,データについて!$J$12:$M$18,7,FALSE),"*")</f>
        <v>*</v>
      </c>
    </row>
    <row r="2176" spans="1:30">
      <c r="A2176" s="30">
        <v>3016</v>
      </c>
      <c r="B2176" s="30" t="s">
        <v>2362</v>
      </c>
      <c r="C2176" s="30" t="s">
        <v>2363</v>
      </c>
      <c r="D2176" s="30" t="s">
        <v>106</v>
      </c>
      <c r="E2176" s="30"/>
      <c r="F2176" s="30" t="s">
        <v>107</v>
      </c>
      <c r="G2176" s="30" t="s">
        <v>106</v>
      </c>
      <c r="H2176" s="30"/>
      <c r="I2176" s="30" t="s">
        <v>192</v>
      </c>
      <c r="J2176" s="30" t="s">
        <v>2359</v>
      </c>
      <c r="K2176" s="30"/>
      <c r="L2176" s="30" t="s">
        <v>108</v>
      </c>
      <c r="M2176" s="30" t="s">
        <v>109</v>
      </c>
      <c r="N2176" s="30" t="s">
        <v>122</v>
      </c>
      <c r="O2176" s="30" t="s">
        <v>115</v>
      </c>
      <c r="P2176" s="30" t="s">
        <v>112</v>
      </c>
      <c r="Q2176" s="30" t="s">
        <v>112</v>
      </c>
      <c r="R2176" s="30" t="s">
        <v>185</v>
      </c>
      <c r="S2176" s="81">
        <f>HLOOKUP(L2176,データについて!$J$6:$M$18,13,FALSE)</f>
        <v>1</v>
      </c>
      <c r="T2176" s="81">
        <f>HLOOKUP(M2176,データについて!$J$7:$M$18,12,FALSE)</f>
        <v>2</v>
      </c>
      <c r="U2176" s="81">
        <f>HLOOKUP(N2176,データについて!$J$8:$M$18,11,FALSE)</f>
        <v>3</v>
      </c>
      <c r="V2176" s="81">
        <f>HLOOKUP(O2176,データについて!$J$9:$M$18,10,FALSE)</f>
        <v>1</v>
      </c>
      <c r="W2176" s="81">
        <f>HLOOKUP(P2176,データについて!$J$10:$M$18,9,FALSE)</f>
        <v>1</v>
      </c>
      <c r="X2176" s="81">
        <f>HLOOKUP(Q2176,データについて!$J$11:$M$18,8,FALSE)</f>
        <v>1</v>
      </c>
      <c r="Y2176" s="81">
        <f>HLOOKUP(R2176,データについて!$J$12:$M$18,7,FALSE)</f>
        <v>2</v>
      </c>
      <c r="Z2176" s="81">
        <f>HLOOKUP(I2176,データについて!$J$3:$M$18,16,FALSE)</f>
        <v>1</v>
      </c>
      <c r="AA2176" s="81">
        <f>IFERROR(HLOOKUP(J2176,データについて!$J$4:$AH$19,16,FALSE),"")</f>
        <v>10</v>
      </c>
      <c r="AB2176" s="81" t="str">
        <f>IFERROR(HLOOKUP(K2176,データについて!$J$5:$AH$20,14,FALSE),"")</f>
        <v/>
      </c>
      <c r="AC2176" s="81">
        <f>IF(X2176=1,HLOOKUP(R2176,データについて!$J$12:$M$18,7,FALSE),"*")</f>
        <v>2</v>
      </c>
      <c r="AD2176" s="81" t="str">
        <f>IF(X2176=2,HLOOKUP(R2176,データについて!$J$12:$M$18,7,FALSE),"*")</f>
        <v>*</v>
      </c>
    </row>
    <row r="2177" spans="1:30">
      <c r="A2177" s="30">
        <v>3015</v>
      </c>
      <c r="B2177" s="30" t="s">
        <v>2364</v>
      </c>
      <c r="C2177" s="30" t="s">
        <v>2365</v>
      </c>
      <c r="D2177" s="30" t="s">
        <v>106</v>
      </c>
      <c r="E2177" s="30"/>
      <c r="F2177" s="30" t="s">
        <v>107</v>
      </c>
      <c r="G2177" s="30" t="s">
        <v>106</v>
      </c>
      <c r="H2177" s="30"/>
      <c r="I2177" s="30" t="s">
        <v>192</v>
      </c>
      <c r="J2177" s="30" t="s">
        <v>2359</v>
      </c>
      <c r="K2177" s="30"/>
      <c r="L2177" s="30" t="s">
        <v>117</v>
      </c>
      <c r="M2177" s="30" t="s">
        <v>113</v>
      </c>
      <c r="N2177" s="30" t="s">
        <v>114</v>
      </c>
      <c r="O2177" s="30" t="s">
        <v>116</v>
      </c>
      <c r="P2177" s="30" t="s">
        <v>112</v>
      </c>
      <c r="Q2177" s="30" t="s">
        <v>112</v>
      </c>
      <c r="R2177" s="30" t="s">
        <v>185</v>
      </c>
      <c r="S2177" s="81">
        <f>HLOOKUP(L2177,データについて!$J$6:$M$18,13,FALSE)</f>
        <v>2</v>
      </c>
      <c r="T2177" s="81">
        <f>HLOOKUP(M2177,データについて!$J$7:$M$18,12,FALSE)</f>
        <v>1</v>
      </c>
      <c r="U2177" s="81">
        <f>HLOOKUP(N2177,データについて!$J$8:$M$18,11,FALSE)</f>
        <v>1</v>
      </c>
      <c r="V2177" s="81">
        <f>HLOOKUP(O2177,データについて!$J$9:$M$18,10,FALSE)</f>
        <v>2</v>
      </c>
      <c r="W2177" s="81">
        <f>HLOOKUP(P2177,データについて!$J$10:$M$18,9,FALSE)</f>
        <v>1</v>
      </c>
      <c r="X2177" s="81">
        <f>HLOOKUP(Q2177,データについて!$J$11:$M$18,8,FALSE)</f>
        <v>1</v>
      </c>
      <c r="Y2177" s="81">
        <f>HLOOKUP(R2177,データについて!$J$12:$M$18,7,FALSE)</f>
        <v>2</v>
      </c>
      <c r="Z2177" s="81">
        <f>HLOOKUP(I2177,データについて!$J$3:$M$18,16,FALSE)</f>
        <v>1</v>
      </c>
      <c r="AA2177" s="81">
        <f>IFERROR(HLOOKUP(J2177,データについて!$J$4:$AH$19,16,FALSE),"")</f>
        <v>10</v>
      </c>
      <c r="AB2177" s="81" t="str">
        <f>IFERROR(HLOOKUP(K2177,データについて!$J$5:$AH$20,14,FALSE),"")</f>
        <v/>
      </c>
      <c r="AC2177" s="81">
        <f>IF(X2177=1,HLOOKUP(R2177,データについて!$J$12:$M$18,7,FALSE),"*")</f>
        <v>2</v>
      </c>
      <c r="AD2177" s="81" t="str">
        <f>IF(X2177=2,HLOOKUP(R2177,データについて!$J$12:$M$18,7,FALSE),"*")</f>
        <v>*</v>
      </c>
    </row>
    <row r="2178" spans="1:30">
      <c r="A2178" s="30">
        <v>3014</v>
      </c>
      <c r="B2178" s="30" t="s">
        <v>2366</v>
      </c>
      <c r="C2178" s="30" t="s">
        <v>2367</v>
      </c>
      <c r="D2178" s="30" t="s">
        <v>106</v>
      </c>
      <c r="E2178" s="30"/>
      <c r="F2178" s="30" t="s">
        <v>107</v>
      </c>
      <c r="G2178" s="30" t="s">
        <v>106</v>
      </c>
      <c r="H2178" s="30"/>
      <c r="I2178" s="30" t="s">
        <v>192</v>
      </c>
      <c r="J2178" s="30" t="s">
        <v>2359</v>
      </c>
      <c r="K2178" s="30"/>
      <c r="L2178" s="30" t="s">
        <v>117</v>
      </c>
      <c r="M2178" s="30" t="s">
        <v>124</v>
      </c>
      <c r="N2178" s="30" t="s">
        <v>110</v>
      </c>
      <c r="O2178" s="30" t="s">
        <v>116</v>
      </c>
      <c r="P2178" s="30" t="s">
        <v>112</v>
      </c>
      <c r="Q2178" s="30" t="s">
        <v>118</v>
      </c>
      <c r="R2178" s="30" t="s">
        <v>187</v>
      </c>
      <c r="S2178" s="81">
        <f>HLOOKUP(L2178,データについて!$J$6:$M$18,13,FALSE)</f>
        <v>2</v>
      </c>
      <c r="T2178" s="81">
        <f>HLOOKUP(M2178,データについて!$J$7:$M$18,12,FALSE)</f>
        <v>3</v>
      </c>
      <c r="U2178" s="81">
        <f>HLOOKUP(N2178,データについて!$J$8:$M$18,11,FALSE)</f>
        <v>2</v>
      </c>
      <c r="V2178" s="81">
        <f>HLOOKUP(O2178,データについて!$J$9:$M$18,10,FALSE)</f>
        <v>2</v>
      </c>
      <c r="W2178" s="81">
        <f>HLOOKUP(P2178,データについて!$J$10:$M$18,9,FALSE)</f>
        <v>1</v>
      </c>
      <c r="X2178" s="81">
        <f>HLOOKUP(Q2178,データについて!$J$11:$M$18,8,FALSE)</f>
        <v>2</v>
      </c>
      <c r="Y2178" s="81">
        <f>HLOOKUP(R2178,データについて!$J$12:$M$18,7,FALSE)</f>
        <v>3</v>
      </c>
      <c r="Z2178" s="81">
        <f>HLOOKUP(I2178,データについて!$J$3:$M$18,16,FALSE)</f>
        <v>1</v>
      </c>
      <c r="AA2178" s="81">
        <f>IFERROR(HLOOKUP(J2178,データについて!$J$4:$AH$19,16,FALSE),"")</f>
        <v>10</v>
      </c>
      <c r="AB2178" s="81" t="str">
        <f>IFERROR(HLOOKUP(K2178,データについて!$J$5:$AH$20,14,FALSE),"")</f>
        <v/>
      </c>
      <c r="AC2178" s="81" t="str">
        <f>IF(X2178=1,HLOOKUP(R2178,データについて!$J$12:$M$18,7,FALSE),"*")</f>
        <v>*</v>
      </c>
      <c r="AD2178" s="81">
        <f>IF(X2178=2,HLOOKUP(R2178,データについて!$J$12:$M$18,7,FALSE),"*")</f>
        <v>3</v>
      </c>
    </row>
    <row r="2179" spans="1:30">
      <c r="A2179" s="30">
        <v>3013</v>
      </c>
      <c r="B2179" s="30" t="s">
        <v>2368</v>
      </c>
      <c r="C2179" s="30" t="s">
        <v>2369</v>
      </c>
      <c r="D2179" s="30" t="s">
        <v>106</v>
      </c>
      <c r="E2179" s="30"/>
      <c r="F2179" s="30" t="s">
        <v>107</v>
      </c>
      <c r="G2179" s="30" t="s">
        <v>106</v>
      </c>
      <c r="H2179" s="30"/>
      <c r="I2179" s="30" t="s">
        <v>192</v>
      </c>
      <c r="J2179" s="30" t="s">
        <v>2359</v>
      </c>
      <c r="K2179" s="30"/>
      <c r="L2179" s="30" t="s">
        <v>108</v>
      </c>
      <c r="M2179" s="30" t="s">
        <v>113</v>
      </c>
      <c r="N2179" s="30" t="s">
        <v>114</v>
      </c>
      <c r="O2179" s="30" t="s">
        <v>115</v>
      </c>
      <c r="P2179" s="30" t="s">
        <v>112</v>
      </c>
      <c r="Q2179" s="30" t="s">
        <v>112</v>
      </c>
      <c r="R2179" s="30" t="s">
        <v>183</v>
      </c>
      <c r="S2179" s="81">
        <f>HLOOKUP(L2179,データについて!$J$6:$M$18,13,FALSE)</f>
        <v>1</v>
      </c>
      <c r="T2179" s="81">
        <f>HLOOKUP(M2179,データについて!$J$7:$M$18,12,FALSE)</f>
        <v>1</v>
      </c>
      <c r="U2179" s="81">
        <f>HLOOKUP(N2179,データについて!$J$8:$M$18,11,FALSE)</f>
        <v>1</v>
      </c>
      <c r="V2179" s="81">
        <f>HLOOKUP(O2179,データについて!$J$9:$M$18,10,FALSE)</f>
        <v>1</v>
      </c>
      <c r="W2179" s="81">
        <f>HLOOKUP(P2179,データについて!$J$10:$M$18,9,FALSE)</f>
        <v>1</v>
      </c>
      <c r="X2179" s="81">
        <f>HLOOKUP(Q2179,データについて!$J$11:$M$18,8,FALSE)</f>
        <v>1</v>
      </c>
      <c r="Y2179" s="81">
        <f>HLOOKUP(R2179,データについて!$J$12:$M$18,7,FALSE)</f>
        <v>1</v>
      </c>
      <c r="Z2179" s="81">
        <f>HLOOKUP(I2179,データについて!$J$3:$M$18,16,FALSE)</f>
        <v>1</v>
      </c>
      <c r="AA2179" s="81">
        <f>IFERROR(HLOOKUP(J2179,データについて!$J$4:$AH$19,16,FALSE),"")</f>
        <v>10</v>
      </c>
      <c r="AB2179" s="81" t="str">
        <f>IFERROR(HLOOKUP(K2179,データについて!$J$5:$AH$20,14,FALSE),"")</f>
        <v/>
      </c>
      <c r="AC2179" s="81">
        <f>IF(X2179=1,HLOOKUP(R2179,データについて!$J$12:$M$18,7,FALSE),"*")</f>
        <v>1</v>
      </c>
      <c r="AD2179" s="81" t="str">
        <f>IF(X2179=2,HLOOKUP(R2179,データについて!$J$12:$M$18,7,FALSE),"*")</f>
        <v>*</v>
      </c>
    </row>
    <row r="2180" spans="1:30">
      <c r="A2180" s="30">
        <v>3012</v>
      </c>
      <c r="B2180" s="30" t="s">
        <v>2370</v>
      </c>
      <c r="C2180" s="30" t="s">
        <v>2371</v>
      </c>
      <c r="D2180" s="30" t="s">
        <v>106</v>
      </c>
      <c r="E2180" s="30"/>
      <c r="F2180" s="30" t="s">
        <v>107</v>
      </c>
      <c r="G2180" s="30" t="s">
        <v>106</v>
      </c>
      <c r="H2180" s="30"/>
      <c r="I2180" s="30" t="s">
        <v>192</v>
      </c>
      <c r="J2180" s="30" t="s">
        <v>2359</v>
      </c>
      <c r="K2180" s="30"/>
      <c r="L2180" s="30" t="s">
        <v>108</v>
      </c>
      <c r="M2180" s="30" t="s">
        <v>113</v>
      </c>
      <c r="N2180" s="30" t="s">
        <v>114</v>
      </c>
      <c r="O2180" s="30" t="s">
        <v>115</v>
      </c>
      <c r="P2180" s="30" t="s">
        <v>112</v>
      </c>
      <c r="Q2180" s="30" t="s">
        <v>112</v>
      </c>
      <c r="R2180" s="30" t="s">
        <v>183</v>
      </c>
      <c r="S2180" s="81">
        <f>HLOOKUP(L2180,データについて!$J$6:$M$18,13,FALSE)</f>
        <v>1</v>
      </c>
      <c r="T2180" s="81">
        <f>HLOOKUP(M2180,データについて!$J$7:$M$18,12,FALSE)</f>
        <v>1</v>
      </c>
      <c r="U2180" s="81">
        <f>HLOOKUP(N2180,データについて!$J$8:$M$18,11,FALSE)</f>
        <v>1</v>
      </c>
      <c r="V2180" s="81">
        <f>HLOOKUP(O2180,データについて!$J$9:$M$18,10,FALSE)</f>
        <v>1</v>
      </c>
      <c r="W2180" s="81">
        <f>HLOOKUP(P2180,データについて!$J$10:$M$18,9,FALSE)</f>
        <v>1</v>
      </c>
      <c r="X2180" s="81">
        <f>HLOOKUP(Q2180,データについて!$J$11:$M$18,8,FALSE)</f>
        <v>1</v>
      </c>
      <c r="Y2180" s="81">
        <f>HLOOKUP(R2180,データについて!$J$12:$M$18,7,FALSE)</f>
        <v>1</v>
      </c>
      <c r="Z2180" s="81">
        <f>HLOOKUP(I2180,データについて!$J$3:$M$18,16,FALSE)</f>
        <v>1</v>
      </c>
      <c r="AA2180" s="81">
        <f>IFERROR(HLOOKUP(J2180,データについて!$J$4:$AH$19,16,FALSE),"")</f>
        <v>10</v>
      </c>
      <c r="AB2180" s="81" t="str">
        <f>IFERROR(HLOOKUP(K2180,データについて!$J$5:$AH$20,14,FALSE),"")</f>
        <v/>
      </c>
      <c r="AC2180" s="81">
        <f>IF(X2180=1,HLOOKUP(R2180,データについて!$J$12:$M$18,7,FALSE),"*")</f>
        <v>1</v>
      </c>
      <c r="AD2180" s="81" t="str">
        <f>IF(X2180=2,HLOOKUP(R2180,データについて!$J$12:$M$18,7,FALSE),"*")</f>
        <v>*</v>
      </c>
    </row>
    <row r="2181" spans="1:30">
      <c r="A2181" s="30">
        <v>3011</v>
      </c>
      <c r="B2181" s="30" t="s">
        <v>2372</v>
      </c>
      <c r="C2181" s="30" t="s">
        <v>2373</v>
      </c>
      <c r="D2181" s="30" t="s">
        <v>106</v>
      </c>
      <c r="E2181" s="30"/>
      <c r="F2181" s="30" t="s">
        <v>107</v>
      </c>
      <c r="G2181" s="30" t="s">
        <v>106</v>
      </c>
      <c r="H2181" s="30"/>
      <c r="I2181" s="30" t="s">
        <v>192</v>
      </c>
      <c r="J2181" s="30" t="s">
        <v>2359</v>
      </c>
      <c r="K2181" s="30"/>
      <c r="L2181" s="30" t="s">
        <v>108</v>
      </c>
      <c r="M2181" s="30" t="s">
        <v>113</v>
      </c>
      <c r="N2181" s="30" t="s">
        <v>110</v>
      </c>
      <c r="O2181" s="30" t="s">
        <v>115</v>
      </c>
      <c r="P2181" s="30" t="s">
        <v>112</v>
      </c>
      <c r="Q2181" s="30" t="s">
        <v>112</v>
      </c>
      <c r="R2181" s="30" t="s">
        <v>183</v>
      </c>
      <c r="S2181" s="81">
        <f>HLOOKUP(L2181,データについて!$J$6:$M$18,13,FALSE)</f>
        <v>1</v>
      </c>
      <c r="T2181" s="81">
        <f>HLOOKUP(M2181,データについて!$J$7:$M$18,12,FALSE)</f>
        <v>1</v>
      </c>
      <c r="U2181" s="81">
        <f>HLOOKUP(N2181,データについて!$J$8:$M$18,11,FALSE)</f>
        <v>2</v>
      </c>
      <c r="V2181" s="81">
        <f>HLOOKUP(O2181,データについて!$J$9:$M$18,10,FALSE)</f>
        <v>1</v>
      </c>
      <c r="W2181" s="81">
        <f>HLOOKUP(P2181,データについて!$J$10:$M$18,9,FALSE)</f>
        <v>1</v>
      </c>
      <c r="X2181" s="81">
        <f>HLOOKUP(Q2181,データについて!$J$11:$M$18,8,FALSE)</f>
        <v>1</v>
      </c>
      <c r="Y2181" s="81">
        <f>HLOOKUP(R2181,データについて!$J$12:$M$18,7,FALSE)</f>
        <v>1</v>
      </c>
      <c r="Z2181" s="81">
        <f>HLOOKUP(I2181,データについて!$J$3:$M$18,16,FALSE)</f>
        <v>1</v>
      </c>
      <c r="AA2181" s="81">
        <f>IFERROR(HLOOKUP(J2181,データについて!$J$4:$AH$19,16,FALSE),"")</f>
        <v>10</v>
      </c>
      <c r="AB2181" s="81" t="str">
        <f>IFERROR(HLOOKUP(K2181,データについて!$J$5:$AH$20,14,FALSE),"")</f>
        <v/>
      </c>
      <c r="AC2181" s="81">
        <f>IF(X2181=1,HLOOKUP(R2181,データについて!$J$12:$M$18,7,FALSE),"*")</f>
        <v>1</v>
      </c>
      <c r="AD2181" s="81" t="str">
        <f>IF(X2181=2,HLOOKUP(R2181,データについて!$J$12:$M$18,7,FALSE),"*")</f>
        <v>*</v>
      </c>
    </row>
    <row r="2182" spans="1:30">
      <c r="A2182" s="30">
        <v>3010</v>
      </c>
      <c r="B2182" s="30" t="s">
        <v>2374</v>
      </c>
      <c r="C2182" s="30" t="s">
        <v>2375</v>
      </c>
      <c r="D2182" s="30" t="s">
        <v>106</v>
      </c>
      <c r="E2182" s="30"/>
      <c r="F2182" s="30" t="s">
        <v>107</v>
      </c>
      <c r="G2182" s="30" t="s">
        <v>106</v>
      </c>
      <c r="H2182" s="30"/>
      <c r="I2182" s="30" t="s">
        <v>192</v>
      </c>
      <c r="J2182" s="30" t="s">
        <v>2359</v>
      </c>
      <c r="K2182" s="30"/>
      <c r="L2182" s="30" t="s">
        <v>108</v>
      </c>
      <c r="M2182" s="30" t="s">
        <v>113</v>
      </c>
      <c r="N2182" s="30" t="s">
        <v>114</v>
      </c>
      <c r="O2182" s="30" t="s">
        <v>115</v>
      </c>
      <c r="P2182" s="30" t="s">
        <v>112</v>
      </c>
      <c r="Q2182" s="30" t="s">
        <v>112</v>
      </c>
      <c r="R2182" s="30" t="s">
        <v>187</v>
      </c>
      <c r="S2182" s="81">
        <f>HLOOKUP(L2182,データについて!$J$6:$M$18,13,FALSE)</f>
        <v>1</v>
      </c>
      <c r="T2182" s="81">
        <f>HLOOKUP(M2182,データについて!$J$7:$M$18,12,FALSE)</f>
        <v>1</v>
      </c>
      <c r="U2182" s="81">
        <f>HLOOKUP(N2182,データについて!$J$8:$M$18,11,FALSE)</f>
        <v>1</v>
      </c>
      <c r="V2182" s="81">
        <f>HLOOKUP(O2182,データについて!$J$9:$M$18,10,FALSE)</f>
        <v>1</v>
      </c>
      <c r="W2182" s="81">
        <f>HLOOKUP(P2182,データについて!$J$10:$M$18,9,FALSE)</f>
        <v>1</v>
      </c>
      <c r="X2182" s="81">
        <f>HLOOKUP(Q2182,データについて!$J$11:$M$18,8,FALSE)</f>
        <v>1</v>
      </c>
      <c r="Y2182" s="81">
        <f>HLOOKUP(R2182,データについて!$J$12:$M$18,7,FALSE)</f>
        <v>3</v>
      </c>
      <c r="Z2182" s="81">
        <f>HLOOKUP(I2182,データについて!$J$3:$M$18,16,FALSE)</f>
        <v>1</v>
      </c>
      <c r="AA2182" s="81">
        <f>IFERROR(HLOOKUP(J2182,データについて!$J$4:$AH$19,16,FALSE),"")</f>
        <v>10</v>
      </c>
      <c r="AB2182" s="81" t="str">
        <f>IFERROR(HLOOKUP(K2182,データについて!$J$5:$AH$20,14,FALSE),"")</f>
        <v/>
      </c>
      <c r="AC2182" s="81">
        <f>IF(X2182=1,HLOOKUP(R2182,データについて!$J$12:$M$18,7,FALSE),"*")</f>
        <v>3</v>
      </c>
      <c r="AD2182" s="81" t="str">
        <f>IF(X2182=2,HLOOKUP(R2182,データについて!$J$12:$M$18,7,FALSE),"*")</f>
        <v>*</v>
      </c>
    </row>
    <row r="2183" spans="1:30">
      <c r="A2183" s="30">
        <v>3009</v>
      </c>
      <c r="B2183" s="30" t="s">
        <v>2376</v>
      </c>
      <c r="C2183" s="30" t="s">
        <v>2377</v>
      </c>
      <c r="D2183" s="30" t="s">
        <v>106</v>
      </c>
      <c r="E2183" s="30"/>
      <c r="F2183" s="30" t="s">
        <v>107</v>
      </c>
      <c r="G2183" s="30" t="s">
        <v>106</v>
      </c>
      <c r="H2183" s="30"/>
      <c r="I2183" s="30" t="s">
        <v>192</v>
      </c>
      <c r="J2183" s="30" t="s">
        <v>2359</v>
      </c>
      <c r="K2183" s="30"/>
      <c r="L2183" s="30" t="s">
        <v>108</v>
      </c>
      <c r="M2183" s="30" t="s">
        <v>113</v>
      </c>
      <c r="N2183" s="30" t="s">
        <v>114</v>
      </c>
      <c r="O2183" s="30" t="s">
        <v>115</v>
      </c>
      <c r="P2183" s="30" t="s">
        <v>112</v>
      </c>
      <c r="Q2183" s="30" t="s">
        <v>112</v>
      </c>
      <c r="R2183" s="30" t="s">
        <v>187</v>
      </c>
      <c r="S2183" s="81">
        <f>HLOOKUP(L2183,データについて!$J$6:$M$18,13,FALSE)</f>
        <v>1</v>
      </c>
      <c r="T2183" s="81">
        <f>HLOOKUP(M2183,データについて!$J$7:$M$18,12,FALSE)</f>
        <v>1</v>
      </c>
      <c r="U2183" s="81">
        <f>HLOOKUP(N2183,データについて!$J$8:$M$18,11,FALSE)</f>
        <v>1</v>
      </c>
      <c r="V2183" s="81">
        <f>HLOOKUP(O2183,データについて!$J$9:$M$18,10,FALSE)</f>
        <v>1</v>
      </c>
      <c r="W2183" s="81">
        <f>HLOOKUP(P2183,データについて!$J$10:$M$18,9,FALSE)</f>
        <v>1</v>
      </c>
      <c r="X2183" s="81">
        <f>HLOOKUP(Q2183,データについて!$J$11:$M$18,8,FALSE)</f>
        <v>1</v>
      </c>
      <c r="Y2183" s="81">
        <f>HLOOKUP(R2183,データについて!$J$12:$M$18,7,FALSE)</f>
        <v>3</v>
      </c>
      <c r="Z2183" s="81">
        <f>HLOOKUP(I2183,データについて!$J$3:$M$18,16,FALSE)</f>
        <v>1</v>
      </c>
      <c r="AA2183" s="81">
        <f>IFERROR(HLOOKUP(J2183,データについて!$J$4:$AH$19,16,FALSE),"")</f>
        <v>10</v>
      </c>
      <c r="AB2183" s="81" t="str">
        <f>IFERROR(HLOOKUP(K2183,データについて!$J$5:$AH$20,14,FALSE),"")</f>
        <v/>
      </c>
      <c r="AC2183" s="81">
        <f>IF(X2183=1,HLOOKUP(R2183,データについて!$J$12:$M$18,7,FALSE),"*")</f>
        <v>3</v>
      </c>
      <c r="AD2183" s="81" t="str">
        <f>IF(X2183=2,HLOOKUP(R2183,データについて!$J$12:$M$18,7,FALSE),"*")</f>
        <v>*</v>
      </c>
    </row>
    <row r="2184" spans="1:30">
      <c r="A2184" s="30">
        <v>3008</v>
      </c>
      <c r="B2184" s="30" t="s">
        <v>2378</v>
      </c>
      <c r="C2184" s="30" t="s">
        <v>2379</v>
      </c>
      <c r="D2184" s="30" t="s">
        <v>106</v>
      </c>
      <c r="E2184" s="30"/>
      <c r="F2184" s="30" t="s">
        <v>107</v>
      </c>
      <c r="G2184" s="30" t="s">
        <v>106</v>
      </c>
      <c r="H2184" s="30"/>
      <c r="I2184" s="30" t="s">
        <v>192</v>
      </c>
      <c r="J2184" s="30" t="s">
        <v>2359</v>
      </c>
      <c r="K2184" s="30"/>
      <c r="L2184" s="30" t="s">
        <v>108</v>
      </c>
      <c r="M2184" s="30" t="s">
        <v>113</v>
      </c>
      <c r="N2184" s="30" t="s">
        <v>114</v>
      </c>
      <c r="O2184" s="30" t="s">
        <v>115</v>
      </c>
      <c r="P2184" s="30" t="s">
        <v>112</v>
      </c>
      <c r="Q2184" s="30" t="s">
        <v>112</v>
      </c>
      <c r="R2184" s="30" t="s">
        <v>187</v>
      </c>
      <c r="S2184" s="81">
        <f>HLOOKUP(L2184,データについて!$J$6:$M$18,13,FALSE)</f>
        <v>1</v>
      </c>
      <c r="T2184" s="81">
        <f>HLOOKUP(M2184,データについて!$J$7:$M$18,12,FALSE)</f>
        <v>1</v>
      </c>
      <c r="U2184" s="81">
        <f>HLOOKUP(N2184,データについて!$J$8:$M$18,11,FALSE)</f>
        <v>1</v>
      </c>
      <c r="V2184" s="81">
        <f>HLOOKUP(O2184,データについて!$J$9:$M$18,10,FALSE)</f>
        <v>1</v>
      </c>
      <c r="W2184" s="81">
        <f>HLOOKUP(P2184,データについて!$J$10:$M$18,9,FALSE)</f>
        <v>1</v>
      </c>
      <c r="X2184" s="81">
        <f>HLOOKUP(Q2184,データについて!$J$11:$M$18,8,FALSE)</f>
        <v>1</v>
      </c>
      <c r="Y2184" s="81">
        <f>HLOOKUP(R2184,データについて!$J$12:$M$18,7,FALSE)</f>
        <v>3</v>
      </c>
      <c r="Z2184" s="81">
        <f>HLOOKUP(I2184,データについて!$J$3:$M$18,16,FALSE)</f>
        <v>1</v>
      </c>
      <c r="AA2184" s="81">
        <f>IFERROR(HLOOKUP(J2184,データについて!$J$4:$AH$19,16,FALSE),"")</f>
        <v>10</v>
      </c>
      <c r="AB2184" s="81" t="str">
        <f>IFERROR(HLOOKUP(K2184,データについて!$J$5:$AH$20,14,FALSE),"")</f>
        <v/>
      </c>
      <c r="AC2184" s="81">
        <f>IF(X2184=1,HLOOKUP(R2184,データについて!$J$12:$M$18,7,FALSE),"*")</f>
        <v>3</v>
      </c>
      <c r="AD2184" s="81" t="str">
        <f>IF(X2184=2,HLOOKUP(R2184,データについて!$J$12:$M$18,7,FALSE),"*")</f>
        <v>*</v>
      </c>
    </row>
    <row r="2185" spans="1:30">
      <c r="A2185" s="30">
        <v>3007</v>
      </c>
      <c r="B2185" s="30" t="s">
        <v>2380</v>
      </c>
      <c r="C2185" s="30" t="s">
        <v>2381</v>
      </c>
      <c r="D2185" s="30" t="s">
        <v>106</v>
      </c>
      <c r="E2185" s="30"/>
      <c r="F2185" s="30" t="s">
        <v>107</v>
      </c>
      <c r="G2185" s="30" t="s">
        <v>106</v>
      </c>
      <c r="H2185" s="30"/>
      <c r="I2185" s="30" t="s">
        <v>192</v>
      </c>
      <c r="J2185" s="30" t="s">
        <v>2359</v>
      </c>
      <c r="K2185" s="30"/>
      <c r="L2185" s="30" t="s">
        <v>108</v>
      </c>
      <c r="M2185" s="30" t="s">
        <v>113</v>
      </c>
      <c r="N2185" s="30" t="s">
        <v>114</v>
      </c>
      <c r="O2185" s="30" t="s">
        <v>115</v>
      </c>
      <c r="P2185" s="30" t="s">
        <v>112</v>
      </c>
      <c r="Q2185" s="30" t="s">
        <v>112</v>
      </c>
      <c r="R2185" s="30" t="s">
        <v>185</v>
      </c>
      <c r="S2185" s="81">
        <f>HLOOKUP(L2185,データについて!$J$6:$M$18,13,FALSE)</f>
        <v>1</v>
      </c>
      <c r="T2185" s="81">
        <f>HLOOKUP(M2185,データについて!$J$7:$M$18,12,FALSE)</f>
        <v>1</v>
      </c>
      <c r="U2185" s="81">
        <f>HLOOKUP(N2185,データについて!$J$8:$M$18,11,FALSE)</f>
        <v>1</v>
      </c>
      <c r="V2185" s="81">
        <f>HLOOKUP(O2185,データについて!$J$9:$M$18,10,FALSE)</f>
        <v>1</v>
      </c>
      <c r="W2185" s="81">
        <f>HLOOKUP(P2185,データについて!$J$10:$M$18,9,FALSE)</f>
        <v>1</v>
      </c>
      <c r="X2185" s="81">
        <f>HLOOKUP(Q2185,データについて!$J$11:$M$18,8,FALSE)</f>
        <v>1</v>
      </c>
      <c r="Y2185" s="81">
        <f>HLOOKUP(R2185,データについて!$J$12:$M$18,7,FALSE)</f>
        <v>2</v>
      </c>
      <c r="Z2185" s="81">
        <f>HLOOKUP(I2185,データについて!$J$3:$M$18,16,FALSE)</f>
        <v>1</v>
      </c>
      <c r="AA2185" s="81">
        <f>IFERROR(HLOOKUP(J2185,データについて!$J$4:$AH$19,16,FALSE),"")</f>
        <v>10</v>
      </c>
      <c r="AB2185" s="81" t="str">
        <f>IFERROR(HLOOKUP(K2185,データについて!$J$5:$AH$20,14,FALSE),"")</f>
        <v/>
      </c>
      <c r="AC2185" s="81">
        <f>IF(X2185=1,HLOOKUP(R2185,データについて!$J$12:$M$18,7,FALSE),"*")</f>
        <v>2</v>
      </c>
      <c r="AD2185" s="81" t="str">
        <f>IF(X2185=2,HLOOKUP(R2185,データについて!$J$12:$M$18,7,FALSE),"*")</f>
        <v>*</v>
      </c>
    </row>
    <row r="2186" spans="1:30">
      <c r="A2186" s="30">
        <v>3006</v>
      </c>
      <c r="B2186" s="30" t="s">
        <v>2382</v>
      </c>
      <c r="C2186" s="30" t="s">
        <v>2383</v>
      </c>
      <c r="D2186" s="30" t="s">
        <v>106</v>
      </c>
      <c r="E2186" s="30"/>
      <c r="F2186" s="30" t="s">
        <v>107</v>
      </c>
      <c r="G2186" s="30" t="s">
        <v>106</v>
      </c>
      <c r="H2186" s="30"/>
      <c r="I2186" s="30" t="s">
        <v>192</v>
      </c>
      <c r="J2186" s="30" t="s">
        <v>2359</v>
      </c>
      <c r="K2186" s="30"/>
      <c r="L2186" s="30" t="s">
        <v>108</v>
      </c>
      <c r="M2186" s="30" t="s">
        <v>113</v>
      </c>
      <c r="N2186" s="30" t="s">
        <v>114</v>
      </c>
      <c r="O2186" s="30" t="s">
        <v>115</v>
      </c>
      <c r="P2186" s="30" t="s">
        <v>112</v>
      </c>
      <c r="Q2186" s="30" t="s">
        <v>112</v>
      </c>
      <c r="R2186" s="30" t="s">
        <v>183</v>
      </c>
      <c r="S2186" s="81">
        <f>HLOOKUP(L2186,データについて!$J$6:$M$18,13,FALSE)</f>
        <v>1</v>
      </c>
      <c r="T2186" s="81">
        <f>HLOOKUP(M2186,データについて!$J$7:$M$18,12,FALSE)</f>
        <v>1</v>
      </c>
      <c r="U2186" s="81">
        <f>HLOOKUP(N2186,データについて!$J$8:$M$18,11,FALSE)</f>
        <v>1</v>
      </c>
      <c r="V2186" s="81">
        <f>HLOOKUP(O2186,データについて!$J$9:$M$18,10,FALSE)</f>
        <v>1</v>
      </c>
      <c r="W2186" s="81">
        <f>HLOOKUP(P2186,データについて!$J$10:$M$18,9,FALSE)</f>
        <v>1</v>
      </c>
      <c r="X2186" s="81">
        <f>HLOOKUP(Q2186,データについて!$J$11:$M$18,8,FALSE)</f>
        <v>1</v>
      </c>
      <c r="Y2186" s="81">
        <f>HLOOKUP(R2186,データについて!$J$12:$M$18,7,FALSE)</f>
        <v>1</v>
      </c>
      <c r="Z2186" s="81">
        <f>HLOOKUP(I2186,データについて!$J$3:$M$18,16,FALSE)</f>
        <v>1</v>
      </c>
      <c r="AA2186" s="81">
        <f>IFERROR(HLOOKUP(J2186,データについて!$J$4:$AH$19,16,FALSE),"")</f>
        <v>10</v>
      </c>
      <c r="AB2186" s="81" t="str">
        <f>IFERROR(HLOOKUP(K2186,データについて!$J$5:$AH$20,14,FALSE),"")</f>
        <v/>
      </c>
      <c r="AC2186" s="81">
        <f>IF(X2186=1,HLOOKUP(R2186,データについて!$J$12:$M$18,7,FALSE),"*")</f>
        <v>1</v>
      </c>
      <c r="AD2186" s="81" t="str">
        <f>IF(X2186=2,HLOOKUP(R2186,データについて!$J$12:$M$18,7,FALSE),"*")</f>
        <v>*</v>
      </c>
    </row>
    <row r="2187" spans="1:30">
      <c r="A2187" s="30">
        <v>3005</v>
      </c>
      <c r="B2187" s="30" t="s">
        <v>2384</v>
      </c>
      <c r="C2187" s="30" t="s">
        <v>2385</v>
      </c>
      <c r="D2187" s="30" t="s">
        <v>106</v>
      </c>
      <c r="E2187" s="30"/>
      <c r="F2187" s="30" t="s">
        <v>107</v>
      </c>
      <c r="G2187" s="30" t="s">
        <v>106</v>
      </c>
      <c r="H2187" s="30"/>
      <c r="I2187" s="30" t="s">
        <v>192</v>
      </c>
      <c r="J2187" s="30" t="s">
        <v>2359</v>
      </c>
      <c r="K2187" s="30"/>
      <c r="L2187" s="30" t="s">
        <v>108</v>
      </c>
      <c r="M2187" s="30" t="s">
        <v>113</v>
      </c>
      <c r="N2187" s="30" t="s">
        <v>114</v>
      </c>
      <c r="O2187" s="30" t="s">
        <v>115</v>
      </c>
      <c r="P2187" s="30" t="s">
        <v>112</v>
      </c>
      <c r="Q2187" s="30" t="s">
        <v>118</v>
      </c>
      <c r="R2187" s="30" t="s">
        <v>183</v>
      </c>
      <c r="S2187" s="81">
        <f>HLOOKUP(L2187,データについて!$J$6:$M$18,13,FALSE)</f>
        <v>1</v>
      </c>
      <c r="T2187" s="81">
        <f>HLOOKUP(M2187,データについて!$J$7:$M$18,12,FALSE)</f>
        <v>1</v>
      </c>
      <c r="U2187" s="81">
        <f>HLOOKUP(N2187,データについて!$J$8:$M$18,11,FALSE)</f>
        <v>1</v>
      </c>
      <c r="V2187" s="81">
        <f>HLOOKUP(O2187,データについて!$J$9:$M$18,10,FALSE)</f>
        <v>1</v>
      </c>
      <c r="W2187" s="81">
        <f>HLOOKUP(P2187,データについて!$J$10:$M$18,9,FALSE)</f>
        <v>1</v>
      </c>
      <c r="X2187" s="81">
        <f>HLOOKUP(Q2187,データについて!$J$11:$M$18,8,FALSE)</f>
        <v>2</v>
      </c>
      <c r="Y2187" s="81">
        <f>HLOOKUP(R2187,データについて!$J$12:$M$18,7,FALSE)</f>
        <v>1</v>
      </c>
      <c r="Z2187" s="81">
        <f>HLOOKUP(I2187,データについて!$J$3:$M$18,16,FALSE)</f>
        <v>1</v>
      </c>
      <c r="AA2187" s="81">
        <f>IFERROR(HLOOKUP(J2187,データについて!$J$4:$AH$19,16,FALSE),"")</f>
        <v>10</v>
      </c>
      <c r="AB2187" s="81" t="str">
        <f>IFERROR(HLOOKUP(K2187,データについて!$J$5:$AH$20,14,FALSE),"")</f>
        <v/>
      </c>
      <c r="AC2187" s="81" t="str">
        <f>IF(X2187=1,HLOOKUP(R2187,データについて!$J$12:$M$18,7,FALSE),"*")</f>
        <v>*</v>
      </c>
      <c r="AD2187" s="81">
        <f>IF(X2187=2,HLOOKUP(R2187,データについて!$J$12:$M$18,7,FALSE),"*")</f>
        <v>1</v>
      </c>
    </row>
    <row r="2188" spans="1:30">
      <c r="A2188" s="30">
        <v>3004</v>
      </c>
      <c r="B2188" s="30" t="s">
        <v>2386</v>
      </c>
      <c r="C2188" s="30" t="s">
        <v>2387</v>
      </c>
      <c r="D2188" s="30" t="s">
        <v>106</v>
      </c>
      <c r="E2188" s="30"/>
      <c r="F2188" s="30" t="s">
        <v>107</v>
      </c>
      <c r="G2188" s="30" t="s">
        <v>106</v>
      </c>
      <c r="H2188" s="30"/>
      <c r="I2188" s="30" t="s">
        <v>192</v>
      </c>
      <c r="J2188" s="30" t="s">
        <v>2359</v>
      </c>
      <c r="K2188" s="30"/>
      <c r="L2188" s="30" t="s">
        <v>108</v>
      </c>
      <c r="M2188" s="30" t="s">
        <v>113</v>
      </c>
      <c r="N2188" s="30" t="s">
        <v>114</v>
      </c>
      <c r="O2188" s="30" t="s">
        <v>115</v>
      </c>
      <c r="P2188" s="30" t="s">
        <v>112</v>
      </c>
      <c r="Q2188" s="30" t="s">
        <v>112</v>
      </c>
      <c r="R2188" s="30" t="s">
        <v>187</v>
      </c>
      <c r="S2188" s="81">
        <f>HLOOKUP(L2188,データについて!$J$6:$M$18,13,FALSE)</f>
        <v>1</v>
      </c>
      <c r="T2188" s="81">
        <f>HLOOKUP(M2188,データについて!$J$7:$M$18,12,FALSE)</f>
        <v>1</v>
      </c>
      <c r="U2188" s="81">
        <f>HLOOKUP(N2188,データについて!$J$8:$M$18,11,FALSE)</f>
        <v>1</v>
      </c>
      <c r="V2188" s="81">
        <f>HLOOKUP(O2188,データについて!$J$9:$M$18,10,FALSE)</f>
        <v>1</v>
      </c>
      <c r="W2188" s="81">
        <f>HLOOKUP(P2188,データについて!$J$10:$M$18,9,FALSE)</f>
        <v>1</v>
      </c>
      <c r="X2188" s="81">
        <f>HLOOKUP(Q2188,データについて!$J$11:$M$18,8,FALSE)</f>
        <v>1</v>
      </c>
      <c r="Y2188" s="81">
        <f>HLOOKUP(R2188,データについて!$J$12:$M$18,7,FALSE)</f>
        <v>3</v>
      </c>
      <c r="Z2188" s="81">
        <f>HLOOKUP(I2188,データについて!$J$3:$M$18,16,FALSE)</f>
        <v>1</v>
      </c>
      <c r="AA2188" s="81">
        <f>IFERROR(HLOOKUP(J2188,データについて!$J$4:$AH$19,16,FALSE),"")</f>
        <v>10</v>
      </c>
      <c r="AB2188" s="81" t="str">
        <f>IFERROR(HLOOKUP(K2188,データについて!$J$5:$AH$20,14,FALSE),"")</f>
        <v/>
      </c>
      <c r="AC2188" s="81">
        <f>IF(X2188=1,HLOOKUP(R2188,データについて!$J$12:$M$18,7,FALSE),"*")</f>
        <v>3</v>
      </c>
      <c r="AD2188" s="81" t="str">
        <f>IF(X2188=2,HLOOKUP(R2188,データについて!$J$12:$M$18,7,FALSE),"*")</f>
        <v>*</v>
      </c>
    </row>
    <row r="2189" spans="1:30">
      <c r="A2189" s="30">
        <v>3003</v>
      </c>
      <c r="B2189" s="30" t="s">
        <v>2388</v>
      </c>
      <c r="C2189" s="30" t="s">
        <v>2389</v>
      </c>
      <c r="D2189" s="30" t="s">
        <v>106</v>
      </c>
      <c r="E2189" s="30"/>
      <c r="F2189" s="30" t="s">
        <v>107</v>
      </c>
      <c r="G2189" s="30" t="s">
        <v>106</v>
      </c>
      <c r="H2189" s="30"/>
      <c r="I2189" s="30" t="s">
        <v>192</v>
      </c>
      <c r="J2189" s="30" t="s">
        <v>2359</v>
      </c>
      <c r="K2189" s="30"/>
      <c r="L2189" s="30" t="s">
        <v>108</v>
      </c>
      <c r="M2189" s="30" t="s">
        <v>113</v>
      </c>
      <c r="N2189" s="30" t="s">
        <v>114</v>
      </c>
      <c r="O2189" s="30" t="s">
        <v>115</v>
      </c>
      <c r="P2189" s="30" t="s">
        <v>112</v>
      </c>
      <c r="Q2189" s="30" t="s">
        <v>118</v>
      </c>
      <c r="R2189" s="30" t="s">
        <v>183</v>
      </c>
      <c r="S2189" s="81">
        <f>HLOOKUP(L2189,データについて!$J$6:$M$18,13,FALSE)</f>
        <v>1</v>
      </c>
      <c r="T2189" s="81">
        <f>HLOOKUP(M2189,データについて!$J$7:$M$18,12,FALSE)</f>
        <v>1</v>
      </c>
      <c r="U2189" s="81">
        <f>HLOOKUP(N2189,データについて!$J$8:$M$18,11,FALSE)</f>
        <v>1</v>
      </c>
      <c r="V2189" s="81">
        <f>HLOOKUP(O2189,データについて!$J$9:$M$18,10,FALSE)</f>
        <v>1</v>
      </c>
      <c r="W2189" s="81">
        <f>HLOOKUP(P2189,データについて!$J$10:$M$18,9,FALSE)</f>
        <v>1</v>
      </c>
      <c r="X2189" s="81">
        <f>HLOOKUP(Q2189,データについて!$J$11:$M$18,8,FALSE)</f>
        <v>2</v>
      </c>
      <c r="Y2189" s="81">
        <f>HLOOKUP(R2189,データについて!$J$12:$M$18,7,FALSE)</f>
        <v>1</v>
      </c>
      <c r="Z2189" s="81">
        <f>HLOOKUP(I2189,データについて!$J$3:$M$18,16,FALSE)</f>
        <v>1</v>
      </c>
      <c r="AA2189" s="81">
        <f>IFERROR(HLOOKUP(J2189,データについて!$J$4:$AH$19,16,FALSE),"")</f>
        <v>10</v>
      </c>
      <c r="AB2189" s="81" t="str">
        <f>IFERROR(HLOOKUP(K2189,データについて!$J$5:$AH$20,14,FALSE),"")</f>
        <v/>
      </c>
      <c r="AC2189" s="81" t="str">
        <f>IF(X2189=1,HLOOKUP(R2189,データについて!$J$12:$M$18,7,FALSE),"*")</f>
        <v>*</v>
      </c>
      <c r="AD2189" s="81">
        <f>IF(X2189=2,HLOOKUP(R2189,データについて!$J$12:$M$18,7,FALSE),"*")</f>
        <v>1</v>
      </c>
    </row>
    <row r="2190" spans="1:30">
      <c r="A2190" s="30">
        <v>3002</v>
      </c>
      <c r="B2190" s="30" t="s">
        <v>2390</v>
      </c>
      <c r="C2190" s="30" t="s">
        <v>2391</v>
      </c>
      <c r="D2190" s="30" t="s">
        <v>106</v>
      </c>
      <c r="E2190" s="30"/>
      <c r="F2190" s="30" t="s">
        <v>107</v>
      </c>
      <c r="G2190" s="30" t="s">
        <v>106</v>
      </c>
      <c r="H2190" s="30"/>
      <c r="I2190" s="30" t="s">
        <v>192</v>
      </c>
      <c r="J2190" s="30" t="s">
        <v>2359</v>
      </c>
      <c r="K2190" s="30"/>
      <c r="L2190" s="30" t="s">
        <v>108</v>
      </c>
      <c r="M2190" s="30" t="s">
        <v>113</v>
      </c>
      <c r="N2190" s="30" t="s">
        <v>114</v>
      </c>
      <c r="O2190" s="30" t="s">
        <v>123</v>
      </c>
      <c r="P2190" s="30" t="s">
        <v>112</v>
      </c>
      <c r="Q2190" s="30" t="s">
        <v>112</v>
      </c>
      <c r="R2190" s="30" t="s">
        <v>185</v>
      </c>
      <c r="S2190" s="81">
        <f>HLOOKUP(L2190,データについて!$J$6:$M$18,13,FALSE)</f>
        <v>1</v>
      </c>
      <c r="T2190" s="81">
        <f>HLOOKUP(M2190,データについて!$J$7:$M$18,12,FALSE)</f>
        <v>1</v>
      </c>
      <c r="U2190" s="81">
        <f>HLOOKUP(N2190,データについて!$J$8:$M$18,11,FALSE)</f>
        <v>1</v>
      </c>
      <c r="V2190" s="81">
        <f>HLOOKUP(O2190,データについて!$J$9:$M$18,10,FALSE)</f>
        <v>4</v>
      </c>
      <c r="W2190" s="81">
        <f>HLOOKUP(P2190,データについて!$J$10:$M$18,9,FALSE)</f>
        <v>1</v>
      </c>
      <c r="X2190" s="81">
        <f>HLOOKUP(Q2190,データについて!$J$11:$M$18,8,FALSE)</f>
        <v>1</v>
      </c>
      <c r="Y2190" s="81">
        <f>HLOOKUP(R2190,データについて!$J$12:$M$18,7,FALSE)</f>
        <v>2</v>
      </c>
      <c r="Z2190" s="81">
        <f>HLOOKUP(I2190,データについて!$J$3:$M$18,16,FALSE)</f>
        <v>1</v>
      </c>
      <c r="AA2190" s="81">
        <f>IFERROR(HLOOKUP(J2190,データについて!$J$4:$AH$19,16,FALSE),"")</f>
        <v>10</v>
      </c>
      <c r="AB2190" s="81" t="str">
        <f>IFERROR(HLOOKUP(K2190,データについて!$J$5:$AH$20,14,FALSE),"")</f>
        <v/>
      </c>
      <c r="AC2190" s="81">
        <f>IF(X2190=1,HLOOKUP(R2190,データについて!$J$12:$M$18,7,FALSE),"*")</f>
        <v>2</v>
      </c>
      <c r="AD2190" s="81" t="str">
        <f>IF(X2190=2,HLOOKUP(R2190,データについて!$J$12:$M$18,7,FALSE),"*")</f>
        <v>*</v>
      </c>
    </row>
    <row r="2191" spans="1:30">
      <c r="A2191" s="30">
        <v>3001</v>
      </c>
      <c r="B2191" s="30" t="s">
        <v>2392</v>
      </c>
      <c r="C2191" s="30" t="s">
        <v>2393</v>
      </c>
      <c r="D2191" s="30" t="s">
        <v>106</v>
      </c>
      <c r="E2191" s="30"/>
      <c r="F2191" s="30" t="s">
        <v>107</v>
      </c>
      <c r="G2191" s="30" t="s">
        <v>106</v>
      </c>
      <c r="H2191" s="30"/>
      <c r="I2191" s="30" t="s">
        <v>192</v>
      </c>
      <c r="J2191" s="30" t="s">
        <v>2359</v>
      </c>
      <c r="K2191" s="30"/>
      <c r="L2191" s="30" t="s">
        <v>108</v>
      </c>
      <c r="M2191" s="30" t="s">
        <v>113</v>
      </c>
      <c r="N2191" s="30" t="s">
        <v>114</v>
      </c>
      <c r="O2191" s="30" t="s">
        <v>115</v>
      </c>
      <c r="P2191" s="30" t="s">
        <v>112</v>
      </c>
      <c r="Q2191" s="30" t="s">
        <v>112</v>
      </c>
      <c r="R2191" s="30" t="s">
        <v>183</v>
      </c>
      <c r="S2191" s="81">
        <f>HLOOKUP(L2191,データについて!$J$6:$M$18,13,FALSE)</f>
        <v>1</v>
      </c>
      <c r="T2191" s="81">
        <f>HLOOKUP(M2191,データについて!$J$7:$M$18,12,FALSE)</f>
        <v>1</v>
      </c>
      <c r="U2191" s="81">
        <f>HLOOKUP(N2191,データについて!$J$8:$M$18,11,FALSE)</f>
        <v>1</v>
      </c>
      <c r="V2191" s="81">
        <f>HLOOKUP(O2191,データについて!$J$9:$M$18,10,FALSE)</f>
        <v>1</v>
      </c>
      <c r="W2191" s="81">
        <f>HLOOKUP(P2191,データについて!$J$10:$M$18,9,FALSE)</f>
        <v>1</v>
      </c>
      <c r="X2191" s="81">
        <f>HLOOKUP(Q2191,データについて!$J$11:$M$18,8,FALSE)</f>
        <v>1</v>
      </c>
      <c r="Y2191" s="81">
        <f>HLOOKUP(R2191,データについて!$J$12:$M$18,7,FALSE)</f>
        <v>1</v>
      </c>
      <c r="Z2191" s="81">
        <f>HLOOKUP(I2191,データについて!$J$3:$M$18,16,FALSE)</f>
        <v>1</v>
      </c>
      <c r="AA2191" s="81">
        <f>IFERROR(HLOOKUP(J2191,データについて!$J$4:$AH$19,16,FALSE),"")</f>
        <v>10</v>
      </c>
      <c r="AB2191" s="81" t="str">
        <f>IFERROR(HLOOKUP(K2191,データについて!$J$5:$AH$20,14,FALSE),"")</f>
        <v/>
      </c>
      <c r="AC2191" s="81">
        <f>IF(X2191=1,HLOOKUP(R2191,データについて!$J$12:$M$18,7,FALSE),"*")</f>
        <v>1</v>
      </c>
      <c r="AD2191" s="81" t="str">
        <f>IF(X2191=2,HLOOKUP(R2191,データについて!$J$12:$M$18,7,FALSE),"*")</f>
        <v>*</v>
      </c>
    </row>
    <row r="2192" spans="1:30">
      <c r="A2192" s="30">
        <v>3000</v>
      </c>
      <c r="B2192" s="30" t="s">
        <v>2394</v>
      </c>
      <c r="C2192" s="30" t="s">
        <v>2395</v>
      </c>
      <c r="D2192" s="30" t="s">
        <v>106</v>
      </c>
      <c r="E2192" s="30"/>
      <c r="F2192" s="30" t="s">
        <v>107</v>
      </c>
      <c r="G2192" s="30" t="s">
        <v>106</v>
      </c>
      <c r="H2192" s="30"/>
      <c r="I2192" s="30" t="s">
        <v>192</v>
      </c>
      <c r="J2192" s="30" t="s">
        <v>2359</v>
      </c>
      <c r="K2192" s="30"/>
      <c r="L2192" s="30" t="s">
        <v>117</v>
      </c>
      <c r="M2192" s="30" t="s">
        <v>113</v>
      </c>
      <c r="N2192" s="30" t="s">
        <v>110</v>
      </c>
      <c r="O2192" s="30" t="s">
        <v>115</v>
      </c>
      <c r="P2192" s="30" t="s">
        <v>112</v>
      </c>
      <c r="Q2192" s="30" t="s">
        <v>112</v>
      </c>
      <c r="R2192" s="30" t="s">
        <v>183</v>
      </c>
      <c r="S2192" s="81">
        <f>HLOOKUP(L2192,データについて!$J$6:$M$18,13,FALSE)</f>
        <v>2</v>
      </c>
      <c r="T2192" s="81">
        <f>HLOOKUP(M2192,データについて!$J$7:$M$18,12,FALSE)</f>
        <v>1</v>
      </c>
      <c r="U2192" s="81">
        <f>HLOOKUP(N2192,データについて!$J$8:$M$18,11,FALSE)</f>
        <v>2</v>
      </c>
      <c r="V2192" s="81">
        <f>HLOOKUP(O2192,データについて!$J$9:$M$18,10,FALSE)</f>
        <v>1</v>
      </c>
      <c r="W2192" s="81">
        <f>HLOOKUP(P2192,データについて!$J$10:$M$18,9,FALSE)</f>
        <v>1</v>
      </c>
      <c r="X2192" s="81">
        <f>HLOOKUP(Q2192,データについて!$J$11:$M$18,8,FALSE)</f>
        <v>1</v>
      </c>
      <c r="Y2192" s="81">
        <f>HLOOKUP(R2192,データについて!$J$12:$M$18,7,FALSE)</f>
        <v>1</v>
      </c>
      <c r="Z2192" s="81">
        <f>HLOOKUP(I2192,データについて!$J$3:$M$18,16,FALSE)</f>
        <v>1</v>
      </c>
      <c r="AA2192" s="81">
        <f>IFERROR(HLOOKUP(J2192,データについて!$J$4:$AH$19,16,FALSE),"")</f>
        <v>10</v>
      </c>
      <c r="AB2192" s="81" t="str">
        <f>IFERROR(HLOOKUP(K2192,データについて!$J$5:$AH$20,14,FALSE),"")</f>
        <v/>
      </c>
      <c r="AC2192" s="81">
        <f>IF(X2192=1,HLOOKUP(R2192,データについて!$J$12:$M$18,7,FALSE),"*")</f>
        <v>1</v>
      </c>
      <c r="AD2192" s="81" t="str">
        <f>IF(X2192=2,HLOOKUP(R2192,データについて!$J$12:$M$18,7,FALSE),"*")</f>
        <v>*</v>
      </c>
    </row>
    <row r="2193" spans="1:30">
      <c r="A2193" s="30">
        <v>2999</v>
      </c>
      <c r="B2193" s="30" t="s">
        <v>2396</v>
      </c>
      <c r="C2193" s="30" t="s">
        <v>2397</v>
      </c>
      <c r="D2193" s="30" t="s">
        <v>106</v>
      </c>
      <c r="E2193" s="30"/>
      <c r="F2193" s="30" t="s">
        <v>107</v>
      </c>
      <c r="G2193" s="30" t="s">
        <v>106</v>
      </c>
      <c r="H2193" s="30"/>
      <c r="I2193" s="30" t="s">
        <v>192</v>
      </c>
      <c r="J2193" s="30" t="s">
        <v>2359</v>
      </c>
      <c r="K2193" s="30"/>
      <c r="L2193" s="30" t="s">
        <v>117</v>
      </c>
      <c r="M2193" s="30" t="s">
        <v>109</v>
      </c>
      <c r="N2193" s="30" t="s">
        <v>110</v>
      </c>
      <c r="O2193" s="30" t="s">
        <v>115</v>
      </c>
      <c r="P2193" s="30" t="s">
        <v>112</v>
      </c>
      <c r="Q2193" s="30" t="s">
        <v>112</v>
      </c>
      <c r="R2193" s="30" t="s">
        <v>183</v>
      </c>
      <c r="S2193" s="81">
        <f>HLOOKUP(L2193,データについて!$J$6:$M$18,13,FALSE)</f>
        <v>2</v>
      </c>
      <c r="T2193" s="81">
        <f>HLOOKUP(M2193,データについて!$J$7:$M$18,12,FALSE)</f>
        <v>2</v>
      </c>
      <c r="U2193" s="81">
        <f>HLOOKUP(N2193,データについて!$J$8:$M$18,11,FALSE)</f>
        <v>2</v>
      </c>
      <c r="V2193" s="81">
        <f>HLOOKUP(O2193,データについて!$J$9:$M$18,10,FALSE)</f>
        <v>1</v>
      </c>
      <c r="W2193" s="81">
        <f>HLOOKUP(P2193,データについて!$J$10:$M$18,9,FALSE)</f>
        <v>1</v>
      </c>
      <c r="X2193" s="81">
        <f>HLOOKUP(Q2193,データについて!$J$11:$M$18,8,FALSE)</f>
        <v>1</v>
      </c>
      <c r="Y2193" s="81">
        <f>HLOOKUP(R2193,データについて!$J$12:$M$18,7,FALSE)</f>
        <v>1</v>
      </c>
      <c r="Z2193" s="81">
        <f>HLOOKUP(I2193,データについて!$J$3:$M$18,16,FALSE)</f>
        <v>1</v>
      </c>
      <c r="AA2193" s="81">
        <f>IFERROR(HLOOKUP(J2193,データについて!$J$4:$AH$19,16,FALSE),"")</f>
        <v>10</v>
      </c>
      <c r="AB2193" s="81" t="str">
        <f>IFERROR(HLOOKUP(K2193,データについて!$J$5:$AH$20,14,FALSE),"")</f>
        <v/>
      </c>
      <c r="AC2193" s="81">
        <f>IF(X2193=1,HLOOKUP(R2193,データについて!$J$12:$M$18,7,FALSE),"*")</f>
        <v>1</v>
      </c>
      <c r="AD2193" s="81" t="str">
        <f>IF(X2193=2,HLOOKUP(R2193,データについて!$J$12:$M$18,7,FALSE),"*")</f>
        <v>*</v>
      </c>
    </row>
    <row r="2194" spans="1:30">
      <c r="A2194" s="30">
        <v>2998</v>
      </c>
      <c r="B2194" s="30" t="s">
        <v>2398</v>
      </c>
      <c r="C2194" s="30" t="s">
        <v>2399</v>
      </c>
      <c r="D2194" s="30" t="s">
        <v>106</v>
      </c>
      <c r="E2194" s="30"/>
      <c r="F2194" s="30" t="s">
        <v>107</v>
      </c>
      <c r="G2194" s="30" t="s">
        <v>106</v>
      </c>
      <c r="H2194" s="30"/>
      <c r="I2194" s="30" t="s">
        <v>192</v>
      </c>
      <c r="J2194" s="30" t="s">
        <v>2359</v>
      </c>
      <c r="K2194" s="30"/>
      <c r="L2194" s="30" t="s">
        <v>108</v>
      </c>
      <c r="M2194" s="30" t="s">
        <v>113</v>
      </c>
      <c r="N2194" s="30" t="s">
        <v>110</v>
      </c>
      <c r="O2194" s="30" t="s">
        <v>115</v>
      </c>
      <c r="P2194" s="30" t="s">
        <v>112</v>
      </c>
      <c r="Q2194" s="30" t="s">
        <v>118</v>
      </c>
      <c r="R2194" s="30" t="s">
        <v>183</v>
      </c>
      <c r="S2194" s="81">
        <f>HLOOKUP(L2194,データについて!$J$6:$M$18,13,FALSE)</f>
        <v>1</v>
      </c>
      <c r="T2194" s="81">
        <f>HLOOKUP(M2194,データについて!$J$7:$M$18,12,FALSE)</f>
        <v>1</v>
      </c>
      <c r="U2194" s="81">
        <f>HLOOKUP(N2194,データについて!$J$8:$M$18,11,FALSE)</f>
        <v>2</v>
      </c>
      <c r="V2194" s="81">
        <f>HLOOKUP(O2194,データについて!$J$9:$M$18,10,FALSE)</f>
        <v>1</v>
      </c>
      <c r="W2194" s="81">
        <f>HLOOKUP(P2194,データについて!$J$10:$M$18,9,FALSE)</f>
        <v>1</v>
      </c>
      <c r="X2194" s="81">
        <f>HLOOKUP(Q2194,データについて!$J$11:$M$18,8,FALSE)</f>
        <v>2</v>
      </c>
      <c r="Y2194" s="81">
        <f>HLOOKUP(R2194,データについて!$J$12:$M$18,7,FALSE)</f>
        <v>1</v>
      </c>
      <c r="Z2194" s="81">
        <f>HLOOKUP(I2194,データについて!$J$3:$M$18,16,FALSE)</f>
        <v>1</v>
      </c>
      <c r="AA2194" s="81">
        <f>IFERROR(HLOOKUP(J2194,データについて!$J$4:$AH$19,16,FALSE),"")</f>
        <v>10</v>
      </c>
      <c r="AB2194" s="81" t="str">
        <f>IFERROR(HLOOKUP(K2194,データについて!$J$5:$AH$20,14,FALSE),"")</f>
        <v/>
      </c>
      <c r="AC2194" s="81" t="str">
        <f>IF(X2194=1,HLOOKUP(R2194,データについて!$J$12:$M$18,7,FALSE),"*")</f>
        <v>*</v>
      </c>
      <c r="AD2194" s="81">
        <f>IF(X2194=2,HLOOKUP(R2194,データについて!$J$12:$M$18,7,FALSE),"*")</f>
        <v>1</v>
      </c>
    </row>
    <row r="2195" spans="1:30">
      <c r="A2195" s="30">
        <v>2997</v>
      </c>
      <c r="B2195" s="30" t="s">
        <v>2400</v>
      </c>
      <c r="C2195" s="30" t="s">
        <v>2401</v>
      </c>
      <c r="D2195" s="30" t="s">
        <v>106</v>
      </c>
      <c r="E2195" s="30"/>
      <c r="F2195" s="30" t="s">
        <v>107</v>
      </c>
      <c r="G2195" s="30" t="s">
        <v>106</v>
      </c>
      <c r="H2195" s="30"/>
      <c r="I2195" s="30" t="s">
        <v>192</v>
      </c>
      <c r="J2195" s="30" t="s">
        <v>2359</v>
      </c>
      <c r="K2195" s="30"/>
      <c r="L2195" s="30" t="s">
        <v>117</v>
      </c>
      <c r="M2195" s="30" t="s">
        <v>109</v>
      </c>
      <c r="N2195" s="30" t="s">
        <v>114</v>
      </c>
      <c r="O2195" s="30" t="s">
        <v>115</v>
      </c>
      <c r="P2195" s="30" t="s">
        <v>112</v>
      </c>
      <c r="Q2195" s="30" t="s">
        <v>112</v>
      </c>
      <c r="R2195" s="30" t="s">
        <v>189</v>
      </c>
      <c r="S2195" s="81">
        <f>HLOOKUP(L2195,データについて!$J$6:$M$18,13,FALSE)</f>
        <v>2</v>
      </c>
      <c r="T2195" s="81">
        <f>HLOOKUP(M2195,データについて!$J$7:$M$18,12,FALSE)</f>
        <v>2</v>
      </c>
      <c r="U2195" s="81">
        <f>HLOOKUP(N2195,データについて!$J$8:$M$18,11,FALSE)</f>
        <v>1</v>
      </c>
      <c r="V2195" s="81">
        <f>HLOOKUP(O2195,データについて!$J$9:$M$18,10,FALSE)</f>
        <v>1</v>
      </c>
      <c r="W2195" s="81">
        <f>HLOOKUP(P2195,データについて!$J$10:$M$18,9,FALSE)</f>
        <v>1</v>
      </c>
      <c r="X2195" s="81">
        <f>HLOOKUP(Q2195,データについて!$J$11:$M$18,8,FALSE)</f>
        <v>1</v>
      </c>
      <c r="Y2195" s="81">
        <f>HLOOKUP(R2195,データについて!$J$12:$M$18,7,FALSE)</f>
        <v>4</v>
      </c>
      <c r="Z2195" s="81">
        <f>HLOOKUP(I2195,データについて!$J$3:$M$18,16,FALSE)</f>
        <v>1</v>
      </c>
      <c r="AA2195" s="81">
        <f>IFERROR(HLOOKUP(J2195,データについて!$J$4:$AH$19,16,FALSE),"")</f>
        <v>10</v>
      </c>
      <c r="AB2195" s="81" t="str">
        <f>IFERROR(HLOOKUP(K2195,データについて!$J$5:$AH$20,14,FALSE),"")</f>
        <v/>
      </c>
      <c r="AC2195" s="81">
        <f>IF(X2195=1,HLOOKUP(R2195,データについて!$J$12:$M$18,7,FALSE),"*")</f>
        <v>4</v>
      </c>
      <c r="AD2195" s="81" t="str">
        <f>IF(X2195=2,HLOOKUP(R2195,データについて!$J$12:$M$18,7,FALSE),"*")</f>
        <v>*</v>
      </c>
    </row>
    <row r="2196" spans="1:30">
      <c r="A2196" s="30">
        <v>2996</v>
      </c>
      <c r="B2196" s="30" t="s">
        <v>2402</v>
      </c>
      <c r="C2196" s="30" t="s">
        <v>2403</v>
      </c>
      <c r="D2196" s="30" t="s">
        <v>106</v>
      </c>
      <c r="E2196" s="30"/>
      <c r="F2196" s="30" t="s">
        <v>107</v>
      </c>
      <c r="G2196" s="30" t="s">
        <v>106</v>
      </c>
      <c r="H2196" s="30"/>
      <c r="I2196" s="30" t="s">
        <v>192</v>
      </c>
      <c r="J2196" s="30" t="s">
        <v>2359</v>
      </c>
      <c r="K2196" s="30"/>
      <c r="L2196" s="30" t="s">
        <v>117</v>
      </c>
      <c r="M2196" s="30" t="s">
        <v>113</v>
      </c>
      <c r="N2196" s="30" t="s">
        <v>114</v>
      </c>
      <c r="O2196" s="30" t="s">
        <v>115</v>
      </c>
      <c r="P2196" s="30" t="s">
        <v>112</v>
      </c>
      <c r="Q2196" s="30" t="s">
        <v>112</v>
      </c>
      <c r="R2196" s="30" t="s">
        <v>187</v>
      </c>
      <c r="S2196" s="81">
        <f>HLOOKUP(L2196,データについて!$J$6:$M$18,13,FALSE)</f>
        <v>2</v>
      </c>
      <c r="T2196" s="81">
        <f>HLOOKUP(M2196,データについて!$J$7:$M$18,12,FALSE)</f>
        <v>1</v>
      </c>
      <c r="U2196" s="81">
        <f>HLOOKUP(N2196,データについて!$J$8:$M$18,11,FALSE)</f>
        <v>1</v>
      </c>
      <c r="V2196" s="81">
        <f>HLOOKUP(O2196,データについて!$J$9:$M$18,10,FALSE)</f>
        <v>1</v>
      </c>
      <c r="W2196" s="81">
        <f>HLOOKUP(P2196,データについて!$J$10:$M$18,9,FALSE)</f>
        <v>1</v>
      </c>
      <c r="X2196" s="81">
        <f>HLOOKUP(Q2196,データについて!$J$11:$M$18,8,FALSE)</f>
        <v>1</v>
      </c>
      <c r="Y2196" s="81">
        <f>HLOOKUP(R2196,データについて!$J$12:$M$18,7,FALSE)</f>
        <v>3</v>
      </c>
      <c r="Z2196" s="81">
        <f>HLOOKUP(I2196,データについて!$J$3:$M$18,16,FALSE)</f>
        <v>1</v>
      </c>
      <c r="AA2196" s="81">
        <f>IFERROR(HLOOKUP(J2196,データについて!$J$4:$AH$19,16,FALSE),"")</f>
        <v>10</v>
      </c>
      <c r="AB2196" s="81" t="str">
        <f>IFERROR(HLOOKUP(K2196,データについて!$J$5:$AH$20,14,FALSE),"")</f>
        <v/>
      </c>
      <c r="AC2196" s="81">
        <f>IF(X2196=1,HLOOKUP(R2196,データについて!$J$12:$M$18,7,FALSE),"*")</f>
        <v>3</v>
      </c>
      <c r="AD2196" s="81" t="str">
        <f>IF(X2196=2,HLOOKUP(R2196,データについて!$J$12:$M$18,7,FALSE),"*")</f>
        <v>*</v>
      </c>
    </row>
    <row r="2197" spans="1:30">
      <c r="A2197" s="30">
        <v>2995</v>
      </c>
      <c r="B2197" s="30" t="s">
        <v>2404</v>
      </c>
      <c r="C2197" s="30" t="s">
        <v>2403</v>
      </c>
      <c r="D2197" s="30" t="s">
        <v>106</v>
      </c>
      <c r="E2197" s="30"/>
      <c r="F2197" s="30" t="s">
        <v>107</v>
      </c>
      <c r="G2197" s="30" t="s">
        <v>106</v>
      </c>
      <c r="H2197" s="30"/>
      <c r="I2197" s="30" t="s">
        <v>192</v>
      </c>
      <c r="J2197" s="30" t="s">
        <v>2359</v>
      </c>
      <c r="K2197" s="30"/>
      <c r="L2197" s="30" t="s">
        <v>108</v>
      </c>
      <c r="M2197" s="30" t="s">
        <v>113</v>
      </c>
      <c r="N2197" s="30" t="s">
        <v>114</v>
      </c>
      <c r="O2197" s="30" t="s">
        <v>115</v>
      </c>
      <c r="P2197" s="30" t="s">
        <v>112</v>
      </c>
      <c r="Q2197" s="30" t="s">
        <v>112</v>
      </c>
      <c r="R2197" s="30" t="s">
        <v>187</v>
      </c>
      <c r="S2197" s="81">
        <f>HLOOKUP(L2197,データについて!$J$6:$M$18,13,FALSE)</f>
        <v>1</v>
      </c>
      <c r="T2197" s="81">
        <f>HLOOKUP(M2197,データについて!$J$7:$M$18,12,FALSE)</f>
        <v>1</v>
      </c>
      <c r="U2197" s="81">
        <f>HLOOKUP(N2197,データについて!$J$8:$M$18,11,FALSE)</f>
        <v>1</v>
      </c>
      <c r="V2197" s="81">
        <f>HLOOKUP(O2197,データについて!$J$9:$M$18,10,FALSE)</f>
        <v>1</v>
      </c>
      <c r="W2197" s="81">
        <f>HLOOKUP(P2197,データについて!$J$10:$M$18,9,FALSE)</f>
        <v>1</v>
      </c>
      <c r="X2197" s="81">
        <f>HLOOKUP(Q2197,データについて!$J$11:$M$18,8,FALSE)</f>
        <v>1</v>
      </c>
      <c r="Y2197" s="81">
        <f>HLOOKUP(R2197,データについて!$J$12:$M$18,7,FALSE)</f>
        <v>3</v>
      </c>
      <c r="Z2197" s="81">
        <f>HLOOKUP(I2197,データについて!$J$3:$M$18,16,FALSE)</f>
        <v>1</v>
      </c>
      <c r="AA2197" s="81">
        <f>IFERROR(HLOOKUP(J2197,データについて!$J$4:$AH$19,16,FALSE),"")</f>
        <v>10</v>
      </c>
      <c r="AB2197" s="81" t="str">
        <f>IFERROR(HLOOKUP(K2197,データについて!$J$5:$AH$20,14,FALSE),"")</f>
        <v/>
      </c>
      <c r="AC2197" s="81">
        <f>IF(X2197=1,HLOOKUP(R2197,データについて!$J$12:$M$18,7,FALSE),"*")</f>
        <v>3</v>
      </c>
      <c r="AD2197" s="81" t="str">
        <f>IF(X2197=2,HLOOKUP(R2197,データについて!$J$12:$M$18,7,FALSE),"*")</f>
        <v>*</v>
      </c>
    </row>
    <row r="2198" spans="1:30">
      <c r="A2198" s="30">
        <v>2994</v>
      </c>
      <c r="B2198" s="30" t="s">
        <v>2405</v>
      </c>
      <c r="C2198" s="30" t="s">
        <v>2406</v>
      </c>
      <c r="D2198" s="30" t="s">
        <v>106</v>
      </c>
      <c r="E2198" s="30"/>
      <c r="F2198" s="30" t="s">
        <v>107</v>
      </c>
      <c r="G2198" s="30" t="s">
        <v>106</v>
      </c>
      <c r="H2198" s="30"/>
      <c r="I2198" s="30" t="s">
        <v>192</v>
      </c>
      <c r="J2198" s="30" t="s">
        <v>2359</v>
      </c>
      <c r="K2198" s="30"/>
      <c r="L2198" s="30" t="s">
        <v>108</v>
      </c>
      <c r="M2198" s="30" t="s">
        <v>113</v>
      </c>
      <c r="N2198" s="30" t="s">
        <v>114</v>
      </c>
      <c r="O2198" s="30" t="s">
        <v>115</v>
      </c>
      <c r="P2198" s="30" t="s">
        <v>112</v>
      </c>
      <c r="Q2198" s="30" t="s">
        <v>112</v>
      </c>
      <c r="R2198" s="30" t="s">
        <v>187</v>
      </c>
      <c r="S2198" s="81">
        <f>HLOOKUP(L2198,データについて!$J$6:$M$18,13,FALSE)</f>
        <v>1</v>
      </c>
      <c r="T2198" s="81">
        <f>HLOOKUP(M2198,データについて!$J$7:$M$18,12,FALSE)</f>
        <v>1</v>
      </c>
      <c r="U2198" s="81">
        <f>HLOOKUP(N2198,データについて!$J$8:$M$18,11,FALSE)</f>
        <v>1</v>
      </c>
      <c r="V2198" s="81">
        <f>HLOOKUP(O2198,データについて!$J$9:$M$18,10,FALSE)</f>
        <v>1</v>
      </c>
      <c r="W2198" s="81">
        <f>HLOOKUP(P2198,データについて!$J$10:$M$18,9,FALSE)</f>
        <v>1</v>
      </c>
      <c r="X2198" s="81">
        <f>HLOOKUP(Q2198,データについて!$J$11:$M$18,8,FALSE)</f>
        <v>1</v>
      </c>
      <c r="Y2198" s="81">
        <f>HLOOKUP(R2198,データについて!$J$12:$M$18,7,FALSE)</f>
        <v>3</v>
      </c>
      <c r="Z2198" s="81">
        <f>HLOOKUP(I2198,データについて!$J$3:$M$18,16,FALSE)</f>
        <v>1</v>
      </c>
      <c r="AA2198" s="81">
        <f>IFERROR(HLOOKUP(J2198,データについて!$J$4:$AH$19,16,FALSE),"")</f>
        <v>10</v>
      </c>
      <c r="AB2198" s="81" t="str">
        <f>IFERROR(HLOOKUP(K2198,データについて!$J$5:$AH$20,14,FALSE),"")</f>
        <v/>
      </c>
      <c r="AC2198" s="81">
        <f>IF(X2198=1,HLOOKUP(R2198,データについて!$J$12:$M$18,7,FALSE),"*")</f>
        <v>3</v>
      </c>
      <c r="AD2198" s="81" t="str">
        <f>IF(X2198=2,HLOOKUP(R2198,データについて!$J$12:$M$18,7,FALSE),"*")</f>
        <v>*</v>
      </c>
    </row>
    <row r="2199" spans="1:30">
      <c r="A2199" s="30">
        <v>2993</v>
      </c>
      <c r="B2199" s="30" t="s">
        <v>2407</v>
      </c>
      <c r="C2199" s="30" t="s">
        <v>2406</v>
      </c>
      <c r="D2199" s="30" t="s">
        <v>106</v>
      </c>
      <c r="E2199" s="30"/>
      <c r="F2199" s="30" t="s">
        <v>107</v>
      </c>
      <c r="G2199" s="30" t="s">
        <v>106</v>
      </c>
      <c r="H2199" s="30"/>
      <c r="I2199" s="30" t="s">
        <v>192</v>
      </c>
      <c r="J2199" s="30" t="s">
        <v>2359</v>
      </c>
      <c r="K2199" s="30"/>
      <c r="L2199" s="30" t="s">
        <v>108</v>
      </c>
      <c r="M2199" s="30" t="s">
        <v>113</v>
      </c>
      <c r="N2199" s="30" t="s">
        <v>110</v>
      </c>
      <c r="O2199" s="30" t="s">
        <v>115</v>
      </c>
      <c r="P2199" s="30" t="s">
        <v>112</v>
      </c>
      <c r="Q2199" s="30" t="s">
        <v>118</v>
      </c>
      <c r="R2199" s="30" t="s">
        <v>187</v>
      </c>
      <c r="S2199" s="81">
        <f>HLOOKUP(L2199,データについて!$J$6:$M$18,13,FALSE)</f>
        <v>1</v>
      </c>
      <c r="T2199" s="81">
        <f>HLOOKUP(M2199,データについて!$J$7:$M$18,12,FALSE)</f>
        <v>1</v>
      </c>
      <c r="U2199" s="81">
        <f>HLOOKUP(N2199,データについて!$J$8:$M$18,11,FALSE)</f>
        <v>2</v>
      </c>
      <c r="V2199" s="81">
        <f>HLOOKUP(O2199,データについて!$J$9:$M$18,10,FALSE)</f>
        <v>1</v>
      </c>
      <c r="W2199" s="81">
        <f>HLOOKUP(P2199,データについて!$J$10:$M$18,9,FALSE)</f>
        <v>1</v>
      </c>
      <c r="X2199" s="81">
        <f>HLOOKUP(Q2199,データについて!$J$11:$M$18,8,FALSE)</f>
        <v>2</v>
      </c>
      <c r="Y2199" s="81">
        <f>HLOOKUP(R2199,データについて!$J$12:$M$18,7,FALSE)</f>
        <v>3</v>
      </c>
      <c r="Z2199" s="81">
        <f>HLOOKUP(I2199,データについて!$J$3:$M$18,16,FALSE)</f>
        <v>1</v>
      </c>
      <c r="AA2199" s="81">
        <f>IFERROR(HLOOKUP(J2199,データについて!$J$4:$AH$19,16,FALSE),"")</f>
        <v>10</v>
      </c>
      <c r="AB2199" s="81" t="str">
        <f>IFERROR(HLOOKUP(K2199,データについて!$J$5:$AH$20,14,FALSE),"")</f>
        <v/>
      </c>
      <c r="AC2199" s="81" t="str">
        <f>IF(X2199=1,HLOOKUP(R2199,データについて!$J$12:$M$18,7,FALSE),"*")</f>
        <v>*</v>
      </c>
      <c r="AD2199" s="81">
        <f>IF(X2199=2,HLOOKUP(R2199,データについて!$J$12:$M$18,7,FALSE),"*")</f>
        <v>3</v>
      </c>
    </row>
    <row r="2200" spans="1:30">
      <c r="A2200" s="30">
        <v>2992</v>
      </c>
      <c r="B2200" s="30" t="s">
        <v>2408</v>
      </c>
      <c r="C2200" s="30" t="s">
        <v>2409</v>
      </c>
      <c r="D2200" s="30" t="s">
        <v>106</v>
      </c>
      <c r="E2200" s="30"/>
      <c r="F2200" s="30" t="s">
        <v>107</v>
      </c>
      <c r="G2200" s="30" t="s">
        <v>106</v>
      </c>
      <c r="H2200" s="30"/>
      <c r="I2200" s="30" t="s">
        <v>192</v>
      </c>
      <c r="J2200" s="30" t="s">
        <v>2359</v>
      </c>
      <c r="K2200" s="30"/>
      <c r="L2200" s="30" t="s">
        <v>108</v>
      </c>
      <c r="M2200" s="30" t="s">
        <v>124</v>
      </c>
      <c r="N2200" s="30" t="s">
        <v>114</v>
      </c>
      <c r="O2200" s="30" t="s">
        <v>115</v>
      </c>
      <c r="P2200" s="30" t="s">
        <v>112</v>
      </c>
      <c r="Q2200" s="30" t="s">
        <v>112</v>
      </c>
      <c r="R2200" s="30" t="s">
        <v>183</v>
      </c>
      <c r="S2200" s="81">
        <f>HLOOKUP(L2200,データについて!$J$6:$M$18,13,FALSE)</f>
        <v>1</v>
      </c>
      <c r="T2200" s="81">
        <f>HLOOKUP(M2200,データについて!$J$7:$M$18,12,FALSE)</f>
        <v>3</v>
      </c>
      <c r="U2200" s="81">
        <f>HLOOKUP(N2200,データについて!$J$8:$M$18,11,FALSE)</f>
        <v>1</v>
      </c>
      <c r="V2200" s="81">
        <f>HLOOKUP(O2200,データについて!$J$9:$M$18,10,FALSE)</f>
        <v>1</v>
      </c>
      <c r="W2200" s="81">
        <f>HLOOKUP(P2200,データについて!$J$10:$M$18,9,FALSE)</f>
        <v>1</v>
      </c>
      <c r="X2200" s="81">
        <f>HLOOKUP(Q2200,データについて!$J$11:$M$18,8,FALSE)</f>
        <v>1</v>
      </c>
      <c r="Y2200" s="81">
        <f>HLOOKUP(R2200,データについて!$J$12:$M$18,7,FALSE)</f>
        <v>1</v>
      </c>
      <c r="Z2200" s="81">
        <f>HLOOKUP(I2200,データについて!$J$3:$M$18,16,FALSE)</f>
        <v>1</v>
      </c>
      <c r="AA2200" s="81">
        <f>IFERROR(HLOOKUP(J2200,データについて!$J$4:$AH$19,16,FALSE),"")</f>
        <v>10</v>
      </c>
      <c r="AB2200" s="81" t="str">
        <f>IFERROR(HLOOKUP(K2200,データについて!$J$5:$AH$20,14,FALSE),"")</f>
        <v/>
      </c>
      <c r="AC2200" s="81">
        <f>IF(X2200=1,HLOOKUP(R2200,データについて!$J$12:$M$18,7,FALSE),"*")</f>
        <v>1</v>
      </c>
      <c r="AD2200" s="81" t="str">
        <f>IF(X2200=2,HLOOKUP(R2200,データについて!$J$12:$M$18,7,FALSE),"*")</f>
        <v>*</v>
      </c>
    </row>
    <row r="2201" spans="1:30">
      <c r="A2201" s="30">
        <v>2991</v>
      </c>
      <c r="B2201" s="30" t="s">
        <v>2410</v>
      </c>
      <c r="C2201" s="30" t="s">
        <v>2411</v>
      </c>
      <c r="D2201" s="30" t="s">
        <v>106</v>
      </c>
      <c r="E2201" s="30"/>
      <c r="F2201" s="30" t="s">
        <v>107</v>
      </c>
      <c r="G2201" s="30" t="s">
        <v>106</v>
      </c>
      <c r="H2201" s="30"/>
      <c r="I2201" s="30" t="s">
        <v>192</v>
      </c>
      <c r="J2201" s="30" t="s">
        <v>2359</v>
      </c>
      <c r="K2201" s="30"/>
      <c r="L2201" s="30" t="s">
        <v>117</v>
      </c>
      <c r="M2201" s="30" t="s">
        <v>109</v>
      </c>
      <c r="N2201" s="30" t="s">
        <v>114</v>
      </c>
      <c r="O2201" s="30" t="s">
        <v>115</v>
      </c>
      <c r="P2201" s="30" t="s">
        <v>112</v>
      </c>
      <c r="Q2201" s="30" t="s">
        <v>112</v>
      </c>
      <c r="R2201" s="30" t="s">
        <v>185</v>
      </c>
      <c r="S2201" s="81">
        <f>HLOOKUP(L2201,データについて!$J$6:$M$18,13,FALSE)</f>
        <v>2</v>
      </c>
      <c r="T2201" s="81">
        <f>HLOOKUP(M2201,データについて!$J$7:$M$18,12,FALSE)</f>
        <v>2</v>
      </c>
      <c r="U2201" s="81">
        <f>HLOOKUP(N2201,データについて!$J$8:$M$18,11,FALSE)</f>
        <v>1</v>
      </c>
      <c r="V2201" s="81">
        <f>HLOOKUP(O2201,データについて!$J$9:$M$18,10,FALSE)</f>
        <v>1</v>
      </c>
      <c r="W2201" s="81">
        <f>HLOOKUP(P2201,データについて!$J$10:$M$18,9,FALSE)</f>
        <v>1</v>
      </c>
      <c r="X2201" s="81">
        <f>HLOOKUP(Q2201,データについて!$J$11:$M$18,8,FALSE)</f>
        <v>1</v>
      </c>
      <c r="Y2201" s="81">
        <f>HLOOKUP(R2201,データについて!$J$12:$M$18,7,FALSE)</f>
        <v>2</v>
      </c>
      <c r="Z2201" s="81">
        <f>HLOOKUP(I2201,データについて!$J$3:$M$18,16,FALSE)</f>
        <v>1</v>
      </c>
      <c r="AA2201" s="81">
        <f>IFERROR(HLOOKUP(J2201,データについて!$J$4:$AH$19,16,FALSE),"")</f>
        <v>10</v>
      </c>
      <c r="AB2201" s="81" t="str">
        <f>IFERROR(HLOOKUP(K2201,データについて!$J$5:$AH$20,14,FALSE),"")</f>
        <v/>
      </c>
      <c r="AC2201" s="81">
        <f>IF(X2201=1,HLOOKUP(R2201,データについて!$J$12:$M$18,7,FALSE),"*")</f>
        <v>2</v>
      </c>
      <c r="AD2201" s="81" t="str">
        <f>IF(X2201=2,HLOOKUP(R2201,データについて!$J$12:$M$18,7,FALSE),"*")</f>
        <v>*</v>
      </c>
    </row>
    <row r="2202" spans="1:30">
      <c r="A2202" s="30">
        <v>2990</v>
      </c>
      <c r="B2202" s="30" t="s">
        <v>2412</v>
      </c>
      <c r="C2202" s="30" t="s">
        <v>2413</v>
      </c>
      <c r="D2202" s="30" t="s">
        <v>106</v>
      </c>
      <c r="E2202" s="30"/>
      <c r="F2202" s="30" t="s">
        <v>107</v>
      </c>
      <c r="G2202" s="30" t="s">
        <v>106</v>
      </c>
      <c r="H2202" s="30"/>
      <c r="I2202" s="30" t="s">
        <v>192</v>
      </c>
      <c r="J2202" s="30" t="s">
        <v>2359</v>
      </c>
      <c r="K2202" s="30"/>
      <c r="L2202" s="30" t="s">
        <v>108</v>
      </c>
      <c r="M2202" s="30" t="s">
        <v>109</v>
      </c>
      <c r="N2202" s="30" t="s">
        <v>110</v>
      </c>
      <c r="O2202" s="30" t="s">
        <v>115</v>
      </c>
      <c r="P2202" s="30" t="s">
        <v>112</v>
      </c>
      <c r="Q2202" s="30" t="s">
        <v>112</v>
      </c>
      <c r="R2202" s="30" t="s">
        <v>185</v>
      </c>
      <c r="S2202" s="81">
        <f>HLOOKUP(L2202,データについて!$J$6:$M$18,13,FALSE)</f>
        <v>1</v>
      </c>
      <c r="T2202" s="81">
        <f>HLOOKUP(M2202,データについて!$J$7:$M$18,12,FALSE)</f>
        <v>2</v>
      </c>
      <c r="U2202" s="81">
        <f>HLOOKUP(N2202,データについて!$J$8:$M$18,11,FALSE)</f>
        <v>2</v>
      </c>
      <c r="V2202" s="81">
        <f>HLOOKUP(O2202,データについて!$J$9:$M$18,10,FALSE)</f>
        <v>1</v>
      </c>
      <c r="W2202" s="81">
        <f>HLOOKUP(P2202,データについて!$J$10:$M$18,9,FALSE)</f>
        <v>1</v>
      </c>
      <c r="X2202" s="81">
        <f>HLOOKUP(Q2202,データについて!$J$11:$M$18,8,FALSE)</f>
        <v>1</v>
      </c>
      <c r="Y2202" s="81">
        <f>HLOOKUP(R2202,データについて!$J$12:$M$18,7,FALSE)</f>
        <v>2</v>
      </c>
      <c r="Z2202" s="81">
        <f>HLOOKUP(I2202,データについて!$J$3:$M$18,16,FALSE)</f>
        <v>1</v>
      </c>
      <c r="AA2202" s="81">
        <f>IFERROR(HLOOKUP(J2202,データについて!$J$4:$AH$19,16,FALSE),"")</f>
        <v>10</v>
      </c>
      <c r="AB2202" s="81" t="str">
        <f>IFERROR(HLOOKUP(K2202,データについて!$J$5:$AH$20,14,FALSE),"")</f>
        <v/>
      </c>
      <c r="AC2202" s="81">
        <f>IF(X2202=1,HLOOKUP(R2202,データについて!$J$12:$M$18,7,FALSE),"*")</f>
        <v>2</v>
      </c>
      <c r="AD2202" s="81" t="str">
        <f>IF(X2202=2,HLOOKUP(R2202,データについて!$J$12:$M$18,7,FALSE),"*")</f>
        <v>*</v>
      </c>
    </row>
    <row r="2203" spans="1:30">
      <c r="A2203" s="30">
        <v>2989</v>
      </c>
      <c r="B2203" s="30" t="s">
        <v>2414</v>
      </c>
      <c r="C2203" s="30" t="s">
        <v>2415</v>
      </c>
      <c r="D2203" s="30" t="s">
        <v>106</v>
      </c>
      <c r="E2203" s="30"/>
      <c r="F2203" s="30" t="s">
        <v>107</v>
      </c>
      <c r="G2203" s="30" t="s">
        <v>106</v>
      </c>
      <c r="H2203" s="30"/>
      <c r="I2203" s="30" t="s">
        <v>192</v>
      </c>
      <c r="J2203" s="30" t="s">
        <v>2359</v>
      </c>
      <c r="K2203" s="30"/>
      <c r="L2203" s="30" t="s">
        <v>117</v>
      </c>
      <c r="M2203" s="30" t="s">
        <v>113</v>
      </c>
      <c r="N2203" s="30" t="s">
        <v>110</v>
      </c>
      <c r="O2203" s="30" t="s">
        <v>115</v>
      </c>
      <c r="P2203" s="30" t="s">
        <v>112</v>
      </c>
      <c r="Q2203" s="30" t="s">
        <v>112</v>
      </c>
      <c r="R2203" s="30" t="s">
        <v>183</v>
      </c>
      <c r="S2203" s="81">
        <f>HLOOKUP(L2203,データについて!$J$6:$M$18,13,FALSE)</f>
        <v>2</v>
      </c>
      <c r="T2203" s="81">
        <f>HLOOKUP(M2203,データについて!$J$7:$M$18,12,FALSE)</f>
        <v>1</v>
      </c>
      <c r="U2203" s="81">
        <f>HLOOKUP(N2203,データについて!$J$8:$M$18,11,FALSE)</f>
        <v>2</v>
      </c>
      <c r="V2203" s="81">
        <f>HLOOKUP(O2203,データについて!$J$9:$M$18,10,FALSE)</f>
        <v>1</v>
      </c>
      <c r="W2203" s="81">
        <f>HLOOKUP(P2203,データについて!$J$10:$M$18,9,FALSE)</f>
        <v>1</v>
      </c>
      <c r="X2203" s="81">
        <f>HLOOKUP(Q2203,データについて!$J$11:$M$18,8,FALSE)</f>
        <v>1</v>
      </c>
      <c r="Y2203" s="81">
        <f>HLOOKUP(R2203,データについて!$J$12:$M$18,7,FALSE)</f>
        <v>1</v>
      </c>
      <c r="Z2203" s="81">
        <f>HLOOKUP(I2203,データについて!$J$3:$M$18,16,FALSE)</f>
        <v>1</v>
      </c>
      <c r="AA2203" s="81">
        <f>IFERROR(HLOOKUP(J2203,データについて!$J$4:$AH$19,16,FALSE),"")</f>
        <v>10</v>
      </c>
      <c r="AB2203" s="81" t="str">
        <f>IFERROR(HLOOKUP(K2203,データについて!$J$5:$AH$20,14,FALSE),"")</f>
        <v/>
      </c>
      <c r="AC2203" s="81">
        <f>IF(X2203=1,HLOOKUP(R2203,データについて!$J$12:$M$18,7,FALSE),"*")</f>
        <v>1</v>
      </c>
      <c r="AD2203" s="81" t="str">
        <f>IF(X2203=2,HLOOKUP(R2203,データについて!$J$12:$M$18,7,FALSE),"*")</f>
        <v>*</v>
      </c>
    </row>
    <row r="2204" spans="1:30">
      <c r="A2204" s="30">
        <v>2988</v>
      </c>
      <c r="B2204" s="30" t="s">
        <v>2416</v>
      </c>
      <c r="C2204" s="30" t="s">
        <v>2417</v>
      </c>
      <c r="D2204" s="30" t="s">
        <v>106</v>
      </c>
      <c r="E2204" s="30"/>
      <c r="F2204" s="30" t="s">
        <v>107</v>
      </c>
      <c r="G2204" s="30" t="s">
        <v>106</v>
      </c>
      <c r="H2204" s="30"/>
      <c r="I2204" s="30" t="s">
        <v>192</v>
      </c>
      <c r="J2204" s="30" t="s">
        <v>2359</v>
      </c>
      <c r="K2204" s="30"/>
      <c r="L2204" s="30" t="s">
        <v>108</v>
      </c>
      <c r="M2204" s="30" t="s">
        <v>113</v>
      </c>
      <c r="N2204" s="30" t="s">
        <v>114</v>
      </c>
      <c r="O2204" s="30" t="s">
        <v>115</v>
      </c>
      <c r="P2204" s="30" t="s">
        <v>118</v>
      </c>
      <c r="Q2204" s="30" t="s">
        <v>112</v>
      </c>
      <c r="R2204" s="30" t="s">
        <v>183</v>
      </c>
      <c r="S2204" s="81">
        <f>HLOOKUP(L2204,データについて!$J$6:$M$18,13,FALSE)</f>
        <v>1</v>
      </c>
      <c r="T2204" s="81">
        <f>HLOOKUP(M2204,データについて!$J$7:$M$18,12,FALSE)</f>
        <v>1</v>
      </c>
      <c r="U2204" s="81">
        <f>HLOOKUP(N2204,データについて!$J$8:$M$18,11,FALSE)</f>
        <v>1</v>
      </c>
      <c r="V2204" s="81">
        <f>HLOOKUP(O2204,データについて!$J$9:$M$18,10,FALSE)</f>
        <v>1</v>
      </c>
      <c r="W2204" s="81">
        <f>HLOOKUP(P2204,データについて!$J$10:$M$18,9,FALSE)</f>
        <v>2</v>
      </c>
      <c r="X2204" s="81">
        <f>HLOOKUP(Q2204,データについて!$J$11:$M$18,8,FALSE)</f>
        <v>1</v>
      </c>
      <c r="Y2204" s="81">
        <f>HLOOKUP(R2204,データについて!$J$12:$M$18,7,FALSE)</f>
        <v>1</v>
      </c>
      <c r="Z2204" s="81">
        <f>HLOOKUP(I2204,データについて!$J$3:$M$18,16,FALSE)</f>
        <v>1</v>
      </c>
      <c r="AA2204" s="81">
        <f>IFERROR(HLOOKUP(J2204,データについて!$J$4:$AH$19,16,FALSE),"")</f>
        <v>10</v>
      </c>
      <c r="AB2204" s="81" t="str">
        <f>IFERROR(HLOOKUP(K2204,データについて!$J$5:$AH$20,14,FALSE),"")</f>
        <v/>
      </c>
      <c r="AC2204" s="81">
        <f>IF(X2204=1,HLOOKUP(R2204,データについて!$J$12:$M$18,7,FALSE),"*")</f>
        <v>1</v>
      </c>
      <c r="AD2204" s="81" t="str">
        <f>IF(X2204=2,HLOOKUP(R2204,データについて!$J$12:$M$18,7,FALSE),"*")</f>
        <v>*</v>
      </c>
    </row>
    <row r="2205" spans="1:30">
      <c r="A2205" s="30">
        <v>2987</v>
      </c>
      <c r="B2205" s="30" t="s">
        <v>2418</v>
      </c>
      <c r="C2205" s="30" t="s">
        <v>2417</v>
      </c>
      <c r="D2205" s="30" t="s">
        <v>106</v>
      </c>
      <c r="E2205" s="30"/>
      <c r="F2205" s="30" t="s">
        <v>107</v>
      </c>
      <c r="G2205" s="30" t="s">
        <v>106</v>
      </c>
      <c r="H2205" s="30"/>
      <c r="I2205" s="30" t="s">
        <v>192</v>
      </c>
      <c r="J2205" s="30" t="s">
        <v>2359</v>
      </c>
      <c r="K2205" s="30"/>
      <c r="L2205" s="30" t="s">
        <v>117</v>
      </c>
      <c r="M2205" s="30" t="s">
        <v>109</v>
      </c>
      <c r="N2205" s="30" t="s">
        <v>110</v>
      </c>
      <c r="O2205" s="30" t="s">
        <v>115</v>
      </c>
      <c r="P2205" s="30" t="s">
        <v>112</v>
      </c>
      <c r="Q2205" s="30" t="s">
        <v>112</v>
      </c>
      <c r="R2205" s="30" t="s">
        <v>185</v>
      </c>
      <c r="S2205" s="81">
        <f>HLOOKUP(L2205,データについて!$J$6:$M$18,13,FALSE)</f>
        <v>2</v>
      </c>
      <c r="T2205" s="81">
        <f>HLOOKUP(M2205,データについて!$J$7:$M$18,12,FALSE)</f>
        <v>2</v>
      </c>
      <c r="U2205" s="81">
        <f>HLOOKUP(N2205,データについて!$J$8:$M$18,11,FALSE)</f>
        <v>2</v>
      </c>
      <c r="V2205" s="81">
        <f>HLOOKUP(O2205,データについて!$J$9:$M$18,10,FALSE)</f>
        <v>1</v>
      </c>
      <c r="W2205" s="81">
        <f>HLOOKUP(P2205,データについて!$J$10:$M$18,9,FALSE)</f>
        <v>1</v>
      </c>
      <c r="X2205" s="81">
        <f>HLOOKUP(Q2205,データについて!$J$11:$M$18,8,FALSE)</f>
        <v>1</v>
      </c>
      <c r="Y2205" s="81">
        <f>HLOOKUP(R2205,データについて!$J$12:$M$18,7,FALSE)</f>
        <v>2</v>
      </c>
      <c r="Z2205" s="81">
        <f>HLOOKUP(I2205,データについて!$J$3:$M$18,16,FALSE)</f>
        <v>1</v>
      </c>
      <c r="AA2205" s="81">
        <f>IFERROR(HLOOKUP(J2205,データについて!$J$4:$AH$19,16,FALSE),"")</f>
        <v>10</v>
      </c>
      <c r="AB2205" s="81" t="str">
        <f>IFERROR(HLOOKUP(K2205,データについて!$J$5:$AH$20,14,FALSE),"")</f>
        <v/>
      </c>
      <c r="AC2205" s="81">
        <f>IF(X2205=1,HLOOKUP(R2205,データについて!$J$12:$M$18,7,FALSE),"*")</f>
        <v>2</v>
      </c>
      <c r="AD2205" s="81" t="str">
        <f>IF(X2205=2,HLOOKUP(R2205,データについて!$J$12:$M$18,7,FALSE),"*")</f>
        <v>*</v>
      </c>
    </row>
    <row r="2206" spans="1:30">
      <c r="A2206" s="30">
        <v>2986</v>
      </c>
      <c r="B2206" s="30" t="s">
        <v>2419</v>
      </c>
      <c r="C2206" s="30" t="s">
        <v>2420</v>
      </c>
      <c r="D2206" s="30" t="s">
        <v>106</v>
      </c>
      <c r="E2206" s="30"/>
      <c r="F2206" s="30" t="s">
        <v>107</v>
      </c>
      <c r="G2206" s="30" t="s">
        <v>106</v>
      </c>
      <c r="H2206" s="30"/>
      <c r="I2206" s="30" t="s">
        <v>192</v>
      </c>
      <c r="J2206" s="30" t="s">
        <v>2256</v>
      </c>
      <c r="K2206" s="30"/>
      <c r="L2206" s="30" t="s">
        <v>117</v>
      </c>
      <c r="M2206" s="30" t="s">
        <v>113</v>
      </c>
      <c r="N2206" s="30" t="s">
        <v>110</v>
      </c>
      <c r="O2206" s="30" t="s">
        <v>115</v>
      </c>
      <c r="P2206" s="30" t="s">
        <v>112</v>
      </c>
      <c r="Q2206" s="30" t="s">
        <v>112</v>
      </c>
      <c r="R2206" s="30" t="s">
        <v>183</v>
      </c>
      <c r="S2206" s="81">
        <f>HLOOKUP(L2206,データについて!$J$6:$M$18,13,FALSE)</f>
        <v>2</v>
      </c>
      <c r="T2206" s="81">
        <f>HLOOKUP(M2206,データについて!$J$7:$M$18,12,FALSE)</f>
        <v>1</v>
      </c>
      <c r="U2206" s="81">
        <f>HLOOKUP(N2206,データについて!$J$8:$M$18,11,FALSE)</f>
        <v>2</v>
      </c>
      <c r="V2206" s="81">
        <f>HLOOKUP(O2206,データについて!$J$9:$M$18,10,FALSE)</f>
        <v>1</v>
      </c>
      <c r="W2206" s="81">
        <f>HLOOKUP(P2206,データについて!$J$10:$M$18,9,FALSE)</f>
        <v>1</v>
      </c>
      <c r="X2206" s="81">
        <f>HLOOKUP(Q2206,データについて!$J$11:$M$18,8,FALSE)</f>
        <v>1</v>
      </c>
      <c r="Y2206" s="81">
        <f>HLOOKUP(R2206,データについて!$J$12:$M$18,7,FALSE)</f>
        <v>1</v>
      </c>
      <c r="Z2206" s="81">
        <f>HLOOKUP(I2206,データについて!$J$3:$M$18,16,FALSE)</f>
        <v>1</v>
      </c>
      <c r="AA2206" s="81">
        <f>IFERROR(HLOOKUP(J2206,データについて!$J$4:$AH$19,16,FALSE),"")</f>
        <v>13</v>
      </c>
      <c r="AB2206" s="81" t="str">
        <f>IFERROR(HLOOKUP(K2206,データについて!$J$5:$AH$20,14,FALSE),"")</f>
        <v/>
      </c>
      <c r="AC2206" s="81">
        <f>IF(X2206=1,HLOOKUP(R2206,データについて!$J$12:$M$18,7,FALSE),"*")</f>
        <v>1</v>
      </c>
      <c r="AD2206" s="81" t="str">
        <f>IF(X2206=2,HLOOKUP(R2206,データについて!$J$12:$M$18,7,FALSE),"*")</f>
        <v>*</v>
      </c>
    </row>
    <row r="2207" spans="1:30">
      <c r="A2207" s="30">
        <v>2985</v>
      </c>
      <c r="B2207" s="30" t="s">
        <v>2421</v>
      </c>
      <c r="C2207" s="30" t="s">
        <v>2422</v>
      </c>
      <c r="D2207" s="30" t="s">
        <v>106</v>
      </c>
      <c r="E2207" s="30"/>
      <c r="F2207" s="30" t="s">
        <v>107</v>
      </c>
      <c r="G2207" s="30" t="s">
        <v>106</v>
      </c>
      <c r="H2207" s="30"/>
      <c r="I2207" s="30" t="s">
        <v>192</v>
      </c>
      <c r="J2207" s="30" t="s">
        <v>611</v>
      </c>
      <c r="K2207" s="30"/>
      <c r="L2207" s="30" t="s">
        <v>117</v>
      </c>
      <c r="M2207" s="30" t="s">
        <v>113</v>
      </c>
      <c r="N2207" s="30" t="s">
        <v>114</v>
      </c>
      <c r="O2207" s="30" t="s">
        <v>115</v>
      </c>
      <c r="P2207" s="30" t="s">
        <v>118</v>
      </c>
      <c r="Q2207" s="30" t="s">
        <v>112</v>
      </c>
      <c r="R2207" s="30" t="s">
        <v>189</v>
      </c>
      <c r="S2207" s="81">
        <f>HLOOKUP(L2207,データについて!$J$6:$M$18,13,FALSE)</f>
        <v>2</v>
      </c>
      <c r="T2207" s="81">
        <f>HLOOKUP(M2207,データについて!$J$7:$M$18,12,FALSE)</f>
        <v>1</v>
      </c>
      <c r="U2207" s="81">
        <f>HLOOKUP(N2207,データについて!$J$8:$M$18,11,FALSE)</f>
        <v>1</v>
      </c>
      <c r="V2207" s="81">
        <f>HLOOKUP(O2207,データについて!$J$9:$M$18,10,FALSE)</f>
        <v>1</v>
      </c>
      <c r="W2207" s="81">
        <f>HLOOKUP(P2207,データについて!$J$10:$M$18,9,FALSE)</f>
        <v>2</v>
      </c>
      <c r="X2207" s="81">
        <f>HLOOKUP(Q2207,データについて!$J$11:$M$18,8,FALSE)</f>
        <v>1</v>
      </c>
      <c r="Y2207" s="81">
        <f>HLOOKUP(R2207,データについて!$J$12:$M$18,7,FALSE)</f>
        <v>4</v>
      </c>
      <c r="Z2207" s="81">
        <f>HLOOKUP(I2207,データについて!$J$3:$M$18,16,FALSE)</f>
        <v>1</v>
      </c>
      <c r="AA2207" s="81">
        <f>IFERROR(HLOOKUP(J2207,データについて!$J$4:$AH$19,16,FALSE),"")</f>
        <v>15</v>
      </c>
      <c r="AB2207" s="81" t="str">
        <f>IFERROR(HLOOKUP(K2207,データについて!$J$5:$AH$20,14,FALSE),"")</f>
        <v/>
      </c>
      <c r="AC2207" s="81">
        <f>IF(X2207=1,HLOOKUP(R2207,データについて!$J$12:$M$18,7,FALSE),"*")</f>
        <v>4</v>
      </c>
      <c r="AD2207" s="81" t="str">
        <f>IF(X2207=2,HLOOKUP(R2207,データについて!$J$12:$M$18,7,FALSE),"*")</f>
        <v>*</v>
      </c>
    </row>
    <row r="2208" spans="1:30">
      <c r="A2208" s="30">
        <v>2984</v>
      </c>
      <c r="B2208" s="30" t="s">
        <v>2423</v>
      </c>
      <c r="C2208" s="30" t="s">
        <v>2424</v>
      </c>
      <c r="D2208" s="30" t="s">
        <v>106</v>
      </c>
      <c r="E2208" s="30"/>
      <c r="F2208" s="30" t="s">
        <v>107</v>
      </c>
      <c r="G2208" s="30" t="s">
        <v>106</v>
      </c>
      <c r="H2208" s="30"/>
      <c r="I2208" s="30" t="s">
        <v>192</v>
      </c>
      <c r="J2208" s="30" t="s">
        <v>2359</v>
      </c>
      <c r="K2208" s="30"/>
      <c r="L2208" s="30" t="s">
        <v>117</v>
      </c>
      <c r="M2208" s="30" t="s">
        <v>113</v>
      </c>
      <c r="N2208" s="30" t="s">
        <v>114</v>
      </c>
      <c r="O2208" s="30" t="s">
        <v>115</v>
      </c>
      <c r="P2208" s="30" t="s">
        <v>112</v>
      </c>
      <c r="Q2208" s="30" t="s">
        <v>112</v>
      </c>
      <c r="R2208" s="30" t="s">
        <v>183</v>
      </c>
      <c r="S2208" s="81">
        <f>HLOOKUP(L2208,データについて!$J$6:$M$18,13,FALSE)</f>
        <v>2</v>
      </c>
      <c r="T2208" s="81">
        <f>HLOOKUP(M2208,データについて!$J$7:$M$18,12,FALSE)</f>
        <v>1</v>
      </c>
      <c r="U2208" s="81">
        <f>HLOOKUP(N2208,データについて!$J$8:$M$18,11,FALSE)</f>
        <v>1</v>
      </c>
      <c r="V2208" s="81">
        <f>HLOOKUP(O2208,データについて!$J$9:$M$18,10,FALSE)</f>
        <v>1</v>
      </c>
      <c r="W2208" s="81">
        <f>HLOOKUP(P2208,データについて!$J$10:$M$18,9,FALSE)</f>
        <v>1</v>
      </c>
      <c r="X2208" s="81">
        <f>HLOOKUP(Q2208,データについて!$J$11:$M$18,8,FALSE)</f>
        <v>1</v>
      </c>
      <c r="Y2208" s="81">
        <f>HLOOKUP(R2208,データについて!$J$12:$M$18,7,FALSE)</f>
        <v>1</v>
      </c>
      <c r="Z2208" s="81">
        <f>HLOOKUP(I2208,データについて!$J$3:$M$18,16,FALSE)</f>
        <v>1</v>
      </c>
      <c r="AA2208" s="81">
        <f>IFERROR(HLOOKUP(J2208,データについて!$J$4:$AH$19,16,FALSE),"")</f>
        <v>10</v>
      </c>
      <c r="AB2208" s="81" t="str">
        <f>IFERROR(HLOOKUP(K2208,データについて!$J$5:$AH$20,14,FALSE),"")</f>
        <v/>
      </c>
      <c r="AC2208" s="81">
        <f>IF(X2208=1,HLOOKUP(R2208,データについて!$J$12:$M$18,7,FALSE),"*")</f>
        <v>1</v>
      </c>
      <c r="AD2208" s="81" t="str">
        <f>IF(X2208=2,HLOOKUP(R2208,データについて!$J$12:$M$18,7,FALSE),"*")</f>
        <v>*</v>
      </c>
    </row>
    <row r="2209" spans="1:30">
      <c r="A2209" s="30">
        <v>2983</v>
      </c>
      <c r="B2209" s="30" t="s">
        <v>2425</v>
      </c>
      <c r="C2209" s="30" t="s">
        <v>2426</v>
      </c>
      <c r="D2209" s="30" t="s">
        <v>106</v>
      </c>
      <c r="E2209" s="30"/>
      <c r="F2209" s="30" t="s">
        <v>107</v>
      </c>
      <c r="G2209" s="30" t="s">
        <v>106</v>
      </c>
      <c r="H2209" s="30"/>
      <c r="I2209" s="30" t="s">
        <v>192</v>
      </c>
      <c r="J2209" s="30" t="s">
        <v>2359</v>
      </c>
      <c r="K2209" s="30"/>
      <c r="L2209" s="30" t="s">
        <v>108</v>
      </c>
      <c r="M2209" s="30" t="s">
        <v>113</v>
      </c>
      <c r="N2209" s="30" t="s">
        <v>114</v>
      </c>
      <c r="O2209" s="30" t="s">
        <v>115</v>
      </c>
      <c r="P2209" s="30" t="s">
        <v>112</v>
      </c>
      <c r="Q2209" s="30" t="s">
        <v>112</v>
      </c>
      <c r="R2209" s="30" t="s">
        <v>183</v>
      </c>
      <c r="S2209" s="81">
        <f>HLOOKUP(L2209,データについて!$J$6:$M$18,13,FALSE)</f>
        <v>1</v>
      </c>
      <c r="T2209" s="81">
        <f>HLOOKUP(M2209,データについて!$J$7:$M$18,12,FALSE)</f>
        <v>1</v>
      </c>
      <c r="U2209" s="81">
        <f>HLOOKUP(N2209,データについて!$J$8:$M$18,11,FALSE)</f>
        <v>1</v>
      </c>
      <c r="V2209" s="81">
        <f>HLOOKUP(O2209,データについて!$J$9:$M$18,10,FALSE)</f>
        <v>1</v>
      </c>
      <c r="W2209" s="81">
        <f>HLOOKUP(P2209,データについて!$J$10:$M$18,9,FALSE)</f>
        <v>1</v>
      </c>
      <c r="X2209" s="81">
        <f>HLOOKUP(Q2209,データについて!$J$11:$M$18,8,FALSE)</f>
        <v>1</v>
      </c>
      <c r="Y2209" s="81">
        <f>HLOOKUP(R2209,データについて!$J$12:$M$18,7,FALSE)</f>
        <v>1</v>
      </c>
      <c r="Z2209" s="81">
        <f>HLOOKUP(I2209,データについて!$J$3:$M$18,16,FALSE)</f>
        <v>1</v>
      </c>
      <c r="AA2209" s="81">
        <f>IFERROR(HLOOKUP(J2209,データについて!$J$4:$AH$19,16,FALSE),"")</f>
        <v>10</v>
      </c>
      <c r="AB2209" s="81" t="str">
        <f>IFERROR(HLOOKUP(K2209,データについて!$J$5:$AH$20,14,FALSE),"")</f>
        <v/>
      </c>
      <c r="AC2209" s="81">
        <f>IF(X2209=1,HLOOKUP(R2209,データについて!$J$12:$M$18,7,FALSE),"*")</f>
        <v>1</v>
      </c>
      <c r="AD2209" s="81" t="str">
        <f>IF(X2209=2,HLOOKUP(R2209,データについて!$J$12:$M$18,7,FALSE),"*")</f>
        <v>*</v>
      </c>
    </row>
    <row r="2210" spans="1:30">
      <c r="A2210" s="30">
        <v>2982</v>
      </c>
      <c r="B2210" s="30" t="s">
        <v>2427</v>
      </c>
      <c r="C2210" s="30" t="s">
        <v>2428</v>
      </c>
      <c r="D2210" s="30" t="s">
        <v>106</v>
      </c>
      <c r="E2210" s="30"/>
      <c r="F2210" s="30" t="s">
        <v>107</v>
      </c>
      <c r="G2210" s="30" t="s">
        <v>106</v>
      </c>
      <c r="H2210" s="30"/>
      <c r="I2210" s="30" t="s">
        <v>192</v>
      </c>
      <c r="J2210" s="30" t="s">
        <v>2359</v>
      </c>
      <c r="K2210" s="30"/>
      <c r="L2210" s="30" t="s">
        <v>117</v>
      </c>
      <c r="M2210" s="30" t="s">
        <v>113</v>
      </c>
      <c r="N2210" s="30" t="s">
        <v>114</v>
      </c>
      <c r="O2210" s="30" t="s">
        <v>115</v>
      </c>
      <c r="P2210" s="30" t="s">
        <v>112</v>
      </c>
      <c r="Q2210" s="30" t="s">
        <v>118</v>
      </c>
      <c r="R2210" s="30" t="s">
        <v>185</v>
      </c>
      <c r="S2210" s="81">
        <f>HLOOKUP(L2210,データについて!$J$6:$M$18,13,FALSE)</f>
        <v>2</v>
      </c>
      <c r="T2210" s="81">
        <f>HLOOKUP(M2210,データについて!$J$7:$M$18,12,FALSE)</f>
        <v>1</v>
      </c>
      <c r="U2210" s="81">
        <f>HLOOKUP(N2210,データについて!$J$8:$M$18,11,FALSE)</f>
        <v>1</v>
      </c>
      <c r="V2210" s="81">
        <f>HLOOKUP(O2210,データについて!$J$9:$M$18,10,FALSE)</f>
        <v>1</v>
      </c>
      <c r="W2210" s="81">
        <f>HLOOKUP(P2210,データについて!$J$10:$M$18,9,FALSE)</f>
        <v>1</v>
      </c>
      <c r="X2210" s="81">
        <f>HLOOKUP(Q2210,データについて!$J$11:$M$18,8,FALSE)</f>
        <v>2</v>
      </c>
      <c r="Y2210" s="81">
        <f>HLOOKUP(R2210,データについて!$J$12:$M$18,7,FALSE)</f>
        <v>2</v>
      </c>
      <c r="Z2210" s="81">
        <f>HLOOKUP(I2210,データについて!$J$3:$M$18,16,FALSE)</f>
        <v>1</v>
      </c>
      <c r="AA2210" s="81">
        <f>IFERROR(HLOOKUP(J2210,データについて!$J$4:$AH$19,16,FALSE),"")</f>
        <v>10</v>
      </c>
      <c r="AB2210" s="81" t="str">
        <f>IFERROR(HLOOKUP(K2210,データについて!$J$5:$AH$20,14,FALSE),"")</f>
        <v/>
      </c>
      <c r="AC2210" s="81" t="str">
        <f>IF(X2210=1,HLOOKUP(R2210,データについて!$J$12:$M$18,7,FALSE),"*")</f>
        <v>*</v>
      </c>
      <c r="AD2210" s="81">
        <f>IF(X2210=2,HLOOKUP(R2210,データについて!$J$12:$M$18,7,FALSE),"*")</f>
        <v>2</v>
      </c>
    </row>
    <row r="2211" spans="1:30">
      <c r="A2211" s="30">
        <v>2981</v>
      </c>
      <c r="B2211" s="30" t="s">
        <v>2429</v>
      </c>
      <c r="C2211" s="30" t="s">
        <v>2430</v>
      </c>
      <c r="D2211" s="30" t="s">
        <v>106</v>
      </c>
      <c r="E2211" s="30"/>
      <c r="F2211" s="30" t="s">
        <v>107</v>
      </c>
      <c r="G2211" s="30" t="s">
        <v>106</v>
      </c>
      <c r="H2211" s="30"/>
      <c r="I2211" s="30" t="s">
        <v>192</v>
      </c>
      <c r="J2211" s="30" t="s">
        <v>2359</v>
      </c>
      <c r="K2211" s="30"/>
      <c r="L2211" s="30" t="s">
        <v>117</v>
      </c>
      <c r="M2211" s="30" t="s">
        <v>113</v>
      </c>
      <c r="N2211" s="30" t="s">
        <v>114</v>
      </c>
      <c r="O2211" s="30" t="s">
        <v>115</v>
      </c>
      <c r="P2211" s="30" t="s">
        <v>112</v>
      </c>
      <c r="Q2211" s="30" t="s">
        <v>112</v>
      </c>
      <c r="R2211" s="30" t="s">
        <v>183</v>
      </c>
      <c r="S2211" s="81">
        <f>HLOOKUP(L2211,データについて!$J$6:$M$18,13,FALSE)</f>
        <v>2</v>
      </c>
      <c r="T2211" s="81">
        <f>HLOOKUP(M2211,データについて!$J$7:$M$18,12,FALSE)</f>
        <v>1</v>
      </c>
      <c r="U2211" s="81">
        <f>HLOOKUP(N2211,データについて!$J$8:$M$18,11,FALSE)</f>
        <v>1</v>
      </c>
      <c r="V2211" s="81">
        <f>HLOOKUP(O2211,データについて!$J$9:$M$18,10,FALSE)</f>
        <v>1</v>
      </c>
      <c r="W2211" s="81">
        <f>HLOOKUP(P2211,データについて!$J$10:$M$18,9,FALSE)</f>
        <v>1</v>
      </c>
      <c r="X2211" s="81">
        <f>HLOOKUP(Q2211,データについて!$J$11:$M$18,8,FALSE)</f>
        <v>1</v>
      </c>
      <c r="Y2211" s="81">
        <f>HLOOKUP(R2211,データについて!$J$12:$M$18,7,FALSE)</f>
        <v>1</v>
      </c>
      <c r="Z2211" s="81">
        <f>HLOOKUP(I2211,データについて!$J$3:$M$18,16,FALSE)</f>
        <v>1</v>
      </c>
      <c r="AA2211" s="81">
        <f>IFERROR(HLOOKUP(J2211,データについて!$J$4:$AH$19,16,FALSE),"")</f>
        <v>10</v>
      </c>
      <c r="AB2211" s="81" t="str">
        <f>IFERROR(HLOOKUP(K2211,データについて!$J$5:$AH$20,14,FALSE),"")</f>
        <v/>
      </c>
      <c r="AC2211" s="81">
        <f>IF(X2211=1,HLOOKUP(R2211,データについて!$J$12:$M$18,7,FALSE),"*")</f>
        <v>1</v>
      </c>
      <c r="AD2211" s="81" t="str">
        <f>IF(X2211=2,HLOOKUP(R2211,データについて!$J$12:$M$18,7,FALSE),"*")</f>
        <v>*</v>
      </c>
    </row>
    <row r="2212" spans="1:30">
      <c r="A2212" s="30">
        <v>2980</v>
      </c>
      <c r="B2212" s="30" t="s">
        <v>2431</v>
      </c>
      <c r="C2212" s="30" t="s">
        <v>2432</v>
      </c>
      <c r="D2212" s="30" t="s">
        <v>106</v>
      </c>
      <c r="E2212" s="30"/>
      <c r="F2212" s="30" t="s">
        <v>107</v>
      </c>
      <c r="G2212" s="30" t="s">
        <v>106</v>
      </c>
      <c r="H2212" s="30"/>
      <c r="I2212" s="30" t="s">
        <v>192</v>
      </c>
      <c r="J2212" s="30" t="s">
        <v>2359</v>
      </c>
      <c r="K2212" s="30"/>
      <c r="L2212" s="30" t="s">
        <v>117</v>
      </c>
      <c r="M2212" s="30" t="s">
        <v>109</v>
      </c>
      <c r="N2212" s="30" t="s">
        <v>114</v>
      </c>
      <c r="O2212" s="30" t="s">
        <v>115</v>
      </c>
      <c r="P2212" s="30" t="s">
        <v>112</v>
      </c>
      <c r="Q2212" s="30" t="s">
        <v>112</v>
      </c>
      <c r="R2212" s="30" t="s">
        <v>183</v>
      </c>
      <c r="S2212" s="81">
        <f>HLOOKUP(L2212,データについて!$J$6:$M$18,13,FALSE)</f>
        <v>2</v>
      </c>
      <c r="T2212" s="81">
        <f>HLOOKUP(M2212,データについて!$J$7:$M$18,12,FALSE)</f>
        <v>2</v>
      </c>
      <c r="U2212" s="81">
        <f>HLOOKUP(N2212,データについて!$J$8:$M$18,11,FALSE)</f>
        <v>1</v>
      </c>
      <c r="V2212" s="81">
        <f>HLOOKUP(O2212,データについて!$J$9:$M$18,10,FALSE)</f>
        <v>1</v>
      </c>
      <c r="W2212" s="81">
        <f>HLOOKUP(P2212,データについて!$J$10:$M$18,9,FALSE)</f>
        <v>1</v>
      </c>
      <c r="X2212" s="81">
        <f>HLOOKUP(Q2212,データについて!$J$11:$M$18,8,FALSE)</f>
        <v>1</v>
      </c>
      <c r="Y2212" s="81">
        <f>HLOOKUP(R2212,データについて!$J$12:$M$18,7,FALSE)</f>
        <v>1</v>
      </c>
      <c r="Z2212" s="81">
        <f>HLOOKUP(I2212,データについて!$J$3:$M$18,16,FALSE)</f>
        <v>1</v>
      </c>
      <c r="AA2212" s="81">
        <f>IFERROR(HLOOKUP(J2212,データについて!$J$4:$AH$19,16,FALSE),"")</f>
        <v>10</v>
      </c>
      <c r="AB2212" s="81" t="str">
        <f>IFERROR(HLOOKUP(K2212,データについて!$J$5:$AH$20,14,FALSE),"")</f>
        <v/>
      </c>
      <c r="AC2212" s="81">
        <f>IF(X2212=1,HLOOKUP(R2212,データについて!$J$12:$M$18,7,FALSE),"*")</f>
        <v>1</v>
      </c>
      <c r="AD2212" s="81" t="str">
        <f>IF(X2212=2,HLOOKUP(R2212,データについて!$J$12:$M$18,7,FALSE),"*")</f>
        <v>*</v>
      </c>
    </row>
    <row r="2213" spans="1:30">
      <c r="A2213" s="30">
        <v>2979</v>
      </c>
      <c r="B2213" s="30" t="s">
        <v>2433</v>
      </c>
      <c r="C2213" s="30" t="s">
        <v>2434</v>
      </c>
      <c r="D2213" s="30" t="s">
        <v>106</v>
      </c>
      <c r="E2213" s="30"/>
      <c r="F2213" s="30" t="s">
        <v>107</v>
      </c>
      <c r="G2213" s="30" t="s">
        <v>106</v>
      </c>
      <c r="H2213" s="30"/>
      <c r="I2213" s="30" t="s">
        <v>191</v>
      </c>
      <c r="J2213" s="30"/>
      <c r="K2213" s="30" t="s">
        <v>648</v>
      </c>
      <c r="L2213" s="30" t="s">
        <v>117</v>
      </c>
      <c r="M2213" s="30" t="s">
        <v>113</v>
      </c>
      <c r="N2213" s="30" t="s">
        <v>110</v>
      </c>
      <c r="O2213" s="30" t="s">
        <v>115</v>
      </c>
      <c r="P2213" s="30" t="s">
        <v>112</v>
      </c>
      <c r="Q2213" s="30" t="s">
        <v>112</v>
      </c>
      <c r="R2213" s="30" t="s">
        <v>187</v>
      </c>
      <c r="S2213" s="81">
        <f>HLOOKUP(L2213,データについて!$J$6:$M$18,13,FALSE)</f>
        <v>2</v>
      </c>
      <c r="T2213" s="81">
        <f>HLOOKUP(M2213,データについて!$J$7:$M$18,12,FALSE)</f>
        <v>1</v>
      </c>
      <c r="U2213" s="81">
        <f>HLOOKUP(N2213,データについて!$J$8:$M$18,11,FALSE)</f>
        <v>2</v>
      </c>
      <c r="V2213" s="81">
        <f>HLOOKUP(O2213,データについて!$J$9:$M$18,10,FALSE)</f>
        <v>1</v>
      </c>
      <c r="W2213" s="81">
        <f>HLOOKUP(P2213,データについて!$J$10:$M$18,9,FALSE)</f>
        <v>1</v>
      </c>
      <c r="X2213" s="81">
        <f>HLOOKUP(Q2213,データについて!$J$11:$M$18,8,FALSE)</f>
        <v>1</v>
      </c>
      <c r="Y2213" s="81">
        <f>HLOOKUP(R2213,データについて!$J$12:$M$18,7,FALSE)</f>
        <v>3</v>
      </c>
      <c r="Z2213" s="81">
        <f>HLOOKUP(I2213,データについて!$J$3:$M$18,16,FALSE)</f>
        <v>2</v>
      </c>
      <c r="AA2213" s="81" t="str">
        <f>IFERROR(HLOOKUP(J2213,データについて!$J$4:$AH$19,16,FALSE),"")</f>
        <v/>
      </c>
      <c r="AB2213" s="81">
        <f>IFERROR(HLOOKUP(K2213,データについて!$J$5:$AH$20,14,FALSE),"")</f>
        <v>0</v>
      </c>
      <c r="AC2213" s="81">
        <f>IF(X2213=1,HLOOKUP(R2213,データについて!$J$12:$M$18,7,FALSE),"*")</f>
        <v>3</v>
      </c>
      <c r="AD2213" s="81" t="str">
        <f>IF(X2213=2,HLOOKUP(R2213,データについて!$J$12:$M$18,7,FALSE),"*")</f>
        <v>*</v>
      </c>
    </row>
    <row r="2214" spans="1:30">
      <c r="A2214" s="30">
        <v>2978</v>
      </c>
      <c r="B2214" s="30" t="s">
        <v>2435</v>
      </c>
      <c r="C2214" s="30" t="s">
        <v>2436</v>
      </c>
      <c r="D2214" s="30" t="s">
        <v>106</v>
      </c>
      <c r="E2214" s="30"/>
      <c r="F2214" s="30" t="s">
        <v>107</v>
      </c>
      <c r="G2214" s="30" t="s">
        <v>106</v>
      </c>
      <c r="H2214" s="30"/>
      <c r="I2214" s="30" t="s">
        <v>192</v>
      </c>
      <c r="J2214" s="30" t="s">
        <v>2359</v>
      </c>
      <c r="K2214" s="30"/>
      <c r="L2214" s="30" t="s">
        <v>108</v>
      </c>
      <c r="M2214" s="30" t="s">
        <v>109</v>
      </c>
      <c r="N2214" s="30" t="s">
        <v>119</v>
      </c>
      <c r="O2214" s="30" t="s">
        <v>115</v>
      </c>
      <c r="P2214" s="30" t="s">
        <v>112</v>
      </c>
      <c r="Q2214" s="30" t="s">
        <v>112</v>
      </c>
      <c r="R2214" s="30" t="s">
        <v>183</v>
      </c>
      <c r="S2214" s="81">
        <f>HLOOKUP(L2214,データについて!$J$6:$M$18,13,FALSE)</f>
        <v>1</v>
      </c>
      <c r="T2214" s="81">
        <f>HLOOKUP(M2214,データについて!$J$7:$M$18,12,FALSE)</f>
        <v>2</v>
      </c>
      <c r="U2214" s="81">
        <f>HLOOKUP(N2214,データについて!$J$8:$M$18,11,FALSE)</f>
        <v>4</v>
      </c>
      <c r="V2214" s="81">
        <f>HLOOKUP(O2214,データについて!$J$9:$M$18,10,FALSE)</f>
        <v>1</v>
      </c>
      <c r="W2214" s="81">
        <f>HLOOKUP(P2214,データについて!$J$10:$M$18,9,FALSE)</f>
        <v>1</v>
      </c>
      <c r="X2214" s="81">
        <f>HLOOKUP(Q2214,データについて!$J$11:$M$18,8,FALSE)</f>
        <v>1</v>
      </c>
      <c r="Y2214" s="81">
        <f>HLOOKUP(R2214,データについて!$J$12:$M$18,7,FALSE)</f>
        <v>1</v>
      </c>
      <c r="Z2214" s="81">
        <f>HLOOKUP(I2214,データについて!$J$3:$M$18,16,FALSE)</f>
        <v>1</v>
      </c>
      <c r="AA2214" s="81">
        <f>IFERROR(HLOOKUP(J2214,データについて!$J$4:$AH$19,16,FALSE),"")</f>
        <v>10</v>
      </c>
      <c r="AB2214" s="81" t="str">
        <f>IFERROR(HLOOKUP(K2214,データについて!$J$5:$AH$20,14,FALSE),"")</f>
        <v/>
      </c>
      <c r="AC2214" s="81">
        <f>IF(X2214=1,HLOOKUP(R2214,データについて!$J$12:$M$18,7,FALSE),"*")</f>
        <v>1</v>
      </c>
      <c r="AD2214" s="81" t="str">
        <f>IF(X2214=2,HLOOKUP(R2214,データについて!$J$12:$M$18,7,FALSE),"*")</f>
        <v>*</v>
      </c>
    </row>
    <row r="2215" spans="1:30">
      <c r="A2215" s="30">
        <v>2977</v>
      </c>
      <c r="B2215" s="30" t="s">
        <v>2437</v>
      </c>
      <c r="C2215" s="30" t="s">
        <v>2438</v>
      </c>
      <c r="D2215" s="30" t="s">
        <v>106</v>
      </c>
      <c r="E2215" s="30"/>
      <c r="F2215" s="30" t="s">
        <v>107</v>
      </c>
      <c r="G2215" s="30" t="s">
        <v>106</v>
      </c>
      <c r="H2215" s="30"/>
      <c r="I2215" s="30" t="s">
        <v>192</v>
      </c>
      <c r="J2215" s="30" t="s">
        <v>2359</v>
      </c>
      <c r="K2215" s="30"/>
      <c r="L2215" s="30" t="s">
        <v>108</v>
      </c>
      <c r="M2215" s="30" t="s">
        <v>113</v>
      </c>
      <c r="N2215" s="30" t="s">
        <v>114</v>
      </c>
      <c r="O2215" s="30" t="s">
        <v>115</v>
      </c>
      <c r="P2215" s="30" t="s">
        <v>112</v>
      </c>
      <c r="Q2215" s="30" t="s">
        <v>112</v>
      </c>
      <c r="R2215" s="30" t="s">
        <v>183</v>
      </c>
      <c r="S2215" s="81">
        <f>HLOOKUP(L2215,データについて!$J$6:$M$18,13,FALSE)</f>
        <v>1</v>
      </c>
      <c r="T2215" s="81">
        <f>HLOOKUP(M2215,データについて!$J$7:$M$18,12,FALSE)</f>
        <v>1</v>
      </c>
      <c r="U2215" s="81">
        <f>HLOOKUP(N2215,データについて!$J$8:$M$18,11,FALSE)</f>
        <v>1</v>
      </c>
      <c r="V2215" s="81">
        <f>HLOOKUP(O2215,データについて!$J$9:$M$18,10,FALSE)</f>
        <v>1</v>
      </c>
      <c r="W2215" s="81">
        <f>HLOOKUP(P2215,データについて!$J$10:$M$18,9,FALSE)</f>
        <v>1</v>
      </c>
      <c r="X2215" s="81">
        <f>HLOOKUP(Q2215,データについて!$J$11:$M$18,8,FALSE)</f>
        <v>1</v>
      </c>
      <c r="Y2215" s="81">
        <f>HLOOKUP(R2215,データについて!$J$12:$M$18,7,FALSE)</f>
        <v>1</v>
      </c>
      <c r="Z2215" s="81">
        <f>HLOOKUP(I2215,データについて!$J$3:$M$18,16,FALSE)</f>
        <v>1</v>
      </c>
      <c r="AA2215" s="81">
        <f>IFERROR(HLOOKUP(J2215,データについて!$J$4:$AH$19,16,FALSE),"")</f>
        <v>10</v>
      </c>
      <c r="AB2215" s="81" t="str">
        <f>IFERROR(HLOOKUP(K2215,データについて!$J$5:$AH$20,14,FALSE),"")</f>
        <v/>
      </c>
      <c r="AC2215" s="81">
        <f>IF(X2215=1,HLOOKUP(R2215,データについて!$J$12:$M$18,7,FALSE),"*")</f>
        <v>1</v>
      </c>
      <c r="AD2215" s="81" t="str">
        <f>IF(X2215=2,HLOOKUP(R2215,データについて!$J$12:$M$18,7,FALSE),"*")</f>
        <v>*</v>
      </c>
    </row>
    <row r="2216" spans="1:30">
      <c r="A2216" s="30">
        <v>2976</v>
      </c>
      <c r="B2216" s="30" t="s">
        <v>2439</v>
      </c>
      <c r="C2216" s="30" t="s">
        <v>2440</v>
      </c>
      <c r="D2216" s="30" t="s">
        <v>106</v>
      </c>
      <c r="E2216" s="30"/>
      <c r="F2216" s="30" t="s">
        <v>107</v>
      </c>
      <c r="G2216" s="30" t="s">
        <v>106</v>
      </c>
      <c r="H2216" s="30"/>
      <c r="I2216" s="30" t="s">
        <v>192</v>
      </c>
      <c r="J2216" s="30" t="s">
        <v>2359</v>
      </c>
      <c r="K2216" s="30"/>
      <c r="L2216" s="30" t="s">
        <v>108</v>
      </c>
      <c r="M2216" s="30" t="s">
        <v>124</v>
      </c>
      <c r="N2216" s="30" t="s">
        <v>114</v>
      </c>
      <c r="O2216" s="30" t="s">
        <v>115</v>
      </c>
      <c r="P2216" s="30" t="s">
        <v>112</v>
      </c>
      <c r="Q2216" s="30" t="s">
        <v>112</v>
      </c>
      <c r="R2216" s="30" t="s">
        <v>183</v>
      </c>
      <c r="S2216" s="81">
        <f>HLOOKUP(L2216,データについて!$J$6:$M$18,13,FALSE)</f>
        <v>1</v>
      </c>
      <c r="T2216" s="81">
        <f>HLOOKUP(M2216,データについて!$J$7:$M$18,12,FALSE)</f>
        <v>3</v>
      </c>
      <c r="U2216" s="81">
        <f>HLOOKUP(N2216,データについて!$J$8:$M$18,11,FALSE)</f>
        <v>1</v>
      </c>
      <c r="V2216" s="81">
        <f>HLOOKUP(O2216,データについて!$J$9:$M$18,10,FALSE)</f>
        <v>1</v>
      </c>
      <c r="W2216" s="81">
        <f>HLOOKUP(P2216,データについて!$J$10:$M$18,9,FALSE)</f>
        <v>1</v>
      </c>
      <c r="X2216" s="81">
        <f>HLOOKUP(Q2216,データについて!$J$11:$M$18,8,FALSE)</f>
        <v>1</v>
      </c>
      <c r="Y2216" s="81">
        <f>HLOOKUP(R2216,データについて!$J$12:$M$18,7,FALSE)</f>
        <v>1</v>
      </c>
      <c r="Z2216" s="81">
        <f>HLOOKUP(I2216,データについて!$J$3:$M$18,16,FALSE)</f>
        <v>1</v>
      </c>
      <c r="AA2216" s="81">
        <f>IFERROR(HLOOKUP(J2216,データについて!$J$4:$AH$19,16,FALSE),"")</f>
        <v>10</v>
      </c>
      <c r="AB2216" s="81" t="str">
        <f>IFERROR(HLOOKUP(K2216,データについて!$J$5:$AH$20,14,FALSE),"")</f>
        <v/>
      </c>
      <c r="AC2216" s="81">
        <f>IF(X2216=1,HLOOKUP(R2216,データについて!$J$12:$M$18,7,FALSE),"*")</f>
        <v>1</v>
      </c>
      <c r="AD2216" s="81" t="str">
        <f>IF(X2216=2,HLOOKUP(R2216,データについて!$J$12:$M$18,7,FALSE),"*")</f>
        <v>*</v>
      </c>
    </row>
    <row r="2217" spans="1:30">
      <c r="A2217" s="30">
        <v>2975</v>
      </c>
      <c r="B2217" s="30" t="s">
        <v>2441</v>
      </c>
      <c r="C2217" s="30" t="s">
        <v>2442</v>
      </c>
      <c r="D2217" s="30" t="s">
        <v>106</v>
      </c>
      <c r="E2217" s="30"/>
      <c r="F2217" s="30" t="s">
        <v>107</v>
      </c>
      <c r="G2217" s="30" t="s">
        <v>106</v>
      </c>
      <c r="H2217" s="30"/>
      <c r="I2217" s="30" t="s">
        <v>192</v>
      </c>
      <c r="J2217" s="30" t="s">
        <v>2359</v>
      </c>
      <c r="K2217" s="30"/>
      <c r="L2217" s="30" t="s">
        <v>108</v>
      </c>
      <c r="M2217" s="30" t="s">
        <v>113</v>
      </c>
      <c r="N2217" s="30" t="s">
        <v>114</v>
      </c>
      <c r="O2217" s="30" t="s">
        <v>115</v>
      </c>
      <c r="P2217" s="30" t="s">
        <v>112</v>
      </c>
      <c r="Q2217" s="30" t="s">
        <v>112</v>
      </c>
      <c r="R2217" s="30" t="s">
        <v>185</v>
      </c>
      <c r="S2217" s="81">
        <f>HLOOKUP(L2217,データについて!$J$6:$M$18,13,FALSE)</f>
        <v>1</v>
      </c>
      <c r="T2217" s="81">
        <f>HLOOKUP(M2217,データについて!$J$7:$M$18,12,FALSE)</f>
        <v>1</v>
      </c>
      <c r="U2217" s="81">
        <f>HLOOKUP(N2217,データについて!$J$8:$M$18,11,FALSE)</f>
        <v>1</v>
      </c>
      <c r="V2217" s="81">
        <f>HLOOKUP(O2217,データについて!$J$9:$M$18,10,FALSE)</f>
        <v>1</v>
      </c>
      <c r="W2217" s="81">
        <f>HLOOKUP(P2217,データについて!$J$10:$M$18,9,FALSE)</f>
        <v>1</v>
      </c>
      <c r="X2217" s="81">
        <f>HLOOKUP(Q2217,データについて!$J$11:$M$18,8,FALSE)</f>
        <v>1</v>
      </c>
      <c r="Y2217" s="81">
        <f>HLOOKUP(R2217,データについて!$J$12:$M$18,7,FALSE)</f>
        <v>2</v>
      </c>
      <c r="Z2217" s="81">
        <f>HLOOKUP(I2217,データについて!$J$3:$M$18,16,FALSE)</f>
        <v>1</v>
      </c>
      <c r="AA2217" s="81">
        <f>IFERROR(HLOOKUP(J2217,データについて!$J$4:$AH$19,16,FALSE),"")</f>
        <v>10</v>
      </c>
      <c r="AB2217" s="81" t="str">
        <f>IFERROR(HLOOKUP(K2217,データについて!$J$5:$AH$20,14,FALSE),"")</f>
        <v/>
      </c>
      <c r="AC2217" s="81">
        <f>IF(X2217=1,HLOOKUP(R2217,データについて!$J$12:$M$18,7,FALSE),"*")</f>
        <v>2</v>
      </c>
      <c r="AD2217" s="81" t="str">
        <f>IF(X2217=2,HLOOKUP(R2217,データについて!$J$12:$M$18,7,FALSE),"*")</f>
        <v>*</v>
      </c>
    </row>
    <row r="2218" spans="1:30">
      <c r="A2218" s="30">
        <v>2974</v>
      </c>
      <c r="B2218" s="30" t="s">
        <v>2443</v>
      </c>
      <c r="C2218" s="30" t="s">
        <v>2442</v>
      </c>
      <c r="D2218" s="30" t="s">
        <v>106</v>
      </c>
      <c r="E2218" s="30"/>
      <c r="F2218" s="30" t="s">
        <v>107</v>
      </c>
      <c r="G2218" s="30" t="s">
        <v>106</v>
      </c>
      <c r="H2218" s="30"/>
      <c r="I2218" s="30" t="s">
        <v>192</v>
      </c>
      <c r="J2218" s="30" t="s">
        <v>2359</v>
      </c>
      <c r="K2218" s="30"/>
      <c r="L2218" s="30" t="s">
        <v>108</v>
      </c>
      <c r="M2218" s="30" t="s">
        <v>109</v>
      </c>
      <c r="N2218" s="30" t="s">
        <v>114</v>
      </c>
      <c r="O2218" s="30" t="s">
        <v>115</v>
      </c>
      <c r="P2218" s="30" t="s">
        <v>112</v>
      </c>
      <c r="Q2218" s="30" t="s">
        <v>112</v>
      </c>
      <c r="R2218" s="30" t="s">
        <v>185</v>
      </c>
      <c r="S2218" s="81">
        <f>HLOOKUP(L2218,データについて!$J$6:$M$18,13,FALSE)</f>
        <v>1</v>
      </c>
      <c r="T2218" s="81">
        <f>HLOOKUP(M2218,データについて!$J$7:$M$18,12,FALSE)</f>
        <v>2</v>
      </c>
      <c r="U2218" s="81">
        <f>HLOOKUP(N2218,データについて!$J$8:$M$18,11,FALSE)</f>
        <v>1</v>
      </c>
      <c r="V2218" s="81">
        <f>HLOOKUP(O2218,データについて!$J$9:$M$18,10,FALSE)</f>
        <v>1</v>
      </c>
      <c r="W2218" s="81">
        <f>HLOOKUP(P2218,データについて!$J$10:$M$18,9,FALSE)</f>
        <v>1</v>
      </c>
      <c r="X2218" s="81">
        <f>HLOOKUP(Q2218,データについて!$J$11:$M$18,8,FALSE)</f>
        <v>1</v>
      </c>
      <c r="Y2218" s="81">
        <f>HLOOKUP(R2218,データについて!$J$12:$M$18,7,FALSE)</f>
        <v>2</v>
      </c>
      <c r="Z2218" s="81">
        <f>HLOOKUP(I2218,データについて!$J$3:$M$18,16,FALSE)</f>
        <v>1</v>
      </c>
      <c r="AA2218" s="81">
        <f>IFERROR(HLOOKUP(J2218,データについて!$J$4:$AH$19,16,FALSE),"")</f>
        <v>10</v>
      </c>
      <c r="AB2218" s="81" t="str">
        <f>IFERROR(HLOOKUP(K2218,データについて!$J$5:$AH$20,14,FALSE),"")</f>
        <v/>
      </c>
      <c r="AC2218" s="81">
        <f>IF(X2218=1,HLOOKUP(R2218,データについて!$J$12:$M$18,7,FALSE),"*")</f>
        <v>2</v>
      </c>
      <c r="AD2218" s="81" t="str">
        <f>IF(X2218=2,HLOOKUP(R2218,データについて!$J$12:$M$18,7,FALSE),"*")</f>
        <v>*</v>
      </c>
    </row>
    <row r="2219" spans="1:30">
      <c r="A2219" s="30">
        <v>2973</v>
      </c>
      <c r="B2219" s="30" t="s">
        <v>2444</v>
      </c>
      <c r="C2219" s="30" t="s">
        <v>2445</v>
      </c>
      <c r="D2219" s="30" t="s">
        <v>106</v>
      </c>
      <c r="E2219" s="30"/>
      <c r="F2219" s="30" t="s">
        <v>107</v>
      </c>
      <c r="G2219" s="30" t="s">
        <v>106</v>
      </c>
      <c r="H2219" s="30"/>
      <c r="I2219" s="30" t="s">
        <v>192</v>
      </c>
      <c r="J2219" s="30" t="s">
        <v>2359</v>
      </c>
      <c r="K2219" s="30"/>
      <c r="L2219" s="30" t="s">
        <v>117</v>
      </c>
      <c r="M2219" s="30" t="s">
        <v>113</v>
      </c>
      <c r="N2219" s="30" t="s">
        <v>114</v>
      </c>
      <c r="O2219" s="30" t="s">
        <v>115</v>
      </c>
      <c r="P2219" s="30" t="s">
        <v>112</v>
      </c>
      <c r="Q2219" s="30" t="s">
        <v>112</v>
      </c>
      <c r="R2219" s="30" t="s">
        <v>183</v>
      </c>
      <c r="S2219" s="81">
        <f>HLOOKUP(L2219,データについて!$J$6:$M$18,13,FALSE)</f>
        <v>2</v>
      </c>
      <c r="T2219" s="81">
        <f>HLOOKUP(M2219,データについて!$J$7:$M$18,12,FALSE)</f>
        <v>1</v>
      </c>
      <c r="U2219" s="81">
        <f>HLOOKUP(N2219,データについて!$J$8:$M$18,11,FALSE)</f>
        <v>1</v>
      </c>
      <c r="V2219" s="81">
        <f>HLOOKUP(O2219,データについて!$J$9:$M$18,10,FALSE)</f>
        <v>1</v>
      </c>
      <c r="W2219" s="81">
        <f>HLOOKUP(P2219,データについて!$J$10:$M$18,9,FALSE)</f>
        <v>1</v>
      </c>
      <c r="X2219" s="81">
        <f>HLOOKUP(Q2219,データについて!$J$11:$M$18,8,FALSE)</f>
        <v>1</v>
      </c>
      <c r="Y2219" s="81">
        <f>HLOOKUP(R2219,データについて!$J$12:$M$18,7,FALSE)</f>
        <v>1</v>
      </c>
      <c r="Z2219" s="81">
        <f>HLOOKUP(I2219,データについて!$J$3:$M$18,16,FALSE)</f>
        <v>1</v>
      </c>
      <c r="AA2219" s="81">
        <f>IFERROR(HLOOKUP(J2219,データについて!$J$4:$AH$19,16,FALSE),"")</f>
        <v>10</v>
      </c>
      <c r="AB2219" s="81" t="str">
        <f>IFERROR(HLOOKUP(K2219,データについて!$J$5:$AH$20,14,FALSE),"")</f>
        <v/>
      </c>
      <c r="AC2219" s="81">
        <f>IF(X2219=1,HLOOKUP(R2219,データについて!$J$12:$M$18,7,FALSE),"*")</f>
        <v>1</v>
      </c>
      <c r="AD2219" s="81" t="str">
        <f>IF(X2219=2,HLOOKUP(R2219,データについて!$J$12:$M$18,7,FALSE),"*")</f>
        <v>*</v>
      </c>
    </row>
    <row r="2220" spans="1:30">
      <c r="A2220" s="30">
        <v>2972</v>
      </c>
      <c r="B2220" s="30" t="s">
        <v>2446</v>
      </c>
      <c r="C2220" s="30" t="s">
        <v>2447</v>
      </c>
      <c r="D2220" s="30" t="s">
        <v>106</v>
      </c>
      <c r="E2220" s="30"/>
      <c r="F2220" s="30" t="s">
        <v>107</v>
      </c>
      <c r="G2220" s="30" t="s">
        <v>106</v>
      </c>
      <c r="H2220" s="30"/>
      <c r="I2220" s="30" t="s">
        <v>192</v>
      </c>
      <c r="J2220" s="30" t="s">
        <v>2359</v>
      </c>
      <c r="K2220" s="30"/>
      <c r="L2220" s="30" t="s">
        <v>117</v>
      </c>
      <c r="M2220" s="30" t="s">
        <v>113</v>
      </c>
      <c r="N2220" s="30" t="s">
        <v>114</v>
      </c>
      <c r="O2220" s="30" t="s">
        <v>115</v>
      </c>
      <c r="P2220" s="30" t="s">
        <v>112</v>
      </c>
      <c r="Q2220" s="30" t="s">
        <v>112</v>
      </c>
      <c r="R2220" s="30" t="s">
        <v>183</v>
      </c>
      <c r="S2220" s="81">
        <f>HLOOKUP(L2220,データについて!$J$6:$M$18,13,FALSE)</f>
        <v>2</v>
      </c>
      <c r="T2220" s="81">
        <f>HLOOKUP(M2220,データについて!$J$7:$M$18,12,FALSE)</f>
        <v>1</v>
      </c>
      <c r="U2220" s="81">
        <f>HLOOKUP(N2220,データについて!$J$8:$M$18,11,FALSE)</f>
        <v>1</v>
      </c>
      <c r="V2220" s="81">
        <f>HLOOKUP(O2220,データについて!$J$9:$M$18,10,FALSE)</f>
        <v>1</v>
      </c>
      <c r="W2220" s="81">
        <f>HLOOKUP(P2220,データについて!$J$10:$M$18,9,FALSE)</f>
        <v>1</v>
      </c>
      <c r="X2220" s="81">
        <f>HLOOKUP(Q2220,データについて!$J$11:$M$18,8,FALSE)</f>
        <v>1</v>
      </c>
      <c r="Y2220" s="81">
        <f>HLOOKUP(R2220,データについて!$J$12:$M$18,7,FALSE)</f>
        <v>1</v>
      </c>
      <c r="Z2220" s="81">
        <f>HLOOKUP(I2220,データについて!$J$3:$M$18,16,FALSE)</f>
        <v>1</v>
      </c>
      <c r="AA2220" s="81">
        <f>IFERROR(HLOOKUP(J2220,データについて!$J$4:$AH$19,16,FALSE),"")</f>
        <v>10</v>
      </c>
      <c r="AB2220" s="81" t="str">
        <f>IFERROR(HLOOKUP(K2220,データについて!$J$5:$AH$20,14,FALSE),"")</f>
        <v/>
      </c>
      <c r="AC2220" s="81">
        <f>IF(X2220=1,HLOOKUP(R2220,データについて!$J$12:$M$18,7,FALSE),"*")</f>
        <v>1</v>
      </c>
      <c r="AD2220" s="81" t="str">
        <f>IF(X2220=2,HLOOKUP(R2220,データについて!$J$12:$M$18,7,FALSE),"*")</f>
        <v>*</v>
      </c>
    </row>
    <row r="2221" spans="1:30">
      <c r="A2221" s="30">
        <v>2971</v>
      </c>
      <c r="B2221" s="30" t="s">
        <v>2448</v>
      </c>
      <c r="C2221" s="30" t="s">
        <v>2449</v>
      </c>
      <c r="D2221" s="30" t="s">
        <v>106</v>
      </c>
      <c r="E2221" s="30"/>
      <c r="F2221" s="30" t="s">
        <v>107</v>
      </c>
      <c r="G2221" s="30" t="s">
        <v>106</v>
      </c>
      <c r="H2221" s="30"/>
      <c r="I2221" s="30" t="s">
        <v>192</v>
      </c>
      <c r="J2221" s="30" t="s">
        <v>2359</v>
      </c>
      <c r="K2221" s="30"/>
      <c r="L2221" s="30" t="s">
        <v>108</v>
      </c>
      <c r="M2221" s="30" t="s">
        <v>113</v>
      </c>
      <c r="N2221" s="30" t="s">
        <v>114</v>
      </c>
      <c r="O2221" s="30" t="s">
        <v>115</v>
      </c>
      <c r="P2221" s="30" t="s">
        <v>112</v>
      </c>
      <c r="Q2221" s="30" t="s">
        <v>118</v>
      </c>
      <c r="R2221" s="30" t="s">
        <v>185</v>
      </c>
      <c r="S2221" s="81">
        <f>HLOOKUP(L2221,データについて!$J$6:$M$18,13,FALSE)</f>
        <v>1</v>
      </c>
      <c r="T2221" s="81">
        <f>HLOOKUP(M2221,データについて!$J$7:$M$18,12,FALSE)</f>
        <v>1</v>
      </c>
      <c r="U2221" s="81">
        <f>HLOOKUP(N2221,データについて!$J$8:$M$18,11,FALSE)</f>
        <v>1</v>
      </c>
      <c r="V2221" s="81">
        <f>HLOOKUP(O2221,データについて!$J$9:$M$18,10,FALSE)</f>
        <v>1</v>
      </c>
      <c r="W2221" s="81">
        <f>HLOOKUP(P2221,データについて!$J$10:$M$18,9,FALSE)</f>
        <v>1</v>
      </c>
      <c r="X2221" s="81">
        <f>HLOOKUP(Q2221,データについて!$J$11:$M$18,8,FALSE)</f>
        <v>2</v>
      </c>
      <c r="Y2221" s="81">
        <f>HLOOKUP(R2221,データについて!$J$12:$M$18,7,FALSE)</f>
        <v>2</v>
      </c>
      <c r="Z2221" s="81">
        <f>HLOOKUP(I2221,データについて!$J$3:$M$18,16,FALSE)</f>
        <v>1</v>
      </c>
      <c r="AA2221" s="81">
        <f>IFERROR(HLOOKUP(J2221,データについて!$J$4:$AH$19,16,FALSE),"")</f>
        <v>10</v>
      </c>
      <c r="AB2221" s="81" t="str">
        <f>IFERROR(HLOOKUP(K2221,データについて!$J$5:$AH$20,14,FALSE),"")</f>
        <v/>
      </c>
      <c r="AC2221" s="81" t="str">
        <f>IF(X2221=1,HLOOKUP(R2221,データについて!$J$12:$M$18,7,FALSE),"*")</f>
        <v>*</v>
      </c>
      <c r="AD2221" s="81">
        <f>IF(X2221=2,HLOOKUP(R2221,データについて!$J$12:$M$18,7,FALSE),"*")</f>
        <v>2</v>
      </c>
    </row>
    <row r="2222" spans="1:30">
      <c r="A2222" s="30">
        <v>2970</v>
      </c>
      <c r="B2222" s="30" t="s">
        <v>2450</v>
      </c>
      <c r="C2222" s="30" t="s">
        <v>2451</v>
      </c>
      <c r="D2222" s="30" t="s">
        <v>106</v>
      </c>
      <c r="E2222" s="30"/>
      <c r="F2222" s="30" t="s">
        <v>107</v>
      </c>
      <c r="G2222" s="30" t="s">
        <v>106</v>
      </c>
      <c r="H2222" s="30"/>
      <c r="I2222" s="30" t="s">
        <v>192</v>
      </c>
      <c r="J2222" s="30" t="s">
        <v>2359</v>
      </c>
      <c r="K2222" s="30"/>
      <c r="L2222" s="30" t="s">
        <v>108</v>
      </c>
      <c r="M2222" s="30" t="s">
        <v>109</v>
      </c>
      <c r="N2222" s="30" t="s">
        <v>110</v>
      </c>
      <c r="O2222" s="30" t="s">
        <v>115</v>
      </c>
      <c r="P2222" s="30" t="s">
        <v>112</v>
      </c>
      <c r="Q2222" s="30" t="s">
        <v>118</v>
      </c>
      <c r="R2222" s="30" t="s">
        <v>183</v>
      </c>
      <c r="S2222" s="81">
        <f>HLOOKUP(L2222,データについて!$J$6:$M$18,13,FALSE)</f>
        <v>1</v>
      </c>
      <c r="T2222" s="81">
        <f>HLOOKUP(M2222,データについて!$J$7:$M$18,12,FALSE)</f>
        <v>2</v>
      </c>
      <c r="U2222" s="81">
        <f>HLOOKUP(N2222,データについて!$J$8:$M$18,11,FALSE)</f>
        <v>2</v>
      </c>
      <c r="V2222" s="81">
        <f>HLOOKUP(O2222,データについて!$J$9:$M$18,10,FALSE)</f>
        <v>1</v>
      </c>
      <c r="W2222" s="81">
        <f>HLOOKUP(P2222,データについて!$J$10:$M$18,9,FALSE)</f>
        <v>1</v>
      </c>
      <c r="X2222" s="81">
        <f>HLOOKUP(Q2222,データについて!$J$11:$M$18,8,FALSE)</f>
        <v>2</v>
      </c>
      <c r="Y2222" s="81">
        <f>HLOOKUP(R2222,データについて!$J$12:$M$18,7,FALSE)</f>
        <v>1</v>
      </c>
      <c r="Z2222" s="81">
        <f>HLOOKUP(I2222,データについて!$J$3:$M$18,16,FALSE)</f>
        <v>1</v>
      </c>
      <c r="AA2222" s="81">
        <f>IFERROR(HLOOKUP(J2222,データについて!$J$4:$AH$19,16,FALSE),"")</f>
        <v>10</v>
      </c>
      <c r="AB2222" s="81" t="str">
        <f>IFERROR(HLOOKUP(K2222,データについて!$J$5:$AH$20,14,FALSE),"")</f>
        <v/>
      </c>
      <c r="AC2222" s="81" t="str">
        <f>IF(X2222=1,HLOOKUP(R2222,データについて!$J$12:$M$18,7,FALSE),"*")</f>
        <v>*</v>
      </c>
      <c r="AD2222" s="81">
        <f>IF(X2222=2,HLOOKUP(R2222,データについて!$J$12:$M$18,7,FALSE),"*")</f>
        <v>1</v>
      </c>
    </row>
    <row r="2223" spans="1:30">
      <c r="A2223" s="30">
        <v>2969</v>
      </c>
      <c r="B2223" s="30" t="s">
        <v>2452</v>
      </c>
      <c r="C2223" s="30" t="s">
        <v>2453</v>
      </c>
      <c r="D2223" s="30" t="s">
        <v>106</v>
      </c>
      <c r="E2223" s="30"/>
      <c r="F2223" s="30" t="s">
        <v>107</v>
      </c>
      <c r="G2223" s="30" t="s">
        <v>106</v>
      </c>
      <c r="H2223" s="30"/>
      <c r="I2223" s="30" t="s">
        <v>192</v>
      </c>
      <c r="J2223" s="30" t="s">
        <v>2359</v>
      </c>
      <c r="K2223" s="30"/>
      <c r="L2223" s="30" t="s">
        <v>108</v>
      </c>
      <c r="M2223" s="30" t="s">
        <v>109</v>
      </c>
      <c r="N2223" s="30" t="s">
        <v>114</v>
      </c>
      <c r="O2223" s="30" t="s">
        <v>115</v>
      </c>
      <c r="P2223" s="30" t="s">
        <v>112</v>
      </c>
      <c r="Q2223" s="30" t="s">
        <v>112</v>
      </c>
      <c r="R2223" s="30" t="s">
        <v>183</v>
      </c>
      <c r="S2223" s="81">
        <f>HLOOKUP(L2223,データについて!$J$6:$M$18,13,FALSE)</f>
        <v>1</v>
      </c>
      <c r="T2223" s="81">
        <f>HLOOKUP(M2223,データについて!$J$7:$M$18,12,FALSE)</f>
        <v>2</v>
      </c>
      <c r="U2223" s="81">
        <f>HLOOKUP(N2223,データについて!$J$8:$M$18,11,FALSE)</f>
        <v>1</v>
      </c>
      <c r="V2223" s="81">
        <f>HLOOKUP(O2223,データについて!$J$9:$M$18,10,FALSE)</f>
        <v>1</v>
      </c>
      <c r="W2223" s="81">
        <f>HLOOKUP(P2223,データについて!$J$10:$M$18,9,FALSE)</f>
        <v>1</v>
      </c>
      <c r="X2223" s="81">
        <f>HLOOKUP(Q2223,データについて!$J$11:$M$18,8,FALSE)</f>
        <v>1</v>
      </c>
      <c r="Y2223" s="81">
        <f>HLOOKUP(R2223,データについて!$J$12:$M$18,7,FALSE)</f>
        <v>1</v>
      </c>
      <c r="Z2223" s="81">
        <f>HLOOKUP(I2223,データについて!$J$3:$M$18,16,FALSE)</f>
        <v>1</v>
      </c>
      <c r="AA2223" s="81">
        <f>IFERROR(HLOOKUP(J2223,データについて!$J$4:$AH$19,16,FALSE),"")</f>
        <v>10</v>
      </c>
      <c r="AB2223" s="81" t="str">
        <f>IFERROR(HLOOKUP(K2223,データについて!$J$5:$AH$20,14,FALSE),"")</f>
        <v/>
      </c>
      <c r="AC2223" s="81">
        <f>IF(X2223=1,HLOOKUP(R2223,データについて!$J$12:$M$18,7,FALSE),"*")</f>
        <v>1</v>
      </c>
      <c r="AD2223" s="81" t="str">
        <f>IF(X2223=2,HLOOKUP(R2223,データについて!$J$12:$M$18,7,FALSE),"*")</f>
        <v>*</v>
      </c>
    </row>
    <row r="2224" spans="1:30">
      <c r="A2224" s="30">
        <v>2968</v>
      </c>
      <c r="B2224" s="30" t="s">
        <v>2454</v>
      </c>
      <c r="C2224" s="30" t="s">
        <v>2455</v>
      </c>
      <c r="D2224" s="30" t="s">
        <v>106</v>
      </c>
      <c r="E2224" s="30"/>
      <c r="F2224" s="30" t="s">
        <v>107</v>
      </c>
      <c r="G2224" s="30" t="s">
        <v>106</v>
      </c>
      <c r="H2224" s="30"/>
      <c r="I2224" s="30" t="s">
        <v>192</v>
      </c>
      <c r="J2224" s="30" t="s">
        <v>2359</v>
      </c>
      <c r="K2224" s="30"/>
      <c r="L2224" s="30" t="s">
        <v>108</v>
      </c>
      <c r="M2224" s="30" t="s">
        <v>113</v>
      </c>
      <c r="N2224" s="30" t="s">
        <v>119</v>
      </c>
      <c r="O2224" s="30" t="s">
        <v>115</v>
      </c>
      <c r="P2224" s="30" t="s">
        <v>118</v>
      </c>
      <c r="Q2224" s="30" t="s">
        <v>112</v>
      </c>
      <c r="R2224" s="30" t="s">
        <v>183</v>
      </c>
      <c r="S2224" s="81">
        <f>HLOOKUP(L2224,データについて!$J$6:$M$18,13,FALSE)</f>
        <v>1</v>
      </c>
      <c r="T2224" s="81">
        <f>HLOOKUP(M2224,データについて!$J$7:$M$18,12,FALSE)</f>
        <v>1</v>
      </c>
      <c r="U2224" s="81">
        <f>HLOOKUP(N2224,データについて!$J$8:$M$18,11,FALSE)</f>
        <v>4</v>
      </c>
      <c r="V2224" s="81">
        <f>HLOOKUP(O2224,データについて!$J$9:$M$18,10,FALSE)</f>
        <v>1</v>
      </c>
      <c r="W2224" s="81">
        <f>HLOOKUP(P2224,データについて!$J$10:$M$18,9,FALSE)</f>
        <v>2</v>
      </c>
      <c r="X2224" s="81">
        <f>HLOOKUP(Q2224,データについて!$J$11:$M$18,8,FALSE)</f>
        <v>1</v>
      </c>
      <c r="Y2224" s="81">
        <f>HLOOKUP(R2224,データについて!$J$12:$M$18,7,FALSE)</f>
        <v>1</v>
      </c>
      <c r="Z2224" s="81">
        <f>HLOOKUP(I2224,データについて!$J$3:$M$18,16,FALSE)</f>
        <v>1</v>
      </c>
      <c r="AA2224" s="81">
        <f>IFERROR(HLOOKUP(J2224,データについて!$J$4:$AH$19,16,FALSE),"")</f>
        <v>10</v>
      </c>
      <c r="AB2224" s="81" t="str">
        <f>IFERROR(HLOOKUP(K2224,データについて!$J$5:$AH$20,14,FALSE),"")</f>
        <v/>
      </c>
      <c r="AC2224" s="81">
        <f>IF(X2224=1,HLOOKUP(R2224,データについて!$J$12:$M$18,7,FALSE),"*")</f>
        <v>1</v>
      </c>
      <c r="AD2224" s="81" t="str">
        <f>IF(X2224=2,HLOOKUP(R2224,データについて!$J$12:$M$18,7,FALSE),"*")</f>
        <v>*</v>
      </c>
    </row>
    <row r="2225" spans="1:30">
      <c r="A2225" s="30">
        <v>2967</v>
      </c>
      <c r="B2225" s="30" t="s">
        <v>2456</v>
      </c>
      <c r="C2225" s="30" t="s">
        <v>2455</v>
      </c>
      <c r="D2225" s="30" t="s">
        <v>106</v>
      </c>
      <c r="E2225" s="30"/>
      <c r="F2225" s="30" t="s">
        <v>107</v>
      </c>
      <c r="G2225" s="30" t="s">
        <v>106</v>
      </c>
      <c r="H2225" s="30"/>
      <c r="I2225" s="30" t="s">
        <v>192</v>
      </c>
      <c r="J2225" s="30" t="s">
        <v>2359</v>
      </c>
      <c r="K2225" s="30"/>
      <c r="L2225" s="30" t="s">
        <v>117</v>
      </c>
      <c r="M2225" s="30" t="s">
        <v>113</v>
      </c>
      <c r="N2225" s="30" t="s">
        <v>114</v>
      </c>
      <c r="O2225" s="30" t="s">
        <v>115</v>
      </c>
      <c r="P2225" s="30" t="s">
        <v>112</v>
      </c>
      <c r="Q2225" s="30" t="s">
        <v>118</v>
      </c>
      <c r="R2225" s="30" t="s">
        <v>185</v>
      </c>
      <c r="S2225" s="81">
        <f>HLOOKUP(L2225,データについて!$J$6:$M$18,13,FALSE)</f>
        <v>2</v>
      </c>
      <c r="T2225" s="81">
        <f>HLOOKUP(M2225,データについて!$J$7:$M$18,12,FALSE)</f>
        <v>1</v>
      </c>
      <c r="U2225" s="81">
        <f>HLOOKUP(N2225,データについて!$J$8:$M$18,11,FALSE)</f>
        <v>1</v>
      </c>
      <c r="V2225" s="81">
        <f>HLOOKUP(O2225,データについて!$J$9:$M$18,10,FALSE)</f>
        <v>1</v>
      </c>
      <c r="W2225" s="81">
        <f>HLOOKUP(P2225,データについて!$J$10:$M$18,9,FALSE)</f>
        <v>1</v>
      </c>
      <c r="X2225" s="81">
        <f>HLOOKUP(Q2225,データについて!$J$11:$M$18,8,FALSE)</f>
        <v>2</v>
      </c>
      <c r="Y2225" s="81">
        <f>HLOOKUP(R2225,データについて!$J$12:$M$18,7,FALSE)</f>
        <v>2</v>
      </c>
      <c r="Z2225" s="81">
        <f>HLOOKUP(I2225,データについて!$J$3:$M$18,16,FALSE)</f>
        <v>1</v>
      </c>
      <c r="AA2225" s="81">
        <f>IFERROR(HLOOKUP(J2225,データについて!$J$4:$AH$19,16,FALSE),"")</f>
        <v>10</v>
      </c>
      <c r="AB2225" s="81" t="str">
        <f>IFERROR(HLOOKUP(K2225,データについて!$J$5:$AH$20,14,FALSE),"")</f>
        <v/>
      </c>
      <c r="AC2225" s="81" t="str">
        <f>IF(X2225=1,HLOOKUP(R2225,データについて!$J$12:$M$18,7,FALSE),"*")</f>
        <v>*</v>
      </c>
      <c r="AD2225" s="81">
        <f>IF(X2225=2,HLOOKUP(R2225,データについて!$J$12:$M$18,7,FALSE),"*")</f>
        <v>2</v>
      </c>
    </row>
    <row r="2226" spans="1:30">
      <c r="A2226" s="30">
        <v>2966</v>
      </c>
      <c r="B2226" s="30" t="s">
        <v>2457</v>
      </c>
      <c r="C2226" s="30" t="s">
        <v>2458</v>
      </c>
      <c r="D2226" s="30" t="s">
        <v>106</v>
      </c>
      <c r="E2226" s="30"/>
      <c r="F2226" s="30" t="s">
        <v>107</v>
      </c>
      <c r="G2226" s="30" t="s">
        <v>106</v>
      </c>
      <c r="H2226" s="30"/>
      <c r="I2226" s="30" t="s">
        <v>192</v>
      </c>
      <c r="J2226" s="30" t="s">
        <v>2359</v>
      </c>
      <c r="K2226" s="30"/>
      <c r="L2226" s="30" t="s">
        <v>117</v>
      </c>
      <c r="M2226" s="30" t="s">
        <v>113</v>
      </c>
      <c r="N2226" s="30" t="s">
        <v>114</v>
      </c>
      <c r="O2226" s="30" t="s">
        <v>115</v>
      </c>
      <c r="P2226" s="30" t="s">
        <v>112</v>
      </c>
      <c r="Q2226" s="30" t="s">
        <v>112</v>
      </c>
      <c r="R2226" s="30" t="s">
        <v>185</v>
      </c>
      <c r="S2226" s="81">
        <f>HLOOKUP(L2226,データについて!$J$6:$M$18,13,FALSE)</f>
        <v>2</v>
      </c>
      <c r="T2226" s="81">
        <f>HLOOKUP(M2226,データについて!$J$7:$M$18,12,FALSE)</f>
        <v>1</v>
      </c>
      <c r="U2226" s="81">
        <f>HLOOKUP(N2226,データについて!$J$8:$M$18,11,FALSE)</f>
        <v>1</v>
      </c>
      <c r="V2226" s="81">
        <f>HLOOKUP(O2226,データについて!$J$9:$M$18,10,FALSE)</f>
        <v>1</v>
      </c>
      <c r="W2226" s="81">
        <f>HLOOKUP(P2226,データについて!$J$10:$M$18,9,FALSE)</f>
        <v>1</v>
      </c>
      <c r="X2226" s="81">
        <f>HLOOKUP(Q2226,データについて!$J$11:$M$18,8,FALSE)</f>
        <v>1</v>
      </c>
      <c r="Y2226" s="81">
        <f>HLOOKUP(R2226,データについて!$J$12:$M$18,7,FALSE)</f>
        <v>2</v>
      </c>
      <c r="Z2226" s="81">
        <f>HLOOKUP(I2226,データについて!$J$3:$M$18,16,FALSE)</f>
        <v>1</v>
      </c>
      <c r="AA2226" s="81">
        <f>IFERROR(HLOOKUP(J2226,データについて!$J$4:$AH$19,16,FALSE),"")</f>
        <v>10</v>
      </c>
      <c r="AB2226" s="81" t="str">
        <f>IFERROR(HLOOKUP(K2226,データについて!$J$5:$AH$20,14,FALSE),"")</f>
        <v/>
      </c>
      <c r="AC2226" s="81">
        <f>IF(X2226=1,HLOOKUP(R2226,データについて!$J$12:$M$18,7,FALSE),"*")</f>
        <v>2</v>
      </c>
      <c r="AD2226" s="81" t="str">
        <f>IF(X2226=2,HLOOKUP(R2226,データについて!$J$12:$M$18,7,FALSE),"*")</f>
        <v>*</v>
      </c>
    </row>
    <row r="2227" spans="1:30">
      <c r="A2227" s="30">
        <v>2965</v>
      </c>
      <c r="B2227" s="30" t="s">
        <v>2459</v>
      </c>
      <c r="C2227" s="30" t="s">
        <v>2460</v>
      </c>
      <c r="D2227" s="30" t="s">
        <v>106</v>
      </c>
      <c r="E2227" s="30"/>
      <c r="F2227" s="30" t="s">
        <v>107</v>
      </c>
      <c r="G2227" s="30" t="s">
        <v>106</v>
      </c>
      <c r="H2227" s="30"/>
      <c r="I2227" s="30" t="s">
        <v>192</v>
      </c>
      <c r="J2227" s="30" t="s">
        <v>2359</v>
      </c>
      <c r="K2227" s="30"/>
      <c r="L2227" s="30" t="s">
        <v>117</v>
      </c>
      <c r="M2227" s="30" t="s">
        <v>109</v>
      </c>
      <c r="N2227" s="30" t="s">
        <v>110</v>
      </c>
      <c r="O2227" s="30" t="s">
        <v>111</v>
      </c>
      <c r="P2227" s="30" t="s">
        <v>112</v>
      </c>
      <c r="Q2227" s="30" t="s">
        <v>112</v>
      </c>
      <c r="R2227" s="30" t="s">
        <v>183</v>
      </c>
      <c r="S2227" s="81">
        <f>HLOOKUP(L2227,データについて!$J$6:$M$18,13,FALSE)</f>
        <v>2</v>
      </c>
      <c r="T2227" s="81">
        <f>HLOOKUP(M2227,データについて!$J$7:$M$18,12,FALSE)</f>
        <v>2</v>
      </c>
      <c r="U2227" s="81">
        <f>HLOOKUP(N2227,データについて!$J$8:$M$18,11,FALSE)</f>
        <v>2</v>
      </c>
      <c r="V2227" s="81">
        <f>HLOOKUP(O2227,データについて!$J$9:$M$18,10,FALSE)</f>
        <v>3</v>
      </c>
      <c r="W2227" s="81">
        <f>HLOOKUP(P2227,データについて!$J$10:$M$18,9,FALSE)</f>
        <v>1</v>
      </c>
      <c r="X2227" s="81">
        <f>HLOOKUP(Q2227,データについて!$J$11:$M$18,8,FALSE)</f>
        <v>1</v>
      </c>
      <c r="Y2227" s="81">
        <f>HLOOKUP(R2227,データについて!$J$12:$M$18,7,FALSE)</f>
        <v>1</v>
      </c>
      <c r="Z2227" s="81">
        <f>HLOOKUP(I2227,データについて!$J$3:$M$18,16,FALSE)</f>
        <v>1</v>
      </c>
      <c r="AA2227" s="81">
        <f>IFERROR(HLOOKUP(J2227,データについて!$J$4:$AH$19,16,FALSE),"")</f>
        <v>10</v>
      </c>
      <c r="AB2227" s="81" t="str">
        <f>IFERROR(HLOOKUP(K2227,データについて!$J$5:$AH$20,14,FALSE),"")</f>
        <v/>
      </c>
      <c r="AC2227" s="81">
        <f>IF(X2227=1,HLOOKUP(R2227,データについて!$J$12:$M$18,7,FALSE),"*")</f>
        <v>1</v>
      </c>
      <c r="AD2227" s="81" t="str">
        <f>IF(X2227=2,HLOOKUP(R2227,データについて!$J$12:$M$18,7,FALSE),"*")</f>
        <v>*</v>
      </c>
    </row>
    <row r="2228" spans="1:30">
      <c r="A2228" s="30">
        <v>2964</v>
      </c>
      <c r="B2228" s="30" t="s">
        <v>2461</v>
      </c>
      <c r="C2228" s="30" t="s">
        <v>2462</v>
      </c>
      <c r="D2228" s="30" t="s">
        <v>106</v>
      </c>
      <c r="E2228" s="30"/>
      <c r="F2228" s="30" t="s">
        <v>107</v>
      </c>
      <c r="G2228" s="30" t="s">
        <v>106</v>
      </c>
      <c r="H2228" s="30"/>
      <c r="I2228" s="30" t="s">
        <v>191</v>
      </c>
      <c r="J2228" s="30"/>
      <c r="K2228" s="30" t="s">
        <v>2463</v>
      </c>
      <c r="L2228" s="30" t="s">
        <v>108</v>
      </c>
      <c r="M2228" s="30" t="s">
        <v>113</v>
      </c>
      <c r="N2228" s="30" t="s">
        <v>114</v>
      </c>
      <c r="O2228" s="30" t="s">
        <v>115</v>
      </c>
      <c r="P2228" s="30" t="s">
        <v>118</v>
      </c>
      <c r="Q2228" s="30" t="s">
        <v>112</v>
      </c>
      <c r="R2228" s="30" t="s">
        <v>185</v>
      </c>
      <c r="S2228" s="81">
        <f>HLOOKUP(L2228,データについて!$J$6:$M$18,13,FALSE)</f>
        <v>1</v>
      </c>
      <c r="T2228" s="81">
        <f>HLOOKUP(M2228,データについて!$J$7:$M$18,12,FALSE)</f>
        <v>1</v>
      </c>
      <c r="U2228" s="81">
        <f>HLOOKUP(N2228,データについて!$J$8:$M$18,11,FALSE)</f>
        <v>1</v>
      </c>
      <c r="V2228" s="81">
        <f>HLOOKUP(O2228,データについて!$J$9:$M$18,10,FALSE)</f>
        <v>1</v>
      </c>
      <c r="W2228" s="81">
        <f>HLOOKUP(P2228,データについて!$J$10:$M$18,9,FALSE)</f>
        <v>2</v>
      </c>
      <c r="X2228" s="81">
        <f>HLOOKUP(Q2228,データについて!$J$11:$M$18,8,FALSE)</f>
        <v>1</v>
      </c>
      <c r="Y2228" s="81">
        <f>HLOOKUP(R2228,データについて!$J$12:$M$18,7,FALSE)</f>
        <v>2</v>
      </c>
      <c r="Z2228" s="81">
        <f>HLOOKUP(I2228,データについて!$J$3:$M$18,16,FALSE)</f>
        <v>2</v>
      </c>
      <c r="AA2228" s="81" t="str">
        <f>IFERROR(HLOOKUP(J2228,データについて!$J$4:$AH$19,16,FALSE),"")</f>
        <v/>
      </c>
      <c r="AB2228" s="81">
        <f>IFERROR(HLOOKUP(K2228,データについて!$J$5:$AH$20,14,FALSE),"")</f>
        <v>4</v>
      </c>
      <c r="AC2228" s="81">
        <f>IF(X2228=1,HLOOKUP(R2228,データについて!$J$12:$M$18,7,FALSE),"*")</f>
        <v>2</v>
      </c>
      <c r="AD2228" s="81" t="str">
        <f>IF(X2228=2,HLOOKUP(R2228,データについて!$J$12:$M$18,7,FALSE),"*")</f>
        <v>*</v>
      </c>
    </row>
    <row r="2229" spans="1:30">
      <c r="A2229" s="30">
        <v>2963</v>
      </c>
      <c r="B2229" s="30" t="s">
        <v>2464</v>
      </c>
      <c r="C2229" s="30" t="s">
        <v>2465</v>
      </c>
      <c r="D2229" s="30" t="s">
        <v>106</v>
      </c>
      <c r="E2229" s="30"/>
      <c r="F2229" s="30" t="s">
        <v>107</v>
      </c>
      <c r="G2229" s="30" t="s">
        <v>106</v>
      </c>
      <c r="H2229" s="30"/>
      <c r="I2229" s="30" t="s">
        <v>191</v>
      </c>
      <c r="J2229" s="30"/>
      <c r="K2229" s="30" t="s">
        <v>2463</v>
      </c>
      <c r="L2229" s="30" t="s">
        <v>108</v>
      </c>
      <c r="M2229" s="30" t="s">
        <v>113</v>
      </c>
      <c r="N2229" s="30" t="s">
        <v>114</v>
      </c>
      <c r="O2229" s="30" t="s">
        <v>115</v>
      </c>
      <c r="P2229" s="30" t="s">
        <v>118</v>
      </c>
      <c r="Q2229" s="30" t="s">
        <v>112</v>
      </c>
      <c r="R2229" s="30" t="s">
        <v>185</v>
      </c>
      <c r="S2229" s="81">
        <f>HLOOKUP(L2229,データについて!$J$6:$M$18,13,FALSE)</f>
        <v>1</v>
      </c>
      <c r="T2229" s="81">
        <f>HLOOKUP(M2229,データについて!$J$7:$M$18,12,FALSE)</f>
        <v>1</v>
      </c>
      <c r="U2229" s="81">
        <f>HLOOKUP(N2229,データについて!$J$8:$M$18,11,FALSE)</f>
        <v>1</v>
      </c>
      <c r="V2229" s="81">
        <f>HLOOKUP(O2229,データについて!$J$9:$M$18,10,FALSE)</f>
        <v>1</v>
      </c>
      <c r="W2229" s="81">
        <f>HLOOKUP(P2229,データについて!$J$10:$M$18,9,FALSE)</f>
        <v>2</v>
      </c>
      <c r="X2229" s="81">
        <f>HLOOKUP(Q2229,データについて!$J$11:$M$18,8,FALSE)</f>
        <v>1</v>
      </c>
      <c r="Y2229" s="81">
        <f>HLOOKUP(R2229,データについて!$J$12:$M$18,7,FALSE)</f>
        <v>2</v>
      </c>
      <c r="Z2229" s="81">
        <f>HLOOKUP(I2229,データについて!$J$3:$M$18,16,FALSE)</f>
        <v>2</v>
      </c>
      <c r="AA2229" s="81" t="str">
        <f>IFERROR(HLOOKUP(J2229,データについて!$J$4:$AH$19,16,FALSE),"")</f>
        <v/>
      </c>
      <c r="AB2229" s="81">
        <f>IFERROR(HLOOKUP(K2229,データについて!$J$5:$AH$20,14,FALSE),"")</f>
        <v>4</v>
      </c>
      <c r="AC2229" s="81">
        <f>IF(X2229=1,HLOOKUP(R2229,データについて!$J$12:$M$18,7,FALSE),"*")</f>
        <v>2</v>
      </c>
      <c r="AD2229" s="81" t="str">
        <f>IF(X2229=2,HLOOKUP(R2229,データについて!$J$12:$M$18,7,FALSE),"*")</f>
        <v>*</v>
      </c>
    </row>
    <row r="2230" spans="1:30">
      <c r="A2230" s="30">
        <v>2962</v>
      </c>
      <c r="B2230" s="30" t="s">
        <v>2466</v>
      </c>
      <c r="C2230" s="30" t="s">
        <v>2467</v>
      </c>
      <c r="D2230" s="30" t="s">
        <v>106</v>
      </c>
      <c r="E2230" s="30"/>
      <c r="F2230" s="30" t="s">
        <v>107</v>
      </c>
      <c r="G2230" s="30" t="s">
        <v>106</v>
      </c>
      <c r="H2230" s="30"/>
      <c r="I2230" s="30" t="s">
        <v>191</v>
      </c>
      <c r="J2230" s="30"/>
      <c r="K2230" s="30" t="s">
        <v>2463</v>
      </c>
      <c r="L2230" s="30" t="s">
        <v>108</v>
      </c>
      <c r="M2230" s="30" t="s">
        <v>109</v>
      </c>
      <c r="N2230" s="30" t="s">
        <v>114</v>
      </c>
      <c r="O2230" s="30" t="s">
        <v>115</v>
      </c>
      <c r="P2230" s="30" t="s">
        <v>112</v>
      </c>
      <c r="Q2230" s="30" t="s">
        <v>118</v>
      </c>
      <c r="R2230" s="30" t="s">
        <v>185</v>
      </c>
      <c r="S2230" s="81">
        <f>HLOOKUP(L2230,データについて!$J$6:$M$18,13,FALSE)</f>
        <v>1</v>
      </c>
      <c r="T2230" s="81">
        <f>HLOOKUP(M2230,データについて!$J$7:$M$18,12,FALSE)</f>
        <v>2</v>
      </c>
      <c r="U2230" s="81">
        <f>HLOOKUP(N2230,データについて!$J$8:$M$18,11,FALSE)</f>
        <v>1</v>
      </c>
      <c r="V2230" s="81">
        <f>HLOOKUP(O2230,データについて!$J$9:$M$18,10,FALSE)</f>
        <v>1</v>
      </c>
      <c r="W2230" s="81">
        <f>HLOOKUP(P2230,データについて!$J$10:$M$18,9,FALSE)</f>
        <v>1</v>
      </c>
      <c r="X2230" s="81">
        <f>HLOOKUP(Q2230,データについて!$J$11:$M$18,8,FALSE)</f>
        <v>2</v>
      </c>
      <c r="Y2230" s="81">
        <f>HLOOKUP(R2230,データについて!$J$12:$M$18,7,FALSE)</f>
        <v>2</v>
      </c>
      <c r="Z2230" s="81">
        <f>HLOOKUP(I2230,データについて!$J$3:$M$18,16,FALSE)</f>
        <v>2</v>
      </c>
      <c r="AA2230" s="81" t="str">
        <f>IFERROR(HLOOKUP(J2230,データについて!$J$4:$AH$19,16,FALSE),"")</f>
        <v/>
      </c>
      <c r="AB2230" s="81">
        <f>IFERROR(HLOOKUP(K2230,データについて!$J$5:$AH$20,14,FALSE),"")</f>
        <v>4</v>
      </c>
      <c r="AC2230" s="81" t="str">
        <f>IF(X2230=1,HLOOKUP(R2230,データについて!$J$12:$M$18,7,FALSE),"*")</f>
        <v>*</v>
      </c>
      <c r="AD2230" s="81">
        <f>IF(X2230=2,HLOOKUP(R2230,データについて!$J$12:$M$18,7,FALSE),"*")</f>
        <v>2</v>
      </c>
    </row>
    <row r="2231" spans="1:30">
      <c r="A2231" s="30">
        <v>2961</v>
      </c>
      <c r="B2231" s="30" t="s">
        <v>2468</v>
      </c>
      <c r="C2231" s="30" t="s">
        <v>2467</v>
      </c>
      <c r="D2231" s="30" t="s">
        <v>106</v>
      </c>
      <c r="E2231" s="30"/>
      <c r="F2231" s="30" t="s">
        <v>107</v>
      </c>
      <c r="G2231" s="30" t="s">
        <v>106</v>
      </c>
      <c r="H2231" s="30"/>
      <c r="I2231" s="30" t="s">
        <v>191</v>
      </c>
      <c r="J2231" s="30"/>
      <c r="K2231" s="30" t="s">
        <v>2463</v>
      </c>
      <c r="L2231" s="30" t="s">
        <v>108</v>
      </c>
      <c r="M2231" s="30" t="s">
        <v>121</v>
      </c>
      <c r="N2231" s="30" t="s">
        <v>110</v>
      </c>
      <c r="O2231" s="30" t="s">
        <v>115</v>
      </c>
      <c r="P2231" s="30" t="s">
        <v>118</v>
      </c>
      <c r="Q2231" s="30" t="s">
        <v>112</v>
      </c>
      <c r="R2231" s="30" t="s">
        <v>183</v>
      </c>
      <c r="S2231" s="81">
        <f>HLOOKUP(L2231,データについて!$J$6:$M$18,13,FALSE)</f>
        <v>1</v>
      </c>
      <c r="T2231" s="81">
        <f>HLOOKUP(M2231,データについて!$J$7:$M$18,12,FALSE)</f>
        <v>4</v>
      </c>
      <c r="U2231" s="81">
        <f>HLOOKUP(N2231,データについて!$J$8:$M$18,11,FALSE)</f>
        <v>2</v>
      </c>
      <c r="V2231" s="81">
        <f>HLOOKUP(O2231,データについて!$J$9:$M$18,10,FALSE)</f>
        <v>1</v>
      </c>
      <c r="W2231" s="81">
        <f>HLOOKUP(P2231,データについて!$J$10:$M$18,9,FALSE)</f>
        <v>2</v>
      </c>
      <c r="X2231" s="81">
        <f>HLOOKUP(Q2231,データについて!$J$11:$M$18,8,FALSE)</f>
        <v>1</v>
      </c>
      <c r="Y2231" s="81">
        <f>HLOOKUP(R2231,データについて!$J$12:$M$18,7,FALSE)</f>
        <v>1</v>
      </c>
      <c r="Z2231" s="81">
        <f>HLOOKUP(I2231,データについて!$J$3:$M$18,16,FALSE)</f>
        <v>2</v>
      </c>
      <c r="AA2231" s="81" t="str">
        <f>IFERROR(HLOOKUP(J2231,データについて!$J$4:$AH$19,16,FALSE),"")</f>
        <v/>
      </c>
      <c r="AB2231" s="81">
        <f>IFERROR(HLOOKUP(K2231,データについて!$J$5:$AH$20,14,FALSE),"")</f>
        <v>4</v>
      </c>
      <c r="AC2231" s="81">
        <f>IF(X2231=1,HLOOKUP(R2231,データについて!$J$12:$M$18,7,FALSE),"*")</f>
        <v>1</v>
      </c>
      <c r="AD2231" s="81" t="str">
        <f>IF(X2231=2,HLOOKUP(R2231,データについて!$J$12:$M$18,7,FALSE),"*")</f>
        <v>*</v>
      </c>
    </row>
    <row r="2232" spans="1:30">
      <c r="A2232" s="30">
        <v>2960</v>
      </c>
      <c r="B2232" s="30" t="s">
        <v>2469</v>
      </c>
      <c r="C2232" s="30" t="s">
        <v>2470</v>
      </c>
      <c r="D2232" s="30" t="s">
        <v>106</v>
      </c>
      <c r="E2232" s="30"/>
      <c r="F2232" s="30" t="s">
        <v>107</v>
      </c>
      <c r="G2232" s="30" t="s">
        <v>106</v>
      </c>
      <c r="H2232" s="30"/>
      <c r="I2232" s="30" t="s">
        <v>191</v>
      </c>
      <c r="J2232" s="30"/>
      <c r="K2232" s="30" t="s">
        <v>2463</v>
      </c>
      <c r="L2232" s="30" t="s">
        <v>108</v>
      </c>
      <c r="M2232" s="30" t="s">
        <v>113</v>
      </c>
      <c r="N2232" s="30" t="s">
        <v>114</v>
      </c>
      <c r="O2232" s="30" t="s">
        <v>116</v>
      </c>
      <c r="P2232" s="30" t="s">
        <v>118</v>
      </c>
      <c r="Q2232" s="30" t="s">
        <v>112</v>
      </c>
      <c r="R2232" s="30" t="s">
        <v>183</v>
      </c>
      <c r="S2232" s="81">
        <f>HLOOKUP(L2232,データについて!$J$6:$M$18,13,FALSE)</f>
        <v>1</v>
      </c>
      <c r="T2232" s="81">
        <f>HLOOKUP(M2232,データについて!$J$7:$M$18,12,FALSE)</f>
        <v>1</v>
      </c>
      <c r="U2232" s="81">
        <f>HLOOKUP(N2232,データについて!$J$8:$M$18,11,FALSE)</f>
        <v>1</v>
      </c>
      <c r="V2232" s="81">
        <f>HLOOKUP(O2232,データについて!$J$9:$M$18,10,FALSE)</f>
        <v>2</v>
      </c>
      <c r="W2232" s="81">
        <f>HLOOKUP(P2232,データについて!$J$10:$M$18,9,FALSE)</f>
        <v>2</v>
      </c>
      <c r="X2232" s="81">
        <f>HLOOKUP(Q2232,データについて!$J$11:$M$18,8,FALSE)</f>
        <v>1</v>
      </c>
      <c r="Y2232" s="81">
        <f>HLOOKUP(R2232,データについて!$J$12:$M$18,7,FALSE)</f>
        <v>1</v>
      </c>
      <c r="Z2232" s="81">
        <f>HLOOKUP(I2232,データについて!$J$3:$M$18,16,FALSE)</f>
        <v>2</v>
      </c>
      <c r="AA2232" s="81" t="str">
        <f>IFERROR(HLOOKUP(J2232,データについて!$J$4:$AH$19,16,FALSE),"")</f>
        <v/>
      </c>
      <c r="AB2232" s="81">
        <f>IFERROR(HLOOKUP(K2232,データについて!$J$5:$AH$20,14,FALSE),"")</f>
        <v>4</v>
      </c>
      <c r="AC2232" s="81">
        <f>IF(X2232=1,HLOOKUP(R2232,データについて!$J$12:$M$18,7,FALSE),"*")</f>
        <v>1</v>
      </c>
      <c r="AD2232" s="81" t="str">
        <f>IF(X2232=2,HLOOKUP(R2232,データについて!$J$12:$M$18,7,FALSE),"*")</f>
        <v>*</v>
      </c>
    </row>
    <row r="2233" spans="1:30">
      <c r="A2233" s="30">
        <v>2959</v>
      </c>
      <c r="B2233" s="30" t="s">
        <v>2471</v>
      </c>
      <c r="C2233" s="30" t="s">
        <v>2472</v>
      </c>
      <c r="D2233" s="30" t="s">
        <v>106</v>
      </c>
      <c r="E2233" s="30"/>
      <c r="F2233" s="30" t="s">
        <v>107</v>
      </c>
      <c r="G2233" s="30" t="s">
        <v>106</v>
      </c>
      <c r="H2233" s="30"/>
      <c r="I2233" s="30" t="s">
        <v>191</v>
      </c>
      <c r="J2233" s="30"/>
      <c r="K2233" s="30" t="s">
        <v>2463</v>
      </c>
      <c r="L2233" s="30" t="s">
        <v>120</v>
      </c>
      <c r="M2233" s="30" t="s">
        <v>113</v>
      </c>
      <c r="N2233" s="30" t="s">
        <v>114</v>
      </c>
      <c r="O2233" s="30" t="s">
        <v>123</v>
      </c>
      <c r="P2233" s="30" t="s">
        <v>118</v>
      </c>
      <c r="Q2233" s="30" t="s">
        <v>118</v>
      </c>
      <c r="R2233" s="30" t="s">
        <v>189</v>
      </c>
      <c r="S2233" s="81">
        <f>HLOOKUP(L2233,データについて!$J$6:$M$18,13,FALSE)</f>
        <v>3</v>
      </c>
      <c r="T2233" s="81">
        <f>HLOOKUP(M2233,データについて!$J$7:$M$18,12,FALSE)</f>
        <v>1</v>
      </c>
      <c r="U2233" s="81">
        <f>HLOOKUP(N2233,データについて!$J$8:$M$18,11,FALSE)</f>
        <v>1</v>
      </c>
      <c r="V2233" s="81">
        <f>HLOOKUP(O2233,データについて!$J$9:$M$18,10,FALSE)</f>
        <v>4</v>
      </c>
      <c r="W2233" s="81">
        <f>HLOOKUP(P2233,データについて!$J$10:$M$18,9,FALSE)</f>
        <v>2</v>
      </c>
      <c r="X2233" s="81">
        <f>HLOOKUP(Q2233,データについて!$J$11:$M$18,8,FALSE)</f>
        <v>2</v>
      </c>
      <c r="Y2233" s="81">
        <f>HLOOKUP(R2233,データについて!$J$12:$M$18,7,FALSE)</f>
        <v>4</v>
      </c>
      <c r="Z2233" s="81">
        <f>HLOOKUP(I2233,データについて!$J$3:$M$18,16,FALSE)</f>
        <v>2</v>
      </c>
      <c r="AA2233" s="81" t="str">
        <f>IFERROR(HLOOKUP(J2233,データについて!$J$4:$AH$19,16,FALSE),"")</f>
        <v/>
      </c>
      <c r="AB2233" s="81">
        <f>IFERROR(HLOOKUP(K2233,データについて!$J$5:$AH$20,14,FALSE),"")</f>
        <v>4</v>
      </c>
      <c r="AC2233" s="81" t="str">
        <f>IF(X2233=1,HLOOKUP(R2233,データについて!$J$12:$M$18,7,FALSE),"*")</f>
        <v>*</v>
      </c>
      <c r="AD2233" s="81">
        <f>IF(X2233=2,HLOOKUP(R2233,データについて!$J$12:$M$18,7,FALSE),"*")</f>
        <v>4</v>
      </c>
    </row>
    <row r="2234" spans="1:30">
      <c r="A2234" s="30">
        <v>2958</v>
      </c>
      <c r="B2234" s="30" t="s">
        <v>2473</v>
      </c>
      <c r="C2234" s="30" t="s">
        <v>2474</v>
      </c>
      <c r="D2234" s="30" t="s">
        <v>106</v>
      </c>
      <c r="E2234" s="30"/>
      <c r="F2234" s="30" t="s">
        <v>107</v>
      </c>
      <c r="G2234" s="30" t="s">
        <v>106</v>
      </c>
      <c r="H2234" s="30"/>
      <c r="I2234" s="30" t="s">
        <v>191</v>
      </c>
      <c r="J2234" s="30"/>
      <c r="K2234" s="30" t="s">
        <v>2463</v>
      </c>
      <c r="L2234" s="30" t="s">
        <v>108</v>
      </c>
      <c r="M2234" s="30" t="s">
        <v>113</v>
      </c>
      <c r="N2234" s="30" t="s">
        <v>110</v>
      </c>
      <c r="O2234" s="30" t="s">
        <v>111</v>
      </c>
      <c r="P2234" s="30" t="s">
        <v>118</v>
      </c>
      <c r="Q2234" s="30" t="s">
        <v>118</v>
      </c>
      <c r="R2234" s="30" t="s">
        <v>187</v>
      </c>
      <c r="S2234" s="81">
        <f>HLOOKUP(L2234,データについて!$J$6:$M$18,13,FALSE)</f>
        <v>1</v>
      </c>
      <c r="T2234" s="81">
        <f>HLOOKUP(M2234,データについて!$J$7:$M$18,12,FALSE)</f>
        <v>1</v>
      </c>
      <c r="U2234" s="81">
        <f>HLOOKUP(N2234,データについて!$J$8:$M$18,11,FALSE)</f>
        <v>2</v>
      </c>
      <c r="V2234" s="81">
        <f>HLOOKUP(O2234,データについて!$J$9:$M$18,10,FALSE)</f>
        <v>3</v>
      </c>
      <c r="W2234" s="81">
        <f>HLOOKUP(P2234,データについて!$J$10:$M$18,9,FALSE)</f>
        <v>2</v>
      </c>
      <c r="X2234" s="81">
        <f>HLOOKUP(Q2234,データについて!$J$11:$M$18,8,FALSE)</f>
        <v>2</v>
      </c>
      <c r="Y2234" s="81">
        <f>HLOOKUP(R2234,データについて!$J$12:$M$18,7,FALSE)</f>
        <v>3</v>
      </c>
      <c r="Z2234" s="81">
        <f>HLOOKUP(I2234,データについて!$J$3:$M$18,16,FALSE)</f>
        <v>2</v>
      </c>
      <c r="AA2234" s="81" t="str">
        <f>IFERROR(HLOOKUP(J2234,データについて!$J$4:$AH$19,16,FALSE),"")</f>
        <v/>
      </c>
      <c r="AB2234" s="81">
        <f>IFERROR(HLOOKUP(K2234,データについて!$J$5:$AH$20,14,FALSE),"")</f>
        <v>4</v>
      </c>
      <c r="AC2234" s="81" t="str">
        <f>IF(X2234=1,HLOOKUP(R2234,データについて!$J$12:$M$18,7,FALSE),"*")</f>
        <v>*</v>
      </c>
      <c r="AD2234" s="81">
        <f>IF(X2234=2,HLOOKUP(R2234,データについて!$J$12:$M$18,7,FALSE),"*")</f>
        <v>3</v>
      </c>
    </row>
    <row r="2235" spans="1:30">
      <c r="A2235" s="30">
        <v>2957</v>
      </c>
      <c r="B2235" s="30" t="s">
        <v>2475</v>
      </c>
      <c r="C2235" s="30" t="s">
        <v>2476</v>
      </c>
      <c r="D2235" s="30" t="s">
        <v>106</v>
      </c>
      <c r="E2235" s="30"/>
      <c r="F2235" s="30" t="s">
        <v>107</v>
      </c>
      <c r="G2235" s="30" t="s">
        <v>106</v>
      </c>
      <c r="H2235" s="30"/>
      <c r="I2235" s="30" t="s">
        <v>191</v>
      </c>
      <c r="J2235" s="30"/>
      <c r="K2235" s="30" t="s">
        <v>2463</v>
      </c>
      <c r="L2235" s="30" t="s">
        <v>108</v>
      </c>
      <c r="M2235" s="30" t="s">
        <v>121</v>
      </c>
      <c r="N2235" s="30" t="s">
        <v>114</v>
      </c>
      <c r="O2235" s="30" t="s">
        <v>115</v>
      </c>
      <c r="P2235" s="30" t="s">
        <v>112</v>
      </c>
      <c r="Q2235" s="30" t="s">
        <v>112</v>
      </c>
      <c r="R2235" s="30" t="s">
        <v>187</v>
      </c>
      <c r="S2235" s="81">
        <f>HLOOKUP(L2235,データについて!$J$6:$M$18,13,FALSE)</f>
        <v>1</v>
      </c>
      <c r="T2235" s="81">
        <f>HLOOKUP(M2235,データについて!$J$7:$M$18,12,FALSE)</f>
        <v>4</v>
      </c>
      <c r="U2235" s="81">
        <f>HLOOKUP(N2235,データについて!$J$8:$M$18,11,FALSE)</f>
        <v>1</v>
      </c>
      <c r="V2235" s="81">
        <f>HLOOKUP(O2235,データについて!$J$9:$M$18,10,FALSE)</f>
        <v>1</v>
      </c>
      <c r="W2235" s="81">
        <f>HLOOKUP(P2235,データについて!$J$10:$M$18,9,FALSE)</f>
        <v>1</v>
      </c>
      <c r="X2235" s="81">
        <f>HLOOKUP(Q2235,データについて!$J$11:$M$18,8,FALSE)</f>
        <v>1</v>
      </c>
      <c r="Y2235" s="81">
        <f>HLOOKUP(R2235,データについて!$J$12:$M$18,7,FALSE)</f>
        <v>3</v>
      </c>
      <c r="Z2235" s="81">
        <f>HLOOKUP(I2235,データについて!$J$3:$M$18,16,FALSE)</f>
        <v>2</v>
      </c>
      <c r="AA2235" s="81" t="str">
        <f>IFERROR(HLOOKUP(J2235,データについて!$J$4:$AH$19,16,FALSE),"")</f>
        <v/>
      </c>
      <c r="AB2235" s="81">
        <f>IFERROR(HLOOKUP(K2235,データについて!$J$5:$AH$20,14,FALSE),"")</f>
        <v>4</v>
      </c>
      <c r="AC2235" s="81">
        <f>IF(X2235=1,HLOOKUP(R2235,データについて!$J$12:$M$18,7,FALSE),"*")</f>
        <v>3</v>
      </c>
      <c r="AD2235" s="81" t="str">
        <f>IF(X2235=2,HLOOKUP(R2235,データについて!$J$12:$M$18,7,FALSE),"*")</f>
        <v>*</v>
      </c>
    </row>
    <row r="2236" spans="1:30">
      <c r="A2236" s="30">
        <v>2956</v>
      </c>
      <c r="B2236" s="30" t="s">
        <v>2477</v>
      </c>
      <c r="C2236" s="30" t="s">
        <v>2478</v>
      </c>
      <c r="D2236" s="30" t="s">
        <v>106</v>
      </c>
      <c r="E2236" s="30"/>
      <c r="F2236" s="30" t="s">
        <v>107</v>
      </c>
      <c r="G2236" s="30" t="s">
        <v>106</v>
      </c>
      <c r="H2236" s="30"/>
      <c r="I2236" s="30" t="s">
        <v>191</v>
      </c>
      <c r="J2236" s="30"/>
      <c r="K2236" s="30" t="s">
        <v>2463</v>
      </c>
      <c r="L2236" s="30" t="s">
        <v>108</v>
      </c>
      <c r="M2236" s="30" t="s">
        <v>113</v>
      </c>
      <c r="N2236" s="30" t="s">
        <v>119</v>
      </c>
      <c r="O2236" s="30" t="s">
        <v>115</v>
      </c>
      <c r="P2236" s="30" t="s">
        <v>112</v>
      </c>
      <c r="Q2236" s="30" t="s">
        <v>112</v>
      </c>
      <c r="R2236" s="30" t="s">
        <v>185</v>
      </c>
      <c r="S2236" s="81">
        <f>HLOOKUP(L2236,データについて!$J$6:$M$18,13,FALSE)</f>
        <v>1</v>
      </c>
      <c r="T2236" s="81">
        <f>HLOOKUP(M2236,データについて!$J$7:$M$18,12,FALSE)</f>
        <v>1</v>
      </c>
      <c r="U2236" s="81">
        <f>HLOOKUP(N2236,データについて!$J$8:$M$18,11,FALSE)</f>
        <v>4</v>
      </c>
      <c r="V2236" s="81">
        <f>HLOOKUP(O2236,データについて!$J$9:$M$18,10,FALSE)</f>
        <v>1</v>
      </c>
      <c r="W2236" s="81">
        <f>HLOOKUP(P2236,データについて!$J$10:$M$18,9,FALSE)</f>
        <v>1</v>
      </c>
      <c r="X2236" s="81">
        <f>HLOOKUP(Q2236,データについて!$J$11:$M$18,8,FALSE)</f>
        <v>1</v>
      </c>
      <c r="Y2236" s="81">
        <f>HLOOKUP(R2236,データについて!$J$12:$M$18,7,FALSE)</f>
        <v>2</v>
      </c>
      <c r="Z2236" s="81">
        <f>HLOOKUP(I2236,データについて!$J$3:$M$18,16,FALSE)</f>
        <v>2</v>
      </c>
      <c r="AA2236" s="81" t="str">
        <f>IFERROR(HLOOKUP(J2236,データについて!$J$4:$AH$19,16,FALSE),"")</f>
        <v/>
      </c>
      <c r="AB2236" s="81">
        <f>IFERROR(HLOOKUP(K2236,データについて!$J$5:$AH$20,14,FALSE),"")</f>
        <v>4</v>
      </c>
      <c r="AC2236" s="81">
        <f>IF(X2236=1,HLOOKUP(R2236,データについて!$J$12:$M$18,7,FALSE),"*")</f>
        <v>2</v>
      </c>
      <c r="AD2236" s="81" t="str">
        <f>IF(X2236=2,HLOOKUP(R2236,データについて!$J$12:$M$18,7,FALSE),"*")</f>
        <v>*</v>
      </c>
    </row>
    <row r="2237" spans="1:30">
      <c r="A2237" s="30">
        <v>2955</v>
      </c>
      <c r="B2237" s="30" t="s">
        <v>2479</v>
      </c>
      <c r="C2237" s="30" t="s">
        <v>2480</v>
      </c>
      <c r="D2237" s="30" t="s">
        <v>106</v>
      </c>
      <c r="E2237" s="30"/>
      <c r="F2237" s="30" t="s">
        <v>107</v>
      </c>
      <c r="G2237" s="30" t="s">
        <v>106</v>
      </c>
      <c r="H2237" s="30"/>
      <c r="I2237" s="30" t="s">
        <v>191</v>
      </c>
      <c r="J2237" s="30"/>
      <c r="K2237" s="30" t="s">
        <v>2463</v>
      </c>
      <c r="L2237" s="30" t="s">
        <v>108</v>
      </c>
      <c r="M2237" s="30" t="s">
        <v>109</v>
      </c>
      <c r="N2237" s="30" t="s">
        <v>110</v>
      </c>
      <c r="O2237" s="30" t="s">
        <v>123</v>
      </c>
      <c r="P2237" s="30" t="s">
        <v>118</v>
      </c>
      <c r="Q2237" s="30" t="s">
        <v>118</v>
      </c>
      <c r="R2237" s="30" t="s">
        <v>187</v>
      </c>
      <c r="S2237" s="81">
        <f>HLOOKUP(L2237,データについて!$J$6:$M$18,13,FALSE)</f>
        <v>1</v>
      </c>
      <c r="T2237" s="81">
        <f>HLOOKUP(M2237,データについて!$J$7:$M$18,12,FALSE)</f>
        <v>2</v>
      </c>
      <c r="U2237" s="81">
        <f>HLOOKUP(N2237,データについて!$J$8:$M$18,11,FALSE)</f>
        <v>2</v>
      </c>
      <c r="V2237" s="81">
        <f>HLOOKUP(O2237,データについて!$J$9:$M$18,10,FALSE)</f>
        <v>4</v>
      </c>
      <c r="W2237" s="81">
        <f>HLOOKUP(P2237,データについて!$J$10:$M$18,9,FALSE)</f>
        <v>2</v>
      </c>
      <c r="X2237" s="81">
        <f>HLOOKUP(Q2237,データについて!$J$11:$M$18,8,FALSE)</f>
        <v>2</v>
      </c>
      <c r="Y2237" s="81">
        <f>HLOOKUP(R2237,データについて!$J$12:$M$18,7,FALSE)</f>
        <v>3</v>
      </c>
      <c r="Z2237" s="81">
        <f>HLOOKUP(I2237,データについて!$J$3:$M$18,16,FALSE)</f>
        <v>2</v>
      </c>
      <c r="AA2237" s="81" t="str">
        <f>IFERROR(HLOOKUP(J2237,データについて!$J$4:$AH$19,16,FALSE),"")</f>
        <v/>
      </c>
      <c r="AB2237" s="81">
        <f>IFERROR(HLOOKUP(K2237,データについて!$J$5:$AH$20,14,FALSE),"")</f>
        <v>4</v>
      </c>
      <c r="AC2237" s="81" t="str">
        <f>IF(X2237=1,HLOOKUP(R2237,データについて!$J$12:$M$18,7,FALSE),"*")</f>
        <v>*</v>
      </c>
      <c r="AD2237" s="81">
        <f>IF(X2237=2,HLOOKUP(R2237,データについて!$J$12:$M$18,7,FALSE),"*")</f>
        <v>3</v>
      </c>
    </row>
    <row r="2238" spans="1:30">
      <c r="A2238" s="30">
        <v>2954</v>
      </c>
      <c r="B2238" s="30" t="s">
        <v>2481</v>
      </c>
      <c r="C2238" s="30" t="s">
        <v>2482</v>
      </c>
      <c r="D2238" s="30" t="s">
        <v>106</v>
      </c>
      <c r="E2238" s="30"/>
      <c r="F2238" s="30" t="s">
        <v>107</v>
      </c>
      <c r="G2238" s="30" t="s">
        <v>106</v>
      </c>
      <c r="H2238" s="30"/>
      <c r="I2238" s="30" t="s">
        <v>191</v>
      </c>
      <c r="J2238" s="30"/>
      <c r="K2238" s="30" t="s">
        <v>2463</v>
      </c>
      <c r="L2238" s="30" t="s">
        <v>108</v>
      </c>
      <c r="M2238" s="30" t="s">
        <v>113</v>
      </c>
      <c r="N2238" s="30" t="s">
        <v>114</v>
      </c>
      <c r="O2238" s="30" t="s">
        <v>115</v>
      </c>
      <c r="P2238" s="30" t="s">
        <v>112</v>
      </c>
      <c r="Q2238" s="30" t="s">
        <v>112</v>
      </c>
      <c r="R2238" s="30" t="s">
        <v>183</v>
      </c>
      <c r="S2238" s="81">
        <f>HLOOKUP(L2238,データについて!$J$6:$M$18,13,FALSE)</f>
        <v>1</v>
      </c>
      <c r="T2238" s="81">
        <f>HLOOKUP(M2238,データについて!$J$7:$M$18,12,FALSE)</f>
        <v>1</v>
      </c>
      <c r="U2238" s="81">
        <f>HLOOKUP(N2238,データについて!$J$8:$M$18,11,FALSE)</f>
        <v>1</v>
      </c>
      <c r="V2238" s="81">
        <f>HLOOKUP(O2238,データについて!$J$9:$M$18,10,FALSE)</f>
        <v>1</v>
      </c>
      <c r="W2238" s="81">
        <f>HLOOKUP(P2238,データについて!$J$10:$M$18,9,FALSE)</f>
        <v>1</v>
      </c>
      <c r="X2238" s="81">
        <f>HLOOKUP(Q2238,データについて!$J$11:$M$18,8,FALSE)</f>
        <v>1</v>
      </c>
      <c r="Y2238" s="81">
        <f>HLOOKUP(R2238,データについて!$J$12:$M$18,7,FALSE)</f>
        <v>1</v>
      </c>
      <c r="Z2238" s="81">
        <f>HLOOKUP(I2238,データについて!$J$3:$M$18,16,FALSE)</f>
        <v>2</v>
      </c>
      <c r="AA2238" s="81" t="str">
        <f>IFERROR(HLOOKUP(J2238,データについて!$J$4:$AH$19,16,FALSE),"")</f>
        <v/>
      </c>
      <c r="AB2238" s="81">
        <f>IFERROR(HLOOKUP(K2238,データについて!$J$5:$AH$20,14,FALSE),"")</f>
        <v>4</v>
      </c>
      <c r="AC2238" s="81">
        <f>IF(X2238=1,HLOOKUP(R2238,データについて!$J$12:$M$18,7,FALSE),"*")</f>
        <v>1</v>
      </c>
      <c r="AD2238" s="81" t="str">
        <f>IF(X2238=2,HLOOKUP(R2238,データについて!$J$12:$M$18,7,FALSE),"*")</f>
        <v>*</v>
      </c>
    </row>
    <row r="2239" spans="1:30">
      <c r="A2239" s="30">
        <v>2953</v>
      </c>
      <c r="B2239" s="30" t="s">
        <v>2483</v>
      </c>
      <c r="C2239" s="30" t="s">
        <v>2484</v>
      </c>
      <c r="D2239" s="30" t="s">
        <v>106</v>
      </c>
      <c r="E2239" s="30"/>
      <c r="F2239" s="30" t="s">
        <v>107</v>
      </c>
      <c r="G2239" s="30" t="s">
        <v>106</v>
      </c>
      <c r="H2239" s="30"/>
      <c r="I2239" s="30" t="s">
        <v>191</v>
      </c>
      <c r="J2239" s="30"/>
      <c r="K2239" s="30" t="s">
        <v>2463</v>
      </c>
      <c r="L2239" s="30" t="s">
        <v>108</v>
      </c>
      <c r="M2239" s="30" t="s">
        <v>124</v>
      </c>
      <c r="N2239" s="30" t="s">
        <v>122</v>
      </c>
      <c r="O2239" s="30" t="s">
        <v>115</v>
      </c>
      <c r="P2239" s="30" t="s">
        <v>118</v>
      </c>
      <c r="Q2239" s="30" t="s">
        <v>112</v>
      </c>
      <c r="R2239" s="30" t="s">
        <v>189</v>
      </c>
      <c r="S2239" s="81">
        <f>HLOOKUP(L2239,データについて!$J$6:$M$18,13,FALSE)</f>
        <v>1</v>
      </c>
      <c r="T2239" s="81">
        <f>HLOOKUP(M2239,データについて!$J$7:$M$18,12,FALSE)</f>
        <v>3</v>
      </c>
      <c r="U2239" s="81">
        <f>HLOOKUP(N2239,データについて!$J$8:$M$18,11,FALSE)</f>
        <v>3</v>
      </c>
      <c r="V2239" s="81">
        <f>HLOOKUP(O2239,データについて!$J$9:$M$18,10,FALSE)</f>
        <v>1</v>
      </c>
      <c r="W2239" s="81">
        <f>HLOOKUP(P2239,データについて!$J$10:$M$18,9,FALSE)</f>
        <v>2</v>
      </c>
      <c r="X2239" s="81">
        <f>HLOOKUP(Q2239,データについて!$J$11:$M$18,8,FALSE)</f>
        <v>1</v>
      </c>
      <c r="Y2239" s="81">
        <f>HLOOKUP(R2239,データについて!$J$12:$M$18,7,FALSE)</f>
        <v>4</v>
      </c>
      <c r="Z2239" s="81">
        <f>HLOOKUP(I2239,データについて!$J$3:$M$18,16,FALSE)</f>
        <v>2</v>
      </c>
      <c r="AA2239" s="81" t="str">
        <f>IFERROR(HLOOKUP(J2239,データについて!$J$4:$AH$19,16,FALSE),"")</f>
        <v/>
      </c>
      <c r="AB2239" s="81">
        <f>IFERROR(HLOOKUP(K2239,データについて!$J$5:$AH$20,14,FALSE),"")</f>
        <v>4</v>
      </c>
      <c r="AC2239" s="81">
        <f>IF(X2239=1,HLOOKUP(R2239,データについて!$J$12:$M$18,7,FALSE),"*")</f>
        <v>4</v>
      </c>
      <c r="AD2239" s="81" t="str">
        <f>IF(X2239=2,HLOOKUP(R2239,データについて!$J$12:$M$18,7,FALSE),"*")</f>
        <v>*</v>
      </c>
    </row>
    <row r="2240" spans="1:30">
      <c r="A2240" s="30">
        <v>2952</v>
      </c>
      <c r="B2240" s="30" t="s">
        <v>2485</v>
      </c>
      <c r="C2240" s="30" t="s">
        <v>2486</v>
      </c>
      <c r="D2240" s="30" t="s">
        <v>106</v>
      </c>
      <c r="E2240" s="30"/>
      <c r="F2240" s="30" t="s">
        <v>107</v>
      </c>
      <c r="G2240" s="30" t="s">
        <v>106</v>
      </c>
      <c r="H2240" s="30"/>
      <c r="I2240" s="30" t="s">
        <v>191</v>
      </c>
      <c r="J2240" s="30"/>
      <c r="K2240" s="30" t="s">
        <v>2463</v>
      </c>
      <c r="L2240" s="30" t="s">
        <v>108</v>
      </c>
      <c r="M2240" s="30" t="s">
        <v>113</v>
      </c>
      <c r="N2240" s="30" t="s">
        <v>114</v>
      </c>
      <c r="O2240" s="30" t="s">
        <v>115</v>
      </c>
      <c r="P2240" s="30" t="s">
        <v>112</v>
      </c>
      <c r="Q2240" s="30" t="s">
        <v>112</v>
      </c>
      <c r="R2240" s="30" t="s">
        <v>187</v>
      </c>
      <c r="S2240" s="81">
        <f>HLOOKUP(L2240,データについて!$J$6:$M$18,13,FALSE)</f>
        <v>1</v>
      </c>
      <c r="T2240" s="81">
        <f>HLOOKUP(M2240,データについて!$J$7:$M$18,12,FALSE)</f>
        <v>1</v>
      </c>
      <c r="U2240" s="81">
        <f>HLOOKUP(N2240,データについて!$J$8:$M$18,11,FALSE)</f>
        <v>1</v>
      </c>
      <c r="V2240" s="81">
        <f>HLOOKUP(O2240,データについて!$J$9:$M$18,10,FALSE)</f>
        <v>1</v>
      </c>
      <c r="W2240" s="81">
        <f>HLOOKUP(P2240,データについて!$J$10:$M$18,9,FALSE)</f>
        <v>1</v>
      </c>
      <c r="X2240" s="81">
        <f>HLOOKUP(Q2240,データについて!$J$11:$M$18,8,FALSE)</f>
        <v>1</v>
      </c>
      <c r="Y2240" s="81">
        <f>HLOOKUP(R2240,データについて!$J$12:$M$18,7,FALSE)</f>
        <v>3</v>
      </c>
      <c r="Z2240" s="81">
        <f>HLOOKUP(I2240,データについて!$J$3:$M$18,16,FALSE)</f>
        <v>2</v>
      </c>
      <c r="AA2240" s="81" t="str">
        <f>IFERROR(HLOOKUP(J2240,データについて!$J$4:$AH$19,16,FALSE),"")</f>
        <v/>
      </c>
      <c r="AB2240" s="81">
        <f>IFERROR(HLOOKUP(K2240,データについて!$J$5:$AH$20,14,FALSE),"")</f>
        <v>4</v>
      </c>
      <c r="AC2240" s="81">
        <f>IF(X2240=1,HLOOKUP(R2240,データについて!$J$12:$M$18,7,FALSE),"*")</f>
        <v>3</v>
      </c>
      <c r="AD2240" s="81" t="str">
        <f>IF(X2240=2,HLOOKUP(R2240,データについて!$J$12:$M$18,7,FALSE),"*")</f>
        <v>*</v>
      </c>
    </row>
    <row r="2241" spans="1:30">
      <c r="A2241" s="30">
        <v>2951</v>
      </c>
      <c r="B2241" s="30" t="s">
        <v>2487</v>
      </c>
      <c r="C2241" s="30" t="s">
        <v>2488</v>
      </c>
      <c r="D2241" s="30" t="s">
        <v>106</v>
      </c>
      <c r="E2241" s="30"/>
      <c r="F2241" s="30" t="s">
        <v>107</v>
      </c>
      <c r="G2241" s="30" t="s">
        <v>106</v>
      </c>
      <c r="H2241" s="30"/>
      <c r="I2241" s="30" t="s">
        <v>191</v>
      </c>
      <c r="J2241" s="30"/>
      <c r="K2241" s="30" t="s">
        <v>2463</v>
      </c>
      <c r="L2241" s="30" t="s">
        <v>108</v>
      </c>
      <c r="M2241" s="30" t="s">
        <v>124</v>
      </c>
      <c r="N2241" s="30" t="s">
        <v>114</v>
      </c>
      <c r="O2241" s="30" t="s">
        <v>115</v>
      </c>
      <c r="P2241" s="30" t="s">
        <v>112</v>
      </c>
      <c r="Q2241" s="30" t="s">
        <v>112</v>
      </c>
      <c r="R2241" s="30" t="s">
        <v>185</v>
      </c>
      <c r="S2241" s="81">
        <f>HLOOKUP(L2241,データについて!$J$6:$M$18,13,FALSE)</f>
        <v>1</v>
      </c>
      <c r="T2241" s="81">
        <f>HLOOKUP(M2241,データについて!$J$7:$M$18,12,FALSE)</f>
        <v>3</v>
      </c>
      <c r="U2241" s="81">
        <f>HLOOKUP(N2241,データについて!$J$8:$M$18,11,FALSE)</f>
        <v>1</v>
      </c>
      <c r="V2241" s="81">
        <f>HLOOKUP(O2241,データについて!$J$9:$M$18,10,FALSE)</f>
        <v>1</v>
      </c>
      <c r="W2241" s="81">
        <f>HLOOKUP(P2241,データについて!$J$10:$M$18,9,FALSE)</f>
        <v>1</v>
      </c>
      <c r="X2241" s="81">
        <f>HLOOKUP(Q2241,データについて!$J$11:$M$18,8,FALSE)</f>
        <v>1</v>
      </c>
      <c r="Y2241" s="81">
        <f>HLOOKUP(R2241,データについて!$J$12:$M$18,7,FALSE)</f>
        <v>2</v>
      </c>
      <c r="Z2241" s="81">
        <f>HLOOKUP(I2241,データについて!$J$3:$M$18,16,FALSE)</f>
        <v>2</v>
      </c>
      <c r="AA2241" s="81" t="str">
        <f>IFERROR(HLOOKUP(J2241,データについて!$J$4:$AH$19,16,FALSE),"")</f>
        <v/>
      </c>
      <c r="AB2241" s="81">
        <f>IFERROR(HLOOKUP(K2241,データについて!$J$5:$AH$20,14,FALSE),"")</f>
        <v>4</v>
      </c>
      <c r="AC2241" s="81">
        <f>IF(X2241=1,HLOOKUP(R2241,データについて!$J$12:$M$18,7,FALSE),"*")</f>
        <v>2</v>
      </c>
      <c r="AD2241" s="81" t="str">
        <f>IF(X2241=2,HLOOKUP(R2241,データについて!$J$12:$M$18,7,FALSE),"*")</f>
        <v>*</v>
      </c>
    </row>
    <row r="2242" spans="1:30">
      <c r="A2242" s="30">
        <v>2950</v>
      </c>
      <c r="B2242" s="30" t="s">
        <v>2489</v>
      </c>
      <c r="C2242" s="30" t="s">
        <v>2490</v>
      </c>
      <c r="D2242" s="30" t="s">
        <v>106</v>
      </c>
      <c r="E2242" s="30"/>
      <c r="F2242" s="30" t="s">
        <v>107</v>
      </c>
      <c r="G2242" s="30" t="s">
        <v>106</v>
      </c>
      <c r="H2242" s="30"/>
      <c r="I2242" s="30" t="s">
        <v>191</v>
      </c>
      <c r="J2242" s="30"/>
      <c r="K2242" s="30" t="s">
        <v>2463</v>
      </c>
      <c r="L2242" s="30" t="s">
        <v>117</v>
      </c>
      <c r="M2242" s="30" t="s">
        <v>113</v>
      </c>
      <c r="N2242" s="30" t="s">
        <v>110</v>
      </c>
      <c r="O2242" s="30" t="s">
        <v>111</v>
      </c>
      <c r="P2242" s="30" t="s">
        <v>118</v>
      </c>
      <c r="Q2242" s="30" t="s">
        <v>112</v>
      </c>
      <c r="R2242" s="30" t="s">
        <v>185</v>
      </c>
      <c r="S2242" s="81">
        <f>HLOOKUP(L2242,データについて!$J$6:$M$18,13,FALSE)</f>
        <v>2</v>
      </c>
      <c r="T2242" s="81">
        <f>HLOOKUP(M2242,データについて!$J$7:$M$18,12,FALSE)</f>
        <v>1</v>
      </c>
      <c r="U2242" s="81">
        <f>HLOOKUP(N2242,データについて!$J$8:$M$18,11,FALSE)</f>
        <v>2</v>
      </c>
      <c r="V2242" s="81">
        <f>HLOOKUP(O2242,データについて!$J$9:$M$18,10,FALSE)</f>
        <v>3</v>
      </c>
      <c r="W2242" s="81">
        <f>HLOOKUP(P2242,データについて!$J$10:$M$18,9,FALSE)</f>
        <v>2</v>
      </c>
      <c r="X2242" s="81">
        <f>HLOOKUP(Q2242,データについて!$J$11:$M$18,8,FALSE)</f>
        <v>1</v>
      </c>
      <c r="Y2242" s="81">
        <f>HLOOKUP(R2242,データについて!$J$12:$M$18,7,FALSE)</f>
        <v>2</v>
      </c>
      <c r="Z2242" s="81">
        <f>HLOOKUP(I2242,データについて!$J$3:$M$18,16,FALSE)</f>
        <v>2</v>
      </c>
      <c r="AA2242" s="81" t="str">
        <f>IFERROR(HLOOKUP(J2242,データについて!$J$4:$AH$19,16,FALSE),"")</f>
        <v/>
      </c>
      <c r="AB2242" s="81">
        <f>IFERROR(HLOOKUP(K2242,データについて!$J$5:$AH$20,14,FALSE),"")</f>
        <v>4</v>
      </c>
      <c r="AC2242" s="81">
        <f>IF(X2242=1,HLOOKUP(R2242,データについて!$J$12:$M$18,7,FALSE),"*")</f>
        <v>2</v>
      </c>
      <c r="AD2242" s="81" t="str">
        <f>IF(X2242=2,HLOOKUP(R2242,データについて!$J$12:$M$18,7,FALSE),"*")</f>
        <v>*</v>
      </c>
    </row>
    <row r="2243" spans="1:30">
      <c r="A2243" s="30">
        <v>2949</v>
      </c>
      <c r="B2243" s="30" t="s">
        <v>2491</v>
      </c>
      <c r="C2243" s="30" t="s">
        <v>2492</v>
      </c>
      <c r="D2243" s="30" t="s">
        <v>106</v>
      </c>
      <c r="E2243" s="30"/>
      <c r="F2243" s="30" t="s">
        <v>107</v>
      </c>
      <c r="G2243" s="30" t="s">
        <v>106</v>
      </c>
      <c r="H2243" s="30"/>
      <c r="I2243" s="30" t="s">
        <v>191</v>
      </c>
      <c r="J2243" s="30"/>
      <c r="K2243" s="30" t="s">
        <v>2463</v>
      </c>
      <c r="L2243" s="30" t="s">
        <v>117</v>
      </c>
      <c r="M2243" s="30" t="s">
        <v>109</v>
      </c>
      <c r="N2243" s="30" t="s">
        <v>110</v>
      </c>
      <c r="O2243" s="30" t="s">
        <v>116</v>
      </c>
      <c r="P2243" s="30" t="s">
        <v>118</v>
      </c>
      <c r="Q2243" s="30" t="s">
        <v>118</v>
      </c>
      <c r="R2243" s="30" t="s">
        <v>187</v>
      </c>
      <c r="S2243" s="81">
        <f>HLOOKUP(L2243,データについて!$J$6:$M$18,13,FALSE)</f>
        <v>2</v>
      </c>
      <c r="T2243" s="81">
        <f>HLOOKUP(M2243,データについて!$J$7:$M$18,12,FALSE)</f>
        <v>2</v>
      </c>
      <c r="U2243" s="81">
        <f>HLOOKUP(N2243,データについて!$J$8:$M$18,11,FALSE)</f>
        <v>2</v>
      </c>
      <c r="V2243" s="81">
        <f>HLOOKUP(O2243,データについて!$J$9:$M$18,10,FALSE)</f>
        <v>2</v>
      </c>
      <c r="W2243" s="81">
        <f>HLOOKUP(P2243,データについて!$J$10:$M$18,9,FALSE)</f>
        <v>2</v>
      </c>
      <c r="X2243" s="81">
        <f>HLOOKUP(Q2243,データについて!$J$11:$M$18,8,FALSE)</f>
        <v>2</v>
      </c>
      <c r="Y2243" s="81">
        <f>HLOOKUP(R2243,データについて!$J$12:$M$18,7,FALSE)</f>
        <v>3</v>
      </c>
      <c r="Z2243" s="81">
        <f>HLOOKUP(I2243,データについて!$J$3:$M$18,16,FALSE)</f>
        <v>2</v>
      </c>
      <c r="AA2243" s="81" t="str">
        <f>IFERROR(HLOOKUP(J2243,データについて!$J$4:$AH$19,16,FALSE),"")</f>
        <v/>
      </c>
      <c r="AB2243" s="81">
        <f>IFERROR(HLOOKUP(K2243,データについて!$J$5:$AH$20,14,FALSE),"")</f>
        <v>4</v>
      </c>
      <c r="AC2243" s="81" t="str">
        <f>IF(X2243=1,HLOOKUP(R2243,データについて!$J$12:$M$18,7,FALSE),"*")</f>
        <v>*</v>
      </c>
      <c r="AD2243" s="81">
        <f>IF(X2243=2,HLOOKUP(R2243,データについて!$J$12:$M$18,7,FALSE),"*")</f>
        <v>3</v>
      </c>
    </row>
    <row r="2244" spans="1:30">
      <c r="A2244" s="30">
        <v>2948</v>
      </c>
      <c r="B2244" s="30" t="s">
        <v>2493</v>
      </c>
      <c r="C2244" s="30" t="s">
        <v>2494</v>
      </c>
      <c r="D2244" s="30" t="s">
        <v>106</v>
      </c>
      <c r="E2244" s="30"/>
      <c r="F2244" s="30" t="s">
        <v>107</v>
      </c>
      <c r="G2244" s="30" t="s">
        <v>106</v>
      </c>
      <c r="H2244" s="30"/>
      <c r="I2244" s="30" t="s">
        <v>191</v>
      </c>
      <c r="J2244" s="30"/>
      <c r="K2244" s="30" t="s">
        <v>2463</v>
      </c>
      <c r="L2244" s="30" t="s">
        <v>117</v>
      </c>
      <c r="M2244" s="30" t="s">
        <v>113</v>
      </c>
      <c r="N2244" s="30" t="s">
        <v>114</v>
      </c>
      <c r="O2244" s="30" t="s">
        <v>115</v>
      </c>
      <c r="P2244" s="30" t="s">
        <v>118</v>
      </c>
      <c r="Q2244" s="30" t="s">
        <v>112</v>
      </c>
      <c r="R2244" s="30" t="s">
        <v>183</v>
      </c>
      <c r="S2244" s="81">
        <f>HLOOKUP(L2244,データについて!$J$6:$M$18,13,FALSE)</f>
        <v>2</v>
      </c>
      <c r="T2244" s="81">
        <f>HLOOKUP(M2244,データについて!$J$7:$M$18,12,FALSE)</f>
        <v>1</v>
      </c>
      <c r="U2244" s="81">
        <f>HLOOKUP(N2244,データについて!$J$8:$M$18,11,FALSE)</f>
        <v>1</v>
      </c>
      <c r="V2244" s="81">
        <f>HLOOKUP(O2244,データについて!$J$9:$M$18,10,FALSE)</f>
        <v>1</v>
      </c>
      <c r="W2244" s="81">
        <f>HLOOKUP(P2244,データについて!$J$10:$M$18,9,FALSE)</f>
        <v>2</v>
      </c>
      <c r="X2244" s="81">
        <f>HLOOKUP(Q2244,データについて!$J$11:$M$18,8,FALSE)</f>
        <v>1</v>
      </c>
      <c r="Y2244" s="81">
        <f>HLOOKUP(R2244,データについて!$J$12:$M$18,7,FALSE)</f>
        <v>1</v>
      </c>
      <c r="Z2244" s="81">
        <f>HLOOKUP(I2244,データについて!$J$3:$M$18,16,FALSE)</f>
        <v>2</v>
      </c>
      <c r="AA2244" s="81" t="str">
        <f>IFERROR(HLOOKUP(J2244,データについて!$J$4:$AH$19,16,FALSE),"")</f>
        <v/>
      </c>
      <c r="AB2244" s="81">
        <f>IFERROR(HLOOKUP(K2244,データについて!$J$5:$AH$20,14,FALSE),"")</f>
        <v>4</v>
      </c>
      <c r="AC2244" s="81">
        <f>IF(X2244=1,HLOOKUP(R2244,データについて!$J$12:$M$18,7,FALSE),"*")</f>
        <v>1</v>
      </c>
      <c r="AD2244" s="81" t="str">
        <f>IF(X2244=2,HLOOKUP(R2244,データについて!$J$12:$M$18,7,FALSE),"*")</f>
        <v>*</v>
      </c>
    </row>
    <row r="2245" spans="1:30">
      <c r="A2245" s="30">
        <v>2947</v>
      </c>
      <c r="B2245" s="30" t="s">
        <v>2495</v>
      </c>
      <c r="C2245" s="30" t="s">
        <v>2496</v>
      </c>
      <c r="D2245" s="30" t="s">
        <v>106</v>
      </c>
      <c r="E2245" s="30"/>
      <c r="F2245" s="30" t="s">
        <v>107</v>
      </c>
      <c r="G2245" s="30" t="s">
        <v>106</v>
      </c>
      <c r="H2245" s="30"/>
      <c r="I2245" s="30" t="s">
        <v>191</v>
      </c>
      <c r="J2245" s="30"/>
      <c r="K2245" s="30" t="s">
        <v>2463</v>
      </c>
      <c r="L2245" s="30" t="s">
        <v>117</v>
      </c>
      <c r="M2245" s="30" t="s">
        <v>109</v>
      </c>
      <c r="N2245" s="30" t="s">
        <v>122</v>
      </c>
      <c r="O2245" s="30" t="s">
        <v>115</v>
      </c>
      <c r="P2245" s="30" t="s">
        <v>112</v>
      </c>
      <c r="Q2245" s="30" t="s">
        <v>112</v>
      </c>
      <c r="R2245" s="30" t="s">
        <v>185</v>
      </c>
      <c r="S2245" s="81">
        <f>HLOOKUP(L2245,データについて!$J$6:$M$18,13,FALSE)</f>
        <v>2</v>
      </c>
      <c r="T2245" s="81">
        <f>HLOOKUP(M2245,データについて!$J$7:$M$18,12,FALSE)</f>
        <v>2</v>
      </c>
      <c r="U2245" s="81">
        <f>HLOOKUP(N2245,データについて!$J$8:$M$18,11,FALSE)</f>
        <v>3</v>
      </c>
      <c r="V2245" s="81">
        <f>HLOOKUP(O2245,データについて!$J$9:$M$18,10,FALSE)</f>
        <v>1</v>
      </c>
      <c r="W2245" s="81">
        <f>HLOOKUP(P2245,データについて!$J$10:$M$18,9,FALSE)</f>
        <v>1</v>
      </c>
      <c r="X2245" s="81">
        <f>HLOOKUP(Q2245,データについて!$J$11:$M$18,8,FALSE)</f>
        <v>1</v>
      </c>
      <c r="Y2245" s="81">
        <f>HLOOKUP(R2245,データについて!$J$12:$M$18,7,FALSE)</f>
        <v>2</v>
      </c>
      <c r="Z2245" s="81">
        <f>HLOOKUP(I2245,データについて!$J$3:$M$18,16,FALSE)</f>
        <v>2</v>
      </c>
      <c r="AA2245" s="81" t="str">
        <f>IFERROR(HLOOKUP(J2245,データについて!$J$4:$AH$19,16,FALSE),"")</f>
        <v/>
      </c>
      <c r="AB2245" s="81">
        <f>IFERROR(HLOOKUP(K2245,データについて!$J$5:$AH$20,14,FALSE),"")</f>
        <v>4</v>
      </c>
      <c r="AC2245" s="81">
        <f>IF(X2245=1,HLOOKUP(R2245,データについて!$J$12:$M$18,7,FALSE),"*")</f>
        <v>2</v>
      </c>
      <c r="AD2245" s="81" t="str">
        <f>IF(X2245=2,HLOOKUP(R2245,データについて!$J$12:$M$18,7,FALSE),"*")</f>
        <v>*</v>
      </c>
    </row>
    <row r="2246" spans="1:30">
      <c r="A2246" s="30">
        <v>2946</v>
      </c>
      <c r="B2246" s="30" t="s">
        <v>2497</v>
      </c>
      <c r="C2246" s="30" t="s">
        <v>2498</v>
      </c>
      <c r="D2246" s="30" t="s">
        <v>106</v>
      </c>
      <c r="E2246" s="30"/>
      <c r="F2246" s="30" t="s">
        <v>107</v>
      </c>
      <c r="G2246" s="30" t="s">
        <v>106</v>
      </c>
      <c r="H2246" s="30"/>
      <c r="I2246" s="30" t="s">
        <v>191</v>
      </c>
      <c r="J2246" s="30"/>
      <c r="K2246" s="30" t="s">
        <v>2463</v>
      </c>
      <c r="L2246" s="30" t="s">
        <v>117</v>
      </c>
      <c r="M2246" s="30" t="s">
        <v>109</v>
      </c>
      <c r="N2246" s="30" t="s">
        <v>119</v>
      </c>
      <c r="O2246" s="30" t="s">
        <v>115</v>
      </c>
      <c r="P2246" s="30" t="s">
        <v>112</v>
      </c>
      <c r="Q2246" s="30" t="s">
        <v>112</v>
      </c>
      <c r="R2246" s="30" t="s">
        <v>187</v>
      </c>
      <c r="S2246" s="81">
        <f>HLOOKUP(L2246,データについて!$J$6:$M$18,13,FALSE)</f>
        <v>2</v>
      </c>
      <c r="T2246" s="81">
        <f>HLOOKUP(M2246,データについて!$J$7:$M$18,12,FALSE)</f>
        <v>2</v>
      </c>
      <c r="U2246" s="81">
        <f>HLOOKUP(N2246,データについて!$J$8:$M$18,11,FALSE)</f>
        <v>4</v>
      </c>
      <c r="V2246" s="81">
        <f>HLOOKUP(O2246,データについて!$J$9:$M$18,10,FALSE)</f>
        <v>1</v>
      </c>
      <c r="W2246" s="81">
        <f>HLOOKUP(P2246,データについて!$J$10:$M$18,9,FALSE)</f>
        <v>1</v>
      </c>
      <c r="X2246" s="81">
        <f>HLOOKUP(Q2246,データについて!$J$11:$M$18,8,FALSE)</f>
        <v>1</v>
      </c>
      <c r="Y2246" s="81">
        <f>HLOOKUP(R2246,データについて!$J$12:$M$18,7,FALSE)</f>
        <v>3</v>
      </c>
      <c r="Z2246" s="81">
        <f>HLOOKUP(I2246,データについて!$J$3:$M$18,16,FALSE)</f>
        <v>2</v>
      </c>
      <c r="AA2246" s="81" t="str">
        <f>IFERROR(HLOOKUP(J2246,データについて!$J$4:$AH$19,16,FALSE),"")</f>
        <v/>
      </c>
      <c r="AB2246" s="81">
        <f>IFERROR(HLOOKUP(K2246,データについて!$J$5:$AH$20,14,FALSE),"")</f>
        <v>4</v>
      </c>
      <c r="AC2246" s="81">
        <f>IF(X2246=1,HLOOKUP(R2246,データについて!$J$12:$M$18,7,FALSE),"*")</f>
        <v>3</v>
      </c>
      <c r="AD2246" s="81" t="str">
        <f>IF(X2246=2,HLOOKUP(R2246,データについて!$J$12:$M$18,7,FALSE),"*")</f>
        <v>*</v>
      </c>
    </row>
    <row r="2247" spans="1:30">
      <c r="A2247" s="30">
        <v>2945</v>
      </c>
      <c r="B2247" s="30" t="s">
        <v>2499</v>
      </c>
      <c r="C2247" s="30" t="s">
        <v>2500</v>
      </c>
      <c r="D2247" s="30" t="s">
        <v>106</v>
      </c>
      <c r="E2247" s="30"/>
      <c r="F2247" s="30" t="s">
        <v>107</v>
      </c>
      <c r="G2247" s="30" t="s">
        <v>106</v>
      </c>
      <c r="H2247" s="30"/>
      <c r="I2247" s="30" t="s">
        <v>191</v>
      </c>
      <c r="J2247" s="30"/>
      <c r="K2247" s="30" t="s">
        <v>2463</v>
      </c>
      <c r="L2247" s="30" t="s">
        <v>117</v>
      </c>
      <c r="M2247" s="30" t="s">
        <v>113</v>
      </c>
      <c r="N2247" s="30" t="s">
        <v>110</v>
      </c>
      <c r="O2247" s="30" t="s">
        <v>115</v>
      </c>
      <c r="P2247" s="30" t="s">
        <v>112</v>
      </c>
      <c r="Q2247" s="30" t="s">
        <v>118</v>
      </c>
      <c r="R2247" s="30" t="s">
        <v>187</v>
      </c>
      <c r="S2247" s="81">
        <f>HLOOKUP(L2247,データについて!$J$6:$M$18,13,FALSE)</f>
        <v>2</v>
      </c>
      <c r="T2247" s="81">
        <f>HLOOKUP(M2247,データについて!$J$7:$M$18,12,FALSE)</f>
        <v>1</v>
      </c>
      <c r="U2247" s="81">
        <f>HLOOKUP(N2247,データについて!$J$8:$M$18,11,FALSE)</f>
        <v>2</v>
      </c>
      <c r="V2247" s="81">
        <f>HLOOKUP(O2247,データについて!$J$9:$M$18,10,FALSE)</f>
        <v>1</v>
      </c>
      <c r="W2247" s="81">
        <f>HLOOKUP(P2247,データについて!$J$10:$M$18,9,FALSE)</f>
        <v>1</v>
      </c>
      <c r="X2247" s="81">
        <f>HLOOKUP(Q2247,データについて!$J$11:$M$18,8,FALSE)</f>
        <v>2</v>
      </c>
      <c r="Y2247" s="81">
        <f>HLOOKUP(R2247,データについて!$J$12:$M$18,7,FALSE)</f>
        <v>3</v>
      </c>
      <c r="Z2247" s="81">
        <f>HLOOKUP(I2247,データについて!$J$3:$M$18,16,FALSE)</f>
        <v>2</v>
      </c>
      <c r="AA2247" s="81" t="str">
        <f>IFERROR(HLOOKUP(J2247,データについて!$J$4:$AH$19,16,FALSE),"")</f>
        <v/>
      </c>
      <c r="AB2247" s="81">
        <f>IFERROR(HLOOKUP(K2247,データについて!$J$5:$AH$20,14,FALSE),"")</f>
        <v>4</v>
      </c>
      <c r="AC2247" s="81" t="str">
        <f>IF(X2247=1,HLOOKUP(R2247,データについて!$J$12:$M$18,7,FALSE),"*")</f>
        <v>*</v>
      </c>
      <c r="AD2247" s="81">
        <f>IF(X2247=2,HLOOKUP(R2247,データについて!$J$12:$M$18,7,FALSE),"*")</f>
        <v>3</v>
      </c>
    </row>
    <row r="2248" spans="1:30">
      <c r="A2248" s="30">
        <v>2944</v>
      </c>
      <c r="B2248" s="30" t="s">
        <v>2501</v>
      </c>
      <c r="C2248" s="30" t="s">
        <v>2500</v>
      </c>
      <c r="D2248" s="30" t="s">
        <v>106</v>
      </c>
      <c r="E2248" s="30"/>
      <c r="F2248" s="30" t="s">
        <v>107</v>
      </c>
      <c r="G2248" s="30" t="s">
        <v>106</v>
      </c>
      <c r="H2248" s="30"/>
      <c r="I2248" s="30" t="s">
        <v>191</v>
      </c>
      <c r="J2248" s="30"/>
      <c r="K2248" s="30" t="s">
        <v>2463</v>
      </c>
      <c r="L2248" s="30" t="s">
        <v>117</v>
      </c>
      <c r="M2248" s="30" t="s">
        <v>113</v>
      </c>
      <c r="N2248" s="30" t="s">
        <v>110</v>
      </c>
      <c r="O2248" s="30" t="s">
        <v>115</v>
      </c>
      <c r="P2248" s="30" t="s">
        <v>112</v>
      </c>
      <c r="Q2248" s="30" t="s">
        <v>118</v>
      </c>
      <c r="R2248" s="30" t="s">
        <v>187</v>
      </c>
      <c r="S2248" s="81">
        <f>HLOOKUP(L2248,データについて!$J$6:$M$18,13,FALSE)</f>
        <v>2</v>
      </c>
      <c r="T2248" s="81">
        <f>HLOOKUP(M2248,データについて!$J$7:$M$18,12,FALSE)</f>
        <v>1</v>
      </c>
      <c r="U2248" s="81">
        <f>HLOOKUP(N2248,データについて!$J$8:$M$18,11,FALSE)</f>
        <v>2</v>
      </c>
      <c r="V2248" s="81">
        <f>HLOOKUP(O2248,データについて!$J$9:$M$18,10,FALSE)</f>
        <v>1</v>
      </c>
      <c r="W2248" s="81">
        <f>HLOOKUP(P2248,データについて!$J$10:$M$18,9,FALSE)</f>
        <v>1</v>
      </c>
      <c r="X2248" s="81">
        <f>HLOOKUP(Q2248,データについて!$J$11:$M$18,8,FALSE)</f>
        <v>2</v>
      </c>
      <c r="Y2248" s="81">
        <f>HLOOKUP(R2248,データについて!$J$12:$M$18,7,FALSE)</f>
        <v>3</v>
      </c>
      <c r="Z2248" s="81">
        <f>HLOOKUP(I2248,データについて!$J$3:$M$18,16,FALSE)</f>
        <v>2</v>
      </c>
      <c r="AA2248" s="81" t="str">
        <f>IFERROR(HLOOKUP(J2248,データについて!$J$4:$AH$19,16,FALSE),"")</f>
        <v/>
      </c>
      <c r="AB2248" s="81">
        <f>IFERROR(HLOOKUP(K2248,データについて!$J$5:$AH$20,14,FALSE),"")</f>
        <v>4</v>
      </c>
      <c r="AC2248" s="81" t="str">
        <f>IF(X2248=1,HLOOKUP(R2248,データについて!$J$12:$M$18,7,FALSE),"*")</f>
        <v>*</v>
      </c>
      <c r="AD2248" s="81">
        <f>IF(X2248=2,HLOOKUP(R2248,データについて!$J$12:$M$18,7,FALSE),"*")</f>
        <v>3</v>
      </c>
    </row>
    <row r="2249" spans="1:30">
      <c r="A2249" s="30">
        <v>2943</v>
      </c>
      <c r="B2249" s="30" t="s">
        <v>2502</v>
      </c>
      <c r="C2249" s="30" t="s">
        <v>2503</v>
      </c>
      <c r="D2249" s="30" t="s">
        <v>106</v>
      </c>
      <c r="E2249" s="30"/>
      <c r="F2249" s="30" t="s">
        <v>107</v>
      </c>
      <c r="G2249" s="30" t="s">
        <v>106</v>
      </c>
      <c r="H2249" s="30"/>
      <c r="I2249" s="30" t="s">
        <v>191</v>
      </c>
      <c r="J2249" s="30"/>
      <c r="K2249" s="30" t="s">
        <v>2463</v>
      </c>
      <c r="L2249" s="30" t="s">
        <v>117</v>
      </c>
      <c r="M2249" s="30" t="s">
        <v>124</v>
      </c>
      <c r="N2249" s="30" t="s">
        <v>119</v>
      </c>
      <c r="O2249" s="30" t="s">
        <v>115</v>
      </c>
      <c r="P2249" s="30" t="s">
        <v>112</v>
      </c>
      <c r="Q2249" s="30" t="s">
        <v>112</v>
      </c>
      <c r="R2249" s="30" t="s">
        <v>189</v>
      </c>
      <c r="S2249" s="81">
        <f>HLOOKUP(L2249,データについて!$J$6:$M$18,13,FALSE)</f>
        <v>2</v>
      </c>
      <c r="T2249" s="81">
        <f>HLOOKUP(M2249,データについて!$J$7:$M$18,12,FALSE)</f>
        <v>3</v>
      </c>
      <c r="U2249" s="81">
        <f>HLOOKUP(N2249,データについて!$J$8:$M$18,11,FALSE)</f>
        <v>4</v>
      </c>
      <c r="V2249" s="81">
        <f>HLOOKUP(O2249,データについて!$J$9:$M$18,10,FALSE)</f>
        <v>1</v>
      </c>
      <c r="W2249" s="81">
        <f>HLOOKUP(P2249,データについて!$J$10:$M$18,9,FALSE)</f>
        <v>1</v>
      </c>
      <c r="X2249" s="81">
        <f>HLOOKUP(Q2249,データについて!$J$11:$M$18,8,FALSE)</f>
        <v>1</v>
      </c>
      <c r="Y2249" s="81">
        <f>HLOOKUP(R2249,データについて!$J$12:$M$18,7,FALSE)</f>
        <v>4</v>
      </c>
      <c r="Z2249" s="81">
        <f>HLOOKUP(I2249,データについて!$J$3:$M$18,16,FALSE)</f>
        <v>2</v>
      </c>
      <c r="AA2249" s="81" t="str">
        <f>IFERROR(HLOOKUP(J2249,データについて!$J$4:$AH$19,16,FALSE),"")</f>
        <v/>
      </c>
      <c r="AB2249" s="81">
        <f>IFERROR(HLOOKUP(K2249,データについて!$J$5:$AH$20,14,FALSE),"")</f>
        <v>4</v>
      </c>
      <c r="AC2249" s="81">
        <f>IF(X2249=1,HLOOKUP(R2249,データについて!$J$12:$M$18,7,FALSE),"*")</f>
        <v>4</v>
      </c>
      <c r="AD2249" s="81" t="str">
        <f>IF(X2249=2,HLOOKUP(R2249,データについて!$J$12:$M$18,7,FALSE),"*")</f>
        <v>*</v>
      </c>
    </row>
    <row r="2250" spans="1:30">
      <c r="A2250" s="30">
        <v>2942</v>
      </c>
      <c r="B2250" s="30" t="s">
        <v>2504</v>
      </c>
      <c r="C2250" s="30" t="s">
        <v>2505</v>
      </c>
      <c r="D2250" s="30" t="s">
        <v>106</v>
      </c>
      <c r="E2250" s="30"/>
      <c r="F2250" s="30" t="s">
        <v>107</v>
      </c>
      <c r="G2250" s="30" t="s">
        <v>106</v>
      </c>
      <c r="H2250" s="30"/>
      <c r="I2250" s="30" t="s">
        <v>191</v>
      </c>
      <c r="J2250" s="30"/>
      <c r="K2250" s="30" t="s">
        <v>2463</v>
      </c>
      <c r="L2250" s="30" t="s">
        <v>117</v>
      </c>
      <c r="M2250" s="30" t="s">
        <v>124</v>
      </c>
      <c r="N2250" s="30" t="s">
        <v>110</v>
      </c>
      <c r="O2250" s="30" t="s">
        <v>115</v>
      </c>
      <c r="P2250" s="30" t="s">
        <v>112</v>
      </c>
      <c r="Q2250" s="30" t="s">
        <v>112</v>
      </c>
      <c r="R2250" s="30" t="s">
        <v>189</v>
      </c>
      <c r="S2250" s="81">
        <f>HLOOKUP(L2250,データについて!$J$6:$M$18,13,FALSE)</f>
        <v>2</v>
      </c>
      <c r="T2250" s="81">
        <f>HLOOKUP(M2250,データについて!$J$7:$M$18,12,FALSE)</f>
        <v>3</v>
      </c>
      <c r="U2250" s="81">
        <f>HLOOKUP(N2250,データについて!$J$8:$M$18,11,FALSE)</f>
        <v>2</v>
      </c>
      <c r="V2250" s="81">
        <f>HLOOKUP(O2250,データについて!$J$9:$M$18,10,FALSE)</f>
        <v>1</v>
      </c>
      <c r="W2250" s="81">
        <f>HLOOKUP(P2250,データについて!$J$10:$M$18,9,FALSE)</f>
        <v>1</v>
      </c>
      <c r="X2250" s="81">
        <f>HLOOKUP(Q2250,データについて!$J$11:$M$18,8,FALSE)</f>
        <v>1</v>
      </c>
      <c r="Y2250" s="81">
        <f>HLOOKUP(R2250,データについて!$J$12:$M$18,7,FALSE)</f>
        <v>4</v>
      </c>
      <c r="Z2250" s="81">
        <f>HLOOKUP(I2250,データについて!$J$3:$M$18,16,FALSE)</f>
        <v>2</v>
      </c>
      <c r="AA2250" s="81" t="str">
        <f>IFERROR(HLOOKUP(J2250,データについて!$J$4:$AH$19,16,FALSE),"")</f>
        <v/>
      </c>
      <c r="AB2250" s="81">
        <f>IFERROR(HLOOKUP(K2250,データについて!$J$5:$AH$20,14,FALSE),"")</f>
        <v>4</v>
      </c>
      <c r="AC2250" s="81">
        <f>IF(X2250=1,HLOOKUP(R2250,データについて!$J$12:$M$18,7,FALSE),"*")</f>
        <v>4</v>
      </c>
      <c r="AD2250" s="81" t="str">
        <f>IF(X2250=2,HLOOKUP(R2250,データについて!$J$12:$M$18,7,FALSE),"*")</f>
        <v>*</v>
      </c>
    </row>
    <row r="2251" spans="1:30">
      <c r="A2251" s="30">
        <v>2941</v>
      </c>
      <c r="B2251" s="30" t="s">
        <v>2506</v>
      </c>
      <c r="C2251" s="30" t="s">
        <v>2507</v>
      </c>
      <c r="D2251" s="30" t="s">
        <v>106</v>
      </c>
      <c r="E2251" s="30"/>
      <c r="F2251" s="30" t="s">
        <v>107</v>
      </c>
      <c r="G2251" s="30" t="s">
        <v>106</v>
      </c>
      <c r="H2251" s="30"/>
      <c r="I2251" s="30" t="s">
        <v>191</v>
      </c>
      <c r="J2251" s="30"/>
      <c r="K2251" s="30" t="s">
        <v>2463</v>
      </c>
      <c r="L2251" s="30" t="s">
        <v>117</v>
      </c>
      <c r="M2251" s="30" t="s">
        <v>109</v>
      </c>
      <c r="N2251" s="30" t="s">
        <v>110</v>
      </c>
      <c r="O2251" s="30" t="s">
        <v>115</v>
      </c>
      <c r="P2251" s="30" t="s">
        <v>112</v>
      </c>
      <c r="Q2251" s="30" t="s">
        <v>112</v>
      </c>
      <c r="R2251" s="30" t="s">
        <v>185</v>
      </c>
      <c r="S2251" s="81">
        <f>HLOOKUP(L2251,データについて!$J$6:$M$18,13,FALSE)</f>
        <v>2</v>
      </c>
      <c r="T2251" s="81">
        <f>HLOOKUP(M2251,データについて!$J$7:$M$18,12,FALSE)</f>
        <v>2</v>
      </c>
      <c r="U2251" s="81">
        <f>HLOOKUP(N2251,データについて!$J$8:$M$18,11,FALSE)</f>
        <v>2</v>
      </c>
      <c r="V2251" s="81">
        <f>HLOOKUP(O2251,データについて!$J$9:$M$18,10,FALSE)</f>
        <v>1</v>
      </c>
      <c r="W2251" s="81">
        <f>HLOOKUP(P2251,データについて!$J$10:$M$18,9,FALSE)</f>
        <v>1</v>
      </c>
      <c r="X2251" s="81">
        <f>HLOOKUP(Q2251,データについて!$J$11:$M$18,8,FALSE)</f>
        <v>1</v>
      </c>
      <c r="Y2251" s="81">
        <f>HLOOKUP(R2251,データについて!$J$12:$M$18,7,FALSE)</f>
        <v>2</v>
      </c>
      <c r="Z2251" s="81">
        <f>HLOOKUP(I2251,データについて!$J$3:$M$18,16,FALSE)</f>
        <v>2</v>
      </c>
      <c r="AA2251" s="81" t="str">
        <f>IFERROR(HLOOKUP(J2251,データについて!$J$4:$AH$19,16,FALSE),"")</f>
        <v/>
      </c>
      <c r="AB2251" s="81">
        <f>IFERROR(HLOOKUP(K2251,データについて!$J$5:$AH$20,14,FALSE),"")</f>
        <v>4</v>
      </c>
      <c r="AC2251" s="81">
        <f>IF(X2251=1,HLOOKUP(R2251,データについて!$J$12:$M$18,7,FALSE),"*")</f>
        <v>2</v>
      </c>
      <c r="AD2251" s="81" t="str">
        <f>IF(X2251=2,HLOOKUP(R2251,データについて!$J$12:$M$18,7,FALSE),"*")</f>
        <v>*</v>
      </c>
    </row>
    <row r="2252" spans="1:30">
      <c r="A2252" s="30">
        <v>2940</v>
      </c>
      <c r="B2252" s="30" t="s">
        <v>2508</v>
      </c>
      <c r="C2252" s="30" t="s">
        <v>2509</v>
      </c>
      <c r="D2252" s="30" t="s">
        <v>106</v>
      </c>
      <c r="E2252" s="30"/>
      <c r="F2252" s="30" t="s">
        <v>107</v>
      </c>
      <c r="G2252" s="30" t="s">
        <v>106</v>
      </c>
      <c r="H2252" s="30"/>
      <c r="I2252" s="30" t="s">
        <v>191</v>
      </c>
      <c r="J2252" s="30"/>
      <c r="K2252" s="30" t="s">
        <v>2463</v>
      </c>
      <c r="L2252" s="30" t="s">
        <v>117</v>
      </c>
      <c r="M2252" s="30" t="s">
        <v>124</v>
      </c>
      <c r="N2252" s="30" t="s">
        <v>122</v>
      </c>
      <c r="O2252" s="30" t="s">
        <v>115</v>
      </c>
      <c r="P2252" s="30" t="s">
        <v>112</v>
      </c>
      <c r="Q2252" s="30" t="s">
        <v>112</v>
      </c>
      <c r="R2252" s="30" t="s">
        <v>189</v>
      </c>
      <c r="S2252" s="81">
        <f>HLOOKUP(L2252,データについて!$J$6:$M$18,13,FALSE)</f>
        <v>2</v>
      </c>
      <c r="T2252" s="81">
        <f>HLOOKUP(M2252,データについて!$J$7:$M$18,12,FALSE)</f>
        <v>3</v>
      </c>
      <c r="U2252" s="81">
        <f>HLOOKUP(N2252,データについて!$J$8:$M$18,11,FALSE)</f>
        <v>3</v>
      </c>
      <c r="V2252" s="81">
        <f>HLOOKUP(O2252,データについて!$J$9:$M$18,10,FALSE)</f>
        <v>1</v>
      </c>
      <c r="W2252" s="81">
        <f>HLOOKUP(P2252,データについて!$J$10:$M$18,9,FALSE)</f>
        <v>1</v>
      </c>
      <c r="X2252" s="81">
        <f>HLOOKUP(Q2252,データについて!$J$11:$M$18,8,FALSE)</f>
        <v>1</v>
      </c>
      <c r="Y2252" s="81">
        <f>HLOOKUP(R2252,データについて!$J$12:$M$18,7,FALSE)</f>
        <v>4</v>
      </c>
      <c r="Z2252" s="81">
        <f>HLOOKUP(I2252,データについて!$J$3:$M$18,16,FALSE)</f>
        <v>2</v>
      </c>
      <c r="AA2252" s="81" t="str">
        <f>IFERROR(HLOOKUP(J2252,データについて!$J$4:$AH$19,16,FALSE),"")</f>
        <v/>
      </c>
      <c r="AB2252" s="81">
        <f>IFERROR(HLOOKUP(K2252,データについて!$J$5:$AH$20,14,FALSE),"")</f>
        <v>4</v>
      </c>
      <c r="AC2252" s="81">
        <f>IF(X2252=1,HLOOKUP(R2252,データについて!$J$12:$M$18,7,FALSE),"*")</f>
        <v>4</v>
      </c>
      <c r="AD2252" s="81" t="str">
        <f>IF(X2252=2,HLOOKUP(R2252,データについて!$J$12:$M$18,7,FALSE),"*")</f>
        <v>*</v>
      </c>
    </row>
    <row r="2253" spans="1:30">
      <c r="A2253" s="30">
        <v>2939</v>
      </c>
      <c r="B2253" s="30" t="s">
        <v>2510</v>
      </c>
      <c r="C2253" s="30" t="s">
        <v>2511</v>
      </c>
      <c r="D2253" s="30" t="s">
        <v>106</v>
      </c>
      <c r="E2253" s="30"/>
      <c r="F2253" s="30" t="s">
        <v>107</v>
      </c>
      <c r="G2253" s="30" t="s">
        <v>106</v>
      </c>
      <c r="H2253" s="30"/>
      <c r="I2253" s="30" t="s">
        <v>191</v>
      </c>
      <c r="J2253" s="30"/>
      <c r="K2253" s="30" t="s">
        <v>2463</v>
      </c>
      <c r="L2253" s="30" t="s">
        <v>117</v>
      </c>
      <c r="M2253" s="30" t="s">
        <v>113</v>
      </c>
      <c r="N2253" s="30" t="s">
        <v>110</v>
      </c>
      <c r="O2253" s="30" t="s">
        <v>115</v>
      </c>
      <c r="P2253" s="30" t="s">
        <v>112</v>
      </c>
      <c r="Q2253" s="30" t="s">
        <v>112</v>
      </c>
      <c r="R2253" s="30" t="s">
        <v>185</v>
      </c>
      <c r="S2253" s="81">
        <f>HLOOKUP(L2253,データについて!$J$6:$M$18,13,FALSE)</f>
        <v>2</v>
      </c>
      <c r="T2253" s="81">
        <f>HLOOKUP(M2253,データについて!$J$7:$M$18,12,FALSE)</f>
        <v>1</v>
      </c>
      <c r="U2253" s="81">
        <f>HLOOKUP(N2253,データについて!$J$8:$M$18,11,FALSE)</f>
        <v>2</v>
      </c>
      <c r="V2253" s="81">
        <f>HLOOKUP(O2253,データについて!$J$9:$M$18,10,FALSE)</f>
        <v>1</v>
      </c>
      <c r="W2253" s="81">
        <f>HLOOKUP(P2253,データについて!$J$10:$M$18,9,FALSE)</f>
        <v>1</v>
      </c>
      <c r="X2253" s="81">
        <f>HLOOKUP(Q2253,データについて!$J$11:$M$18,8,FALSE)</f>
        <v>1</v>
      </c>
      <c r="Y2253" s="81">
        <f>HLOOKUP(R2253,データについて!$J$12:$M$18,7,FALSE)</f>
        <v>2</v>
      </c>
      <c r="Z2253" s="81">
        <f>HLOOKUP(I2253,データについて!$J$3:$M$18,16,FALSE)</f>
        <v>2</v>
      </c>
      <c r="AA2253" s="81" t="str">
        <f>IFERROR(HLOOKUP(J2253,データについて!$J$4:$AH$19,16,FALSE),"")</f>
        <v/>
      </c>
      <c r="AB2253" s="81">
        <f>IFERROR(HLOOKUP(K2253,データについて!$J$5:$AH$20,14,FALSE),"")</f>
        <v>4</v>
      </c>
      <c r="AC2253" s="81">
        <f>IF(X2253=1,HLOOKUP(R2253,データについて!$J$12:$M$18,7,FALSE),"*")</f>
        <v>2</v>
      </c>
      <c r="AD2253" s="81" t="str">
        <f>IF(X2253=2,HLOOKUP(R2253,データについて!$J$12:$M$18,7,FALSE),"*")</f>
        <v>*</v>
      </c>
    </row>
    <row r="2254" spans="1:30">
      <c r="A2254" s="30">
        <v>2938</v>
      </c>
      <c r="B2254" s="30" t="s">
        <v>2512</v>
      </c>
      <c r="C2254" s="30" t="s">
        <v>2513</v>
      </c>
      <c r="D2254" s="30" t="s">
        <v>106</v>
      </c>
      <c r="E2254" s="30"/>
      <c r="F2254" s="30" t="s">
        <v>107</v>
      </c>
      <c r="G2254" s="30" t="s">
        <v>106</v>
      </c>
      <c r="H2254" s="30"/>
      <c r="I2254" s="30" t="s">
        <v>191</v>
      </c>
      <c r="J2254" s="30"/>
      <c r="K2254" s="30" t="s">
        <v>2463</v>
      </c>
      <c r="L2254" s="30" t="s">
        <v>117</v>
      </c>
      <c r="M2254" s="30" t="s">
        <v>113</v>
      </c>
      <c r="N2254" s="30" t="s">
        <v>110</v>
      </c>
      <c r="O2254" s="30" t="s">
        <v>115</v>
      </c>
      <c r="P2254" s="30" t="s">
        <v>112</v>
      </c>
      <c r="Q2254" s="30" t="s">
        <v>112</v>
      </c>
      <c r="R2254" s="30" t="s">
        <v>185</v>
      </c>
      <c r="S2254" s="81">
        <f>HLOOKUP(L2254,データについて!$J$6:$M$18,13,FALSE)</f>
        <v>2</v>
      </c>
      <c r="T2254" s="81">
        <f>HLOOKUP(M2254,データについて!$J$7:$M$18,12,FALSE)</f>
        <v>1</v>
      </c>
      <c r="U2254" s="81">
        <f>HLOOKUP(N2254,データについて!$J$8:$M$18,11,FALSE)</f>
        <v>2</v>
      </c>
      <c r="V2254" s="81">
        <f>HLOOKUP(O2254,データについて!$J$9:$M$18,10,FALSE)</f>
        <v>1</v>
      </c>
      <c r="W2254" s="81">
        <f>HLOOKUP(P2254,データについて!$J$10:$M$18,9,FALSE)</f>
        <v>1</v>
      </c>
      <c r="X2254" s="81">
        <f>HLOOKUP(Q2254,データについて!$J$11:$M$18,8,FALSE)</f>
        <v>1</v>
      </c>
      <c r="Y2254" s="81">
        <f>HLOOKUP(R2254,データについて!$J$12:$M$18,7,FALSE)</f>
        <v>2</v>
      </c>
      <c r="Z2254" s="81">
        <f>HLOOKUP(I2254,データについて!$J$3:$M$18,16,FALSE)</f>
        <v>2</v>
      </c>
      <c r="AA2254" s="81" t="str">
        <f>IFERROR(HLOOKUP(J2254,データについて!$J$4:$AH$19,16,FALSE),"")</f>
        <v/>
      </c>
      <c r="AB2254" s="81">
        <f>IFERROR(HLOOKUP(K2254,データについて!$J$5:$AH$20,14,FALSE),"")</f>
        <v>4</v>
      </c>
      <c r="AC2254" s="81">
        <f>IF(X2254=1,HLOOKUP(R2254,データについて!$J$12:$M$18,7,FALSE),"*")</f>
        <v>2</v>
      </c>
      <c r="AD2254" s="81" t="str">
        <f>IF(X2254=2,HLOOKUP(R2254,データについて!$J$12:$M$18,7,FALSE),"*")</f>
        <v>*</v>
      </c>
    </row>
    <row r="2255" spans="1:30">
      <c r="A2255" s="30">
        <v>2937</v>
      </c>
      <c r="B2255" s="30" t="s">
        <v>2514</v>
      </c>
      <c r="C2255" s="30" t="s">
        <v>2515</v>
      </c>
      <c r="D2255" s="30" t="s">
        <v>106</v>
      </c>
      <c r="E2255" s="30"/>
      <c r="F2255" s="30" t="s">
        <v>107</v>
      </c>
      <c r="G2255" s="30" t="s">
        <v>106</v>
      </c>
      <c r="H2255" s="30"/>
      <c r="I2255" s="30" t="s">
        <v>191</v>
      </c>
      <c r="J2255" s="30"/>
      <c r="K2255" s="30" t="s">
        <v>2463</v>
      </c>
      <c r="L2255" s="30" t="s">
        <v>117</v>
      </c>
      <c r="M2255" s="30" t="s">
        <v>113</v>
      </c>
      <c r="N2255" s="30" t="s">
        <v>114</v>
      </c>
      <c r="O2255" s="30" t="s">
        <v>115</v>
      </c>
      <c r="P2255" s="30" t="s">
        <v>112</v>
      </c>
      <c r="Q2255" s="30" t="s">
        <v>112</v>
      </c>
      <c r="R2255" s="30" t="s">
        <v>183</v>
      </c>
      <c r="S2255" s="81">
        <f>HLOOKUP(L2255,データについて!$J$6:$M$18,13,FALSE)</f>
        <v>2</v>
      </c>
      <c r="T2255" s="81">
        <f>HLOOKUP(M2255,データについて!$J$7:$M$18,12,FALSE)</f>
        <v>1</v>
      </c>
      <c r="U2255" s="81">
        <f>HLOOKUP(N2255,データについて!$J$8:$M$18,11,FALSE)</f>
        <v>1</v>
      </c>
      <c r="V2255" s="81">
        <f>HLOOKUP(O2255,データについて!$J$9:$M$18,10,FALSE)</f>
        <v>1</v>
      </c>
      <c r="W2255" s="81">
        <f>HLOOKUP(P2255,データについて!$J$10:$M$18,9,FALSE)</f>
        <v>1</v>
      </c>
      <c r="X2255" s="81">
        <f>HLOOKUP(Q2255,データについて!$J$11:$M$18,8,FALSE)</f>
        <v>1</v>
      </c>
      <c r="Y2255" s="81">
        <f>HLOOKUP(R2255,データについて!$J$12:$M$18,7,FALSE)</f>
        <v>1</v>
      </c>
      <c r="Z2255" s="81">
        <f>HLOOKUP(I2255,データについて!$J$3:$M$18,16,FALSE)</f>
        <v>2</v>
      </c>
      <c r="AA2255" s="81" t="str">
        <f>IFERROR(HLOOKUP(J2255,データについて!$J$4:$AH$19,16,FALSE),"")</f>
        <v/>
      </c>
      <c r="AB2255" s="81">
        <f>IFERROR(HLOOKUP(K2255,データについて!$J$5:$AH$20,14,FALSE),"")</f>
        <v>4</v>
      </c>
      <c r="AC2255" s="81">
        <f>IF(X2255=1,HLOOKUP(R2255,データについて!$J$12:$M$18,7,FALSE),"*")</f>
        <v>1</v>
      </c>
      <c r="AD2255" s="81" t="str">
        <f>IF(X2255=2,HLOOKUP(R2255,データについて!$J$12:$M$18,7,FALSE),"*")</f>
        <v>*</v>
      </c>
    </row>
    <row r="2256" spans="1:30">
      <c r="A2256" s="30">
        <v>2936</v>
      </c>
      <c r="B2256" s="30" t="s">
        <v>2516</v>
      </c>
      <c r="C2256" s="30" t="s">
        <v>2517</v>
      </c>
      <c r="D2256" s="30" t="s">
        <v>106</v>
      </c>
      <c r="E2256" s="30"/>
      <c r="F2256" s="30" t="s">
        <v>107</v>
      </c>
      <c r="G2256" s="30" t="s">
        <v>106</v>
      </c>
      <c r="H2256" s="30"/>
      <c r="I2256" s="30" t="s">
        <v>191</v>
      </c>
      <c r="J2256" s="30"/>
      <c r="K2256" s="30" t="s">
        <v>2463</v>
      </c>
      <c r="L2256" s="30" t="s">
        <v>117</v>
      </c>
      <c r="M2256" s="30" t="s">
        <v>113</v>
      </c>
      <c r="N2256" s="30" t="s">
        <v>122</v>
      </c>
      <c r="O2256" s="30" t="s">
        <v>115</v>
      </c>
      <c r="P2256" s="30" t="s">
        <v>112</v>
      </c>
      <c r="Q2256" s="30" t="s">
        <v>112</v>
      </c>
      <c r="R2256" s="30" t="s">
        <v>187</v>
      </c>
      <c r="S2256" s="81">
        <f>HLOOKUP(L2256,データについて!$J$6:$M$18,13,FALSE)</f>
        <v>2</v>
      </c>
      <c r="T2256" s="81">
        <f>HLOOKUP(M2256,データについて!$J$7:$M$18,12,FALSE)</f>
        <v>1</v>
      </c>
      <c r="U2256" s="81">
        <f>HLOOKUP(N2256,データについて!$J$8:$M$18,11,FALSE)</f>
        <v>3</v>
      </c>
      <c r="V2256" s="81">
        <f>HLOOKUP(O2256,データについて!$J$9:$M$18,10,FALSE)</f>
        <v>1</v>
      </c>
      <c r="W2256" s="81">
        <f>HLOOKUP(P2256,データについて!$J$10:$M$18,9,FALSE)</f>
        <v>1</v>
      </c>
      <c r="X2256" s="81">
        <f>HLOOKUP(Q2256,データについて!$J$11:$M$18,8,FALSE)</f>
        <v>1</v>
      </c>
      <c r="Y2256" s="81">
        <f>HLOOKUP(R2256,データについて!$J$12:$M$18,7,FALSE)</f>
        <v>3</v>
      </c>
      <c r="Z2256" s="81">
        <f>HLOOKUP(I2256,データについて!$J$3:$M$18,16,FALSE)</f>
        <v>2</v>
      </c>
      <c r="AA2256" s="81" t="str">
        <f>IFERROR(HLOOKUP(J2256,データについて!$J$4:$AH$19,16,FALSE),"")</f>
        <v/>
      </c>
      <c r="AB2256" s="81">
        <f>IFERROR(HLOOKUP(K2256,データについて!$J$5:$AH$20,14,FALSE),"")</f>
        <v>4</v>
      </c>
      <c r="AC2256" s="81">
        <f>IF(X2256=1,HLOOKUP(R2256,データについて!$J$12:$M$18,7,FALSE),"*")</f>
        <v>3</v>
      </c>
      <c r="AD2256" s="81" t="str">
        <f>IF(X2256=2,HLOOKUP(R2256,データについて!$J$12:$M$18,7,FALSE),"*")</f>
        <v>*</v>
      </c>
    </row>
    <row r="2257" spans="1:30">
      <c r="A2257" s="30">
        <v>2935</v>
      </c>
      <c r="B2257" s="30" t="s">
        <v>2518</v>
      </c>
      <c r="C2257" s="30" t="s">
        <v>2519</v>
      </c>
      <c r="D2257" s="30" t="s">
        <v>106</v>
      </c>
      <c r="E2257" s="30"/>
      <c r="F2257" s="30" t="s">
        <v>107</v>
      </c>
      <c r="G2257" s="30" t="s">
        <v>106</v>
      </c>
      <c r="H2257" s="30"/>
      <c r="I2257" s="30" t="s">
        <v>191</v>
      </c>
      <c r="J2257" s="30"/>
      <c r="K2257" s="30" t="s">
        <v>2463</v>
      </c>
      <c r="L2257" s="30" t="s">
        <v>117</v>
      </c>
      <c r="M2257" s="30" t="s">
        <v>113</v>
      </c>
      <c r="N2257" s="30" t="s">
        <v>114</v>
      </c>
      <c r="O2257" s="30" t="s">
        <v>115</v>
      </c>
      <c r="P2257" s="30" t="s">
        <v>112</v>
      </c>
      <c r="Q2257" s="30" t="s">
        <v>112</v>
      </c>
      <c r="R2257" s="30" t="s">
        <v>183</v>
      </c>
      <c r="S2257" s="81">
        <f>HLOOKUP(L2257,データについて!$J$6:$M$18,13,FALSE)</f>
        <v>2</v>
      </c>
      <c r="T2257" s="81">
        <f>HLOOKUP(M2257,データについて!$J$7:$M$18,12,FALSE)</f>
        <v>1</v>
      </c>
      <c r="U2257" s="81">
        <f>HLOOKUP(N2257,データについて!$J$8:$M$18,11,FALSE)</f>
        <v>1</v>
      </c>
      <c r="V2257" s="81">
        <f>HLOOKUP(O2257,データについて!$J$9:$M$18,10,FALSE)</f>
        <v>1</v>
      </c>
      <c r="W2257" s="81">
        <f>HLOOKUP(P2257,データについて!$J$10:$M$18,9,FALSE)</f>
        <v>1</v>
      </c>
      <c r="X2257" s="81">
        <f>HLOOKUP(Q2257,データについて!$J$11:$M$18,8,FALSE)</f>
        <v>1</v>
      </c>
      <c r="Y2257" s="81">
        <f>HLOOKUP(R2257,データについて!$J$12:$M$18,7,FALSE)</f>
        <v>1</v>
      </c>
      <c r="Z2257" s="81">
        <f>HLOOKUP(I2257,データについて!$J$3:$M$18,16,FALSE)</f>
        <v>2</v>
      </c>
      <c r="AA2257" s="81" t="str">
        <f>IFERROR(HLOOKUP(J2257,データについて!$J$4:$AH$19,16,FALSE),"")</f>
        <v/>
      </c>
      <c r="AB2257" s="81">
        <f>IFERROR(HLOOKUP(K2257,データについて!$J$5:$AH$20,14,FALSE),"")</f>
        <v>4</v>
      </c>
      <c r="AC2257" s="81">
        <f>IF(X2257=1,HLOOKUP(R2257,データについて!$J$12:$M$18,7,FALSE),"*")</f>
        <v>1</v>
      </c>
      <c r="AD2257" s="81" t="str">
        <f>IF(X2257=2,HLOOKUP(R2257,データについて!$J$12:$M$18,7,FALSE),"*")</f>
        <v>*</v>
      </c>
    </row>
    <row r="2258" spans="1:30">
      <c r="A2258" s="30">
        <v>2934</v>
      </c>
      <c r="B2258" s="30" t="s">
        <v>2520</v>
      </c>
      <c r="C2258" s="30" t="s">
        <v>2521</v>
      </c>
      <c r="D2258" s="30" t="s">
        <v>106</v>
      </c>
      <c r="E2258" s="30"/>
      <c r="F2258" s="30" t="s">
        <v>107</v>
      </c>
      <c r="G2258" s="30" t="s">
        <v>106</v>
      </c>
      <c r="H2258" s="30"/>
      <c r="I2258" s="30" t="s">
        <v>192</v>
      </c>
      <c r="J2258" s="30" t="s">
        <v>942</v>
      </c>
      <c r="K2258" s="30"/>
      <c r="L2258" s="30" t="s">
        <v>108</v>
      </c>
      <c r="M2258" s="30" t="s">
        <v>113</v>
      </c>
      <c r="N2258" s="30" t="s">
        <v>114</v>
      </c>
      <c r="O2258" s="30" t="s">
        <v>115</v>
      </c>
      <c r="P2258" s="30" t="s">
        <v>112</v>
      </c>
      <c r="Q2258" s="30" t="s">
        <v>112</v>
      </c>
      <c r="R2258" s="30" t="s">
        <v>185</v>
      </c>
      <c r="S2258" s="81">
        <f>HLOOKUP(L2258,データについて!$J$6:$M$18,13,FALSE)</f>
        <v>1</v>
      </c>
      <c r="T2258" s="81">
        <f>HLOOKUP(M2258,データについて!$J$7:$M$18,12,FALSE)</f>
        <v>1</v>
      </c>
      <c r="U2258" s="81">
        <f>HLOOKUP(N2258,データについて!$J$8:$M$18,11,FALSE)</f>
        <v>1</v>
      </c>
      <c r="V2258" s="81">
        <f>HLOOKUP(O2258,データについて!$J$9:$M$18,10,FALSE)</f>
        <v>1</v>
      </c>
      <c r="W2258" s="81">
        <f>HLOOKUP(P2258,データについて!$J$10:$M$18,9,FALSE)</f>
        <v>1</v>
      </c>
      <c r="X2258" s="81">
        <f>HLOOKUP(Q2258,データについて!$J$11:$M$18,8,FALSE)</f>
        <v>1</v>
      </c>
      <c r="Y2258" s="81">
        <f>HLOOKUP(R2258,データについて!$J$12:$M$18,7,FALSE)</f>
        <v>2</v>
      </c>
      <c r="Z2258" s="81">
        <f>HLOOKUP(I2258,データについて!$J$3:$M$18,16,FALSE)</f>
        <v>1</v>
      </c>
      <c r="AA2258" s="81">
        <f>IFERROR(HLOOKUP(J2258,データについて!$J$4:$AH$19,16,FALSE),"")</f>
        <v>7</v>
      </c>
      <c r="AB2258" s="81" t="str">
        <f>IFERROR(HLOOKUP(K2258,データについて!$J$5:$AH$20,14,FALSE),"")</f>
        <v/>
      </c>
      <c r="AC2258" s="81">
        <f>IF(X2258=1,HLOOKUP(R2258,データについて!$J$12:$M$18,7,FALSE),"*")</f>
        <v>2</v>
      </c>
      <c r="AD2258" s="81" t="str">
        <f>IF(X2258=2,HLOOKUP(R2258,データについて!$J$12:$M$18,7,FALSE),"*")</f>
        <v>*</v>
      </c>
    </row>
    <row r="2259" spans="1:30">
      <c r="A2259" s="30">
        <v>2933</v>
      </c>
      <c r="B2259" s="30" t="s">
        <v>2522</v>
      </c>
      <c r="C2259" s="30" t="s">
        <v>2523</v>
      </c>
      <c r="D2259" s="30" t="s">
        <v>106</v>
      </c>
      <c r="E2259" s="30"/>
      <c r="F2259" s="30" t="s">
        <v>107</v>
      </c>
      <c r="G2259" s="30" t="s">
        <v>106</v>
      </c>
      <c r="H2259" s="30"/>
      <c r="I2259" s="30" t="s">
        <v>192</v>
      </c>
      <c r="J2259" s="30" t="s">
        <v>125</v>
      </c>
      <c r="K2259" s="30"/>
      <c r="L2259" s="30" t="s">
        <v>108</v>
      </c>
      <c r="M2259" s="30" t="s">
        <v>113</v>
      </c>
      <c r="N2259" s="30" t="s">
        <v>110</v>
      </c>
      <c r="O2259" s="30" t="s">
        <v>115</v>
      </c>
      <c r="P2259" s="30" t="s">
        <v>118</v>
      </c>
      <c r="Q2259" s="30" t="s">
        <v>112</v>
      </c>
      <c r="R2259" s="30" t="s">
        <v>185</v>
      </c>
      <c r="S2259" s="81">
        <f>HLOOKUP(L2259,データについて!$J$6:$M$18,13,FALSE)</f>
        <v>1</v>
      </c>
      <c r="T2259" s="81">
        <f>HLOOKUP(M2259,データについて!$J$7:$M$18,12,FALSE)</f>
        <v>1</v>
      </c>
      <c r="U2259" s="81">
        <f>HLOOKUP(N2259,データについて!$J$8:$M$18,11,FALSE)</f>
        <v>2</v>
      </c>
      <c r="V2259" s="81">
        <f>HLOOKUP(O2259,データについて!$J$9:$M$18,10,FALSE)</f>
        <v>1</v>
      </c>
      <c r="W2259" s="81">
        <f>HLOOKUP(P2259,データについて!$J$10:$M$18,9,FALSE)</f>
        <v>2</v>
      </c>
      <c r="X2259" s="81">
        <f>HLOOKUP(Q2259,データについて!$J$11:$M$18,8,FALSE)</f>
        <v>1</v>
      </c>
      <c r="Y2259" s="81">
        <f>HLOOKUP(R2259,データについて!$J$12:$M$18,7,FALSE)</f>
        <v>2</v>
      </c>
      <c r="Z2259" s="81">
        <f>HLOOKUP(I2259,データについて!$J$3:$M$18,16,FALSE)</f>
        <v>1</v>
      </c>
      <c r="AA2259" s="81">
        <f>IFERROR(HLOOKUP(J2259,データについて!$J$4:$AH$19,16,FALSE),"")</f>
        <v>6</v>
      </c>
      <c r="AB2259" s="81" t="str">
        <f>IFERROR(HLOOKUP(K2259,データについて!$J$5:$AH$20,14,FALSE),"")</f>
        <v/>
      </c>
      <c r="AC2259" s="81">
        <f>IF(X2259=1,HLOOKUP(R2259,データについて!$J$12:$M$18,7,FALSE),"*")</f>
        <v>2</v>
      </c>
      <c r="AD2259" s="81" t="str">
        <f>IF(X2259=2,HLOOKUP(R2259,データについて!$J$12:$M$18,7,FALSE),"*")</f>
        <v>*</v>
      </c>
    </row>
    <row r="2260" spans="1:30">
      <c r="A2260" s="30">
        <v>2932</v>
      </c>
      <c r="B2260" s="30" t="s">
        <v>2524</v>
      </c>
      <c r="C2260" s="30" t="s">
        <v>2525</v>
      </c>
      <c r="D2260" s="30" t="s">
        <v>106</v>
      </c>
      <c r="E2260" s="30"/>
      <c r="F2260" s="30" t="s">
        <v>107</v>
      </c>
      <c r="G2260" s="30" t="s">
        <v>106</v>
      </c>
      <c r="H2260" s="30"/>
      <c r="I2260" s="30" t="s">
        <v>192</v>
      </c>
      <c r="J2260" s="30" t="s">
        <v>2256</v>
      </c>
      <c r="K2260" s="30"/>
      <c r="L2260" s="30" t="s">
        <v>108</v>
      </c>
      <c r="M2260" s="30" t="s">
        <v>109</v>
      </c>
      <c r="N2260" s="30" t="s">
        <v>114</v>
      </c>
      <c r="O2260" s="30" t="s">
        <v>115</v>
      </c>
      <c r="P2260" s="30" t="s">
        <v>112</v>
      </c>
      <c r="Q2260" s="30" t="s">
        <v>112</v>
      </c>
      <c r="R2260" s="30" t="s">
        <v>185</v>
      </c>
      <c r="S2260" s="81">
        <f>HLOOKUP(L2260,データについて!$J$6:$M$18,13,FALSE)</f>
        <v>1</v>
      </c>
      <c r="T2260" s="81">
        <f>HLOOKUP(M2260,データについて!$J$7:$M$18,12,FALSE)</f>
        <v>2</v>
      </c>
      <c r="U2260" s="81">
        <f>HLOOKUP(N2260,データについて!$J$8:$M$18,11,FALSE)</f>
        <v>1</v>
      </c>
      <c r="V2260" s="81">
        <f>HLOOKUP(O2260,データについて!$J$9:$M$18,10,FALSE)</f>
        <v>1</v>
      </c>
      <c r="W2260" s="81">
        <f>HLOOKUP(P2260,データについて!$J$10:$M$18,9,FALSE)</f>
        <v>1</v>
      </c>
      <c r="X2260" s="81">
        <f>HLOOKUP(Q2260,データについて!$J$11:$M$18,8,FALSE)</f>
        <v>1</v>
      </c>
      <c r="Y2260" s="81">
        <f>HLOOKUP(R2260,データについて!$J$12:$M$18,7,FALSE)</f>
        <v>2</v>
      </c>
      <c r="Z2260" s="81">
        <f>HLOOKUP(I2260,データについて!$J$3:$M$18,16,FALSE)</f>
        <v>1</v>
      </c>
      <c r="AA2260" s="81">
        <f>IFERROR(HLOOKUP(J2260,データについて!$J$4:$AH$19,16,FALSE),"")</f>
        <v>13</v>
      </c>
      <c r="AB2260" s="81" t="str">
        <f>IFERROR(HLOOKUP(K2260,データについて!$J$5:$AH$20,14,FALSE),"")</f>
        <v/>
      </c>
      <c r="AC2260" s="81">
        <f>IF(X2260=1,HLOOKUP(R2260,データについて!$J$12:$M$18,7,FALSE),"*")</f>
        <v>2</v>
      </c>
      <c r="AD2260" s="81" t="str">
        <f>IF(X2260=2,HLOOKUP(R2260,データについて!$J$12:$M$18,7,FALSE),"*")</f>
        <v>*</v>
      </c>
    </row>
    <row r="2261" spans="1:30">
      <c r="A2261" s="30">
        <v>2931</v>
      </c>
      <c r="B2261" s="30" t="s">
        <v>2526</v>
      </c>
      <c r="C2261" s="30" t="s">
        <v>2527</v>
      </c>
      <c r="D2261" s="30" t="s">
        <v>106</v>
      </c>
      <c r="E2261" s="30"/>
      <c r="F2261" s="30" t="s">
        <v>107</v>
      </c>
      <c r="G2261" s="30" t="s">
        <v>106</v>
      </c>
      <c r="H2261" s="30"/>
      <c r="I2261" s="30" t="s">
        <v>192</v>
      </c>
      <c r="J2261" s="30" t="s">
        <v>2256</v>
      </c>
      <c r="K2261" s="30"/>
      <c r="L2261" s="30" t="s">
        <v>108</v>
      </c>
      <c r="M2261" s="30" t="s">
        <v>109</v>
      </c>
      <c r="N2261" s="30" t="s">
        <v>114</v>
      </c>
      <c r="O2261" s="30" t="s">
        <v>115</v>
      </c>
      <c r="P2261" s="30" t="s">
        <v>112</v>
      </c>
      <c r="Q2261" s="30" t="s">
        <v>112</v>
      </c>
      <c r="R2261" s="30" t="s">
        <v>185</v>
      </c>
      <c r="S2261" s="81">
        <f>HLOOKUP(L2261,データについて!$J$6:$M$18,13,FALSE)</f>
        <v>1</v>
      </c>
      <c r="T2261" s="81">
        <f>HLOOKUP(M2261,データについて!$J$7:$M$18,12,FALSE)</f>
        <v>2</v>
      </c>
      <c r="U2261" s="81">
        <f>HLOOKUP(N2261,データについて!$J$8:$M$18,11,FALSE)</f>
        <v>1</v>
      </c>
      <c r="V2261" s="81">
        <f>HLOOKUP(O2261,データについて!$J$9:$M$18,10,FALSE)</f>
        <v>1</v>
      </c>
      <c r="W2261" s="81">
        <f>HLOOKUP(P2261,データについて!$J$10:$M$18,9,FALSE)</f>
        <v>1</v>
      </c>
      <c r="X2261" s="81">
        <f>HLOOKUP(Q2261,データについて!$J$11:$M$18,8,FALSE)</f>
        <v>1</v>
      </c>
      <c r="Y2261" s="81">
        <f>HLOOKUP(R2261,データについて!$J$12:$M$18,7,FALSE)</f>
        <v>2</v>
      </c>
      <c r="Z2261" s="81">
        <f>HLOOKUP(I2261,データについて!$J$3:$M$18,16,FALSE)</f>
        <v>1</v>
      </c>
      <c r="AA2261" s="81">
        <f>IFERROR(HLOOKUP(J2261,データについて!$J$4:$AH$19,16,FALSE),"")</f>
        <v>13</v>
      </c>
      <c r="AB2261" s="81" t="str">
        <f>IFERROR(HLOOKUP(K2261,データについて!$J$5:$AH$20,14,FALSE),"")</f>
        <v/>
      </c>
      <c r="AC2261" s="81">
        <f>IF(X2261=1,HLOOKUP(R2261,データについて!$J$12:$M$18,7,FALSE),"*")</f>
        <v>2</v>
      </c>
      <c r="AD2261" s="81" t="str">
        <f>IF(X2261=2,HLOOKUP(R2261,データについて!$J$12:$M$18,7,FALSE),"*")</f>
        <v>*</v>
      </c>
    </row>
    <row r="2262" spans="1:30">
      <c r="A2262" s="30">
        <v>2930</v>
      </c>
      <c r="B2262" s="30" t="s">
        <v>2528</v>
      </c>
      <c r="C2262" s="30" t="s">
        <v>2529</v>
      </c>
      <c r="D2262" s="30" t="s">
        <v>106</v>
      </c>
      <c r="E2262" s="30"/>
      <c r="F2262" s="30" t="s">
        <v>107</v>
      </c>
      <c r="G2262" s="30" t="s">
        <v>106</v>
      </c>
      <c r="H2262" s="30"/>
      <c r="I2262" s="30" t="s">
        <v>192</v>
      </c>
      <c r="J2262" s="30" t="s">
        <v>2256</v>
      </c>
      <c r="K2262" s="30"/>
      <c r="L2262" s="30" t="s">
        <v>117</v>
      </c>
      <c r="M2262" s="30" t="s">
        <v>113</v>
      </c>
      <c r="N2262" s="30" t="s">
        <v>114</v>
      </c>
      <c r="O2262" s="30" t="s">
        <v>115</v>
      </c>
      <c r="P2262" s="30" t="s">
        <v>112</v>
      </c>
      <c r="Q2262" s="30" t="s">
        <v>112</v>
      </c>
      <c r="R2262" s="30" t="s">
        <v>185</v>
      </c>
      <c r="S2262" s="81">
        <f>HLOOKUP(L2262,データについて!$J$6:$M$18,13,FALSE)</f>
        <v>2</v>
      </c>
      <c r="T2262" s="81">
        <f>HLOOKUP(M2262,データについて!$J$7:$M$18,12,FALSE)</f>
        <v>1</v>
      </c>
      <c r="U2262" s="81">
        <f>HLOOKUP(N2262,データについて!$J$8:$M$18,11,FALSE)</f>
        <v>1</v>
      </c>
      <c r="V2262" s="81">
        <f>HLOOKUP(O2262,データについて!$J$9:$M$18,10,FALSE)</f>
        <v>1</v>
      </c>
      <c r="W2262" s="81">
        <f>HLOOKUP(P2262,データについて!$J$10:$M$18,9,FALSE)</f>
        <v>1</v>
      </c>
      <c r="X2262" s="81">
        <f>HLOOKUP(Q2262,データについて!$J$11:$M$18,8,FALSE)</f>
        <v>1</v>
      </c>
      <c r="Y2262" s="81">
        <f>HLOOKUP(R2262,データについて!$J$12:$M$18,7,FALSE)</f>
        <v>2</v>
      </c>
      <c r="Z2262" s="81">
        <f>HLOOKUP(I2262,データについて!$J$3:$M$18,16,FALSE)</f>
        <v>1</v>
      </c>
      <c r="AA2262" s="81">
        <f>IFERROR(HLOOKUP(J2262,データについて!$J$4:$AH$19,16,FALSE),"")</f>
        <v>13</v>
      </c>
      <c r="AB2262" s="81" t="str">
        <f>IFERROR(HLOOKUP(K2262,データについて!$J$5:$AH$20,14,FALSE),"")</f>
        <v/>
      </c>
      <c r="AC2262" s="81">
        <f>IF(X2262=1,HLOOKUP(R2262,データについて!$J$12:$M$18,7,FALSE),"*")</f>
        <v>2</v>
      </c>
      <c r="AD2262" s="81" t="str">
        <f>IF(X2262=2,HLOOKUP(R2262,データについて!$J$12:$M$18,7,FALSE),"*")</f>
        <v>*</v>
      </c>
    </row>
    <row r="2263" spans="1:30">
      <c r="A2263" s="30">
        <v>2929</v>
      </c>
      <c r="B2263" s="30" t="s">
        <v>2530</v>
      </c>
      <c r="C2263" s="30" t="s">
        <v>2531</v>
      </c>
      <c r="D2263" s="30" t="s">
        <v>106</v>
      </c>
      <c r="E2263" s="30"/>
      <c r="F2263" s="30" t="s">
        <v>107</v>
      </c>
      <c r="G2263" s="30" t="s">
        <v>106</v>
      </c>
      <c r="H2263" s="30"/>
      <c r="I2263" s="30" t="s">
        <v>192</v>
      </c>
      <c r="J2263" s="30" t="s">
        <v>2256</v>
      </c>
      <c r="K2263" s="30"/>
      <c r="L2263" s="30" t="s">
        <v>117</v>
      </c>
      <c r="M2263" s="30" t="s">
        <v>113</v>
      </c>
      <c r="N2263" s="30" t="s">
        <v>122</v>
      </c>
      <c r="O2263" s="30" t="s">
        <v>115</v>
      </c>
      <c r="P2263" s="30" t="s">
        <v>112</v>
      </c>
      <c r="Q2263" s="30" t="s">
        <v>112</v>
      </c>
      <c r="R2263" s="30" t="s">
        <v>185</v>
      </c>
      <c r="S2263" s="81">
        <f>HLOOKUP(L2263,データについて!$J$6:$M$18,13,FALSE)</f>
        <v>2</v>
      </c>
      <c r="T2263" s="81">
        <f>HLOOKUP(M2263,データについて!$J$7:$M$18,12,FALSE)</f>
        <v>1</v>
      </c>
      <c r="U2263" s="81">
        <f>HLOOKUP(N2263,データについて!$J$8:$M$18,11,FALSE)</f>
        <v>3</v>
      </c>
      <c r="V2263" s="81">
        <f>HLOOKUP(O2263,データについて!$J$9:$M$18,10,FALSE)</f>
        <v>1</v>
      </c>
      <c r="W2263" s="81">
        <f>HLOOKUP(P2263,データについて!$J$10:$M$18,9,FALSE)</f>
        <v>1</v>
      </c>
      <c r="X2263" s="81">
        <f>HLOOKUP(Q2263,データについて!$J$11:$M$18,8,FALSE)</f>
        <v>1</v>
      </c>
      <c r="Y2263" s="81">
        <f>HLOOKUP(R2263,データについて!$J$12:$M$18,7,FALSE)</f>
        <v>2</v>
      </c>
      <c r="Z2263" s="81">
        <f>HLOOKUP(I2263,データについて!$J$3:$M$18,16,FALSE)</f>
        <v>1</v>
      </c>
      <c r="AA2263" s="81">
        <f>IFERROR(HLOOKUP(J2263,データについて!$J$4:$AH$19,16,FALSE),"")</f>
        <v>13</v>
      </c>
      <c r="AB2263" s="81" t="str">
        <f>IFERROR(HLOOKUP(K2263,データについて!$J$5:$AH$20,14,FALSE),"")</f>
        <v/>
      </c>
      <c r="AC2263" s="81">
        <f>IF(X2263=1,HLOOKUP(R2263,データについて!$J$12:$M$18,7,FALSE),"*")</f>
        <v>2</v>
      </c>
      <c r="AD2263" s="81" t="str">
        <f>IF(X2263=2,HLOOKUP(R2263,データについて!$J$12:$M$18,7,FALSE),"*")</f>
        <v>*</v>
      </c>
    </row>
    <row r="2264" spans="1:30">
      <c r="A2264" s="30">
        <v>2928</v>
      </c>
      <c r="B2264" s="30" t="s">
        <v>2532</v>
      </c>
      <c r="C2264" s="30" t="s">
        <v>2533</v>
      </c>
      <c r="D2264" s="30" t="s">
        <v>106</v>
      </c>
      <c r="E2264" s="30"/>
      <c r="F2264" s="30" t="s">
        <v>107</v>
      </c>
      <c r="G2264" s="30" t="s">
        <v>106</v>
      </c>
      <c r="H2264" s="30"/>
      <c r="I2264" s="30" t="s">
        <v>192</v>
      </c>
      <c r="J2264" s="30" t="s">
        <v>2256</v>
      </c>
      <c r="K2264" s="30"/>
      <c r="L2264" s="30" t="s">
        <v>108</v>
      </c>
      <c r="M2264" s="30" t="s">
        <v>113</v>
      </c>
      <c r="N2264" s="30" t="s">
        <v>114</v>
      </c>
      <c r="O2264" s="30" t="s">
        <v>115</v>
      </c>
      <c r="P2264" s="30" t="s">
        <v>112</v>
      </c>
      <c r="Q2264" s="30" t="s">
        <v>118</v>
      </c>
      <c r="R2264" s="30" t="s">
        <v>189</v>
      </c>
      <c r="S2264" s="81">
        <f>HLOOKUP(L2264,データについて!$J$6:$M$18,13,FALSE)</f>
        <v>1</v>
      </c>
      <c r="T2264" s="81">
        <f>HLOOKUP(M2264,データについて!$J$7:$M$18,12,FALSE)</f>
        <v>1</v>
      </c>
      <c r="U2264" s="81">
        <f>HLOOKUP(N2264,データについて!$J$8:$M$18,11,FALSE)</f>
        <v>1</v>
      </c>
      <c r="V2264" s="81">
        <f>HLOOKUP(O2264,データについて!$J$9:$M$18,10,FALSE)</f>
        <v>1</v>
      </c>
      <c r="W2264" s="81">
        <f>HLOOKUP(P2264,データについて!$J$10:$M$18,9,FALSE)</f>
        <v>1</v>
      </c>
      <c r="X2264" s="81">
        <f>HLOOKUP(Q2264,データについて!$J$11:$M$18,8,FALSE)</f>
        <v>2</v>
      </c>
      <c r="Y2264" s="81">
        <f>HLOOKUP(R2264,データについて!$J$12:$M$18,7,FALSE)</f>
        <v>4</v>
      </c>
      <c r="Z2264" s="81">
        <f>HLOOKUP(I2264,データについて!$J$3:$M$18,16,FALSE)</f>
        <v>1</v>
      </c>
      <c r="AA2264" s="81">
        <f>IFERROR(HLOOKUP(J2264,データについて!$J$4:$AH$19,16,FALSE),"")</f>
        <v>13</v>
      </c>
      <c r="AB2264" s="81" t="str">
        <f>IFERROR(HLOOKUP(K2264,データについて!$J$5:$AH$20,14,FALSE),"")</f>
        <v/>
      </c>
      <c r="AC2264" s="81" t="str">
        <f>IF(X2264=1,HLOOKUP(R2264,データについて!$J$12:$M$18,7,FALSE),"*")</f>
        <v>*</v>
      </c>
      <c r="AD2264" s="81">
        <f>IF(X2264=2,HLOOKUP(R2264,データについて!$J$12:$M$18,7,FALSE),"*")</f>
        <v>4</v>
      </c>
    </row>
    <row r="2265" spans="1:30">
      <c r="A2265" s="30">
        <v>2927</v>
      </c>
      <c r="B2265" s="30" t="s">
        <v>2534</v>
      </c>
      <c r="C2265" s="30" t="s">
        <v>2535</v>
      </c>
      <c r="D2265" s="30" t="s">
        <v>106</v>
      </c>
      <c r="E2265" s="30"/>
      <c r="F2265" s="30" t="s">
        <v>107</v>
      </c>
      <c r="G2265" s="30" t="s">
        <v>106</v>
      </c>
      <c r="H2265" s="30"/>
      <c r="I2265" s="30" t="s">
        <v>192</v>
      </c>
      <c r="J2265" s="30" t="s">
        <v>2256</v>
      </c>
      <c r="K2265" s="30"/>
      <c r="L2265" s="30" t="s">
        <v>108</v>
      </c>
      <c r="M2265" s="30" t="s">
        <v>113</v>
      </c>
      <c r="N2265" s="30" t="s">
        <v>110</v>
      </c>
      <c r="O2265" s="30" t="s">
        <v>115</v>
      </c>
      <c r="P2265" s="30" t="s">
        <v>112</v>
      </c>
      <c r="Q2265" s="30" t="s">
        <v>112</v>
      </c>
      <c r="R2265" s="30" t="s">
        <v>185</v>
      </c>
      <c r="S2265" s="81">
        <f>HLOOKUP(L2265,データについて!$J$6:$M$18,13,FALSE)</f>
        <v>1</v>
      </c>
      <c r="T2265" s="81">
        <f>HLOOKUP(M2265,データについて!$J$7:$M$18,12,FALSE)</f>
        <v>1</v>
      </c>
      <c r="U2265" s="81">
        <f>HLOOKUP(N2265,データについて!$J$8:$M$18,11,FALSE)</f>
        <v>2</v>
      </c>
      <c r="V2265" s="81">
        <f>HLOOKUP(O2265,データについて!$J$9:$M$18,10,FALSE)</f>
        <v>1</v>
      </c>
      <c r="W2265" s="81">
        <f>HLOOKUP(P2265,データについて!$J$10:$M$18,9,FALSE)</f>
        <v>1</v>
      </c>
      <c r="X2265" s="81">
        <f>HLOOKUP(Q2265,データについて!$J$11:$M$18,8,FALSE)</f>
        <v>1</v>
      </c>
      <c r="Y2265" s="81">
        <f>HLOOKUP(R2265,データについて!$J$12:$M$18,7,FALSE)</f>
        <v>2</v>
      </c>
      <c r="Z2265" s="81">
        <f>HLOOKUP(I2265,データについて!$J$3:$M$18,16,FALSE)</f>
        <v>1</v>
      </c>
      <c r="AA2265" s="81">
        <f>IFERROR(HLOOKUP(J2265,データについて!$J$4:$AH$19,16,FALSE),"")</f>
        <v>13</v>
      </c>
      <c r="AB2265" s="81" t="str">
        <f>IFERROR(HLOOKUP(K2265,データについて!$J$5:$AH$20,14,FALSE),"")</f>
        <v/>
      </c>
      <c r="AC2265" s="81">
        <f>IF(X2265=1,HLOOKUP(R2265,データについて!$J$12:$M$18,7,FALSE),"*")</f>
        <v>2</v>
      </c>
      <c r="AD2265" s="81" t="str">
        <f>IF(X2265=2,HLOOKUP(R2265,データについて!$J$12:$M$18,7,FALSE),"*")</f>
        <v>*</v>
      </c>
    </row>
    <row r="2266" spans="1:30">
      <c r="A2266" s="30">
        <v>2926</v>
      </c>
      <c r="B2266" s="30" t="s">
        <v>2536</v>
      </c>
      <c r="C2266" s="30" t="s">
        <v>2537</v>
      </c>
      <c r="D2266" s="30" t="s">
        <v>106</v>
      </c>
      <c r="E2266" s="30"/>
      <c r="F2266" s="30" t="s">
        <v>107</v>
      </c>
      <c r="G2266" s="30" t="s">
        <v>106</v>
      </c>
      <c r="H2266" s="30"/>
      <c r="I2266" s="30" t="s">
        <v>192</v>
      </c>
      <c r="J2266" s="30" t="s">
        <v>2256</v>
      </c>
      <c r="K2266" s="30"/>
      <c r="L2266" s="30" t="s">
        <v>117</v>
      </c>
      <c r="M2266" s="30" t="s">
        <v>113</v>
      </c>
      <c r="N2266" s="30" t="s">
        <v>114</v>
      </c>
      <c r="O2266" s="30" t="s">
        <v>115</v>
      </c>
      <c r="P2266" s="30" t="s">
        <v>112</v>
      </c>
      <c r="Q2266" s="30" t="s">
        <v>112</v>
      </c>
      <c r="R2266" s="30" t="s">
        <v>183</v>
      </c>
      <c r="S2266" s="81">
        <f>HLOOKUP(L2266,データについて!$J$6:$M$18,13,FALSE)</f>
        <v>2</v>
      </c>
      <c r="T2266" s="81">
        <f>HLOOKUP(M2266,データについて!$J$7:$M$18,12,FALSE)</f>
        <v>1</v>
      </c>
      <c r="U2266" s="81">
        <f>HLOOKUP(N2266,データについて!$J$8:$M$18,11,FALSE)</f>
        <v>1</v>
      </c>
      <c r="V2266" s="81">
        <f>HLOOKUP(O2266,データについて!$J$9:$M$18,10,FALSE)</f>
        <v>1</v>
      </c>
      <c r="W2266" s="81">
        <f>HLOOKUP(P2266,データについて!$J$10:$M$18,9,FALSE)</f>
        <v>1</v>
      </c>
      <c r="X2266" s="81">
        <f>HLOOKUP(Q2266,データについて!$J$11:$M$18,8,FALSE)</f>
        <v>1</v>
      </c>
      <c r="Y2266" s="81">
        <f>HLOOKUP(R2266,データについて!$J$12:$M$18,7,FALSE)</f>
        <v>1</v>
      </c>
      <c r="Z2266" s="81">
        <f>HLOOKUP(I2266,データについて!$J$3:$M$18,16,FALSE)</f>
        <v>1</v>
      </c>
      <c r="AA2266" s="81">
        <f>IFERROR(HLOOKUP(J2266,データについて!$J$4:$AH$19,16,FALSE),"")</f>
        <v>13</v>
      </c>
      <c r="AB2266" s="81" t="str">
        <f>IFERROR(HLOOKUP(K2266,データについて!$J$5:$AH$20,14,FALSE),"")</f>
        <v/>
      </c>
      <c r="AC2266" s="81">
        <f>IF(X2266=1,HLOOKUP(R2266,データについて!$J$12:$M$18,7,FALSE),"*")</f>
        <v>1</v>
      </c>
      <c r="AD2266" s="81" t="str">
        <f>IF(X2266=2,HLOOKUP(R2266,データについて!$J$12:$M$18,7,FALSE),"*")</f>
        <v>*</v>
      </c>
    </row>
    <row r="2267" spans="1:30">
      <c r="A2267" s="30">
        <v>2925</v>
      </c>
      <c r="B2267" s="30" t="s">
        <v>2538</v>
      </c>
      <c r="C2267" s="30" t="s">
        <v>2539</v>
      </c>
      <c r="D2267" s="30" t="s">
        <v>106</v>
      </c>
      <c r="E2267" s="30"/>
      <c r="F2267" s="30" t="s">
        <v>107</v>
      </c>
      <c r="G2267" s="30" t="s">
        <v>106</v>
      </c>
      <c r="H2267" s="30"/>
      <c r="I2267" s="30" t="s">
        <v>192</v>
      </c>
      <c r="J2267" s="30" t="s">
        <v>2256</v>
      </c>
      <c r="K2267" s="30"/>
      <c r="L2267" s="30" t="s">
        <v>108</v>
      </c>
      <c r="M2267" s="30" t="s">
        <v>113</v>
      </c>
      <c r="N2267" s="30" t="s">
        <v>110</v>
      </c>
      <c r="O2267" s="30" t="s">
        <v>115</v>
      </c>
      <c r="P2267" s="30" t="s">
        <v>112</v>
      </c>
      <c r="Q2267" s="30" t="s">
        <v>112</v>
      </c>
      <c r="R2267" s="30" t="s">
        <v>185</v>
      </c>
      <c r="S2267" s="81">
        <f>HLOOKUP(L2267,データについて!$J$6:$M$18,13,FALSE)</f>
        <v>1</v>
      </c>
      <c r="T2267" s="81">
        <f>HLOOKUP(M2267,データについて!$J$7:$M$18,12,FALSE)</f>
        <v>1</v>
      </c>
      <c r="U2267" s="81">
        <f>HLOOKUP(N2267,データについて!$J$8:$M$18,11,FALSE)</f>
        <v>2</v>
      </c>
      <c r="V2267" s="81">
        <f>HLOOKUP(O2267,データについて!$J$9:$M$18,10,FALSE)</f>
        <v>1</v>
      </c>
      <c r="W2267" s="81">
        <f>HLOOKUP(P2267,データについて!$J$10:$M$18,9,FALSE)</f>
        <v>1</v>
      </c>
      <c r="X2267" s="81">
        <f>HLOOKUP(Q2267,データについて!$J$11:$M$18,8,FALSE)</f>
        <v>1</v>
      </c>
      <c r="Y2267" s="81">
        <f>HLOOKUP(R2267,データについて!$J$12:$M$18,7,FALSE)</f>
        <v>2</v>
      </c>
      <c r="Z2267" s="81">
        <f>HLOOKUP(I2267,データについて!$J$3:$M$18,16,FALSE)</f>
        <v>1</v>
      </c>
      <c r="AA2267" s="81">
        <f>IFERROR(HLOOKUP(J2267,データについて!$J$4:$AH$19,16,FALSE),"")</f>
        <v>13</v>
      </c>
      <c r="AB2267" s="81" t="str">
        <f>IFERROR(HLOOKUP(K2267,データについて!$J$5:$AH$20,14,FALSE),"")</f>
        <v/>
      </c>
      <c r="AC2267" s="81">
        <f>IF(X2267=1,HLOOKUP(R2267,データについて!$J$12:$M$18,7,FALSE),"*")</f>
        <v>2</v>
      </c>
      <c r="AD2267" s="81" t="str">
        <f>IF(X2267=2,HLOOKUP(R2267,データについて!$J$12:$M$18,7,FALSE),"*")</f>
        <v>*</v>
      </c>
    </row>
    <row r="2268" spans="1:30">
      <c r="A2268" s="30">
        <v>2924</v>
      </c>
      <c r="B2268" s="30" t="s">
        <v>2540</v>
      </c>
      <c r="C2268" s="30" t="s">
        <v>2541</v>
      </c>
      <c r="D2268" s="30" t="s">
        <v>106</v>
      </c>
      <c r="E2268" s="30"/>
      <c r="F2268" s="30" t="s">
        <v>107</v>
      </c>
      <c r="G2268" s="30" t="s">
        <v>106</v>
      </c>
      <c r="H2268" s="30"/>
      <c r="I2268" s="30" t="s">
        <v>192</v>
      </c>
      <c r="J2268" s="30" t="s">
        <v>2256</v>
      </c>
      <c r="K2268" s="30"/>
      <c r="L2268" s="30" t="s">
        <v>108</v>
      </c>
      <c r="M2268" s="30" t="s">
        <v>109</v>
      </c>
      <c r="N2268" s="30" t="s">
        <v>110</v>
      </c>
      <c r="O2268" s="30" t="s">
        <v>116</v>
      </c>
      <c r="P2268" s="30" t="s">
        <v>112</v>
      </c>
      <c r="Q2268" s="30" t="s">
        <v>118</v>
      </c>
      <c r="R2268" s="30" t="s">
        <v>187</v>
      </c>
      <c r="S2268" s="81">
        <f>HLOOKUP(L2268,データについて!$J$6:$M$18,13,FALSE)</f>
        <v>1</v>
      </c>
      <c r="T2268" s="81">
        <f>HLOOKUP(M2268,データについて!$J$7:$M$18,12,FALSE)</f>
        <v>2</v>
      </c>
      <c r="U2268" s="81">
        <f>HLOOKUP(N2268,データについて!$J$8:$M$18,11,FALSE)</f>
        <v>2</v>
      </c>
      <c r="V2268" s="81">
        <f>HLOOKUP(O2268,データについて!$J$9:$M$18,10,FALSE)</f>
        <v>2</v>
      </c>
      <c r="W2268" s="81">
        <f>HLOOKUP(P2268,データについて!$J$10:$M$18,9,FALSE)</f>
        <v>1</v>
      </c>
      <c r="X2268" s="81">
        <f>HLOOKUP(Q2268,データについて!$J$11:$M$18,8,FALSE)</f>
        <v>2</v>
      </c>
      <c r="Y2268" s="81">
        <f>HLOOKUP(R2268,データについて!$J$12:$M$18,7,FALSE)</f>
        <v>3</v>
      </c>
      <c r="Z2268" s="81">
        <f>HLOOKUP(I2268,データについて!$J$3:$M$18,16,FALSE)</f>
        <v>1</v>
      </c>
      <c r="AA2268" s="81">
        <f>IFERROR(HLOOKUP(J2268,データについて!$J$4:$AH$19,16,FALSE),"")</f>
        <v>13</v>
      </c>
      <c r="AB2268" s="81" t="str">
        <f>IFERROR(HLOOKUP(K2268,データについて!$J$5:$AH$20,14,FALSE),"")</f>
        <v/>
      </c>
      <c r="AC2268" s="81" t="str">
        <f>IF(X2268=1,HLOOKUP(R2268,データについて!$J$12:$M$18,7,FALSE),"*")</f>
        <v>*</v>
      </c>
      <c r="AD2268" s="81">
        <f>IF(X2268=2,HLOOKUP(R2268,データについて!$J$12:$M$18,7,FALSE),"*")</f>
        <v>3</v>
      </c>
    </row>
    <row r="2269" spans="1:30">
      <c r="A2269" s="30">
        <v>2923</v>
      </c>
      <c r="B2269" s="30" t="s">
        <v>2542</v>
      </c>
      <c r="C2269" s="30" t="s">
        <v>2543</v>
      </c>
      <c r="D2269" s="30" t="s">
        <v>106</v>
      </c>
      <c r="E2269" s="30"/>
      <c r="F2269" s="30" t="s">
        <v>107</v>
      </c>
      <c r="G2269" s="30" t="s">
        <v>106</v>
      </c>
      <c r="H2269" s="30"/>
      <c r="I2269" s="30" t="s">
        <v>192</v>
      </c>
      <c r="J2269" s="30" t="s">
        <v>2256</v>
      </c>
      <c r="K2269" s="30"/>
      <c r="L2269" s="30" t="s">
        <v>117</v>
      </c>
      <c r="M2269" s="30" t="s">
        <v>109</v>
      </c>
      <c r="N2269" s="30" t="s">
        <v>114</v>
      </c>
      <c r="O2269" s="30" t="s">
        <v>115</v>
      </c>
      <c r="P2269" s="30" t="s">
        <v>112</v>
      </c>
      <c r="Q2269" s="30" t="s">
        <v>112</v>
      </c>
      <c r="R2269" s="30" t="s">
        <v>183</v>
      </c>
      <c r="S2269" s="81">
        <f>HLOOKUP(L2269,データについて!$J$6:$M$18,13,FALSE)</f>
        <v>2</v>
      </c>
      <c r="T2269" s="81">
        <f>HLOOKUP(M2269,データについて!$J$7:$M$18,12,FALSE)</f>
        <v>2</v>
      </c>
      <c r="U2269" s="81">
        <f>HLOOKUP(N2269,データについて!$J$8:$M$18,11,FALSE)</f>
        <v>1</v>
      </c>
      <c r="V2269" s="81">
        <f>HLOOKUP(O2269,データについて!$J$9:$M$18,10,FALSE)</f>
        <v>1</v>
      </c>
      <c r="W2269" s="81">
        <f>HLOOKUP(P2269,データについて!$J$10:$M$18,9,FALSE)</f>
        <v>1</v>
      </c>
      <c r="X2269" s="81">
        <f>HLOOKUP(Q2269,データについて!$J$11:$M$18,8,FALSE)</f>
        <v>1</v>
      </c>
      <c r="Y2269" s="81">
        <f>HLOOKUP(R2269,データについて!$J$12:$M$18,7,FALSE)</f>
        <v>1</v>
      </c>
      <c r="Z2269" s="81">
        <f>HLOOKUP(I2269,データについて!$J$3:$M$18,16,FALSE)</f>
        <v>1</v>
      </c>
      <c r="AA2269" s="81">
        <f>IFERROR(HLOOKUP(J2269,データについて!$J$4:$AH$19,16,FALSE),"")</f>
        <v>13</v>
      </c>
      <c r="AB2269" s="81" t="str">
        <f>IFERROR(HLOOKUP(K2269,データについて!$J$5:$AH$20,14,FALSE),"")</f>
        <v/>
      </c>
      <c r="AC2269" s="81">
        <f>IF(X2269=1,HLOOKUP(R2269,データについて!$J$12:$M$18,7,FALSE),"*")</f>
        <v>1</v>
      </c>
      <c r="AD2269" s="81" t="str">
        <f>IF(X2269=2,HLOOKUP(R2269,データについて!$J$12:$M$18,7,FALSE),"*")</f>
        <v>*</v>
      </c>
    </row>
    <row r="2270" spans="1:30">
      <c r="A2270" s="30">
        <v>2922</v>
      </c>
      <c r="B2270" s="30" t="s">
        <v>2544</v>
      </c>
      <c r="C2270" s="30" t="s">
        <v>2545</v>
      </c>
      <c r="D2270" s="30" t="s">
        <v>106</v>
      </c>
      <c r="E2270" s="30"/>
      <c r="F2270" s="30" t="s">
        <v>107</v>
      </c>
      <c r="G2270" s="30" t="s">
        <v>106</v>
      </c>
      <c r="H2270" s="30"/>
      <c r="I2270" s="30" t="s">
        <v>192</v>
      </c>
      <c r="J2270" s="30" t="s">
        <v>2256</v>
      </c>
      <c r="K2270" s="30"/>
      <c r="L2270" s="30" t="s">
        <v>117</v>
      </c>
      <c r="M2270" s="30" t="s">
        <v>109</v>
      </c>
      <c r="N2270" s="30" t="s">
        <v>110</v>
      </c>
      <c r="O2270" s="30" t="s">
        <v>111</v>
      </c>
      <c r="P2270" s="30" t="s">
        <v>112</v>
      </c>
      <c r="Q2270" s="30" t="s">
        <v>112</v>
      </c>
      <c r="R2270" s="30" t="s">
        <v>189</v>
      </c>
      <c r="S2270" s="81">
        <f>HLOOKUP(L2270,データについて!$J$6:$M$18,13,FALSE)</f>
        <v>2</v>
      </c>
      <c r="T2270" s="81">
        <f>HLOOKUP(M2270,データについて!$J$7:$M$18,12,FALSE)</f>
        <v>2</v>
      </c>
      <c r="U2270" s="81">
        <f>HLOOKUP(N2270,データについて!$J$8:$M$18,11,FALSE)</f>
        <v>2</v>
      </c>
      <c r="V2270" s="81">
        <f>HLOOKUP(O2270,データについて!$J$9:$M$18,10,FALSE)</f>
        <v>3</v>
      </c>
      <c r="W2270" s="81">
        <f>HLOOKUP(P2270,データについて!$J$10:$M$18,9,FALSE)</f>
        <v>1</v>
      </c>
      <c r="X2270" s="81">
        <f>HLOOKUP(Q2270,データについて!$J$11:$M$18,8,FALSE)</f>
        <v>1</v>
      </c>
      <c r="Y2270" s="81">
        <f>HLOOKUP(R2270,データについて!$J$12:$M$18,7,FALSE)</f>
        <v>4</v>
      </c>
      <c r="Z2270" s="81">
        <f>HLOOKUP(I2270,データについて!$J$3:$M$18,16,FALSE)</f>
        <v>1</v>
      </c>
      <c r="AA2270" s="81">
        <f>IFERROR(HLOOKUP(J2270,データについて!$J$4:$AH$19,16,FALSE),"")</f>
        <v>13</v>
      </c>
      <c r="AB2270" s="81" t="str">
        <f>IFERROR(HLOOKUP(K2270,データについて!$J$5:$AH$20,14,FALSE),"")</f>
        <v/>
      </c>
      <c r="AC2270" s="81">
        <f>IF(X2270=1,HLOOKUP(R2270,データについて!$J$12:$M$18,7,FALSE),"*")</f>
        <v>4</v>
      </c>
      <c r="AD2270" s="81" t="str">
        <f>IF(X2270=2,HLOOKUP(R2270,データについて!$J$12:$M$18,7,FALSE),"*")</f>
        <v>*</v>
      </c>
    </row>
    <row r="2271" spans="1:30">
      <c r="A2271" s="30">
        <v>2921</v>
      </c>
      <c r="B2271" s="30" t="s">
        <v>2546</v>
      </c>
      <c r="C2271" s="30" t="s">
        <v>2547</v>
      </c>
      <c r="D2271" s="30" t="s">
        <v>106</v>
      </c>
      <c r="E2271" s="30"/>
      <c r="F2271" s="30" t="s">
        <v>107</v>
      </c>
      <c r="G2271" s="30" t="s">
        <v>106</v>
      </c>
      <c r="H2271" s="30"/>
      <c r="I2271" s="30" t="s">
        <v>192</v>
      </c>
      <c r="J2271" s="30" t="s">
        <v>2256</v>
      </c>
      <c r="K2271" s="30"/>
      <c r="L2271" s="30" t="s">
        <v>108</v>
      </c>
      <c r="M2271" s="30" t="s">
        <v>113</v>
      </c>
      <c r="N2271" s="30" t="s">
        <v>114</v>
      </c>
      <c r="O2271" s="30" t="s">
        <v>115</v>
      </c>
      <c r="P2271" s="30" t="s">
        <v>112</v>
      </c>
      <c r="Q2271" s="30" t="s">
        <v>112</v>
      </c>
      <c r="R2271" s="30" t="s">
        <v>183</v>
      </c>
      <c r="S2271" s="81">
        <f>HLOOKUP(L2271,データについて!$J$6:$M$18,13,FALSE)</f>
        <v>1</v>
      </c>
      <c r="T2271" s="81">
        <f>HLOOKUP(M2271,データについて!$J$7:$M$18,12,FALSE)</f>
        <v>1</v>
      </c>
      <c r="U2271" s="81">
        <f>HLOOKUP(N2271,データについて!$J$8:$M$18,11,FALSE)</f>
        <v>1</v>
      </c>
      <c r="V2271" s="81">
        <f>HLOOKUP(O2271,データについて!$J$9:$M$18,10,FALSE)</f>
        <v>1</v>
      </c>
      <c r="W2271" s="81">
        <f>HLOOKUP(P2271,データについて!$J$10:$M$18,9,FALSE)</f>
        <v>1</v>
      </c>
      <c r="X2271" s="81">
        <f>HLOOKUP(Q2271,データについて!$J$11:$M$18,8,FALSE)</f>
        <v>1</v>
      </c>
      <c r="Y2271" s="81">
        <f>HLOOKUP(R2271,データについて!$J$12:$M$18,7,FALSE)</f>
        <v>1</v>
      </c>
      <c r="Z2271" s="81">
        <f>HLOOKUP(I2271,データについて!$J$3:$M$18,16,FALSE)</f>
        <v>1</v>
      </c>
      <c r="AA2271" s="81">
        <f>IFERROR(HLOOKUP(J2271,データについて!$J$4:$AH$19,16,FALSE),"")</f>
        <v>13</v>
      </c>
      <c r="AB2271" s="81" t="str">
        <f>IFERROR(HLOOKUP(K2271,データについて!$J$5:$AH$20,14,FALSE),"")</f>
        <v/>
      </c>
      <c r="AC2271" s="81">
        <f>IF(X2271=1,HLOOKUP(R2271,データについて!$J$12:$M$18,7,FALSE),"*")</f>
        <v>1</v>
      </c>
      <c r="AD2271" s="81" t="str">
        <f>IF(X2271=2,HLOOKUP(R2271,データについて!$J$12:$M$18,7,FALSE),"*")</f>
        <v>*</v>
      </c>
    </row>
    <row r="2272" spans="1:30">
      <c r="A2272" s="30">
        <v>2920</v>
      </c>
      <c r="B2272" s="30" t="s">
        <v>2548</v>
      </c>
      <c r="C2272" s="30" t="s">
        <v>2547</v>
      </c>
      <c r="D2272" s="30" t="s">
        <v>106</v>
      </c>
      <c r="E2272" s="30"/>
      <c r="F2272" s="30" t="s">
        <v>107</v>
      </c>
      <c r="G2272" s="30" t="s">
        <v>106</v>
      </c>
      <c r="H2272" s="30"/>
      <c r="I2272" s="30" t="s">
        <v>192</v>
      </c>
      <c r="J2272" s="30" t="s">
        <v>2256</v>
      </c>
      <c r="K2272" s="30"/>
      <c r="L2272" s="30" t="s">
        <v>108</v>
      </c>
      <c r="M2272" s="30" t="s">
        <v>113</v>
      </c>
      <c r="N2272" s="30" t="s">
        <v>114</v>
      </c>
      <c r="O2272" s="30" t="s">
        <v>115</v>
      </c>
      <c r="P2272" s="30" t="s">
        <v>112</v>
      </c>
      <c r="Q2272" s="30" t="s">
        <v>112</v>
      </c>
      <c r="R2272" s="30" t="s">
        <v>185</v>
      </c>
      <c r="S2272" s="81">
        <f>HLOOKUP(L2272,データについて!$J$6:$M$18,13,FALSE)</f>
        <v>1</v>
      </c>
      <c r="T2272" s="81">
        <f>HLOOKUP(M2272,データについて!$J$7:$M$18,12,FALSE)</f>
        <v>1</v>
      </c>
      <c r="U2272" s="81">
        <f>HLOOKUP(N2272,データについて!$J$8:$M$18,11,FALSE)</f>
        <v>1</v>
      </c>
      <c r="V2272" s="81">
        <f>HLOOKUP(O2272,データについて!$J$9:$M$18,10,FALSE)</f>
        <v>1</v>
      </c>
      <c r="W2272" s="81">
        <f>HLOOKUP(P2272,データについて!$J$10:$M$18,9,FALSE)</f>
        <v>1</v>
      </c>
      <c r="X2272" s="81">
        <f>HLOOKUP(Q2272,データについて!$J$11:$M$18,8,FALSE)</f>
        <v>1</v>
      </c>
      <c r="Y2272" s="81">
        <f>HLOOKUP(R2272,データについて!$J$12:$M$18,7,FALSE)</f>
        <v>2</v>
      </c>
      <c r="Z2272" s="81">
        <f>HLOOKUP(I2272,データについて!$J$3:$M$18,16,FALSE)</f>
        <v>1</v>
      </c>
      <c r="AA2272" s="81">
        <f>IFERROR(HLOOKUP(J2272,データについて!$J$4:$AH$19,16,FALSE),"")</f>
        <v>13</v>
      </c>
      <c r="AB2272" s="81" t="str">
        <f>IFERROR(HLOOKUP(K2272,データについて!$J$5:$AH$20,14,FALSE),"")</f>
        <v/>
      </c>
      <c r="AC2272" s="81">
        <f>IF(X2272=1,HLOOKUP(R2272,データについて!$J$12:$M$18,7,FALSE),"*")</f>
        <v>2</v>
      </c>
      <c r="AD2272" s="81" t="str">
        <f>IF(X2272=2,HLOOKUP(R2272,データについて!$J$12:$M$18,7,FALSE),"*")</f>
        <v>*</v>
      </c>
    </row>
    <row r="2273" spans="1:30">
      <c r="A2273" s="30">
        <v>2919</v>
      </c>
      <c r="B2273" s="30" t="s">
        <v>2549</v>
      </c>
      <c r="C2273" s="30" t="s">
        <v>2550</v>
      </c>
      <c r="D2273" s="30" t="s">
        <v>106</v>
      </c>
      <c r="E2273" s="30"/>
      <c r="F2273" s="30" t="s">
        <v>107</v>
      </c>
      <c r="G2273" s="30" t="s">
        <v>106</v>
      </c>
      <c r="H2273" s="30"/>
      <c r="I2273" s="30" t="s">
        <v>192</v>
      </c>
      <c r="J2273" s="30" t="s">
        <v>2256</v>
      </c>
      <c r="K2273" s="30"/>
      <c r="L2273" s="30" t="s">
        <v>108</v>
      </c>
      <c r="M2273" s="30" t="s">
        <v>109</v>
      </c>
      <c r="N2273" s="30" t="s">
        <v>110</v>
      </c>
      <c r="O2273" s="30" t="s">
        <v>115</v>
      </c>
      <c r="P2273" s="30" t="s">
        <v>112</v>
      </c>
      <c r="Q2273" s="30" t="s">
        <v>112</v>
      </c>
      <c r="R2273" s="30" t="s">
        <v>183</v>
      </c>
      <c r="S2273" s="81">
        <f>HLOOKUP(L2273,データについて!$J$6:$M$18,13,FALSE)</f>
        <v>1</v>
      </c>
      <c r="T2273" s="81">
        <f>HLOOKUP(M2273,データについて!$J$7:$M$18,12,FALSE)</f>
        <v>2</v>
      </c>
      <c r="U2273" s="81">
        <f>HLOOKUP(N2273,データについて!$J$8:$M$18,11,FALSE)</f>
        <v>2</v>
      </c>
      <c r="V2273" s="81">
        <f>HLOOKUP(O2273,データについて!$J$9:$M$18,10,FALSE)</f>
        <v>1</v>
      </c>
      <c r="W2273" s="81">
        <f>HLOOKUP(P2273,データについて!$J$10:$M$18,9,FALSE)</f>
        <v>1</v>
      </c>
      <c r="X2273" s="81">
        <f>HLOOKUP(Q2273,データについて!$J$11:$M$18,8,FALSE)</f>
        <v>1</v>
      </c>
      <c r="Y2273" s="81">
        <f>HLOOKUP(R2273,データについて!$J$12:$M$18,7,FALSE)</f>
        <v>1</v>
      </c>
      <c r="Z2273" s="81">
        <f>HLOOKUP(I2273,データについて!$J$3:$M$18,16,FALSE)</f>
        <v>1</v>
      </c>
      <c r="AA2273" s="81">
        <f>IFERROR(HLOOKUP(J2273,データについて!$J$4:$AH$19,16,FALSE),"")</f>
        <v>13</v>
      </c>
      <c r="AB2273" s="81" t="str">
        <f>IFERROR(HLOOKUP(K2273,データについて!$J$5:$AH$20,14,FALSE),"")</f>
        <v/>
      </c>
      <c r="AC2273" s="81">
        <f>IF(X2273=1,HLOOKUP(R2273,データについて!$J$12:$M$18,7,FALSE),"*")</f>
        <v>1</v>
      </c>
      <c r="AD2273" s="81" t="str">
        <f>IF(X2273=2,HLOOKUP(R2273,データについて!$J$12:$M$18,7,FALSE),"*")</f>
        <v>*</v>
      </c>
    </row>
    <row r="2274" spans="1:30">
      <c r="A2274" s="30">
        <v>2918</v>
      </c>
      <c r="B2274" s="30" t="s">
        <v>2551</v>
      </c>
      <c r="C2274" s="30" t="s">
        <v>2552</v>
      </c>
      <c r="D2274" s="30" t="s">
        <v>106</v>
      </c>
      <c r="E2274" s="30"/>
      <c r="F2274" s="30" t="s">
        <v>107</v>
      </c>
      <c r="G2274" s="30" t="s">
        <v>106</v>
      </c>
      <c r="H2274" s="30"/>
      <c r="I2274" s="30" t="s">
        <v>192</v>
      </c>
      <c r="J2274" s="30" t="s">
        <v>2256</v>
      </c>
      <c r="K2274" s="30"/>
      <c r="L2274" s="30" t="s">
        <v>108</v>
      </c>
      <c r="M2274" s="30" t="s">
        <v>109</v>
      </c>
      <c r="N2274" s="30" t="s">
        <v>114</v>
      </c>
      <c r="O2274" s="30" t="s">
        <v>115</v>
      </c>
      <c r="P2274" s="30" t="s">
        <v>112</v>
      </c>
      <c r="Q2274" s="30" t="s">
        <v>112</v>
      </c>
      <c r="R2274" s="30" t="s">
        <v>185</v>
      </c>
      <c r="S2274" s="81">
        <f>HLOOKUP(L2274,データについて!$J$6:$M$18,13,FALSE)</f>
        <v>1</v>
      </c>
      <c r="T2274" s="81">
        <f>HLOOKUP(M2274,データについて!$J$7:$M$18,12,FALSE)</f>
        <v>2</v>
      </c>
      <c r="U2274" s="81">
        <f>HLOOKUP(N2274,データについて!$J$8:$M$18,11,FALSE)</f>
        <v>1</v>
      </c>
      <c r="V2274" s="81">
        <f>HLOOKUP(O2274,データについて!$J$9:$M$18,10,FALSE)</f>
        <v>1</v>
      </c>
      <c r="W2274" s="81">
        <f>HLOOKUP(P2274,データについて!$J$10:$M$18,9,FALSE)</f>
        <v>1</v>
      </c>
      <c r="X2274" s="81">
        <f>HLOOKUP(Q2274,データについて!$J$11:$M$18,8,FALSE)</f>
        <v>1</v>
      </c>
      <c r="Y2274" s="81">
        <f>HLOOKUP(R2274,データについて!$J$12:$M$18,7,FALSE)</f>
        <v>2</v>
      </c>
      <c r="Z2274" s="81">
        <f>HLOOKUP(I2274,データについて!$J$3:$M$18,16,FALSE)</f>
        <v>1</v>
      </c>
      <c r="AA2274" s="81">
        <f>IFERROR(HLOOKUP(J2274,データについて!$J$4:$AH$19,16,FALSE),"")</f>
        <v>13</v>
      </c>
      <c r="AB2274" s="81" t="str">
        <f>IFERROR(HLOOKUP(K2274,データについて!$J$5:$AH$20,14,FALSE),"")</f>
        <v/>
      </c>
      <c r="AC2274" s="81">
        <f>IF(X2274=1,HLOOKUP(R2274,データについて!$J$12:$M$18,7,FALSE),"*")</f>
        <v>2</v>
      </c>
      <c r="AD2274" s="81" t="str">
        <f>IF(X2274=2,HLOOKUP(R2274,データについて!$J$12:$M$18,7,FALSE),"*")</f>
        <v>*</v>
      </c>
    </row>
    <row r="2275" spans="1:30">
      <c r="A2275" s="30">
        <v>2917</v>
      </c>
      <c r="B2275" s="30" t="s">
        <v>2553</v>
      </c>
      <c r="C2275" s="30" t="s">
        <v>2554</v>
      </c>
      <c r="D2275" s="30" t="s">
        <v>106</v>
      </c>
      <c r="E2275" s="30"/>
      <c r="F2275" s="30" t="s">
        <v>107</v>
      </c>
      <c r="G2275" s="30" t="s">
        <v>106</v>
      </c>
      <c r="H2275" s="30"/>
      <c r="I2275" s="30" t="s">
        <v>192</v>
      </c>
      <c r="J2275" s="30" t="s">
        <v>2256</v>
      </c>
      <c r="K2275" s="30"/>
      <c r="L2275" s="30" t="s">
        <v>108</v>
      </c>
      <c r="M2275" s="30" t="s">
        <v>113</v>
      </c>
      <c r="N2275" s="30" t="s">
        <v>110</v>
      </c>
      <c r="O2275" s="30" t="s">
        <v>115</v>
      </c>
      <c r="P2275" s="30" t="s">
        <v>112</v>
      </c>
      <c r="Q2275" s="30" t="s">
        <v>118</v>
      </c>
      <c r="R2275" s="30" t="s">
        <v>189</v>
      </c>
      <c r="S2275" s="81">
        <f>HLOOKUP(L2275,データについて!$J$6:$M$18,13,FALSE)</f>
        <v>1</v>
      </c>
      <c r="T2275" s="81">
        <f>HLOOKUP(M2275,データについて!$J$7:$M$18,12,FALSE)</f>
        <v>1</v>
      </c>
      <c r="U2275" s="81">
        <f>HLOOKUP(N2275,データについて!$J$8:$M$18,11,FALSE)</f>
        <v>2</v>
      </c>
      <c r="V2275" s="81">
        <f>HLOOKUP(O2275,データについて!$J$9:$M$18,10,FALSE)</f>
        <v>1</v>
      </c>
      <c r="W2275" s="81">
        <f>HLOOKUP(P2275,データについて!$J$10:$M$18,9,FALSE)</f>
        <v>1</v>
      </c>
      <c r="X2275" s="81">
        <f>HLOOKUP(Q2275,データについて!$J$11:$M$18,8,FALSE)</f>
        <v>2</v>
      </c>
      <c r="Y2275" s="81">
        <f>HLOOKUP(R2275,データについて!$J$12:$M$18,7,FALSE)</f>
        <v>4</v>
      </c>
      <c r="Z2275" s="81">
        <f>HLOOKUP(I2275,データについて!$J$3:$M$18,16,FALSE)</f>
        <v>1</v>
      </c>
      <c r="AA2275" s="81">
        <f>IFERROR(HLOOKUP(J2275,データについて!$J$4:$AH$19,16,FALSE),"")</f>
        <v>13</v>
      </c>
      <c r="AB2275" s="81" t="str">
        <f>IFERROR(HLOOKUP(K2275,データについて!$J$5:$AH$20,14,FALSE),"")</f>
        <v/>
      </c>
      <c r="AC2275" s="81" t="str">
        <f>IF(X2275=1,HLOOKUP(R2275,データについて!$J$12:$M$18,7,FALSE),"*")</f>
        <v>*</v>
      </c>
      <c r="AD2275" s="81">
        <f>IF(X2275=2,HLOOKUP(R2275,データについて!$J$12:$M$18,7,FALSE),"*")</f>
        <v>4</v>
      </c>
    </row>
    <row r="2276" spans="1:30">
      <c r="A2276" s="30">
        <v>2916</v>
      </c>
      <c r="B2276" s="30" t="s">
        <v>2555</v>
      </c>
      <c r="C2276" s="30" t="s">
        <v>2556</v>
      </c>
      <c r="D2276" s="30" t="s">
        <v>106</v>
      </c>
      <c r="E2276" s="30"/>
      <c r="F2276" s="30" t="s">
        <v>107</v>
      </c>
      <c r="G2276" s="30" t="s">
        <v>106</v>
      </c>
      <c r="H2276" s="30"/>
      <c r="I2276" s="30" t="s">
        <v>192</v>
      </c>
      <c r="J2276" s="30" t="s">
        <v>2256</v>
      </c>
      <c r="K2276" s="30"/>
      <c r="L2276" s="30" t="s">
        <v>117</v>
      </c>
      <c r="M2276" s="30" t="s">
        <v>109</v>
      </c>
      <c r="N2276" s="30" t="s">
        <v>114</v>
      </c>
      <c r="O2276" s="30" t="s">
        <v>115</v>
      </c>
      <c r="P2276" s="30" t="s">
        <v>112</v>
      </c>
      <c r="Q2276" s="30" t="s">
        <v>112</v>
      </c>
      <c r="R2276" s="30" t="s">
        <v>185</v>
      </c>
      <c r="S2276" s="81">
        <f>HLOOKUP(L2276,データについて!$J$6:$M$18,13,FALSE)</f>
        <v>2</v>
      </c>
      <c r="T2276" s="81">
        <f>HLOOKUP(M2276,データについて!$J$7:$M$18,12,FALSE)</f>
        <v>2</v>
      </c>
      <c r="U2276" s="81">
        <f>HLOOKUP(N2276,データについて!$J$8:$M$18,11,FALSE)</f>
        <v>1</v>
      </c>
      <c r="V2276" s="81">
        <f>HLOOKUP(O2276,データについて!$J$9:$M$18,10,FALSE)</f>
        <v>1</v>
      </c>
      <c r="W2276" s="81">
        <f>HLOOKUP(P2276,データについて!$J$10:$M$18,9,FALSE)</f>
        <v>1</v>
      </c>
      <c r="X2276" s="81">
        <f>HLOOKUP(Q2276,データについて!$J$11:$M$18,8,FALSE)</f>
        <v>1</v>
      </c>
      <c r="Y2276" s="81">
        <f>HLOOKUP(R2276,データについて!$J$12:$M$18,7,FALSE)</f>
        <v>2</v>
      </c>
      <c r="Z2276" s="81">
        <f>HLOOKUP(I2276,データについて!$J$3:$M$18,16,FALSE)</f>
        <v>1</v>
      </c>
      <c r="AA2276" s="81">
        <f>IFERROR(HLOOKUP(J2276,データについて!$J$4:$AH$19,16,FALSE),"")</f>
        <v>13</v>
      </c>
      <c r="AB2276" s="81" t="str">
        <f>IFERROR(HLOOKUP(K2276,データについて!$J$5:$AH$20,14,FALSE),"")</f>
        <v/>
      </c>
      <c r="AC2276" s="81">
        <f>IF(X2276=1,HLOOKUP(R2276,データについて!$J$12:$M$18,7,FALSE),"*")</f>
        <v>2</v>
      </c>
      <c r="AD2276" s="81" t="str">
        <f>IF(X2276=2,HLOOKUP(R2276,データについて!$J$12:$M$18,7,FALSE),"*")</f>
        <v>*</v>
      </c>
    </row>
    <row r="2277" spans="1:30">
      <c r="A2277" s="30">
        <v>2915</v>
      </c>
      <c r="B2277" s="30" t="s">
        <v>2557</v>
      </c>
      <c r="C2277" s="30" t="s">
        <v>2558</v>
      </c>
      <c r="D2277" s="30" t="s">
        <v>106</v>
      </c>
      <c r="E2277" s="30"/>
      <c r="F2277" s="30" t="s">
        <v>107</v>
      </c>
      <c r="G2277" s="30" t="s">
        <v>106</v>
      </c>
      <c r="H2277" s="30"/>
      <c r="I2277" s="30" t="s">
        <v>192</v>
      </c>
      <c r="J2277" s="30" t="s">
        <v>2256</v>
      </c>
      <c r="K2277" s="30"/>
      <c r="L2277" s="30" t="s">
        <v>108</v>
      </c>
      <c r="M2277" s="30" t="s">
        <v>109</v>
      </c>
      <c r="N2277" s="30" t="s">
        <v>110</v>
      </c>
      <c r="O2277" s="30" t="s">
        <v>116</v>
      </c>
      <c r="P2277" s="30" t="s">
        <v>112</v>
      </c>
      <c r="Q2277" s="30" t="s">
        <v>112</v>
      </c>
      <c r="R2277" s="30" t="s">
        <v>187</v>
      </c>
      <c r="S2277" s="81">
        <f>HLOOKUP(L2277,データについて!$J$6:$M$18,13,FALSE)</f>
        <v>1</v>
      </c>
      <c r="T2277" s="81">
        <f>HLOOKUP(M2277,データについて!$J$7:$M$18,12,FALSE)</f>
        <v>2</v>
      </c>
      <c r="U2277" s="81">
        <f>HLOOKUP(N2277,データについて!$J$8:$M$18,11,FALSE)</f>
        <v>2</v>
      </c>
      <c r="V2277" s="81">
        <f>HLOOKUP(O2277,データについて!$J$9:$M$18,10,FALSE)</f>
        <v>2</v>
      </c>
      <c r="W2277" s="81">
        <f>HLOOKUP(P2277,データについて!$J$10:$M$18,9,FALSE)</f>
        <v>1</v>
      </c>
      <c r="X2277" s="81">
        <f>HLOOKUP(Q2277,データについて!$J$11:$M$18,8,FALSE)</f>
        <v>1</v>
      </c>
      <c r="Y2277" s="81">
        <f>HLOOKUP(R2277,データについて!$J$12:$M$18,7,FALSE)</f>
        <v>3</v>
      </c>
      <c r="Z2277" s="81">
        <f>HLOOKUP(I2277,データについて!$J$3:$M$18,16,FALSE)</f>
        <v>1</v>
      </c>
      <c r="AA2277" s="81">
        <f>IFERROR(HLOOKUP(J2277,データについて!$J$4:$AH$19,16,FALSE),"")</f>
        <v>13</v>
      </c>
      <c r="AB2277" s="81" t="str">
        <f>IFERROR(HLOOKUP(K2277,データについて!$J$5:$AH$20,14,FALSE),"")</f>
        <v/>
      </c>
      <c r="AC2277" s="81">
        <f>IF(X2277=1,HLOOKUP(R2277,データについて!$J$12:$M$18,7,FALSE),"*")</f>
        <v>3</v>
      </c>
      <c r="AD2277" s="81" t="str">
        <f>IF(X2277=2,HLOOKUP(R2277,データについて!$J$12:$M$18,7,FALSE),"*")</f>
        <v>*</v>
      </c>
    </row>
    <row r="2278" spans="1:30">
      <c r="A2278" s="30">
        <v>2914</v>
      </c>
      <c r="B2278" s="30" t="s">
        <v>2559</v>
      </c>
      <c r="C2278" s="30" t="s">
        <v>2560</v>
      </c>
      <c r="D2278" s="30" t="s">
        <v>106</v>
      </c>
      <c r="E2278" s="30"/>
      <c r="F2278" s="30" t="s">
        <v>107</v>
      </c>
      <c r="G2278" s="30" t="s">
        <v>106</v>
      </c>
      <c r="H2278" s="30"/>
      <c r="I2278" s="30" t="s">
        <v>192</v>
      </c>
      <c r="J2278" s="30" t="s">
        <v>2256</v>
      </c>
      <c r="K2278" s="30"/>
      <c r="L2278" s="30" t="s">
        <v>108</v>
      </c>
      <c r="M2278" s="30" t="s">
        <v>109</v>
      </c>
      <c r="N2278" s="30" t="s">
        <v>114</v>
      </c>
      <c r="O2278" s="30" t="s">
        <v>115</v>
      </c>
      <c r="P2278" s="30" t="s">
        <v>112</v>
      </c>
      <c r="Q2278" s="30" t="s">
        <v>112</v>
      </c>
      <c r="R2278" s="30" t="s">
        <v>185</v>
      </c>
      <c r="S2278" s="81">
        <f>HLOOKUP(L2278,データについて!$J$6:$M$18,13,FALSE)</f>
        <v>1</v>
      </c>
      <c r="T2278" s="81">
        <f>HLOOKUP(M2278,データについて!$J$7:$M$18,12,FALSE)</f>
        <v>2</v>
      </c>
      <c r="U2278" s="81">
        <f>HLOOKUP(N2278,データについて!$J$8:$M$18,11,FALSE)</f>
        <v>1</v>
      </c>
      <c r="V2278" s="81">
        <f>HLOOKUP(O2278,データについて!$J$9:$M$18,10,FALSE)</f>
        <v>1</v>
      </c>
      <c r="W2278" s="81">
        <f>HLOOKUP(P2278,データについて!$J$10:$M$18,9,FALSE)</f>
        <v>1</v>
      </c>
      <c r="X2278" s="81">
        <f>HLOOKUP(Q2278,データについて!$J$11:$M$18,8,FALSE)</f>
        <v>1</v>
      </c>
      <c r="Y2278" s="81">
        <f>HLOOKUP(R2278,データについて!$J$12:$M$18,7,FALSE)</f>
        <v>2</v>
      </c>
      <c r="Z2278" s="81">
        <f>HLOOKUP(I2278,データについて!$J$3:$M$18,16,FALSE)</f>
        <v>1</v>
      </c>
      <c r="AA2278" s="81">
        <f>IFERROR(HLOOKUP(J2278,データについて!$J$4:$AH$19,16,FALSE),"")</f>
        <v>13</v>
      </c>
      <c r="AB2278" s="81" t="str">
        <f>IFERROR(HLOOKUP(K2278,データについて!$J$5:$AH$20,14,FALSE),"")</f>
        <v/>
      </c>
      <c r="AC2278" s="81">
        <f>IF(X2278=1,HLOOKUP(R2278,データについて!$J$12:$M$18,7,FALSE),"*")</f>
        <v>2</v>
      </c>
      <c r="AD2278" s="81" t="str">
        <f>IF(X2278=2,HLOOKUP(R2278,データについて!$J$12:$M$18,7,FALSE),"*")</f>
        <v>*</v>
      </c>
    </row>
    <row r="2279" spans="1:30">
      <c r="A2279" s="30">
        <v>2913</v>
      </c>
      <c r="B2279" s="30" t="s">
        <v>2561</v>
      </c>
      <c r="C2279" s="30" t="s">
        <v>2562</v>
      </c>
      <c r="D2279" s="30" t="s">
        <v>106</v>
      </c>
      <c r="E2279" s="30"/>
      <c r="F2279" s="30" t="s">
        <v>107</v>
      </c>
      <c r="G2279" s="30" t="s">
        <v>106</v>
      </c>
      <c r="H2279" s="30"/>
      <c r="I2279" s="30" t="s">
        <v>192</v>
      </c>
      <c r="J2279" s="30" t="s">
        <v>2256</v>
      </c>
      <c r="K2279" s="30"/>
      <c r="L2279" s="30" t="s">
        <v>117</v>
      </c>
      <c r="M2279" s="30" t="s">
        <v>113</v>
      </c>
      <c r="N2279" s="30" t="s">
        <v>110</v>
      </c>
      <c r="O2279" s="30" t="s">
        <v>115</v>
      </c>
      <c r="P2279" s="30" t="s">
        <v>112</v>
      </c>
      <c r="Q2279" s="30" t="s">
        <v>112</v>
      </c>
      <c r="R2279" s="30" t="s">
        <v>185</v>
      </c>
      <c r="S2279" s="81">
        <f>HLOOKUP(L2279,データについて!$J$6:$M$18,13,FALSE)</f>
        <v>2</v>
      </c>
      <c r="T2279" s="81">
        <f>HLOOKUP(M2279,データについて!$J$7:$M$18,12,FALSE)</f>
        <v>1</v>
      </c>
      <c r="U2279" s="81">
        <f>HLOOKUP(N2279,データについて!$J$8:$M$18,11,FALSE)</f>
        <v>2</v>
      </c>
      <c r="V2279" s="81">
        <f>HLOOKUP(O2279,データについて!$J$9:$M$18,10,FALSE)</f>
        <v>1</v>
      </c>
      <c r="W2279" s="81">
        <f>HLOOKUP(P2279,データについて!$J$10:$M$18,9,FALSE)</f>
        <v>1</v>
      </c>
      <c r="X2279" s="81">
        <f>HLOOKUP(Q2279,データについて!$J$11:$M$18,8,FALSE)</f>
        <v>1</v>
      </c>
      <c r="Y2279" s="81">
        <f>HLOOKUP(R2279,データについて!$J$12:$M$18,7,FALSE)</f>
        <v>2</v>
      </c>
      <c r="Z2279" s="81">
        <f>HLOOKUP(I2279,データについて!$J$3:$M$18,16,FALSE)</f>
        <v>1</v>
      </c>
      <c r="AA2279" s="81">
        <f>IFERROR(HLOOKUP(J2279,データについて!$J$4:$AH$19,16,FALSE),"")</f>
        <v>13</v>
      </c>
      <c r="AB2279" s="81" t="str">
        <f>IFERROR(HLOOKUP(K2279,データについて!$J$5:$AH$20,14,FALSE),"")</f>
        <v/>
      </c>
      <c r="AC2279" s="81">
        <f>IF(X2279=1,HLOOKUP(R2279,データについて!$J$12:$M$18,7,FALSE),"*")</f>
        <v>2</v>
      </c>
      <c r="AD2279" s="81" t="str">
        <f>IF(X2279=2,HLOOKUP(R2279,データについて!$J$12:$M$18,7,FALSE),"*")</f>
        <v>*</v>
      </c>
    </row>
    <row r="2280" spans="1:30">
      <c r="A2280" s="30">
        <v>2912</v>
      </c>
      <c r="B2280" s="30" t="s">
        <v>2563</v>
      </c>
      <c r="C2280" s="30" t="s">
        <v>2564</v>
      </c>
      <c r="D2280" s="30" t="s">
        <v>106</v>
      </c>
      <c r="E2280" s="30"/>
      <c r="F2280" s="30" t="s">
        <v>107</v>
      </c>
      <c r="G2280" s="30" t="s">
        <v>106</v>
      </c>
      <c r="H2280" s="30"/>
      <c r="I2280" s="30" t="s">
        <v>192</v>
      </c>
      <c r="J2280" s="30" t="s">
        <v>2256</v>
      </c>
      <c r="K2280" s="30"/>
      <c r="L2280" s="30" t="s">
        <v>108</v>
      </c>
      <c r="M2280" s="30" t="s">
        <v>109</v>
      </c>
      <c r="N2280" s="30" t="s">
        <v>110</v>
      </c>
      <c r="O2280" s="30" t="s">
        <v>116</v>
      </c>
      <c r="P2280" s="30" t="s">
        <v>112</v>
      </c>
      <c r="Q2280" s="30" t="s">
        <v>118</v>
      </c>
      <c r="R2280" s="30" t="s">
        <v>187</v>
      </c>
      <c r="S2280" s="81">
        <f>HLOOKUP(L2280,データについて!$J$6:$M$18,13,FALSE)</f>
        <v>1</v>
      </c>
      <c r="T2280" s="81">
        <f>HLOOKUP(M2280,データについて!$J$7:$M$18,12,FALSE)</f>
        <v>2</v>
      </c>
      <c r="U2280" s="81">
        <f>HLOOKUP(N2280,データについて!$J$8:$M$18,11,FALSE)</f>
        <v>2</v>
      </c>
      <c r="V2280" s="81">
        <f>HLOOKUP(O2280,データについて!$J$9:$M$18,10,FALSE)</f>
        <v>2</v>
      </c>
      <c r="W2280" s="81">
        <f>HLOOKUP(P2280,データについて!$J$10:$M$18,9,FALSE)</f>
        <v>1</v>
      </c>
      <c r="X2280" s="81">
        <f>HLOOKUP(Q2280,データについて!$J$11:$M$18,8,FALSE)</f>
        <v>2</v>
      </c>
      <c r="Y2280" s="81">
        <f>HLOOKUP(R2280,データについて!$J$12:$M$18,7,FALSE)</f>
        <v>3</v>
      </c>
      <c r="Z2280" s="81">
        <f>HLOOKUP(I2280,データについて!$J$3:$M$18,16,FALSE)</f>
        <v>1</v>
      </c>
      <c r="AA2280" s="81">
        <f>IFERROR(HLOOKUP(J2280,データについて!$J$4:$AH$19,16,FALSE),"")</f>
        <v>13</v>
      </c>
      <c r="AB2280" s="81" t="str">
        <f>IFERROR(HLOOKUP(K2280,データについて!$J$5:$AH$20,14,FALSE),"")</f>
        <v/>
      </c>
      <c r="AC2280" s="81" t="str">
        <f>IF(X2280=1,HLOOKUP(R2280,データについて!$J$12:$M$18,7,FALSE),"*")</f>
        <v>*</v>
      </c>
      <c r="AD2280" s="81">
        <f>IF(X2280=2,HLOOKUP(R2280,データについて!$J$12:$M$18,7,FALSE),"*")</f>
        <v>3</v>
      </c>
    </row>
    <row r="2281" spans="1:30">
      <c r="A2281" s="30">
        <v>2911</v>
      </c>
      <c r="B2281" s="30" t="s">
        <v>2565</v>
      </c>
      <c r="C2281" s="30" t="s">
        <v>2566</v>
      </c>
      <c r="D2281" s="30" t="s">
        <v>106</v>
      </c>
      <c r="E2281" s="30"/>
      <c r="F2281" s="30" t="s">
        <v>107</v>
      </c>
      <c r="G2281" s="30" t="s">
        <v>106</v>
      </c>
      <c r="H2281" s="30"/>
      <c r="I2281" s="30" t="s">
        <v>192</v>
      </c>
      <c r="J2281" s="30" t="s">
        <v>2256</v>
      </c>
      <c r="K2281" s="30"/>
      <c r="L2281" s="30" t="s">
        <v>108</v>
      </c>
      <c r="M2281" s="30" t="s">
        <v>109</v>
      </c>
      <c r="N2281" s="30" t="s">
        <v>122</v>
      </c>
      <c r="O2281" s="30" t="s">
        <v>116</v>
      </c>
      <c r="P2281" s="30" t="s">
        <v>112</v>
      </c>
      <c r="Q2281" s="30" t="s">
        <v>118</v>
      </c>
      <c r="R2281" s="30" t="s">
        <v>183</v>
      </c>
      <c r="S2281" s="81">
        <f>HLOOKUP(L2281,データについて!$J$6:$M$18,13,FALSE)</f>
        <v>1</v>
      </c>
      <c r="T2281" s="81">
        <f>HLOOKUP(M2281,データについて!$J$7:$M$18,12,FALSE)</f>
        <v>2</v>
      </c>
      <c r="U2281" s="81">
        <f>HLOOKUP(N2281,データについて!$J$8:$M$18,11,FALSE)</f>
        <v>3</v>
      </c>
      <c r="V2281" s="81">
        <f>HLOOKUP(O2281,データについて!$J$9:$M$18,10,FALSE)</f>
        <v>2</v>
      </c>
      <c r="W2281" s="81">
        <f>HLOOKUP(P2281,データについて!$J$10:$M$18,9,FALSE)</f>
        <v>1</v>
      </c>
      <c r="X2281" s="81">
        <f>HLOOKUP(Q2281,データについて!$J$11:$M$18,8,FALSE)</f>
        <v>2</v>
      </c>
      <c r="Y2281" s="81">
        <f>HLOOKUP(R2281,データについて!$J$12:$M$18,7,FALSE)</f>
        <v>1</v>
      </c>
      <c r="Z2281" s="81">
        <f>HLOOKUP(I2281,データについて!$J$3:$M$18,16,FALSE)</f>
        <v>1</v>
      </c>
      <c r="AA2281" s="81">
        <f>IFERROR(HLOOKUP(J2281,データについて!$J$4:$AH$19,16,FALSE),"")</f>
        <v>13</v>
      </c>
      <c r="AB2281" s="81" t="str">
        <f>IFERROR(HLOOKUP(K2281,データについて!$J$5:$AH$20,14,FALSE),"")</f>
        <v/>
      </c>
      <c r="AC2281" s="81" t="str">
        <f>IF(X2281=1,HLOOKUP(R2281,データについて!$J$12:$M$18,7,FALSE),"*")</f>
        <v>*</v>
      </c>
      <c r="AD2281" s="81">
        <f>IF(X2281=2,HLOOKUP(R2281,データについて!$J$12:$M$18,7,FALSE),"*")</f>
        <v>1</v>
      </c>
    </row>
    <row r="2282" spans="1:30">
      <c r="A2282" s="30">
        <v>2910</v>
      </c>
      <c r="B2282" s="30" t="s">
        <v>2567</v>
      </c>
      <c r="C2282" s="30" t="s">
        <v>2568</v>
      </c>
      <c r="D2282" s="30" t="s">
        <v>106</v>
      </c>
      <c r="E2282" s="30"/>
      <c r="F2282" s="30" t="s">
        <v>107</v>
      </c>
      <c r="G2282" s="30" t="s">
        <v>106</v>
      </c>
      <c r="H2282" s="30"/>
      <c r="I2282" s="30" t="s">
        <v>192</v>
      </c>
      <c r="J2282" s="30" t="s">
        <v>2256</v>
      </c>
      <c r="K2282" s="30"/>
      <c r="L2282" s="30" t="s">
        <v>117</v>
      </c>
      <c r="M2282" s="30" t="s">
        <v>113</v>
      </c>
      <c r="N2282" s="30" t="s">
        <v>114</v>
      </c>
      <c r="O2282" s="30" t="s">
        <v>115</v>
      </c>
      <c r="P2282" s="30" t="s">
        <v>112</v>
      </c>
      <c r="Q2282" s="30" t="s">
        <v>112</v>
      </c>
      <c r="R2282" s="30" t="s">
        <v>185</v>
      </c>
      <c r="S2282" s="81">
        <f>HLOOKUP(L2282,データについて!$J$6:$M$18,13,FALSE)</f>
        <v>2</v>
      </c>
      <c r="T2282" s="81">
        <f>HLOOKUP(M2282,データについて!$J$7:$M$18,12,FALSE)</f>
        <v>1</v>
      </c>
      <c r="U2282" s="81">
        <f>HLOOKUP(N2282,データについて!$J$8:$M$18,11,FALSE)</f>
        <v>1</v>
      </c>
      <c r="V2282" s="81">
        <f>HLOOKUP(O2282,データについて!$J$9:$M$18,10,FALSE)</f>
        <v>1</v>
      </c>
      <c r="W2282" s="81">
        <f>HLOOKUP(P2282,データについて!$J$10:$M$18,9,FALSE)</f>
        <v>1</v>
      </c>
      <c r="X2282" s="81">
        <f>HLOOKUP(Q2282,データについて!$J$11:$M$18,8,FALSE)</f>
        <v>1</v>
      </c>
      <c r="Y2282" s="81">
        <f>HLOOKUP(R2282,データについて!$J$12:$M$18,7,FALSE)</f>
        <v>2</v>
      </c>
      <c r="Z2282" s="81">
        <f>HLOOKUP(I2282,データについて!$J$3:$M$18,16,FALSE)</f>
        <v>1</v>
      </c>
      <c r="AA2282" s="81">
        <f>IFERROR(HLOOKUP(J2282,データについて!$J$4:$AH$19,16,FALSE),"")</f>
        <v>13</v>
      </c>
      <c r="AB2282" s="81" t="str">
        <f>IFERROR(HLOOKUP(K2282,データについて!$J$5:$AH$20,14,FALSE),"")</f>
        <v/>
      </c>
      <c r="AC2282" s="81">
        <f>IF(X2282=1,HLOOKUP(R2282,データについて!$J$12:$M$18,7,FALSE),"*")</f>
        <v>2</v>
      </c>
      <c r="AD2282" s="81" t="str">
        <f>IF(X2282=2,HLOOKUP(R2282,データについて!$J$12:$M$18,7,FALSE),"*")</f>
        <v>*</v>
      </c>
    </row>
    <row r="2283" spans="1:30">
      <c r="A2283" s="30">
        <v>2909</v>
      </c>
      <c r="B2283" s="30" t="s">
        <v>2569</v>
      </c>
      <c r="C2283" s="30" t="s">
        <v>2570</v>
      </c>
      <c r="D2283" s="30" t="s">
        <v>106</v>
      </c>
      <c r="E2283" s="30"/>
      <c r="F2283" s="30" t="s">
        <v>107</v>
      </c>
      <c r="G2283" s="30" t="s">
        <v>106</v>
      </c>
      <c r="H2283" s="30"/>
      <c r="I2283" s="30" t="s">
        <v>192</v>
      </c>
      <c r="J2283" s="30" t="s">
        <v>2256</v>
      </c>
      <c r="K2283" s="30"/>
      <c r="L2283" s="30" t="s">
        <v>117</v>
      </c>
      <c r="M2283" s="30" t="s">
        <v>109</v>
      </c>
      <c r="N2283" s="30" t="s">
        <v>110</v>
      </c>
      <c r="O2283" s="30" t="s">
        <v>115</v>
      </c>
      <c r="P2283" s="30" t="s">
        <v>112</v>
      </c>
      <c r="Q2283" s="30" t="s">
        <v>112</v>
      </c>
      <c r="R2283" s="30" t="s">
        <v>187</v>
      </c>
      <c r="S2283" s="81">
        <f>HLOOKUP(L2283,データについて!$J$6:$M$18,13,FALSE)</f>
        <v>2</v>
      </c>
      <c r="T2283" s="81">
        <f>HLOOKUP(M2283,データについて!$J$7:$M$18,12,FALSE)</f>
        <v>2</v>
      </c>
      <c r="U2283" s="81">
        <f>HLOOKUP(N2283,データについて!$J$8:$M$18,11,FALSE)</f>
        <v>2</v>
      </c>
      <c r="V2283" s="81">
        <f>HLOOKUP(O2283,データについて!$J$9:$M$18,10,FALSE)</f>
        <v>1</v>
      </c>
      <c r="W2283" s="81">
        <f>HLOOKUP(P2283,データについて!$J$10:$M$18,9,FALSE)</f>
        <v>1</v>
      </c>
      <c r="X2283" s="81">
        <f>HLOOKUP(Q2283,データについて!$J$11:$M$18,8,FALSE)</f>
        <v>1</v>
      </c>
      <c r="Y2283" s="81">
        <f>HLOOKUP(R2283,データについて!$J$12:$M$18,7,FALSE)</f>
        <v>3</v>
      </c>
      <c r="Z2283" s="81">
        <f>HLOOKUP(I2283,データについて!$J$3:$M$18,16,FALSE)</f>
        <v>1</v>
      </c>
      <c r="AA2283" s="81">
        <f>IFERROR(HLOOKUP(J2283,データについて!$J$4:$AH$19,16,FALSE),"")</f>
        <v>13</v>
      </c>
      <c r="AB2283" s="81" t="str">
        <f>IFERROR(HLOOKUP(K2283,データについて!$J$5:$AH$20,14,FALSE),"")</f>
        <v/>
      </c>
      <c r="AC2283" s="81">
        <f>IF(X2283=1,HLOOKUP(R2283,データについて!$J$12:$M$18,7,FALSE),"*")</f>
        <v>3</v>
      </c>
      <c r="AD2283" s="81" t="str">
        <f>IF(X2283=2,HLOOKUP(R2283,データについて!$J$12:$M$18,7,FALSE),"*")</f>
        <v>*</v>
      </c>
    </row>
    <row r="2284" spans="1:30">
      <c r="A2284" s="30">
        <v>2908</v>
      </c>
      <c r="B2284" s="30" t="s">
        <v>2571</v>
      </c>
      <c r="C2284" s="30" t="s">
        <v>2570</v>
      </c>
      <c r="D2284" s="30" t="s">
        <v>106</v>
      </c>
      <c r="E2284" s="30"/>
      <c r="F2284" s="30" t="s">
        <v>107</v>
      </c>
      <c r="G2284" s="30" t="s">
        <v>106</v>
      </c>
      <c r="H2284" s="30"/>
      <c r="I2284" s="30" t="s">
        <v>192</v>
      </c>
      <c r="J2284" s="30" t="s">
        <v>2256</v>
      </c>
      <c r="K2284" s="30"/>
      <c r="L2284" s="30" t="s">
        <v>117</v>
      </c>
      <c r="M2284" s="30" t="s">
        <v>109</v>
      </c>
      <c r="N2284" s="30" t="s">
        <v>122</v>
      </c>
      <c r="O2284" s="30" t="s">
        <v>115</v>
      </c>
      <c r="P2284" s="30" t="s">
        <v>112</v>
      </c>
      <c r="Q2284" s="30" t="s">
        <v>112</v>
      </c>
      <c r="R2284" s="30" t="s">
        <v>187</v>
      </c>
      <c r="S2284" s="81">
        <f>HLOOKUP(L2284,データについて!$J$6:$M$18,13,FALSE)</f>
        <v>2</v>
      </c>
      <c r="T2284" s="81">
        <f>HLOOKUP(M2284,データについて!$J$7:$M$18,12,FALSE)</f>
        <v>2</v>
      </c>
      <c r="U2284" s="81">
        <f>HLOOKUP(N2284,データについて!$J$8:$M$18,11,FALSE)</f>
        <v>3</v>
      </c>
      <c r="V2284" s="81">
        <f>HLOOKUP(O2284,データについて!$J$9:$M$18,10,FALSE)</f>
        <v>1</v>
      </c>
      <c r="W2284" s="81">
        <f>HLOOKUP(P2284,データについて!$J$10:$M$18,9,FALSE)</f>
        <v>1</v>
      </c>
      <c r="X2284" s="81">
        <f>HLOOKUP(Q2284,データについて!$J$11:$M$18,8,FALSE)</f>
        <v>1</v>
      </c>
      <c r="Y2284" s="81">
        <f>HLOOKUP(R2284,データについて!$J$12:$M$18,7,FALSE)</f>
        <v>3</v>
      </c>
      <c r="Z2284" s="81">
        <f>HLOOKUP(I2284,データについて!$J$3:$M$18,16,FALSE)</f>
        <v>1</v>
      </c>
      <c r="AA2284" s="81">
        <f>IFERROR(HLOOKUP(J2284,データについて!$J$4:$AH$19,16,FALSE),"")</f>
        <v>13</v>
      </c>
      <c r="AB2284" s="81" t="str">
        <f>IFERROR(HLOOKUP(K2284,データについて!$J$5:$AH$20,14,FALSE),"")</f>
        <v/>
      </c>
      <c r="AC2284" s="81">
        <f>IF(X2284=1,HLOOKUP(R2284,データについて!$J$12:$M$18,7,FALSE),"*")</f>
        <v>3</v>
      </c>
      <c r="AD2284" s="81" t="str">
        <f>IF(X2284=2,HLOOKUP(R2284,データについて!$J$12:$M$18,7,FALSE),"*")</f>
        <v>*</v>
      </c>
    </row>
    <row r="2285" spans="1:30">
      <c r="A2285" s="30">
        <v>2907</v>
      </c>
      <c r="B2285" s="30" t="s">
        <v>2572</v>
      </c>
      <c r="C2285" s="30" t="s">
        <v>2573</v>
      </c>
      <c r="D2285" s="30" t="s">
        <v>106</v>
      </c>
      <c r="E2285" s="30"/>
      <c r="F2285" s="30" t="s">
        <v>107</v>
      </c>
      <c r="G2285" s="30" t="s">
        <v>106</v>
      </c>
      <c r="H2285" s="30"/>
      <c r="I2285" s="30" t="s">
        <v>192</v>
      </c>
      <c r="J2285" s="30" t="s">
        <v>2256</v>
      </c>
      <c r="K2285" s="30"/>
      <c r="L2285" s="30" t="s">
        <v>117</v>
      </c>
      <c r="M2285" s="30" t="s">
        <v>113</v>
      </c>
      <c r="N2285" s="30" t="s">
        <v>114</v>
      </c>
      <c r="O2285" s="30" t="s">
        <v>115</v>
      </c>
      <c r="P2285" s="30" t="s">
        <v>112</v>
      </c>
      <c r="Q2285" s="30" t="s">
        <v>112</v>
      </c>
      <c r="R2285" s="30" t="s">
        <v>183</v>
      </c>
      <c r="S2285" s="81">
        <f>HLOOKUP(L2285,データについて!$J$6:$M$18,13,FALSE)</f>
        <v>2</v>
      </c>
      <c r="T2285" s="81">
        <f>HLOOKUP(M2285,データについて!$J$7:$M$18,12,FALSE)</f>
        <v>1</v>
      </c>
      <c r="U2285" s="81">
        <f>HLOOKUP(N2285,データについて!$J$8:$M$18,11,FALSE)</f>
        <v>1</v>
      </c>
      <c r="V2285" s="81">
        <f>HLOOKUP(O2285,データについて!$J$9:$M$18,10,FALSE)</f>
        <v>1</v>
      </c>
      <c r="W2285" s="81">
        <f>HLOOKUP(P2285,データについて!$J$10:$M$18,9,FALSE)</f>
        <v>1</v>
      </c>
      <c r="X2285" s="81">
        <f>HLOOKUP(Q2285,データについて!$J$11:$M$18,8,FALSE)</f>
        <v>1</v>
      </c>
      <c r="Y2285" s="81">
        <f>HLOOKUP(R2285,データについて!$J$12:$M$18,7,FALSE)</f>
        <v>1</v>
      </c>
      <c r="Z2285" s="81">
        <f>HLOOKUP(I2285,データについて!$J$3:$M$18,16,FALSE)</f>
        <v>1</v>
      </c>
      <c r="AA2285" s="81">
        <f>IFERROR(HLOOKUP(J2285,データについて!$J$4:$AH$19,16,FALSE),"")</f>
        <v>13</v>
      </c>
      <c r="AB2285" s="81" t="str">
        <f>IFERROR(HLOOKUP(K2285,データについて!$J$5:$AH$20,14,FALSE),"")</f>
        <v/>
      </c>
      <c r="AC2285" s="81">
        <f>IF(X2285=1,HLOOKUP(R2285,データについて!$J$12:$M$18,7,FALSE),"*")</f>
        <v>1</v>
      </c>
      <c r="AD2285" s="81" t="str">
        <f>IF(X2285=2,HLOOKUP(R2285,データについて!$J$12:$M$18,7,FALSE),"*")</f>
        <v>*</v>
      </c>
    </row>
    <row r="2286" spans="1:30">
      <c r="A2286" s="30">
        <v>2906</v>
      </c>
      <c r="B2286" s="30" t="s">
        <v>2574</v>
      </c>
      <c r="C2286" s="30" t="s">
        <v>2575</v>
      </c>
      <c r="D2286" s="30" t="s">
        <v>106</v>
      </c>
      <c r="E2286" s="30"/>
      <c r="F2286" s="30" t="s">
        <v>107</v>
      </c>
      <c r="G2286" s="30" t="s">
        <v>106</v>
      </c>
      <c r="H2286" s="30"/>
      <c r="I2286" s="30" t="s">
        <v>192</v>
      </c>
      <c r="J2286" s="30" t="s">
        <v>2256</v>
      </c>
      <c r="K2286" s="30"/>
      <c r="L2286" s="30" t="s">
        <v>117</v>
      </c>
      <c r="M2286" s="30" t="s">
        <v>113</v>
      </c>
      <c r="N2286" s="30" t="s">
        <v>114</v>
      </c>
      <c r="O2286" s="30" t="s">
        <v>115</v>
      </c>
      <c r="P2286" s="30" t="s">
        <v>112</v>
      </c>
      <c r="Q2286" s="30" t="s">
        <v>112</v>
      </c>
      <c r="R2286" s="30" t="s">
        <v>183</v>
      </c>
      <c r="S2286" s="81">
        <f>HLOOKUP(L2286,データについて!$J$6:$M$18,13,FALSE)</f>
        <v>2</v>
      </c>
      <c r="T2286" s="81">
        <f>HLOOKUP(M2286,データについて!$J$7:$M$18,12,FALSE)</f>
        <v>1</v>
      </c>
      <c r="U2286" s="81">
        <f>HLOOKUP(N2286,データについて!$J$8:$M$18,11,FALSE)</f>
        <v>1</v>
      </c>
      <c r="V2286" s="81">
        <f>HLOOKUP(O2286,データについて!$J$9:$M$18,10,FALSE)</f>
        <v>1</v>
      </c>
      <c r="W2286" s="81">
        <f>HLOOKUP(P2286,データについて!$J$10:$M$18,9,FALSE)</f>
        <v>1</v>
      </c>
      <c r="X2286" s="81">
        <f>HLOOKUP(Q2286,データについて!$J$11:$M$18,8,FALSE)</f>
        <v>1</v>
      </c>
      <c r="Y2286" s="81">
        <f>HLOOKUP(R2286,データについて!$J$12:$M$18,7,FALSE)</f>
        <v>1</v>
      </c>
      <c r="Z2286" s="81">
        <f>HLOOKUP(I2286,データについて!$J$3:$M$18,16,FALSE)</f>
        <v>1</v>
      </c>
      <c r="AA2286" s="81">
        <f>IFERROR(HLOOKUP(J2286,データについて!$J$4:$AH$19,16,FALSE),"")</f>
        <v>13</v>
      </c>
      <c r="AB2286" s="81" t="str">
        <f>IFERROR(HLOOKUP(K2286,データについて!$J$5:$AH$20,14,FALSE),"")</f>
        <v/>
      </c>
      <c r="AC2286" s="81">
        <f>IF(X2286=1,HLOOKUP(R2286,データについて!$J$12:$M$18,7,FALSE),"*")</f>
        <v>1</v>
      </c>
      <c r="AD2286" s="81" t="str">
        <f>IF(X2286=2,HLOOKUP(R2286,データについて!$J$12:$M$18,7,FALSE),"*")</f>
        <v>*</v>
      </c>
    </row>
    <row r="2287" spans="1:30">
      <c r="A2287" s="30">
        <v>2905</v>
      </c>
      <c r="B2287" s="30" t="s">
        <v>2576</v>
      </c>
      <c r="C2287" s="30" t="s">
        <v>2577</v>
      </c>
      <c r="D2287" s="30" t="s">
        <v>106</v>
      </c>
      <c r="E2287" s="30"/>
      <c r="F2287" s="30" t="s">
        <v>107</v>
      </c>
      <c r="G2287" s="30" t="s">
        <v>106</v>
      </c>
      <c r="H2287" s="30"/>
      <c r="I2287" s="30" t="s">
        <v>192</v>
      </c>
      <c r="J2287" s="30" t="s">
        <v>2256</v>
      </c>
      <c r="K2287" s="30"/>
      <c r="L2287" s="30" t="s">
        <v>108</v>
      </c>
      <c r="M2287" s="30" t="s">
        <v>113</v>
      </c>
      <c r="N2287" s="30" t="s">
        <v>114</v>
      </c>
      <c r="O2287" s="30" t="s">
        <v>115</v>
      </c>
      <c r="P2287" s="30" t="s">
        <v>112</v>
      </c>
      <c r="Q2287" s="30" t="s">
        <v>118</v>
      </c>
      <c r="R2287" s="30" t="s">
        <v>187</v>
      </c>
      <c r="S2287" s="81">
        <f>HLOOKUP(L2287,データについて!$J$6:$M$18,13,FALSE)</f>
        <v>1</v>
      </c>
      <c r="T2287" s="81">
        <f>HLOOKUP(M2287,データについて!$J$7:$M$18,12,FALSE)</f>
        <v>1</v>
      </c>
      <c r="U2287" s="81">
        <f>HLOOKUP(N2287,データについて!$J$8:$M$18,11,FALSE)</f>
        <v>1</v>
      </c>
      <c r="V2287" s="81">
        <f>HLOOKUP(O2287,データについて!$J$9:$M$18,10,FALSE)</f>
        <v>1</v>
      </c>
      <c r="W2287" s="81">
        <f>HLOOKUP(P2287,データについて!$J$10:$M$18,9,FALSE)</f>
        <v>1</v>
      </c>
      <c r="X2287" s="81">
        <f>HLOOKUP(Q2287,データについて!$J$11:$M$18,8,FALSE)</f>
        <v>2</v>
      </c>
      <c r="Y2287" s="81">
        <f>HLOOKUP(R2287,データについて!$J$12:$M$18,7,FALSE)</f>
        <v>3</v>
      </c>
      <c r="Z2287" s="81">
        <f>HLOOKUP(I2287,データについて!$J$3:$M$18,16,FALSE)</f>
        <v>1</v>
      </c>
      <c r="AA2287" s="81">
        <f>IFERROR(HLOOKUP(J2287,データについて!$J$4:$AH$19,16,FALSE),"")</f>
        <v>13</v>
      </c>
      <c r="AB2287" s="81" t="str">
        <f>IFERROR(HLOOKUP(K2287,データについて!$J$5:$AH$20,14,FALSE),"")</f>
        <v/>
      </c>
      <c r="AC2287" s="81" t="str">
        <f>IF(X2287=1,HLOOKUP(R2287,データについて!$J$12:$M$18,7,FALSE),"*")</f>
        <v>*</v>
      </c>
      <c r="AD2287" s="81">
        <f>IF(X2287=2,HLOOKUP(R2287,データについて!$J$12:$M$18,7,FALSE),"*")</f>
        <v>3</v>
      </c>
    </row>
    <row r="2288" spans="1:30">
      <c r="A2288" s="30">
        <v>2904</v>
      </c>
      <c r="B2288" s="30" t="s">
        <v>2578</v>
      </c>
      <c r="C2288" s="30" t="s">
        <v>2579</v>
      </c>
      <c r="D2288" s="30" t="s">
        <v>106</v>
      </c>
      <c r="E2288" s="30"/>
      <c r="F2288" s="30" t="s">
        <v>107</v>
      </c>
      <c r="G2288" s="30" t="s">
        <v>106</v>
      </c>
      <c r="H2288" s="30"/>
      <c r="I2288" s="30" t="s">
        <v>192</v>
      </c>
      <c r="J2288" s="30" t="s">
        <v>2256</v>
      </c>
      <c r="K2288" s="30"/>
      <c r="L2288" s="30" t="s">
        <v>117</v>
      </c>
      <c r="M2288" s="30" t="s">
        <v>113</v>
      </c>
      <c r="N2288" s="30" t="s">
        <v>122</v>
      </c>
      <c r="O2288" s="30" t="s">
        <v>115</v>
      </c>
      <c r="P2288" s="30" t="s">
        <v>112</v>
      </c>
      <c r="Q2288" s="30" t="s">
        <v>112</v>
      </c>
      <c r="R2288" s="30" t="s">
        <v>189</v>
      </c>
      <c r="S2288" s="81">
        <f>HLOOKUP(L2288,データについて!$J$6:$M$18,13,FALSE)</f>
        <v>2</v>
      </c>
      <c r="T2288" s="81">
        <f>HLOOKUP(M2288,データについて!$J$7:$M$18,12,FALSE)</f>
        <v>1</v>
      </c>
      <c r="U2288" s="81">
        <f>HLOOKUP(N2288,データについて!$J$8:$M$18,11,FALSE)</f>
        <v>3</v>
      </c>
      <c r="V2288" s="81">
        <f>HLOOKUP(O2288,データについて!$J$9:$M$18,10,FALSE)</f>
        <v>1</v>
      </c>
      <c r="W2288" s="81">
        <f>HLOOKUP(P2288,データについて!$J$10:$M$18,9,FALSE)</f>
        <v>1</v>
      </c>
      <c r="X2288" s="81">
        <f>HLOOKUP(Q2288,データについて!$J$11:$M$18,8,FALSE)</f>
        <v>1</v>
      </c>
      <c r="Y2288" s="81">
        <f>HLOOKUP(R2288,データについて!$J$12:$M$18,7,FALSE)</f>
        <v>4</v>
      </c>
      <c r="Z2288" s="81">
        <f>HLOOKUP(I2288,データについて!$J$3:$M$18,16,FALSE)</f>
        <v>1</v>
      </c>
      <c r="AA2288" s="81">
        <f>IFERROR(HLOOKUP(J2288,データについて!$J$4:$AH$19,16,FALSE),"")</f>
        <v>13</v>
      </c>
      <c r="AB2288" s="81" t="str">
        <f>IFERROR(HLOOKUP(K2288,データについて!$J$5:$AH$20,14,FALSE),"")</f>
        <v/>
      </c>
      <c r="AC2288" s="81">
        <f>IF(X2288=1,HLOOKUP(R2288,データについて!$J$12:$M$18,7,FALSE),"*")</f>
        <v>4</v>
      </c>
      <c r="AD2288" s="81" t="str">
        <f>IF(X2288=2,HLOOKUP(R2288,データについて!$J$12:$M$18,7,FALSE),"*")</f>
        <v>*</v>
      </c>
    </row>
    <row r="2289" spans="1:30">
      <c r="A2289" s="30">
        <v>2903</v>
      </c>
      <c r="B2289" s="30" t="s">
        <v>2580</v>
      </c>
      <c r="C2289" s="30" t="s">
        <v>2581</v>
      </c>
      <c r="D2289" s="30" t="s">
        <v>106</v>
      </c>
      <c r="E2289" s="30"/>
      <c r="F2289" s="30" t="s">
        <v>107</v>
      </c>
      <c r="G2289" s="30" t="s">
        <v>106</v>
      </c>
      <c r="H2289" s="30"/>
      <c r="I2289" s="30" t="s">
        <v>192</v>
      </c>
      <c r="J2289" s="30" t="s">
        <v>2256</v>
      </c>
      <c r="K2289" s="30"/>
      <c r="L2289" s="30" t="s">
        <v>108</v>
      </c>
      <c r="M2289" s="30" t="s">
        <v>113</v>
      </c>
      <c r="N2289" s="30" t="s">
        <v>110</v>
      </c>
      <c r="O2289" s="30" t="s">
        <v>115</v>
      </c>
      <c r="P2289" s="30" t="s">
        <v>112</v>
      </c>
      <c r="Q2289" s="30" t="s">
        <v>118</v>
      </c>
      <c r="R2289" s="30" t="s">
        <v>187</v>
      </c>
      <c r="S2289" s="81">
        <f>HLOOKUP(L2289,データについて!$J$6:$M$18,13,FALSE)</f>
        <v>1</v>
      </c>
      <c r="T2289" s="81">
        <f>HLOOKUP(M2289,データについて!$J$7:$M$18,12,FALSE)</f>
        <v>1</v>
      </c>
      <c r="U2289" s="81">
        <f>HLOOKUP(N2289,データについて!$J$8:$M$18,11,FALSE)</f>
        <v>2</v>
      </c>
      <c r="V2289" s="81">
        <f>HLOOKUP(O2289,データについて!$J$9:$M$18,10,FALSE)</f>
        <v>1</v>
      </c>
      <c r="W2289" s="81">
        <f>HLOOKUP(P2289,データについて!$J$10:$M$18,9,FALSE)</f>
        <v>1</v>
      </c>
      <c r="X2289" s="81">
        <f>HLOOKUP(Q2289,データについて!$J$11:$M$18,8,FALSE)</f>
        <v>2</v>
      </c>
      <c r="Y2289" s="81">
        <f>HLOOKUP(R2289,データについて!$J$12:$M$18,7,FALSE)</f>
        <v>3</v>
      </c>
      <c r="Z2289" s="81">
        <f>HLOOKUP(I2289,データについて!$J$3:$M$18,16,FALSE)</f>
        <v>1</v>
      </c>
      <c r="AA2289" s="81">
        <f>IFERROR(HLOOKUP(J2289,データについて!$J$4:$AH$19,16,FALSE),"")</f>
        <v>13</v>
      </c>
      <c r="AB2289" s="81" t="str">
        <f>IFERROR(HLOOKUP(K2289,データについて!$J$5:$AH$20,14,FALSE),"")</f>
        <v/>
      </c>
      <c r="AC2289" s="81" t="str">
        <f>IF(X2289=1,HLOOKUP(R2289,データについて!$J$12:$M$18,7,FALSE),"*")</f>
        <v>*</v>
      </c>
      <c r="AD2289" s="81">
        <f>IF(X2289=2,HLOOKUP(R2289,データについて!$J$12:$M$18,7,FALSE),"*")</f>
        <v>3</v>
      </c>
    </row>
    <row r="2290" spans="1:30">
      <c r="A2290" s="30">
        <v>2902</v>
      </c>
      <c r="B2290" s="30" t="s">
        <v>2582</v>
      </c>
      <c r="C2290" s="30" t="s">
        <v>2583</v>
      </c>
      <c r="D2290" s="30" t="s">
        <v>106</v>
      </c>
      <c r="E2290" s="30"/>
      <c r="F2290" s="30" t="s">
        <v>107</v>
      </c>
      <c r="G2290" s="30" t="s">
        <v>106</v>
      </c>
      <c r="H2290" s="30"/>
      <c r="I2290" s="30" t="s">
        <v>192</v>
      </c>
      <c r="J2290" s="30" t="s">
        <v>2256</v>
      </c>
      <c r="K2290" s="30"/>
      <c r="L2290" s="30" t="s">
        <v>108</v>
      </c>
      <c r="M2290" s="30" t="s">
        <v>113</v>
      </c>
      <c r="N2290" s="30" t="s">
        <v>110</v>
      </c>
      <c r="O2290" s="30" t="s">
        <v>115</v>
      </c>
      <c r="P2290" s="30" t="s">
        <v>112</v>
      </c>
      <c r="Q2290" s="30" t="s">
        <v>112</v>
      </c>
      <c r="R2290" s="30" t="s">
        <v>185</v>
      </c>
      <c r="S2290" s="81">
        <f>HLOOKUP(L2290,データについて!$J$6:$M$18,13,FALSE)</f>
        <v>1</v>
      </c>
      <c r="T2290" s="81">
        <f>HLOOKUP(M2290,データについて!$J$7:$M$18,12,FALSE)</f>
        <v>1</v>
      </c>
      <c r="U2290" s="81">
        <f>HLOOKUP(N2290,データについて!$J$8:$M$18,11,FALSE)</f>
        <v>2</v>
      </c>
      <c r="V2290" s="81">
        <f>HLOOKUP(O2290,データについて!$J$9:$M$18,10,FALSE)</f>
        <v>1</v>
      </c>
      <c r="W2290" s="81">
        <f>HLOOKUP(P2290,データについて!$J$10:$M$18,9,FALSE)</f>
        <v>1</v>
      </c>
      <c r="X2290" s="81">
        <f>HLOOKUP(Q2290,データについて!$J$11:$M$18,8,FALSE)</f>
        <v>1</v>
      </c>
      <c r="Y2290" s="81">
        <f>HLOOKUP(R2290,データについて!$J$12:$M$18,7,FALSE)</f>
        <v>2</v>
      </c>
      <c r="Z2290" s="81">
        <f>HLOOKUP(I2290,データについて!$J$3:$M$18,16,FALSE)</f>
        <v>1</v>
      </c>
      <c r="AA2290" s="81">
        <f>IFERROR(HLOOKUP(J2290,データについて!$J$4:$AH$19,16,FALSE),"")</f>
        <v>13</v>
      </c>
      <c r="AB2290" s="81" t="str">
        <f>IFERROR(HLOOKUP(K2290,データについて!$J$5:$AH$20,14,FALSE),"")</f>
        <v/>
      </c>
      <c r="AC2290" s="81">
        <f>IF(X2290=1,HLOOKUP(R2290,データについて!$J$12:$M$18,7,FALSE),"*")</f>
        <v>2</v>
      </c>
      <c r="AD2290" s="81" t="str">
        <f>IF(X2290=2,HLOOKUP(R2290,データについて!$J$12:$M$18,7,FALSE),"*")</f>
        <v>*</v>
      </c>
    </row>
    <row r="2291" spans="1:30">
      <c r="A2291" s="30">
        <v>2901</v>
      </c>
      <c r="B2291" s="30" t="s">
        <v>2584</v>
      </c>
      <c r="C2291" s="30" t="s">
        <v>2585</v>
      </c>
      <c r="D2291" s="30" t="s">
        <v>106</v>
      </c>
      <c r="E2291" s="30"/>
      <c r="F2291" s="30" t="s">
        <v>107</v>
      </c>
      <c r="G2291" s="30" t="s">
        <v>106</v>
      </c>
      <c r="H2291" s="30"/>
      <c r="I2291" s="30" t="s">
        <v>192</v>
      </c>
      <c r="J2291" s="30" t="s">
        <v>2256</v>
      </c>
      <c r="K2291" s="30"/>
      <c r="L2291" s="30" t="s">
        <v>117</v>
      </c>
      <c r="M2291" s="30" t="s">
        <v>113</v>
      </c>
      <c r="N2291" s="30" t="s">
        <v>114</v>
      </c>
      <c r="O2291" s="30" t="s">
        <v>115</v>
      </c>
      <c r="P2291" s="30" t="s">
        <v>112</v>
      </c>
      <c r="Q2291" s="30" t="s">
        <v>112</v>
      </c>
      <c r="R2291" s="30" t="s">
        <v>183</v>
      </c>
      <c r="S2291" s="81">
        <f>HLOOKUP(L2291,データについて!$J$6:$M$18,13,FALSE)</f>
        <v>2</v>
      </c>
      <c r="T2291" s="81">
        <f>HLOOKUP(M2291,データについて!$J$7:$M$18,12,FALSE)</f>
        <v>1</v>
      </c>
      <c r="U2291" s="81">
        <f>HLOOKUP(N2291,データについて!$J$8:$M$18,11,FALSE)</f>
        <v>1</v>
      </c>
      <c r="V2291" s="81">
        <f>HLOOKUP(O2291,データについて!$J$9:$M$18,10,FALSE)</f>
        <v>1</v>
      </c>
      <c r="W2291" s="81">
        <f>HLOOKUP(P2291,データについて!$J$10:$M$18,9,FALSE)</f>
        <v>1</v>
      </c>
      <c r="X2291" s="81">
        <f>HLOOKUP(Q2291,データについて!$J$11:$M$18,8,FALSE)</f>
        <v>1</v>
      </c>
      <c r="Y2291" s="81">
        <f>HLOOKUP(R2291,データについて!$J$12:$M$18,7,FALSE)</f>
        <v>1</v>
      </c>
      <c r="Z2291" s="81">
        <f>HLOOKUP(I2291,データについて!$J$3:$M$18,16,FALSE)</f>
        <v>1</v>
      </c>
      <c r="AA2291" s="81">
        <f>IFERROR(HLOOKUP(J2291,データについて!$J$4:$AH$19,16,FALSE),"")</f>
        <v>13</v>
      </c>
      <c r="AB2291" s="81" t="str">
        <f>IFERROR(HLOOKUP(K2291,データについて!$J$5:$AH$20,14,FALSE),"")</f>
        <v/>
      </c>
      <c r="AC2291" s="81">
        <f>IF(X2291=1,HLOOKUP(R2291,データについて!$J$12:$M$18,7,FALSE),"*")</f>
        <v>1</v>
      </c>
      <c r="AD2291" s="81" t="str">
        <f>IF(X2291=2,HLOOKUP(R2291,データについて!$J$12:$M$18,7,FALSE),"*")</f>
        <v>*</v>
      </c>
    </row>
    <row r="2292" spans="1:30">
      <c r="A2292" s="30">
        <v>2900</v>
      </c>
      <c r="B2292" s="30" t="s">
        <v>2586</v>
      </c>
      <c r="C2292" s="30" t="s">
        <v>2587</v>
      </c>
      <c r="D2292" s="30" t="s">
        <v>106</v>
      </c>
      <c r="E2292" s="30"/>
      <c r="F2292" s="30" t="s">
        <v>107</v>
      </c>
      <c r="G2292" s="30" t="s">
        <v>106</v>
      </c>
      <c r="H2292" s="30"/>
      <c r="I2292" s="30" t="s">
        <v>192</v>
      </c>
      <c r="J2292" s="30" t="s">
        <v>2256</v>
      </c>
      <c r="K2292" s="30"/>
      <c r="L2292" s="30" t="s">
        <v>108</v>
      </c>
      <c r="M2292" s="30" t="s">
        <v>113</v>
      </c>
      <c r="N2292" s="30" t="s">
        <v>114</v>
      </c>
      <c r="O2292" s="30" t="s">
        <v>115</v>
      </c>
      <c r="P2292" s="30" t="s">
        <v>112</v>
      </c>
      <c r="Q2292" s="30" t="s">
        <v>112</v>
      </c>
      <c r="R2292" s="30" t="s">
        <v>183</v>
      </c>
      <c r="S2292" s="81">
        <f>HLOOKUP(L2292,データについて!$J$6:$M$18,13,FALSE)</f>
        <v>1</v>
      </c>
      <c r="T2292" s="81">
        <f>HLOOKUP(M2292,データについて!$J$7:$M$18,12,FALSE)</f>
        <v>1</v>
      </c>
      <c r="U2292" s="81">
        <f>HLOOKUP(N2292,データについて!$J$8:$M$18,11,FALSE)</f>
        <v>1</v>
      </c>
      <c r="V2292" s="81">
        <f>HLOOKUP(O2292,データについて!$J$9:$M$18,10,FALSE)</f>
        <v>1</v>
      </c>
      <c r="W2292" s="81">
        <f>HLOOKUP(P2292,データについて!$J$10:$M$18,9,FALSE)</f>
        <v>1</v>
      </c>
      <c r="X2292" s="81">
        <f>HLOOKUP(Q2292,データについて!$J$11:$M$18,8,FALSE)</f>
        <v>1</v>
      </c>
      <c r="Y2292" s="81">
        <f>HLOOKUP(R2292,データについて!$J$12:$M$18,7,FALSE)</f>
        <v>1</v>
      </c>
      <c r="Z2292" s="81">
        <f>HLOOKUP(I2292,データについて!$J$3:$M$18,16,FALSE)</f>
        <v>1</v>
      </c>
      <c r="AA2292" s="81">
        <f>IFERROR(HLOOKUP(J2292,データについて!$J$4:$AH$19,16,FALSE),"")</f>
        <v>13</v>
      </c>
      <c r="AB2292" s="81" t="str">
        <f>IFERROR(HLOOKUP(K2292,データについて!$J$5:$AH$20,14,FALSE),"")</f>
        <v/>
      </c>
      <c r="AC2292" s="81">
        <f>IF(X2292=1,HLOOKUP(R2292,データについて!$J$12:$M$18,7,FALSE),"*")</f>
        <v>1</v>
      </c>
      <c r="AD2292" s="81" t="str">
        <f>IF(X2292=2,HLOOKUP(R2292,データについて!$J$12:$M$18,7,FALSE),"*")</f>
        <v>*</v>
      </c>
    </row>
    <row r="2293" spans="1:30">
      <c r="A2293" s="30">
        <v>2899</v>
      </c>
      <c r="B2293" s="30" t="s">
        <v>2588</v>
      </c>
      <c r="C2293" s="30" t="s">
        <v>2589</v>
      </c>
      <c r="D2293" s="30" t="s">
        <v>106</v>
      </c>
      <c r="E2293" s="30"/>
      <c r="F2293" s="30" t="s">
        <v>107</v>
      </c>
      <c r="G2293" s="30" t="s">
        <v>106</v>
      </c>
      <c r="H2293" s="30"/>
      <c r="I2293" s="30" t="s">
        <v>192</v>
      </c>
      <c r="J2293" s="30" t="s">
        <v>2256</v>
      </c>
      <c r="K2293" s="30"/>
      <c r="L2293" s="30" t="s">
        <v>108</v>
      </c>
      <c r="M2293" s="30" t="s">
        <v>109</v>
      </c>
      <c r="N2293" s="30" t="s">
        <v>122</v>
      </c>
      <c r="O2293" s="30" t="s">
        <v>116</v>
      </c>
      <c r="P2293" s="30" t="s">
        <v>112</v>
      </c>
      <c r="Q2293" s="30" t="s">
        <v>118</v>
      </c>
      <c r="R2293" s="30" t="s">
        <v>185</v>
      </c>
      <c r="S2293" s="81">
        <f>HLOOKUP(L2293,データについて!$J$6:$M$18,13,FALSE)</f>
        <v>1</v>
      </c>
      <c r="T2293" s="81">
        <f>HLOOKUP(M2293,データについて!$J$7:$M$18,12,FALSE)</f>
        <v>2</v>
      </c>
      <c r="U2293" s="81">
        <f>HLOOKUP(N2293,データについて!$J$8:$M$18,11,FALSE)</f>
        <v>3</v>
      </c>
      <c r="V2293" s="81">
        <f>HLOOKUP(O2293,データについて!$J$9:$M$18,10,FALSE)</f>
        <v>2</v>
      </c>
      <c r="W2293" s="81">
        <f>HLOOKUP(P2293,データについて!$J$10:$M$18,9,FALSE)</f>
        <v>1</v>
      </c>
      <c r="X2293" s="81">
        <f>HLOOKUP(Q2293,データについて!$J$11:$M$18,8,FALSE)</f>
        <v>2</v>
      </c>
      <c r="Y2293" s="81">
        <f>HLOOKUP(R2293,データについて!$J$12:$M$18,7,FALSE)</f>
        <v>2</v>
      </c>
      <c r="Z2293" s="81">
        <f>HLOOKUP(I2293,データについて!$J$3:$M$18,16,FALSE)</f>
        <v>1</v>
      </c>
      <c r="AA2293" s="81">
        <f>IFERROR(HLOOKUP(J2293,データについて!$J$4:$AH$19,16,FALSE),"")</f>
        <v>13</v>
      </c>
      <c r="AB2293" s="81" t="str">
        <f>IFERROR(HLOOKUP(K2293,データについて!$J$5:$AH$20,14,FALSE),"")</f>
        <v/>
      </c>
      <c r="AC2293" s="81" t="str">
        <f>IF(X2293=1,HLOOKUP(R2293,データについて!$J$12:$M$18,7,FALSE),"*")</f>
        <v>*</v>
      </c>
      <c r="AD2293" s="81">
        <f>IF(X2293=2,HLOOKUP(R2293,データについて!$J$12:$M$18,7,FALSE),"*")</f>
        <v>2</v>
      </c>
    </row>
    <row r="2294" spans="1:30">
      <c r="A2294" s="30">
        <v>2898</v>
      </c>
      <c r="B2294" s="30" t="s">
        <v>2590</v>
      </c>
      <c r="C2294" s="30" t="s">
        <v>2591</v>
      </c>
      <c r="D2294" s="30" t="s">
        <v>106</v>
      </c>
      <c r="E2294" s="30"/>
      <c r="F2294" s="30" t="s">
        <v>107</v>
      </c>
      <c r="G2294" s="30" t="s">
        <v>106</v>
      </c>
      <c r="H2294" s="30"/>
      <c r="I2294" s="30" t="s">
        <v>192</v>
      </c>
      <c r="J2294" s="30" t="s">
        <v>2256</v>
      </c>
      <c r="K2294" s="30"/>
      <c r="L2294" s="30" t="s">
        <v>117</v>
      </c>
      <c r="M2294" s="30" t="s">
        <v>109</v>
      </c>
      <c r="N2294" s="30" t="s">
        <v>110</v>
      </c>
      <c r="O2294" s="30" t="s">
        <v>115</v>
      </c>
      <c r="P2294" s="30" t="s">
        <v>112</v>
      </c>
      <c r="Q2294" s="30" t="s">
        <v>112</v>
      </c>
      <c r="R2294" s="30" t="s">
        <v>183</v>
      </c>
      <c r="S2294" s="81">
        <f>HLOOKUP(L2294,データについて!$J$6:$M$18,13,FALSE)</f>
        <v>2</v>
      </c>
      <c r="T2294" s="81">
        <f>HLOOKUP(M2294,データについて!$J$7:$M$18,12,FALSE)</f>
        <v>2</v>
      </c>
      <c r="U2294" s="81">
        <f>HLOOKUP(N2294,データについて!$J$8:$M$18,11,FALSE)</f>
        <v>2</v>
      </c>
      <c r="V2294" s="81">
        <f>HLOOKUP(O2294,データについて!$J$9:$M$18,10,FALSE)</f>
        <v>1</v>
      </c>
      <c r="W2294" s="81">
        <f>HLOOKUP(P2294,データについて!$J$10:$M$18,9,FALSE)</f>
        <v>1</v>
      </c>
      <c r="X2294" s="81">
        <f>HLOOKUP(Q2294,データについて!$J$11:$M$18,8,FALSE)</f>
        <v>1</v>
      </c>
      <c r="Y2294" s="81">
        <f>HLOOKUP(R2294,データについて!$J$12:$M$18,7,FALSE)</f>
        <v>1</v>
      </c>
      <c r="Z2294" s="81">
        <f>HLOOKUP(I2294,データについて!$J$3:$M$18,16,FALSE)</f>
        <v>1</v>
      </c>
      <c r="AA2294" s="81">
        <f>IFERROR(HLOOKUP(J2294,データについて!$J$4:$AH$19,16,FALSE),"")</f>
        <v>13</v>
      </c>
      <c r="AB2294" s="81" t="str">
        <f>IFERROR(HLOOKUP(K2294,データについて!$J$5:$AH$20,14,FALSE),"")</f>
        <v/>
      </c>
      <c r="AC2294" s="81">
        <f>IF(X2294=1,HLOOKUP(R2294,データについて!$J$12:$M$18,7,FALSE),"*")</f>
        <v>1</v>
      </c>
      <c r="AD2294" s="81" t="str">
        <f>IF(X2294=2,HLOOKUP(R2294,データについて!$J$12:$M$18,7,FALSE),"*")</f>
        <v>*</v>
      </c>
    </row>
    <row r="2295" spans="1:30">
      <c r="A2295" s="30">
        <v>2897</v>
      </c>
      <c r="B2295" s="30" t="s">
        <v>2592</v>
      </c>
      <c r="C2295" s="30" t="s">
        <v>2593</v>
      </c>
      <c r="D2295" s="30" t="s">
        <v>106</v>
      </c>
      <c r="E2295" s="30"/>
      <c r="F2295" s="30" t="s">
        <v>107</v>
      </c>
      <c r="G2295" s="30" t="s">
        <v>106</v>
      </c>
      <c r="H2295" s="30"/>
      <c r="I2295" s="30" t="s">
        <v>192</v>
      </c>
      <c r="J2295" s="30" t="s">
        <v>2256</v>
      </c>
      <c r="K2295" s="30"/>
      <c r="L2295" s="30" t="s">
        <v>108</v>
      </c>
      <c r="M2295" s="30" t="s">
        <v>109</v>
      </c>
      <c r="N2295" s="30" t="s">
        <v>114</v>
      </c>
      <c r="O2295" s="30" t="s">
        <v>115</v>
      </c>
      <c r="P2295" s="30" t="s">
        <v>112</v>
      </c>
      <c r="Q2295" s="30" t="s">
        <v>112</v>
      </c>
      <c r="R2295" s="30" t="s">
        <v>185</v>
      </c>
      <c r="S2295" s="81">
        <f>HLOOKUP(L2295,データについて!$J$6:$M$18,13,FALSE)</f>
        <v>1</v>
      </c>
      <c r="T2295" s="81">
        <f>HLOOKUP(M2295,データについて!$J$7:$M$18,12,FALSE)</f>
        <v>2</v>
      </c>
      <c r="U2295" s="81">
        <f>HLOOKUP(N2295,データについて!$J$8:$M$18,11,FALSE)</f>
        <v>1</v>
      </c>
      <c r="V2295" s="81">
        <f>HLOOKUP(O2295,データについて!$J$9:$M$18,10,FALSE)</f>
        <v>1</v>
      </c>
      <c r="W2295" s="81">
        <f>HLOOKUP(P2295,データについて!$J$10:$M$18,9,FALSE)</f>
        <v>1</v>
      </c>
      <c r="X2295" s="81">
        <f>HLOOKUP(Q2295,データについて!$J$11:$M$18,8,FALSE)</f>
        <v>1</v>
      </c>
      <c r="Y2295" s="81">
        <f>HLOOKUP(R2295,データについて!$J$12:$M$18,7,FALSE)</f>
        <v>2</v>
      </c>
      <c r="Z2295" s="81">
        <f>HLOOKUP(I2295,データについて!$J$3:$M$18,16,FALSE)</f>
        <v>1</v>
      </c>
      <c r="AA2295" s="81">
        <f>IFERROR(HLOOKUP(J2295,データについて!$J$4:$AH$19,16,FALSE),"")</f>
        <v>13</v>
      </c>
      <c r="AB2295" s="81" t="str">
        <f>IFERROR(HLOOKUP(K2295,データについて!$J$5:$AH$20,14,FALSE),"")</f>
        <v/>
      </c>
      <c r="AC2295" s="81">
        <f>IF(X2295=1,HLOOKUP(R2295,データについて!$J$12:$M$18,7,FALSE),"*")</f>
        <v>2</v>
      </c>
      <c r="AD2295" s="81" t="str">
        <f>IF(X2295=2,HLOOKUP(R2295,データについて!$J$12:$M$18,7,FALSE),"*")</f>
        <v>*</v>
      </c>
    </row>
    <row r="2296" spans="1:30">
      <c r="A2296" s="30">
        <v>2896</v>
      </c>
      <c r="B2296" s="30" t="s">
        <v>2594</v>
      </c>
      <c r="C2296" s="30" t="s">
        <v>2595</v>
      </c>
      <c r="D2296" s="30" t="s">
        <v>106</v>
      </c>
      <c r="E2296" s="30"/>
      <c r="F2296" s="30" t="s">
        <v>107</v>
      </c>
      <c r="G2296" s="30" t="s">
        <v>106</v>
      </c>
      <c r="H2296" s="30"/>
      <c r="I2296" s="30" t="s">
        <v>192</v>
      </c>
      <c r="J2296" s="30" t="s">
        <v>2256</v>
      </c>
      <c r="K2296" s="30"/>
      <c r="L2296" s="30" t="s">
        <v>108</v>
      </c>
      <c r="M2296" s="30" t="s">
        <v>109</v>
      </c>
      <c r="N2296" s="30" t="s">
        <v>122</v>
      </c>
      <c r="O2296" s="30" t="s">
        <v>116</v>
      </c>
      <c r="P2296" s="30" t="s">
        <v>112</v>
      </c>
      <c r="Q2296" s="30" t="s">
        <v>118</v>
      </c>
      <c r="R2296" s="30" t="s">
        <v>185</v>
      </c>
      <c r="S2296" s="81">
        <f>HLOOKUP(L2296,データについて!$J$6:$M$18,13,FALSE)</f>
        <v>1</v>
      </c>
      <c r="T2296" s="81">
        <f>HLOOKUP(M2296,データについて!$J$7:$M$18,12,FALSE)</f>
        <v>2</v>
      </c>
      <c r="U2296" s="81">
        <f>HLOOKUP(N2296,データについて!$J$8:$M$18,11,FALSE)</f>
        <v>3</v>
      </c>
      <c r="V2296" s="81">
        <f>HLOOKUP(O2296,データについて!$J$9:$M$18,10,FALSE)</f>
        <v>2</v>
      </c>
      <c r="W2296" s="81">
        <f>HLOOKUP(P2296,データについて!$J$10:$M$18,9,FALSE)</f>
        <v>1</v>
      </c>
      <c r="X2296" s="81">
        <f>HLOOKUP(Q2296,データについて!$J$11:$M$18,8,FALSE)</f>
        <v>2</v>
      </c>
      <c r="Y2296" s="81">
        <f>HLOOKUP(R2296,データについて!$J$12:$M$18,7,FALSE)</f>
        <v>2</v>
      </c>
      <c r="Z2296" s="81">
        <f>HLOOKUP(I2296,データについて!$J$3:$M$18,16,FALSE)</f>
        <v>1</v>
      </c>
      <c r="AA2296" s="81">
        <f>IFERROR(HLOOKUP(J2296,データについて!$J$4:$AH$19,16,FALSE),"")</f>
        <v>13</v>
      </c>
      <c r="AB2296" s="81" t="str">
        <f>IFERROR(HLOOKUP(K2296,データについて!$J$5:$AH$20,14,FALSE),"")</f>
        <v/>
      </c>
      <c r="AC2296" s="81" t="str">
        <f>IF(X2296=1,HLOOKUP(R2296,データについて!$J$12:$M$18,7,FALSE),"*")</f>
        <v>*</v>
      </c>
      <c r="AD2296" s="81">
        <f>IF(X2296=2,HLOOKUP(R2296,データについて!$J$12:$M$18,7,FALSE),"*")</f>
        <v>2</v>
      </c>
    </row>
    <row r="2297" spans="1:30">
      <c r="A2297" s="30">
        <v>2895</v>
      </c>
      <c r="B2297" s="30" t="s">
        <v>2596</v>
      </c>
      <c r="C2297" s="30" t="s">
        <v>2597</v>
      </c>
      <c r="D2297" s="30" t="s">
        <v>106</v>
      </c>
      <c r="E2297" s="30"/>
      <c r="F2297" s="30" t="s">
        <v>107</v>
      </c>
      <c r="G2297" s="30" t="s">
        <v>106</v>
      </c>
      <c r="H2297" s="30"/>
      <c r="I2297" s="30" t="s">
        <v>192</v>
      </c>
      <c r="J2297" s="30" t="s">
        <v>2256</v>
      </c>
      <c r="K2297" s="30"/>
      <c r="L2297" s="30" t="s">
        <v>117</v>
      </c>
      <c r="M2297" s="30" t="s">
        <v>109</v>
      </c>
      <c r="N2297" s="30" t="s">
        <v>110</v>
      </c>
      <c r="O2297" s="30" t="s">
        <v>115</v>
      </c>
      <c r="P2297" s="30" t="s">
        <v>112</v>
      </c>
      <c r="Q2297" s="30" t="s">
        <v>112</v>
      </c>
      <c r="R2297" s="30" t="s">
        <v>183</v>
      </c>
      <c r="S2297" s="81">
        <f>HLOOKUP(L2297,データについて!$J$6:$M$18,13,FALSE)</f>
        <v>2</v>
      </c>
      <c r="T2297" s="81">
        <f>HLOOKUP(M2297,データについて!$J$7:$M$18,12,FALSE)</f>
        <v>2</v>
      </c>
      <c r="U2297" s="81">
        <f>HLOOKUP(N2297,データについて!$J$8:$M$18,11,FALSE)</f>
        <v>2</v>
      </c>
      <c r="V2297" s="81">
        <f>HLOOKUP(O2297,データについて!$J$9:$M$18,10,FALSE)</f>
        <v>1</v>
      </c>
      <c r="W2297" s="81">
        <f>HLOOKUP(P2297,データについて!$J$10:$M$18,9,FALSE)</f>
        <v>1</v>
      </c>
      <c r="X2297" s="81">
        <f>HLOOKUP(Q2297,データについて!$J$11:$M$18,8,FALSE)</f>
        <v>1</v>
      </c>
      <c r="Y2297" s="81">
        <f>HLOOKUP(R2297,データについて!$J$12:$M$18,7,FALSE)</f>
        <v>1</v>
      </c>
      <c r="Z2297" s="81">
        <f>HLOOKUP(I2297,データについて!$J$3:$M$18,16,FALSE)</f>
        <v>1</v>
      </c>
      <c r="AA2297" s="81">
        <f>IFERROR(HLOOKUP(J2297,データについて!$J$4:$AH$19,16,FALSE),"")</f>
        <v>13</v>
      </c>
      <c r="AB2297" s="81" t="str">
        <f>IFERROR(HLOOKUP(K2297,データについて!$J$5:$AH$20,14,FALSE),"")</f>
        <v/>
      </c>
      <c r="AC2297" s="81">
        <f>IF(X2297=1,HLOOKUP(R2297,データについて!$J$12:$M$18,7,FALSE),"*")</f>
        <v>1</v>
      </c>
      <c r="AD2297" s="81" t="str">
        <f>IF(X2297=2,HLOOKUP(R2297,データについて!$J$12:$M$18,7,FALSE),"*")</f>
        <v>*</v>
      </c>
    </row>
    <row r="2298" spans="1:30">
      <c r="A2298" s="30">
        <v>2894</v>
      </c>
      <c r="B2298" s="30" t="s">
        <v>2598</v>
      </c>
      <c r="C2298" s="30" t="s">
        <v>2599</v>
      </c>
      <c r="D2298" s="30" t="s">
        <v>106</v>
      </c>
      <c r="E2298" s="30"/>
      <c r="F2298" s="30" t="s">
        <v>107</v>
      </c>
      <c r="G2298" s="30" t="s">
        <v>106</v>
      </c>
      <c r="H2298" s="30"/>
      <c r="I2298" s="30" t="s">
        <v>192</v>
      </c>
      <c r="J2298" s="30" t="s">
        <v>942</v>
      </c>
      <c r="K2298" s="30"/>
      <c r="L2298" s="30" t="s">
        <v>108</v>
      </c>
      <c r="M2298" s="30" t="s">
        <v>113</v>
      </c>
      <c r="N2298" s="30" t="s">
        <v>110</v>
      </c>
      <c r="O2298" s="30" t="s">
        <v>115</v>
      </c>
      <c r="P2298" s="30" t="s">
        <v>112</v>
      </c>
      <c r="Q2298" s="30" t="s">
        <v>112</v>
      </c>
      <c r="R2298" s="30" t="s">
        <v>183</v>
      </c>
      <c r="S2298" s="81">
        <f>HLOOKUP(L2298,データについて!$J$6:$M$18,13,FALSE)</f>
        <v>1</v>
      </c>
      <c r="T2298" s="81">
        <f>HLOOKUP(M2298,データについて!$J$7:$M$18,12,FALSE)</f>
        <v>1</v>
      </c>
      <c r="U2298" s="81">
        <f>HLOOKUP(N2298,データについて!$J$8:$M$18,11,FALSE)</f>
        <v>2</v>
      </c>
      <c r="V2298" s="81">
        <f>HLOOKUP(O2298,データについて!$J$9:$M$18,10,FALSE)</f>
        <v>1</v>
      </c>
      <c r="W2298" s="81">
        <f>HLOOKUP(P2298,データについて!$J$10:$M$18,9,FALSE)</f>
        <v>1</v>
      </c>
      <c r="X2298" s="81">
        <f>HLOOKUP(Q2298,データについて!$J$11:$M$18,8,FALSE)</f>
        <v>1</v>
      </c>
      <c r="Y2298" s="81">
        <f>HLOOKUP(R2298,データについて!$J$12:$M$18,7,FALSE)</f>
        <v>1</v>
      </c>
      <c r="Z2298" s="81">
        <f>HLOOKUP(I2298,データについて!$J$3:$M$18,16,FALSE)</f>
        <v>1</v>
      </c>
      <c r="AA2298" s="81">
        <f>IFERROR(HLOOKUP(J2298,データについて!$J$4:$AH$19,16,FALSE),"")</f>
        <v>7</v>
      </c>
      <c r="AB2298" s="81" t="str">
        <f>IFERROR(HLOOKUP(K2298,データについて!$J$5:$AH$20,14,FALSE),"")</f>
        <v/>
      </c>
      <c r="AC2298" s="81">
        <f>IF(X2298=1,HLOOKUP(R2298,データについて!$J$12:$M$18,7,FALSE),"*")</f>
        <v>1</v>
      </c>
      <c r="AD2298" s="81" t="str">
        <f>IF(X2298=2,HLOOKUP(R2298,データについて!$J$12:$M$18,7,FALSE),"*")</f>
        <v>*</v>
      </c>
    </row>
    <row r="2299" spans="1:30">
      <c r="A2299" s="30">
        <v>2893</v>
      </c>
      <c r="B2299" s="30" t="s">
        <v>2600</v>
      </c>
      <c r="C2299" s="30" t="s">
        <v>2601</v>
      </c>
      <c r="D2299" s="30" t="s">
        <v>106</v>
      </c>
      <c r="E2299" s="30"/>
      <c r="F2299" s="30" t="s">
        <v>107</v>
      </c>
      <c r="G2299" s="30" t="s">
        <v>106</v>
      </c>
      <c r="H2299" s="30"/>
      <c r="I2299" s="30" t="s">
        <v>192</v>
      </c>
      <c r="J2299" s="30" t="s">
        <v>942</v>
      </c>
      <c r="K2299" s="30"/>
      <c r="L2299" s="30" t="s">
        <v>108</v>
      </c>
      <c r="M2299" s="30" t="s">
        <v>113</v>
      </c>
      <c r="N2299" s="30" t="s">
        <v>110</v>
      </c>
      <c r="O2299" s="30" t="s">
        <v>115</v>
      </c>
      <c r="P2299" s="30" t="s">
        <v>112</v>
      </c>
      <c r="Q2299" s="30" t="s">
        <v>112</v>
      </c>
      <c r="R2299" s="30" t="s">
        <v>183</v>
      </c>
      <c r="S2299" s="81">
        <f>HLOOKUP(L2299,データについて!$J$6:$M$18,13,FALSE)</f>
        <v>1</v>
      </c>
      <c r="T2299" s="81">
        <f>HLOOKUP(M2299,データについて!$J$7:$M$18,12,FALSE)</f>
        <v>1</v>
      </c>
      <c r="U2299" s="81">
        <f>HLOOKUP(N2299,データについて!$J$8:$M$18,11,FALSE)</f>
        <v>2</v>
      </c>
      <c r="V2299" s="81">
        <f>HLOOKUP(O2299,データについて!$J$9:$M$18,10,FALSE)</f>
        <v>1</v>
      </c>
      <c r="W2299" s="81">
        <f>HLOOKUP(P2299,データについて!$J$10:$M$18,9,FALSE)</f>
        <v>1</v>
      </c>
      <c r="X2299" s="81">
        <f>HLOOKUP(Q2299,データについて!$J$11:$M$18,8,FALSE)</f>
        <v>1</v>
      </c>
      <c r="Y2299" s="81">
        <f>HLOOKUP(R2299,データについて!$J$12:$M$18,7,FALSE)</f>
        <v>1</v>
      </c>
      <c r="Z2299" s="81">
        <f>HLOOKUP(I2299,データについて!$J$3:$M$18,16,FALSE)</f>
        <v>1</v>
      </c>
      <c r="AA2299" s="81">
        <f>IFERROR(HLOOKUP(J2299,データについて!$J$4:$AH$19,16,FALSE),"")</f>
        <v>7</v>
      </c>
      <c r="AB2299" s="81" t="str">
        <f>IFERROR(HLOOKUP(K2299,データについて!$J$5:$AH$20,14,FALSE),"")</f>
        <v/>
      </c>
      <c r="AC2299" s="81">
        <f>IF(X2299=1,HLOOKUP(R2299,データについて!$J$12:$M$18,7,FALSE),"*")</f>
        <v>1</v>
      </c>
      <c r="AD2299" s="81" t="str">
        <f>IF(X2299=2,HLOOKUP(R2299,データについて!$J$12:$M$18,7,FALSE),"*")</f>
        <v>*</v>
      </c>
    </row>
    <row r="2300" spans="1:30">
      <c r="A2300" s="30">
        <v>2892</v>
      </c>
      <c r="B2300" s="30" t="s">
        <v>2602</v>
      </c>
      <c r="C2300" s="30" t="s">
        <v>2603</v>
      </c>
      <c r="D2300" s="30" t="s">
        <v>106</v>
      </c>
      <c r="E2300" s="30"/>
      <c r="F2300" s="30" t="s">
        <v>107</v>
      </c>
      <c r="G2300" s="30" t="s">
        <v>106</v>
      </c>
      <c r="H2300" s="30"/>
      <c r="I2300" s="30" t="s">
        <v>192</v>
      </c>
      <c r="J2300" s="30" t="s">
        <v>125</v>
      </c>
      <c r="K2300" s="30"/>
      <c r="L2300" s="30" t="s">
        <v>117</v>
      </c>
      <c r="M2300" s="30" t="s">
        <v>109</v>
      </c>
      <c r="N2300" s="30" t="s">
        <v>114</v>
      </c>
      <c r="O2300" s="30" t="s">
        <v>115</v>
      </c>
      <c r="P2300" s="30" t="s">
        <v>112</v>
      </c>
      <c r="Q2300" s="30" t="s">
        <v>112</v>
      </c>
      <c r="R2300" s="30" t="s">
        <v>187</v>
      </c>
      <c r="S2300" s="81">
        <f>HLOOKUP(L2300,データについて!$J$6:$M$18,13,FALSE)</f>
        <v>2</v>
      </c>
      <c r="T2300" s="81">
        <f>HLOOKUP(M2300,データについて!$J$7:$M$18,12,FALSE)</f>
        <v>2</v>
      </c>
      <c r="U2300" s="81">
        <f>HLOOKUP(N2300,データについて!$J$8:$M$18,11,FALSE)</f>
        <v>1</v>
      </c>
      <c r="V2300" s="81">
        <f>HLOOKUP(O2300,データについて!$J$9:$M$18,10,FALSE)</f>
        <v>1</v>
      </c>
      <c r="W2300" s="81">
        <f>HLOOKUP(P2300,データについて!$J$10:$M$18,9,FALSE)</f>
        <v>1</v>
      </c>
      <c r="X2300" s="81">
        <f>HLOOKUP(Q2300,データについて!$J$11:$M$18,8,FALSE)</f>
        <v>1</v>
      </c>
      <c r="Y2300" s="81">
        <f>HLOOKUP(R2300,データについて!$J$12:$M$18,7,FALSE)</f>
        <v>3</v>
      </c>
      <c r="Z2300" s="81">
        <f>HLOOKUP(I2300,データについて!$J$3:$M$18,16,FALSE)</f>
        <v>1</v>
      </c>
      <c r="AA2300" s="81">
        <f>IFERROR(HLOOKUP(J2300,データについて!$J$4:$AH$19,16,FALSE),"")</f>
        <v>6</v>
      </c>
      <c r="AB2300" s="81" t="str">
        <f>IFERROR(HLOOKUP(K2300,データについて!$J$5:$AH$20,14,FALSE),"")</f>
        <v/>
      </c>
      <c r="AC2300" s="81">
        <f>IF(X2300=1,HLOOKUP(R2300,データについて!$J$12:$M$18,7,FALSE),"*")</f>
        <v>3</v>
      </c>
      <c r="AD2300" s="81" t="str">
        <f>IF(X2300=2,HLOOKUP(R2300,データについて!$J$12:$M$18,7,FALSE),"*")</f>
        <v>*</v>
      </c>
    </row>
    <row r="2301" spans="1:30">
      <c r="A2301" s="30">
        <v>2891</v>
      </c>
      <c r="B2301" s="30" t="s">
        <v>2604</v>
      </c>
      <c r="C2301" s="30" t="s">
        <v>2605</v>
      </c>
      <c r="D2301" s="30" t="s">
        <v>106</v>
      </c>
      <c r="E2301" s="30"/>
      <c r="F2301" s="30" t="s">
        <v>107</v>
      </c>
      <c r="G2301" s="30" t="s">
        <v>106</v>
      </c>
      <c r="H2301" s="30"/>
      <c r="I2301" s="30" t="s">
        <v>192</v>
      </c>
      <c r="J2301" s="30" t="s">
        <v>125</v>
      </c>
      <c r="K2301" s="30"/>
      <c r="L2301" s="30" t="s">
        <v>108</v>
      </c>
      <c r="M2301" s="30" t="s">
        <v>113</v>
      </c>
      <c r="N2301" s="30" t="s">
        <v>114</v>
      </c>
      <c r="O2301" s="30" t="s">
        <v>111</v>
      </c>
      <c r="P2301" s="30" t="s">
        <v>112</v>
      </c>
      <c r="Q2301" s="30" t="s">
        <v>112</v>
      </c>
      <c r="R2301" s="30" t="s">
        <v>185</v>
      </c>
      <c r="S2301" s="81">
        <f>HLOOKUP(L2301,データについて!$J$6:$M$18,13,FALSE)</f>
        <v>1</v>
      </c>
      <c r="T2301" s="81">
        <f>HLOOKUP(M2301,データについて!$J$7:$M$18,12,FALSE)</f>
        <v>1</v>
      </c>
      <c r="U2301" s="81">
        <f>HLOOKUP(N2301,データについて!$J$8:$M$18,11,FALSE)</f>
        <v>1</v>
      </c>
      <c r="V2301" s="81">
        <f>HLOOKUP(O2301,データについて!$J$9:$M$18,10,FALSE)</f>
        <v>3</v>
      </c>
      <c r="W2301" s="81">
        <f>HLOOKUP(P2301,データについて!$J$10:$M$18,9,FALSE)</f>
        <v>1</v>
      </c>
      <c r="X2301" s="81">
        <f>HLOOKUP(Q2301,データについて!$J$11:$M$18,8,FALSE)</f>
        <v>1</v>
      </c>
      <c r="Y2301" s="81">
        <f>HLOOKUP(R2301,データについて!$J$12:$M$18,7,FALSE)</f>
        <v>2</v>
      </c>
      <c r="Z2301" s="81">
        <f>HLOOKUP(I2301,データについて!$J$3:$M$18,16,FALSE)</f>
        <v>1</v>
      </c>
      <c r="AA2301" s="81">
        <f>IFERROR(HLOOKUP(J2301,データについて!$J$4:$AH$19,16,FALSE),"")</f>
        <v>6</v>
      </c>
      <c r="AB2301" s="81" t="str">
        <f>IFERROR(HLOOKUP(K2301,データについて!$J$5:$AH$20,14,FALSE),"")</f>
        <v/>
      </c>
      <c r="AC2301" s="81">
        <f>IF(X2301=1,HLOOKUP(R2301,データについて!$J$12:$M$18,7,FALSE),"*")</f>
        <v>2</v>
      </c>
      <c r="AD2301" s="81" t="str">
        <f>IF(X2301=2,HLOOKUP(R2301,データについて!$J$12:$M$18,7,FALSE),"*")</f>
        <v>*</v>
      </c>
    </row>
    <row r="2302" spans="1:30">
      <c r="A2302" s="30">
        <v>2890</v>
      </c>
      <c r="B2302" s="30" t="s">
        <v>2606</v>
      </c>
      <c r="C2302" s="30" t="s">
        <v>2607</v>
      </c>
      <c r="D2302" s="30" t="s">
        <v>106</v>
      </c>
      <c r="E2302" s="30"/>
      <c r="F2302" s="30" t="s">
        <v>107</v>
      </c>
      <c r="G2302" s="30" t="s">
        <v>106</v>
      </c>
      <c r="H2302" s="30"/>
      <c r="I2302" s="30" t="s">
        <v>192</v>
      </c>
      <c r="J2302" s="30" t="s">
        <v>125</v>
      </c>
      <c r="K2302" s="30"/>
      <c r="L2302" s="30" t="s">
        <v>117</v>
      </c>
      <c r="M2302" s="30" t="s">
        <v>109</v>
      </c>
      <c r="N2302" s="30" t="s">
        <v>110</v>
      </c>
      <c r="O2302" s="30" t="s">
        <v>115</v>
      </c>
      <c r="P2302" s="30" t="s">
        <v>112</v>
      </c>
      <c r="Q2302" s="30" t="s">
        <v>112</v>
      </c>
      <c r="R2302" s="30" t="s">
        <v>183</v>
      </c>
      <c r="S2302" s="81">
        <f>HLOOKUP(L2302,データについて!$J$6:$M$18,13,FALSE)</f>
        <v>2</v>
      </c>
      <c r="T2302" s="81">
        <f>HLOOKUP(M2302,データについて!$J$7:$M$18,12,FALSE)</f>
        <v>2</v>
      </c>
      <c r="U2302" s="81">
        <f>HLOOKUP(N2302,データについて!$J$8:$M$18,11,FALSE)</f>
        <v>2</v>
      </c>
      <c r="V2302" s="81">
        <f>HLOOKUP(O2302,データについて!$J$9:$M$18,10,FALSE)</f>
        <v>1</v>
      </c>
      <c r="W2302" s="81">
        <f>HLOOKUP(P2302,データについて!$J$10:$M$18,9,FALSE)</f>
        <v>1</v>
      </c>
      <c r="X2302" s="81">
        <f>HLOOKUP(Q2302,データについて!$J$11:$M$18,8,FALSE)</f>
        <v>1</v>
      </c>
      <c r="Y2302" s="81">
        <f>HLOOKUP(R2302,データについて!$J$12:$M$18,7,FALSE)</f>
        <v>1</v>
      </c>
      <c r="Z2302" s="81">
        <f>HLOOKUP(I2302,データについて!$J$3:$M$18,16,FALSE)</f>
        <v>1</v>
      </c>
      <c r="AA2302" s="81">
        <f>IFERROR(HLOOKUP(J2302,データについて!$J$4:$AH$19,16,FALSE),"")</f>
        <v>6</v>
      </c>
      <c r="AB2302" s="81" t="str">
        <f>IFERROR(HLOOKUP(K2302,データについて!$J$5:$AH$20,14,FALSE),"")</f>
        <v/>
      </c>
      <c r="AC2302" s="81">
        <f>IF(X2302=1,HLOOKUP(R2302,データについて!$J$12:$M$18,7,FALSE),"*")</f>
        <v>1</v>
      </c>
      <c r="AD2302" s="81" t="str">
        <f>IF(X2302=2,HLOOKUP(R2302,データについて!$J$12:$M$18,7,FALSE),"*")</f>
        <v>*</v>
      </c>
    </row>
    <row r="2303" spans="1:30">
      <c r="A2303" s="30">
        <v>2889</v>
      </c>
      <c r="B2303" s="30" t="s">
        <v>2608</v>
      </c>
      <c r="C2303" s="30" t="s">
        <v>2609</v>
      </c>
      <c r="D2303" s="30" t="s">
        <v>106</v>
      </c>
      <c r="E2303" s="30"/>
      <c r="F2303" s="30" t="s">
        <v>107</v>
      </c>
      <c r="G2303" s="30" t="s">
        <v>106</v>
      </c>
      <c r="H2303" s="30"/>
      <c r="I2303" s="30" t="s">
        <v>192</v>
      </c>
      <c r="J2303" s="30" t="s">
        <v>128</v>
      </c>
      <c r="K2303" s="30"/>
      <c r="L2303" s="30" t="s">
        <v>117</v>
      </c>
      <c r="M2303" s="30" t="s">
        <v>109</v>
      </c>
      <c r="N2303" s="30" t="s">
        <v>114</v>
      </c>
      <c r="O2303" s="30" t="s">
        <v>115</v>
      </c>
      <c r="P2303" s="30" t="s">
        <v>112</v>
      </c>
      <c r="Q2303" s="30" t="s">
        <v>112</v>
      </c>
      <c r="R2303" s="30" t="s">
        <v>187</v>
      </c>
      <c r="S2303" s="81">
        <f>HLOOKUP(L2303,データについて!$J$6:$M$18,13,FALSE)</f>
        <v>2</v>
      </c>
      <c r="T2303" s="81">
        <f>HLOOKUP(M2303,データについて!$J$7:$M$18,12,FALSE)</f>
        <v>2</v>
      </c>
      <c r="U2303" s="81">
        <f>HLOOKUP(N2303,データについて!$J$8:$M$18,11,FALSE)</f>
        <v>1</v>
      </c>
      <c r="V2303" s="81">
        <f>HLOOKUP(O2303,データについて!$J$9:$M$18,10,FALSE)</f>
        <v>1</v>
      </c>
      <c r="W2303" s="81">
        <f>HLOOKUP(P2303,データについて!$J$10:$M$18,9,FALSE)</f>
        <v>1</v>
      </c>
      <c r="X2303" s="81">
        <f>HLOOKUP(Q2303,データについて!$J$11:$M$18,8,FALSE)</f>
        <v>1</v>
      </c>
      <c r="Y2303" s="81">
        <f>HLOOKUP(R2303,データについて!$J$12:$M$18,7,FALSE)</f>
        <v>3</v>
      </c>
      <c r="Z2303" s="81">
        <f>HLOOKUP(I2303,データについて!$J$3:$M$18,16,FALSE)</f>
        <v>1</v>
      </c>
      <c r="AA2303" s="81">
        <f>IFERROR(HLOOKUP(J2303,データについて!$J$4:$AH$19,16,FALSE),"")</f>
        <v>1</v>
      </c>
      <c r="AB2303" s="81" t="str">
        <f>IFERROR(HLOOKUP(K2303,データについて!$J$5:$AH$20,14,FALSE),"")</f>
        <v/>
      </c>
      <c r="AC2303" s="81">
        <f>IF(X2303=1,HLOOKUP(R2303,データについて!$J$12:$M$18,7,FALSE),"*")</f>
        <v>3</v>
      </c>
      <c r="AD2303" s="81" t="str">
        <f>IF(X2303=2,HLOOKUP(R2303,データについて!$J$12:$M$18,7,FALSE),"*")</f>
        <v>*</v>
      </c>
    </row>
    <row r="2304" spans="1:30">
      <c r="A2304" s="30">
        <v>2888</v>
      </c>
      <c r="B2304" s="30" t="s">
        <v>2610</v>
      </c>
      <c r="C2304" s="30" t="s">
        <v>2611</v>
      </c>
      <c r="D2304" s="30" t="s">
        <v>106</v>
      </c>
      <c r="E2304" s="30"/>
      <c r="F2304" s="30" t="s">
        <v>107</v>
      </c>
      <c r="G2304" s="30" t="s">
        <v>106</v>
      </c>
      <c r="H2304" s="30"/>
      <c r="I2304" s="30" t="s">
        <v>192</v>
      </c>
      <c r="J2304" s="30" t="s">
        <v>128</v>
      </c>
      <c r="K2304" s="30"/>
      <c r="L2304" s="30" t="s">
        <v>117</v>
      </c>
      <c r="M2304" s="30" t="s">
        <v>113</v>
      </c>
      <c r="N2304" s="30" t="s">
        <v>114</v>
      </c>
      <c r="O2304" s="30" t="s">
        <v>115</v>
      </c>
      <c r="P2304" s="30" t="s">
        <v>112</v>
      </c>
      <c r="Q2304" s="30" t="s">
        <v>112</v>
      </c>
      <c r="R2304" s="30" t="s">
        <v>187</v>
      </c>
      <c r="S2304" s="81">
        <f>HLOOKUP(L2304,データについて!$J$6:$M$18,13,FALSE)</f>
        <v>2</v>
      </c>
      <c r="T2304" s="81">
        <f>HLOOKUP(M2304,データについて!$J$7:$M$18,12,FALSE)</f>
        <v>1</v>
      </c>
      <c r="U2304" s="81">
        <f>HLOOKUP(N2304,データについて!$J$8:$M$18,11,FALSE)</f>
        <v>1</v>
      </c>
      <c r="V2304" s="81">
        <f>HLOOKUP(O2304,データについて!$J$9:$M$18,10,FALSE)</f>
        <v>1</v>
      </c>
      <c r="W2304" s="81">
        <f>HLOOKUP(P2304,データについて!$J$10:$M$18,9,FALSE)</f>
        <v>1</v>
      </c>
      <c r="X2304" s="81">
        <f>HLOOKUP(Q2304,データについて!$J$11:$M$18,8,FALSE)</f>
        <v>1</v>
      </c>
      <c r="Y2304" s="81">
        <f>HLOOKUP(R2304,データについて!$J$12:$M$18,7,FALSE)</f>
        <v>3</v>
      </c>
      <c r="Z2304" s="81">
        <f>HLOOKUP(I2304,データについて!$J$3:$M$18,16,FALSE)</f>
        <v>1</v>
      </c>
      <c r="AA2304" s="81">
        <f>IFERROR(HLOOKUP(J2304,データについて!$J$4:$AH$19,16,FALSE),"")</f>
        <v>1</v>
      </c>
      <c r="AB2304" s="81" t="str">
        <f>IFERROR(HLOOKUP(K2304,データについて!$J$5:$AH$20,14,FALSE),"")</f>
        <v/>
      </c>
      <c r="AC2304" s="81">
        <f>IF(X2304=1,HLOOKUP(R2304,データについて!$J$12:$M$18,7,FALSE),"*")</f>
        <v>3</v>
      </c>
      <c r="AD2304" s="81" t="str">
        <f>IF(X2304=2,HLOOKUP(R2304,データについて!$J$12:$M$18,7,FALSE),"*")</f>
        <v>*</v>
      </c>
    </row>
    <row r="2305" spans="1:30">
      <c r="A2305" s="30">
        <v>2887</v>
      </c>
      <c r="B2305" s="30" t="s">
        <v>2612</v>
      </c>
      <c r="C2305" s="30" t="s">
        <v>2613</v>
      </c>
      <c r="D2305" s="30" t="s">
        <v>106</v>
      </c>
      <c r="E2305" s="30"/>
      <c r="F2305" s="30" t="s">
        <v>107</v>
      </c>
      <c r="G2305" s="30" t="s">
        <v>106</v>
      </c>
      <c r="H2305" s="30"/>
      <c r="I2305" s="30" t="s">
        <v>192</v>
      </c>
      <c r="J2305" s="30" t="s">
        <v>125</v>
      </c>
      <c r="K2305" s="30"/>
      <c r="L2305" s="30" t="s">
        <v>117</v>
      </c>
      <c r="M2305" s="30" t="s">
        <v>124</v>
      </c>
      <c r="N2305" s="30" t="s">
        <v>110</v>
      </c>
      <c r="O2305" s="30" t="s">
        <v>115</v>
      </c>
      <c r="P2305" s="30" t="s">
        <v>112</v>
      </c>
      <c r="Q2305" s="30" t="s">
        <v>112</v>
      </c>
      <c r="R2305" s="30" t="s">
        <v>185</v>
      </c>
      <c r="S2305" s="81">
        <f>HLOOKUP(L2305,データについて!$J$6:$M$18,13,FALSE)</f>
        <v>2</v>
      </c>
      <c r="T2305" s="81">
        <f>HLOOKUP(M2305,データについて!$J$7:$M$18,12,FALSE)</f>
        <v>3</v>
      </c>
      <c r="U2305" s="81">
        <f>HLOOKUP(N2305,データについて!$J$8:$M$18,11,FALSE)</f>
        <v>2</v>
      </c>
      <c r="V2305" s="81">
        <f>HLOOKUP(O2305,データについて!$J$9:$M$18,10,FALSE)</f>
        <v>1</v>
      </c>
      <c r="W2305" s="81">
        <f>HLOOKUP(P2305,データについて!$J$10:$M$18,9,FALSE)</f>
        <v>1</v>
      </c>
      <c r="X2305" s="81">
        <f>HLOOKUP(Q2305,データについて!$J$11:$M$18,8,FALSE)</f>
        <v>1</v>
      </c>
      <c r="Y2305" s="81">
        <f>HLOOKUP(R2305,データについて!$J$12:$M$18,7,FALSE)</f>
        <v>2</v>
      </c>
      <c r="Z2305" s="81">
        <f>HLOOKUP(I2305,データについて!$J$3:$M$18,16,FALSE)</f>
        <v>1</v>
      </c>
      <c r="AA2305" s="81">
        <f>IFERROR(HLOOKUP(J2305,データについて!$J$4:$AH$19,16,FALSE),"")</f>
        <v>6</v>
      </c>
      <c r="AB2305" s="81" t="str">
        <f>IFERROR(HLOOKUP(K2305,データについて!$J$5:$AH$20,14,FALSE),"")</f>
        <v/>
      </c>
      <c r="AC2305" s="81">
        <f>IF(X2305=1,HLOOKUP(R2305,データについて!$J$12:$M$18,7,FALSE),"*")</f>
        <v>2</v>
      </c>
      <c r="AD2305" s="81" t="str">
        <f>IF(X2305=2,HLOOKUP(R2305,データについて!$J$12:$M$18,7,FALSE),"*")</f>
        <v>*</v>
      </c>
    </row>
    <row r="2306" spans="1:30">
      <c r="A2306" s="30">
        <v>2886</v>
      </c>
      <c r="B2306" s="30" t="s">
        <v>2614</v>
      </c>
      <c r="C2306" s="30" t="s">
        <v>2615</v>
      </c>
      <c r="D2306" s="30" t="s">
        <v>106</v>
      </c>
      <c r="E2306" s="30"/>
      <c r="F2306" s="30" t="s">
        <v>107</v>
      </c>
      <c r="G2306" s="30" t="s">
        <v>106</v>
      </c>
      <c r="H2306" s="30"/>
      <c r="I2306" s="30" t="s">
        <v>192</v>
      </c>
      <c r="J2306" s="30" t="s">
        <v>128</v>
      </c>
      <c r="K2306" s="30"/>
      <c r="L2306" s="30" t="s">
        <v>108</v>
      </c>
      <c r="M2306" s="30" t="s">
        <v>109</v>
      </c>
      <c r="N2306" s="30" t="s">
        <v>114</v>
      </c>
      <c r="O2306" s="30" t="s">
        <v>116</v>
      </c>
      <c r="P2306" s="30" t="s">
        <v>112</v>
      </c>
      <c r="Q2306" s="30" t="s">
        <v>112</v>
      </c>
      <c r="R2306" s="30" t="s">
        <v>185</v>
      </c>
      <c r="S2306" s="81">
        <f>HLOOKUP(L2306,データについて!$J$6:$M$18,13,FALSE)</f>
        <v>1</v>
      </c>
      <c r="T2306" s="81">
        <f>HLOOKUP(M2306,データについて!$J$7:$M$18,12,FALSE)</f>
        <v>2</v>
      </c>
      <c r="U2306" s="81">
        <f>HLOOKUP(N2306,データについて!$J$8:$M$18,11,FALSE)</f>
        <v>1</v>
      </c>
      <c r="V2306" s="81">
        <f>HLOOKUP(O2306,データについて!$J$9:$M$18,10,FALSE)</f>
        <v>2</v>
      </c>
      <c r="W2306" s="81">
        <f>HLOOKUP(P2306,データについて!$J$10:$M$18,9,FALSE)</f>
        <v>1</v>
      </c>
      <c r="X2306" s="81">
        <f>HLOOKUP(Q2306,データについて!$J$11:$M$18,8,FALSE)</f>
        <v>1</v>
      </c>
      <c r="Y2306" s="81">
        <f>HLOOKUP(R2306,データについて!$J$12:$M$18,7,FALSE)</f>
        <v>2</v>
      </c>
      <c r="Z2306" s="81">
        <f>HLOOKUP(I2306,データについて!$J$3:$M$18,16,FALSE)</f>
        <v>1</v>
      </c>
      <c r="AA2306" s="81">
        <f>IFERROR(HLOOKUP(J2306,データについて!$J$4:$AH$19,16,FALSE),"")</f>
        <v>1</v>
      </c>
      <c r="AB2306" s="81" t="str">
        <f>IFERROR(HLOOKUP(K2306,データについて!$J$5:$AH$20,14,FALSE),"")</f>
        <v/>
      </c>
      <c r="AC2306" s="81">
        <f>IF(X2306=1,HLOOKUP(R2306,データについて!$J$12:$M$18,7,FALSE),"*")</f>
        <v>2</v>
      </c>
      <c r="AD2306" s="81" t="str">
        <f>IF(X2306=2,HLOOKUP(R2306,データについて!$J$12:$M$18,7,FALSE),"*")</f>
        <v>*</v>
      </c>
    </row>
    <row r="2307" spans="1:30">
      <c r="A2307" s="30">
        <v>2885</v>
      </c>
      <c r="B2307" s="30" t="s">
        <v>2616</v>
      </c>
      <c r="C2307" s="30" t="s">
        <v>2617</v>
      </c>
      <c r="D2307" s="30" t="s">
        <v>106</v>
      </c>
      <c r="E2307" s="30"/>
      <c r="F2307" s="30" t="s">
        <v>107</v>
      </c>
      <c r="G2307" s="30" t="s">
        <v>106</v>
      </c>
      <c r="H2307" s="30"/>
      <c r="I2307" s="30" t="s">
        <v>192</v>
      </c>
      <c r="J2307" s="30" t="s">
        <v>942</v>
      </c>
      <c r="K2307" s="30"/>
      <c r="L2307" s="30" t="s">
        <v>117</v>
      </c>
      <c r="M2307" s="30" t="s">
        <v>113</v>
      </c>
      <c r="N2307" s="30" t="s">
        <v>114</v>
      </c>
      <c r="O2307" s="30" t="s">
        <v>115</v>
      </c>
      <c r="P2307" s="30" t="s">
        <v>112</v>
      </c>
      <c r="Q2307" s="30" t="s">
        <v>112</v>
      </c>
      <c r="R2307" s="30" t="s">
        <v>183</v>
      </c>
      <c r="S2307" s="81">
        <f>HLOOKUP(L2307,データについて!$J$6:$M$18,13,FALSE)</f>
        <v>2</v>
      </c>
      <c r="T2307" s="81">
        <f>HLOOKUP(M2307,データについて!$J$7:$M$18,12,FALSE)</f>
        <v>1</v>
      </c>
      <c r="U2307" s="81">
        <f>HLOOKUP(N2307,データについて!$J$8:$M$18,11,FALSE)</f>
        <v>1</v>
      </c>
      <c r="V2307" s="81">
        <f>HLOOKUP(O2307,データについて!$J$9:$M$18,10,FALSE)</f>
        <v>1</v>
      </c>
      <c r="W2307" s="81">
        <f>HLOOKUP(P2307,データについて!$J$10:$M$18,9,FALSE)</f>
        <v>1</v>
      </c>
      <c r="X2307" s="81">
        <f>HLOOKUP(Q2307,データについて!$J$11:$M$18,8,FALSE)</f>
        <v>1</v>
      </c>
      <c r="Y2307" s="81">
        <f>HLOOKUP(R2307,データについて!$J$12:$M$18,7,FALSE)</f>
        <v>1</v>
      </c>
      <c r="Z2307" s="81">
        <f>HLOOKUP(I2307,データについて!$J$3:$M$18,16,FALSE)</f>
        <v>1</v>
      </c>
      <c r="AA2307" s="81">
        <f>IFERROR(HLOOKUP(J2307,データについて!$J$4:$AH$19,16,FALSE),"")</f>
        <v>7</v>
      </c>
      <c r="AB2307" s="81" t="str">
        <f>IFERROR(HLOOKUP(K2307,データについて!$J$5:$AH$20,14,FALSE),"")</f>
        <v/>
      </c>
      <c r="AC2307" s="81">
        <f>IF(X2307=1,HLOOKUP(R2307,データについて!$J$12:$M$18,7,FALSE),"*")</f>
        <v>1</v>
      </c>
      <c r="AD2307" s="81" t="str">
        <f>IF(X2307=2,HLOOKUP(R2307,データについて!$J$12:$M$18,7,FALSE),"*")</f>
        <v>*</v>
      </c>
    </row>
    <row r="2308" spans="1:30">
      <c r="A2308" s="30">
        <v>2884</v>
      </c>
      <c r="B2308" s="30" t="s">
        <v>2618</v>
      </c>
      <c r="C2308" s="30" t="s">
        <v>2619</v>
      </c>
      <c r="D2308" s="30" t="s">
        <v>106</v>
      </c>
      <c r="E2308" s="30"/>
      <c r="F2308" s="30" t="s">
        <v>107</v>
      </c>
      <c r="G2308" s="30" t="s">
        <v>106</v>
      </c>
      <c r="H2308" s="30"/>
      <c r="I2308" s="30" t="s">
        <v>192</v>
      </c>
      <c r="J2308" s="30" t="s">
        <v>128</v>
      </c>
      <c r="K2308" s="30"/>
      <c r="L2308" s="30" t="s">
        <v>117</v>
      </c>
      <c r="M2308" s="30" t="s">
        <v>113</v>
      </c>
      <c r="N2308" s="30" t="s">
        <v>114</v>
      </c>
      <c r="O2308" s="30" t="s">
        <v>115</v>
      </c>
      <c r="P2308" s="30" t="s">
        <v>112</v>
      </c>
      <c r="Q2308" s="30" t="s">
        <v>118</v>
      </c>
      <c r="R2308" s="30" t="s">
        <v>185</v>
      </c>
      <c r="S2308" s="81">
        <f>HLOOKUP(L2308,データについて!$J$6:$M$18,13,FALSE)</f>
        <v>2</v>
      </c>
      <c r="T2308" s="81">
        <f>HLOOKUP(M2308,データについて!$J$7:$M$18,12,FALSE)</f>
        <v>1</v>
      </c>
      <c r="U2308" s="81">
        <f>HLOOKUP(N2308,データについて!$J$8:$M$18,11,FALSE)</f>
        <v>1</v>
      </c>
      <c r="V2308" s="81">
        <f>HLOOKUP(O2308,データについて!$J$9:$M$18,10,FALSE)</f>
        <v>1</v>
      </c>
      <c r="W2308" s="81">
        <f>HLOOKUP(P2308,データについて!$J$10:$M$18,9,FALSE)</f>
        <v>1</v>
      </c>
      <c r="X2308" s="81">
        <f>HLOOKUP(Q2308,データについて!$J$11:$M$18,8,FALSE)</f>
        <v>2</v>
      </c>
      <c r="Y2308" s="81">
        <f>HLOOKUP(R2308,データについて!$J$12:$M$18,7,FALSE)</f>
        <v>2</v>
      </c>
      <c r="Z2308" s="81">
        <f>HLOOKUP(I2308,データについて!$J$3:$M$18,16,FALSE)</f>
        <v>1</v>
      </c>
      <c r="AA2308" s="81">
        <f>IFERROR(HLOOKUP(J2308,データについて!$J$4:$AH$19,16,FALSE),"")</f>
        <v>1</v>
      </c>
      <c r="AB2308" s="81" t="str">
        <f>IFERROR(HLOOKUP(K2308,データについて!$J$5:$AH$20,14,FALSE),"")</f>
        <v/>
      </c>
      <c r="AC2308" s="81" t="str">
        <f>IF(X2308=1,HLOOKUP(R2308,データについて!$J$12:$M$18,7,FALSE),"*")</f>
        <v>*</v>
      </c>
      <c r="AD2308" s="81">
        <f>IF(X2308=2,HLOOKUP(R2308,データについて!$J$12:$M$18,7,FALSE),"*")</f>
        <v>2</v>
      </c>
    </row>
    <row r="2309" spans="1:30">
      <c r="A2309" s="30">
        <v>2883</v>
      </c>
      <c r="B2309" s="30" t="s">
        <v>2620</v>
      </c>
      <c r="C2309" s="30" t="s">
        <v>2619</v>
      </c>
      <c r="D2309" s="30" t="s">
        <v>106</v>
      </c>
      <c r="E2309" s="30"/>
      <c r="F2309" s="30" t="s">
        <v>107</v>
      </c>
      <c r="G2309" s="30" t="s">
        <v>106</v>
      </c>
      <c r="H2309" s="30"/>
      <c r="I2309" s="30" t="s">
        <v>192</v>
      </c>
      <c r="J2309" s="30" t="s">
        <v>128</v>
      </c>
      <c r="K2309" s="30"/>
      <c r="L2309" s="30" t="s">
        <v>108</v>
      </c>
      <c r="M2309" s="30" t="s">
        <v>113</v>
      </c>
      <c r="N2309" s="30" t="s">
        <v>114</v>
      </c>
      <c r="O2309" s="30" t="s">
        <v>115</v>
      </c>
      <c r="P2309" s="30" t="s">
        <v>112</v>
      </c>
      <c r="Q2309" s="30" t="s">
        <v>112</v>
      </c>
      <c r="R2309" s="30" t="s">
        <v>183</v>
      </c>
      <c r="S2309" s="81">
        <f>HLOOKUP(L2309,データについて!$J$6:$M$18,13,FALSE)</f>
        <v>1</v>
      </c>
      <c r="T2309" s="81">
        <f>HLOOKUP(M2309,データについて!$J$7:$M$18,12,FALSE)</f>
        <v>1</v>
      </c>
      <c r="U2309" s="81">
        <f>HLOOKUP(N2309,データについて!$J$8:$M$18,11,FALSE)</f>
        <v>1</v>
      </c>
      <c r="V2309" s="81">
        <f>HLOOKUP(O2309,データについて!$J$9:$M$18,10,FALSE)</f>
        <v>1</v>
      </c>
      <c r="W2309" s="81">
        <f>HLOOKUP(P2309,データについて!$J$10:$M$18,9,FALSE)</f>
        <v>1</v>
      </c>
      <c r="X2309" s="81">
        <f>HLOOKUP(Q2309,データについて!$J$11:$M$18,8,FALSE)</f>
        <v>1</v>
      </c>
      <c r="Y2309" s="81">
        <f>HLOOKUP(R2309,データについて!$J$12:$M$18,7,FALSE)</f>
        <v>1</v>
      </c>
      <c r="Z2309" s="81">
        <f>HLOOKUP(I2309,データについて!$J$3:$M$18,16,FALSE)</f>
        <v>1</v>
      </c>
      <c r="AA2309" s="81">
        <f>IFERROR(HLOOKUP(J2309,データについて!$J$4:$AH$19,16,FALSE),"")</f>
        <v>1</v>
      </c>
      <c r="AB2309" s="81" t="str">
        <f>IFERROR(HLOOKUP(K2309,データについて!$J$5:$AH$20,14,FALSE),"")</f>
        <v/>
      </c>
      <c r="AC2309" s="81">
        <f>IF(X2309=1,HLOOKUP(R2309,データについて!$J$12:$M$18,7,FALSE),"*")</f>
        <v>1</v>
      </c>
      <c r="AD2309" s="81" t="str">
        <f>IF(X2309=2,HLOOKUP(R2309,データについて!$J$12:$M$18,7,FALSE),"*")</f>
        <v>*</v>
      </c>
    </row>
    <row r="2310" spans="1:30">
      <c r="A2310" s="30">
        <v>2882</v>
      </c>
      <c r="B2310" s="30" t="s">
        <v>2621</v>
      </c>
      <c r="C2310" s="30" t="s">
        <v>2622</v>
      </c>
      <c r="D2310" s="30" t="s">
        <v>106</v>
      </c>
      <c r="E2310" s="30"/>
      <c r="F2310" s="30" t="s">
        <v>107</v>
      </c>
      <c r="G2310" s="30" t="s">
        <v>106</v>
      </c>
      <c r="H2310" s="30"/>
      <c r="I2310" s="30" t="s">
        <v>192</v>
      </c>
      <c r="J2310" s="30" t="s">
        <v>128</v>
      </c>
      <c r="K2310" s="30"/>
      <c r="L2310" s="30" t="s">
        <v>108</v>
      </c>
      <c r="M2310" s="30" t="s">
        <v>113</v>
      </c>
      <c r="N2310" s="30" t="s">
        <v>114</v>
      </c>
      <c r="O2310" s="30" t="s">
        <v>115</v>
      </c>
      <c r="P2310" s="30" t="s">
        <v>112</v>
      </c>
      <c r="Q2310" s="30" t="s">
        <v>112</v>
      </c>
      <c r="R2310" s="30" t="s">
        <v>185</v>
      </c>
      <c r="S2310" s="81">
        <f>HLOOKUP(L2310,データについて!$J$6:$M$18,13,FALSE)</f>
        <v>1</v>
      </c>
      <c r="T2310" s="81">
        <f>HLOOKUP(M2310,データについて!$J$7:$M$18,12,FALSE)</f>
        <v>1</v>
      </c>
      <c r="U2310" s="81">
        <f>HLOOKUP(N2310,データについて!$J$8:$M$18,11,FALSE)</f>
        <v>1</v>
      </c>
      <c r="V2310" s="81">
        <f>HLOOKUP(O2310,データについて!$J$9:$M$18,10,FALSE)</f>
        <v>1</v>
      </c>
      <c r="W2310" s="81">
        <f>HLOOKUP(P2310,データについて!$J$10:$M$18,9,FALSE)</f>
        <v>1</v>
      </c>
      <c r="X2310" s="81">
        <f>HLOOKUP(Q2310,データについて!$J$11:$M$18,8,FALSE)</f>
        <v>1</v>
      </c>
      <c r="Y2310" s="81">
        <f>HLOOKUP(R2310,データについて!$J$12:$M$18,7,FALSE)</f>
        <v>2</v>
      </c>
      <c r="Z2310" s="81">
        <f>HLOOKUP(I2310,データについて!$J$3:$M$18,16,FALSE)</f>
        <v>1</v>
      </c>
      <c r="AA2310" s="81">
        <f>IFERROR(HLOOKUP(J2310,データについて!$J$4:$AH$19,16,FALSE),"")</f>
        <v>1</v>
      </c>
      <c r="AB2310" s="81" t="str">
        <f>IFERROR(HLOOKUP(K2310,データについて!$J$5:$AH$20,14,FALSE),"")</f>
        <v/>
      </c>
      <c r="AC2310" s="81">
        <f>IF(X2310=1,HLOOKUP(R2310,データについて!$J$12:$M$18,7,FALSE),"*")</f>
        <v>2</v>
      </c>
      <c r="AD2310" s="81" t="str">
        <f>IF(X2310=2,HLOOKUP(R2310,データについて!$J$12:$M$18,7,FALSE),"*")</f>
        <v>*</v>
      </c>
    </row>
    <row r="2311" spans="1:30">
      <c r="A2311" s="30">
        <v>2881</v>
      </c>
      <c r="B2311" s="30" t="s">
        <v>2623</v>
      </c>
      <c r="C2311" s="30" t="s">
        <v>2624</v>
      </c>
      <c r="D2311" s="30" t="s">
        <v>106</v>
      </c>
      <c r="E2311" s="30"/>
      <c r="F2311" s="30" t="s">
        <v>107</v>
      </c>
      <c r="G2311" s="30" t="s">
        <v>106</v>
      </c>
      <c r="H2311" s="30"/>
      <c r="I2311" s="30" t="s">
        <v>192</v>
      </c>
      <c r="J2311" s="30" t="s">
        <v>942</v>
      </c>
      <c r="K2311" s="30"/>
      <c r="L2311" s="30" t="s">
        <v>117</v>
      </c>
      <c r="M2311" s="30" t="s">
        <v>109</v>
      </c>
      <c r="N2311" s="30" t="s">
        <v>110</v>
      </c>
      <c r="O2311" s="30" t="s">
        <v>115</v>
      </c>
      <c r="P2311" s="30" t="s">
        <v>112</v>
      </c>
      <c r="Q2311" s="30" t="s">
        <v>112</v>
      </c>
      <c r="R2311" s="30" t="s">
        <v>185</v>
      </c>
      <c r="S2311" s="81">
        <f>HLOOKUP(L2311,データについて!$J$6:$M$18,13,FALSE)</f>
        <v>2</v>
      </c>
      <c r="T2311" s="81">
        <f>HLOOKUP(M2311,データについて!$J$7:$M$18,12,FALSE)</f>
        <v>2</v>
      </c>
      <c r="U2311" s="81">
        <f>HLOOKUP(N2311,データについて!$J$8:$M$18,11,FALSE)</f>
        <v>2</v>
      </c>
      <c r="V2311" s="81">
        <f>HLOOKUP(O2311,データについて!$J$9:$M$18,10,FALSE)</f>
        <v>1</v>
      </c>
      <c r="W2311" s="81">
        <f>HLOOKUP(P2311,データについて!$J$10:$M$18,9,FALSE)</f>
        <v>1</v>
      </c>
      <c r="X2311" s="81">
        <f>HLOOKUP(Q2311,データについて!$J$11:$M$18,8,FALSE)</f>
        <v>1</v>
      </c>
      <c r="Y2311" s="81">
        <f>HLOOKUP(R2311,データについて!$J$12:$M$18,7,FALSE)</f>
        <v>2</v>
      </c>
      <c r="Z2311" s="81">
        <f>HLOOKUP(I2311,データについて!$J$3:$M$18,16,FALSE)</f>
        <v>1</v>
      </c>
      <c r="AA2311" s="81">
        <f>IFERROR(HLOOKUP(J2311,データについて!$J$4:$AH$19,16,FALSE),"")</f>
        <v>7</v>
      </c>
      <c r="AB2311" s="81" t="str">
        <f>IFERROR(HLOOKUP(K2311,データについて!$J$5:$AH$20,14,FALSE),"")</f>
        <v/>
      </c>
      <c r="AC2311" s="81">
        <f>IF(X2311=1,HLOOKUP(R2311,データについて!$J$12:$M$18,7,FALSE),"*")</f>
        <v>2</v>
      </c>
      <c r="AD2311" s="81" t="str">
        <f>IF(X2311=2,HLOOKUP(R2311,データについて!$J$12:$M$18,7,FALSE),"*")</f>
        <v>*</v>
      </c>
    </row>
    <row r="2312" spans="1:30">
      <c r="A2312" s="30">
        <v>2880</v>
      </c>
      <c r="B2312" s="30" t="s">
        <v>2625</v>
      </c>
      <c r="C2312" s="30" t="s">
        <v>2626</v>
      </c>
      <c r="D2312" s="30" t="s">
        <v>106</v>
      </c>
      <c r="E2312" s="30"/>
      <c r="F2312" s="30" t="s">
        <v>107</v>
      </c>
      <c r="G2312" s="30" t="s">
        <v>106</v>
      </c>
      <c r="H2312" s="30"/>
      <c r="I2312" s="30" t="s">
        <v>192</v>
      </c>
      <c r="J2312" s="30" t="s">
        <v>942</v>
      </c>
      <c r="K2312" s="30"/>
      <c r="L2312" s="30" t="s">
        <v>117</v>
      </c>
      <c r="M2312" s="30" t="s">
        <v>113</v>
      </c>
      <c r="N2312" s="30" t="s">
        <v>110</v>
      </c>
      <c r="O2312" s="30" t="s">
        <v>115</v>
      </c>
      <c r="P2312" s="30" t="s">
        <v>118</v>
      </c>
      <c r="Q2312" s="30" t="s">
        <v>112</v>
      </c>
      <c r="R2312" s="30" t="s">
        <v>185</v>
      </c>
      <c r="S2312" s="81">
        <f>HLOOKUP(L2312,データについて!$J$6:$M$18,13,FALSE)</f>
        <v>2</v>
      </c>
      <c r="T2312" s="81">
        <f>HLOOKUP(M2312,データについて!$J$7:$M$18,12,FALSE)</f>
        <v>1</v>
      </c>
      <c r="U2312" s="81">
        <f>HLOOKUP(N2312,データについて!$J$8:$M$18,11,FALSE)</f>
        <v>2</v>
      </c>
      <c r="V2312" s="81">
        <f>HLOOKUP(O2312,データについて!$J$9:$M$18,10,FALSE)</f>
        <v>1</v>
      </c>
      <c r="W2312" s="81">
        <f>HLOOKUP(P2312,データについて!$J$10:$M$18,9,FALSE)</f>
        <v>2</v>
      </c>
      <c r="X2312" s="81">
        <f>HLOOKUP(Q2312,データについて!$J$11:$M$18,8,FALSE)</f>
        <v>1</v>
      </c>
      <c r="Y2312" s="81">
        <f>HLOOKUP(R2312,データについて!$J$12:$M$18,7,FALSE)</f>
        <v>2</v>
      </c>
      <c r="Z2312" s="81">
        <f>HLOOKUP(I2312,データについて!$J$3:$M$18,16,FALSE)</f>
        <v>1</v>
      </c>
      <c r="AA2312" s="81">
        <f>IFERROR(HLOOKUP(J2312,データについて!$J$4:$AH$19,16,FALSE),"")</f>
        <v>7</v>
      </c>
      <c r="AB2312" s="81" t="str">
        <f>IFERROR(HLOOKUP(K2312,データについて!$J$5:$AH$20,14,FALSE),"")</f>
        <v/>
      </c>
      <c r="AC2312" s="81">
        <f>IF(X2312=1,HLOOKUP(R2312,データについて!$J$12:$M$18,7,FALSE),"*")</f>
        <v>2</v>
      </c>
      <c r="AD2312" s="81" t="str">
        <f>IF(X2312=2,HLOOKUP(R2312,データについて!$J$12:$M$18,7,FALSE),"*")</f>
        <v>*</v>
      </c>
    </row>
    <row r="2313" spans="1:30">
      <c r="A2313" s="30">
        <v>2879</v>
      </c>
      <c r="B2313" s="30" t="s">
        <v>2627</v>
      </c>
      <c r="C2313" s="30" t="s">
        <v>2628</v>
      </c>
      <c r="D2313" s="30" t="s">
        <v>106</v>
      </c>
      <c r="E2313" s="30"/>
      <c r="F2313" s="30" t="s">
        <v>107</v>
      </c>
      <c r="G2313" s="30" t="s">
        <v>106</v>
      </c>
      <c r="H2313" s="30"/>
      <c r="I2313" s="30" t="s">
        <v>192</v>
      </c>
      <c r="J2313" s="30" t="s">
        <v>942</v>
      </c>
      <c r="K2313" s="30"/>
      <c r="L2313" s="30" t="s">
        <v>108</v>
      </c>
      <c r="M2313" s="30" t="s">
        <v>113</v>
      </c>
      <c r="N2313" s="30" t="s">
        <v>114</v>
      </c>
      <c r="O2313" s="30" t="s">
        <v>115</v>
      </c>
      <c r="P2313" s="30" t="s">
        <v>112</v>
      </c>
      <c r="Q2313" s="30" t="s">
        <v>112</v>
      </c>
      <c r="R2313" s="30" t="s">
        <v>185</v>
      </c>
      <c r="S2313" s="81">
        <f>HLOOKUP(L2313,データについて!$J$6:$M$18,13,FALSE)</f>
        <v>1</v>
      </c>
      <c r="T2313" s="81">
        <f>HLOOKUP(M2313,データについて!$J$7:$M$18,12,FALSE)</f>
        <v>1</v>
      </c>
      <c r="U2313" s="81">
        <f>HLOOKUP(N2313,データについて!$J$8:$M$18,11,FALSE)</f>
        <v>1</v>
      </c>
      <c r="V2313" s="81">
        <f>HLOOKUP(O2313,データについて!$J$9:$M$18,10,FALSE)</f>
        <v>1</v>
      </c>
      <c r="W2313" s="81">
        <f>HLOOKUP(P2313,データについて!$J$10:$M$18,9,FALSE)</f>
        <v>1</v>
      </c>
      <c r="X2313" s="81">
        <f>HLOOKUP(Q2313,データについて!$J$11:$M$18,8,FALSE)</f>
        <v>1</v>
      </c>
      <c r="Y2313" s="81">
        <f>HLOOKUP(R2313,データについて!$J$12:$M$18,7,FALSE)</f>
        <v>2</v>
      </c>
      <c r="Z2313" s="81">
        <f>HLOOKUP(I2313,データについて!$J$3:$M$18,16,FALSE)</f>
        <v>1</v>
      </c>
      <c r="AA2313" s="81">
        <f>IFERROR(HLOOKUP(J2313,データについて!$J$4:$AH$19,16,FALSE),"")</f>
        <v>7</v>
      </c>
      <c r="AB2313" s="81" t="str">
        <f>IFERROR(HLOOKUP(K2313,データについて!$J$5:$AH$20,14,FALSE),"")</f>
        <v/>
      </c>
      <c r="AC2313" s="81">
        <f>IF(X2313=1,HLOOKUP(R2313,データについて!$J$12:$M$18,7,FALSE),"*")</f>
        <v>2</v>
      </c>
      <c r="AD2313" s="81" t="str">
        <f>IF(X2313=2,HLOOKUP(R2313,データについて!$J$12:$M$18,7,FALSE),"*")</f>
        <v>*</v>
      </c>
    </row>
    <row r="2314" spans="1:30">
      <c r="A2314" s="30">
        <v>2878</v>
      </c>
      <c r="B2314" s="30" t="s">
        <v>2629</v>
      </c>
      <c r="C2314" s="30" t="s">
        <v>2630</v>
      </c>
      <c r="D2314" s="30" t="s">
        <v>106</v>
      </c>
      <c r="E2314" s="30"/>
      <c r="F2314" s="30" t="s">
        <v>107</v>
      </c>
      <c r="G2314" s="30" t="s">
        <v>106</v>
      </c>
      <c r="H2314" s="30"/>
      <c r="I2314" s="30" t="s">
        <v>192</v>
      </c>
      <c r="J2314" s="30" t="s">
        <v>128</v>
      </c>
      <c r="K2314" s="30"/>
      <c r="L2314" s="30" t="s">
        <v>108</v>
      </c>
      <c r="M2314" s="30" t="s">
        <v>109</v>
      </c>
      <c r="N2314" s="30" t="s">
        <v>114</v>
      </c>
      <c r="O2314" s="30" t="s">
        <v>116</v>
      </c>
      <c r="P2314" s="30" t="s">
        <v>112</v>
      </c>
      <c r="Q2314" s="30" t="s">
        <v>112</v>
      </c>
      <c r="R2314" s="30" t="s">
        <v>185</v>
      </c>
      <c r="S2314" s="81">
        <f>HLOOKUP(L2314,データについて!$J$6:$M$18,13,FALSE)</f>
        <v>1</v>
      </c>
      <c r="T2314" s="81">
        <f>HLOOKUP(M2314,データについて!$J$7:$M$18,12,FALSE)</f>
        <v>2</v>
      </c>
      <c r="U2314" s="81">
        <f>HLOOKUP(N2314,データについて!$J$8:$M$18,11,FALSE)</f>
        <v>1</v>
      </c>
      <c r="V2314" s="81">
        <f>HLOOKUP(O2314,データについて!$J$9:$M$18,10,FALSE)</f>
        <v>2</v>
      </c>
      <c r="W2314" s="81">
        <f>HLOOKUP(P2314,データについて!$J$10:$M$18,9,FALSE)</f>
        <v>1</v>
      </c>
      <c r="X2314" s="81">
        <f>HLOOKUP(Q2314,データについて!$J$11:$M$18,8,FALSE)</f>
        <v>1</v>
      </c>
      <c r="Y2314" s="81">
        <f>HLOOKUP(R2314,データについて!$J$12:$M$18,7,FALSE)</f>
        <v>2</v>
      </c>
      <c r="Z2314" s="81">
        <f>HLOOKUP(I2314,データについて!$J$3:$M$18,16,FALSE)</f>
        <v>1</v>
      </c>
      <c r="AA2314" s="81">
        <f>IFERROR(HLOOKUP(J2314,データについて!$J$4:$AH$19,16,FALSE),"")</f>
        <v>1</v>
      </c>
      <c r="AB2314" s="81" t="str">
        <f>IFERROR(HLOOKUP(K2314,データについて!$J$5:$AH$20,14,FALSE),"")</f>
        <v/>
      </c>
      <c r="AC2314" s="81">
        <f>IF(X2314=1,HLOOKUP(R2314,データについて!$J$12:$M$18,7,FALSE),"*")</f>
        <v>2</v>
      </c>
      <c r="AD2314" s="81" t="str">
        <f>IF(X2314=2,HLOOKUP(R2314,データについて!$J$12:$M$18,7,FALSE),"*")</f>
        <v>*</v>
      </c>
    </row>
    <row r="2315" spans="1:30">
      <c r="A2315" s="30">
        <v>2877</v>
      </c>
      <c r="B2315" s="30" t="s">
        <v>2631</v>
      </c>
      <c r="C2315" s="30" t="s">
        <v>2632</v>
      </c>
      <c r="D2315" s="30" t="s">
        <v>106</v>
      </c>
      <c r="E2315" s="30"/>
      <c r="F2315" s="30" t="s">
        <v>107</v>
      </c>
      <c r="G2315" s="30" t="s">
        <v>106</v>
      </c>
      <c r="H2315" s="30"/>
      <c r="I2315" s="30" t="s">
        <v>192</v>
      </c>
      <c r="J2315" s="30" t="s">
        <v>128</v>
      </c>
      <c r="K2315" s="30"/>
      <c r="L2315" s="30" t="s">
        <v>117</v>
      </c>
      <c r="M2315" s="30" t="s">
        <v>109</v>
      </c>
      <c r="N2315" s="30" t="s">
        <v>114</v>
      </c>
      <c r="O2315" s="30" t="s">
        <v>115</v>
      </c>
      <c r="P2315" s="30" t="s">
        <v>112</v>
      </c>
      <c r="Q2315" s="30" t="s">
        <v>112</v>
      </c>
      <c r="R2315" s="30" t="s">
        <v>189</v>
      </c>
      <c r="S2315" s="81">
        <f>HLOOKUP(L2315,データについて!$J$6:$M$18,13,FALSE)</f>
        <v>2</v>
      </c>
      <c r="T2315" s="81">
        <f>HLOOKUP(M2315,データについて!$J$7:$M$18,12,FALSE)</f>
        <v>2</v>
      </c>
      <c r="U2315" s="81">
        <f>HLOOKUP(N2315,データについて!$J$8:$M$18,11,FALSE)</f>
        <v>1</v>
      </c>
      <c r="V2315" s="81">
        <f>HLOOKUP(O2315,データについて!$J$9:$M$18,10,FALSE)</f>
        <v>1</v>
      </c>
      <c r="W2315" s="81">
        <f>HLOOKUP(P2315,データについて!$J$10:$M$18,9,FALSE)</f>
        <v>1</v>
      </c>
      <c r="X2315" s="81">
        <f>HLOOKUP(Q2315,データについて!$J$11:$M$18,8,FALSE)</f>
        <v>1</v>
      </c>
      <c r="Y2315" s="81">
        <f>HLOOKUP(R2315,データについて!$J$12:$M$18,7,FALSE)</f>
        <v>4</v>
      </c>
      <c r="Z2315" s="81">
        <f>HLOOKUP(I2315,データについて!$J$3:$M$18,16,FALSE)</f>
        <v>1</v>
      </c>
      <c r="AA2315" s="81">
        <f>IFERROR(HLOOKUP(J2315,データについて!$J$4:$AH$19,16,FALSE),"")</f>
        <v>1</v>
      </c>
      <c r="AB2315" s="81" t="str">
        <f>IFERROR(HLOOKUP(K2315,データについて!$J$5:$AH$20,14,FALSE),"")</f>
        <v/>
      </c>
      <c r="AC2315" s="81">
        <f>IF(X2315=1,HLOOKUP(R2315,データについて!$J$12:$M$18,7,FALSE),"*")</f>
        <v>4</v>
      </c>
      <c r="AD2315" s="81" t="str">
        <f>IF(X2315=2,HLOOKUP(R2315,データについて!$J$12:$M$18,7,FALSE),"*")</f>
        <v>*</v>
      </c>
    </row>
    <row r="2316" spans="1:30">
      <c r="A2316" s="30">
        <v>2876</v>
      </c>
      <c r="B2316" s="30" t="s">
        <v>2633</v>
      </c>
      <c r="C2316" s="30" t="s">
        <v>2634</v>
      </c>
      <c r="D2316" s="30" t="s">
        <v>106</v>
      </c>
      <c r="E2316" s="30"/>
      <c r="F2316" s="30" t="s">
        <v>107</v>
      </c>
      <c r="G2316" s="30" t="s">
        <v>106</v>
      </c>
      <c r="H2316" s="30"/>
      <c r="I2316" s="30" t="s">
        <v>192</v>
      </c>
      <c r="J2316" s="30" t="s">
        <v>128</v>
      </c>
      <c r="K2316" s="30"/>
      <c r="L2316" s="30" t="s">
        <v>108</v>
      </c>
      <c r="M2316" s="30" t="s">
        <v>113</v>
      </c>
      <c r="N2316" s="30" t="s">
        <v>114</v>
      </c>
      <c r="O2316" s="30" t="s">
        <v>115</v>
      </c>
      <c r="P2316" s="30" t="s">
        <v>112</v>
      </c>
      <c r="Q2316" s="30" t="s">
        <v>112</v>
      </c>
      <c r="R2316" s="30" t="s">
        <v>183</v>
      </c>
      <c r="S2316" s="81">
        <f>HLOOKUP(L2316,データについて!$J$6:$M$18,13,FALSE)</f>
        <v>1</v>
      </c>
      <c r="T2316" s="81">
        <f>HLOOKUP(M2316,データについて!$J$7:$M$18,12,FALSE)</f>
        <v>1</v>
      </c>
      <c r="U2316" s="81">
        <f>HLOOKUP(N2316,データについて!$J$8:$M$18,11,FALSE)</f>
        <v>1</v>
      </c>
      <c r="V2316" s="81">
        <f>HLOOKUP(O2316,データについて!$J$9:$M$18,10,FALSE)</f>
        <v>1</v>
      </c>
      <c r="W2316" s="81">
        <f>HLOOKUP(P2316,データについて!$J$10:$M$18,9,FALSE)</f>
        <v>1</v>
      </c>
      <c r="X2316" s="81">
        <f>HLOOKUP(Q2316,データについて!$J$11:$M$18,8,FALSE)</f>
        <v>1</v>
      </c>
      <c r="Y2316" s="81">
        <f>HLOOKUP(R2316,データについて!$J$12:$M$18,7,FALSE)</f>
        <v>1</v>
      </c>
      <c r="Z2316" s="81">
        <f>HLOOKUP(I2316,データについて!$J$3:$M$18,16,FALSE)</f>
        <v>1</v>
      </c>
      <c r="AA2316" s="81">
        <f>IFERROR(HLOOKUP(J2316,データについて!$J$4:$AH$19,16,FALSE),"")</f>
        <v>1</v>
      </c>
      <c r="AB2316" s="81" t="str">
        <f>IFERROR(HLOOKUP(K2316,データについて!$J$5:$AH$20,14,FALSE),"")</f>
        <v/>
      </c>
      <c r="AC2316" s="81">
        <f>IF(X2316=1,HLOOKUP(R2316,データについて!$J$12:$M$18,7,FALSE),"*")</f>
        <v>1</v>
      </c>
      <c r="AD2316" s="81" t="str">
        <f>IF(X2316=2,HLOOKUP(R2316,データについて!$J$12:$M$18,7,FALSE),"*")</f>
        <v>*</v>
      </c>
    </row>
    <row r="2317" spans="1:30">
      <c r="A2317" s="30">
        <v>2875</v>
      </c>
      <c r="B2317" s="30" t="s">
        <v>2635</v>
      </c>
      <c r="C2317" s="30" t="s">
        <v>2636</v>
      </c>
      <c r="D2317" s="30" t="s">
        <v>106</v>
      </c>
      <c r="E2317" s="30"/>
      <c r="F2317" s="30" t="s">
        <v>107</v>
      </c>
      <c r="G2317" s="30" t="s">
        <v>106</v>
      </c>
      <c r="H2317" s="30"/>
      <c r="I2317" s="30" t="s">
        <v>192</v>
      </c>
      <c r="J2317" s="30" t="s">
        <v>128</v>
      </c>
      <c r="K2317" s="30"/>
      <c r="L2317" s="30" t="s">
        <v>117</v>
      </c>
      <c r="M2317" s="30" t="s">
        <v>113</v>
      </c>
      <c r="N2317" s="30" t="s">
        <v>114</v>
      </c>
      <c r="O2317" s="30" t="s">
        <v>115</v>
      </c>
      <c r="P2317" s="30" t="s">
        <v>112</v>
      </c>
      <c r="Q2317" s="30" t="s">
        <v>112</v>
      </c>
      <c r="R2317" s="30" t="s">
        <v>185</v>
      </c>
      <c r="S2317" s="81">
        <f>HLOOKUP(L2317,データについて!$J$6:$M$18,13,FALSE)</f>
        <v>2</v>
      </c>
      <c r="T2317" s="81">
        <f>HLOOKUP(M2317,データについて!$J$7:$M$18,12,FALSE)</f>
        <v>1</v>
      </c>
      <c r="U2317" s="81">
        <f>HLOOKUP(N2317,データについて!$J$8:$M$18,11,FALSE)</f>
        <v>1</v>
      </c>
      <c r="V2317" s="81">
        <f>HLOOKUP(O2317,データについて!$J$9:$M$18,10,FALSE)</f>
        <v>1</v>
      </c>
      <c r="W2317" s="81">
        <f>HLOOKUP(P2317,データについて!$J$10:$M$18,9,FALSE)</f>
        <v>1</v>
      </c>
      <c r="X2317" s="81">
        <f>HLOOKUP(Q2317,データについて!$J$11:$M$18,8,FALSE)</f>
        <v>1</v>
      </c>
      <c r="Y2317" s="81">
        <f>HLOOKUP(R2317,データについて!$J$12:$M$18,7,FALSE)</f>
        <v>2</v>
      </c>
      <c r="Z2317" s="81">
        <f>HLOOKUP(I2317,データについて!$J$3:$M$18,16,FALSE)</f>
        <v>1</v>
      </c>
      <c r="AA2317" s="81">
        <f>IFERROR(HLOOKUP(J2317,データについて!$J$4:$AH$19,16,FALSE),"")</f>
        <v>1</v>
      </c>
      <c r="AB2317" s="81" t="str">
        <f>IFERROR(HLOOKUP(K2317,データについて!$J$5:$AH$20,14,FALSE),"")</f>
        <v/>
      </c>
      <c r="AC2317" s="81">
        <f>IF(X2317=1,HLOOKUP(R2317,データについて!$J$12:$M$18,7,FALSE),"*")</f>
        <v>2</v>
      </c>
      <c r="AD2317" s="81" t="str">
        <f>IF(X2317=2,HLOOKUP(R2317,データについて!$J$12:$M$18,7,FALSE),"*")</f>
        <v>*</v>
      </c>
    </row>
    <row r="2318" spans="1:30">
      <c r="A2318" s="30">
        <v>2874</v>
      </c>
      <c r="B2318" s="30" t="s">
        <v>2637</v>
      </c>
      <c r="C2318" s="30" t="s">
        <v>2638</v>
      </c>
      <c r="D2318" s="30" t="s">
        <v>106</v>
      </c>
      <c r="E2318" s="30"/>
      <c r="F2318" s="30" t="s">
        <v>107</v>
      </c>
      <c r="G2318" s="30" t="s">
        <v>106</v>
      </c>
      <c r="H2318" s="30"/>
      <c r="I2318" s="30" t="s">
        <v>192</v>
      </c>
      <c r="J2318" s="30" t="s">
        <v>128</v>
      </c>
      <c r="K2318" s="30"/>
      <c r="L2318" s="30" t="s">
        <v>117</v>
      </c>
      <c r="M2318" s="30" t="s">
        <v>109</v>
      </c>
      <c r="N2318" s="30" t="s">
        <v>110</v>
      </c>
      <c r="O2318" s="30" t="s">
        <v>115</v>
      </c>
      <c r="P2318" s="30" t="s">
        <v>112</v>
      </c>
      <c r="Q2318" s="30" t="s">
        <v>112</v>
      </c>
      <c r="R2318" s="30" t="s">
        <v>183</v>
      </c>
      <c r="S2318" s="81">
        <f>HLOOKUP(L2318,データについて!$J$6:$M$18,13,FALSE)</f>
        <v>2</v>
      </c>
      <c r="T2318" s="81">
        <f>HLOOKUP(M2318,データについて!$J$7:$M$18,12,FALSE)</f>
        <v>2</v>
      </c>
      <c r="U2318" s="81">
        <f>HLOOKUP(N2318,データについて!$J$8:$M$18,11,FALSE)</f>
        <v>2</v>
      </c>
      <c r="V2318" s="81">
        <f>HLOOKUP(O2318,データについて!$J$9:$M$18,10,FALSE)</f>
        <v>1</v>
      </c>
      <c r="W2318" s="81">
        <f>HLOOKUP(P2318,データについて!$J$10:$M$18,9,FALSE)</f>
        <v>1</v>
      </c>
      <c r="X2318" s="81">
        <f>HLOOKUP(Q2318,データについて!$J$11:$M$18,8,FALSE)</f>
        <v>1</v>
      </c>
      <c r="Y2318" s="81">
        <f>HLOOKUP(R2318,データについて!$J$12:$M$18,7,FALSE)</f>
        <v>1</v>
      </c>
      <c r="Z2318" s="81">
        <f>HLOOKUP(I2318,データについて!$J$3:$M$18,16,FALSE)</f>
        <v>1</v>
      </c>
      <c r="AA2318" s="81">
        <f>IFERROR(HLOOKUP(J2318,データについて!$J$4:$AH$19,16,FALSE),"")</f>
        <v>1</v>
      </c>
      <c r="AB2318" s="81" t="str">
        <f>IFERROR(HLOOKUP(K2318,データについて!$J$5:$AH$20,14,FALSE),"")</f>
        <v/>
      </c>
      <c r="AC2318" s="81">
        <f>IF(X2318=1,HLOOKUP(R2318,データについて!$J$12:$M$18,7,FALSE),"*")</f>
        <v>1</v>
      </c>
      <c r="AD2318" s="81" t="str">
        <f>IF(X2318=2,HLOOKUP(R2318,データについて!$J$12:$M$18,7,FALSE),"*")</f>
        <v>*</v>
      </c>
    </row>
    <row r="2319" spans="1:30">
      <c r="A2319" s="30">
        <v>2873</v>
      </c>
      <c r="B2319" s="30" t="s">
        <v>2639</v>
      </c>
      <c r="C2319" s="30" t="s">
        <v>2640</v>
      </c>
      <c r="D2319" s="30" t="s">
        <v>106</v>
      </c>
      <c r="E2319" s="30"/>
      <c r="F2319" s="30" t="s">
        <v>107</v>
      </c>
      <c r="G2319" s="30" t="s">
        <v>106</v>
      </c>
      <c r="H2319" s="30"/>
      <c r="I2319" s="30" t="s">
        <v>192</v>
      </c>
      <c r="J2319" s="30" t="s">
        <v>942</v>
      </c>
      <c r="K2319" s="30"/>
      <c r="L2319" s="30" t="s">
        <v>108</v>
      </c>
      <c r="M2319" s="30" t="s">
        <v>109</v>
      </c>
      <c r="N2319" s="30" t="s">
        <v>114</v>
      </c>
      <c r="O2319" s="30" t="s">
        <v>115</v>
      </c>
      <c r="P2319" s="30" t="s">
        <v>112</v>
      </c>
      <c r="Q2319" s="30" t="s">
        <v>112</v>
      </c>
      <c r="R2319" s="30" t="s">
        <v>187</v>
      </c>
      <c r="S2319" s="81">
        <f>HLOOKUP(L2319,データについて!$J$6:$M$18,13,FALSE)</f>
        <v>1</v>
      </c>
      <c r="T2319" s="81">
        <f>HLOOKUP(M2319,データについて!$J$7:$M$18,12,FALSE)</f>
        <v>2</v>
      </c>
      <c r="U2319" s="81">
        <f>HLOOKUP(N2319,データについて!$J$8:$M$18,11,FALSE)</f>
        <v>1</v>
      </c>
      <c r="V2319" s="81">
        <f>HLOOKUP(O2319,データについて!$J$9:$M$18,10,FALSE)</f>
        <v>1</v>
      </c>
      <c r="W2319" s="81">
        <f>HLOOKUP(P2319,データについて!$J$10:$M$18,9,FALSE)</f>
        <v>1</v>
      </c>
      <c r="X2319" s="81">
        <f>HLOOKUP(Q2319,データについて!$J$11:$M$18,8,FALSE)</f>
        <v>1</v>
      </c>
      <c r="Y2319" s="81">
        <f>HLOOKUP(R2319,データについて!$J$12:$M$18,7,FALSE)</f>
        <v>3</v>
      </c>
      <c r="Z2319" s="81">
        <f>HLOOKUP(I2319,データについて!$J$3:$M$18,16,FALSE)</f>
        <v>1</v>
      </c>
      <c r="AA2319" s="81">
        <f>IFERROR(HLOOKUP(J2319,データについて!$J$4:$AH$19,16,FALSE),"")</f>
        <v>7</v>
      </c>
      <c r="AB2319" s="81" t="str">
        <f>IFERROR(HLOOKUP(K2319,データについて!$J$5:$AH$20,14,FALSE),"")</f>
        <v/>
      </c>
      <c r="AC2319" s="81">
        <f>IF(X2319=1,HLOOKUP(R2319,データについて!$J$12:$M$18,7,FALSE),"*")</f>
        <v>3</v>
      </c>
      <c r="AD2319" s="81" t="str">
        <f>IF(X2319=2,HLOOKUP(R2319,データについて!$J$12:$M$18,7,FALSE),"*")</f>
        <v>*</v>
      </c>
    </row>
    <row r="2320" spans="1:30">
      <c r="A2320" s="30">
        <v>2872</v>
      </c>
      <c r="B2320" s="30" t="s">
        <v>2641</v>
      </c>
      <c r="C2320" s="30" t="s">
        <v>2642</v>
      </c>
      <c r="D2320" s="30" t="s">
        <v>106</v>
      </c>
      <c r="E2320" s="30"/>
      <c r="F2320" s="30" t="s">
        <v>107</v>
      </c>
      <c r="G2320" s="30" t="s">
        <v>106</v>
      </c>
      <c r="H2320" s="30"/>
      <c r="I2320" s="30" t="s">
        <v>192</v>
      </c>
      <c r="J2320" s="30" t="s">
        <v>942</v>
      </c>
      <c r="K2320" s="30"/>
      <c r="L2320" s="30" t="s">
        <v>108</v>
      </c>
      <c r="M2320" s="30" t="s">
        <v>113</v>
      </c>
      <c r="N2320" s="30" t="s">
        <v>122</v>
      </c>
      <c r="O2320" s="30" t="s">
        <v>115</v>
      </c>
      <c r="P2320" s="30" t="s">
        <v>112</v>
      </c>
      <c r="Q2320" s="30" t="s">
        <v>112</v>
      </c>
      <c r="R2320" s="30" t="s">
        <v>185</v>
      </c>
      <c r="S2320" s="81">
        <f>HLOOKUP(L2320,データについて!$J$6:$M$18,13,FALSE)</f>
        <v>1</v>
      </c>
      <c r="T2320" s="81">
        <f>HLOOKUP(M2320,データについて!$J$7:$M$18,12,FALSE)</f>
        <v>1</v>
      </c>
      <c r="U2320" s="81">
        <f>HLOOKUP(N2320,データについて!$J$8:$M$18,11,FALSE)</f>
        <v>3</v>
      </c>
      <c r="V2320" s="81">
        <f>HLOOKUP(O2320,データについて!$J$9:$M$18,10,FALSE)</f>
        <v>1</v>
      </c>
      <c r="W2320" s="81">
        <f>HLOOKUP(P2320,データについて!$J$10:$M$18,9,FALSE)</f>
        <v>1</v>
      </c>
      <c r="X2320" s="81">
        <f>HLOOKUP(Q2320,データについて!$J$11:$M$18,8,FALSE)</f>
        <v>1</v>
      </c>
      <c r="Y2320" s="81">
        <f>HLOOKUP(R2320,データについて!$J$12:$M$18,7,FALSE)</f>
        <v>2</v>
      </c>
      <c r="Z2320" s="81">
        <f>HLOOKUP(I2320,データについて!$J$3:$M$18,16,FALSE)</f>
        <v>1</v>
      </c>
      <c r="AA2320" s="81">
        <f>IFERROR(HLOOKUP(J2320,データについて!$J$4:$AH$19,16,FALSE),"")</f>
        <v>7</v>
      </c>
      <c r="AB2320" s="81" t="str">
        <f>IFERROR(HLOOKUP(K2320,データについて!$J$5:$AH$20,14,FALSE),"")</f>
        <v/>
      </c>
      <c r="AC2320" s="81">
        <f>IF(X2320=1,HLOOKUP(R2320,データについて!$J$12:$M$18,7,FALSE),"*")</f>
        <v>2</v>
      </c>
      <c r="AD2320" s="81" t="str">
        <f>IF(X2320=2,HLOOKUP(R2320,データについて!$J$12:$M$18,7,FALSE),"*")</f>
        <v>*</v>
      </c>
    </row>
    <row r="2321" spans="1:30">
      <c r="A2321" s="30">
        <v>2871</v>
      </c>
      <c r="B2321" s="30" t="s">
        <v>2643</v>
      </c>
      <c r="C2321" s="30" t="s">
        <v>2644</v>
      </c>
      <c r="D2321" s="30" t="s">
        <v>106</v>
      </c>
      <c r="E2321" s="30"/>
      <c r="F2321" s="30" t="s">
        <v>107</v>
      </c>
      <c r="G2321" s="30" t="s">
        <v>106</v>
      </c>
      <c r="H2321" s="30"/>
      <c r="I2321" s="30" t="s">
        <v>192</v>
      </c>
      <c r="J2321" s="30" t="s">
        <v>128</v>
      </c>
      <c r="K2321" s="30"/>
      <c r="L2321" s="30" t="s">
        <v>117</v>
      </c>
      <c r="M2321" s="30" t="s">
        <v>113</v>
      </c>
      <c r="N2321" s="30" t="s">
        <v>110</v>
      </c>
      <c r="O2321" s="30" t="s">
        <v>115</v>
      </c>
      <c r="P2321" s="30" t="s">
        <v>112</v>
      </c>
      <c r="Q2321" s="30" t="s">
        <v>112</v>
      </c>
      <c r="R2321" s="30" t="s">
        <v>185</v>
      </c>
      <c r="S2321" s="81">
        <f>HLOOKUP(L2321,データについて!$J$6:$M$18,13,FALSE)</f>
        <v>2</v>
      </c>
      <c r="T2321" s="81">
        <f>HLOOKUP(M2321,データについて!$J$7:$M$18,12,FALSE)</f>
        <v>1</v>
      </c>
      <c r="U2321" s="81">
        <f>HLOOKUP(N2321,データについて!$J$8:$M$18,11,FALSE)</f>
        <v>2</v>
      </c>
      <c r="V2321" s="81">
        <f>HLOOKUP(O2321,データについて!$J$9:$M$18,10,FALSE)</f>
        <v>1</v>
      </c>
      <c r="W2321" s="81">
        <f>HLOOKUP(P2321,データについて!$J$10:$M$18,9,FALSE)</f>
        <v>1</v>
      </c>
      <c r="X2321" s="81">
        <f>HLOOKUP(Q2321,データについて!$J$11:$M$18,8,FALSE)</f>
        <v>1</v>
      </c>
      <c r="Y2321" s="81">
        <f>HLOOKUP(R2321,データについて!$J$12:$M$18,7,FALSE)</f>
        <v>2</v>
      </c>
      <c r="Z2321" s="81">
        <f>HLOOKUP(I2321,データについて!$J$3:$M$18,16,FALSE)</f>
        <v>1</v>
      </c>
      <c r="AA2321" s="81">
        <f>IFERROR(HLOOKUP(J2321,データについて!$J$4:$AH$19,16,FALSE),"")</f>
        <v>1</v>
      </c>
      <c r="AB2321" s="81" t="str">
        <f>IFERROR(HLOOKUP(K2321,データについて!$J$5:$AH$20,14,FALSE),"")</f>
        <v/>
      </c>
      <c r="AC2321" s="81">
        <f>IF(X2321=1,HLOOKUP(R2321,データについて!$J$12:$M$18,7,FALSE),"*")</f>
        <v>2</v>
      </c>
      <c r="AD2321" s="81" t="str">
        <f>IF(X2321=2,HLOOKUP(R2321,データについて!$J$12:$M$18,7,FALSE),"*")</f>
        <v>*</v>
      </c>
    </row>
    <row r="2322" spans="1:30">
      <c r="A2322" s="30">
        <v>2870</v>
      </c>
      <c r="B2322" s="30" t="s">
        <v>2645</v>
      </c>
      <c r="C2322" s="30" t="s">
        <v>2644</v>
      </c>
      <c r="D2322" s="30" t="s">
        <v>106</v>
      </c>
      <c r="E2322" s="30"/>
      <c r="F2322" s="30" t="s">
        <v>107</v>
      </c>
      <c r="G2322" s="30" t="s">
        <v>106</v>
      </c>
      <c r="H2322" s="30"/>
      <c r="I2322" s="30" t="s">
        <v>192</v>
      </c>
      <c r="J2322" s="30" t="s">
        <v>128</v>
      </c>
      <c r="K2322" s="30"/>
      <c r="L2322" s="30" t="s">
        <v>108</v>
      </c>
      <c r="M2322" s="30" t="s">
        <v>113</v>
      </c>
      <c r="N2322" s="30" t="s">
        <v>114</v>
      </c>
      <c r="O2322" s="30" t="s">
        <v>115</v>
      </c>
      <c r="P2322" s="30" t="s">
        <v>112</v>
      </c>
      <c r="Q2322" s="30" t="s">
        <v>112</v>
      </c>
      <c r="R2322" s="30" t="s">
        <v>183</v>
      </c>
      <c r="S2322" s="81">
        <f>HLOOKUP(L2322,データについて!$J$6:$M$18,13,FALSE)</f>
        <v>1</v>
      </c>
      <c r="T2322" s="81">
        <f>HLOOKUP(M2322,データについて!$J$7:$M$18,12,FALSE)</f>
        <v>1</v>
      </c>
      <c r="U2322" s="81">
        <f>HLOOKUP(N2322,データについて!$J$8:$M$18,11,FALSE)</f>
        <v>1</v>
      </c>
      <c r="V2322" s="81">
        <f>HLOOKUP(O2322,データについて!$J$9:$M$18,10,FALSE)</f>
        <v>1</v>
      </c>
      <c r="W2322" s="81">
        <f>HLOOKUP(P2322,データについて!$J$10:$M$18,9,FALSE)</f>
        <v>1</v>
      </c>
      <c r="X2322" s="81">
        <f>HLOOKUP(Q2322,データについて!$J$11:$M$18,8,FALSE)</f>
        <v>1</v>
      </c>
      <c r="Y2322" s="81">
        <f>HLOOKUP(R2322,データについて!$J$12:$M$18,7,FALSE)</f>
        <v>1</v>
      </c>
      <c r="Z2322" s="81">
        <f>HLOOKUP(I2322,データについて!$J$3:$M$18,16,FALSE)</f>
        <v>1</v>
      </c>
      <c r="AA2322" s="81">
        <f>IFERROR(HLOOKUP(J2322,データについて!$J$4:$AH$19,16,FALSE),"")</f>
        <v>1</v>
      </c>
      <c r="AB2322" s="81" t="str">
        <f>IFERROR(HLOOKUP(K2322,データについて!$J$5:$AH$20,14,FALSE),"")</f>
        <v/>
      </c>
      <c r="AC2322" s="81">
        <f>IF(X2322=1,HLOOKUP(R2322,データについて!$J$12:$M$18,7,FALSE),"*")</f>
        <v>1</v>
      </c>
      <c r="AD2322" s="81" t="str">
        <f>IF(X2322=2,HLOOKUP(R2322,データについて!$J$12:$M$18,7,FALSE),"*")</f>
        <v>*</v>
      </c>
    </row>
    <row r="2323" spans="1:30">
      <c r="A2323" s="30">
        <v>2869</v>
      </c>
      <c r="B2323" s="30" t="s">
        <v>2646</v>
      </c>
      <c r="C2323" s="30" t="s">
        <v>2647</v>
      </c>
      <c r="D2323" s="30" t="s">
        <v>106</v>
      </c>
      <c r="E2323" s="30"/>
      <c r="F2323" s="30" t="s">
        <v>107</v>
      </c>
      <c r="G2323" s="30" t="s">
        <v>106</v>
      </c>
      <c r="H2323" s="30"/>
      <c r="I2323" s="30" t="s">
        <v>192</v>
      </c>
      <c r="J2323" s="30" t="s">
        <v>128</v>
      </c>
      <c r="K2323" s="30"/>
      <c r="L2323" s="30" t="s">
        <v>117</v>
      </c>
      <c r="M2323" s="30" t="s">
        <v>113</v>
      </c>
      <c r="N2323" s="30" t="s">
        <v>114</v>
      </c>
      <c r="O2323" s="30" t="s">
        <v>115</v>
      </c>
      <c r="P2323" s="30" t="s">
        <v>112</v>
      </c>
      <c r="Q2323" s="30" t="s">
        <v>112</v>
      </c>
      <c r="R2323" s="30" t="s">
        <v>183</v>
      </c>
      <c r="S2323" s="81">
        <f>HLOOKUP(L2323,データについて!$J$6:$M$18,13,FALSE)</f>
        <v>2</v>
      </c>
      <c r="T2323" s="81">
        <f>HLOOKUP(M2323,データについて!$J$7:$M$18,12,FALSE)</f>
        <v>1</v>
      </c>
      <c r="U2323" s="81">
        <f>HLOOKUP(N2323,データについて!$J$8:$M$18,11,FALSE)</f>
        <v>1</v>
      </c>
      <c r="V2323" s="81">
        <f>HLOOKUP(O2323,データについて!$J$9:$M$18,10,FALSE)</f>
        <v>1</v>
      </c>
      <c r="W2323" s="81">
        <f>HLOOKUP(P2323,データについて!$J$10:$M$18,9,FALSE)</f>
        <v>1</v>
      </c>
      <c r="X2323" s="81">
        <f>HLOOKUP(Q2323,データについて!$J$11:$M$18,8,FALSE)</f>
        <v>1</v>
      </c>
      <c r="Y2323" s="81">
        <f>HLOOKUP(R2323,データについて!$J$12:$M$18,7,FALSE)</f>
        <v>1</v>
      </c>
      <c r="Z2323" s="81">
        <f>HLOOKUP(I2323,データについて!$J$3:$M$18,16,FALSE)</f>
        <v>1</v>
      </c>
      <c r="AA2323" s="81">
        <f>IFERROR(HLOOKUP(J2323,データについて!$J$4:$AH$19,16,FALSE),"")</f>
        <v>1</v>
      </c>
      <c r="AB2323" s="81" t="str">
        <f>IFERROR(HLOOKUP(K2323,データについて!$J$5:$AH$20,14,FALSE),"")</f>
        <v/>
      </c>
      <c r="AC2323" s="81">
        <f>IF(X2323=1,HLOOKUP(R2323,データについて!$J$12:$M$18,7,FALSE),"*")</f>
        <v>1</v>
      </c>
      <c r="AD2323" s="81" t="str">
        <f>IF(X2323=2,HLOOKUP(R2323,データについて!$J$12:$M$18,7,FALSE),"*")</f>
        <v>*</v>
      </c>
    </row>
    <row r="2324" spans="1:30">
      <c r="A2324" s="30">
        <v>2868</v>
      </c>
      <c r="B2324" s="30" t="s">
        <v>2648</v>
      </c>
      <c r="C2324" s="30" t="s">
        <v>2649</v>
      </c>
      <c r="D2324" s="30" t="s">
        <v>106</v>
      </c>
      <c r="E2324" s="30"/>
      <c r="F2324" s="30" t="s">
        <v>107</v>
      </c>
      <c r="G2324" s="30" t="s">
        <v>106</v>
      </c>
      <c r="H2324" s="30"/>
      <c r="I2324" s="30" t="s">
        <v>192</v>
      </c>
      <c r="J2324" s="30" t="s">
        <v>128</v>
      </c>
      <c r="K2324" s="30"/>
      <c r="L2324" s="30" t="s">
        <v>117</v>
      </c>
      <c r="M2324" s="30" t="s">
        <v>113</v>
      </c>
      <c r="N2324" s="30" t="s">
        <v>110</v>
      </c>
      <c r="O2324" s="30" t="s">
        <v>115</v>
      </c>
      <c r="P2324" s="30" t="s">
        <v>112</v>
      </c>
      <c r="Q2324" s="30" t="s">
        <v>112</v>
      </c>
      <c r="R2324" s="30" t="s">
        <v>183</v>
      </c>
      <c r="S2324" s="81">
        <f>HLOOKUP(L2324,データについて!$J$6:$M$18,13,FALSE)</f>
        <v>2</v>
      </c>
      <c r="T2324" s="81">
        <f>HLOOKUP(M2324,データについて!$J$7:$M$18,12,FALSE)</f>
        <v>1</v>
      </c>
      <c r="U2324" s="81">
        <f>HLOOKUP(N2324,データについて!$J$8:$M$18,11,FALSE)</f>
        <v>2</v>
      </c>
      <c r="V2324" s="81">
        <f>HLOOKUP(O2324,データについて!$J$9:$M$18,10,FALSE)</f>
        <v>1</v>
      </c>
      <c r="W2324" s="81">
        <f>HLOOKUP(P2324,データについて!$J$10:$M$18,9,FALSE)</f>
        <v>1</v>
      </c>
      <c r="X2324" s="81">
        <f>HLOOKUP(Q2324,データについて!$J$11:$M$18,8,FALSE)</f>
        <v>1</v>
      </c>
      <c r="Y2324" s="81">
        <f>HLOOKUP(R2324,データについて!$J$12:$M$18,7,FALSE)</f>
        <v>1</v>
      </c>
      <c r="Z2324" s="81">
        <f>HLOOKUP(I2324,データについて!$J$3:$M$18,16,FALSE)</f>
        <v>1</v>
      </c>
      <c r="AA2324" s="81">
        <f>IFERROR(HLOOKUP(J2324,データについて!$J$4:$AH$19,16,FALSE),"")</f>
        <v>1</v>
      </c>
      <c r="AB2324" s="81" t="str">
        <f>IFERROR(HLOOKUP(K2324,データについて!$J$5:$AH$20,14,FALSE),"")</f>
        <v/>
      </c>
      <c r="AC2324" s="81">
        <f>IF(X2324=1,HLOOKUP(R2324,データについて!$J$12:$M$18,7,FALSE),"*")</f>
        <v>1</v>
      </c>
      <c r="AD2324" s="81" t="str">
        <f>IF(X2324=2,HLOOKUP(R2324,データについて!$J$12:$M$18,7,FALSE),"*")</f>
        <v>*</v>
      </c>
    </row>
    <row r="2325" spans="1:30">
      <c r="A2325" s="30">
        <v>2867</v>
      </c>
      <c r="B2325" s="30" t="s">
        <v>2650</v>
      </c>
      <c r="C2325" s="30" t="s">
        <v>2651</v>
      </c>
      <c r="D2325" s="30" t="s">
        <v>106</v>
      </c>
      <c r="E2325" s="30"/>
      <c r="F2325" s="30" t="s">
        <v>107</v>
      </c>
      <c r="G2325" s="30" t="s">
        <v>106</v>
      </c>
      <c r="H2325" s="30"/>
      <c r="I2325" s="30" t="s">
        <v>192</v>
      </c>
      <c r="J2325" s="30" t="s">
        <v>128</v>
      </c>
      <c r="K2325" s="30"/>
      <c r="L2325" s="30" t="s">
        <v>117</v>
      </c>
      <c r="M2325" s="30" t="s">
        <v>113</v>
      </c>
      <c r="N2325" s="30" t="s">
        <v>114</v>
      </c>
      <c r="O2325" s="30" t="s">
        <v>115</v>
      </c>
      <c r="P2325" s="30" t="s">
        <v>112</v>
      </c>
      <c r="Q2325" s="30" t="s">
        <v>118</v>
      </c>
      <c r="R2325" s="30" t="s">
        <v>187</v>
      </c>
      <c r="S2325" s="81">
        <f>HLOOKUP(L2325,データについて!$J$6:$M$18,13,FALSE)</f>
        <v>2</v>
      </c>
      <c r="T2325" s="81">
        <f>HLOOKUP(M2325,データについて!$J$7:$M$18,12,FALSE)</f>
        <v>1</v>
      </c>
      <c r="U2325" s="81">
        <f>HLOOKUP(N2325,データについて!$J$8:$M$18,11,FALSE)</f>
        <v>1</v>
      </c>
      <c r="V2325" s="81">
        <f>HLOOKUP(O2325,データについて!$J$9:$M$18,10,FALSE)</f>
        <v>1</v>
      </c>
      <c r="W2325" s="81">
        <f>HLOOKUP(P2325,データについて!$J$10:$M$18,9,FALSE)</f>
        <v>1</v>
      </c>
      <c r="X2325" s="81">
        <f>HLOOKUP(Q2325,データについて!$J$11:$M$18,8,FALSE)</f>
        <v>2</v>
      </c>
      <c r="Y2325" s="81">
        <f>HLOOKUP(R2325,データについて!$J$12:$M$18,7,FALSE)</f>
        <v>3</v>
      </c>
      <c r="Z2325" s="81">
        <f>HLOOKUP(I2325,データについて!$J$3:$M$18,16,FALSE)</f>
        <v>1</v>
      </c>
      <c r="AA2325" s="81">
        <f>IFERROR(HLOOKUP(J2325,データについて!$J$4:$AH$19,16,FALSE),"")</f>
        <v>1</v>
      </c>
      <c r="AB2325" s="81" t="str">
        <f>IFERROR(HLOOKUP(K2325,データについて!$J$5:$AH$20,14,FALSE),"")</f>
        <v/>
      </c>
      <c r="AC2325" s="81" t="str">
        <f>IF(X2325=1,HLOOKUP(R2325,データについて!$J$12:$M$18,7,FALSE),"*")</f>
        <v>*</v>
      </c>
      <c r="AD2325" s="81">
        <f>IF(X2325=2,HLOOKUP(R2325,データについて!$J$12:$M$18,7,FALSE),"*")</f>
        <v>3</v>
      </c>
    </row>
    <row r="2326" spans="1:30">
      <c r="A2326" s="30">
        <v>2866</v>
      </c>
      <c r="B2326" s="30" t="s">
        <v>2652</v>
      </c>
      <c r="C2326" s="30" t="s">
        <v>2653</v>
      </c>
      <c r="D2326" s="30" t="s">
        <v>106</v>
      </c>
      <c r="E2326" s="30"/>
      <c r="F2326" s="30" t="s">
        <v>107</v>
      </c>
      <c r="G2326" s="30" t="s">
        <v>106</v>
      </c>
      <c r="H2326" s="30"/>
      <c r="I2326" s="30" t="s">
        <v>192</v>
      </c>
      <c r="J2326" s="30" t="s">
        <v>128</v>
      </c>
      <c r="K2326" s="30"/>
      <c r="L2326" s="30" t="s">
        <v>117</v>
      </c>
      <c r="M2326" s="30" t="s">
        <v>113</v>
      </c>
      <c r="N2326" s="30" t="s">
        <v>114</v>
      </c>
      <c r="O2326" s="30" t="s">
        <v>115</v>
      </c>
      <c r="P2326" s="30" t="s">
        <v>112</v>
      </c>
      <c r="Q2326" s="30" t="s">
        <v>112</v>
      </c>
      <c r="R2326" s="30" t="s">
        <v>187</v>
      </c>
      <c r="S2326" s="81">
        <f>HLOOKUP(L2326,データについて!$J$6:$M$18,13,FALSE)</f>
        <v>2</v>
      </c>
      <c r="T2326" s="81">
        <f>HLOOKUP(M2326,データについて!$J$7:$M$18,12,FALSE)</f>
        <v>1</v>
      </c>
      <c r="U2326" s="81">
        <f>HLOOKUP(N2326,データについて!$J$8:$M$18,11,FALSE)</f>
        <v>1</v>
      </c>
      <c r="V2326" s="81">
        <f>HLOOKUP(O2326,データについて!$J$9:$M$18,10,FALSE)</f>
        <v>1</v>
      </c>
      <c r="W2326" s="81">
        <f>HLOOKUP(P2326,データについて!$J$10:$M$18,9,FALSE)</f>
        <v>1</v>
      </c>
      <c r="X2326" s="81">
        <f>HLOOKUP(Q2326,データについて!$J$11:$M$18,8,FALSE)</f>
        <v>1</v>
      </c>
      <c r="Y2326" s="81">
        <f>HLOOKUP(R2326,データについて!$J$12:$M$18,7,FALSE)</f>
        <v>3</v>
      </c>
      <c r="Z2326" s="81">
        <f>HLOOKUP(I2326,データについて!$J$3:$M$18,16,FALSE)</f>
        <v>1</v>
      </c>
      <c r="AA2326" s="81">
        <f>IFERROR(HLOOKUP(J2326,データについて!$J$4:$AH$19,16,FALSE),"")</f>
        <v>1</v>
      </c>
      <c r="AB2326" s="81" t="str">
        <f>IFERROR(HLOOKUP(K2326,データについて!$J$5:$AH$20,14,FALSE),"")</f>
        <v/>
      </c>
      <c r="AC2326" s="81">
        <f>IF(X2326=1,HLOOKUP(R2326,データについて!$J$12:$M$18,7,FALSE),"*")</f>
        <v>3</v>
      </c>
      <c r="AD2326" s="81" t="str">
        <f>IF(X2326=2,HLOOKUP(R2326,データについて!$J$12:$M$18,7,FALSE),"*")</f>
        <v>*</v>
      </c>
    </row>
    <row r="2327" spans="1:30">
      <c r="A2327" s="30">
        <v>2865</v>
      </c>
      <c r="B2327" s="30" t="s">
        <v>2654</v>
      </c>
      <c r="C2327" s="30" t="s">
        <v>2653</v>
      </c>
      <c r="D2327" s="30" t="s">
        <v>106</v>
      </c>
      <c r="E2327" s="30"/>
      <c r="F2327" s="30" t="s">
        <v>107</v>
      </c>
      <c r="G2327" s="30" t="s">
        <v>106</v>
      </c>
      <c r="H2327" s="30"/>
      <c r="I2327" s="30" t="s">
        <v>192</v>
      </c>
      <c r="J2327" s="30" t="s">
        <v>942</v>
      </c>
      <c r="K2327" s="30"/>
      <c r="L2327" s="30" t="s">
        <v>117</v>
      </c>
      <c r="M2327" s="30" t="s">
        <v>109</v>
      </c>
      <c r="N2327" s="30" t="s">
        <v>110</v>
      </c>
      <c r="O2327" s="30" t="s">
        <v>115</v>
      </c>
      <c r="P2327" s="30" t="s">
        <v>112</v>
      </c>
      <c r="Q2327" s="30" t="s">
        <v>112</v>
      </c>
      <c r="R2327" s="30" t="s">
        <v>185</v>
      </c>
      <c r="S2327" s="81">
        <f>HLOOKUP(L2327,データについて!$J$6:$M$18,13,FALSE)</f>
        <v>2</v>
      </c>
      <c r="T2327" s="81">
        <f>HLOOKUP(M2327,データについて!$J$7:$M$18,12,FALSE)</f>
        <v>2</v>
      </c>
      <c r="U2327" s="81">
        <f>HLOOKUP(N2327,データについて!$J$8:$M$18,11,FALSE)</f>
        <v>2</v>
      </c>
      <c r="V2327" s="81">
        <f>HLOOKUP(O2327,データについて!$J$9:$M$18,10,FALSE)</f>
        <v>1</v>
      </c>
      <c r="W2327" s="81">
        <f>HLOOKUP(P2327,データについて!$J$10:$M$18,9,FALSE)</f>
        <v>1</v>
      </c>
      <c r="X2327" s="81">
        <f>HLOOKUP(Q2327,データについて!$J$11:$M$18,8,FALSE)</f>
        <v>1</v>
      </c>
      <c r="Y2327" s="81">
        <f>HLOOKUP(R2327,データについて!$J$12:$M$18,7,FALSE)</f>
        <v>2</v>
      </c>
      <c r="Z2327" s="81">
        <f>HLOOKUP(I2327,データについて!$J$3:$M$18,16,FALSE)</f>
        <v>1</v>
      </c>
      <c r="AA2327" s="81">
        <f>IFERROR(HLOOKUP(J2327,データについて!$J$4:$AH$19,16,FALSE),"")</f>
        <v>7</v>
      </c>
      <c r="AB2327" s="81" t="str">
        <f>IFERROR(HLOOKUP(K2327,データについて!$J$5:$AH$20,14,FALSE),"")</f>
        <v/>
      </c>
      <c r="AC2327" s="81">
        <f>IF(X2327=1,HLOOKUP(R2327,データについて!$J$12:$M$18,7,FALSE),"*")</f>
        <v>2</v>
      </c>
      <c r="AD2327" s="81" t="str">
        <f>IF(X2327=2,HLOOKUP(R2327,データについて!$J$12:$M$18,7,FALSE),"*")</f>
        <v>*</v>
      </c>
    </row>
    <row r="2328" spans="1:30">
      <c r="A2328" s="30">
        <v>2864</v>
      </c>
      <c r="B2328" s="30" t="s">
        <v>2655</v>
      </c>
      <c r="C2328" s="30" t="s">
        <v>2656</v>
      </c>
      <c r="D2328" s="30" t="s">
        <v>106</v>
      </c>
      <c r="E2328" s="30"/>
      <c r="F2328" s="30" t="s">
        <v>107</v>
      </c>
      <c r="G2328" s="30" t="s">
        <v>106</v>
      </c>
      <c r="H2328" s="30"/>
      <c r="I2328" s="30" t="s">
        <v>192</v>
      </c>
      <c r="J2328" s="30" t="s">
        <v>128</v>
      </c>
      <c r="K2328" s="30"/>
      <c r="L2328" s="30" t="s">
        <v>117</v>
      </c>
      <c r="M2328" s="30" t="s">
        <v>113</v>
      </c>
      <c r="N2328" s="30" t="s">
        <v>114</v>
      </c>
      <c r="O2328" s="30" t="s">
        <v>115</v>
      </c>
      <c r="P2328" s="30" t="s">
        <v>112</v>
      </c>
      <c r="Q2328" s="30" t="s">
        <v>118</v>
      </c>
      <c r="R2328" s="30" t="s">
        <v>185</v>
      </c>
      <c r="S2328" s="81">
        <f>HLOOKUP(L2328,データについて!$J$6:$M$18,13,FALSE)</f>
        <v>2</v>
      </c>
      <c r="T2328" s="81">
        <f>HLOOKUP(M2328,データについて!$J$7:$M$18,12,FALSE)</f>
        <v>1</v>
      </c>
      <c r="U2328" s="81">
        <f>HLOOKUP(N2328,データについて!$J$8:$M$18,11,FALSE)</f>
        <v>1</v>
      </c>
      <c r="V2328" s="81">
        <f>HLOOKUP(O2328,データについて!$J$9:$M$18,10,FALSE)</f>
        <v>1</v>
      </c>
      <c r="W2328" s="81">
        <f>HLOOKUP(P2328,データについて!$J$10:$M$18,9,FALSE)</f>
        <v>1</v>
      </c>
      <c r="X2328" s="81">
        <f>HLOOKUP(Q2328,データについて!$J$11:$M$18,8,FALSE)</f>
        <v>2</v>
      </c>
      <c r="Y2328" s="81">
        <f>HLOOKUP(R2328,データについて!$J$12:$M$18,7,FALSE)</f>
        <v>2</v>
      </c>
      <c r="Z2328" s="81">
        <f>HLOOKUP(I2328,データについて!$J$3:$M$18,16,FALSE)</f>
        <v>1</v>
      </c>
      <c r="AA2328" s="81">
        <f>IFERROR(HLOOKUP(J2328,データについて!$J$4:$AH$19,16,FALSE),"")</f>
        <v>1</v>
      </c>
      <c r="AB2328" s="81" t="str">
        <f>IFERROR(HLOOKUP(K2328,データについて!$J$5:$AH$20,14,FALSE),"")</f>
        <v/>
      </c>
      <c r="AC2328" s="81" t="str">
        <f>IF(X2328=1,HLOOKUP(R2328,データについて!$J$12:$M$18,7,FALSE),"*")</f>
        <v>*</v>
      </c>
      <c r="AD2328" s="81">
        <f>IF(X2328=2,HLOOKUP(R2328,データについて!$J$12:$M$18,7,FALSE),"*")</f>
        <v>2</v>
      </c>
    </row>
    <row r="2329" spans="1:30">
      <c r="A2329" s="30">
        <v>2863</v>
      </c>
      <c r="B2329" s="30" t="s">
        <v>2657</v>
      </c>
      <c r="C2329" s="30" t="s">
        <v>2658</v>
      </c>
      <c r="D2329" s="30" t="s">
        <v>106</v>
      </c>
      <c r="E2329" s="30"/>
      <c r="F2329" s="30" t="s">
        <v>107</v>
      </c>
      <c r="G2329" s="30" t="s">
        <v>106</v>
      </c>
      <c r="H2329" s="30"/>
      <c r="I2329" s="30" t="s">
        <v>192</v>
      </c>
      <c r="J2329" s="30" t="s">
        <v>125</v>
      </c>
      <c r="K2329" s="30"/>
      <c r="L2329" s="30" t="s">
        <v>108</v>
      </c>
      <c r="M2329" s="30" t="s">
        <v>113</v>
      </c>
      <c r="N2329" s="30" t="s">
        <v>114</v>
      </c>
      <c r="O2329" s="30" t="s">
        <v>115</v>
      </c>
      <c r="P2329" s="30" t="s">
        <v>112</v>
      </c>
      <c r="Q2329" s="30" t="s">
        <v>112</v>
      </c>
      <c r="R2329" s="30" t="s">
        <v>185</v>
      </c>
      <c r="S2329" s="81">
        <f>HLOOKUP(L2329,データについて!$J$6:$M$18,13,FALSE)</f>
        <v>1</v>
      </c>
      <c r="T2329" s="81">
        <f>HLOOKUP(M2329,データについて!$J$7:$M$18,12,FALSE)</f>
        <v>1</v>
      </c>
      <c r="U2329" s="81">
        <f>HLOOKUP(N2329,データについて!$J$8:$M$18,11,FALSE)</f>
        <v>1</v>
      </c>
      <c r="V2329" s="81">
        <f>HLOOKUP(O2329,データについて!$J$9:$M$18,10,FALSE)</f>
        <v>1</v>
      </c>
      <c r="W2329" s="81">
        <f>HLOOKUP(P2329,データについて!$J$10:$M$18,9,FALSE)</f>
        <v>1</v>
      </c>
      <c r="X2329" s="81">
        <f>HLOOKUP(Q2329,データについて!$J$11:$M$18,8,FALSE)</f>
        <v>1</v>
      </c>
      <c r="Y2329" s="81">
        <f>HLOOKUP(R2329,データについて!$J$12:$M$18,7,FALSE)</f>
        <v>2</v>
      </c>
      <c r="Z2329" s="81">
        <f>HLOOKUP(I2329,データについて!$J$3:$M$18,16,FALSE)</f>
        <v>1</v>
      </c>
      <c r="AA2329" s="81">
        <f>IFERROR(HLOOKUP(J2329,データについて!$J$4:$AH$19,16,FALSE),"")</f>
        <v>6</v>
      </c>
      <c r="AB2329" s="81" t="str">
        <f>IFERROR(HLOOKUP(K2329,データについて!$J$5:$AH$20,14,FALSE),"")</f>
        <v/>
      </c>
      <c r="AC2329" s="81">
        <f>IF(X2329=1,HLOOKUP(R2329,データについて!$J$12:$M$18,7,FALSE),"*")</f>
        <v>2</v>
      </c>
      <c r="AD2329" s="81" t="str">
        <f>IF(X2329=2,HLOOKUP(R2329,データについて!$J$12:$M$18,7,FALSE),"*")</f>
        <v>*</v>
      </c>
    </row>
    <row r="2330" spans="1:30">
      <c r="A2330" s="30">
        <v>2862</v>
      </c>
      <c r="B2330" s="30" t="s">
        <v>2659</v>
      </c>
      <c r="C2330" s="30" t="s">
        <v>2660</v>
      </c>
      <c r="D2330" s="30" t="s">
        <v>106</v>
      </c>
      <c r="E2330" s="30"/>
      <c r="F2330" s="30" t="s">
        <v>107</v>
      </c>
      <c r="G2330" s="30" t="s">
        <v>106</v>
      </c>
      <c r="H2330" s="30"/>
      <c r="I2330" s="30" t="s">
        <v>192</v>
      </c>
      <c r="J2330" s="30" t="s">
        <v>128</v>
      </c>
      <c r="K2330" s="30"/>
      <c r="L2330" s="30" t="s">
        <v>108</v>
      </c>
      <c r="M2330" s="30" t="s">
        <v>113</v>
      </c>
      <c r="N2330" s="30" t="s">
        <v>114</v>
      </c>
      <c r="O2330" s="30" t="s">
        <v>115</v>
      </c>
      <c r="P2330" s="30" t="s">
        <v>112</v>
      </c>
      <c r="Q2330" s="30" t="s">
        <v>112</v>
      </c>
      <c r="R2330" s="30" t="s">
        <v>183</v>
      </c>
      <c r="S2330" s="81">
        <f>HLOOKUP(L2330,データについて!$J$6:$M$18,13,FALSE)</f>
        <v>1</v>
      </c>
      <c r="T2330" s="81">
        <f>HLOOKUP(M2330,データについて!$J$7:$M$18,12,FALSE)</f>
        <v>1</v>
      </c>
      <c r="U2330" s="81">
        <f>HLOOKUP(N2330,データについて!$J$8:$M$18,11,FALSE)</f>
        <v>1</v>
      </c>
      <c r="V2330" s="81">
        <f>HLOOKUP(O2330,データについて!$J$9:$M$18,10,FALSE)</f>
        <v>1</v>
      </c>
      <c r="W2330" s="81">
        <f>HLOOKUP(P2330,データについて!$J$10:$M$18,9,FALSE)</f>
        <v>1</v>
      </c>
      <c r="X2330" s="81">
        <f>HLOOKUP(Q2330,データについて!$J$11:$M$18,8,FALSE)</f>
        <v>1</v>
      </c>
      <c r="Y2330" s="81">
        <f>HLOOKUP(R2330,データについて!$J$12:$M$18,7,FALSE)</f>
        <v>1</v>
      </c>
      <c r="Z2330" s="81">
        <f>HLOOKUP(I2330,データについて!$J$3:$M$18,16,FALSE)</f>
        <v>1</v>
      </c>
      <c r="AA2330" s="81">
        <f>IFERROR(HLOOKUP(J2330,データについて!$J$4:$AH$19,16,FALSE),"")</f>
        <v>1</v>
      </c>
      <c r="AB2330" s="81" t="str">
        <f>IFERROR(HLOOKUP(K2330,データについて!$J$5:$AH$20,14,FALSE),"")</f>
        <v/>
      </c>
      <c r="AC2330" s="81">
        <f>IF(X2330=1,HLOOKUP(R2330,データについて!$J$12:$M$18,7,FALSE),"*")</f>
        <v>1</v>
      </c>
      <c r="AD2330" s="81" t="str">
        <f>IF(X2330=2,HLOOKUP(R2330,データについて!$J$12:$M$18,7,FALSE),"*")</f>
        <v>*</v>
      </c>
    </row>
    <row r="2331" spans="1:30">
      <c r="A2331" s="30">
        <v>2861</v>
      </c>
      <c r="B2331" s="30" t="s">
        <v>2661</v>
      </c>
      <c r="C2331" s="30" t="s">
        <v>2662</v>
      </c>
      <c r="D2331" s="30" t="s">
        <v>106</v>
      </c>
      <c r="E2331" s="30"/>
      <c r="F2331" s="30" t="s">
        <v>107</v>
      </c>
      <c r="G2331" s="30" t="s">
        <v>106</v>
      </c>
      <c r="H2331" s="30"/>
      <c r="I2331" s="30" t="s">
        <v>192</v>
      </c>
      <c r="J2331" s="30" t="s">
        <v>128</v>
      </c>
      <c r="K2331" s="30"/>
      <c r="L2331" s="30" t="s">
        <v>108</v>
      </c>
      <c r="M2331" s="30" t="s">
        <v>113</v>
      </c>
      <c r="N2331" s="30" t="s">
        <v>114</v>
      </c>
      <c r="O2331" s="30" t="s">
        <v>115</v>
      </c>
      <c r="P2331" s="30" t="s">
        <v>112</v>
      </c>
      <c r="Q2331" s="30" t="s">
        <v>112</v>
      </c>
      <c r="R2331" s="30" t="s">
        <v>183</v>
      </c>
      <c r="S2331" s="81">
        <f>HLOOKUP(L2331,データについて!$J$6:$M$18,13,FALSE)</f>
        <v>1</v>
      </c>
      <c r="T2331" s="81">
        <f>HLOOKUP(M2331,データについて!$J$7:$M$18,12,FALSE)</f>
        <v>1</v>
      </c>
      <c r="U2331" s="81">
        <f>HLOOKUP(N2331,データについて!$J$8:$M$18,11,FALSE)</f>
        <v>1</v>
      </c>
      <c r="V2331" s="81">
        <f>HLOOKUP(O2331,データについて!$J$9:$M$18,10,FALSE)</f>
        <v>1</v>
      </c>
      <c r="W2331" s="81">
        <f>HLOOKUP(P2331,データについて!$J$10:$M$18,9,FALSE)</f>
        <v>1</v>
      </c>
      <c r="X2331" s="81">
        <f>HLOOKUP(Q2331,データについて!$J$11:$M$18,8,FALSE)</f>
        <v>1</v>
      </c>
      <c r="Y2331" s="81">
        <f>HLOOKUP(R2331,データについて!$J$12:$M$18,7,FALSE)</f>
        <v>1</v>
      </c>
      <c r="Z2331" s="81">
        <f>HLOOKUP(I2331,データについて!$J$3:$M$18,16,FALSE)</f>
        <v>1</v>
      </c>
      <c r="AA2331" s="81">
        <f>IFERROR(HLOOKUP(J2331,データについて!$J$4:$AH$19,16,FALSE),"")</f>
        <v>1</v>
      </c>
      <c r="AB2331" s="81" t="str">
        <f>IFERROR(HLOOKUP(K2331,データについて!$J$5:$AH$20,14,FALSE),"")</f>
        <v/>
      </c>
      <c r="AC2331" s="81">
        <f>IF(X2331=1,HLOOKUP(R2331,データについて!$J$12:$M$18,7,FALSE),"*")</f>
        <v>1</v>
      </c>
      <c r="AD2331" s="81" t="str">
        <f>IF(X2331=2,HLOOKUP(R2331,データについて!$J$12:$M$18,7,FALSE),"*")</f>
        <v>*</v>
      </c>
    </row>
    <row r="2332" spans="1:30">
      <c r="A2332" s="30">
        <v>2860</v>
      </c>
      <c r="B2332" s="30" t="s">
        <v>2663</v>
      </c>
      <c r="C2332" s="30" t="s">
        <v>2664</v>
      </c>
      <c r="D2332" s="30" t="s">
        <v>106</v>
      </c>
      <c r="E2332" s="30"/>
      <c r="F2332" s="30" t="s">
        <v>107</v>
      </c>
      <c r="G2332" s="30" t="s">
        <v>106</v>
      </c>
      <c r="H2332" s="30"/>
      <c r="I2332" s="30" t="s">
        <v>192</v>
      </c>
      <c r="J2332" s="30" t="s">
        <v>125</v>
      </c>
      <c r="K2332" s="30"/>
      <c r="L2332" s="30" t="s">
        <v>108</v>
      </c>
      <c r="M2332" s="30" t="s">
        <v>113</v>
      </c>
      <c r="N2332" s="30" t="s">
        <v>110</v>
      </c>
      <c r="O2332" s="30" t="s">
        <v>116</v>
      </c>
      <c r="P2332" s="30" t="s">
        <v>112</v>
      </c>
      <c r="Q2332" s="30" t="s">
        <v>112</v>
      </c>
      <c r="R2332" s="30" t="s">
        <v>185</v>
      </c>
      <c r="S2332" s="81">
        <f>HLOOKUP(L2332,データについて!$J$6:$M$18,13,FALSE)</f>
        <v>1</v>
      </c>
      <c r="T2332" s="81">
        <f>HLOOKUP(M2332,データについて!$J$7:$M$18,12,FALSE)</f>
        <v>1</v>
      </c>
      <c r="U2332" s="81">
        <f>HLOOKUP(N2332,データについて!$J$8:$M$18,11,FALSE)</f>
        <v>2</v>
      </c>
      <c r="V2332" s="81">
        <f>HLOOKUP(O2332,データについて!$J$9:$M$18,10,FALSE)</f>
        <v>2</v>
      </c>
      <c r="W2332" s="81">
        <f>HLOOKUP(P2332,データについて!$J$10:$M$18,9,FALSE)</f>
        <v>1</v>
      </c>
      <c r="X2332" s="81">
        <f>HLOOKUP(Q2332,データについて!$J$11:$M$18,8,FALSE)</f>
        <v>1</v>
      </c>
      <c r="Y2332" s="81">
        <f>HLOOKUP(R2332,データについて!$J$12:$M$18,7,FALSE)</f>
        <v>2</v>
      </c>
      <c r="Z2332" s="81">
        <f>HLOOKUP(I2332,データについて!$J$3:$M$18,16,FALSE)</f>
        <v>1</v>
      </c>
      <c r="AA2332" s="81">
        <f>IFERROR(HLOOKUP(J2332,データについて!$J$4:$AH$19,16,FALSE),"")</f>
        <v>6</v>
      </c>
      <c r="AB2332" s="81" t="str">
        <f>IFERROR(HLOOKUP(K2332,データについて!$J$5:$AH$20,14,FALSE),"")</f>
        <v/>
      </c>
      <c r="AC2332" s="81">
        <f>IF(X2332=1,HLOOKUP(R2332,データについて!$J$12:$M$18,7,FALSE),"*")</f>
        <v>2</v>
      </c>
      <c r="AD2332" s="81" t="str">
        <f>IF(X2332=2,HLOOKUP(R2332,データについて!$J$12:$M$18,7,FALSE),"*")</f>
        <v>*</v>
      </c>
    </row>
    <row r="2333" spans="1:30">
      <c r="A2333" s="30">
        <v>2859</v>
      </c>
      <c r="B2333" s="30" t="s">
        <v>2665</v>
      </c>
      <c r="C2333" s="30" t="s">
        <v>2666</v>
      </c>
      <c r="D2333" s="30" t="s">
        <v>106</v>
      </c>
      <c r="E2333" s="30"/>
      <c r="F2333" s="30" t="s">
        <v>107</v>
      </c>
      <c r="G2333" s="30" t="s">
        <v>106</v>
      </c>
      <c r="H2333" s="30"/>
      <c r="I2333" s="30" t="s">
        <v>192</v>
      </c>
      <c r="J2333" s="30" t="s">
        <v>128</v>
      </c>
      <c r="K2333" s="30"/>
      <c r="L2333" s="30" t="s">
        <v>108</v>
      </c>
      <c r="M2333" s="30" t="s">
        <v>113</v>
      </c>
      <c r="N2333" s="30" t="s">
        <v>114</v>
      </c>
      <c r="O2333" s="30" t="s">
        <v>115</v>
      </c>
      <c r="P2333" s="30" t="s">
        <v>112</v>
      </c>
      <c r="Q2333" s="30" t="s">
        <v>112</v>
      </c>
      <c r="R2333" s="30" t="s">
        <v>183</v>
      </c>
      <c r="S2333" s="81">
        <f>HLOOKUP(L2333,データについて!$J$6:$M$18,13,FALSE)</f>
        <v>1</v>
      </c>
      <c r="T2333" s="81">
        <f>HLOOKUP(M2333,データについて!$J$7:$M$18,12,FALSE)</f>
        <v>1</v>
      </c>
      <c r="U2333" s="81">
        <f>HLOOKUP(N2333,データについて!$J$8:$M$18,11,FALSE)</f>
        <v>1</v>
      </c>
      <c r="V2333" s="81">
        <f>HLOOKUP(O2333,データについて!$J$9:$M$18,10,FALSE)</f>
        <v>1</v>
      </c>
      <c r="W2333" s="81">
        <f>HLOOKUP(P2333,データについて!$J$10:$M$18,9,FALSE)</f>
        <v>1</v>
      </c>
      <c r="X2333" s="81">
        <f>HLOOKUP(Q2333,データについて!$J$11:$M$18,8,FALSE)</f>
        <v>1</v>
      </c>
      <c r="Y2333" s="81">
        <f>HLOOKUP(R2333,データについて!$J$12:$M$18,7,FALSE)</f>
        <v>1</v>
      </c>
      <c r="Z2333" s="81">
        <f>HLOOKUP(I2333,データについて!$J$3:$M$18,16,FALSE)</f>
        <v>1</v>
      </c>
      <c r="AA2333" s="81">
        <f>IFERROR(HLOOKUP(J2333,データについて!$J$4:$AH$19,16,FALSE),"")</f>
        <v>1</v>
      </c>
      <c r="AB2333" s="81" t="str">
        <f>IFERROR(HLOOKUP(K2333,データについて!$J$5:$AH$20,14,FALSE),"")</f>
        <v/>
      </c>
      <c r="AC2333" s="81">
        <f>IF(X2333=1,HLOOKUP(R2333,データについて!$J$12:$M$18,7,FALSE),"*")</f>
        <v>1</v>
      </c>
      <c r="AD2333" s="81" t="str">
        <f>IF(X2333=2,HLOOKUP(R2333,データについて!$J$12:$M$18,7,FALSE),"*")</f>
        <v>*</v>
      </c>
    </row>
    <row r="2334" spans="1:30">
      <c r="A2334" s="30">
        <v>2858</v>
      </c>
      <c r="B2334" s="30" t="s">
        <v>2667</v>
      </c>
      <c r="C2334" s="30" t="s">
        <v>2668</v>
      </c>
      <c r="D2334" s="30" t="s">
        <v>106</v>
      </c>
      <c r="E2334" s="30"/>
      <c r="F2334" s="30" t="s">
        <v>107</v>
      </c>
      <c r="G2334" s="30" t="s">
        <v>106</v>
      </c>
      <c r="H2334" s="30"/>
      <c r="I2334" s="30" t="s">
        <v>192</v>
      </c>
      <c r="J2334" s="30" t="s">
        <v>125</v>
      </c>
      <c r="K2334" s="30"/>
      <c r="L2334" s="30" t="s">
        <v>117</v>
      </c>
      <c r="M2334" s="30" t="s">
        <v>113</v>
      </c>
      <c r="N2334" s="30" t="s">
        <v>114</v>
      </c>
      <c r="O2334" s="30" t="s">
        <v>116</v>
      </c>
      <c r="P2334" s="30" t="s">
        <v>112</v>
      </c>
      <c r="Q2334" s="30" t="s">
        <v>112</v>
      </c>
      <c r="R2334" s="30" t="s">
        <v>185</v>
      </c>
      <c r="S2334" s="81">
        <f>HLOOKUP(L2334,データについて!$J$6:$M$18,13,FALSE)</f>
        <v>2</v>
      </c>
      <c r="T2334" s="81">
        <f>HLOOKUP(M2334,データについて!$J$7:$M$18,12,FALSE)</f>
        <v>1</v>
      </c>
      <c r="U2334" s="81">
        <f>HLOOKUP(N2334,データについて!$J$8:$M$18,11,FALSE)</f>
        <v>1</v>
      </c>
      <c r="V2334" s="81">
        <f>HLOOKUP(O2334,データについて!$J$9:$M$18,10,FALSE)</f>
        <v>2</v>
      </c>
      <c r="W2334" s="81">
        <f>HLOOKUP(P2334,データについて!$J$10:$M$18,9,FALSE)</f>
        <v>1</v>
      </c>
      <c r="X2334" s="81">
        <f>HLOOKUP(Q2334,データについて!$J$11:$M$18,8,FALSE)</f>
        <v>1</v>
      </c>
      <c r="Y2334" s="81">
        <f>HLOOKUP(R2334,データについて!$J$12:$M$18,7,FALSE)</f>
        <v>2</v>
      </c>
      <c r="Z2334" s="81">
        <f>HLOOKUP(I2334,データについて!$J$3:$M$18,16,FALSE)</f>
        <v>1</v>
      </c>
      <c r="AA2334" s="81">
        <f>IFERROR(HLOOKUP(J2334,データについて!$J$4:$AH$19,16,FALSE),"")</f>
        <v>6</v>
      </c>
      <c r="AB2334" s="81" t="str">
        <f>IFERROR(HLOOKUP(K2334,データについて!$J$5:$AH$20,14,FALSE),"")</f>
        <v/>
      </c>
      <c r="AC2334" s="81">
        <f>IF(X2334=1,HLOOKUP(R2334,データについて!$J$12:$M$18,7,FALSE),"*")</f>
        <v>2</v>
      </c>
      <c r="AD2334" s="81" t="str">
        <f>IF(X2334=2,HLOOKUP(R2334,データについて!$J$12:$M$18,7,FALSE),"*")</f>
        <v>*</v>
      </c>
    </row>
    <row r="2335" spans="1:30">
      <c r="A2335" s="30">
        <v>2857</v>
      </c>
      <c r="B2335" s="30" t="s">
        <v>2669</v>
      </c>
      <c r="C2335" s="30" t="s">
        <v>2670</v>
      </c>
      <c r="D2335" s="30" t="s">
        <v>106</v>
      </c>
      <c r="E2335" s="30"/>
      <c r="F2335" s="30" t="s">
        <v>107</v>
      </c>
      <c r="G2335" s="30" t="s">
        <v>106</v>
      </c>
      <c r="H2335" s="30"/>
      <c r="I2335" s="30" t="s">
        <v>192</v>
      </c>
      <c r="J2335" s="30" t="s">
        <v>125</v>
      </c>
      <c r="K2335" s="30"/>
      <c r="L2335" s="30" t="s">
        <v>108</v>
      </c>
      <c r="M2335" s="30" t="s">
        <v>109</v>
      </c>
      <c r="N2335" s="30" t="s">
        <v>114</v>
      </c>
      <c r="O2335" s="30" t="s">
        <v>115</v>
      </c>
      <c r="P2335" s="30" t="s">
        <v>112</v>
      </c>
      <c r="Q2335" s="30" t="s">
        <v>112</v>
      </c>
      <c r="R2335" s="30" t="s">
        <v>185</v>
      </c>
      <c r="S2335" s="81">
        <f>HLOOKUP(L2335,データについて!$J$6:$M$18,13,FALSE)</f>
        <v>1</v>
      </c>
      <c r="T2335" s="81">
        <f>HLOOKUP(M2335,データについて!$J$7:$M$18,12,FALSE)</f>
        <v>2</v>
      </c>
      <c r="U2335" s="81">
        <f>HLOOKUP(N2335,データについて!$J$8:$M$18,11,FALSE)</f>
        <v>1</v>
      </c>
      <c r="V2335" s="81">
        <f>HLOOKUP(O2335,データについて!$J$9:$M$18,10,FALSE)</f>
        <v>1</v>
      </c>
      <c r="W2335" s="81">
        <f>HLOOKUP(P2335,データについて!$J$10:$M$18,9,FALSE)</f>
        <v>1</v>
      </c>
      <c r="X2335" s="81">
        <f>HLOOKUP(Q2335,データについて!$J$11:$M$18,8,FALSE)</f>
        <v>1</v>
      </c>
      <c r="Y2335" s="81">
        <f>HLOOKUP(R2335,データについて!$J$12:$M$18,7,FALSE)</f>
        <v>2</v>
      </c>
      <c r="Z2335" s="81">
        <f>HLOOKUP(I2335,データについて!$J$3:$M$18,16,FALSE)</f>
        <v>1</v>
      </c>
      <c r="AA2335" s="81">
        <f>IFERROR(HLOOKUP(J2335,データについて!$J$4:$AH$19,16,FALSE),"")</f>
        <v>6</v>
      </c>
      <c r="AB2335" s="81" t="str">
        <f>IFERROR(HLOOKUP(K2335,データについて!$J$5:$AH$20,14,FALSE),"")</f>
        <v/>
      </c>
      <c r="AC2335" s="81">
        <f>IF(X2335=1,HLOOKUP(R2335,データについて!$J$12:$M$18,7,FALSE),"*")</f>
        <v>2</v>
      </c>
      <c r="AD2335" s="81" t="str">
        <f>IF(X2335=2,HLOOKUP(R2335,データについて!$J$12:$M$18,7,FALSE),"*")</f>
        <v>*</v>
      </c>
    </row>
    <row r="2336" spans="1:30">
      <c r="A2336" s="30">
        <v>2856</v>
      </c>
      <c r="B2336" s="30" t="s">
        <v>2671</v>
      </c>
      <c r="C2336" s="30" t="s">
        <v>2672</v>
      </c>
      <c r="D2336" s="30" t="s">
        <v>106</v>
      </c>
      <c r="E2336" s="30"/>
      <c r="F2336" s="30" t="s">
        <v>107</v>
      </c>
      <c r="G2336" s="30" t="s">
        <v>106</v>
      </c>
      <c r="H2336" s="30"/>
      <c r="I2336" s="30" t="s">
        <v>192</v>
      </c>
      <c r="J2336" s="30" t="s">
        <v>125</v>
      </c>
      <c r="K2336" s="30"/>
      <c r="L2336" s="30" t="s">
        <v>117</v>
      </c>
      <c r="M2336" s="30" t="s">
        <v>113</v>
      </c>
      <c r="N2336" s="30" t="s">
        <v>114</v>
      </c>
      <c r="O2336" s="30" t="s">
        <v>115</v>
      </c>
      <c r="P2336" s="30" t="s">
        <v>112</v>
      </c>
      <c r="Q2336" s="30" t="s">
        <v>112</v>
      </c>
      <c r="R2336" s="30" t="s">
        <v>183</v>
      </c>
      <c r="S2336" s="81">
        <f>HLOOKUP(L2336,データについて!$J$6:$M$18,13,FALSE)</f>
        <v>2</v>
      </c>
      <c r="T2336" s="81">
        <f>HLOOKUP(M2336,データについて!$J$7:$M$18,12,FALSE)</f>
        <v>1</v>
      </c>
      <c r="U2336" s="81">
        <f>HLOOKUP(N2336,データについて!$J$8:$M$18,11,FALSE)</f>
        <v>1</v>
      </c>
      <c r="V2336" s="81">
        <f>HLOOKUP(O2336,データについて!$J$9:$M$18,10,FALSE)</f>
        <v>1</v>
      </c>
      <c r="W2336" s="81">
        <f>HLOOKUP(P2336,データについて!$J$10:$M$18,9,FALSE)</f>
        <v>1</v>
      </c>
      <c r="X2336" s="81">
        <f>HLOOKUP(Q2336,データについて!$J$11:$M$18,8,FALSE)</f>
        <v>1</v>
      </c>
      <c r="Y2336" s="81">
        <f>HLOOKUP(R2336,データについて!$J$12:$M$18,7,FALSE)</f>
        <v>1</v>
      </c>
      <c r="Z2336" s="81">
        <f>HLOOKUP(I2336,データについて!$J$3:$M$18,16,FALSE)</f>
        <v>1</v>
      </c>
      <c r="AA2336" s="81">
        <f>IFERROR(HLOOKUP(J2336,データについて!$J$4:$AH$19,16,FALSE),"")</f>
        <v>6</v>
      </c>
      <c r="AB2336" s="81" t="str">
        <f>IFERROR(HLOOKUP(K2336,データについて!$J$5:$AH$20,14,FALSE),"")</f>
        <v/>
      </c>
      <c r="AC2336" s="81">
        <f>IF(X2336=1,HLOOKUP(R2336,データについて!$J$12:$M$18,7,FALSE),"*")</f>
        <v>1</v>
      </c>
      <c r="AD2336" s="81" t="str">
        <f>IF(X2336=2,HLOOKUP(R2336,データについて!$J$12:$M$18,7,FALSE),"*")</f>
        <v>*</v>
      </c>
    </row>
    <row r="2337" spans="1:30">
      <c r="A2337" s="30">
        <v>2855</v>
      </c>
      <c r="B2337" s="30" t="s">
        <v>2673</v>
      </c>
      <c r="C2337" s="30" t="s">
        <v>2674</v>
      </c>
      <c r="D2337" s="30" t="s">
        <v>106</v>
      </c>
      <c r="E2337" s="30"/>
      <c r="F2337" s="30" t="s">
        <v>107</v>
      </c>
      <c r="G2337" s="30" t="s">
        <v>106</v>
      </c>
      <c r="H2337" s="30"/>
      <c r="I2337" s="30" t="s">
        <v>192</v>
      </c>
      <c r="J2337" s="30" t="s">
        <v>125</v>
      </c>
      <c r="K2337" s="30"/>
      <c r="L2337" s="30" t="s">
        <v>108</v>
      </c>
      <c r="M2337" s="30" t="s">
        <v>113</v>
      </c>
      <c r="N2337" s="30" t="s">
        <v>114</v>
      </c>
      <c r="O2337" s="30" t="s">
        <v>115</v>
      </c>
      <c r="P2337" s="30" t="s">
        <v>112</v>
      </c>
      <c r="Q2337" s="30" t="s">
        <v>112</v>
      </c>
      <c r="R2337" s="30" t="s">
        <v>185</v>
      </c>
      <c r="S2337" s="81">
        <f>HLOOKUP(L2337,データについて!$J$6:$M$18,13,FALSE)</f>
        <v>1</v>
      </c>
      <c r="T2337" s="81">
        <f>HLOOKUP(M2337,データについて!$J$7:$M$18,12,FALSE)</f>
        <v>1</v>
      </c>
      <c r="U2337" s="81">
        <f>HLOOKUP(N2337,データについて!$J$8:$M$18,11,FALSE)</f>
        <v>1</v>
      </c>
      <c r="V2337" s="81">
        <f>HLOOKUP(O2337,データについて!$J$9:$M$18,10,FALSE)</f>
        <v>1</v>
      </c>
      <c r="W2337" s="81">
        <f>HLOOKUP(P2337,データについて!$J$10:$M$18,9,FALSE)</f>
        <v>1</v>
      </c>
      <c r="X2337" s="81">
        <f>HLOOKUP(Q2337,データについて!$J$11:$M$18,8,FALSE)</f>
        <v>1</v>
      </c>
      <c r="Y2337" s="81">
        <f>HLOOKUP(R2337,データについて!$J$12:$M$18,7,FALSE)</f>
        <v>2</v>
      </c>
      <c r="Z2337" s="81">
        <f>HLOOKUP(I2337,データについて!$J$3:$M$18,16,FALSE)</f>
        <v>1</v>
      </c>
      <c r="AA2337" s="81">
        <f>IFERROR(HLOOKUP(J2337,データについて!$J$4:$AH$19,16,FALSE),"")</f>
        <v>6</v>
      </c>
      <c r="AB2337" s="81" t="str">
        <f>IFERROR(HLOOKUP(K2337,データについて!$J$5:$AH$20,14,FALSE),"")</f>
        <v/>
      </c>
      <c r="AC2337" s="81">
        <f>IF(X2337=1,HLOOKUP(R2337,データについて!$J$12:$M$18,7,FALSE),"*")</f>
        <v>2</v>
      </c>
      <c r="AD2337" s="81" t="str">
        <f>IF(X2337=2,HLOOKUP(R2337,データについて!$J$12:$M$18,7,FALSE),"*")</f>
        <v>*</v>
      </c>
    </row>
    <row r="2338" spans="1:30">
      <c r="A2338" s="30">
        <v>2854</v>
      </c>
      <c r="B2338" s="30" t="s">
        <v>2675</v>
      </c>
      <c r="C2338" s="30" t="s">
        <v>2676</v>
      </c>
      <c r="D2338" s="30" t="s">
        <v>106</v>
      </c>
      <c r="E2338" s="30"/>
      <c r="F2338" s="30" t="s">
        <v>107</v>
      </c>
      <c r="G2338" s="30" t="s">
        <v>106</v>
      </c>
      <c r="H2338" s="30"/>
      <c r="I2338" s="30" t="s">
        <v>192</v>
      </c>
      <c r="J2338" s="30" t="s">
        <v>942</v>
      </c>
      <c r="K2338" s="30"/>
      <c r="L2338" s="30" t="s">
        <v>117</v>
      </c>
      <c r="M2338" s="30" t="s">
        <v>113</v>
      </c>
      <c r="N2338" s="30" t="s">
        <v>110</v>
      </c>
      <c r="O2338" s="30" t="s">
        <v>115</v>
      </c>
      <c r="P2338" s="30" t="s">
        <v>112</v>
      </c>
      <c r="Q2338" s="30" t="s">
        <v>112</v>
      </c>
      <c r="R2338" s="30" t="s">
        <v>185</v>
      </c>
      <c r="S2338" s="81">
        <f>HLOOKUP(L2338,データについて!$J$6:$M$18,13,FALSE)</f>
        <v>2</v>
      </c>
      <c r="T2338" s="81">
        <f>HLOOKUP(M2338,データについて!$J$7:$M$18,12,FALSE)</f>
        <v>1</v>
      </c>
      <c r="U2338" s="81">
        <f>HLOOKUP(N2338,データについて!$J$8:$M$18,11,FALSE)</f>
        <v>2</v>
      </c>
      <c r="V2338" s="81">
        <f>HLOOKUP(O2338,データについて!$J$9:$M$18,10,FALSE)</f>
        <v>1</v>
      </c>
      <c r="W2338" s="81">
        <f>HLOOKUP(P2338,データについて!$J$10:$M$18,9,FALSE)</f>
        <v>1</v>
      </c>
      <c r="X2338" s="81">
        <f>HLOOKUP(Q2338,データについて!$J$11:$M$18,8,FALSE)</f>
        <v>1</v>
      </c>
      <c r="Y2338" s="81">
        <f>HLOOKUP(R2338,データについて!$J$12:$M$18,7,FALSE)</f>
        <v>2</v>
      </c>
      <c r="Z2338" s="81">
        <f>HLOOKUP(I2338,データについて!$J$3:$M$18,16,FALSE)</f>
        <v>1</v>
      </c>
      <c r="AA2338" s="81">
        <f>IFERROR(HLOOKUP(J2338,データについて!$J$4:$AH$19,16,FALSE),"")</f>
        <v>7</v>
      </c>
      <c r="AB2338" s="81" t="str">
        <f>IFERROR(HLOOKUP(K2338,データについて!$J$5:$AH$20,14,FALSE),"")</f>
        <v/>
      </c>
      <c r="AC2338" s="81">
        <f>IF(X2338=1,HLOOKUP(R2338,データについて!$J$12:$M$18,7,FALSE),"*")</f>
        <v>2</v>
      </c>
      <c r="AD2338" s="81" t="str">
        <f>IF(X2338=2,HLOOKUP(R2338,データについて!$J$12:$M$18,7,FALSE),"*")</f>
        <v>*</v>
      </c>
    </row>
    <row r="2339" spans="1:30">
      <c r="A2339" s="30">
        <v>2853</v>
      </c>
      <c r="B2339" s="30" t="s">
        <v>2677</v>
      </c>
      <c r="C2339" s="30" t="s">
        <v>2678</v>
      </c>
      <c r="D2339" s="30" t="s">
        <v>106</v>
      </c>
      <c r="E2339" s="30"/>
      <c r="F2339" s="30" t="s">
        <v>107</v>
      </c>
      <c r="G2339" s="30" t="s">
        <v>106</v>
      </c>
      <c r="H2339" s="30"/>
      <c r="I2339" s="30" t="s">
        <v>192</v>
      </c>
      <c r="J2339" s="30" t="s">
        <v>128</v>
      </c>
      <c r="K2339" s="30"/>
      <c r="L2339" s="30" t="s">
        <v>117</v>
      </c>
      <c r="M2339" s="30" t="s">
        <v>109</v>
      </c>
      <c r="N2339" s="30" t="s">
        <v>110</v>
      </c>
      <c r="O2339" s="30" t="s">
        <v>116</v>
      </c>
      <c r="P2339" s="30" t="s">
        <v>112</v>
      </c>
      <c r="Q2339" s="30" t="s">
        <v>112</v>
      </c>
      <c r="R2339" s="30" t="s">
        <v>187</v>
      </c>
      <c r="S2339" s="81">
        <f>HLOOKUP(L2339,データについて!$J$6:$M$18,13,FALSE)</f>
        <v>2</v>
      </c>
      <c r="T2339" s="81">
        <f>HLOOKUP(M2339,データについて!$J$7:$M$18,12,FALSE)</f>
        <v>2</v>
      </c>
      <c r="U2339" s="81">
        <f>HLOOKUP(N2339,データについて!$J$8:$M$18,11,FALSE)</f>
        <v>2</v>
      </c>
      <c r="V2339" s="81">
        <f>HLOOKUP(O2339,データについて!$J$9:$M$18,10,FALSE)</f>
        <v>2</v>
      </c>
      <c r="W2339" s="81">
        <f>HLOOKUP(P2339,データについて!$J$10:$M$18,9,FALSE)</f>
        <v>1</v>
      </c>
      <c r="X2339" s="81">
        <f>HLOOKUP(Q2339,データについて!$J$11:$M$18,8,FALSE)</f>
        <v>1</v>
      </c>
      <c r="Y2339" s="81">
        <f>HLOOKUP(R2339,データについて!$J$12:$M$18,7,FALSE)</f>
        <v>3</v>
      </c>
      <c r="Z2339" s="81">
        <f>HLOOKUP(I2339,データについて!$J$3:$M$18,16,FALSE)</f>
        <v>1</v>
      </c>
      <c r="AA2339" s="81">
        <f>IFERROR(HLOOKUP(J2339,データについて!$J$4:$AH$19,16,FALSE),"")</f>
        <v>1</v>
      </c>
      <c r="AB2339" s="81" t="str">
        <f>IFERROR(HLOOKUP(K2339,データについて!$J$5:$AH$20,14,FALSE),"")</f>
        <v/>
      </c>
      <c r="AC2339" s="81">
        <f>IF(X2339=1,HLOOKUP(R2339,データについて!$J$12:$M$18,7,FALSE),"*")</f>
        <v>3</v>
      </c>
      <c r="AD2339" s="81" t="str">
        <f>IF(X2339=2,HLOOKUP(R2339,データについて!$J$12:$M$18,7,FALSE),"*")</f>
        <v>*</v>
      </c>
    </row>
    <row r="2340" spans="1:30">
      <c r="A2340" s="30">
        <v>2852</v>
      </c>
      <c r="B2340" s="30" t="s">
        <v>2679</v>
      </c>
      <c r="C2340" s="30" t="s">
        <v>2678</v>
      </c>
      <c r="D2340" s="30" t="s">
        <v>106</v>
      </c>
      <c r="E2340" s="30"/>
      <c r="F2340" s="30" t="s">
        <v>107</v>
      </c>
      <c r="G2340" s="30" t="s">
        <v>106</v>
      </c>
      <c r="H2340" s="30"/>
      <c r="I2340" s="30" t="s">
        <v>192</v>
      </c>
      <c r="J2340" s="30" t="s">
        <v>125</v>
      </c>
      <c r="K2340" s="30"/>
      <c r="L2340" s="30" t="s">
        <v>117</v>
      </c>
      <c r="M2340" s="30" t="s">
        <v>113</v>
      </c>
      <c r="N2340" s="30" t="s">
        <v>114</v>
      </c>
      <c r="O2340" s="30" t="s">
        <v>116</v>
      </c>
      <c r="P2340" s="30" t="s">
        <v>112</v>
      </c>
      <c r="Q2340" s="30" t="s">
        <v>112</v>
      </c>
      <c r="R2340" s="30" t="s">
        <v>185</v>
      </c>
      <c r="S2340" s="81">
        <f>HLOOKUP(L2340,データについて!$J$6:$M$18,13,FALSE)</f>
        <v>2</v>
      </c>
      <c r="T2340" s="81">
        <f>HLOOKUP(M2340,データについて!$J$7:$M$18,12,FALSE)</f>
        <v>1</v>
      </c>
      <c r="U2340" s="81">
        <f>HLOOKUP(N2340,データについて!$J$8:$M$18,11,FALSE)</f>
        <v>1</v>
      </c>
      <c r="V2340" s="81">
        <f>HLOOKUP(O2340,データについて!$J$9:$M$18,10,FALSE)</f>
        <v>2</v>
      </c>
      <c r="W2340" s="81">
        <f>HLOOKUP(P2340,データについて!$J$10:$M$18,9,FALSE)</f>
        <v>1</v>
      </c>
      <c r="X2340" s="81">
        <f>HLOOKUP(Q2340,データについて!$J$11:$M$18,8,FALSE)</f>
        <v>1</v>
      </c>
      <c r="Y2340" s="81">
        <f>HLOOKUP(R2340,データについて!$J$12:$M$18,7,FALSE)</f>
        <v>2</v>
      </c>
      <c r="Z2340" s="81">
        <f>HLOOKUP(I2340,データについて!$J$3:$M$18,16,FALSE)</f>
        <v>1</v>
      </c>
      <c r="AA2340" s="81">
        <f>IFERROR(HLOOKUP(J2340,データについて!$J$4:$AH$19,16,FALSE),"")</f>
        <v>6</v>
      </c>
      <c r="AB2340" s="81" t="str">
        <f>IFERROR(HLOOKUP(K2340,データについて!$J$5:$AH$20,14,FALSE),"")</f>
        <v/>
      </c>
      <c r="AC2340" s="81">
        <f>IF(X2340=1,HLOOKUP(R2340,データについて!$J$12:$M$18,7,FALSE),"*")</f>
        <v>2</v>
      </c>
      <c r="AD2340" s="81" t="str">
        <f>IF(X2340=2,HLOOKUP(R2340,データについて!$J$12:$M$18,7,FALSE),"*")</f>
        <v>*</v>
      </c>
    </row>
    <row r="2341" spans="1:30">
      <c r="A2341" s="30">
        <v>2851</v>
      </c>
      <c r="B2341" s="30" t="s">
        <v>2680</v>
      </c>
      <c r="C2341" s="30" t="s">
        <v>2681</v>
      </c>
      <c r="D2341" s="30" t="s">
        <v>106</v>
      </c>
      <c r="E2341" s="30"/>
      <c r="F2341" s="30" t="s">
        <v>107</v>
      </c>
      <c r="G2341" s="30" t="s">
        <v>106</v>
      </c>
      <c r="H2341" s="30"/>
      <c r="I2341" s="30" t="s">
        <v>192</v>
      </c>
      <c r="J2341" s="30" t="s">
        <v>128</v>
      </c>
      <c r="K2341" s="30"/>
      <c r="L2341" s="30" t="s">
        <v>108</v>
      </c>
      <c r="M2341" s="30" t="s">
        <v>113</v>
      </c>
      <c r="N2341" s="30" t="s">
        <v>114</v>
      </c>
      <c r="O2341" s="30" t="s">
        <v>115</v>
      </c>
      <c r="P2341" s="30" t="s">
        <v>112</v>
      </c>
      <c r="Q2341" s="30" t="s">
        <v>112</v>
      </c>
      <c r="R2341" s="30" t="s">
        <v>183</v>
      </c>
      <c r="S2341" s="81">
        <f>HLOOKUP(L2341,データについて!$J$6:$M$18,13,FALSE)</f>
        <v>1</v>
      </c>
      <c r="T2341" s="81">
        <f>HLOOKUP(M2341,データについて!$J$7:$M$18,12,FALSE)</f>
        <v>1</v>
      </c>
      <c r="U2341" s="81">
        <f>HLOOKUP(N2341,データについて!$J$8:$M$18,11,FALSE)</f>
        <v>1</v>
      </c>
      <c r="V2341" s="81">
        <f>HLOOKUP(O2341,データについて!$J$9:$M$18,10,FALSE)</f>
        <v>1</v>
      </c>
      <c r="W2341" s="81">
        <f>HLOOKUP(P2341,データについて!$J$10:$M$18,9,FALSE)</f>
        <v>1</v>
      </c>
      <c r="X2341" s="81">
        <f>HLOOKUP(Q2341,データについて!$J$11:$M$18,8,FALSE)</f>
        <v>1</v>
      </c>
      <c r="Y2341" s="81">
        <f>HLOOKUP(R2341,データについて!$J$12:$M$18,7,FALSE)</f>
        <v>1</v>
      </c>
      <c r="Z2341" s="81">
        <f>HLOOKUP(I2341,データについて!$J$3:$M$18,16,FALSE)</f>
        <v>1</v>
      </c>
      <c r="AA2341" s="81">
        <f>IFERROR(HLOOKUP(J2341,データについて!$J$4:$AH$19,16,FALSE),"")</f>
        <v>1</v>
      </c>
      <c r="AB2341" s="81" t="str">
        <f>IFERROR(HLOOKUP(K2341,データについて!$J$5:$AH$20,14,FALSE),"")</f>
        <v/>
      </c>
      <c r="AC2341" s="81">
        <f>IF(X2341=1,HLOOKUP(R2341,データについて!$J$12:$M$18,7,FALSE),"*")</f>
        <v>1</v>
      </c>
      <c r="AD2341" s="81" t="str">
        <f>IF(X2341=2,HLOOKUP(R2341,データについて!$J$12:$M$18,7,FALSE),"*")</f>
        <v>*</v>
      </c>
    </row>
    <row r="2342" spans="1:30">
      <c r="A2342" s="30">
        <v>2850</v>
      </c>
      <c r="B2342" s="30" t="s">
        <v>2682</v>
      </c>
      <c r="C2342" s="30" t="s">
        <v>2683</v>
      </c>
      <c r="D2342" s="30" t="s">
        <v>106</v>
      </c>
      <c r="E2342" s="30"/>
      <c r="F2342" s="30" t="s">
        <v>107</v>
      </c>
      <c r="G2342" s="30" t="s">
        <v>106</v>
      </c>
      <c r="H2342" s="30"/>
      <c r="I2342" s="30" t="s">
        <v>192</v>
      </c>
      <c r="J2342" s="30" t="s">
        <v>128</v>
      </c>
      <c r="K2342" s="30"/>
      <c r="L2342" s="30" t="s">
        <v>108</v>
      </c>
      <c r="M2342" s="30" t="s">
        <v>109</v>
      </c>
      <c r="N2342" s="30" t="s">
        <v>110</v>
      </c>
      <c r="O2342" s="30" t="s">
        <v>115</v>
      </c>
      <c r="P2342" s="30" t="s">
        <v>112</v>
      </c>
      <c r="Q2342" s="30" t="s">
        <v>112</v>
      </c>
      <c r="R2342" s="30" t="s">
        <v>185</v>
      </c>
      <c r="S2342" s="81">
        <f>HLOOKUP(L2342,データについて!$J$6:$M$18,13,FALSE)</f>
        <v>1</v>
      </c>
      <c r="T2342" s="81">
        <f>HLOOKUP(M2342,データについて!$J$7:$M$18,12,FALSE)</f>
        <v>2</v>
      </c>
      <c r="U2342" s="81">
        <f>HLOOKUP(N2342,データについて!$J$8:$M$18,11,FALSE)</f>
        <v>2</v>
      </c>
      <c r="V2342" s="81">
        <f>HLOOKUP(O2342,データについて!$J$9:$M$18,10,FALSE)</f>
        <v>1</v>
      </c>
      <c r="W2342" s="81">
        <f>HLOOKUP(P2342,データについて!$J$10:$M$18,9,FALSE)</f>
        <v>1</v>
      </c>
      <c r="X2342" s="81">
        <f>HLOOKUP(Q2342,データについて!$J$11:$M$18,8,FALSE)</f>
        <v>1</v>
      </c>
      <c r="Y2342" s="81">
        <f>HLOOKUP(R2342,データについて!$J$12:$M$18,7,FALSE)</f>
        <v>2</v>
      </c>
      <c r="Z2342" s="81">
        <f>HLOOKUP(I2342,データについて!$J$3:$M$18,16,FALSE)</f>
        <v>1</v>
      </c>
      <c r="AA2342" s="81">
        <f>IFERROR(HLOOKUP(J2342,データについて!$J$4:$AH$19,16,FALSE),"")</f>
        <v>1</v>
      </c>
      <c r="AB2342" s="81" t="str">
        <f>IFERROR(HLOOKUP(K2342,データについて!$J$5:$AH$20,14,FALSE),"")</f>
        <v/>
      </c>
      <c r="AC2342" s="81">
        <f>IF(X2342=1,HLOOKUP(R2342,データについて!$J$12:$M$18,7,FALSE),"*")</f>
        <v>2</v>
      </c>
      <c r="AD2342" s="81" t="str">
        <f>IF(X2342=2,HLOOKUP(R2342,データについて!$J$12:$M$18,7,FALSE),"*")</f>
        <v>*</v>
      </c>
    </row>
    <row r="2343" spans="1:30">
      <c r="A2343" s="30">
        <v>2849</v>
      </c>
      <c r="B2343" s="30" t="s">
        <v>2684</v>
      </c>
      <c r="C2343" s="30" t="s">
        <v>2685</v>
      </c>
      <c r="D2343" s="30" t="s">
        <v>106</v>
      </c>
      <c r="E2343" s="30"/>
      <c r="F2343" s="30" t="s">
        <v>107</v>
      </c>
      <c r="G2343" s="30" t="s">
        <v>106</v>
      </c>
      <c r="H2343" s="30"/>
      <c r="I2343" s="30" t="s">
        <v>192</v>
      </c>
      <c r="J2343" s="30" t="s">
        <v>942</v>
      </c>
      <c r="K2343" s="30"/>
      <c r="L2343" s="30" t="s">
        <v>108</v>
      </c>
      <c r="M2343" s="30" t="s">
        <v>124</v>
      </c>
      <c r="N2343" s="30" t="s">
        <v>110</v>
      </c>
      <c r="O2343" s="30" t="s">
        <v>115</v>
      </c>
      <c r="P2343" s="30" t="s">
        <v>112</v>
      </c>
      <c r="Q2343" s="30" t="s">
        <v>118</v>
      </c>
      <c r="R2343" s="30" t="s">
        <v>187</v>
      </c>
      <c r="S2343" s="81">
        <f>HLOOKUP(L2343,データについて!$J$6:$M$18,13,FALSE)</f>
        <v>1</v>
      </c>
      <c r="T2343" s="81">
        <f>HLOOKUP(M2343,データについて!$J$7:$M$18,12,FALSE)</f>
        <v>3</v>
      </c>
      <c r="U2343" s="81">
        <f>HLOOKUP(N2343,データについて!$J$8:$M$18,11,FALSE)</f>
        <v>2</v>
      </c>
      <c r="V2343" s="81">
        <f>HLOOKUP(O2343,データについて!$J$9:$M$18,10,FALSE)</f>
        <v>1</v>
      </c>
      <c r="W2343" s="81">
        <f>HLOOKUP(P2343,データについて!$J$10:$M$18,9,FALSE)</f>
        <v>1</v>
      </c>
      <c r="X2343" s="81">
        <f>HLOOKUP(Q2343,データについて!$J$11:$M$18,8,FALSE)</f>
        <v>2</v>
      </c>
      <c r="Y2343" s="81">
        <f>HLOOKUP(R2343,データについて!$J$12:$M$18,7,FALSE)</f>
        <v>3</v>
      </c>
      <c r="Z2343" s="81">
        <f>HLOOKUP(I2343,データについて!$J$3:$M$18,16,FALSE)</f>
        <v>1</v>
      </c>
      <c r="AA2343" s="81">
        <f>IFERROR(HLOOKUP(J2343,データについて!$J$4:$AH$19,16,FALSE),"")</f>
        <v>7</v>
      </c>
      <c r="AB2343" s="81" t="str">
        <f>IFERROR(HLOOKUP(K2343,データについて!$J$5:$AH$20,14,FALSE),"")</f>
        <v/>
      </c>
      <c r="AC2343" s="81" t="str">
        <f>IF(X2343=1,HLOOKUP(R2343,データについて!$J$12:$M$18,7,FALSE),"*")</f>
        <v>*</v>
      </c>
      <c r="AD2343" s="81">
        <f>IF(X2343=2,HLOOKUP(R2343,データについて!$J$12:$M$18,7,FALSE),"*")</f>
        <v>3</v>
      </c>
    </row>
    <row r="2344" spans="1:30">
      <c r="A2344" s="30">
        <v>2848</v>
      </c>
      <c r="B2344" s="30" t="s">
        <v>2686</v>
      </c>
      <c r="C2344" s="30" t="s">
        <v>2687</v>
      </c>
      <c r="D2344" s="30" t="s">
        <v>106</v>
      </c>
      <c r="E2344" s="30"/>
      <c r="F2344" s="30" t="s">
        <v>107</v>
      </c>
      <c r="G2344" s="30" t="s">
        <v>106</v>
      </c>
      <c r="H2344" s="30"/>
      <c r="I2344" s="30" t="s">
        <v>192</v>
      </c>
      <c r="J2344" s="30" t="s">
        <v>128</v>
      </c>
      <c r="K2344" s="30"/>
      <c r="L2344" s="30" t="s">
        <v>117</v>
      </c>
      <c r="M2344" s="30" t="s">
        <v>113</v>
      </c>
      <c r="N2344" s="30" t="s">
        <v>114</v>
      </c>
      <c r="O2344" s="30" t="s">
        <v>115</v>
      </c>
      <c r="P2344" s="30" t="s">
        <v>112</v>
      </c>
      <c r="Q2344" s="30" t="s">
        <v>112</v>
      </c>
      <c r="R2344" s="30" t="s">
        <v>185</v>
      </c>
      <c r="S2344" s="81">
        <f>HLOOKUP(L2344,データについて!$J$6:$M$18,13,FALSE)</f>
        <v>2</v>
      </c>
      <c r="T2344" s="81">
        <f>HLOOKUP(M2344,データについて!$J$7:$M$18,12,FALSE)</f>
        <v>1</v>
      </c>
      <c r="U2344" s="81">
        <f>HLOOKUP(N2344,データについて!$J$8:$M$18,11,FALSE)</f>
        <v>1</v>
      </c>
      <c r="V2344" s="81">
        <f>HLOOKUP(O2344,データについて!$J$9:$M$18,10,FALSE)</f>
        <v>1</v>
      </c>
      <c r="W2344" s="81">
        <f>HLOOKUP(P2344,データについて!$J$10:$M$18,9,FALSE)</f>
        <v>1</v>
      </c>
      <c r="X2344" s="81">
        <f>HLOOKUP(Q2344,データについて!$J$11:$M$18,8,FALSE)</f>
        <v>1</v>
      </c>
      <c r="Y2344" s="81">
        <f>HLOOKUP(R2344,データについて!$J$12:$M$18,7,FALSE)</f>
        <v>2</v>
      </c>
      <c r="Z2344" s="81">
        <f>HLOOKUP(I2344,データについて!$J$3:$M$18,16,FALSE)</f>
        <v>1</v>
      </c>
      <c r="AA2344" s="81">
        <f>IFERROR(HLOOKUP(J2344,データについて!$J$4:$AH$19,16,FALSE),"")</f>
        <v>1</v>
      </c>
      <c r="AB2344" s="81" t="str">
        <f>IFERROR(HLOOKUP(K2344,データについて!$J$5:$AH$20,14,FALSE),"")</f>
        <v/>
      </c>
      <c r="AC2344" s="81">
        <f>IF(X2344=1,HLOOKUP(R2344,データについて!$J$12:$M$18,7,FALSE),"*")</f>
        <v>2</v>
      </c>
      <c r="AD2344" s="81" t="str">
        <f>IF(X2344=2,HLOOKUP(R2344,データについて!$J$12:$M$18,7,FALSE),"*")</f>
        <v>*</v>
      </c>
    </row>
    <row r="2345" spans="1:30">
      <c r="A2345" s="30">
        <v>2847</v>
      </c>
      <c r="B2345" s="30" t="s">
        <v>2688</v>
      </c>
      <c r="C2345" s="30" t="s">
        <v>2689</v>
      </c>
      <c r="D2345" s="30" t="s">
        <v>106</v>
      </c>
      <c r="E2345" s="30"/>
      <c r="F2345" s="30" t="s">
        <v>107</v>
      </c>
      <c r="G2345" s="30" t="s">
        <v>106</v>
      </c>
      <c r="H2345" s="30"/>
      <c r="I2345" s="30" t="s">
        <v>192</v>
      </c>
      <c r="J2345" s="30" t="s">
        <v>128</v>
      </c>
      <c r="K2345" s="30"/>
      <c r="L2345" s="30" t="s">
        <v>117</v>
      </c>
      <c r="M2345" s="30" t="s">
        <v>113</v>
      </c>
      <c r="N2345" s="30" t="s">
        <v>114</v>
      </c>
      <c r="O2345" s="30" t="s">
        <v>115</v>
      </c>
      <c r="P2345" s="30" t="s">
        <v>112</v>
      </c>
      <c r="Q2345" s="30" t="s">
        <v>112</v>
      </c>
      <c r="R2345" s="30" t="s">
        <v>187</v>
      </c>
      <c r="S2345" s="81">
        <f>HLOOKUP(L2345,データについて!$J$6:$M$18,13,FALSE)</f>
        <v>2</v>
      </c>
      <c r="T2345" s="81">
        <f>HLOOKUP(M2345,データについて!$J$7:$M$18,12,FALSE)</f>
        <v>1</v>
      </c>
      <c r="U2345" s="81">
        <f>HLOOKUP(N2345,データについて!$J$8:$M$18,11,FALSE)</f>
        <v>1</v>
      </c>
      <c r="V2345" s="81">
        <f>HLOOKUP(O2345,データについて!$J$9:$M$18,10,FALSE)</f>
        <v>1</v>
      </c>
      <c r="W2345" s="81">
        <f>HLOOKUP(P2345,データについて!$J$10:$M$18,9,FALSE)</f>
        <v>1</v>
      </c>
      <c r="X2345" s="81">
        <f>HLOOKUP(Q2345,データについて!$J$11:$M$18,8,FALSE)</f>
        <v>1</v>
      </c>
      <c r="Y2345" s="81">
        <f>HLOOKUP(R2345,データについて!$J$12:$M$18,7,FALSE)</f>
        <v>3</v>
      </c>
      <c r="Z2345" s="81">
        <f>HLOOKUP(I2345,データについて!$J$3:$M$18,16,FALSE)</f>
        <v>1</v>
      </c>
      <c r="AA2345" s="81">
        <f>IFERROR(HLOOKUP(J2345,データについて!$J$4:$AH$19,16,FALSE),"")</f>
        <v>1</v>
      </c>
      <c r="AB2345" s="81" t="str">
        <f>IFERROR(HLOOKUP(K2345,データについて!$J$5:$AH$20,14,FALSE),"")</f>
        <v/>
      </c>
      <c r="AC2345" s="81">
        <f>IF(X2345=1,HLOOKUP(R2345,データについて!$J$12:$M$18,7,FALSE),"*")</f>
        <v>3</v>
      </c>
      <c r="AD2345" s="81" t="str">
        <f>IF(X2345=2,HLOOKUP(R2345,データについて!$J$12:$M$18,7,FALSE),"*")</f>
        <v>*</v>
      </c>
    </row>
    <row r="2346" spans="1:30">
      <c r="A2346" s="30">
        <v>2846</v>
      </c>
      <c r="B2346" s="30" t="s">
        <v>2690</v>
      </c>
      <c r="C2346" s="30" t="s">
        <v>2691</v>
      </c>
      <c r="D2346" s="30" t="s">
        <v>106</v>
      </c>
      <c r="E2346" s="30"/>
      <c r="F2346" s="30" t="s">
        <v>107</v>
      </c>
      <c r="G2346" s="30" t="s">
        <v>106</v>
      </c>
      <c r="H2346" s="30"/>
      <c r="I2346" s="30" t="s">
        <v>192</v>
      </c>
      <c r="J2346" s="30" t="s">
        <v>942</v>
      </c>
      <c r="K2346" s="30"/>
      <c r="L2346" s="30" t="s">
        <v>117</v>
      </c>
      <c r="M2346" s="30" t="s">
        <v>109</v>
      </c>
      <c r="N2346" s="30" t="s">
        <v>110</v>
      </c>
      <c r="O2346" s="30" t="s">
        <v>115</v>
      </c>
      <c r="P2346" s="30" t="s">
        <v>112</v>
      </c>
      <c r="Q2346" s="30" t="s">
        <v>118</v>
      </c>
      <c r="R2346" s="30" t="s">
        <v>183</v>
      </c>
      <c r="S2346" s="81">
        <f>HLOOKUP(L2346,データについて!$J$6:$M$18,13,FALSE)</f>
        <v>2</v>
      </c>
      <c r="T2346" s="81">
        <f>HLOOKUP(M2346,データについて!$J$7:$M$18,12,FALSE)</f>
        <v>2</v>
      </c>
      <c r="U2346" s="81">
        <f>HLOOKUP(N2346,データについて!$J$8:$M$18,11,FALSE)</f>
        <v>2</v>
      </c>
      <c r="V2346" s="81">
        <f>HLOOKUP(O2346,データについて!$J$9:$M$18,10,FALSE)</f>
        <v>1</v>
      </c>
      <c r="W2346" s="81">
        <f>HLOOKUP(P2346,データについて!$J$10:$M$18,9,FALSE)</f>
        <v>1</v>
      </c>
      <c r="X2346" s="81">
        <f>HLOOKUP(Q2346,データについて!$J$11:$M$18,8,FALSE)</f>
        <v>2</v>
      </c>
      <c r="Y2346" s="81">
        <f>HLOOKUP(R2346,データについて!$J$12:$M$18,7,FALSE)</f>
        <v>1</v>
      </c>
      <c r="Z2346" s="81">
        <f>HLOOKUP(I2346,データについて!$J$3:$M$18,16,FALSE)</f>
        <v>1</v>
      </c>
      <c r="AA2346" s="81">
        <f>IFERROR(HLOOKUP(J2346,データについて!$J$4:$AH$19,16,FALSE),"")</f>
        <v>7</v>
      </c>
      <c r="AB2346" s="81" t="str">
        <f>IFERROR(HLOOKUP(K2346,データについて!$J$5:$AH$20,14,FALSE),"")</f>
        <v/>
      </c>
      <c r="AC2346" s="81" t="str">
        <f>IF(X2346=1,HLOOKUP(R2346,データについて!$J$12:$M$18,7,FALSE),"*")</f>
        <v>*</v>
      </c>
      <c r="AD2346" s="81">
        <f>IF(X2346=2,HLOOKUP(R2346,データについて!$J$12:$M$18,7,FALSE),"*")</f>
        <v>1</v>
      </c>
    </row>
    <row r="2347" spans="1:30">
      <c r="A2347" s="30">
        <v>2845</v>
      </c>
      <c r="B2347" s="30" t="s">
        <v>2692</v>
      </c>
      <c r="C2347" s="30" t="s">
        <v>2693</v>
      </c>
      <c r="D2347" s="30" t="s">
        <v>106</v>
      </c>
      <c r="E2347" s="30"/>
      <c r="F2347" s="30" t="s">
        <v>107</v>
      </c>
      <c r="G2347" s="30" t="s">
        <v>106</v>
      </c>
      <c r="H2347" s="30"/>
      <c r="I2347" s="30" t="s">
        <v>192</v>
      </c>
      <c r="J2347" s="30" t="s">
        <v>128</v>
      </c>
      <c r="K2347" s="30"/>
      <c r="L2347" s="30" t="s">
        <v>108</v>
      </c>
      <c r="M2347" s="30" t="s">
        <v>113</v>
      </c>
      <c r="N2347" s="30" t="s">
        <v>110</v>
      </c>
      <c r="O2347" s="30" t="s">
        <v>115</v>
      </c>
      <c r="P2347" s="30" t="s">
        <v>112</v>
      </c>
      <c r="Q2347" s="30" t="s">
        <v>112</v>
      </c>
      <c r="R2347" s="30" t="s">
        <v>185</v>
      </c>
      <c r="S2347" s="81">
        <f>HLOOKUP(L2347,データについて!$J$6:$M$18,13,FALSE)</f>
        <v>1</v>
      </c>
      <c r="T2347" s="81">
        <f>HLOOKUP(M2347,データについて!$J$7:$M$18,12,FALSE)</f>
        <v>1</v>
      </c>
      <c r="U2347" s="81">
        <f>HLOOKUP(N2347,データについて!$J$8:$M$18,11,FALSE)</f>
        <v>2</v>
      </c>
      <c r="V2347" s="81">
        <f>HLOOKUP(O2347,データについて!$J$9:$M$18,10,FALSE)</f>
        <v>1</v>
      </c>
      <c r="W2347" s="81">
        <f>HLOOKUP(P2347,データについて!$J$10:$M$18,9,FALSE)</f>
        <v>1</v>
      </c>
      <c r="X2347" s="81">
        <f>HLOOKUP(Q2347,データについて!$J$11:$M$18,8,FALSE)</f>
        <v>1</v>
      </c>
      <c r="Y2347" s="81">
        <f>HLOOKUP(R2347,データについて!$J$12:$M$18,7,FALSE)</f>
        <v>2</v>
      </c>
      <c r="Z2347" s="81">
        <f>HLOOKUP(I2347,データについて!$J$3:$M$18,16,FALSE)</f>
        <v>1</v>
      </c>
      <c r="AA2347" s="81">
        <f>IFERROR(HLOOKUP(J2347,データについて!$J$4:$AH$19,16,FALSE),"")</f>
        <v>1</v>
      </c>
      <c r="AB2347" s="81" t="str">
        <f>IFERROR(HLOOKUP(K2347,データについて!$J$5:$AH$20,14,FALSE),"")</f>
        <v/>
      </c>
      <c r="AC2347" s="81">
        <f>IF(X2347=1,HLOOKUP(R2347,データについて!$J$12:$M$18,7,FALSE),"*")</f>
        <v>2</v>
      </c>
      <c r="AD2347" s="81" t="str">
        <f>IF(X2347=2,HLOOKUP(R2347,データについて!$J$12:$M$18,7,FALSE),"*")</f>
        <v>*</v>
      </c>
    </row>
    <row r="2348" spans="1:30">
      <c r="A2348" s="30">
        <v>2844</v>
      </c>
      <c r="B2348" s="30" t="s">
        <v>2694</v>
      </c>
      <c r="C2348" s="30" t="s">
        <v>2695</v>
      </c>
      <c r="D2348" s="30" t="s">
        <v>106</v>
      </c>
      <c r="E2348" s="30"/>
      <c r="F2348" s="30" t="s">
        <v>107</v>
      </c>
      <c r="G2348" s="30" t="s">
        <v>106</v>
      </c>
      <c r="H2348" s="30"/>
      <c r="I2348" s="30" t="s">
        <v>192</v>
      </c>
      <c r="J2348" s="30" t="s">
        <v>128</v>
      </c>
      <c r="K2348" s="30"/>
      <c r="L2348" s="30" t="s">
        <v>117</v>
      </c>
      <c r="M2348" s="30" t="s">
        <v>113</v>
      </c>
      <c r="N2348" s="30" t="s">
        <v>114</v>
      </c>
      <c r="O2348" s="30" t="s">
        <v>115</v>
      </c>
      <c r="P2348" s="30" t="s">
        <v>112</v>
      </c>
      <c r="Q2348" s="30" t="s">
        <v>112</v>
      </c>
      <c r="R2348" s="30" t="s">
        <v>187</v>
      </c>
      <c r="S2348" s="81">
        <f>HLOOKUP(L2348,データについて!$J$6:$M$18,13,FALSE)</f>
        <v>2</v>
      </c>
      <c r="T2348" s="81">
        <f>HLOOKUP(M2348,データについて!$J$7:$M$18,12,FALSE)</f>
        <v>1</v>
      </c>
      <c r="U2348" s="81">
        <f>HLOOKUP(N2348,データについて!$J$8:$M$18,11,FALSE)</f>
        <v>1</v>
      </c>
      <c r="V2348" s="81">
        <f>HLOOKUP(O2348,データについて!$J$9:$M$18,10,FALSE)</f>
        <v>1</v>
      </c>
      <c r="W2348" s="81">
        <f>HLOOKUP(P2348,データについて!$J$10:$M$18,9,FALSE)</f>
        <v>1</v>
      </c>
      <c r="X2348" s="81">
        <f>HLOOKUP(Q2348,データについて!$J$11:$M$18,8,FALSE)</f>
        <v>1</v>
      </c>
      <c r="Y2348" s="81">
        <f>HLOOKUP(R2348,データについて!$J$12:$M$18,7,FALSE)</f>
        <v>3</v>
      </c>
      <c r="Z2348" s="81">
        <f>HLOOKUP(I2348,データについて!$J$3:$M$18,16,FALSE)</f>
        <v>1</v>
      </c>
      <c r="AA2348" s="81">
        <f>IFERROR(HLOOKUP(J2348,データについて!$J$4:$AH$19,16,FALSE),"")</f>
        <v>1</v>
      </c>
      <c r="AB2348" s="81" t="str">
        <f>IFERROR(HLOOKUP(K2348,データについて!$J$5:$AH$20,14,FALSE),"")</f>
        <v/>
      </c>
      <c r="AC2348" s="81">
        <f>IF(X2348=1,HLOOKUP(R2348,データについて!$J$12:$M$18,7,FALSE),"*")</f>
        <v>3</v>
      </c>
      <c r="AD2348" s="81" t="str">
        <f>IF(X2348=2,HLOOKUP(R2348,データについて!$J$12:$M$18,7,FALSE),"*")</f>
        <v>*</v>
      </c>
    </row>
    <row r="2349" spans="1:30">
      <c r="A2349" s="30">
        <v>2843</v>
      </c>
      <c r="B2349" s="30" t="s">
        <v>2696</v>
      </c>
      <c r="C2349" s="30" t="s">
        <v>2697</v>
      </c>
      <c r="D2349" s="30" t="s">
        <v>106</v>
      </c>
      <c r="E2349" s="30"/>
      <c r="F2349" s="30" t="s">
        <v>107</v>
      </c>
      <c r="G2349" s="30" t="s">
        <v>106</v>
      </c>
      <c r="H2349" s="30"/>
      <c r="I2349" s="30" t="s">
        <v>192</v>
      </c>
      <c r="J2349" s="30" t="s">
        <v>128</v>
      </c>
      <c r="K2349" s="30"/>
      <c r="L2349" s="30" t="s">
        <v>108</v>
      </c>
      <c r="M2349" s="30" t="s">
        <v>121</v>
      </c>
      <c r="N2349" s="30" t="s">
        <v>114</v>
      </c>
      <c r="O2349" s="30" t="s">
        <v>115</v>
      </c>
      <c r="P2349" s="30" t="s">
        <v>112</v>
      </c>
      <c r="Q2349" s="30" t="s">
        <v>112</v>
      </c>
      <c r="R2349" s="30" t="s">
        <v>189</v>
      </c>
      <c r="S2349" s="81">
        <f>HLOOKUP(L2349,データについて!$J$6:$M$18,13,FALSE)</f>
        <v>1</v>
      </c>
      <c r="T2349" s="81">
        <f>HLOOKUP(M2349,データについて!$J$7:$M$18,12,FALSE)</f>
        <v>4</v>
      </c>
      <c r="U2349" s="81">
        <f>HLOOKUP(N2349,データについて!$J$8:$M$18,11,FALSE)</f>
        <v>1</v>
      </c>
      <c r="V2349" s="81">
        <f>HLOOKUP(O2349,データについて!$J$9:$M$18,10,FALSE)</f>
        <v>1</v>
      </c>
      <c r="W2349" s="81">
        <f>HLOOKUP(P2349,データについて!$J$10:$M$18,9,FALSE)</f>
        <v>1</v>
      </c>
      <c r="X2349" s="81">
        <f>HLOOKUP(Q2349,データについて!$J$11:$M$18,8,FALSE)</f>
        <v>1</v>
      </c>
      <c r="Y2349" s="81">
        <f>HLOOKUP(R2349,データについて!$J$12:$M$18,7,FALSE)</f>
        <v>4</v>
      </c>
      <c r="Z2349" s="81">
        <f>HLOOKUP(I2349,データについて!$J$3:$M$18,16,FALSE)</f>
        <v>1</v>
      </c>
      <c r="AA2349" s="81">
        <f>IFERROR(HLOOKUP(J2349,データについて!$J$4:$AH$19,16,FALSE),"")</f>
        <v>1</v>
      </c>
      <c r="AB2349" s="81" t="str">
        <f>IFERROR(HLOOKUP(K2349,データについて!$J$5:$AH$20,14,FALSE),"")</f>
        <v/>
      </c>
      <c r="AC2349" s="81">
        <f>IF(X2349=1,HLOOKUP(R2349,データについて!$J$12:$M$18,7,FALSE),"*")</f>
        <v>4</v>
      </c>
      <c r="AD2349" s="81" t="str">
        <f>IF(X2349=2,HLOOKUP(R2349,データについて!$J$12:$M$18,7,FALSE),"*")</f>
        <v>*</v>
      </c>
    </row>
    <row r="2350" spans="1:30">
      <c r="A2350" s="30">
        <v>2842</v>
      </c>
      <c r="B2350" s="30" t="s">
        <v>2698</v>
      </c>
      <c r="C2350" s="30" t="s">
        <v>2697</v>
      </c>
      <c r="D2350" s="30" t="s">
        <v>106</v>
      </c>
      <c r="E2350" s="30"/>
      <c r="F2350" s="30" t="s">
        <v>107</v>
      </c>
      <c r="G2350" s="30" t="s">
        <v>106</v>
      </c>
      <c r="H2350" s="30"/>
      <c r="I2350" s="30" t="s">
        <v>192</v>
      </c>
      <c r="J2350" s="30" t="s">
        <v>942</v>
      </c>
      <c r="K2350" s="30"/>
      <c r="L2350" s="30" t="s">
        <v>117</v>
      </c>
      <c r="M2350" s="30" t="s">
        <v>109</v>
      </c>
      <c r="N2350" s="30" t="s">
        <v>119</v>
      </c>
      <c r="O2350" s="30" t="s">
        <v>115</v>
      </c>
      <c r="P2350" s="30" t="s">
        <v>112</v>
      </c>
      <c r="Q2350" s="30" t="s">
        <v>118</v>
      </c>
      <c r="R2350" s="30" t="s">
        <v>183</v>
      </c>
      <c r="S2350" s="81">
        <f>HLOOKUP(L2350,データについて!$J$6:$M$18,13,FALSE)</f>
        <v>2</v>
      </c>
      <c r="T2350" s="81">
        <f>HLOOKUP(M2350,データについて!$J$7:$M$18,12,FALSE)</f>
        <v>2</v>
      </c>
      <c r="U2350" s="81">
        <f>HLOOKUP(N2350,データについて!$J$8:$M$18,11,FALSE)</f>
        <v>4</v>
      </c>
      <c r="V2350" s="81">
        <f>HLOOKUP(O2350,データについて!$J$9:$M$18,10,FALSE)</f>
        <v>1</v>
      </c>
      <c r="W2350" s="81">
        <f>HLOOKUP(P2350,データについて!$J$10:$M$18,9,FALSE)</f>
        <v>1</v>
      </c>
      <c r="X2350" s="81">
        <f>HLOOKUP(Q2350,データについて!$J$11:$M$18,8,FALSE)</f>
        <v>2</v>
      </c>
      <c r="Y2350" s="81">
        <f>HLOOKUP(R2350,データについて!$J$12:$M$18,7,FALSE)</f>
        <v>1</v>
      </c>
      <c r="Z2350" s="81">
        <f>HLOOKUP(I2350,データについて!$J$3:$M$18,16,FALSE)</f>
        <v>1</v>
      </c>
      <c r="AA2350" s="81">
        <f>IFERROR(HLOOKUP(J2350,データについて!$J$4:$AH$19,16,FALSE),"")</f>
        <v>7</v>
      </c>
      <c r="AB2350" s="81" t="str">
        <f>IFERROR(HLOOKUP(K2350,データについて!$J$5:$AH$20,14,FALSE),"")</f>
        <v/>
      </c>
      <c r="AC2350" s="81" t="str">
        <f>IF(X2350=1,HLOOKUP(R2350,データについて!$J$12:$M$18,7,FALSE),"*")</f>
        <v>*</v>
      </c>
      <c r="AD2350" s="81">
        <f>IF(X2350=2,HLOOKUP(R2350,データについて!$J$12:$M$18,7,FALSE),"*")</f>
        <v>1</v>
      </c>
    </row>
    <row r="2351" spans="1:30">
      <c r="A2351" s="30">
        <v>2841</v>
      </c>
      <c r="B2351" s="30" t="s">
        <v>2699</v>
      </c>
      <c r="C2351" s="30" t="s">
        <v>2700</v>
      </c>
      <c r="D2351" s="30" t="s">
        <v>106</v>
      </c>
      <c r="E2351" s="30"/>
      <c r="F2351" s="30" t="s">
        <v>107</v>
      </c>
      <c r="G2351" s="30" t="s">
        <v>106</v>
      </c>
      <c r="H2351" s="30"/>
      <c r="I2351" s="30" t="s">
        <v>192</v>
      </c>
      <c r="J2351" s="30" t="s">
        <v>128</v>
      </c>
      <c r="K2351" s="30"/>
      <c r="L2351" s="30" t="s">
        <v>117</v>
      </c>
      <c r="M2351" s="30" t="s">
        <v>113</v>
      </c>
      <c r="N2351" s="30" t="s">
        <v>110</v>
      </c>
      <c r="O2351" s="30" t="s">
        <v>115</v>
      </c>
      <c r="P2351" s="30" t="s">
        <v>112</v>
      </c>
      <c r="Q2351" s="30" t="s">
        <v>112</v>
      </c>
      <c r="R2351" s="30" t="s">
        <v>185</v>
      </c>
      <c r="S2351" s="81">
        <f>HLOOKUP(L2351,データについて!$J$6:$M$18,13,FALSE)</f>
        <v>2</v>
      </c>
      <c r="T2351" s="81">
        <f>HLOOKUP(M2351,データについて!$J$7:$M$18,12,FALSE)</f>
        <v>1</v>
      </c>
      <c r="U2351" s="81">
        <f>HLOOKUP(N2351,データについて!$J$8:$M$18,11,FALSE)</f>
        <v>2</v>
      </c>
      <c r="V2351" s="81">
        <f>HLOOKUP(O2351,データについて!$J$9:$M$18,10,FALSE)</f>
        <v>1</v>
      </c>
      <c r="W2351" s="81">
        <f>HLOOKUP(P2351,データについて!$J$10:$M$18,9,FALSE)</f>
        <v>1</v>
      </c>
      <c r="X2351" s="81">
        <f>HLOOKUP(Q2351,データについて!$J$11:$M$18,8,FALSE)</f>
        <v>1</v>
      </c>
      <c r="Y2351" s="81">
        <f>HLOOKUP(R2351,データについて!$J$12:$M$18,7,FALSE)</f>
        <v>2</v>
      </c>
      <c r="Z2351" s="81">
        <f>HLOOKUP(I2351,データについて!$J$3:$M$18,16,FALSE)</f>
        <v>1</v>
      </c>
      <c r="AA2351" s="81">
        <f>IFERROR(HLOOKUP(J2351,データについて!$J$4:$AH$19,16,FALSE),"")</f>
        <v>1</v>
      </c>
      <c r="AB2351" s="81" t="str">
        <f>IFERROR(HLOOKUP(K2351,データについて!$J$5:$AH$20,14,FALSE),"")</f>
        <v/>
      </c>
      <c r="AC2351" s="81">
        <f>IF(X2351=1,HLOOKUP(R2351,データについて!$J$12:$M$18,7,FALSE),"*")</f>
        <v>2</v>
      </c>
      <c r="AD2351" s="81" t="str">
        <f>IF(X2351=2,HLOOKUP(R2351,データについて!$J$12:$M$18,7,FALSE),"*")</f>
        <v>*</v>
      </c>
    </row>
    <row r="2352" spans="1:30">
      <c r="A2352" s="30">
        <v>2840</v>
      </c>
      <c r="B2352" s="30" t="s">
        <v>2701</v>
      </c>
      <c r="C2352" s="30" t="s">
        <v>2702</v>
      </c>
      <c r="D2352" s="30" t="s">
        <v>106</v>
      </c>
      <c r="E2352" s="30"/>
      <c r="F2352" s="30" t="s">
        <v>107</v>
      </c>
      <c r="G2352" s="30" t="s">
        <v>106</v>
      </c>
      <c r="H2352" s="30"/>
      <c r="I2352" s="30" t="s">
        <v>192</v>
      </c>
      <c r="J2352" s="30" t="s">
        <v>942</v>
      </c>
      <c r="K2352" s="30"/>
      <c r="L2352" s="30" t="s">
        <v>108</v>
      </c>
      <c r="M2352" s="30" t="s">
        <v>113</v>
      </c>
      <c r="N2352" s="30" t="s">
        <v>110</v>
      </c>
      <c r="O2352" s="30" t="s">
        <v>115</v>
      </c>
      <c r="P2352" s="30" t="s">
        <v>112</v>
      </c>
      <c r="Q2352" s="30" t="s">
        <v>112</v>
      </c>
      <c r="R2352" s="30" t="s">
        <v>187</v>
      </c>
      <c r="S2352" s="81">
        <f>HLOOKUP(L2352,データについて!$J$6:$M$18,13,FALSE)</f>
        <v>1</v>
      </c>
      <c r="T2352" s="81">
        <f>HLOOKUP(M2352,データについて!$J$7:$M$18,12,FALSE)</f>
        <v>1</v>
      </c>
      <c r="U2352" s="81">
        <f>HLOOKUP(N2352,データについて!$J$8:$M$18,11,FALSE)</f>
        <v>2</v>
      </c>
      <c r="V2352" s="81">
        <f>HLOOKUP(O2352,データについて!$J$9:$M$18,10,FALSE)</f>
        <v>1</v>
      </c>
      <c r="W2352" s="81">
        <f>HLOOKUP(P2352,データについて!$J$10:$M$18,9,FALSE)</f>
        <v>1</v>
      </c>
      <c r="X2352" s="81">
        <f>HLOOKUP(Q2352,データについて!$J$11:$M$18,8,FALSE)</f>
        <v>1</v>
      </c>
      <c r="Y2352" s="81">
        <f>HLOOKUP(R2352,データについて!$J$12:$M$18,7,FALSE)</f>
        <v>3</v>
      </c>
      <c r="Z2352" s="81">
        <f>HLOOKUP(I2352,データについて!$J$3:$M$18,16,FALSE)</f>
        <v>1</v>
      </c>
      <c r="AA2352" s="81">
        <f>IFERROR(HLOOKUP(J2352,データについて!$J$4:$AH$19,16,FALSE),"")</f>
        <v>7</v>
      </c>
      <c r="AB2352" s="81" t="str">
        <f>IFERROR(HLOOKUP(K2352,データについて!$J$5:$AH$20,14,FALSE),"")</f>
        <v/>
      </c>
      <c r="AC2352" s="81">
        <f>IF(X2352=1,HLOOKUP(R2352,データについて!$J$12:$M$18,7,FALSE),"*")</f>
        <v>3</v>
      </c>
      <c r="AD2352" s="81" t="str">
        <f>IF(X2352=2,HLOOKUP(R2352,データについて!$J$12:$M$18,7,FALSE),"*")</f>
        <v>*</v>
      </c>
    </row>
    <row r="2353" spans="1:30">
      <c r="A2353" s="30">
        <v>2839</v>
      </c>
      <c r="B2353" s="30" t="s">
        <v>2703</v>
      </c>
      <c r="C2353" s="30" t="s">
        <v>2702</v>
      </c>
      <c r="D2353" s="30" t="s">
        <v>106</v>
      </c>
      <c r="E2353" s="30"/>
      <c r="F2353" s="30" t="s">
        <v>107</v>
      </c>
      <c r="G2353" s="30" t="s">
        <v>106</v>
      </c>
      <c r="H2353" s="30"/>
      <c r="I2353" s="30" t="s">
        <v>192</v>
      </c>
      <c r="J2353" s="30" t="s">
        <v>128</v>
      </c>
      <c r="K2353" s="30"/>
      <c r="L2353" s="30" t="s">
        <v>108</v>
      </c>
      <c r="M2353" s="30" t="s">
        <v>113</v>
      </c>
      <c r="N2353" s="30" t="s">
        <v>114</v>
      </c>
      <c r="O2353" s="30" t="s">
        <v>115</v>
      </c>
      <c r="P2353" s="30" t="s">
        <v>112</v>
      </c>
      <c r="Q2353" s="30" t="s">
        <v>112</v>
      </c>
      <c r="R2353" s="30" t="s">
        <v>187</v>
      </c>
      <c r="S2353" s="81">
        <f>HLOOKUP(L2353,データについて!$J$6:$M$18,13,FALSE)</f>
        <v>1</v>
      </c>
      <c r="T2353" s="81">
        <f>HLOOKUP(M2353,データについて!$J$7:$M$18,12,FALSE)</f>
        <v>1</v>
      </c>
      <c r="U2353" s="81">
        <f>HLOOKUP(N2353,データについて!$J$8:$M$18,11,FALSE)</f>
        <v>1</v>
      </c>
      <c r="V2353" s="81">
        <f>HLOOKUP(O2353,データについて!$J$9:$M$18,10,FALSE)</f>
        <v>1</v>
      </c>
      <c r="W2353" s="81">
        <f>HLOOKUP(P2353,データについて!$J$10:$M$18,9,FALSE)</f>
        <v>1</v>
      </c>
      <c r="X2353" s="81">
        <f>HLOOKUP(Q2353,データについて!$J$11:$M$18,8,FALSE)</f>
        <v>1</v>
      </c>
      <c r="Y2353" s="81">
        <f>HLOOKUP(R2353,データについて!$J$12:$M$18,7,FALSE)</f>
        <v>3</v>
      </c>
      <c r="Z2353" s="81">
        <f>HLOOKUP(I2353,データについて!$J$3:$M$18,16,FALSE)</f>
        <v>1</v>
      </c>
      <c r="AA2353" s="81">
        <f>IFERROR(HLOOKUP(J2353,データについて!$J$4:$AH$19,16,FALSE),"")</f>
        <v>1</v>
      </c>
      <c r="AB2353" s="81" t="str">
        <f>IFERROR(HLOOKUP(K2353,データについて!$J$5:$AH$20,14,FALSE),"")</f>
        <v/>
      </c>
      <c r="AC2353" s="81">
        <f>IF(X2353=1,HLOOKUP(R2353,データについて!$J$12:$M$18,7,FALSE),"*")</f>
        <v>3</v>
      </c>
      <c r="AD2353" s="81" t="str">
        <f>IF(X2353=2,HLOOKUP(R2353,データについて!$J$12:$M$18,7,FALSE),"*")</f>
        <v>*</v>
      </c>
    </row>
    <row r="2354" spans="1:30">
      <c r="A2354" s="30">
        <v>2838</v>
      </c>
      <c r="B2354" s="30" t="s">
        <v>2704</v>
      </c>
      <c r="C2354" s="30" t="s">
        <v>2705</v>
      </c>
      <c r="D2354" s="30" t="s">
        <v>106</v>
      </c>
      <c r="E2354" s="30"/>
      <c r="F2354" s="30" t="s">
        <v>107</v>
      </c>
      <c r="G2354" s="30" t="s">
        <v>106</v>
      </c>
      <c r="H2354" s="30"/>
      <c r="I2354" s="30" t="s">
        <v>192</v>
      </c>
      <c r="J2354" s="30" t="s">
        <v>128</v>
      </c>
      <c r="K2354" s="30"/>
      <c r="L2354" s="30" t="s">
        <v>108</v>
      </c>
      <c r="M2354" s="30" t="s">
        <v>113</v>
      </c>
      <c r="N2354" s="30" t="s">
        <v>110</v>
      </c>
      <c r="O2354" s="30" t="s">
        <v>115</v>
      </c>
      <c r="P2354" s="30" t="s">
        <v>112</v>
      </c>
      <c r="Q2354" s="30" t="s">
        <v>112</v>
      </c>
      <c r="R2354" s="30" t="s">
        <v>185</v>
      </c>
      <c r="S2354" s="81">
        <f>HLOOKUP(L2354,データについて!$J$6:$M$18,13,FALSE)</f>
        <v>1</v>
      </c>
      <c r="T2354" s="81">
        <f>HLOOKUP(M2354,データについて!$J$7:$M$18,12,FALSE)</f>
        <v>1</v>
      </c>
      <c r="U2354" s="81">
        <f>HLOOKUP(N2354,データについて!$J$8:$M$18,11,FALSE)</f>
        <v>2</v>
      </c>
      <c r="V2354" s="81">
        <f>HLOOKUP(O2354,データについて!$J$9:$M$18,10,FALSE)</f>
        <v>1</v>
      </c>
      <c r="W2354" s="81">
        <f>HLOOKUP(P2354,データについて!$J$10:$M$18,9,FALSE)</f>
        <v>1</v>
      </c>
      <c r="X2354" s="81">
        <f>HLOOKUP(Q2354,データについて!$J$11:$M$18,8,FALSE)</f>
        <v>1</v>
      </c>
      <c r="Y2354" s="81">
        <f>HLOOKUP(R2354,データについて!$J$12:$M$18,7,FALSE)</f>
        <v>2</v>
      </c>
      <c r="Z2354" s="81">
        <f>HLOOKUP(I2354,データについて!$J$3:$M$18,16,FALSE)</f>
        <v>1</v>
      </c>
      <c r="AA2354" s="81">
        <f>IFERROR(HLOOKUP(J2354,データについて!$J$4:$AH$19,16,FALSE),"")</f>
        <v>1</v>
      </c>
      <c r="AB2354" s="81" t="str">
        <f>IFERROR(HLOOKUP(K2354,データについて!$J$5:$AH$20,14,FALSE),"")</f>
        <v/>
      </c>
      <c r="AC2354" s="81">
        <f>IF(X2354=1,HLOOKUP(R2354,データについて!$J$12:$M$18,7,FALSE),"*")</f>
        <v>2</v>
      </c>
      <c r="AD2354" s="81" t="str">
        <f>IF(X2354=2,HLOOKUP(R2354,データについて!$J$12:$M$18,7,FALSE),"*")</f>
        <v>*</v>
      </c>
    </row>
    <row r="2355" spans="1:30">
      <c r="A2355" s="30">
        <v>2837</v>
      </c>
      <c r="B2355" s="30" t="s">
        <v>2706</v>
      </c>
      <c r="C2355" s="30" t="s">
        <v>2707</v>
      </c>
      <c r="D2355" s="30" t="s">
        <v>106</v>
      </c>
      <c r="E2355" s="30"/>
      <c r="F2355" s="30" t="s">
        <v>107</v>
      </c>
      <c r="G2355" s="30" t="s">
        <v>106</v>
      </c>
      <c r="H2355" s="30"/>
      <c r="I2355" s="30" t="s">
        <v>192</v>
      </c>
      <c r="J2355" s="30" t="s">
        <v>942</v>
      </c>
      <c r="K2355" s="30"/>
      <c r="L2355" s="30" t="s">
        <v>108</v>
      </c>
      <c r="M2355" s="30" t="s">
        <v>109</v>
      </c>
      <c r="N2355" s="30" t="s">
        <v>114</v>
      </c>
      <c r="O2355" s="30" t="s">
        <v>115</v>
      </c>
      <c r="P2355" s="30" t="s">
        <v>112</v>
      </c>
      <c r="Q2355" s="30" t="s">
        <v>112</v>
      </c>
      <c r="R2355" s="30" t="s">
        <v>185</v>
      </c>
      <c r="S2355" s="81">
        <f>HLOOKUP(L2355,データについて!$J$6:$M$18,13,FALSE)</f>
        <v>1</v>
      </c>
      <c r="T2355" s="81">
        <f>HLOOKUP(M2355,データについて!$J$7:$M$18,12,FALSE)</f>
        <v>2</v>
      </c>
      <c r="U2355" s="81">
        <f>HLOOKUP(N2355,データについて!$J$8:$M$18,11,FALSE)</f>
        <v>1</v>
      </c>
      <c r="V2355" s="81">
        <f>HLOOKUP(O2355,データについて!$J$9:$M$18,10,FALSE)</f>
        <v>1</v>
      </c>
      <c r="W2355" s="81">
        <f>HLOOKUP(P2355,データについて!$J$10:$M$18,9,FALSE)</f>
        <v>1</v>
      </c>
      <c r="X2355" s="81">
        <f>HLOOKUP(Q2355,データについて!$J$11:$M$18,8,FALSE)</f>
        <v>1</v>
      </c>
      <c r="Y2355" s="81">
        <f>HLOOKUP(R2355,データについて!$J$12:$M$18,7,FALSE)</f>
        <v>2</v>
      </c>
      <c r="Z2355" s="81">
        <f>HLOOKUP(I2355,データについて!$J$3:$M$18,16,FALSE)</f>
        <v>1</v>
      </c>
      <c r="AA2355" s="81">
        <f>IFERROR(HLOOKUP(J2355,データについて!$J$4:$AH$19,16,FALSE),"")</f>
        <v>7</v>
      </c>
      <c r="AB2355" s="81" t="str">
        <f>IFERROR(HLOOKUP(K2355,データについて!$J$5:$AH$20,14,FALSE),"")</f>
        <v/>
      </c>
      <c r="AC2355" s="81">
        <f>IF(X2355=1,HLOOKUP(R2355,データについて!$J$12:$M$18,7,FALSE),"*")</f>
        <v>2</v>
      </c>
      <c r="AD2355" s="81" t="str">
        <f>IF(X2355=2,HLOOKUP(R2355,データについて!$J$12:$M$18,7,FALSE),"*")</f>
        <v>*</v>
      </c>
    </row>
    <row r="2356" spans="1:30">
      <c r="A2356" s="30">
        <v>2836</v>
      </c>
      <c r="B2356" s="30" t="s">
        <v>2708</v>
      </c>
      <c r="C2356" s="30" t="s">
        <v>2709</v>
      </c>
      <c r="D2356" s="30" t="s">
        <v>106</v>
      </c>
      <c r="E2356" s="30"/>
      <c r="F2356" s="30" t="s">
        <v>107</v>
      </c>
      <c r="G2356" s="30" t="s">
        <v>106</v>
      </c>
      <c r="H2356" s="30"/>
      <c r="I2356" s="30" t="s">
        <v>192</v>
      </c>
      <c r="J2356" s="30" t="s">
        <v>128</v>
      </c>
      <c r="K2356" s="30"/>
      <c r="L2356" s="30" t="s">
        <v>108</v>
      </c>
      <c r="M2356" s="30" t="s">
        <v>113</v>
      </c>
      <c r="N2356" s="30" t="s">
        <v>114</v>
      </c>
      <c r="O2356" s="30" t="s">
        <v>115</v>
      </c>
      <c r="P2356" s="30" t="s">
        <v>112</v>
      </c>
      <c r="Q2356" s="30" t="s">
        <v>112</v>
      </c>
      <c r="R2356" s="30" t="s">
        <v>183</v>
      </c>
      <c r="S2356" s="81">
        <f>HLOOKUP(L2356,データについて!$J$6:$M$18,13,FALSE)</f>
        <v>1</v>
      </c>
      <c r="T2356" s="81">
        <f>HLOOKUP(M2356,データについて!$J$7:$M$18,12,FALSE)</f>
        <v>1</v>
      </c>
      <c r="U2356" s="81">
        <f>HLOOKUP(N2356,データについて!$J$8:$M$18,11,FALSE)</f>
        <v>1</v>
      </c>
      <c r="V2356" s="81">
        <f>HLOOKUP(O2356,データについて!$J$9:$M$18,10,FALSE)</f>
        <v>1</v>
      </c>
      <c r="W2356" s="81">
        <f>HLOOKUP(P2356,データについて!$J$10:$M$18,9,FALSE)</f>
        <v>1</v>
      </c>
      <c r="X2356" s="81">
        <f>HLOOKUP(Q2356,データについて!$J$11:$M$18,8,FALSE)</f>
        <v>1</v>
      </c>
      <c r="Y2356" s="81">
        <f>HLOOKUP(R2356,データについて!$J$12:$M$18,7,FALSE)</f>
        <v>1</v>
      </c>
      <c r="Z2356" s="81">
        <f>HLOOKUP(I2356,データについて!$J$3:$M$18,16,FALSE)</f>
        <v>1</v>
      </c>
      <c r="AA2356" s="81">
        <f>IFERROR(HLOOKUP(J2356,データについて!$J$4:$AH$19,16,FALSE),"")</f>
        <v>1</v>
      </c>
      <c r="AB2356" s="81" t="str">
        <f>IFERROR(HLOOKUP(K2356,データについて!$J$5:$AH$20,14,FALSE),"")</f>
        <v/>
      </c>
      <c r="AC2356" s="81">
        <f>IF(X2356=1,HLOOKUP(R2356,データについて!$J$12:$M$18,7,FALSE),"*")</f>
        <v>1</v>
      </c>
      <c r="AD2356" s="81" t="str">
        <f>IF(X2356=2,HLOOKUP(R2356,データについて!$J$12:$M$18,7,FALSE),"*")</f>
        <v>*</v>
      </c>
    </row>
    <row r="2357" spans="1:30">
      <c r="A2357" s="30">
        <v>2835</v>
      </c>
      <c r="B2357" s="30" t="s">
        <v>2710</v>
      </c>
      <c r="C2357" s="30" t="s">
        <v>2711</v>
      </c>
      <c r="D2357" s="30" t="s">
        <v>106</v>
      </c>
      <c r="E2357" s="30"/>
      <c r="F2357" s="30" t="s">
        <v>107</v>
      </c>
      <c r="G2357" s="30" t="s">
        <v>106</v>
      </c>
      <c r="H2357" s="30"/>
      <c r="I2357" s="30" t="s">
        <v>192</v>
      </c>
      <c r="J2357" s="30" t="s">
        <v>125</v>
      </c>
      <c r="K2357" s="30"/>
      <c r="L2357" s="30" t="s">
        <v>117</v>
      </c>
      <c r="M2357" s="30" t="s">
        <v>113</v>
      </c>
      <c r="N2357" s="30" t="s">
        <v>110</v>
      </c>
      <c r="O2357" s="30" t="s">
        <v>115</v>
      </c>
      <c r="P2357" s="30" t="s">
        <v>112</v>
      </c>
      <c r="Q2357" s="30" t="s">
        <v>112</v>
      </c>
      <c r="R2357" s="30" t="s">
        <v>187</v>
      </c>
      <c r="S2357" s="81">
        <f>HLOOKUP(L2357,データについて!$J$6:$M$18,13,FALSE)</f>
        <v>2</v>
      </c>
      <c r="T2357" s="81">
        <f>HLOOKUP(M2357,データについて!$J$7:$M$18,12,FALSE)</f>
        <v>1</v>
      </c>
      <c r="U2357" s="81">
        <f>HLOOKUP(N2357,データについて!$J$8:$M$18,11,FALSE)</f>
        <v>2</v>
      </c>
      <c r="V2357" s="81">
        <f>HLOOKUP(O2357,データについて!$J$9:$M$18,10,FALSE)</f>
        <v>1</v>
      </c>
      <c r="W2357" s="81">
        <f>HLOOKUP(P2357,データについて!$J$10:$M$18,9,FALSE)</f>
        <v>1</v>
      </c>
      <c r="X2357" s="81">
        <f>HLOOKUP(Q2357,データについて!$J$11:$M$18,8,FALSE)</f>
        <v>1</v>
      </c>
      <c r="Y2357" s="81">
        <f>HLOOKUP(R2357,データについて!$J$12:$M$18,7,FALSE)</f>
        <v>3</v>
      </c>
      <c r="Z2357" s="81">
        <f>HLOOKUP(I2357,データについて!$J$3:$M$18,16,FALSE)</f>
        <v>1</v>
      </c>
      <c r="AA2357" s="81">
        <f>IFERROR(HLOOKUP(J2357,データについて!$J$4:$AH$19,16,FALSE),"")</f>
        <v>6</v>
      </c>
      <c r="AB2357" s="81" t="str">
        <f>IFERROR(HLOOKUP(K2357,データについて!$J$5:$AH$20,14,FALSE),"")</f>
        <v/>
      </c>
      <c r="AC2357" s="81">
        <f>IF(X2357=1,HLOOKUP(R2357,データについて!$J$12:$M$18,7,FALSE),"*")</f>
        <v>3</v>
      </c>
      <c r="AD2357" s="81" t="str">
        <f>IF(X2357=2,HLOOKUP(R2357,データについて!$J$12:$M$18,7,FALSE),"*")</f>
        <v>*</v>
      </c>
    </row>
    <row r="2358" spans="1:30">
      <c r="A2358" s="30">
        <v>2834</v>
      </c>
      <c r="B2358" s="30" t="s">
        <v>2712</v>
      </c>
      <c r="C2358" s="30" t="s">
        <v>2713</v>
      </c>
      <c r="D2358" s="30" t="s">
        <v>106</v>
      </c>
      <c r="E2358" s="30"/>
      <c r="F2358" s="30" t="s">
        <v>107</v>
      </c>
      <c r="G2358" s="30" t="s">
        <v>106</v>
      </c>
      <c r="H2358" s="30"/>
      <c r="I2358" s="30" t="s">
        <v>192</v>
      </c>
      <c r="J2358" s="30" t="s">
        <v>128</v>
      </c>
      <c r="K2358" s="30"/>
      <c r="L2358" s="30" t="s">
        <v>108</v>
      </c>
      <c r="M2358" s="30" t="s">
        <v>113</v>
      </c>
      <c r="N2358" s="30" t="s">
        <v>114</v>
      </c>
      <c r="O2358" s="30" t="s">
        <v>115</v>
      </c>
      <c r="P2358" s="30" t="s">
        <v>112</v>
      </c>
      <c r="Q2358" s="30" t="s">
        <v>118</v>
      </c>
      <c r="R2358" s="30" t="s">
        <v>187</v>
      </c>
      <c r="S2358" s="81">
        <f>HLOOKUP(L2358,データについて!$J$6:$M$18,13,FALSE)</f>
        <v>1</v>
      </c>
      <c r="T2358" s="81">
        <f>HLOOKUP(M2358,データについて!$J$7:$M$18,12,FALSE)</f>
        <v>1</v>
      </c>
      <c r="U2358" s="81">
        <f>HLOOKUP(N2358,データについて!$J$8:$M$18,11,FALSE)</f>
        <v>1</v>
      </c>
      <c r="V2358" s="81">
        <f>HLOOKUP(O2358,データについて!$J$9:$M$18,10,FALSE)</f>
        <v>1</v>
      </c>
      <c r="W2358" s="81">
        <f>HLOOKUP(P2358,データについて!$J$10:$M$18,9,FALSE)</f>
        <v>1</v>
      </c>
      <c r="X2358" s="81">
        <f>HLOOKUP(Q2358,データについて!$J$11:$M$18,8,FALSE)</f>
        <v>2</v>
      </c>
      <c r="Y2358" s="81">
        <f>HLOOKUP(R2358,データについて!$J$12:$M$18,7,FALSE)</f>
        <v>3</v>
      </c>
      <c r="Z2358" s="81">
        <f>HLOOKUP(I2358,データについて!$J$3:$M$18,16,FALSE)</f>
        <v>1</v>
      </c>
      <c r="AA2358" s="81">
        <f>IFERROR(HLOOKUP(J2358,データについて!$J$4:$AH$19,16,FALSE),"")</f>
        <v>1</v>
      </c>
      <c r="AB2358" s="81" t="str">
        <f>IFERROR(HLOOKUP(K2358,データについて!$J$5:$AH$20,14,FALSE),"")</f>
        <v/>
      </c>
      <c r="AC2358" s="81" t="str">
        <f>IF(X2358=1,HLOOKUP(R2358,データについて!$J$12:$M$18,7,FALSE),"*")</f>
        <v>*</v>
      </c>
      <c r="AD2358" s="81">
        <f>IF(X2358=2,HLOOKUP(R2358,データについて!$J$12:$M$18,7,FALSE),"*")</f>
        <v>3</v>
      </c>
    </row>
    <row r="2359" spans="1:30">
      <c r="A2359" s="30">
        <v>2833</v>
      </c>
      <c r="B2359" s="30" t="s">
        <v>2714</v>
      </c>
      <c r="C2359" s="30" t="s">
        <v>2715</v>
      </c>
      <c r="D2359" s="30" t="s">
        <v>106</v>
      </c>
      <c r="E2359" s="30"/>
      <c r="F2359" s="30" t="s">
        <v>107</v>
      </c>
      <c r="G2359" s="30" t="s">
        <v>106</v>
      </c>
      <c r="H2359" s="30"/>
      <c r="I2359" s="30" t="s">
        <v>192</v>
      </c>
      <c r="J2359" s="30" t="s">
        <v>942</v>
      </c>
      <c r="K2359" s="30"/>
      <c r="L2359" s="30" t="s">
        <v>108</v>
      </c>
      <c r="M2359" s="30" t="s">
        <v>109</v>
      </c>
      <c r="N2359" s="30" t="s">
        <v>114</v>
      </c>
      <c r="O2359" s="30" t="s">
        <v>116</v>
      </c>
      <c r="P2359" s="30" t="s">
        <v>112</v>
      </c>
      <c r="Q2359" s="30" t="s">
        <v>118</v>
      </c>
      <c r="R2359" s="30" t="s">
        <v>185</v>
      </c>
      <c r="S2359" s="81">
        <f>HLOOKUP(L2359,データについて!$J$6:$M$18,13,FALSE)</f>
        <v>1</v>
      </c>
      <c r="T2359" s="81">
        <f>HLOOKUP(M2359,データについて!$J$7:$M$18,12,FALSE)</f>
        <v>2</v>
      </c>
      <c r="U2359" s="81">
        <f>HLOOKUP(N2359,データについて!$J$8:$M$18,11,FALSE)</f>
        <v>1</v>
      </c>
      <c r="V2359" s="81">
        <f>HLOOKUP(O2359,データについて!$J$9:$M$18,10,FALSE)</f>
        <v>2</v>
      </c>
      <c r="W2359" s="81">
        <f>HLOOKUP(P2359,データについて!$J$10:$M$18,9,FALSE)</f>
        <v>1</v>
      </c>
      <c r="X2359" s="81">
        <f>HLOOKUP(Q2359,データについて!$J$11:$M$18,8,FALSE)</f>
        <v>2</v>
      </c>
      <c r="Y2359" s="81">
        <f>HLOOKUP(R2359,データについて!$J$12:$M$18,7,FALSE)</f>
        <v>2</v>
      </c>
      <c r="Z2359" s="81">
        <f>HLOOKUP(I2359,データについて!$J$3:$M$18,16,FALSE)</f>
        <v>1</v>
      </c>
      <c r="AA2359" s="81">
        <f>IFERROR(HLOOKUP(J2359,データについて!$J$4:$AH$19,16,FALSE),"")</f>
        <v>7</v>
      </c>
      <c r="AB2359" s="81" t="str">
        <f>IFERROR(HLOOKUP(K2359,データについて!$J$5:$AH$20,14,FALSE),"")</f>
        <v/>
      </c>
      <c r="AC2359" s="81" t="str">
        <f>IF(X2359=1,HLOOKUP(R2359,データについて!$J$12:$M$18,7,FALSE),"*")</f>
        <v>*</v>
      </c>
      <c r="AD2359" s="81">
        <f>IF(X2359=2,HLOOKUP(R2359,データについて!$J$12:$M$18,7,FALSE),"*")</f>
        <v>2</v>
      </c>
    </row>
    <row r="2360" spans="1:30">
      <c r="A2360" s="30">
        <v>2832</v>
      </c>
      <c r="B2360" s="30" t="s">
        <v>2716</v>
      </c>
      <c r="C2360" s="30" t="s">
        <v>2717</v>
      </c>
      <c r="D2360" s="30" t="s">
        <v>106</v>
      </c>
      <c r="E2360" s="30"/>
      <c r="F2360" s="30" t="s">
        <v>107</v>
      </c>
      <c r="G2360" s="30" t="s">
        <v>106</v>
      </c>
      <c r="H2360" s="30"/>
      <c r="I2360" s="30" t="s">
        <v>192</v>
      </c>
      <c r="J2360" s="30" t="s">
        <v>942</v>
      </c>
      <c r="K2360" s="30"/>
      <c r="L2360" s="30" t="s">
        <v>108</v>
      </c>
      <c r="M2360" s="30" t="s">
        <v>124</v>
      </c>
      <c r="N2360" s="30" t="s">
        <v>114</v>
      </c>
      <c r="O2360" s="30" t="s">
        <v>115</v>
      </c>
      <c r="P2360" s="30" t="s">
        <v>112</v>
      </c>
      <c r="Q2360" s="30" t="s">
        <v>112</v>
      </c>
      <c r="R2360" s="30" t="s">
        <v>185</v>
      </c>
      <c r="S2360" s="81">
        <f>HLOOKUP(L2360,データについて!$J$6:$M$18,13,FALSE)</f>
        <v>1</v>
      </c>
      <c r="T2360" s="81">
        <f>HLOOKUP(M2360,データについて!$J$7:$M$18,12,FALSE)</f>
        <v>3</v>
      </c>
      <c r="U2360" s="81">
        <f>HLOOKUP(N2360,データについて!$J$8:$M$18,11,FALSE)</f>
        <v>1</v>
      </c>
      <c r="V2360" s="81">
        <f>HLOOKUP(O2360,データについて!$J$9:$M$18,10,FALSE)</f>
        <v>1</v>
      </c>
      <c r="W2360" s="81">
        <f>HLOOKUP(P2360,データについて!$J$10:$M$18,9,FALSE)</f>
        <v>1</v>
      </c>
      <c r="X2360" s="81">
        <f>HLOOKUP(Q2360,データについて!$J$11:$M$18,8,FALSE)</f>
        <v>1</v>
      </c>
      <c r="Y2360" s="81">
        <f>HLOOKUP(R2360,データについて!$J$12:$M$18,7,FALSE)</f>
        <v>2</v>
      </c>
      <c r="Z2360" s="81">
        <f>HLOOKUP(I2360,データについて!$J$3:$M$18,16,FALSE)</f>
        <v>1</v>
      </c>
      <c r="AA2360" s="81">
        <f>IFERROR(HLOOKUP(J2360,データについて!$J$4:$AH$19,16,FALSE),"")</f>
        <v>7</v>
      </c>
      <c r="AB2360" s="81" t="str">
        <f>IFERROR(HLOOKUP(K2360,データについて!$J$5:$AH$20,14,FALSE),"")</f>
        <v/>
      </c>
      <c r="AC2360" s="81">
        <f>IF(X2360=1,HLOOKUP(R2360,データについて!$J$12:$M$18,7,FALSE),"*")</f>
        <v>2</v>
      </c>
      <c r="AD2360" s="81" t="str">
        <f>IF(X2360=2,HLOOKUP(R2360,データについて!$J$12:$M$18,7,FALSE),"*")</f>
        <v>*</v>
      </c>
    </row>
    <row r="2361" spans="1:30">
      <c r="A2361" s="30">
        <v>2831</v>
      </c>
      <c r="B2361" s="30" t="s">
        <v>2718</v>
      </c>
      <c r="C2361" s="30" t="s">
        <v>2719</v>
      </c>
      <c r="D2361" s="30" t="s">
        <v>106</v>
      </c>
      <c r="E2361" s="30"/>
      <c r="F2361" s="30" t="s">
        <v>107</v>
      </c>
      <c r="G2361" s="30" t="s">
        <v>106</v>
      </c>
      <c r="H2361" s="30"/>
      <c r="I2361" s="30" t="s">
        <v>192</v>
      </c>
      <c r="J2361" s="30" t="s">
        <v>942</v>
      </c>
      <c r="K2361" s="30"/>
      <c r="L2361" s="30" t="s">
        <v>108</v>
      </c>
      <c r="M2361" s="30" t="s">
        <v>113</v>
      </c>
      <c r="N2361" s="30" t="s">
        <v>114</v>
      </c>
      <c r="O2361" s="30" t="s">
        <v>115</v>
      </c>
      <c r="P2361" s="30" t="s">
        <v>112</v>
      </c>
      <c r="Q2361" s="30" t="s">
        <v>112</v>
      </c>
      <c r="R2361" s="30" t="s">
        <v>183</v>
      </c>
      <c r="S2361" s="81">
        <f>HLOOKUP(L2361,データについて!$J$6:$M$18,13,FALSE)</f>
        <v>1</v>
      </c>
      <c r="T2361" s="81">
        <f>HLOOKUP(M2361,データについて!$J$7:$M$18,12,FALSE)</f>
        <v>1</v>
      </c>
      <c r="U2361" s="81">
        <f>HLOOKUP(N2361,データについて!$J$8:$M$18,11,FALSE)</f>
        <v>1</v>
      </c>
      <c r="V2361" s="81">
        <f>HLOOKUP(O2361,データについて!$J$9:$M$18,10,FALSE)</f>
        <v>1</v>
      </c>
      <c r="W2361" s="81">
        <f>HLOOKUP(P2361,データについて!$J$10:$M$18,9,FALSE)</f>
        <v>1</v>
      </c>
      <c r="X2361" s="81">
        <f>HLOOKUP(Q2361,データについて!$J$11:$M$18,8,FALSE)</f>
        <v>1</v>
      </c>
      <c r="Y2361" s="81">
        <f>HLOOKUP(R2361,データについて!$J$12:$M$18,7,FALSE)</f>
        <v>1</v>
      </c>
      <c r="Z2361" s="81">
        <f>HLOOKUP(I2361,データについて!$J$3:$M$18,16,FALSE)</f>
        <v>1</v>
      </c>
      <c r="AA2361" s="81">
        <f>IFERROR(HLOOKUP(J2361,データについて!$J$4:$AH$19,16,FALSE),"")</f>
        <v>7</v>
      </c>
      <c r="AB2361" s="81" t="str">
        <f>IFERROR(HLOOKUP(K2361,データについて!$J$5:$AH$20,14,FALSE),"")</f>
        <v/>
      </c>
      <c r="AC2361" s="81">
        <f>IF(X2361=1,HLOOKUP(R2361,データについて!$J$12:$M$18,7,FALSE),"*")</f>
        <v>1</v>
      </c>
      <c r="AD2361" s="81" t="str">
        <f>IF(X2361=2,HLOOKUP(R2361,データについて!$J$12:$M$18,7,FALSE),"*")</f>
        <v>*</v>
      </c>
    </row>
    <row r="2362" spans="1:30">
      <c r="A2362" s="30">
        <v>2830</v>
      </c>
      <c r="B2362" s="30" t="s">
        <v>2720</v>
      </c>
      <c r="C2362" s="30" t="s">
        <v>2721</v>
      </c>
      <c r="D2362" s="30" t="s">
        <v>106</v>
      </c>
      <c r="E2362" s="30"/>
      <c r="F2362" s="30" t="s">
        <v>107</v>
      </c>
      <c r="G2362" s="30" t="s">
        <v>106</v>
      </c>
      <c r="H2362" s="30"/>
      <c r="I2362" s="30" t="s">
        <v>192</v>
      </c>
      <c r="J2362" s="30" t="s">
        <v>942</v>
      </c>
      <c r="K2362" s="30"/>
      <c r="L2362" s="30" t="s">
        <v>117</v>
      </c>
      <c r="M2362" s="30" t="s">
        <v>113</v>
      </c>
      <c r="N2362" s="30" t="s">
        <v>114</v>
      </c>
      <c r="O2362" s="30" t="s">
        <v>115</v>
      </c>
      <c r="P2362" s="30" t="s">
        <v>112</v>
      </c>
      <c r="Q2362" s="30" t="s">
        <v>112</v>
      </c>
      <c r="R2362" s="30" t="s">
        <v>183</v>
      </c>
      <c r="S2362" s="81">
        <f>HLOOKUP(L2362,データについて!$J$6:$M$18,13,FALSE)</f>
        <v>2</v>
      </c>
      <c r="T2362" s="81">
        <f>HLOOKUP(M2362,データについて!$J$7:$M$18,12,FALSE)</f>
        <v>1</v>
      </c>
      <c r="U2362" s="81">
        <f>HLOOKUP(N2362,データについて!$J$8:$M$18,11,FALSE)</f>
        <v>1</v>
      </c>
      <c r="V2362" s="81">
        <f>HLOOKUP(O2362,データについて!$J$9:$M$18,10,FALSE)</f>
        <v>1</v>
      </c>
      <c r="W2362" s="81">
        <f>HLOOKUP(P2362,データについて!$J$10:$M$18,9,FALSE)</f>
        <v>1</v>
      </c>
      <c r="X2362" s="81">
        <f>HLOOKUP(Q2362,データについて!$J$11:$M$18,8,FALSE)</f>
        <v>1</v>
      </c>
      <c r="Y2362" s="81">
        <f>HLOOKUP(R2362,データについて!$J$12:$M$18,7,FALSE)</f>
        <v>1</v>
      </c>
      <c r="Z2362" s="81">
        <f>HLOOKUP(I2362,データについて!$J$3:$M$18,16,FALSE)</f>
        <v>1</v>
      </c>
      <c r="AA2362" s="81">
        <f>IFERROR(HLOOKUP(J2362,データについて!$J$4:$AH$19,16,FALSE),"")</f>
        <v>7</v>
      </c>
      <c r="AB2362" s="81" t="str">
        <f>IFERROR(HLOOKUP(K2362,データについて!$J$5:$AH$20,14,FALSE),"")</f>
        <v/>
      </c>
      <c r="AC2362" s="81">
        <f>IF(X2362=1,HLOOKUP(R2362,データについて!$J$12:$M$18,7,FALSE),"*")</f>
        <v>1</v>
      </c>
      <c r="AD2362" s="81" t="str">
        <f>IF(X2362=2,HLOOKUP(R2362,データについて!$J$12:$M$18,7,FALSE),"*")</f>
        <v>*</v>
      </c>
    </row>
    <row r="2363" spans="1:30">
      <c r="A2363" s="30">
        <v>2829</v>
      </c>
      <c r="B2363" s="30" t="s">
        <v>2722</v>
      </c>
      <c r="C2363" s="30" t="s">
        <v>2723</v>
      </c>
      <c r="D2363" s="30" t="s">
        <v>106</v>
      </c>
      <c r="E2363" s="30"/>
      <c r="F2363" s="30" t="s">
        <v>107</v>
      </c>
      <c r="G2363" s="30" t="s">
        <v>106</v>
      </c>
      <c r="H2363" s="30"/>
      <c r="I2363" s="30" t="s">
        <v>192</v>
      </c>
      <c r="J2363" s="30" t="s">
        <v>942</v>
      </c>
      <c r="K2363" s="30"/>
      <c r="L2363" s="30" t="s">
        <v>108</v>
      </c>
      <c r="M2363" s="30" t="s">
        <v>113</v>
      </c>
      <c r="N2363" s="30" t="s">
        <v>114</v>
      </c>
      <c r="O2363" s="30" t="s">
        <v>115</v>
      </c>
      <c r="P2363" s="30" t="s">
        <v>112</v>
      </c>
      <c r="Q2363" s="30" t="s">
        <v>112</v>
      </c>
      <c r="R2363" s="30" t="s">
        <v>183</v>
      </c>
      <c r="S2363" s="81">
        <f>HLOOKUP(L2363,データについて!$J$6:$M$18,13,FALSE)</f>
        <v>1</v>
      </c>
      <c r="T2363" s="81">
        <f>HLOOKUP(M2363,データについて!$J$7:$M$18,12,FALSE)</f>
        <v>1</v>
      </c>
      <c r="U2363" s="81">
        <f>HLOOKUP(N2363,データについて!$J$8:$M$18,11,FALSE)</f>
        <v>1</v>
      </c>
      <c r="V2363" s="81">
        <f>HLOOKUP(O2363,データについて!$J$9:$M$18,10,FALSE)</f>
        <v>1</v>
      </c>
      <c r="W2363" s="81">
        <f>HLOOKUP(P2363,データについて!$J$10:$M$18,9,FALSE)</f>
        <v>1</v>
      </c>
      <c r="X2363" s="81">
        <f>HLOOKUP(Q2363,データについて!$J$11:$M$18,8,FALSE)</f>
        <v>1</v>
      </c>
      <c r="Y2363" s="81">
        <f>HLOOKUP(R2363,データについて!$J$12:$M$18,7,FALSE)</f>
        <v>1</v>
      </c>
      <c r="Z2363" s="81">
        <f>HLOOKUP(I2363,データについて!$J$3:$M$18,16,FALSE)</f>
        <v>1</v>
      </c>
      <c r="AA2363" s="81">
        <f>IFERROR(HLOOKUP(J2363,データについて!$J$4:$AH$19,16,FALSE),"")</f>
        <v>7</v>
      </c>
      <c r="AB2363" s="81" t="str">
        <f>IFERROR(HLOOKUP(K2363,データについて!$J$5:$AH$20,14,FALSE),"")</f>
        <v/>
      </c>
      <c r="AC2363" s="81">
        <f>IF(X2363=1,HLOOKUP(R2363,データについて!$J$12:$M$18,7,FALSE),"*")</f>
        <v>1</v>
      </c>
      <c r="AD2363" s="81" t="str">
        <f>IF(X2363=2,HLOOKUP(R2363,データについて!$J$12:$M$18,7,FALSE),"*")</f>
        <v>*</v>
      </c>
    </row>
    <row r="2364" spans="1:30">
      <c r="A2364" s="30">
        <v>2828</v>
      </c>
      <c r="B2364" s="30" t="s">
        <v>2724</v>
      </c>
      <c r="C2364" s="30" t="s">
        <v>2725</v>
      </c>
      <c r="D2364" s="30" t="s">
        <v>106</v>
      </c>
      <c r="E2364" s="30"/>
      <c r="F2364" s="30" t="s">
        <v>107</v>
      </c>
      <c r="G2364" s="30" t="s">
        <v>106</v>
      </c>
      <c r="H2364" s="30"/>
      <c r="I2364" s="30" t="s">
        <v>192</v>
      </c>
      <c r="J2364" s="30" t="s">
        <v>942</v>
      </c>
      <c r="K2364" s="30"/>
      <c r="L2364" s="30" t="s">
        <v>108</v>
      </c>
      <c r="M2364" s="30" t="s">
        <v>109</v>
      </c>
      <c r="N2364" s="30" t="s">
        <v>114</v>
      </c>
      <c r="O2364" s="30" t="s">
        <v>115</v>
      </c>
      <c r="P2364" s="30" t="s">
        <v>112</v>
      </c>
      <c r="Q2364" s="30" t="s">
        <v>118</v>
      </c>
      <c r="R2364" s="30" t="s">
        <v>183</v>
      </c>
      <c r="S2364" s="81">
        <f>HLOOKUP(L2364,データについて!$J$6:$M$18,13,FALSE)</f>
        <v>1</v>
      </c>
      <c r="T2364" s="81">
        <f>HLOOKUP(M2364,データについて!$J$7:$M$18,12,FALSE)</f>
        <v>2</v>
      </c>
      <c r="U2364" s="81">
        <f>HLOOKUP(N2364,データについて!$J$8:$M$18,11,FALSE)</f>
        <v>1</v>
      </c>
      <c r="V2364" s="81">
        <f>HLOOKUP(O2364,データについて!$J$9:$M$18,10,FALSE)</f>
        <v>1</v>
      </c>
      <c r="W2364" s="81">
        <f>HLOOKUP(P2364,データについて!$J$10:$M$18,9,FALSE)</f>
        <v>1</v>
      </c>
      <c r="X2364" s="81">
        <f>HLOOKUP(Q2364,データについて!$J$11:$M$18,8,FALSE)</f>
        <v>2</v>
      </c>
      <c r="Y2364" s="81">
        <f>HLOOKUP(R2364,データについて!$J$12:$M$18,7,FALSE)</f>
        <v>1</v>
      </c>
      <c r="Z2364" s="81">
        <f>HLOOKUP(I2364,データについて!$J$3:$M$18,16,FALSE)</f>
        <v>1</v>
      </c>
      <c r="AA2364" s="81">
        <f>IFERROR(HLOOKUP(J2364,データについて!$J$4:$AH$19,16,FALSE),"")</f>
        <v>7</v>
      </c>
      <c r="AB2364" s="81" t="str">
        <f>IFERROR(HLOOKUP(K2364,データについて!$J$5:$AH$20,14,FALSE),"")</f>
        <v/>
      </c>
      <c r="AC2364" s="81" t="str">
        <f>IF(X2364=1,HLOOKUP(R2364,データについて!$J$12:$M$18,7,FALSE),"*")</f>
        <v>*</v>
      </c>
      <c r="AD2364" s="81">
        <f>IF(X2364=2,HLOOKUP(R2364,データについて!$J$12:$M$18,7,FALSE),"*")</f>
        <v>1</v>
      </c>
    </row>
    <row r="2365" spans="1:30">
      <c r="A2365" s="30">
        <v>2827</v>
      </c>
      <c r="B2365" s="30" t="s">
        <v>2726</v>
      </c>
      <c r="C2365" s="30" t="s">
        <v>2727</v>
      </c>
      <c r="D2365" s="30" t="s">
        <v>106</v>
      </c>
      <c r="E2365" s="30"/>
      <c r="F2365" s="30" t="s">
        <v>107</v>
      </c>
      <c r="G2365" s="30" t="s">
        <v>106</v>
      </c>
      <c r="H2365" s="30"/>
      <c r="I2365" s="30" t="s">
        <v>192</v>
      </c>
      <c r="J2365" s="30" t="s">
        <v>942</v>
      </c>
      <c r="K2365" s="30"/>
      <c r="L2365" s="30" t="s">
        <v>108</v>
      </c>
      <c r="M2365" s="30" t="s">
        <v>113</v>
      </c>
      <c r="N2365" s="30" t="s">
        <v>114</v>
      </c>
      <c r="O2365" s="30" t="s">
        <v>115</v>
      </c>
      <c r="P2365" s="30" t="s">
        <v>112</v>
      </c>
      <c r="Q2365" s="30" t="s">
        <v>112</v>
      </c>
      <c r="R2365" s="30" t="s">
        <v>183</v>
      </c>
      <c r="S2365" s="81">
        <f>HLOOKUP(L2365,データについて!$J$6:$M$18,13,FALSE)</f>
        <v>1</v>
      </c>
      <c r="T2365" s="81">
        <f>HLOOKUP(M2365,データについて!$J$7:$M$18,12,FALSE)</f>
        <v>1</v>
      </c>
      <c r="U2365" s="81">
        <f>HLOOKUP(N2365,データについて!$J$8:$M$18,11,FALSE)</f>
        <v>1</v>
      </c>
      <c r="V2365" s="81">
        <f>HLOOKUP(O2365,データについて!$J$9:$M$18,10,FALSE)</f>
        <v>1</v>
      </c>
      <c r="W2365" s="81">
        <f>HLOOKUP(P2365,データについて!$J$10:$M$18,9,FALSE)</f>
        <v>1</v>
      </c>
      <c r="X2365" s="81">
        <f>HLOOKUP(Q2365,データについて!$J$11:$M$18,8,FALSE)</f>
        <v>1</v>
      </c>
      <c r="Y2365" s="81">
        <f>HLOOKUP(R2365,データについて!$J$12:$M$18,7,FALSE)</f>
        <v>1</v>
      </c>
      <c r="Z2365" s="81">
        <f>HLOOKUP(I2365,データについて!$J$3:$M$18,16,FALSE)</f>
        <v>1</v>
      </c>
      <c r="AA2365" s="81">
        <f>IFERROR(HLOOKUP(J2365,データについて!$J$4:$AH$19,16,FALSE),"")</f>
        <v>7</v>
      </c>
      <c r="AB2365" s="81" t="str">
        <f>IFERROR(HLOOKUP(K2365,データについて!$J$5:$AH$20,14,FALSE),"")</f>
        <v/>
      </c>
      <c r="AC2365" s="81">
        <f>IF(X2365=1,HLOOKUP(R2365,データについて!$J$12:$M$18,7,FALSE),"*")</f>
        <v>1</v>
      </c>
      <c r="AD2365" s="81" t="str">
        <f>IF(X2365=2,HLOOKUP(R2365,データについて!$J$12:$M$18,7,FALSE),"*")</f>
        <v>*</v>
      </c>
    </row>
    <row r="2366" spans="1:30">
      <c r="A2366" s="30">
        <v>2826</v>
      </c>
      <c r="B2366" s="30" t="s">
        <v>2728</v>
      </c>
      <c r="C2366" s="30" t="s">
        <v>2729</v>
      </c>
      <c r="D2366" s="30" t="s">
        <v>106</v>
      </c>
      <c r="E2366" s="30"/>
      <c r="F2366" s="30" t="s">
        <v>107</v>
      </c>
      <c r="G2366" s="30" t="s">
        <v>106</v>
      </c>
      <c r="H2366" s="30"/>
      <c r="I2366" s="30" t="s">
        <v>192</v>
      </c>
      <c r="J2366" s="30" t="s">
        <v>125</v>
      </c>
      <c r="K2366" s="30"/>
      <c r="L2366" s="30" t="s">
        <v>108</v>
      </c>
      <c r="M2366" s="30" t="s">
        <v>113</v>
      </c>
      <c r="N2366" s="30" t="s">
        <v>122</v>
      </c>
      <c r="O2366" s="30" t="s">
        <v>115</v>
      </c>
      <c r="P2366" s="30" t="s">
        <v>112</v>
      </c>
      <c r="Q2366" s="30" t="s">
        <v>112</v>
      </c>
      <c r="R2366" s="30" t="s">
        <v>183</v>
      </c>
      <c r="S2366" s="81">
        <f>HLOOKUP(L2366,データについて!$J$6:$M$18,13,FALSE)</f>
        <v>1</v>
      </c>
      <c r="T2366" s="81">
        <f>HLOOKUP(M2366,データについて!$J$7:$M$18,12,FALSE)</f>
        <v>1</v>
      </c>
      <c r="U2366" s="81">
        <f>HLOOKUP(N2366,データについて!$J$8:$M$18,11,FALSE)</f>
        <v>3</v>
      </c>
      <c r="V2366" s="81">
        <f>HLOOKUP(O2366,データについて!$J$9:$M$18,10,FALSE)</f>
        <v>1</v>
      </c>
      <c r="W2366" s="81">
        <f>HLOOKUP(P2366,データについて!$J$10:$M$18,9,FALSE)</f>
        <v>1</v>
      </c>
      <c r="X2366" s="81">
        <f>HLOOKUP(Q2366,データについて!$J$11:$M$18,8,FALSE)</f>
        <v>1</v>
      </c>
      <c r="Y2366" s="81">
        <f>HLOOKUP(R2366,データについて!$J$12:$M$18,7,FALSE)</f>
        <v>1</v>
      </c>
      <c r="Z2366" s="81">
        <f>HLOOKUP(I2366,データについて!$J$3:$M$18,16,FALSE)</f>
        <v>1</v>
      </c>
      <c r="AA2366" s="81">
        <f>IFERROR(HLOOKUP(J2366,データについて!$J$4:$AH$19,16,FALSE),"")</f>
        <v>6</v>
      </c>
      <c r="AB2366" s="81" t="str">
        <f>IFERROR(HLOOKUP(K2366,データについて!$J$5:$AH$20,14,FALSE),"")</f>
        <v/>
      </c>
      <c r="AC2366" s="81">
        <f>IF(X2366=1,HLOOKUP(R2366,データについて!$J$12:$M$18,7,FALSE),"*")</f>
        <v>1</v>
      </c>
      <c r="AD2366" s="81" t="str">
        <f>IF(X2366=2,HLOOKUP(R2366,データについて!$J$12:$M$18,7,FALSE),"*")</f>
        <v>*</v>
      </c>
    </row>
    <row r="2367" spans="1:30">
      <c r="A2367" s="30">
        <v>2825</v>
      </c>
      <c r="B2367" s="30" t="s">
        <v>2730</v>
      </c>
      <c r="C2367" s="30" t="s">
        <v>2731</v>
      </c>
      <c r="D2367" s="30" t="s">
        <v>106</v>
      </c>
      <c r="E2367" s="30"/>
      <c r="F2367" s="30" t="s">
        <v>107</v>
      </c>
      <c r="G2367" s="30" t="s">
        <v>106</v>
      </c>
      <c r="H2367" s="30"/>
      <c r="I2367" s="30" t="s">
        <v>192</v>
      </c>
      <c r="J2367" s="30" t="s">
        <v>125</v>
      </c>
      <c r="K2367" s="30"/>
      <c r="L2367" s="30" t="s">
        <v>108</v>
      </c>
      <c r="M2367" s="30" t="s">
        <v>113</v>
      </c>
      <c r="N2367" s="30" t="s">
        <v>114</v>
      </c>
      <c r="O2367" s="30" t="s">
        <v>115</v>
      </c>
      <c r="P2367" s="30" t="s">
        <v>112</v>
      </c>
      <c r="Q2367" s="30" t="s">
        <v>112</v>
      </c>
      <c r="R2367" s="30" t="s">
        <v>183</v>
      </c>
      <c r="S2367" s="81">
        <f>HLOOKUP(L2367,データについて!$J$6:$M$18,13,FALSE)</f>
        <v>1</v>
      </c>
      <c r="T2367" s="81">
        <f>HLOOKUP(M2367,データについて!$J$7:$M$18,12,FALSE)</f>
        <v>1</v>
      </c>
      <c r="U2367" s="81">
        <f>HLOOKUP(N2367,データについて!$J$8:$M$18,11,FALSE)</f>
        <v>1</v>
      </c>
      <c r="V2367" s="81">
        <f>HLOOKUP(O2367,データについて!$J$9:$M$18,10,FALSE)</f>
        <v>1</v>
      </c>
      <c r="W2367" s="81">
        <f>HLOOKUP(P2367,データについて!$J$10:$M$18,9,FALSE)</f>
        <v>1</v>
      </c>
      <c r="X2367" s="81">
        <f>HLOOKUP(Q2367,データについて!$J$11:$M$18,8,FALSE)</f>
        <v>1</v>
      </c>
      <c r="Y2367" s="81">
        <f>HLOOKUP(R2367,データについて!$J$12:$M$18,7,FALSE)</f>
        <v>1</v>
      </c>
      <c r="Z2367" s="81">
        <f>HLOOKUP(I2367,データについて!$J$3:$M$18,16,FALSE)</f>
        <v>1</v>
      </c>
      <c r="AA2367" s="81">
        <f>IFERROR(HLOOKUP(J2367,データについて!$J$4:$AH$19,16,FALSE),"")</f>
        <v>6</v>
      </c>
      <c r="AB2367" s="81" t="str">
        <f>IFERROR(HLOOKUP(K2367,データについて!$J$5:$AH$20,14,FALSE),"")</f>
        <v/>
      </c>
      <c r="AC2367" s="81">
        <f>IF(X2367=1,HLOOKUP(R2367,データについて!$J$12:$M$18,7,FALSE),"*")</f>
        <v>1</v>
      </c>
      <c r="AD2367" s="81" t="str">
        <f>IF(X2367=2,HLOOKUP(R2367,データについて!$J$12:$M$18,7,FALSE),"*")</f>
        <v>*</v>
      </c>
    </row>
    <row r="2368" spans="1:30">
      <c r="A2368" s="30">
        <v>2824</v>
      </c>
      <c r="B2368" s="30" t="s">
        <v>2732</v>
      </c>
      <c r="C2368" s="30" t="s">
        <v>2733</v>
      </c>
      <c r="D2368" s="30" t="s">
        <v>106</v>
      </c>
      <c r="E2368" s="30"/>
      <c r="F2368" s="30" t="s">
        <v>107</v>
      </c>
      <c r="G2368" s="30" t="s">
        <v>106</v>
      </c>
      <c r="H2368" s="30"/>
      <c r="I2368" s="30" t="s">
        <v>192</v>
      </c>
      <c r="J2368" s="30" t="s">
        <v>942</v>
      </c>
      <c r="K2368" s="30"/>
      <c r="L2368" s="30" t="s">
        <v>117</v>
      </c>
      <c r="M2368" s="30" t="s">
        <v>113</v>
      </c>
      <c r="N2368" s="30" t="s">
        <v>110</v>
      </c>
      <c r="O2368" s="30" t="s">
        <v>115</v>
      </c>
      <c r="P2368" s="30" t="s">
        <v>112</v>
      </c>
      <c r="Q2368" s="30" t="s">
        <v>112</v>
      </c>
      <c r="R2368" s="30" t="s">
        <v>183</v>
      </c>
      <c r="S2368" s="81">
        <f>HLOOKUP(L2368,データについて!$J$6:$M$18,13,FALSE)</f>
        <v>2</v>
      </c>
      <c r="T2368" s="81">
        <f>HLOOKUP(M2368,データについて!$J$7:$M$18,12,FALSE)</f>
        <v>1</v>
      </c>
      <c r="U2368" s="81">
        <f>HLOOKUP(N2368,データについて!$J$8:$M$18,11,FALSE)</f>
        <v>2</v>
      </c>
      <c r="V2368" s="81">
        <f>HLOOKUP(O2368,データについて!$J$9:$M$18,10,FALSE)</f>
        <v>1</v>
      </c>
      <c r="W2368" s="81">
        <f>HLOOKUP(P2368,データについて!$J$10:$M$18,9,FALSE)</f>
        <v>1</v>
      </c>
      <c r="X2368" s="81">
        <f>HLOOKUP(Q2368,データについて!$J$11:$M$18,8,FALSE)</f>
        <v>1</v>
      </c>
      <c r="Y2368" s="81">
        <f>HLOOKUP(R2368,データについて!$J$12:$M$18,7,FALSE)</f>
        <v>1</v>
      </c>
      <c r="Z2368" s="81">
        <f>HLOOKUP(I2368,データについて!$J$3:$M$18,16,FALSE)</f>
        <v>1</v>
      </c>
      <c r="AA2368" s="81">
        <f>IFERROR(HLOOKUP(J2368,データについて!$J$4:$AH$19,16,FALSE),"")</f>
        <v>7</v>
      </c>
      <c r="AB2368" s="81" t="str">
        <f>IFERROR(HLOOKUP(K2368,データについて!$J$5:$AH$20,14,FALSE),"")</f>
        <v/>
      </c>
      <c r="AC2368" s="81">
        <f>IF(X2368=1,HLOOKUP(R2368,データについて!$J$12:$M$18,7,FALSE),"*")</f>
        <v>1</v>
      </c>
      <c r="AD2368" s="81" t="str">
        <f>IF(X2368=2,HLOOKUP(R2368,データについて!$J$12:$M$18,7,FALSE),"*")</f>
        <v>*</v>
      </c>
    </row>
    <row r="2369" spans="1:30">
      <c r="A2369" s="30">
        <v>2823</v>
      </c>
      <c r="B2369" s="30" t="s">
        <v>2734</v>
      </c>
      <c r="C2369" s="30" t="s">
        <v>2735</v>
      </c>
      <c r="D2369" s="30" t="s">
        <v>106</v>
      </c>
      <c r="E2369" s="30"/>
      <c r="F2369" s="30" t="s">
        <v>107</v>
      </c>
      <c r="G2369" s="30" t="s">
        <v>106</v>
      </c>
      <c r="H2369" s="30"/>
      <c r="I2369" s="30" t="s">
        <v>192</v>
      </c>
      <c r="J2369" s="30" t="s">
        <v>942</v>
      </c>
      <c r="K2369" s="30"/>
      <c r="L2369" s="30" t="s">
        <v>117</v>
      </c>
      <c r="M2369" s="30" t="s">
        <v>109</v>
      </c>
      <c r="N2369" s="30" t="s">
        <v>110</v>
      </c>
      <c r="O2369" s="30" t="s">
        <v>115</v>
      </c>
      <c r="P2369" s="30" t="s">
        <v>112</v>
      </c>
      <c r="Q2369" s="30" t="s">
        <v>112</v>
      </c>
      <c r="R2369" s="30" t="s">
        <v>185</v>
      </c>
      <c r="S2369" s="81">
        <f>HLOOKUP(L2369,データについて!$J$6:$M$18,13,FALSE)</f>
        <v>2</v>
      </c>
      <c r="T2369" s="81">
        <f>HLOOKUP(M2369,データについて!$J$7:$M$18,12,FALSE)</f>
        <v>2</v>
      </c>
      <c r="U2369" s="81">
        <f>HLOOKUP(N2369,データについて!$J$8:$M$18,11,FALSE)</f>
        <v>2</v>
      </c>
      <c r="V2369" s="81">
        <f>HLOOKUP(O2369,データについて!$J$9:$M$18,10,FALSE)</f>
        <v>1</v>
      </c>
      <c r="W2369" s="81">
        <f>HLOOKUP(P2369,データについて!$J$10:$M$18,9,FALSE)</f>
        <v>1</v>
      </c>
      <c r="X2369" s="81">
        <f>HLOOKUP(Q2369,データについて!$J$11:$M$18,8,FALSE)</f>
        <v>1</v>
      </c>
      <c r="Y2369" s="81">
        <f>HLOOKUP(R2369,データについて!$J$12:$M$18,7,FALSE)</f>
        <v>2</v>
      </c>
      <c r="Z2369" s="81">
        <f>HLOOKUP(I2369,データについて!$J$3:$M$18,16,FALSE)</f>
        <v>1</v>
      </c>
      <c r="AA2369" s="81">
        <f>IFERROR(HLOOKUP(J2369,データについて!$J$4:$AH$19,16,FALSE),"")</f>
        <v>7</v>
      </c>
      <c r="AB2369" s="81" t="str">
        <f>IFERROR(HLOOKUP(K2369,データについて!$J$5:$AH$20,14,FALSE),"")</f>
        <v/>
      </c>
      <c r="AC2369" s="81">
        <f>IF(X2369=1,HLOOKUP(R2369,データについて!$J$12:$M$18,7,FALSE),"*")</f>
        <v>2</v>
      </c>
      <c r="AD2369" s="81" t="str">
        <f>IF(X2369=2,HLOOKUP(R2369,データについて!$J$12:$M$18,7,FALSE),"*")</f>
        <v>*</v>
      </c>
    </row>
    <row r="2370" spans="1:30">
      <c r="A2370" s="30">
        <v>2822</v>
      </c>
      <c r="B2370" s="30" t="s">
        <v>2736</v>
      </c>
      <c r="C2370" s="30" t="s">
        <v>2737</v>
      </c>
      <c r="D2370" s="30" t="s">
        <v>106</v>
      </c>
      <c r="E2370" s="30"/>
      <c r="F2370" s="30" t="s">
        <v>107</v>
      </c>
      <c r="G2370" s="30" t="s">
        <v>106</v>
      </c>
      <c r="H2370" s="30"/>
      <c r="I2370" s="30" t="s">
        <v>192</v>
      </c>
      <c r="J2370" s="30" t="s">
        <v>125</v>
      </c>
      <c r="K2370" s="30"/>
      <c r="L2370" s="30" t="s">
        <v>117</v>
      </c>
      <c r="M2370" s="30" t="s">
        <v>124</v>
      </c>
      <c r="N2370" s="30" t="s">
        <v>122</v>
      </c>
      <c r="O2370" s="30" t="s">
        <v>115</v>
      </c>
      <c r="P2370" s="30" t="s">
        <v>112</v>
      </c>
      <c r="Q2370" s="30" t="s">
        <v>112</v>
      </c>
      <c r="R2370" s="30" t="s">
        <v>185</v>
      </c>
      <c r="S2370" s="81">
        <f>HLOOKUP(L2370,データについて!$J$6:$M$18,13,FALSE)</f>
        <v>2</v>
      </c>
      <c r="T2370" s="81">
        <f>HLOOKUP(M2370,データについて!$J$7:$M$18,12,FALSE)</f>
        <v>3</v>
      </c>
      <c r="U2370" s="81">
        <f>HLOOKUP(N2370,データについて!$J$8:$M$18,11,FALSE)</f>
        <v>3</v>
      </c>
      <c r="V2370" s="81">
        <f>HLOOKUP(O2370,データについて!$J$9:$M$18,10,FALSE)</f>
        <v>1</v>
      </c>
      <c r="W2370" s="81">
        <f>HLOOKUP(P2370,データについて!$J$10:$M$18,9,FALSE)</f>
        <v>1</v>
      </c>
      <c r="X2370" s="81">
        <f>HLOOKUP(Q2370,データについて!$J$11:$M$18,8,FALSE)</f>
        <v>1</v>
      </c>
      <c r="Y2370" s="81">
        <f>HLOOKUP(R2370,データについて!$J$12:$M$18,7,FALSE)</f>
        <v>2</v>
      </c>
      <c r="Z2370" s="81">
        <f>HLOOKUP(I2370,データについて!$J$3:$M$18,16,FALSE)</f>
        <v>1</v>
      </c>
      <c r="AA2370" s="81">
        <f>IFERROR(HLOOKUP(J2370,データについて!$J$4:$AH$19,16,FALSE),"")</f>
        <v>6</v>
      </c>
      <c r="AB2370" s="81" t="str">
        <f>IFERROR(HLOOKUP(K2370,データについて!$J$5:$AH$20,14,FALSE),"")</f>
        <v/>
      </c>
      <c r="AC2370" s="81">
        <f>IF(X2370=1,HLOOKUP(R2370,データについて!$J$12:$M$18,7,FALSE),"*")</f>
        <v>2</v>
      </c>
      <c r="AD2370" s="81" t="str">
        <f>IF(X2370=2,HLOOKUP(R2370,データについて!$J$12:$M$18,7,FALSE),"*")</f>
        <v>*</v>
      </c>
    </row>
    <row r="2371" spans="1:30">
      <c r="A2371" s="30">
        <v>2821</v>
      </c>
      <c r="B2371" s="30" t="s">
        <v>2738</v>
      </c>
      <c r="C2371" s="30" t="s">
        <v>2739</v>
      </c>
      <c r="D2371" s="30" t="s">
        <v>106</v>
      </c>
      <c r="E2371" s="30"/>
      <c r="F2371" s="30" t="s">
        <v>107</v>
      </c>
      <c r="G2371" s="30" t="s">
        <v>106</v>
      </c>
      <c r="H2371" s="30"/>
      <c r="I2371" s="30" t="s">
        <v>192</v>
      </c>
      <c r="J2371" s="30" t="s">
        <v>942</v>
      </c>
      <c r="K2371" s="30"/>
      <c r="L2371" s="30" t="s">
        <v>108</v>
      </c>
      <c r="M2371" s="30" t="s">
        <v>109</v>
      </c>
      <c r="N2371" s="30" t="s">
        <v>122</v>
      </c>
      <c r="O2371" s="30" t="s">
        <v>115</v>
      </c>
      <c r="P2371" s="30" t="s">
        <v>112</v>
      </c>
      <c r="Q2371" s="30" t="s">
        <v>112</v>
      </c>
      <c r="R2371" s="30" t="s">
        <v>187</v>
      </c>
      <c r="S2371" s="81">
        <f>HLOOKUP(L2371,データについて!$J$6:$M$18,13,FALSE)</f>
        <v>1</v>
      </c>
      <c r="T2371" s="81">
        <f>HLOOKUP(M2371,データについて!$J$7:$M$18,12,FALSE)</f>
        <v>2</v>
      </c>
      <c r="U2371" s="81">
        <f>HLOOKUP(N2371,データについて!$J$8:$M$18,11,FALSE)</f>
        <v>3</v>
      </c>
      <c r="V2371" s="81">
        <f>HLOOKUP(O2371,データについて!$J$9:$M$18,10,FALSE)</f>
        <v>1</v>
      </c>
      <c r="W2371" s="81">
        <f>HLOOKUP(P2371,データについて!$J$10:$M$18,9,FALSE)</f>
        <v>1</v>
      </c>
      <c r="X2371" s="81">
        <f>HLOOKUP(Q2371,データについて!$J$11:$M$18,8,FALSE)</f>
        <v>1</v>
      </c>
      <c r="Y2371" s="81">
        <f>HLOOKUP(R2371,データについて!$J$12:$M$18,7,FALSE)</f>
        <v>3</v>
      </c>
      <c r="Z2371" s="81">
        <f>HLOOKUP(I2371,データについて!$J$3:$M$18,16,FALSE)</f>
        <v>1</v>
      </c>
      <c r="AA2371" s="81">
        <f>IFERROR(HLOOKUP(J2371,データについて!$J$4:$AH$19,16,FALSE),"")</f>
        <v>7</v>
      </c>
      <c r="AB2371" s="81" t="str">
        <f>IFERROR(HLOOKUP(K2371,データについて!$J$5:$AH$20,14,FALSE),"")</f>
        <v/>
      </c>
      <c r="AC2371" s="81">
        <f>IF(X2371=1,HLOOKUP(R2371,データについて!$J$12:$M$18,7,FALSE),"*")</f>
        <v>3</v>
      </c>
      <c r="AD2371" s="81" t="str">
        <f>IF(X2371=2,HLOOKUP(R2371,データについて!$J$12:$M$18,7,FALSE),"*")</f>
        <v>*</v>
      </c>
    </row>
    <row r="2372" spans="1:30">
      <c r="A2372" s="30">
        <v>2820</v>
      </c>
      <c r="B2372" s="30" t="s">
        <v>2740</v>
      </c>
      <c r="C2372" s="30" t="s">
        <v>2741</v>
      </c>
      <c r="D2372" s="30" t="s">
        <v>106</v>
      </c>
      <c r="E2372" s="30"/>
      <c r="F2372" s="30" t="s">
        <v>107</v>
      </c>
      <c r="G2372" s="30" t="s">
        <v>106</v>
      </c>
      <c r="H2372" s="30"/>
      <c r="I2372" s="30" t="s">
        <v>192</v>
      </c>
      <c r="J2372" s="30" t="s">
        <v>125</v>
      </c>
      <c r="K2372" s="30"/>
      <c r="L2372" s="30" t="s">
        <v>108</v>
      </c>
      <c r="M2372" s="30" t="s">
        <v>113</v>
      </c>
      <c r="N2372" s="30" t="s">
        <v>114</v>
      </c>
      <c r="O2372" s="30" t="s">
        <v>116</v>
      </c>
      <c r="P2372" s="30" t="s">
        <v>112</v>
      </c>
      <c r="Q2372" s="30" t="s">
        <v>112</v>
      </c>
      <c r="R2372" s="30" t="s">
        <v>183</v>
      </c>
      <c r="S2372" s="81">
        <f>HLOOKUP(L2372,データについて!$J$6:$M$18,13,FALSE)</f>
        <v>1</v>
      </c>
      <c r="T2372" s="81">
        <f>HLOOKUP(M2372,データについて!$J$7:$M$18,12,FALSE)</f>
        <v>1</v>
      </c>
      <c r="U2372" s="81">
        <f>HLOOKUP(N2372,データについて!$J$8:$M$18,11,FALSE)</f>
        <v>1</v>
      </c>
      <c r="V2372" s="81">
        <f>HLOOKUP(O2372,データについて!$J$9:$M$18,10,FALSE)</f>
        <v>2</v>
      </c>
      <c r="W2372" s="81">
        <f>HLOOKUP(P2372,データについて!$J$10:$M$18,9,FALSE)</f>
        <v>1</v>
      </c>
      <c r="X2372" s="81">
        <f>HLOOKUP(Q2372,データについて!$J$11:$M$18,8,FALSE)</f>
        <v>1</v>
      </c>
      <c r="Y2372" s="81">
        <f>HLOOKUP(R2372,データについて!$J$12:$M$18,7,FALSE)</f>
        <v>1</v>
      </c>
      <c r="Z2372" s="81">
        <f>HLOOKUP(I2372,データについて!$J$3:$M$18,16,FALSE)</f>
        <v>1</v>
      </c>
      <c r="AA2372" s="81">
        <f>IFERROR(HLOOKUP(J2372,データについて!$J$4:$AH$19,16,FALSE),"")</f>
        <v>6</v>
      </c>
      <c r="AB2372" s="81" t="str">
        <f>IFERROR(HLOOKUP(K2372,データについて!$J$5:$AH$20,14,FALSE),"")</f>
        <v/>
      </c>
      <c r="AC2372" s="81">
        <f>IF(X2372=1,HLOOKUP(R2372,データについて!$J$12:$M$18,7,FALSE),"*")</f>
        <v>1</v>
      </c>
      <c r="AD2372" s="81" t="str">
        <f>IF(X2372=2,HLOOKUP(R2372,データについて!$J$12:$M$18,7,FALSE),"*")</f>
        <v>*</v>
      </c>
    </row>
    <row r="2373" spans="1:30">
      <c r="A2373" s="30">
        <v>2819</v>
      </c>
      <c r="B2373" s="30" t="s">
        <v>2742</v>
      </c>
      <c r="C2373" s="30" t="s">
        <v>2743</v>
      </c>
      <c r="D2373" s="30" t="s">
        <v>106</v>
      </c>
      <c r="E2373" s="30"/>
      <c r="F2373" s="30" t="s">
        <v>107</v>
      </c>
      <c r="G2373" s="30" t="s">
        <v>106</v>
      </c>
      <c r="H2373" s="30"/>
      <c r="I2373" s="30" t="s">
        <v>192</v>
      </c>
      <c r="J2373" s="30" t="s">
        <v>125</v>
      </c>
      <c r="K2373" s="30"/>
      <c r="L2373" s="30" t="s">
        <v>108</v>
      </c>
      <c r="M2373" s="30" t="s">
        <v>113</v>
      </c>
      <c r="N2373" s="30" t="s">
        <v>122</v>
      </c>
      <c r="O2373" s="30" t="s">
        <v>115</v>
      </c>
      <c r="P2373" s="30" t="s">
        <v>112</v>
      </c>
      <c r="Q2373" s="30" t="s">
        <v>112</v>
      </c>
      <c r="R2373" s="30" t="s">
        <v>183</v>
      </c>
      <c r="S2373" s="81">
        <f>HLOOKUP(L2373,データについて!$J$6:$M$18,13,FALSE)</f>
        <v>1</v>
      </c>
      <c r="T2373" s="81">
        <f>HLOOKUP(M2373,データについて!$J$7:$M$18,12,FALSE)</f>
        <v>1</v>
      </c>
      <c r="U2373" s="81">
        <f>HLOOKUP(N2373,データについて!$J$8:$M$18,11,FALSE)</f>
        <v>3</v>
      </c>
      <c r="V2373" s="81">
        <f>HLOOKUP(O2373,データについて!$J$9:$M$18,10,FALSE)</f>
        <v>1</v>
      </c>
      <c r="W2373" s="81">
        <f>HLOOKUP(P2373,データについて!$J$10:$M$18,9,FALSE)</f>
        <v>1</v>
      </c>
      <c r="X2373" s="81">
        <f>HLOOKUP(Q2373,データについて!$J$11:$M$18,8,FALSE)</f>
        <v>1</v>
      </c>
      <c r="Y2373" s="81">
        <f>HLOOKUP(R2373,データについて!$J$12:$M$18,7,FALSE)</f>
        <v>1</v>
      </c>
      <c r="Z2373" s="81">
        <f>HLOOKUP(I2373,データについて!$J$3:$M$18,16,FALSE)</f>
        <v>1</v>
      </c>
      <c r="AA2373" s="81">
        <f>IFERROR(HLOOKUP(J2373,データについて!$J$4:$AH$19,16,FALSE),"")</f>
        <v>6</v>
      </c>
      <c r="AB2373" s="81" t="str">
        <f>IFERROR(HLOOKUP(K2373,データについて!$J$5:$AH$20,14,FALSE),"")</f>
        <v/>
      </c>
      <c r="AC2373" s="81">
        <f>IF(X2373=1,HLOOKUP(R2373,データについて!$J$12:$M$18,7,FALSE),"*")</f>
        <v>1</v>
      </c>
      <c r="AD2373" s="81" t="str">
        <f>IF(X2373=2,HLOOKUP(R2373,データについて!$J$12:$M$18,7,FALSE),"*")</f>
        <v>*</v>
      </c>
    </row>
    <row r="2374" spans="1:30">
      <c r="A2374" s="30">
        <v>2818</v>
      </c>
      <c r="B2374" s="30" t="s">
        <v>2744</v>
      </c>
      <c r="C2374" s="30" t="s">
        <v>2745</v>
      </c>
      <c r="D2374" s="30" t="s">
        <v>106</v>
      </c>
      <c r="E2374" s="30"/>
      <c r="F2374" s="30" t="s">
        <v>107</v>
      </c>
      <c r="G2374" s="30" t="s">
        <v>106</v>
      </c>
      <c r="H2374" s="30"/>
      <c r="I2374" s="30" t="s">
        <v>192</v>
      </c>
      <c r="J2374" s="30" t="s">
        <v>942</v>
      </c>
      <c r="K2374" s="30"/>
      <c r="L2374" s="30" t="s">
        <v>108</v>
      </c>
      <c r="M2374" s="30" t="s">
        <v>113</v>
      </c>
      <c r="N2374" s="30" t="s">
        <v>114</v>
      </c>
      <c r="O2374" s="30" t="s">
        <v>115</v>
      </c>
      <c r="P2374" s="30" t="s">
        <v>112</v>
      </c>
      <c r="Q2374" s="30" t="s">
        <v>112</v>
      </c>
      <c r="R2374" s="30" t="s">
        <v>183</v>
      </c>
      <c r="S2374" s="81">
        <f>HLOOKUP(L2374,データについて!$J$6:$M$18,13,FALSE)</f>
        <v>1</v>
      </c>
      <c r="T2374" s="81">
        <f>HLOOKUP(M2374,データについて!$J$7:$M$18,12,FALSE)</f>
        <v>1</v>
      </c>
      <c r="U2374" s="81">
        <f>HLOOKUP(N2374,データについて!$J$8:$M$18,11,FALSE)</f>
        <v>1</v>
      </c>
      <c r="V2374" s="81">
        <f>HLOOKUP(O2374,データについて!$J$9:$M$18,10,FALSE)</f>
        <v>1</v>
      </c>
      <c r="W2374" s="81">
        <f>HLOOKUP(P2374,データについて!$J$10:$M$18,9,FALSE)</f>
        <v>1</v>
      </c>
      <c r="X2374" s="81">
        <f>HLOOKUP(Q2374,データについて!$J$11:$M$18,8,FALSE)</f>
        <v>1</v>
      </c>
      <c r="Y2374" s="81">
        <f>HLOOKUP(R2374,データについて!$J$12:$M$18,7,FALSE)</f>
        <v>1</v>
      </c>
      <c r="Z2374" s="81">
        <f>HLOOKUP(I2374,データについて!$J$3:$M$18,16,FALSE)</f>
        <v>1</v>
      </c>
      <c r="AA2374" s="81">
        <f>IFERROR(HLOOKUP(J2374,データについて!$J$4:$AH$19,16,FALSE),"")</f>
        <v>7</v>
      </c>
      <c r="AB2374" s="81" t="str">
        <f>IFERROR(HLOOKUP(K2374,データについて!$J$5:$AH$20,14,FALSE),"")</f>
        <v/>
      </c>
      <c r="AC2374" s="81">
        <f>IF(X2374=1,HLOOKUP(R2374,データについて!$J$12:$M$18,7,FALSE),"*")</f>
        <v>1</v>
      </c>
      <c r="AD2374" s="81" t="str">
        <f>IF(X2374=2,HLOOKUP(R2374,データについて!$J$12:$M$18,7,FALSE),"*")</f>
        <v>*</v>
      </c>
    </row>
    <row r="2375" spans="1:30">
      <c r="A2375" s="30">
        <v>2817</v>
      </c>
      <c r="B2375" s="30" t="s">
        <v>2746</v>
      </c>
      <c r="C2375" s="30" t="s">
        <v>2747</v>
      </c>
      <c r="D2375" s="30" t="s">
        <v>106</v>
      </c>
      <c r="E2375" s="30"/>
      <c r="F2375" s="30" t="s">
        <v>107</v>
      </c>
      <c r="G2375" s="30" t="s">
        <v>106</v>
      </c>
      <c r="H2375" s="30"/>
      <c r="I2375" s="30" t="s">
        <v>192</v>
      </c>
      <c r="J2375" s="30" t="s">
        <v>125</v>
      </c>
      <c r="K2375" s="30"/>
      <c r="L2375" s="30" t="s">
        <v>117</v>
      </c>
      <c r="M2375" s="30" t="s">
        <v>124</v>
      </c>
      <c r="N2375" s="30" t="s">
        <v>114</v>
      </c>
      <c r="O2375" s="30" t="s">
        <v>115</v>
      </c>
      <c r="P2375" s="30" t="s">
        <v>112</v>
      </c>
      <c r="Q2375" s="30" t="s">
        <v>112</v>
      </c>
      <c r="R2375" s="30" t="s">
        <v>183</v>
      </c>
      <c r="S2375" s="81">
        <f>HLOOKUP(L2375,データについて!$J$6:$M$18,13,FALSE)</f>
        <v>2</v>
      </c>
      <c r="T2375" s="81">
        <f>HLOOKUP(M2375,データについて!$J$7:$M$18,12,FALSE)</f>
        <v>3</v>
      </c>
      <c r="U2375" s="81">
        <f>HLOOKUP(N2375,データについて!$J$8:$M$18,11,FALSE)</f>
        <v>1</v>
      </c>
      <c r="V2375" s="81">
        <f>HLOOKUP(O2375,データについて!$J$9:$M$18,10,FALSE)</f>
        <v>1</v>
      </c>
      <c r="W2375" s="81">
        <f>HLOOKUP(P2375,データについて!$J$10:$M$18,9,FALSE)</f>
        <v>1</v>
      </c>
      <c r="X2375" s="81">
        <f>HLOOKUP(Q2375,データについて!$J$11:$M$18,8,FALSE)</f>
        <v>1</v>
      </c>
      <c r="Y2375" s="81">
        <f>HLOOKUP(R2375,データについて!$J$12:$M$18,7,FALSE)</f>
        <v>1</v>
      </c>
      <c r="Z2375" s="81">
        <f>HLOOKUP(I2375,データについて!$J$3:$M$18,16,FALSE)</f>
        <v>1</v>
      </c>
      <c r="AA2375" s="81">
        <f>IFERROR(HLOOKUP(J2375,データについて!$J$4:$AH$19,16,FALSE),"")</f>
        <v>6</v>
      </c>
      <c r="AB2375" s="81" t="str">
        <f>IFERROR(HLOOKUP(K2375,データについて!$J$5:$AH$20,14,FALSE),"")</f>
        <v/>
      </c>
      <c r="AC2375" s="81">
        <f>IF(X2375=1,HLOOKUP(R2375,データについて!$J$12:$M$18,7,FALSE),"*")</f>
        <v>1</v>
      </c>
      <c r="AD2375" s="81" t="str">
        <f>IF(X2375=2,HLOOKUP(R2375,データについて!$J$12:$M$18,7,FALSE),"*")</f>
        <v>*</v>
      </c>
    </row>
    <row r="2376" spans="1:30">
      <c r="A2376" s="30">
        <v>2816</v>
      </c>
      <c r="B2376" s="30" t="s">
        <v>2748</v>
      </c>
      <c r="C2376" s="30" t="s">
        <v>2747</v>
      </c>
      <c r="D2376" s="30" t="s">
        <v>106</v>
      </c>
      <c r="E2376" s="30"/>
      <c r="F2376" s="30" t="s">
        <v>107</v>
      </c>
      <c r="G2376" s="30" t="s">
        <v>106</v>
      </c>
      <c r="H2376" s="30"/>
      <c r="I2376" s="30" t="s">
        <v>192</v>
      </c>
      <c r="J2376" s="30" t="s">
        <v>125</v>
      </c>
      <c r="K2376" s="30"/>
      <c r="L2376" s="30" t="s">
        <v>117</v>
      </c>
      <c r="M2376" s="30" t="s">
        <v>113</v>
      </c>
      <c r="N2376" s="30" t="s">
        <v>110</v>
      </c>
      <c r="O2376" s="30" t="s">
        <v>115</v>
      </c>
      <c r="P2376" s="30" t="s">
        <v>112</v>
      </c>
      <c r="Q2376" s="30" t="s">
        <v>112</v>
      </c>
      <c r="R2376" s="30" t="s">
        <v>183</v>
      </c>
      <c r="S2376" s="81">
        <f>HLOOKUP(L2376,データについて!$J$6:$M$18,13,FALSE)</f>
        <v>2</v>
      </c>
      <c r="T2376" s="81">
        <f>HLOOKUP(M2376,データについて!$J$7:$M$18,12,FALSE)</f>
        <v>1</v>
      </c>
      <c r="U2376" s="81">
        <f>HLOOKUP(N2376,データについて!$J$8:$M$18,11,FALSE)</f>
        <v>2</v>
      </c>
      <c r="V2376" s="81">
        <f>HLOOKUP(O2376,データについて!$J$9:$M$18,10,FALSE)</f>
        <v>1</v>
      </c>
      <c r="W2376" s="81">
        <f>HLOOKUP(P2376,データについて!$J$10:$M$18,9,FALSE)</f>
        <v>1</v>
      </c>
      <c r="X2376" s="81">
        <f>HLOOKUP(Q2376,データについて!$J$11:$M$18,8,FALSE)</f>
        <v>1</v>
      </c>
      <c r="Y2376" s="81">
        <f>HLOOKUP(R2376,データについて!$J$12:$M$18,7,FALSE)</f>
        <v>1</v>
      </c>
      <c r="Z2376" s="81">
        <f>HLOOKUP(I2376,データについて!$J$3:$M$18,16,FALSE)</f>
        <v>1</v>
      </c>
      <c r="AA2376" s="81">
        <f>IFERROR(HLOOKUP(J2376,データについて!$J$4:$AH$19,16,FALSE),"")</f>
        <v>6</v>
      </c>
      <c r="AB2376" s="81" t="str">
        <f>IFERROR(HLOOKUP(K2376,データについて!$J$5:$AH$20,14,FALSE),"")</f>
        <v/>
      </c>
      <c r="AC2376" s="81">
        <f>IF(X2376=1,HLOOKUP(R2376,データについて!$J$12:$M$18,7,FALSE),"*")</f>
        <v>1</v>
      </c>
      <c r="AD2376" s="81" t="str">
        <f>IF(X2376=2,HLOOKUP(R2376,データについて!$J$12:$M$18,7,FALSE),"*")</f>
        <v>*</v>
      </c>
    </row>
    <row r="2377" spans="1:30">
      <c r="A2377" s="30">
        <v>2815</v>
      </c>
      <c r="B2377" s="30" t="s">
        <v>2749</v>
      </c>
      <c r="C2377" s="30" t="s">
        <v>2750</v>
      </c>
      <c r="D2377" s="30" t="s">
        <v>106</v>
      </c>
      <c r="E2377" s="30"/>
      <c r="F2377" s="30" t="s">
        <v>107</v>
      </c>
      <c r="G2377" s="30" t="s">
        <v>106</v>
      </c>
      <c r="H2377" s="30"/>
      <c r="I2377" s="30" t="s">
        <v>192</v>
      </c>
      <c r="J2377" s="30" t="s">
        <v>942</v>
      </c>
      <c r="K2377" s="30"/>
      <c r="L2377" s="30" t="s">
        <v>117</v>
      </c>
      <c r="M2377" s="30" t="s">
        <v>113</v>
      </c>
      <c r="N2377" s="30" t="s">
        <v>110</v>
      </c>
      <c r="O2377" s="30" t="s">
        <v>115</v>
      </c>
      <c r="P2377" s="30" t="s">
        <v>112</v>
      </c>
      <c r="Q2377" s="30" t="s">
        <v>112</v>
      </c>
      <c r="R2377" s="30" t="s">
        <v>185</v>
      </c>
      <c r="S2377" s="81">
        <f>HLOOKUP(L2377,データについて!$J$6:$M$18,13,FALSE)</f>
        <v>2</v>
      </c>
      <c r="T2377" s="81">
        <f>HLOOKUP(M2377,データについて!$J$7:$M$18,12,FALSE)</f>
        <v>1</v>
      </c>
      <c r="U2377" s="81">
        <f>HLOOKUP(N2377,データについて!$J$8:$M$18,11,FALSE)</f>
        <v>2</v>
      </c>
      <c r="V2377" s="81">
        <f>HLOOKUP(O2377,データについて!$J$9:$M$18,10,FALSE)</f>
        <v>1</v>
      </c>
      <c r="W2377" s="81">
        <f>HLOOKUP(P2377,データについて!$J$10:$M$18,9,FALSE)</f>
        <v>1</v>
      </c>
      <c r="X2377" s="81">
        <f>HLOOKUP(Q2377,データについて!$J$11:$M$18,8,FALSE)</f>
        <v>1</v>
      </c>
      <c r="Y2377" s="81">
        <f>HLOOKUP(R2377,データについて!$J$12:$M$18,7,FALSE)</f>
        <v>2</v>
      </c>
      <c r="Z2377" s="81">
        <f>HLOOKUP(I2377,データについて!$J$3:$M$18,16,FALSE)</f>
        <v>1</v>
      </c>
      <c r="AA2377" s="81">
        <f>IFERROR(HLOOKUP(J2377,データについて!$J$4:$AH$19,16,FALSE),"")</f>
        <v>7</v>
      </c>
      <c r="AB2377" s="81" t="str">
        <f>IFERROR(HLOOKUP(K2377,データについて!$J$5:$AH$20,14,FALSE),"")</f>
        <v/>
      </c>
      <c r="AC2377" s="81">
        <f>IF(X2377=1,HLOOKUP(R2377,データについて!$J$12:$M$18,7,FALSE),"*")</f>
        <v>2</v>
      </c>
      <c r="AD2377" s="81" t="str">
        <f>IF(X2377=2,HLOOKUP(R2377,データについて!$J$12:$M$18,7,FALSE),"*")</f>
        <v>*</v>
      </c>
    </row>
    <row r="2378" spans="1:30">
      <c r="A2378" s="30">
        <v>2814</v>
      </c>
      <c r="B2378" s="30" t="s">
        <v>2751</v>
      </c>
      <c r="C2378" s="30" t="s">
        <v>2752</v>
      </c>
      <c r="D2378" s="30" t="s">
        <v>106</v>
      </c>
      <c r="E2378" s="30"/>
      <c r="F2378" s="30" t="s">
        <v>107</v>
      </c>
      <c r="G2378" s="30" t="s">
        <v>106</v>
      </c>
      <c r="H2378" s="30"/>
      <c r="I2378" s="30" t="s">
        <v>192</v>
      </c>
      <c r="J2378" s="30" t="s">
        <v>125</v>
      </c>
      <c r="K2378" s="30"/>
      <c r="L2378" s="30" t="s">
        <v>108</v>
      </c>
      <c r="M2378" s="30" t="s">
        <v>113</v>
      </c>
      <c r="N2378" s="30" t="s">
        <v>114</v>
      </c>
      <c r="O2378" s="30" t="s">
        <v>115</v>
      </c>
      <c r="P2378" s="30" t="s">
        <v>112</v>
      </c>
      <c r="Q2378" s="30" t="s">
        <v>112</v>
      </c>
      <c r="R2378" s="30" t="s">
        <v>183</v>
      </c>
      <c r="S2378" s="81">
        <f>HLOOKUP(L2378,データについて!$J$6:$M$18,13,FALSE)</f>
        <v>1</v>
      </c>
      <c r="T2378" s="81">
        <f>HLOOKUP(M2378,データについて!$J$7:$M$18,12,FALSE)</f>
        <v>1</v>
      </c>
      <c r="U2378" s="81">
        <f>HLOOKUP(N2378,データについて!$J$8:$M$18,11,FALSE)</f>
        <v>1</v>
      </c>
      <c r="V2378" s="81">
        <f>HLOOKUP(O2378,データについて!$J$9:$M$18,10,FALSE)</f>
        <v>1</v>
      </c>
      <c r="W2378" s="81">
        <f>HLOOKUP(P2378,データについて!$J$10:$M$18,9,FALSE)</f>
        <v>1</v>
      </c>
      <c r="X2378" s="81">
        <f>HLOOKUP(Q2378,データについて!$J$11:$M$18,8,FALSE)</f>
        <v>1</v>
      </c>
      <c r="Y2378" s="81">
        <f>HLOOKUP(R2378,データについて!$J$12:$M$18,7,FALSE)</f>
        <v>1</v>
      </c>
      <c r="Z2378" s="81">
        <f>HLOOKUP(I2378,データについて!$J$3:$M$18,16,FALSE)</f>
        <v>1</v>
      </c>
      <c r="AA2378" s="81">
        <f>IFERROR(HLOOKUP(J2378,データについて!$J$4:$AH$19,16,FALSE),"")</f>
        <v>6</v>
      </c>
      <c r="AB2378" s="81" t="str">
        <f>IFERROR(HLOOKUP(K2378,データについて!$J$5:$AH$20,14,FALSE),"")</f>
        <v/>
      </c>
      <c r="AC2378" s="81">
        <f>IF(X2378=1,HLOOKUP(R2378,データについて!$J$12:$M$18,7,FALSE),"*")</f>
        <v>1</v>
      </c>
      <c r="AD2378" s="81" t="str">
        <f>IF(X2378=2,HLOOKUP(R2378,データについて!$J$12:$M$18,7,FALSE),"*")</f>
        <v>*</v>
      </c>
    </row>
    <row r="2379" spans="1:30">
      <c r="A2379" s="30">
        <v>2813</v>
      </c>
      <c r="B2379" s="30" t="s">
        <v>2753</v>
      </c>
      <c r="C2379" s="30" t="s">
        <v>2754</v>
      </c>
      <c r="D2379" s="30" t="s">
        <v>106</v>
      </c>
      <c r="E2379" s="30"/>
      <c r="F2379" s="30" t="s">
        <v>107</v>
      </c>
      <c r="G2379" s="30" t="s">
        <v>106</v>
      </c>
      <c r="H2379" s="30"/>
      <c r="I2379" s="30" t="s">
        <v>192</v>
      </c>
      <c r="J2379" s="30" t="s">
        <v>942</v>
      </c>
      <c r="K2379" s="30"/>
      <c r="L2379" s="30" t="s">
        <v>117</v>
      </c>
      <c r="M2379" s="30" t="s">
        <v>109</v>
      </c>
      <c r="N2379" s="30" t="s">
        <v>114</v>
      </c>
      <c r="O2379" s="30" t="s">
        <v>115</v>
      </c>
      <c r="P2379" s="30" t="s">
        <v>112</v>
      </c>
      <c r="Q2379" s="30" t="s">
        <v>118</v>
      </c>
      <c r="R2379" s="30" t="s">
        <v>183</v>
      </c>
      <c r="S2379" s="81">
        <f>HLOOKUP(L2379,データについて!$J$6:$M$18,13,FALSE)</f>
        <v>2</v>
      </c>
      <c r="T2379" s="81">
        <f>HLOOKUP(M2379,データについて!$J$7:$M$18,12,FALSE)</f>
        <v>2</v>
      </c>
      <c r="U2379" s="81">
        <f>HLOOKUP(N2379,データについて!$J$8:$M$18,11,FALSE)</f>
        <v>1</v>
      </c>
      <c r="V2379" s="81">
        <f>HLOOKUP(O2379,データについて!$J$9:$M$18,10,FALSE)</f>
        <v>1</v>
      </c>
      <c r="W2379" s="81">
        <f>HLOOKUP(P2379,データについて!$J$10:$M$18,9,FALSE)</f>
        <v>1</v>
      </c>
      <c r="X2379" s="81">
        <f>HLOOKUP(Q2379,データについて!$J$11:$M$18,8,FALSE)</f>
        <v>2</v>
      </c>
      <c r="Y2379" s="81">
        <f>HLOOKUP(R2379,データについて!$J$12:$M$18,7,FALSE)</f>
        <v>1</v>
      </c>
      <c r="Z2379" s="81">
        <f>HLOOKUP(I2379,データについて!$J$3:$M$18,16,FALSE)</f>
        <v>1</v>
      </c>
      <c r="AA2379" s="81">
        <f>IFERROR(HLOOKUP(J2379,データについて!$J$4:$AH$19,16,FALSE),"")</f>
        <v>7</v>
      </c>
      <c r="AB2379" s="81" t="str">
        <f>IFERROR(HLOOKUP(K2379,データについて!$J$5:$AH$20,14,FALSE),"")</f>
        <v/>
      </c>
      <c r="AC2379" s="81" t="str">
        <f>IF(X2379=1,HLOOKUP(R2379,データについて!$J$12:$M$18,7,FALSE),"*")</f>
        <v>*</v>
      </c>
      <c r="AD2379" s="81">
        <f>IF(X2379=2,HLOOKUP(R2379,データについて!$J$12:$M$18,7,FALSE),"*")</f>
        <v>1</v>
      </c>
    </row>
    <row r="2380" spans="1:30">
      <c r="A2380" s="30">
        <v>2812</v>
      </c>
      <c r="B2380" s="30" t="s">
        <v>2755</v>
      </c>
      <c r="C2380" s="30" t="s">
        <v>2754</v>
      </c>
      <c r="D2380" s="30" t="s">
        <v>106</v>
      </c>
      <c r="E2380" s="30"/>
      <c r="F2380" s="30" t="s">
        <v>107</v>
      </c>
      <c r="G2380" s="30" t="s">
        <v>106</v>
      </c>
      <c r="H2380" s="30"/>
      <c r="I2380" s="30" t="s">
        <v>192</v>
      </c>
      <c r="J2380" s="30" t="s">
        <v>942</v>
      </c>
      <c r="K2380" s="30"/>
      <c r="L2380" s="30" t="s">
        <v>108</v>
      </c>
      <c r="M2380" s="30" t="s">
        <v>109</v>
      </c>
      <c r="N2380" s="30" t="s">
        <v>114</v>
      </c>
      <c r="O2380" s="30" t="s">
        <v>115</v>
      </c>
      <c r="P2380" s="30" t="s">
        <v>112</v>
      </c>
      <c r="Q2380" s="30" t="s">
        <v>112</v>
      </c>
      <c r="R2380" s="30" t="s">
        <v>185</v>
      </c>
      <c r="S2380" s="81">
        <f>HLOOKUP(L2380,データについて!$J$6:$M$18,13,FALSE)</f>
        <v>1</v>
      </c>
      <c r="T2380" s="81">
        <f>HLOOKUP(M2380,データについて!$J$7:$M$18,12,FALSE)</f>
        <v>2</v>
      </c>
      <c r="U2380" s="81">
        <f>HLOOKUP(N2380,データについて!$J$8:$M$18,11,FALSE)</f>
        <v>1</v>
      </c>
      <c r="V2380" s="81">
        <f>HLOOKUP(O2380,データについて!$J$9:$M$18,10,FALSE)</f>
        <v>1</v>
      </c>
      <c r="W2380" s="81">
        <f>HLOOKUP(P2380,データについて!$J$10:$M$18,9,FALSE)</f>
        <v>1</v>
      </c>
      <c r="X2380" s="81">
        <f>HLOOKUP(Q2380,データについて!$J$11:$M$18,8,FALSE)</f>
        <v>1</v>
      </c>
      <c r="Y2380" s="81">
        <f>HLOOKUP(R2380,データについて!$J$12:$M$18,7,FALSE)</f>
        <v>2</v>
      </c>
      <c r="Z2380" s="81">
        <f>HLOOKUP(I2380,データについて!$J$3:$M$18,16,FALSE)</f>
        <v>1</v>
      </c>
      <c r="AA2380" s="81">
        <f>IFERROR(HLOOKUP(J2380,データについて!$J$4:$AH$19,16,FALSE),"")</f>
        <v>7</v>
      </c>
      <c r="AB2380" s="81" t="str">
        <f>IFERROR(HLOOKUP(K2380,データについて!$J$5:$AH$20,14,FALSE),"")</f>
        <v/>
      </c>
      <c r="AC2380" s="81">
        <f>IF(X2380=1,HLOOKUP(R2380,データについて!$J$12:$M$18,7,FALSE),"*")</f>
        <v>2</v>
      </c>
      <c r="AD2380" s="81" t="str">
        <f>IF(X2380=2,HLOOKUP(R2380,データについて!$J$12:$M$18,7,FALSE),"*")</f>
        <v>*</v>
      </c>
    </row>
    <row r="2381" spans="1:30">
      <c r="A2381" s="30">
        <v>2811</v>
      </c>
      <c r="B2381" s="30" t="s">
        <v>2756</v>
      </c>
      <c r="C2381" s="30" t="s">
        <v>2757</v>
      </c>
      <c r="D2381" s="30" t="s">
        <v>106</v>
      </c>
      <c r="E2381" s="30"/>
      <c r="F2381" s="30" t="s">
        <v>107</v>
      </c>
      <c r="G2381" s="30" t="s">
        <v>106</v>
      </c>
      <c r="H2381" s="30"/>
      <c r="I2381" s="30" t="s">
        <v>192</v>
      </c>
      <c r="J2381" s="30" t="s">
        <v>942</v>
      </c>
      <c r="K2381" s="30"/>
      <c r="L2381" s="30" t="s">
        <v>117</v>
      </c>
      <c r="M2381" s="30" t="s">
        <v>113</v>
      </c>
      <c r="N2381" s="30" t="s">
        <v>114</v>
      </c>
      <c r="O2381" s="30" t="s">
        <v>115</v>
      </c>
      <c r="P2381" s="30" t="s">
        <v>112</v>
      </c>
      <c r="Q2381" s="30" t="s">
        <v>112</v>
      </c>
      <c r="R2381" s="30" t="s">
        <v>183</v>
      </c>
      <c r="S2381" s="81">
        <f>HLOOKUP(L2381,データについて!$J$6:$M$18,13,FALSE)</f>
        <v>2</v>
      </c>
      <c r="T2381" s="81">
        <f>HLOOKUP(M2381,データについて!$J$7:$M$18,12,FALSE)</f>
        <v>1</v>
      </c>
      <c r="U2381" s="81">
        <f>HLOOKUP(N2381,データについて!$J$8:$M$18,11,FALSE)</f>
        <v>1</v>
      </c>
      <c r="V2381" s="81">
        <f>HLOOKUP(O2381,データについて!$J$9:$M$18,10,FALSE)</f>
        <v>1</v>
      </c>
      <c r="W2381" s="81">
        <f>HLOOKUP(P2381,データについて!$J$10:$M$18,9,FALSE)</f>
        <v>1</v>
      </c>
      <c r="X2381" s="81">
        <f>HLOOKUP(Q2381,データについて!$J$11:$M$18,8,FALSE)</f>
        <v>1</v>
      </c>
      <c r="Y2381" s="81">
        <f>HLOOKUP(R2381,データについて!$J$12:$M$18,7,FALSE)</f>
        <v>1</v>
      </c>
      <c r="Z2381" s="81">
        <f>HLOOKUP(I2381,データについて!$J$3:$M$18,16,FALSE)</f>
        <v>1</v>
      </c>
      <c r="AA2381" s="81">
        <f>IFERROR(HLOOKUP(J2381,データについて!$J$4:$AH$19,16,FALSE),"")</f>
        <v>7</v>
      </c>
      <c r="AB2381" s="81" t="str">
        <f>IFERROR(HLOOKUP(K2381,データについて!$J$5:$AH$20,14,FALSE),"")</f>
        <v/>
      </c>
      <c r="AC2381" s="81">
        <f>IF(X2381=1,HLOOKUP(R2381,データについて!$J$12:$M$18,7,FALSE),"*")</f>
        <v>1</v>
      </c>
      <c r="AD2381" s="81" t="str">
        <f>IF(X2381=2,HLOOKUP(R2381,データについて!$J$12:$M$18,7,FALSE),"*")</f>
        <v>*</v>
      </c>
    </row>
    <row r="2382" spans="1:30">
      <c r="A2382" s="30">
        <v>2810</v>
      </c>
      <c r="B2382" s="30" t="s">
        <v>2758</v>
      </c>
      <c r="C2382" s="30" t="s">
        <v>2759</v>
      </c>
      <c r="D2382" s="30" t="s">
        <v>106</v>
      </c>
      <c r="E2382" s="30"/>
      <c r="F2382" s="30" t="s">
        <v>107</v>
      </c>
      <c r="G2382" s="30" t="s">
        <v>106</v>
      </c>
      <c r="H2382" s="30"/>
      <c r="I2382" s="30" t="s">
        <v>192</v>
      </c>
      <c r="J2382" s="30" t="s">
        <v>125</v>
      </c>
      <c r="K2382" s="30"/>
      <c r="L2382" s="30" t="s">
        <v>117</v>
      </c>
      <c r="M2382" s="30" t="s">
        <v>109</v>
      </c>
      <c r="N2382" s="30" t="s">
        <v>114</v>
      </c>
      <c r="O2382" s="30" t="s">
        <v>115</v>
      </c>
      <c r="P2382" s="30" t="s">
        <v>112</v>
      </c>
      <c r="Q2382" s="30" t="s">
        <v>112</v>
      </c>
      <c r="R2382" s="30" t="s">
        <v>183</v>
      </c>
      <c r="S2382" s="81">
        <f>HLOOKUP(L2382,データについて!$J$6:$M$18,13,FALSE)</f>
        <v>2</v>
      </c>
      <c r="T2382" s="81">
        <f>HLOOKUP(M2382,データについて!$J$7:$M$18,12,FALSE)</f>
        <v>2</v>
      </c>
      <c r="U2382" s="81">
        <f>HLOOKUP(N2382,データについて!$J$8:$M$18,11,FALSE)</f>
        <v>1</v>
      </c>
      <c r="V2382" s="81">
        <f>HLOOKUP(O2382,データについて!$J$9:$M$18,10,FALSE)</f>
        <v>1</v>
      </c>
      <c r="W2382" s="81">
        <f>HLOOKUP(P2382,データについて!$J$10:$M$18,9,FALSE)</f>
        <v>1</v>
      </c>
      <c r="X2382" s="81">
        <f>HLOOKUP(Q2382,データについて!$J$11:$M$18,8,FALSE)</f>
        <v>1</v>
      </c>
      <c r="Y2382" s="81">
        <f>HLOOKUP(R2382,データについて!$J$12:$M$18,7,FALSE)</f>
        <v>1</v>
      </c>
      <c r="Z2382" s="81">
        <f>HLOOKUP(I2382,データについて!$J$3:$M$18,16,FALSE)</f>
        <v>1</v>
      </c>
      <c r="AA2382" s="81">
        <f>IFERROR(HLOOKUP(J2382,データについて!$J$4:$AH$19,16,FALSE),"")</f>
        <v>6</v>
      </c>
      <c r="AB2382" s="81" t="str">
        <f>IFERROR(HLOOKUP(K2382,データについて!$J$5:$AH$20,14,FALSE),"")</f>
        <v/>
      </c>
      <c r="AC2382" s="81">
        <f>IF(X2382=1,HLOOKUP(R2382,データについて!$J$12:$M$18,7,FALSE),"*")</f>
        <v>1</v>
      </c>
      <c r="AD2382" s="81" t="str">
        <f>IF(X2382=2,HLOOKUP(R2382,データについて!$J$12:$M$18,7,FALSE),"*")</f>
        <v>*</v>
      </c>
    </row>
    <row r="2383" spans="1:30">
      <c r="A2383" s="30">
        <v>2809</v>
      </c>
      <c r="B2383" s="30" t="s">
        <v>2760</v>
      </c>
      <c r="C2383" s="30" t="s">
        <v>2761</v>
      </c>
      <c r="D2383" s="30" t="s">
        <v>106</v>
      </c>
      <c r="E2383" s="30"/>
      <c r="F2383" s="30" t="s">
        <v>107</v>
      </c>
      <c r="G2383" s="30" t="s">
        <v>106</v>
      </c>
      <c r="H2383" s="30"/>
      <c r="I2383" s="30" t="s">
        <v>192</v>
      </c>
      <c r="J2383" s="30" t="s">
        <v>125</v>
      </c>
      <c r="K2383" s="30"/>
      <c r="L2383" s="30" t="s">
        <v>117</v>
      </c>
      <c r="M2383" s="30" t="s">
        <v>113</v>
      </c>
      <c r="N2383" s="30" t="s">
        <v>114</v>
      </c>
      <c r="O2383" s="30" t="s">
        <v>115</v>
      </c>
      <c r="P2383" s="30" t="s">
        <v>112</v>
      </c>
      <c r="Q2383" s="30" t="s">
        <v>118</v>
      </c>
      <c r="R2383" s="30" t="s">
        <v>185</v>
      </c>
      <c r="S2383" s="81">
        <f>HLOOKUP(L2383,データについて!$J$6:$M$18,13,FALSE)</f>
        <v>2</v>
      </c>
      <c r="T2383" s="81">
        <f>HLOOKUP(M2383,データについて!$J$7:$M$18,12,FALSE)</f>
        <v>1</v>
      </c>
      <c r="U2383" s="81">
        <f>HLOOKUP(N2383,データについて!$J$8:$M$18,11,FALSE)</f>
        <v>1</v>
      </c>
      <c r="V2383" s="81">
        <f>HLOOKUP(O2383,データについて!$J$9:$M$18,10,FALSE)</f>
        <v>1</v>
      </c>
      <c r="W2383" s="81">
        <f>HLOOKUP(P2383,データについて!$J$10:$M$18,9,FALSE)</f>
        <v>1</v>
      </c>
      <c r="X2383" s="81">
        <f>HLOOKUP(Q2383,データについて!$J$11:$M$18,8,FALSE)</f>
        <v>2</v>
      </c>
      <c r="Y2383" s="81">
        <f>HLOOKUP(R2383,データについて!$J$12:$M$18,7,FALSE)</f>
        <v>2</v>
      </c>
      <c r="Z2383" s="81">
        <f>HLOOKUP(I2383,データについて!$J$3:$M$18,16,FALSE)</f>
        <v>1</v>
      </c>
      <c r="AA2383" s="81">
        <f>IFERROR(HLOOKUP(J2383,データについて!$J$4:$AH$19,16,FALSE),"")</f>
        <v>6</v>
      </c>
      <c r="AB2383" s="81" t="str">
        <f>IFERROR(HLOOKUP(K2383,データについて!$J$5:$AH$20,14,FALSE),"")</f>
        <v/>
      </c>
      <c r="AC2383" s="81" t="str">
        <f>IF(X2383=1,HLOOKUP(R2383,データについて!$J$12:$M$18,7,FALSE),"*")</f>
        <v>*</v>
      </c>
      <c r="AD2383" s="81">
        <f>IF(X2383=2,HLOOKUP(R2383,データについて!$J$12:$M$18,7,FALSE),"*")</f>
        <v>2</v>
      </c>
    </row>
    <row r="2384" spans="1:30">
      <c r="A2384" s="30">
        <v>2808</v>
      </c>
      <c r="B2384" s="30" t="s">
        <v>2762</v>
      </c>
      <c r="C2384" s="30" t="s">
        <v>2763</v>
      </c>
      <c r="D2384" s="30" t="s">
        <v>106</v>
      </c>
      <c r="E2384" s="30"/>
      <c r="F2384" s="30" t="s">
        <v>107</v>
      </c>
      <c r="G2384" s="30" t="s">
        <v>106</v>
      </c>
      <c r="H2384" s="30"/>
      <c r="I2384" s="30" t="s">
        <v>192</v>
      </c>
      <c r="J2384" s="30" t="s">
        <v>942</v>
      </c>
      <c r="K2384" s="30"/>
      <c r="L2384" s="30" t="s">
        <v>117</v>
      </c>
      <c r="M2384" s="30" t="s">
        <v>113</v>
      </c>
      <c r="N2384" s="30" t="s">
        <v>114</v>
      </c>
      <c r="O2384" s="30" t="s">
        <v>115</v>
      </c>
      <c r="P2384" s="30" t="s">
        <v>112</v>
      </c>
      <c r="Q2384" s="30" t="s">
        <v>112</v>
      </c>
      <c r="R2384" s="30" t="s">
        <v>183</v>
      </c>
      <c r="S2384" s="81">
        <f>HLOOKUP(L2384,データについて!$J$6:$M$18,13,FALSE)</f>
        <v>2</v>
      </c>
      <c r="T2384" s="81">
        <f>HLOOKUP(M2384,データについて!$J$7:$M$18,12,FALSE)</f>
        <v>1</v>
      </c>
      <c r="U2384" s="81">
        <f>HLOOKUP(N2384,データについて!$J$8:$M$18,11,FALSE)</f>
        <v>1</v>
      </c>
      <c r="V2384" s="81">
        <f>HLOOKUP(O2384,データについて!$J$9:$M$18,10,FALSE)</f>
        <v>1</v>
      </c>
      <c r="W2384" s="81">
        <f>HLOOKUP(P2384,データについて!$J$10:$M$18,9,FALSE)</f>
        <v>1</v>
      </c>
      <c r="X2384" s="81">
        <f>HLOOKUP(Q2384,データについて!$J$11:$M$18,8,FALSE)</f>
        <v>1</v>
      </c>
      <c r="Y2384" s="81">
        <f>HLOOKUP(R2384,データについて!$J$12:$M$18,7,FALSE)</f>
        <v>1</v>
      </c>
      <c r="Z2384" s="81">
        <f>HLOOKUP(I2384,データについて!$J$3:$M$18,16,FALSE)</f>
        <v>1</v>
      </c>
      <c r="AA2384" s="81">
        <f>IFERROR(HLOOKUP(J2384,データについて!$J$4:$AH$19,16,FALSE),"")</f>
        <v>7</v>
      </c>
      <c r="AB2384" s="81" t="str">
        <f>IFERROR(HLOOKUP(K2384,データについて!$J$5:$AH$20,14,FALSE),"")</f>
        <v/>
      </c>
      <c r="AC2384" s="81">
        <f>IF(X2384=1,HLOOKUP(R2384,データについて!$J$12:$M$18,7,FALSE),"*")</f>
        <v>1</v>
      </c>
      <c r="AD2384" s="81" t="str">
        <f>IF(X2384=2,HLOOKUP(R2384,データについて!$J$12:$M$18,7,FALSE),"*")</f>
        <v>*</v>
      </c>
    </row>
    <row r="2385" spans="1:30">
      <c r="A2385" s="30">
        <v>2807</v>
      </c>
      <c r="B2385" s="30" t="s">
        <v>2764</v>
      </c>
      <c r="C2385" s="30" t="s">
        <v>2765</v>
      </c>
      <c r="D2385" s="30" t="s">
        <v>106</v>
      </c>
      <c r="E2385" s="30"/>
      <c r="F2385" s="30" t="s">
        <v>107</v>
      </c>
      <c r="G2385" s="30" t="s">
        <v>106</v>
      </c>
      <c r="H2385" s="30"/>
      <c r="I2385" s="30" t="s">
        <v>192</v>
      </c>
      <c r="J2385" s="30" t="s">
        <v>125</v>
      </c>
      <c r="K2385" s="30"/>
      <c r="L2385" s="30" t="s">
        <v>108</v>
      </c>
      <c r="M2385" s="30" t="s">
        <v>113</v>
      </c>
      <c r="N2385" s="30" t="s">
        <v>114</v>
      </c>
      <c r="O2385" s="30" t="s">
        <v>115</v>
      </c>
      <c r="P2385" s="30" t="s">
        <v>112</v>
      </c>
      <c r="Q2385" s="30" t="s">
        <v>112</v>
      </c>
      <c r="R2385" s="30" t="s">
        <v>183</v>
      </c>
      <c r="S2385" s="81">
        <f>HLOOKUP(L2385,データについて!$J$6:$M$18,13,FALSE)</f>
        <v>1</v>
      </c>
      <c r="T2385" s="81">
        <f>HLOOKUP(M2385,データについて!$J$7:$M$18,12,FALSE)</f>
        <v>1</v>
      </c>
      <c r="U2385" s="81">
        <f>HLOOKUP(N2385,データについて!$J$8:$M$18,11,FALSE)</f>
        <v>1</v>
      </c>
      <c r="V2385" s="81">
        <f>HLOOKUP(O2385,データについて!$J$9:$M$18,10,FALSE)</f>
        <v>1</v>
      </c>
      <c r="W2385" s="81">
        <f>HLOOKUP(P2385,データについて!$J$10:$M$18,9,FALSE)</f>
        <v>1</v>
      </c>
      <c r="X2385" s="81">
        <f>HLOOKUP(Q2385,データについて!$J$11:$M$18,8,FALSE)</f>
        <v>1</v>
      </c>
      <c r="Y2385" s="81">
        <f>HLOOKUP(R2385,データについて!$J$12:$M$18,7,FALSE)</f>
        <v>1</v>
      </c>
      <c r="Z2385" s="81">
        <f>HLOOKUP(I2385,データについて!$J$3:$M$18,16,FALSE)</f>
        <v>1</v>
      </c>
      <c r="AA2385" s="81">
        <f>IFERROR(HLOOKUP(J2385,データについて!$J$4:$AH$19,16,FALSE),"")</f>
        <v>6</v>
      </c>
      <c r="AB2385" s="81" t="str">
        <f>IFERROR(HLOOKUP(K2385,データについて!$J$5:$AH$20,14,FALSE),"")</f>
        <v/>
      </c>
      <c r="AC2385" s="81">
        <f>IF(X2385=1,HLOOKUP(R2385,データについて!$J$12:$M$18,7,FALSE),"*")</f>
        <v>1</v>
      </c>
      <c r="AD2385" s="81" t="str">
        <f>IF(X2385=2,HLOOKUP(R2385,データについて!$J$12:$M$18,7,FALSE),"*")</f>
        <v>*</v>
      </c>
    </row>
    <row r="2386" spans="1:30">
      <c r="A2386" s="30">
        <v>2806</v>
      </c>
      <c r="B2386" s="30" t="s">
        <v>2766</v>
      </c>
      <c r="C2386" s="30" t="s">
        <v>2767</v>
      </c>
      <c r="D2386" s="30" t="s">
        <v>106</v>
      </c>
      <c r="E2386" s="30"/>
      <c r="F2386" s="30" t="s">
        <v>107</v>
      </c>
      <c r="G2386" s="30" t="s">
        <v>106</v>
      </c>
      <c r="H2386" s="30"/>
      <c r="I2386" s="30" t="s">
        <v>192</v>
      </c>
      <c r="J2386" s="30" t="s">
        <v>125</v>
      </c>
      <c r="K2386" s="30"/>
      <c r="L2386" s="30" t="s">
        <v>108</v>
      </c>
      <c r="M2386" s="30" t="s">
        <v>113</v>
      </c>
      <c r="N2386" s="30" t="s">
        <v>114</v>
      </c>
      <c r="O2386" s="30" t="s">
        <v>115</v>
      </c>
      <c r="P2386" s="30" t="s">
        <v>112</v>
      </c>
      <c r="Q2386" s="30" t="s">
        <v>112</v>
      </c>
      <c r="R2386" s="30" t="s">
        <v>185</v>
      </c>
      <c r="S2386" s="81">
        <f>HLOOKUP(L2386,データについて!$J$6:$M$18,13,FALSE)</f>
        <v>1</v>
      </c>
      <c r="T2386" s="81">
        <f>HLOOKUP(M2386,データについて!$J$7:$M$18,12,FALSE)</f>
        <v>1</v>
      </c>
      <c r="U2386" s="81">
        <f>HLOOKUP(N2386,データについて!$J$8:$M$18,11,FALSE)</f>
        <v>1</v>
      </c>
      <c r="V2386" s="81">
        <f>HLOOKUP(O2386,データについて!$J$9:$M$18,10,FALSE)</f>
        <v>1</v>
      </c>
      <c r="W2386" s="81">
        <f>HLOOKUP(P2386,データについて!$J$10:$M$18,9,FALSE)</f>
        <v>1</v>
      </c>
      <c r="X2386" s="81">
        <f>HLOOKUP(Q2386,データについて!$J$11:$M$18,8,FALSE)</f>
        <v>1</v>
      </c>
      <c r="Y2386" s="81">
        <f>HLOOKUP(R2386,データについて!$J$12:$M$18,7,FALSE)</f>
        <v>2</v>
      </c>
      <c r="Z2386" s="81">
        <f>HLOOKUP(I2386,データについて!$J$3:$M$18,16,FALSE)</f>
        <v>1</v>
      </c>
      <c r="AA2386" s="81">
        <f>IFERROR(HLOOKUP(J2386,データについて!$J$4:$AH$19,16,FALSE),"")</f>
        <v>6</v>
      </c>
      <c r="AB2386" s="81" t="str">
        <f>IFERROR(HLOOKUP(K2386,データについて!$J$5:$AH$20,14,FALSE),"")</f>
        <v/>
      </c>
      <c r="AC2386" s="81">
        <f>IF(X2386=1,HLOOKUP(R2386,データについて!$J$12:$M$18,7,FALSE),"*")</f>
        <v>2</v>
      </c>
      <c r="AD2386" s="81" t="str">
        <f>IF(X2386=2,HLOOKUP(R2386,データについて!$J$12:$M$18,7,FALSE),"*")</f>
        <v>*</v>
      </c>
    </row>
    <row r="2387" spans="1:30">
      <c r="A2387" s="30">
        <v>2805</v>
      </c>
      <c r="B2387" s="30" t="s">
        <v>2768</v>
      </c>
      <c r="C2387" s="30" t="s">
        <v>2769</v>
      </c>
      <c r="D2387" s="30" t="s">
        <v>106</v>
      </c>
      <c r="E2387" s="30"/>
      <c r="F2387" s="30" t="s">
        <v>107</v>
      </c>
      <c r="G2387" s="30" t="s">
        <v>106</v>
      </c>
      <c r="H2387" s="30"/>
      <c r="I2387" s="30" t="s">
        <v>192</v>
      </c>
      <c r="J2387" s="30" t="s">
        <v>942</v>
      </c>
      <c r="K2387" s="30"/>
      <c r="L2387" s="30" t="s">
        <v>108</v>
      </c>
      <c r="M2387" s="30" t="s">
        <v>113</v>
      </c>
      <c r="N2387" s="30" t="s">
        <v>110</v>
      </c>
      <c r="O2387" s="30" t="s">
        <v>115</v>
      </c>
      <c r="P2387" s="30" t="s">
        <v>112</v>
      </c>
      <c r="Q2387" s="30" t="s">
        <v>118</v>
      </c>
      <c r="R2387" s="30" t="s">
        <v>189</v>
      </c>
      <c r="S2387" s="81">
        <f>HLOOKUP(L2387,データについて!$J$6:$M$18,13,FALSE)</f>
        <v>1</v>
      </c>
      <c r="T2387" s="81">
        <f>HLOOKUP(M2387,データについて!$J$7:$M$18,12,FALSE)</f>
        <v>1</v>
      </c>
      <c r="U2387" s="81">
        <f>HLOOKUP(N2387,データについて!$J$8:$M$18,11,FALSE)</f>
        <v>2</v>
      </c>
      <c r="V2387" s="81">
        <f>HLOOKUP(O2387,データについて!$J$9:$M$18,10,FALSE)</f>
        <v>1</v>
      </c>
      <c r="W2387" s="81">
        <f>HLOOKUP(P2387,データについて!$J$10:$M$18,9,FALSE)</f>
        <v>1</v>
      </c>
      <c r="X2387" s="81">
        <f>HLOOKUP(Q2387,データについて!$J$11:$M$18,8,FALSE)</f>
        <v>2</v>
      </c>
      <c r="Y2387" s="81">
        <f>HLOOKUP(R2387,データについて!$J$12:$M$18,7,FALSE)</f>
        <v>4</v>
      </c>
      <c r="Z2387" s="81">
        <f>HLOOKUP(I2387,データについて!$J$3:$M$18,16,FALSE)</f>
        <v>1</v>
      </c>
      <c r="AA2387" s="81">
        <f>IFERROR(HLOOKUP(J2387,データについて!$J$4:$AH$19,16,FALSE),"")</f>
        <v>7</v>
      </c>
      <c r="AB2387" s="81" t="str">
        <f>IFERROR(HLOOKUP(K2387,データについて!$J$5:$AH$20,14,FALSE),"")</f>
        <v/>
      </c>
      <c r="AC2387" s="81" t="str">
        <f>IF(X2387=1,HLOOKUP(R2387,データについて!$J$12:$M$18,7,FALSE),"*")</f>
        <v>*</v>
      </c>
      <c r="AD2387" s="81">
        <f>IF(X2387=2,HLOOKUP(R2387,データについて!$J$12:$M$18,7,FALSE),"*")</f>
        <v>4</v>
      </c>
    </row>
    <row r="2388" spans="1:30">
      <c r="A2388" s="30">
        <v>2804</v>
      </c>
      <c r="B2388" s="30" t="s">
        <v>2770</v>
      </c>
      <c r="C2388" s="30" t="s">
        <v>2771</v>
      </c>
      <c r="D2388" s="30" t="s">
        <v>106</v>
      </c>
      <c r="E2388" s="30"/>
      <c r="F2388" s="30" t="s">
        <v>107</v>
      </c>
      <c r="G2388" s="30" t="s">
        <v>106</v>
      </c>
      <c r="H2388" s="30"/>
      <c r="I2388" s="30" t="s">
        <v>192</v>
      </c>
      <c r="J2388" s="30" t="s">
        <v>125</v>
      </c>
      <c r="K2388" s="30"/>
      <c r="L2388" s="30" t="s">
        <v>108</v>
      </c>
      <c r="M2388" s="30" t="s">
        <v>109</v>
      </c>
      <c r="N2388" s="30" t="s">
        <v>122</v>
      </c>
      <c r="O2388" s="30" t="s">
        <v>115</v>
      </c>
      <c r="P2388" s="30" t="s">
        <v>112</v>
      </c>
      <c r="Q2388" s="30" t="s">
        <v>112</v>
      </c>
      <c r="R2388" s="30" t="s">
        <v>187</v>
      </c>
      <c r="S2388" s="81">
        <f>HLOOKUP(L2388,データについて!$J$6:$M$18,13,FALSE)</f>
        <v>1</v>
      </c>
      <c r="T2388" s="81">
        <f>HLOOKUP(M2388,データについて!$J$7:$M$18,12,FALSE)</f>
        <v>2</v>
      </c>
      <c r="U2388" s="81">
        <f>HLOOKUP(N2388,データについて!$J$8:$M$18,11,FALSE)</f>
        <v>3</v>
      </c>
      <c r="V2388" s="81">
        <f>HLOOKUP(O2388,データについて!$J$9:$M$18,10,FALSE)</f>
        <v>1</v>
      </c>
      <c r="W2388" s="81">
        <f>HLOOKUP(P2388,データについて!$J$10:$M$18,9,FALSE)</f>
        <v>1</v>
      </c>
      <c r="X2388" s="81">
        <f>HLOOKUP(Q2388,データについて!$J$11:$M$18,8,FALSE)</f>
        <v>1</v>
      </c>
      <c r="Y2388" s="81">
        <f>HLOOKUP(R2388,データについて!$J$12:$M$18,7,FALSE)</f>
        <v>3</v>
      </c>
      <c r="Z2388" s="81">
        <f>HLOOKUP(I2388,データについて!$J$3:$M$18,16,FALSE)</f>
        <v>1</v>
      </c>
      <c r="AA2388" s="81">
        <f>IFERROR(HLOOKUP(J2388,データについて!$J$4:$AH$19,16,FALSE),"")</f>
        <v>6</v>
      </c>
      <c r="AB2388" s="81" t="str">
        <f>IFERROR(HLOOKUP(K2388,データについて!$J$5:$AH$20,14,FALSE),"")</f>
        <v/>
      </c>
      <c r="AC2388" s="81">
        <f>IF(X2388=1,HLOOKUP(R2388,データについて!$J$12:$M$18,7,FALSE),"*")</f>
        <v>3</v>
      </c>
      <c r="AD2388" s="81" t="str">
        <f>IF(X2388=2,HLOOKUP(R2388,データについて!$J$12:$M$18,7,FALSE),"*")</f>
        <v>*</v>
      </c>
    </row>
    <row r="2389" spans="1:30">
      <c r="A2389" s="30">
        <v>2803</v>
      </c>
      <c r="B2389" s="30" t="s">
        <v>2772</v>
      </c>
      <c r="C2389" s="30" t="s">
        <v>2771</v>
      </c>
      <c r="D2389" s="30" t="s">
        <v>106</v>
      </c>
      <c r="E2389" s="30"/>
      <c r="F2389" s="30" t="s">
        <v>107</v>
      </c>
      <c r="G2389" s="30" t="s">
        <v>106</v>
      </c>
      <c r="H2389" s="30"/>
      <c r="I2389" s="30" t="s">
        <v>192</v>
      </c>
      <c r="J2389" s="30" t="s">
        <v>125</v>
      </c>
      <c r="K2389" s="30"/>
      <c r="L2389" s="30" t="s">
        <v>108</v>
      </c>
      <c r="M2389" s="30" t="s">
        <v>113</v>
      </c>
      <c r="N2389" s="30" t="s">
        <v>110</v>
      </c>
      <c r="O2389" s="30" t="s">
        <v>115</v>
      </c>
      <c r="P2389" s="30" t="s">
        <v>112</v>
      </c>
      <c r="Q2389" s="30" t="s">
        <v>112</v>
      </c>
      <c r="R2389" s="30" t="s">
        <v>185</v>
      </c>
      <c r="S2389" s="81">
        <f>HLOOKUP(L2389,データについて!$J$6:$M$18,13,FALSE)</f>
        <v>1</v>
      </c>
      <c r="T2389" s="81">
        <f>HLOOKUP(M2389,データについて!$J$7:$M$18,12,FALSE)</f>
        <v>1</v>
      </c>
      <c r="U2389" s="81">
        <f>HLOOKUP(N2389,データについて!$J$8:$M$18,11,FALSE)</f>
        <v>2</v>
      </c>
      <c r="V2389" s="81">
        <f>HLOOKUP(O2389,データについて!$J$9:$M$18,10,FALSE)</f>
        <v>1</v>
      </c>
      <c r="W2389" s="81">
        <f>HLOOKUP(P2389,データについて!$J$10:$M$18,9,FALSE)</f>
        <v>1</v>
      </c>
      <c r="X2389" s="81">
        <f>HLOOKUP(Q2389,データについて!$J$11:$M$18,8,FALSE)</f>
        <v>1</v>
      </c>
      <c r="Y2389" s="81">
        <f>HLOOKUP(R2389,データについて!$J$12:$M$18,7,FALSE)</f>
        <v>2</v>
      </c>
      <c r="Z2389" s="81">
        <f>HLOOKUP(I2389,データについて!$J$3:$M$18,16,FALSE)</f>
        <v>1</v>
      </c>
      <c r="AA2389" s="81">
        <f>IFERROR(HLOOKUP(J2389,データについて!$J$4:$AH$19,16,FALSE),"")</f>
        <v>6</v>
      </c>
      <c r="AB2389" s="81" t="str">
        <f>IFERROR(HLOOKUP(K2389,データについて!$J$5:$AH$20,14,FALSE),"")</f>
        <v/>
      </c>
      <c r="AC2389" s="81">
        <f>IF(X2389=1,HLOOKUP(R2389,データについて!$J$12:$M$18,7,FALSE),"*")</f>
        <v>2</v>
      </c>
      <c r="AD2389" s="81" t="str">
        <f>IF(X2389=2,HLOOKUP(R2389,データについて!$J$12:$M$18,7,FALSE),"*")</f>
        <v>*</v>
      </c>
    </row>
    <row r="2390" spans="1:30">
      <c r="A2390" s="30">
        <v>2802</v>
      </c>
      <c r="B2390" s="30" t="s">
        <v>2773</v>
      </c>
      <c r="C2390" s="30" t="s">
        <v>2774</v>
      </c>
      <c r="D2390" s="30" t="s">
        <v>106</v>
      </c>
      <c r="E2390" s="30"/>
      <c r="F2390" s="30" t="s">
        <v>107</v>
      </c>
      <c r="G2390" s="30" t="s">
        <v>106</v>
      </c>
      <c r="H2390" s="30"/>
      <c r="I2390" s="30" t="s">
        <v>192</v>
      </c>
      <c r="J2390" s="30" t="s">
        <v>125</v>
      </c>
      <c r="K2390" s="30"/>
      <c r="L2390" s="30" t="s">
        <v>108</v>
      </c>
      <c r="M2390" s="30" t="s">
        <v>113</v>
      </c>
      <c r="N2390" s="30" t="s">
        <v>110</v>
      </c>
      <c r="O2390" s="30" t="s">
        <v>115</v>
      </c>
      <c r="P2390" s="30" t="s">
        <v>112</v>
      </c>
      <c r="Q2390" s="30" t="s">
        <v>112</v>
      </c>
      <c r="R2390" s="30" t="s">
        <v>185</v>
      </c>
      <c r="S2390" s="81">
        <f>HLOOKUP(L2390,データについて!$J$6:$M$18,13,FALSE)</f>
        <v>1</v>
      </c>
      <c r="T2390" s="81">
        <f>HLOOKUP(M2390,データについて!$J$7:$M$18,12,FALSE)</f>
        <v>1</v>
      </c>
      <c r="U2390" s="81">
        <f>HLOOKUP(N2390,データについて!$J$8:$M$18,11,FALSE)</f>
        <v>2</v>
      </c>
      <c r="V2390" s="81">
        <f>HLOOKUP(O2390,データについて!$J$9:$M$18,10,FALSE)</f>
        <v>1</v>
      </c>
      <c r="W2390" s="81">
        <f>HLOOKUP(P2390,データについて!$J$10:$M$18,9,FALSE)</f>
        <v>1</v>
      </c>
      <c r="X2390" s="81">
        <f>HLOOKUP(Q2390,データについて!$J$11:$M$18,8,FALSE)</f>
        <v>1</v>
      </c>
      <c r="Y2390" s="81">
        <f>HLOOKUP(R2390,データについて!$J$12:$M$18,7,FALSE)</f>
        <v>2</v>
      </c>
      <c r="Z2390" s="81">
        <f>HLOOKUP(I2390,データについて!$J$3:$M$18,16,FALSE)</f>
        <v>1</v>
      </c>
      <c r="AA2390" s="81">
        <f>IFERROR(HLOOKUP(J2390,データについて!$J$4:$AH$19,16,FALSE),"")</f>
        <v>6</v>
      </c>
      <c r="AB2390" s="81" t="str">
        <f>IFERROR(HLOOKUP(K2390,データについて!$J$5:$AH$20,14,FALSE),"")</f>
        <v/>
      </c>
      <c r="AC2390" s="81">
        <f>IF(X2390=1,HLOOKUP(R2390,データについて!$J$12:$M$18,7,FALSE),"*")</f>
        <v>2</v>
      </c>
      <c r="AD2390" s="81" t="str">
        <f>IF(X2390=2,HLOOKUP(R2390,データについて!$J$12:$M$18,7,FALSE),"*")</f>
        <v>*</v>
      </c>
    </row>
    <row r="2391" spans="1:30">
      <c r="A2391" s="30">
        <v>2801</v>
      </c>
      <c r="B2391" s="30" t="s">
        <v>2775</v>
      </c>
      <c r="C2391" s="30" t="s">
        <v>2776</v>
      </c>
      <c r="D2391" s="30" t="s">
        <v>106</v>
      </c>
      <c r="E2391" s="30"/>
      <c r="F2391" s="30" t="s">
        <v>107</v>
      </c>
      <c r="G2391" s="30" t="s">
        <v>106</v>
      </c>
      <c r="H2391" s="30"/>
      <c r="I2391" s="30" t="s">
        <v>192</v>
      </c>
      <c r="J2391" s="30" t="s">
        <v>942</v>
      </c>
      <c r="K2391" s="30"/>
      <c r="L2391" s="30" t="s">
        <v>117</v>
      </c>
      <c r="M2391" s="30" t="s">
        <v>113</v>
      </c>
      <c r="N2391" s="30" t="s">
        <v>114</v>
      </c>
      <c r="O2391" s="30" t="s">
        <v>115</v>
      </c>
      <c r="P2391" s="30" t="s">
        <v>112</v>
      </c>
      <c r="Q2391" s="30" t="s">
        <v>112</v>
      </c>
      <c r="R2391" s="30" t="s">
        <v>183</v>
      </c>
      <c r="S2391" s="81">
        <f>HLOOKUP(L2391,データについて!$J$6:$M$18,13,FALSE)</f>
        <v>2</v>
      </c>
      <c r="T2391" s="81">
        <f>HLOOKUP(M2391,データについて!$J$7:$M$18,12,FALSE)</f>
        <v>1</v>
      </c>
      <c r="U2391" s="81">
        <f>HLOOKUP(N2391,データについて!$J$8:$M$18,11,FALSE)</f>
        <v>1</v>
      </c>
      <c r="V2391" s="81">
        <f>HLOOKUP(O2391,データについて!$J$9:$M$18,10,FALSE)</f>
        <v>1</v>
      </c>
      <c r="W2391" s="81">
        <f>HLOOKUP(P2391,データについて!$J$10:$M$18,9,FALSE)</f>
        <v>1</v>
      </c>
      <c r="X2391" s="81">
        <f>HLOOKUP(Q2391,データについて!$J$11:$M$18,8,FALSE)</f>
        <v>1</v>
      </c>
      <c r="Y2391" s="81">
        <f>HLOOKUP(R2391,データについて!$J$12:$M$18,7,FALSE)</f>
        <v>1</v>
      </c>
      <c r="Z2391" s="81">
        <f>HLOOKUP(I2391,データについて!$J$3:$M$18,16,FALSE)</f>
        <v>1</v>
      </c>
      <c r="AA2391" s="81">
        <f>IFERROR(HLOOKUP(J2391,データについて!$J$4:$AH$19,16,FALSE),"")</f>
        <v>7</v>
      </c>
      <c r="AB2391" s="81" t="str">
        <f>IFERROR(HLOOKUP(K2391,データについて!$J$5:$AH$20,14,FALSE),"")</f>
        <v/>
      </c>
      <c r="AC2391" s="81">
        <f>IF(X2391=1,HLOOKUP(R2391,データについて!$J$12:$M$18,7,FALSE),"*")</f>
        <v>1</v>
      </c>
      <c r="AD2391" s="81" t="str">
        <f>IF(X2391=2,HLOOKUP(R2391,データについて!$J$12:$M$18,7,FALSE),"*")</f>
        <v>*</v>
      </c>
    </row>
    <row r="2392" spans="1:30">
      <c r="A2392" s="30">
        <v>2800</v>
      </c>
      <c r="B2392" s="30" t="s">
        <v>2777</v>
      </c>
      <c r="C2392" s="30" t="s">
        <v>2778</v>
      </c>
      <c r="D2392" s="30" t="s">
        <v>106</v>
      </c>
      <c r="E2392" s="30"/>
      <c r="F2392" s="30" t="s">
        <v>107</v>
      </c>
      <c r="G2392" s="30" t="s">
        <v>106</v>
      </c>
      <c r="H2392" s="30"/>
      <c r="I2392" s="30" t="s">
        <v>192</v>
      </c>
      <c r="J2392" s="30" t="s">
        <v>125</v>
      </c>
      <c r="K2392" s="30"/>
      <c r="L2392" s="30" t="s">
        <v>108</v>
      </c>
      <c r="M2392" s="30" t="s">
        <v>113</v>
      </c>
      <c r="N2392" s="30" t="s">
        <v>114</v>
      </c>
      <c r="O2392" s="30" t="s">
        <v>115</v>
      </c>
      <c r="P2392" s="30" t="s">
        <v>112</v>
      </c>
      <c r="Q2392" s="30" t="s">
        <v>112</v>
      </c>
      <c r="R2392" s="30" t="s">
        <v>185</v>
      </c>
      <c r="S2392" s="81">
        <f>HLOOKUP(L2392,データについて!$J$6:$M$18,13,FALSE)</f>
        <v>1</v>
      </c>
      <c r="T2392" s="81">
        <f>HLOOKUP(M2392,データについて!$J$7:$M$18,12,FALSE)</f>
        <v>1</v>
      </c>
      <c r="U2392" s="81">
        <f>HLOOKUP(N2392,データについて!$J$8:$M$18,11,FALSE)</f>
        <v>1</v>
      </c>
      <c r="V2392" s="81">
        <f>HLOOKUP(O2392,データについて!$J$9:$M$18,10,FALSE)</f>
        <v>1</v>
      </c>
      <c r="W2392" s="81">
        <f>HLOOKUP(P2392,データについて!$J$10:$M$18,9,FALSE)</f>
        <v>1</v>
      </c>
      <c r="X2392" s="81">
        <f>HLOOKUP(Q2392,データについて!$J$11:$M$18,8,FALSE)</f>
        <v>1</v>
      </c>
      <c r="Y2392" s="81">
        <f>HLOOKUP(R2392,データについて!$J$12:$M$18,7,FALSE)</f>
        <v>2</v>
      </c>
      <c r="Z2392" s="81">
        <f>HLOOKUP(I2392,データについて!$J$3:$M$18,16,FALSE)</f>
        <v>1</v>
      </c>
      <c r="AA2392" s="81">
        <f>IFERROR(HLOOKUP(J2392,データについて!$J$4:$AH$19,16,FALSE),"")</f>
        <v>6</v>
      </c>
      <c r="AB2392" s="81" t="str">
        <f>IFERROR(HLOOKUP(K2392,データについて!$J$5:$AH$20,14,FALSE),"")</f>
        <v/>
      </c>
      <c r="AC2392" s="81">
        <f>IF(X2392=1,HLOOKUP(R2392,データについて!$J$12:$M$18,7,FALSE),"*")</f>
        <v>2</v>
      </c>
      <c r="AD2392" s="81" t="str">
        <f>IF(X2392=2,HLOOKUP(R2392,データについて!$J$12:$M$18,7,FALSE),"*")</f>
        <v>*</v>
      </c>
    </row>
    <row r="2393" spans="1:30">
      <c r="A2393" s="30">
        <v>2799</v>
      </c>
      <c r="B2393" s="30" t="s">
        <v>2779</v>
      </c>
      <c r="C2393" s="30" t="s">
        <v>2780</v>
      </c>
      <c r="D2393" s="30" t="s">
        <v>106</v>
      </c>
      <c r="E2393" s="30"/>
      <c r="F2393" s="30" t="s">
        <v>107</v>
      </c>
      <c r="G2393" s="30" t="s">
        <v>106</v>
      </c>
      <c r="H2393" s="30"/>
      <c r="I2393" s="30" t="s">
        <v>192</v>
      </c>
      <c r="J2393" s="30" t="s">
        <v>942</v>
      </c>
      <c r="K2393" s="30"/>
      <c r="L2393" s="30" t="s">
        <v>117</v>
      </c>
      <c r="M2393" s="30" t="s">
        <v>109</v>
      </c>
      <c r="N2393" s="30" t="s">
        <v>114</v>
      </c>
      <c r="O2393" s="30" t="s">
        <v>115</v>
      </c>
      <c r="P2393" s="30" t="s">
        <v>112</v>
      </c>
      <c r="Q2393" s="30" t="s">
        <v>112</v>
      </c>
      <c r="R2393" s="30" t="s">
        <v>185</v>
      </c>
      <c r="S2393" s="81">
        <f>HLOOKUP(L2393,データについて!$J$6:$M$18,13,FALSE)</f>
        <v>2</v>
      </c>
      <c r="T2393" s="81">
        <f>HLOOKUP(M2393,データについて!$J$7:$M$18,12,FALSE)</f>
        <v>2</v>
      </c>
      <c r="U2393" s="81">
        <f>HLOOKUP(N2393,データについて!$J$8:$M$18,11,FALSE)</f>
        <v>1</v>
      </c>
      <c r="V2393" s="81">
        <f>HLOOKUP(O2393,データについて!$J$9:$M$18,10,FALSE)</f>
        <v>1</v>
      </c>
      <c r="W2393" s="81">
        <f>HLOOKUP(P2393,データについて!$J$10:$M$18,9,FALSE)</f>
        <v>1</v>
      </c>
      <c r="X2393" s="81">
        <f>HLOOKUP(Q2393,データについて!$J$11:$M$18,8,FALSE)</f>
        <v>1</v>
      </c>
      <c r="Y2393" s="81">
        <f>HLOOKUP(R2393,データについて!$J$12:$M$18,7,FALSE)</f>
        <v>2</v>
      </c>
      <c r="Z2393" s="81">
        <f>HLOOKUP(I2393,データについて!$J$3:$M$18,16,FALSE)</f>
        <v>1</v>
      </c>
      <c r="AA2393" s="81">
        <f>IFERROR(HLOOKUP(J2393,データについて!$J$4:$AH$19,16,FALSE),"")</f>
        <v>7</v>
      </c>
      <c r="AB2393" s="81" t="str">
        <f>IFERROR(HLOOKUP(K2393,データについて!$J$5:$AH$20,14,FALSE),"")</f>
        <v/>
      </c>
      <c r="AC2393" s="81">
        <f>IF(X2393=1,HLOOKUP(R2393,データについて!$J$12:$M$18,7,FALSE),"*")</f>
        <v>2</v>
      </c>
      <c r="AD2393" s="81" t="str">
        <f>IF(X2393=2,HLOOKUP(R2393,データについて!$J$12:$M$18,7,FALSE),"*")</f>
        <v>*</v>
      </c>
    </row>
    <row r="2394" spans="1:30">
      <c r="A2394" s="30">
        <v>2798</v>
      </c>
      <c r="B2394" s="30" t="s">
        <v>2781</v>
      </c>
      <c r="C2394" s="30" t="s">
        <v>2782</v>
      </c>
      <c r="D2394" s="30" t="s">
        <v>106</v>
      </c>
      <c r="E2394" s="30"/>
      <c r="F2394" s="30" t="s">
        <v>107</v>
      </c>
      <c r="G2394" s="30" t="s">
        <v>106</v>
      </c>
      <c r="H2394" s="30"/>
      <c r="I2394" s="30" t="s">
        <v>192</v>
      </c>
      <c r="J2394" s="30" t="s">
        <v>125</v>
      </c>
      <c r="K2394" s="30"/>
      <c r="L2394" s="30" t="s">
        <v>117</v>
      </c>
      <c r="M2394" s="30" t="s">
        <v>113</v>
      </c>
      <c r="N2394" s="30" t="s">
        <v>114</v>
      </c>
      <c r="O2394" s="30" t="s">
        <v>115</v>
      </c>
      <c r="P2394" s="30" t="s">
        <v>112</v>
      </c>
      <c r="Q2394" s="30" t="s">
        <v>112</v>
      </c>
      <c r="R2394" s="30" t="s">
        <v>185</v>
      </c>
      <c r="S2394" s="81">
        <f>HLOOKUP(L2394,データについて!$J$6:$M$18,13,FALSE)</f>
        <v>2</v>
      </c>
      <c r="T2394" s="81">
        <f>HLOOKUP(M2394,データについて!$J$7:$M$18,12,FALSE)</f>
        <v>1</v>
      </c>
      <c r="U2394" s="81">
        <f>HLOOKUP(N2394,データについて!$J$8:$M$18,11,FALSE)</f>
        <v>1</v>
      </c>
      <c r="V2394" s="81">
        <f>HLOOKUP(O2394,データについて!$J$9:$M$18,10,FALSE)</f>
        <v>1</v>
      </c>
      <c r="W2394" s="81">
        <f>HLOOKUP(P2394,データについて!$J$10:$M$18,9,FALSE)</f>
        <v>1</v>
      </c>
      <c r="X2394" s="81">
        <f>HLOOKUP(Q2394,データについて!$J$11:$M$18,8,FALSE)</f>
        <v>1</v>
      </c>
      <c r="Y2394" s="81">
        <f>HLOOKUP(R2394,データについて!$J$12:$M$18,7,FALSE)</f>
        <v>2</v>
      </c>
      <c r="Z2394" s="81">
        <f>HLOOKUP(I2394,データについて!$J$3:$M$18,16,FALSE)</f>
        <v>1</v>
      </c>
      <c r="AA2394" s="81">
        <f>IFERROR(HLOOKUP(J2394,データについて!$J$4:$AH$19,16,FALSE),"")</f>
        <v>6</v>
      </c>
      <c r="AB2394" s="81" t="str">
        <f>IFERROR(HLOOKUP(K2394,データについて!$J$5:$AH$20,14,FALSE),"")</f>
        <v/>
      </c>
      <c r="AC2394" s="81">
        <f>IF(X2394=1,HLOOKUP(R2394,データについて!$J$12:$M$18,7,FALSE),"*")</f>
        <v>2</v>
      </c>
      <c r="AD2394" s="81" t="str">
        <f>IF(X2394=2,HLOOKUP(R2394,データについて!$J$12:$M$18,7,FALSE),"*")</f>
        <v>*</v>
      </c>
    </row>
    <row r="2395" spans="1:30">
      <c r="A2395" s="30">
        <v>2797</v>
      </c>
      <c r="B2395" s="30" t="s">
        <v>2783</v>
      </c>
      <c r="C2395" s="30" t="s">
        <v>2784</v>
      </c>
      <c r="D2395" s="30" t="s">
        <v>106</v>
      </c>
      <c r="E2395" s="30"/>
      <c r="F2395" s="30" t="s">
        <v>107</v>
      </c>
      <c r="G2395" s="30" t="s">
        <v>106</v>
      </c>
      <c r="H2395" s="30"/>
      <c r="I2395" s="30" t="s">
        <v>192</v>
      </c>
      <c r="J2395" s="30" t="s">
        <v>942</v>
      </c>
      <c r="K2395" s="30"/>
      <c r="L2395" s="30" t="s">
        <v>108</v>
      </c>
      <c r="M2395" s="30" t="s">
        <v>113</v>
      </c>
      <c r="N2395" s="30" t="s">
        <v>110</v>
      </c>
      <c r="O2395" s="30" t="s">
        <v>115</v>
      </c>
      <c r="P2395" s="30" t="s">
        <v>112</v>
      </c>
      <c r="Q2395" s="30" t="s">
        <v>112</v>
      </c>
      <c r="R2395" s="30" t="s">
        <v>183</v>
      </c>
      <c r="S2395" s="81">
        <f>HLOOKUP(L2395,データについて!$J$6:$M$18,13,FALSE)</f>
        <v>1</v>
      </c>
      <c r="T2395" s="81">
        <f>HLOOKUP(M2395,データについて!$J$7:$M$18,12,FALSE)</f>
        <v>1</v>
      </c>
      <c r="U2395" s="81">
        <f>HLOOKUP(N2395,データについて!$J$8:$M$18,11,FALSE)</f>
        <v>2</v>
      </c>
      <c r="V2395" s="81">
        <f>HLOOKUP(O2395,データについて!$J$9:$M$18,10,FALSE)</f>
        <v>1</v>
      </c>
      <c r="W2395" s="81">
        <f>HLOOKUP(P2395,データについて!$J$10:$M$18,9,FALSE)</f>
        <v>1</v>
      </c>
      <c r="X2395" s="81">
        <f>HLOOKUP(Q2395,データについて!$J$11:$M$18,8,FALSE)</f>
        <v>1</v>
      </c>
      <c r="Y2395" s="81">
        <f>HLOOKUP(R2395,データについて!$J$12:$M$18,7,FALSE)</f>
        <v>1</v>
      </c>
      <c r="Z2395" s="81">
        <f>HLOOKUP(I2395,データについて!$J$3:$M$18,16,FALSE)</f>
        <v>1</v>
      </c>
      <c r="AA2395" s="81">
        <f>IFERROR(HLOOKUP(J2395,データについて!$J$4:$AH$19,16,FALSE),"")</f>
        <v>7</v>
      </c>
      <c r="AB2395" s="81" t="str">
        <f>IFERROR(HLOOKUP(K2395,データについて!$J$5:$AH$20,14,FALSE),"")</f>
        <v/>
      </c>
      <c r="AC2395" s="81">
        <f>IF(X2395=1,HLOOKUP(R2395,データについて!$J$12:$M$18,7,FALSE),"*")</f>
        <v>1</v>
      </c>
      <c r="AD2395" s="81" t="str">
        <f>IF(X2395=2,HLOOKUP(R2395,データについて!$J$12:$M$18,7,FALSE),"*")</f>
        <v>*</v>
      </c>
    </row>
    <row r="2396" spans="1:30">
      <c r="A2396" s="30">
        <v>2796</v>
      </c>
      <c r="B2396" s="30" t="s">
        <v>2785</v>
      </c>
      <c r="C2396" s="30" t="s">
        <v>2786</v>
      </c>
      <c r="D2396" s="30" t="s">
        <v>106</v>
      </c>
      <c r="E2396" s="30"/>
      <c r="F2396" s="30" t="s">
        <v>107</v>
      </c>
      <c r="G2396" s="30" t="s">
        <v>106</v>
      </c>
      <c r="H2396" s="30"/>
      <c r="I2396" s="30" t="s">
        <v>192</v>
      </c>
      <c r="J2396" s="30" t="s">
        <v>125</v>
      </c>
      <c r="K2396" s="30"/>
      <c r="L2396" s="30" t="s">
        <v>117</v>
      </c>
      <c r="M2396" s="30" t="s">
        <v>109</v>
      </c>
      <c r="N2396" s="30" t="s">
        <v>110</v>
      </c>
      <c r="O2396" s="30" t="s">
        <v>115</v>
      </c>
      <c r="P2396" s="30" t="s">
        <v>112</v>
      </c>
      <c r="Q2396" s="30" t="s">
        <v>112</v>
      </c>
      <c r="R2396" s="30" t="s">
        <v>185</v>
      </c>
      <c r="S2396" s="81">
        <f>HLOOKUP(L2396,データについて!$J$6:$M$18,13,FALSE)</f>
        <v>2</v>
      </c>
      <c r="T2396" s="81">
        <f>HLOOKUP(M2396,データについて!$J$7:$M$18,12,FALSE)</f>
        <v>2</v>
      </c>
      <c r="U2396" s="81">
        <f>HLOOKUP(N2396,データについて!$J$8:$M$18,11,FALSE)</f>
        <v>2</v>
      </c>
      <c r="V2396" s="81">
        <f>HLOOKUP(O2396,データについて!$J$9:$M$18,10,FALSE)</f>
        <v>1</v>
      </c>
      <c r="W2396" s="81">
        <f>HLOOKUP(P2396,データについて!$J$10:$M$18,9,FALSE)</f>
        <v>1</v>
      </c>
      <c r="X2396" s="81">
        <f>HLOOKUP(Q2396,データについて!$J$11:$M$18,8,FALSE)</f>
        <v>1</v>
      </c>
      <c r="Y2396" s="81">
        <f>HLOOKUP(R2396,データについて!$J$12:$M$18,7,FALSE)</f>
        <v>2</v>
      </c>
      <c r="Z2396" s="81">
        <f>HLOOKUP(I2396,データについて!$J$3:$M$18,16,FALSE)</f>
        <v>1</v>
      </c>
      <c r="AA2396" s="81">
        <f>IFERROR(HLOOKUP(J2396,データについて!$J$4:$AH$19,16,FALSE),"")</f>
        <v>6</v>
      </c>
      <c r="AB2396" s="81" t="str">
        <f>IFERROR(HLOOKUP(K2396,データについて!$J$5:$AH$20,14,FALSE),"")</f>
        <v/>
      </c>
      <c r="AC2396" s="81">
        <f>IF(X2396=1,HLOOKUP(R2396,データについて!$J$12:$M$18,7,FALSE),"*")</f>
        <v>2</v>
      </c>
      <c r="AD2396" s="81" t="str">
        <f>IF(X2396=2,HLOOKUP(R2396,データについて!$J$12:$M$18,7,FALSE),"*")</f>
        <v>*</v>
      </c>
    </row>
    <row r="2397" spans="1:30">
      <c r="A2397" s="30">
        <v>2795</v>
      </c>
      <c r="B2397" s="30" t="s">
        <v>2787</v>
      </c>
      <c r="C2397" s="30" t="s">
        <v>2788</v>
      </c>
      <c r="D2397" s="30" t="s">
        <v>106</v>
      </c>
      <c r="E2397" s="30"/>
      <c r="F2397" s="30" t="s">
        <v>107</v>
      </c>
      <c r="G2397" s="30" t="s">
        <v>106</v>
      </c>
      <c r="H2397" s="30"/>
      <c r="I2397" s="30" t="s">
        <v>192</v>
      </c>
      <c r="J2397" s="30" t="s">
        <v>125</v>
      </c>
      <c r="K2397" s="30"/>
      <c r="L2397" s="30" t="s">
        <v>108</v>
      </c>
      <c r="M2397" s="30" t="s">
        <v>113</v>
      </c>
      <c r="N2397" s="30" t="s">
        <v>110</v>
      </c>
      <c r="O2397" s="30" t="s">
        <v>115</v>
      </c>
      <c r="P2397" s="30" t="s">
        <v>112</v>
      </c>
      <c r="Q2397" s="30" t="s">
        <v>112</v>
      </c>
      <c r="R2397" s="30" t="s">
        <v>185</v>
      </c>
      <c r="S2397" s="81">
        <f>HLOOKUP(L2397,データについて!$J$6:$M$18,13,FALSE)</f>
        <v>1</v>
      </c>
      <c r="T2397" s="81">
        <f>HLOOKUP(M2397,データについて!$J$7:$M$18,12,FALSE)</f>
        <v>1</v>
      </c>
      <c r="U2397" s="81">
        <f>HLOOKUP(N2397,データについて!$J$8:$M$18,11,FALSE)</f>
        <v>2</v>
      </c>
      <c r="V2397" s="81">
        <f>HLOOKUP(O2397,データについて!$J$9:$M$18,10,FALSE)</f>
        <v>1</v>
      </c>
      <c r="W2397" s="81">
        <f>HLOOKUP(P2397,データについて!$J$10:$M$18,9,FALSE)</f>
        <v>1</v>
      </c>
      <c r="X2397" s="81">
        <f>HLOOKUP(Q2397,データについて!$J$11:$M$18,8,FALSE)</f>
        <v>1</v>
      </c>
      <c r="Y2397" s="81">
        <f>HLOOKUP(R2397,データについて!$J$12:$M$18,7,FALSE)</f>
        <v>2</v>
      </c>
      <c r="Z2397" s="81">
        <f>HLOOKUP(I2397,データについて!$J$3:$M$18,16,FALSE)</f>
        <v>1</v>
      </c>
      <c r="AA2397" s="81">
        <f>IFERROR(HLOOKUP(J2397,データについて!$J$4:$AH$19,16,FALSE),"")</f>
        <v>6</v>
      </c>
      <c r="AB2397" s="81" t="str">
        <f>IFERROR(HLOOKUP(K2397,データについて!$J$5:$AH$20,14,FALSE),"")</f>
        <v/>
      </c>
      <c r="AC2397" s="81">
        <f>IF(X2397=1,HLOOKUP(R2397,データについて!$J$12:$M$18,7,FALSE),"*")</f>
        <v>2</v>
      </c>
      <c r="AD2397" s="81" t="str">
        <f>IF(X2397=2,HLOOKUP(R2397,データについて!$J$12:$M$18,7,FALSE),"*")</f>
        <v>*</v>
      </c>
    </row>
    <row r="2398" spans="1:30">
      <c r="A2398" s="30">
        <v>2794</v>
      </c>
      <c r="B2398" s="30" t="s">
        <v>2789</v>
      </c>
      <c r="C2398" s="30" t="s">
        <v>2790</v>
      </c>
      <c r="D2398" s="30" t="s">
        <v>106</v>
      </c>
      <c r="E2398" s="30"/>
      <c r="F2398" s="30" t="s">
        <v>107</v>
      </c>
      <c r="G2398" s="30" t="s">
        <v>106</v>
      </c>
      <c r="H2398" s="30"/>
      <c r="I2398" s="30" t="s">
        <v>192</v>
      </c>
      <c r="J2398" s="30" t="s">
        <v>125</v>
      </c>
      <c r="K2398" s="30"/>
      <c r="L2398" s="30" t="s">
        <v>117</v>
      </c>
      <c r="M2398" s="30" t="s">
        <v>113</v>
      </c>
      <c r="N2398" s="30" t="s">
        <v>114</v>
      </c>
      <c r="O2398" s="30" t="s">
        <v>115</v>
      </c>
      <c r="P2398" s="30" t="s">
        <v>112</v>
      </c>
      <c r="Q2398" s="30" t="s">
        <v>112</v>
      </c>
      <c r="R2398" s="30" t="s">
        <v>183</v>
      </c>
      <c r="S2398" s="81">
        <f>HLOOKUP(L2398,データについて!$J$6:$M$18,13,FALSE)</f>
        <v>2</v>
      </c>
      <c r="T2398" s="81">
        <f>HLOOKUP(M2398,データについて!$J$7:$M$18,12,FALSE)</f>
        <v>1</v>
      </c>
      <c r="U2398" s="81">
        <f>HLOOKUP(N2398,データについて!$J$8:$M$18,11,FALSE)</f>
        <v>1</v>
      </c>
      <c r="V2398" s="81">
        <f>HLOOKUP(O2398,データについて!$J$9:$M$18,10,FALSE)</f>
        <v>1</v>
      </c>
      <c r="W2398" s="81">
        <f>HLOOKUP(P2398,データについて!$J$10:$M$18,9,FALSE)</f>
        <v>1</v>
      </c>
      <c r="X2398" s="81">
        <f>HLOOKUP(Q2398,データについて!$J$11:$M$18,8,FALSE)</f>
        <v>1</v>
      </c>
      <c r="Y2398" s="81">
        <f>HLOOKUP(R2398,データについて!$J$12:$M$18,7,FALSE)</f>
        <v>1</v>
      </c>
      <c r="Z2398" s="81">
        <f>HLOOKUP(I2398,データについて!$J$3:$M$18,16,FALSE)</f>
        <v>1</v>
      </c>
      <c r="AA2398" s="81">
        <f>IFERROR(HLOOKUP(J2398,データについて!$J$4:$AH$19,16,FALSE),"")</f>
        <v>6</v>
      </c>
      <c r="AB2398" s="81" t="str">
        <f>IFERROR(HLOOKUP(K2398,データについて!$J$5:$AH$20,14,FALSE),"")</f>
        <v/>
      </c>
      <c r="AC2398" s="81">
        <f>IF(X2398=1,HLOOKUP(R2398,データについて!$J$12:$M$18,7,FALSE),"*")</f>
        <v>1</v>
      </c>
      <c r="AD2398" s="81" t="str">
        <f>IF(X2398=2,HLOOKUP(R2398,データについて!$J$12:$M$18,7,FALSE),"*")</f>
        <v>*</v>
      </c>
    </row>
    <row r="2399" spans="1:30">
      <c r="A2399" s="30">
        <v>2793</v>
      </c>
      <c r="B2399" s="30" t="s">
        <v>2791</v>
      </c>
      <c r="C2399" s="30" t="s">
        <v>2792</v>
      </c>
      <c r="D2399" s="30" t="s">
        <v>106</v>
      </c>
      <c r="E2399" s="30"/>
      <c r="F2399" s="30" t="s">
        <v>107</v>
      </c>
      <c r="G2399" s="30" t="s">
        <v>106</v>
      </c>
      <c r="H2399" s="30"/>
      <c r="I2399" s="30" t="s">
        <v>192</v>
      </c>
      <c r="J2399" s="30" t="s">
        <v>942</v>
      </c>
      <c r="K2399" s="30"/>
      <c r="L2399" s="30" t="s">
        <v>108</v>
      </c>
      <c r="M2399" s="30" t="s">
        <v>113</v>
      </c>
      <c r="N2399" s="30" t="s">
        <v>114</v>
      </c>
      <c r="O2399" s="30" t="s">
        <v>115</v>
      </c>
      <c r="P2399" s="30" t="s">
        <v>112</v>
      </c>
      <c r="Q2399" s="30" t="s">
        <v>112</v>
      </c>
      <c r="R2399" s="30" t="s">
        <v>183</v>
      </c>
      <c r="S2399" s="81">
        <f>HLOOKUP(L2399,データについて!$J$6:$M$18,13,FALSE)</f>
        <v>1</v>
      </c>
      <c r="T2399" s="81">
        <f>HLOOKUP(M2399,データについて!$J$7:$M$18,12,FALSE)</f>
        <v>1</v>
      </c>
      <c r="U2399" s="81">
        <f>HLOOKUP(N2399,データについて!$J$8:$M$18,11,FALSE)</f>
        <v>1</v>
      </c>
      <c r="V2399" s="81">
        <f>HLOOKUP(O2399,データについて!$J$9:$M$18,10,FALSE)</f>
        <v>1</v>
      </c>
      <c r="W2399" s="81">
        <f>HLOOKUP(P2399,データについて!$J$10:$M$18,9,FALSE)</f>
        <v>1</v>
      </c>
      <c r="X2399" s="81">
        <f>HLOOKUP(Q2399,データについて!$J$11:$M$18,8,FALSE)</f>
        <v>1</v>
      </c>
      <c r="Y2399" s="81">
        <f>HLOOKUP(R2399,データについて!$J$12:$M$18,7,FALSE)</f>
        <v>1</v>
      </c>
      <c r="Z2399" s="81">
        <f>HLOOKUP(I2399,データについて!$J$3:$M$18,16,FALSE)</f>
        <v>1</v>
      </c>
      <c r="AA2399" s="81">
        <f>IFERROR(HLOOKUP(J2399,データについて!$J$4:$AH$19,16,FALSE),"")</f>
        <v>7</v>
      </c>
      <c r="AB2399" s="81" t="str">
        <f>IFERROR(HLOOKUP(K2399,データについて!$J$5:$AH$20,14,FALSE),"")</f>
        <v/>
      </c>
      <c r="AC2399" s="81">
        <f>IF(X2399=1,HLOOKUP(R2399,データについて!$J$12:$M$18,7,FALSE),"*")</f>
        <v>1</v>
      </c>
      <c r="AD2399" s="81" t="str">
        <f>IF(X2399=2,HLOOKUP(R2399,データについて!$J$12:$M$18,7,FALSE),"*")</f>
        <v>*</v>
      </c>
    </row>
    <row r="2400" spans="1:30">
      <c r="A2400" s="30">
        <v>2792</v>
      </c>
      <c r="B2400" s="30" t="s">
        <v>2793</v>
      </c>
      <c r="C2400" s="30" t="s">
        <v>2794</v>
      </c>
      <c r="D2400" s="30" t="s">
        <v>106</v>
      </c>
      <c r="E2400" s="30"/>
      <c r="F2400" s="30" t="s">
        <v>107</v>
      </c>
      <c r="G2400" s="30" t="s">
        <v>106</v>
      </c>
      <c r="H2400" s="30"/>
      <c r="I2400" s="30" t="s">
        <v>192</v>
      </c>
      <c r="J2400" s="30" t="s">
        <v>125</v>
      </c>
      <c r="K2400" s="30"/>
      <c r="L2400" s="30" t="s">
        <v>108</v>
      </c>
      <c r="M2400" s="30" t="s">
        <v>113</v>
      </c>
      <c r="N2400" s="30" t="s">
        <v>110</v>
      </c>
      <c r="O2400" s="30" t="s">
        <v>115</v>
      </c>
      <c r="P2400" s="30" t="s">
        <v>112</v>
      </c>
      <c r="Q2400" s="30" t="s">
        <v>112</v>
      </c>
      <c r="R2400" s="30" t="s">
        <v>185</v>
      </c>
      <c r="S2400" s="81">
        <f>HLOOKUP(L2400,データについて!$J$6:$M$18,13,FALSE)</f>
        <v>1</v>
      </c>
      <c r="T2400" s="81">
        <f>HLOOKUP(M2400,データについて!$J$7:$M$18,12,FALSE)</f>
        <v>1</v>
      </c>
      <c r="U2400" s="81">
        <f>HLOOKUP(N2400,データについて!$J$8:$M$18,11,FALSE)</f>
        <v>2</v>
      </c>
      <c r="V2400" s="81">
        <f>HLOOKUP(O2400,データについて!$J$9:$M$18,10,FALSE)</f>
        <v>1</v>
      </c>
      <c r="W2400" s="81">
        <f>HLOOKUP(P2400,データについて!$J$10:$M$18,9,FALSE)</f>
        <v>1</v>
      </c>
      <c r="X2400" s="81">
        <f>HLOOKUP(Q2400,データについて!$J$11:$M$18,8,FALSE)</f>
        <v>1</v>
      </c>
      <c r="Y2400" s="81">
        <f>HLOOKUP(R2400,データについて!$J$12:$M$18,7,FALSE)</f>
        <v>2</v>
      </c>
      <c r="Z2400" s="81">
        <f>HLOOKUP(I2400,データについて!$J$3:$M$18,16,FALSE)</f>
        <v>1</v>
      </c>
      <c r="AA2400" s="81">
        <f>IFERROR(HLOOKUP(J2400,データについて!$J$4:$AH$19,16,FALSE),"")</f>
        <v>6</v>
      </c>
      <c r="AB2400" s="81" t="str">
        <f>IFERROR(HLOOKUP(K2400,データについて!$J$5:$AH$20,14,FALSE),"")</f>
        <v/>
      </c>
      <c r="AC2400" s="81">
        <f>IF(X2400=1,HLOOKUP(R2400,データについて!$J$12:$M$18,7,FALSE),"*")</f>
        <v>2</v>
      </c>
      <c r="AD2400" s="81" t="str">
        <f>IF(X2400=2,HLOOKUP(R2400,データについて!$J$12:$M$18,7,FALSE),"*")</f>
        <v>*</v>
      </c>
    </row>
    <row r="2401" spans="1:30">
      <c r="A2401" s="30">
        <v>2791</v>
      </c>
      <c r="B2401" s="30" t="s">
        <v>2795</v>
      </c>
      <c r="C2401" s="30" t="s">
        <v>2796</v>
      </c>
      <c r="D2401" s="30" t="s">
        <v>106</v>
      </c>
      <c r="E2401" s="30"/>
      <c r="F2401" s="30" t="s">
        <v>107</v>
      </c>
      <c r="G2401" s="30" t="s">
        <v>106</v>
      </c>
      <c r="H2401" s="30"/>
      <c r="I2401" s="30" t="s">
        <v>192</v>
      </c>
      <c r="J2401" s="30" t="s">
        <v>942</v>
      </c>
      <c r="K2401" s="30"/>
      <c r="L2401" s="30" t="s">
        <v>117</v>
      </c>
      <c r="M2401" s="30" t="s">
        <v>113</v>
      </c>
      <c r="N2401" s="30" t="s">
        <v>114</v>
      </c>
      <c r="O2401" s="30" t="s">
        <v>115</v>
      </c>
      <c r="P2401" s="30" t="s">
        <v>112</v>
      </c>
      <c r="Q2401" s="30" t="s">
        <v>112</v>
      </c>
      <c r="R2401" s="30" t="s">
        <v>183</v>
      </c>
      <c r="S2401" s="81">
        <f>HLOOKUP(L2401,データについて!$J$6:$M$18,13,FALSE)</f>
        <v>2</v>
      </c>
      <c r="T2401" s="81">
        <f>HLOOKUP(M2401,データについて!$J$7:$M$18,12,FALSE)</f>
        <v>1</v>
      </c>
      <c r="U2401" s="81">
        <f>HLOOKUP(N2401,データについて!$J$8:$M$18,11,FALSE)</f>
        <v>1</v>
      </c>
      <c r="V2401" s="81">
        <f>HLOOKUP(O2401,データについて!$J$9:$M$18,10,FALSE)</f>
        <v>1</v>
      </c>
      <c r="W2401" s="81">
        <f>HLOOKUP(P2401,データについて!$J$10:$M$18,9,FALSE)</f>
        <v>1</v>
      </c>
      <c r="X2401" s="81">
        <f>HLOOKUP(Q2401,データについて!$J$11:$M$18,8,FALSE)</f>
        <v>1</v>
      </c>
      <c r="Y2401" s="81">
        <f>HLOOKUP(R2401,データについて!$J$12:$M$18,7,FALSE)</f>
        <v>1</v>
      </c>
      <c r="Z2401" s="81">
        <f>HLOOKUP(I2401,データについて!$J$3:$M$18,16,FALSE)</f>
        <v>1</v>
      </c>
      <c r="AA2401" s="81">
        <f>IFERROR(HLOOKUP(J2401,データについて!$J$4:$AH$19,16,FALSE),"")</f>
        <v>7</v>
      </c>
      <c r="AB2401" s="81" t="str">
        <f>IFERROR(HLOOKUP(K2401,データについて!$J$5:$AH$20,14,FALSE),"")</f>
        <v/>
      </c>
      <c r="AC2401" s="81">
        <f>IF(X2401=1,HLOOKUP(R2401,データについて!$J$12:$M$18,7,FALSE),"*")</f>
        <v>1</v>
      </c>
      <c r="AD2401" s="81" t="str">
        <f>IF(X2401=2,HLOOKUP(R2401,データについて!$J$12:$M$18,7,FALSE),"*")</f>
        <v>*</v>
      </c>
    </row>
    <row r="2402" spans="1:30">
      <c r="A2402" s="30">
        <v>2790</v>
      </c>
      <c r="B2402" s="30" t="s">
        <v>2797</v>
      </c>
      <c r="C2402" s="30" t="s">
        <v>2798</v>
      </c>
      <c r="D2402" s="30" t="s">
        <v>106</v>
      </c>
      <c r="E2402" s="30"/>
      <c r="F2402" s="30" t="s">
        <v>107</v>
      </c>
      <c r="G2402" s="30" t="s">
        <v>106</v>
      </c>
      <c r="H2402" s="30"/>
      <c r="I2402" s="30" t="s">
        <v>192</v>
      </c>
      <c r="J2402" s="30" t="s">
        <v>125</v>
      </c>
      <c r="K2402" s="30"/>
      <c r="L2402" s="30" t="s">
        <v>108</v>
      </c>
      <c r="M2402" s="30" t="s">
        <v>113</v>
      </c>
      <c r="N2402" s="30" t="s">
        <v>122</v>
      </c>
      <c r="O2402" s="30" t="s">
        <v>115</v>
      </c>
      <c r="P2402" s="30" t="s">
        <v>112</v>
      </c>
      <c r="Q2402" s="30" t="s">
        <v>112</v>
      </c>
      <c r="R2402" s="30" t="s">
        <v>183</v>
      </c>
      <c r="S2402" s="81">
        <f>HLOOKUP(L2402,データについて!$J$6:$M$18,13,FALSE)</f>
        <v>1</v>
      </c>
      <c r="T2402" s="81">
        <f>HLOOKUP(M2402,データについて!$J$7:$M$18,12,FALSE)</f>
        <v>1</v>
      </c>
      <c r="U2402" s="81">
        <f>HLOOKUP(N2402,データについて!$J$8:$M$18,11,FALSE)</f>
        <v>3</v>
      </c>
      <c r="V2402" s="81">
        <f>HLOOKUP(O2402,データについて!$J$9:$M$18,10,FALSE)</f>
        <v>1</v>
      </c>
      <c r="W2402" s="81">
        <f>HLOOKUP(P2402,データについて!$J$10:$M$18,9,FALSE)</f>
        <v>1</v>
      </c>
      <c r="X2402" s="81">
        <f>HLOOKUP(Q2402,データについて!$J$11:$M$18,8,FALSE)</f>
        <v>1</v>
      </c>
      <c r="Y2402" s="81">
        <f>HLOOKUP(R2402,データについて!$J$12:$M$18,7,FALSE)</f>
        <v>1</v>
      </c>
      <c r="Z2402" s="81">
        <f>HLOOKUP(I2402,データについて!$J$3:$M$18,16,FALSE)</f>
        <v>1</v>
      </c>
      <c r="AA2402" s="81">
        <f>IFERROR(HLOOKUP(J2402,データについて!$J$4:$AH$19,16,FALSE),"")</f>
        <v>6</v>
      </c>
      <c r="AB2402" s="81" t="str">
        <f>IFERROR(HLOOKUP(K2402,データについて!$J$5:$AH$20,14,FALSE),"")</f>
        <v/>
      </c>
      <c r="AC2402" s="81">
        <f>IF(X2402=1,HLOOKUP(R2402,データについて!$J$12:$M$18,7,FALSE),"*")</f>
        <v>1</v>
      </c>
      <c r="AD2402" s="81" t="str">
        <f>IF(X2402=2,HLOOKUP(R2402,データについて!$J$12:$M$18,7,FALSE),"*")</f>
        <v>*</v>
      </c>
    </row>
    <row r="2403" spans="1:30">
      <c r="A2403" s="30">
        <v>2789</v>
      </c>
      <c r="B2403" s="30" t="s">
        <v>2799</v>
      </c>
      <c r="C2403" s="30" t="s">
        <v>2800</v>
      </c>
      <c r="D2403" s="30" t="s">
        <v>106</v>
      </c>
      <c r="E2403" s="30"/>
      <c r="F2403" s="30" t="s">
        <v>107</v>
      </c>
      <c r="G2403" s="30" t="s">
        <v>106</v>
      </c>
      <c r="H2403" s="30"/>
      <c r="I2403" s="30" t="s">
        <v>192</v>
      </c>
      <c r="J2403" s="30" t="s">
        <v>125</v>
      </c>
      <c r="K2403" s="30"/>
      <c r="L2403" s="30" t="s">
        <v>117</v>
      </c>
      <c r="M2403" s="30" t="s">
        <v>109</v>
      </c>
      <c r="N2403" s="30" t="s">
        <v>114</v>
      </c>
      <c r="O2403" s="30" t="s">
        <v>115</v>
      </c>
      <c r="P2403" s="30" t="s">
        <v>112</v>
      </c>
      <c r="Q2403" s="30" t="s">
        <v>112</v>
      </c>
      <c r="R2403" s="30" t="s">
        <v>183</v>
      </c>
      <c r="S2403" s="81">
        <f>HLOOKUP(L2403,データについて!$J$6:$M$18,13,FALSE)</f>
        <v>2</v>
      </c>
      <c r="T2403" s="81">
        <f>HLOOKUP(M2403,データについて!$J$7:$M$18,12,FALSE)</f>
        <v>2</v>
      </c>
      <c r="U2403" s="81">
        <f>HLOOKUP(N2403,データについて!$J$8:$M$18,11,FALSE)</f>
        <v>1</v>
      </c>
      <c r="V2403" s="81">
        <f>HLOOKUP(O2403,データについて!$J$9:$M$18,10,FALSE)</f>
        <v>1</v>
      </c>
      <c r="W2403" s="81">
        <f>HLOOKUP(P2403,データについて!$J$10:$M$18,9,FALSE)</f>
        <v>1</v>
      </c>
      <c r="X2403" s="81">
        <f>HLOOKUP(Q2403,データについて!$J$11:$M$18,8,FALSE)</f>
        <v>1</v>
      </c>
      <c r="Y2403" s="81">
        <f>HLOOKUP(R2403,データについて!$J$12:$M$18,7,FALSE)</f>
        <v>1</v>
      </c>
      <c r="Z2403" s="81">
        <f>HLOOKUP(I2403,データについて!$J$3:$M$18,16,FALSE)</f>
        <v>1</v>
      </c>
      <c r="AA2403" s="81">
        <f>IFERROR(HLOOKUP(J2403,データについて!$J$4:$AH$19,16,FALSE),"")</f>
        <v>6</v>
      </c>
      <c r="AB2403" s="81" t="str">
        <f>IFERROR(HLOOKUP(K2403,データについて!$J$5:$AH$20,14,FALSE),"")</f>
        <v/>
      </c>
      <c r="AC2403" s="81">
        <f>IF(X2403=1,HLOOKUP(R2403,データについて!$J$12:$M$18,7,FALSE),"*")</f>
        <v>1</v>
      </c>
      <c r="AD2403" s="81" t="str">
        <f>IF(X2403=2,HLOOKUP(R2403,データについて!$J$12:$M$18,7,FALSE),"*")</f>
        <v>*</v>
      </c>
    </row>
    <row r="2404" spans="1:30">
      <c r="A2404" s="30">
        <v>2788</v>
      </c>
      <c r="B2404" s="30" t="s">
        <v>2801</v>
      </c>
      <c r="C2404" s="30" t="s">
        <v>2802</v>
      </c>
      <c r="D2404" s="30" t="s">
        <v>106</v>
      </c>
      <c r="E2404" s="30"/>
      <c r="F2404" s="30" t="s">
        <v>107</v>
      </c>
      <c r="G2404" s="30" t="s">
        <v>106</v>
      </c>
      <c r="H2404" s="30"/>
      <c r="I2404" s="30" t="s">
        <v>192</v>
      </c>
      <c r="J2404" s="30" t="s">
        <v>942</v>
      </c>
      <c r="K2404" s="30"/>
      <c r="L2404" s="30" t="s">
        <v>117</v>
      </c>
      <c r="M2404" s="30" t="s">
        <v>113</v>
      </c>
      <c r="N2404" s="30" t="s">
        <v>114</v>
      </c>
      <c r="O2404" s="30" t="s">
        <v>115</v>
      </c>
      <c r="P2404" s="30" t="s">
        <v>112</v>
      </c>
      <c r="Q2404" s="30" t="s">
        <v>112</v>
      </c>
      <c r="R2404" s="30" t="s">
        <v>183</v>
      </c>
      <c r="S2404" s="81">
        <f>HLOOKUP(L2404,データについて!$J$6:$M$18,13,FALSE)</f>
        <v>2</v>
      </c>
      <c r="T2404" s="81">
        <f>HLOOKUP(M2404,データについて!$J$7:$M$18,12,FALSE)</f>
        <v>1</v>
      </c>
      <c r="U2404" s="81">
        <f>HLOOKUP(N2404,データについて!$J$8:$M$18,11,FALSE)</f>
        <v>1</v>
      </c>
      <c r="V2404" s="81">
        <f>HLOOKUP(O2404,データについて!$J$9:$M$18,10,FALSE)</f>
        <v>1</v>
      </c>
      <c r="W2404" s="81">
        <f>HLOOKUP(P2404,データについて!$J$10:$M$18,9,FALSE)</f>
        <v>1</v>
      </c>
      <c r="X2404" s="81">
        <f>HLOOKUP(Q2404,データについて!$J$11:$M$18,8,FALSE)</f>
        <v>1</v>
      </c>
      <c r="Y2404" s="81">
        <f>HLOOKUP(R2404,データについて!$J$12:$M$18,7,FALSE)</f>
        <v>1</v>
      </c>
      <c r="Z2404" s="81">
        <f>HLOOKUP(I2404,データについて!$J$3:$M$18,16,FALSE)</f>
        <v>1</v>
      </c>
      <c r="AA2404" s="81">
        <f>IFERROR(HLOOKUP(J2404,データについて!$J$4:$AH$19,16,FALSE),"")</f>
        <v>7</v>
      </c>
      <c r="AB2404" s="81" t="str">
        <f>IFERROR(HLOOKUP(K2404,データについて!$J$5:$AH$20,14,FALSE),"")</f>
        <v/>
      </c>
      <c r="AC2404" s="81">
        <f>IF(X2404=1,HLOOKUP(R2404,データについて!$J$12:$M$18,7,FALSE),"*")</f>
        <v>1</v>
      </c>
      <c r="AD2404" s="81" t="str">
        <f>IF(X2404=2,HLOOKUP(R2404,データについて!$J$12:$M$18,7,FALSE),"*")</f>
        <v>*</v>
      </c>
    </row>
    <row r="2405" spans="1:30">
      <c r="A2405" s="30">
        <v>2787</v>
      </c>
      <c r="B2405" s="30" t="s">
        <v>2803</v>
      </c>
      <c r="C2405" s="30" t="s">
        <v>2804</v>
      </c>
      <c r="D2405" s="30" t="s">
        <v>106</v>
      </c>
      <c r="E2405" s="30"/>
      <c r="F2405" s="30" t="s">
        <v>107</v>
      </c>
      <c r="G2405" s="30" t="s">
        <v>106</v>
      </c>
      <c r="H2405" s="30"/>
      <c r="I2405" s="30" t="s">
        <v>192</v>
      </c>
      <c r="J2405" s="30" t="s">
        <v>942</v>
      </c>
      <c r="K2405" s="30"/>
      <c r="L2405" s="30" t="s">
        <v>108</v>
      </c>
      <c r="M2405" s="30" t="s">
        <v>109</v>
      </c>
      <c r="N2405" s="30" t="s">
        <v>110</v>
      </c>
      <c r="O2405" s="30" t="s">
        <v>115</v>
      </c>
      <c r="P2405" s="30" t="s">
        <v>112</v>
      </c>
      <c r="Q2405" s="30" t="s">
        <v>112</v>
      </c>
      <c r="R2405" s="30" t="s">
        <v>185</v>
      </c>
      <c r="S2405" s="81">
        <f>HLOOKUP(L2405,データについて!$J$6:$M$18,13,FALSE)</f>
        <v>1</v>
      </c>
      <c r="T2405" s="81">
        <f>HLOOKUP(M2405,データについて!$J$7:$M$18,12,FALSE)</f>
        <v>2</v>
      </c>
      <c r="U2405" s="81">
        <f>HLOOKUP(N2405,データについて!$J$8:$M$18,11,FALSE)</f>
        <v>2</v>
      </c>
      <c r="V2405" s="81">
        <f>HLOOKUP(O2405,データについて!$J$9:$M$18,10,FALSE)</f>
        <v>1</v>
      </c>
      <c r="W2405" s="81">
        <f>HLOOKUP(P2405,データについて!$J$10:$M$18,9,FALSE)</f>
        <v>1</v>
      </c>
      <c r="X2405" s="81">
        <f>HLOOKUP(Q2405,データについて!$J$11:$M$18,8,FALSE)</f>
        <v>1</v>
      </c>
      <c r="Y2405" s="81">
        <f>HLOOKUP(R2405,データについて!$J$12:$M$18,7,FALSE)</f>
        <v>2</v>
      </c>
      <c r="Z2405" s="81">
        <f>HLOOKUP(I2405,データについて!$J$3:$M$18,16,FALSE)</f>
        <v>1</v>
      </c>
      <c r="AA2405" s="81">
        <f>IFERROR(HLOOKUP(J2405,データについて!$J$4:$AH$19,16,FALSE),"")</f>
        <v>7</v>
      </c>
      <c r="AB2405" s="81" t="str">
        <f>IFERROR(HLOOKUP(K2405,データについて!$J$5:$AH$20,14,FALSE),"")</f>
        <v/>
      </c>
      <c r="AC2405" s="81">
        <f>IF(X2405=1,HLOOKUP(R2405,データについて!$J$12:$M$18,7,FALSE),"*")</f>
        <v>2</v>
      </c>
      <c r="AD2405" s="81" t="str">
        <f>IF(X2405=2,HLOOKUP(R2405,データについて!$J$12:$M$18,7,FALSE),"*")</f>
        <v>*</v>
      </c>
    </row>
    <row r="2406" spans="1:30">
      <c r="A2406" s="30">
        <v>2786</v>
      </c>
      <c r="B2406" s="30" t="s">
        <v>2805</v>
      </c>
      <c r="C2406" s="30" t="s">
        <v>2806</v>
      </c>
      <c r="D2406" s="30" t="s">
        <v>106</v>
      </c>
      <c r="E2406" s="30"/>
      <c r="F2406" s="30" t="s">
        <v>107</v>
      </c>
      <c r="G2406" s="30" t="s">
        <v>106</v>
      </c>
      <c r="H2406" s="30"/>
      <c r="I2406" s="30" t="s">
        <v>192</v>
      </c>
      <c r="J2406" s="30" t="s">
        <v>942</v>
      </c>
      <c r="K2406" s="30"/>
      <c r="L2406" s="30" t="s">
        <v>117</v>
      </c>
      <c r="M2406" s="30" t="s">
        <v>113</v>
      </c>
      <c r="N2406" s="30" t="s">
        <v>110</v>
      </c>
      <c r="O2406" s="30" t="s">
        <v>115</v>
      </c>
      <c r="P2406" s="30" t="s">
        <v>112</v>
      </c>
      <c r="Q2406" s="30" t="s">
        <v>112</v>
      </c>
      <c r="R2406" s="30" t="s">
        <v>183</v>
      </c>
      <c r="S2406" s="81">
        <f>HLOOKUP(L2406,データについて!$J$6:$M$18,13,FALSE)</f>
        <v>2</v>
      </c>
      <c r="T2406" s="81">
        <f>HLOOKUP(M2406,データについて!$J$7:$M$18,12,FALSE)</f>
        <v>1</v>
      </c>
      <c r="U2406" s="81">
        <f>HLOOKUP(N2406,データについて!$J$8:$M$18,11,FALSE)</f>
        <v>2</v>
      </c>
      <c r="V2406" s="81">
        <f>HLOOKUP(O2406,データについて!$J$9:$M$18,10,FALSE)</f>
        <v>1</v>
      </c>
      <c r="W2406" s="81">
        <f>HLOOKUP(P2406,データについて!$J$10:$M$18,9,FALSE)</f>
        <v>1</v>
      </c>
      <c r="X2406" s="81">
        <f>HLOOKUP(Q2406,データについて!$J$11:$M$18,8,FALSE)</f>
        <v>1</v>
      </c>
      <c r="Y2406" s="81">
        <f>HLOOKUP(R2406,データについて!$J$12:$M$18,7,FALSE)</f>
        <v>1</v>
      </c>
      <c r="Z2406" s="81">
        <f>HLOOKUP(I2406,データについて!$J$3:$M$18,16,FALSE)</f>
        <v>1</v>
      </c>
      <c r="AA2406" s="81">
        <f>IFERROR(HLOOKUP(J2406,データについて!$J$4:$AH$19,16,FALSE),"")</f>
        <v>7</v>
      </c>
      <c r="AB2406" s="81" t="str">
        <f>IFERROR(HLOOKUP(K2406,データについて!$J$5:$AH$20,14,FALSE),"")</f>
        <v/>
      </c>
      <c r="AC2406" s="81">
        <f>IF(X2406=1,HLOOKUP(R2406,データについて!$J$12:$M$18,7,FALSE),"*")</f>
        <v>1</v>
      </c>
      <c r="AD2406" s="81" t="str">
        <f>IF(X2406=2,HLOOKUP(R2406,データについて!$J$12:$M$18,7,FALSE),"*")</f>
        <v>*</v>
      </c>
    </row>
    <row r="2407" spans="1:30">
      <c r="A2407" s="30">
        <v>2785</v>
      </c>
      <c r="B2407" s="30" t="s">
        <v>2807</v>
      </c>
      <c r="C2407" s="30" t="s">
        <v>2808</v>
      </c>
      <c r="D2407" s="30" t="s">
        <v>106</v>
      </c>
      <c r="E2407" s="30"/>
      <c r="F2407" s="30" t="s">
        <v>107</v>
      </c>
      <c r="G2407" s="30" t="s">
        <v>106</v>
      </c>
      <c r="H2407" s="30"/>
      <c r="I2407" s="30" t="s">
        <v>192</v>
      </c>
      <c r="J2407" s="30" t="s">
        <v>125</v>
      </c>
      <c r="K2407" s="30"/>
      <c r="L2407" s="30" t="s">
        <v>117</v>
      </c>
      <c r="M2407" s="30" t="s">
        <v>109</v>
      </c>
      <c r="N2407" s="30" t="s">
        <v>114</v>
      </c>
      <c r="O2407" s="30" t="s">
        <v>115</v>
      </c>
      <c r="P2407" s="30" t="s">
        <v>112</v>
      </c>
      <c r="Q2407" s="30" t="s">
        <v>112</v>
      </c>
      <c r="R2407" s="30" t="s">
        <v>183</v>
      </c>
      <c r="S2407" s="81">
        <f>HLOOKUP(L2407,データについて!$J$6:$M$18,13,FALSE)</f>
        <v>2</v>
      </c>
      <c r="T2407" s="81">
        <f>HLOOKUP(M2407,データについて!$J$7:$M$18,12,FALSE)</f>
        <v>2</v>
      </c>
      <c r="U2407" s="81">
        <f>HLOOKUP(N2407,データについて!$J$8:$M$18,11,FALSE)</f>
        <v>1</v>
      </c>
      <c r="V2407" s="81">
        <f>HLOOKUP(O2407,データについて!$J$9:$M$18,10,FALSE)</f>
        <v>1</v>
      </c>
      <c r="W2407" s="81">
        <f>HLOOKUP(P2407,データについて!$J$10:$M$18,9,FALSE)</f>
        <v>1</v>
      </c>
      <c r="X2407" s="81">
        <f>HLOOKUP(Q2407,データについて!$J$11:$M$18,8,FALSE)</f>
        <v>1</v>
      </c>
      <c r="Y2407" s="81">
        <f>HLOOKUP(R2407,データについて!$J$12:$M$18,7,FALSE)</f>
        <v>1</v>
      </c>
      <c r="Z2407" s="81">
        <f>HLOOKUP(I2407,データについて!$J$3:$M$18,16,FALSE)</f>
        <v>1</v>
      </c>
      <c r="AA2407" s="81">
        <f>IFERROR(HLOOKUP(J2407,データについて!$J$4:$AH$19,16,FALSE),"")</f>
        <v>6</v>
      </c>
      <c r="AB2407" s="81" t="str">
        <f>IFERROR(HLOOKUP(K2407,データについて!$J$5:$AH$20,14,FALSE),"")</f>
        <v/>
      </c>
      <c r="AC2407" s="81">
        <f>IF(X2407=1,HLOOKUP(R2407,データについて!$J$12:$M$18,7,FALSE),"*")</f>
        <v>1</v>
      </c>
      <c r="AD2407" s="81" t="str">
        <f>IF(X2407=2,HLOOKUP(R2407,データについて!$J$12:$M$18,7,FALSE),"*")</f>
        <v>*</v>
      </c>
    </row>
    <row r="2408" spans="1:30">
      <c r="A2408" s="30">
        <v>2784</v>
      </c>
      <c r="B2408" s="30" t="s">
        <v>2809</v>
      </c>
      <c r="C2408" s="30" t="s">
        <v>2810</v>
      </c>
      <c r="D2408" s="30" t="s">
        <v>106</v>
      </c>
      <c r="E2408" s="30"/>
      <c r="F2408" s="30" t="s">
        <v>107</v>
      </c>
      <c r="G2408" s="30" t="s">
        <v>106</v>
      </c>
      <c r="H2408" s="30"/>
      <c r="I2408" s="30" t="s">
        <v>192</v>
      </c>
      <c r="J2408" s="30" t="s">
        <v>942</v>
      </c>
      <c r="K2408" s="30"/>
      <c r="L2408" s="30" t="s">
        <v>117</v>
      </c>
      <c r="M2408" s="30" t="s">
        <v>113</v>
      </c>
      <c r="N2408" s="30" t="s">
        <v>110</v>
      </c>
      <c r="O2408" s="30" t="s">
        <v>115</v>
      </c>
      <c r="P2408" s="30" t="s">
        <v>112</v>
      </c>
      <c r="Q2408" s="30" t="s">
        <v>112</v>
      </c>
      <c r="R2408" s="30" t="s">
        <v>183</v>
      </c>
      <c r="S2408" s="81">
        <f>HLOOKUP(L2408,データについて!$J$6:$M$18,13,FALSE)</f>
        <v>2</v>
      </c>
      <c r="T2408" s="81">
        <f>HLOOKUP(M2408,データについて!$J$7:$M$18,12,FALSE)</f>
        <v>1</v>
      </c>
      <c r="U2408" s="81">
        <f>HLOOKUP(N2408,データについて!$J$8:$M$18,11,FALSE)</f>
        <v>2</v>
      </c>
      <c r="V2408" s="81">
        <f>HLOOKUP(O2408,データについて!$J$9:$M$18,10,FALSE)</f>
        <v>1</v>
      </c>
      <c r="W2408" s="81">
        <f>HLOOKUP(P2408,データについて!$J$10:$M$18,9,FALSE)</f>
        <v>1</v>
      </c>
      <c r="X2408" s="81">
        <f>HLOOKUP(Q2408,データについて!$J$11:$M$18,8,FALSE)</f>
        <v>1</v>
      </c>
      <c r="Y2408" s="81">
        <f>HLOOKUP(R2408,データについて!$J$12:$M$18,7,FALSE)</f>
        <v>1</v>
      </c>
      <c r="Z2408" s="81">
        <f>HLOOKUP(I2408,データについて!$J$3:$M$18,16,FALSE)</f>
        <v>1</v>
      </c>
      <c r="AA2408" s="81">
        <f>IFERROR(HLOOKUP(J2408,データについて!$J$4:$AH$19,16,FALSE),"")</f>
        <v>7</v>
      </c>
      <c r="AB2408" s="81" t="str">
        <f>IFERROR(HLOOKUP(K2408,データについて!$J$5:$AH$20,14,FALSE),"")</f>
        <v/>
      </c>
      <c r="AC2408" s="81">
        <f>IF(X2408=1,HLOOKUP(R2408,データについて!$J$12:$M$18,7,FALSE),"*")</f>
        <v>1</v>
      </c>
      <c r="AD2408" s="81" t="str">
        <f>IF(X2408=2,HLOOKUP(R2408,データについて!$J$12:$M$18,7,FALSE),"*")</f>
        <v>*</v>
      </c>
    </row>
    <row r="2409" spans="1:30">
      <c r="A2409" s="30">
        <v>2783</v>
      </c>
      <c r="B2409" s="30" t="s">
        <v>2811</v>
      </c>
      <c r="C2409" s="30" t="s">
        <v>2812</v>
      </c>
      <c r="D2409" s="30" t="s">
        <v>106</v>
      </c>
      <c r="E2409" s="30"/>
      <c r="F2409" s="30" t="s">
        <v>107</v>
      </c>
      <c r="G2409" s="30" t="s">
        <v>106</v>
      </c>
      <c r="H2409" s="30"/>
      <c r="I2409" s="30" t="s">
        <v>192</v>
      </c>
      <c r="J2409" s="30" t="s">
        <v>125</v>
      </c>
      <c r="K2409" s="30"/>
      <c r="L2409" s="30" t="s">
        <v>108</v>
      </c>
      <c r="M2409" s="30" t="s">
        <v>113</v>
      </c>
      <c r="N2409" s="30" t="s">
        <v>114</v>
      </c>
      <c r="O2409" s="30" t="s">
        <v>115</v>
      </c>
      <c r="P2409" s="30" t="s">
        <v>112</v>
      </c>
      <c r="Q2409" s="30" t="s">
        <v>112</v>
      </c>
      <c r="R2409" s="30" t="s">
        <v>183</v>
      </c>
      <c r="S2409" s="81">
        <f>HLOOKUP(L2409,データについて!$J$6:$M$18,13,FALSE)</f>
        <v>1</v>
      </c>
      <c r="T2409" s="81">
        <f>HLOOKUP(M2409,データについて!$J$7:$M$18,12,FALSE)</f>
        <v>1</v>
      </c>
      <c r="U2409" s="81">
        <f>HLOOKUP(N2409,データについて!$J$8:$M$18,11,FALSE)</f>
        <v>1</v>
      </c>
      <c r="V2409" s="81">
        <f>HLOOKUP(O2409,データについて!$J$9:$M$18,10,FALSE)</f>
        <v>1</v>
      </c>
      <c r="W2409" s="81">
        <f>HLOOKUP(P2409,データについて!$J$10:$M$18,9,FALSE)</f>
        <v>1</v>
      </c>
      <c r="X2409" s="81">
        <f>HLOOKUP(Q2409,データについて!$J$11:$M$18,8,FALSE)</f>
        <v>1</v>
      </c>
      <c r="Y2409" s="81">
        <f>HLOOKUP(R2409,データについて!$J$12:$M$18,7,FALSE)</f>
        <v>1</v>
      </c>
      <c r="Z2409" s="81">
        <f>HLOOKUP(I2409,データについて!$J$3:$M$18,16,FALSE)</f>
        <v>1</v>
      </c>
      <c r="AA2409" s="81">
        <f>IFERROR(HLOOKUP(J2409,データについて!$J$4:$AH$19,16,FALSE),"")</f>
        <v>6</v>
      </c>
      <c r="AB2409" s="81" t="str">
        <f>IFERROR(HLOOKUP(K2409,データについて!$J$5:$AH$20,14,FALSE),"")</f>
        <v/>
      </c>
      <c r="AC2409" s="81">
        <f>IF(X2409=1,HLOOKUP(R2409,データについて!$J$12:$M$18,7,FALSE),"*")</f>
        <v>1</v>
      </c>
      <c r="AD2409" s="81" t="str">
        <f>IF(X2409=2,HLOOKUP(R2409,データについて!$J$12:$M$18,7,FALSE),"*")</f>
        <v>*</v>
      </c>
    </row>
    <row r="2410" spans="1:30">
      <c r="A2410" s="30">
        <v>2782</v>
      </c>
      <c r="B2410" s="30" t="s">
        <v>2813</v>
      </c>
      <c r="C2410" s="30" t="s">
        <v>2814</v>
      </c>
      <c r="D2410" s="30" t="s">
        <v>106</v>
      </c>
      <c r="E2410" s="30"/>
      <c r="F2410" s="30" t="s">
        <v>107</v>
      </c>
      <c r="G2410" s="30" t="s">
        <v>106</v>
      </c>
      <c r="H2410" s="30"/>
      <c r="I2410" s="30" t="s">
        <v>192</v>
      </c>
      <c r="J2410" s="30" t="s">
        <v>2256</v>
      </c>
      <c r="K2410" s="30"/>
      <c r="L2410" s="30" t="s">
        <v>108</v>
      </c>
      <c r="M2410" s="30" t="s">
        <v>109</v>
      </c>
      <c r="N2410" s="30" t="s">
        <v>114</v>
      </c>
      <c r="O2410" s="30" t="s">
        <v>115</v>
      </c>
      <c r="P2410" s="30" t="s">
        <v>112</v>
      </c>
      <c r="Q2410" s="30" t="s">
        <v>112</v>
      </c>
      <c r="R2410" s="30" t="s">
        <v>185</v>
      </c>
      <c r="S2410" s="81">
        <f>HLOOKUP(L2410,データについて!$J$6:$M$18,13,FALSE)</f>
        <v>1</v>
      </c>
      <c r="T2410" s="81">
        <f>HLOOKUP(M2410,データについて!$J$7:$M$18,12,FALSE)</f>
        <v>2</v>
      </c>
      <c r="U2410" s="81">
        <f>HLOOKUP(N2410,データについて!$J$8:$M$18,11,FALSE)</f>
        <v>1</v>
      </c>
      <c r="V2410" s="81">
        <f>HLOOKUP(O2410,データについて!$J$9:$M$18,10,FALSE)</f>
        <v>1</v>
      </c>
      <c r="W2410" s="81">
        <f>HLOOKUP(P2410,データについて!$J$10:$M$18,9,FALSE)</f>
        <v>1</v>
      </c>
      <c r="X2410" s="81">
        <f>HLOOKUP(Q2410,データについて!$J$11:$M$18,8,FALSE)</f>
        <v>1</v>
      </c>
      <c r="Y2410" s="81">
        <f>HLOOKUP(R2410,データについて!$J$12:$M$18,7,FALSE)</f>
        <v>2</v>
      </c>
      <c r="Z2410" s="81">
        <f>HLOOKUP(I2410,データについて!$J$3:$M$18,16,FALSE)</f>
        <v>1</v>
      </c>
      <c r="AA2410" s="81">
        <f>IFERROR(HLOOKUP(J2410,データについて!$J$4:$AH$19,16,FALSE),"")</f>
        <v>13</v>
      </c>
      <c r="AB2410" s="81" t="str">
        <f>IFERROR(HLOOKUP(K2410,データについて!$J$5:$AH$20,14,FALSE),"")</f>
        <v/>
      </c>
      <c r="AC2410" s="81">
        <f>IF(X2410=1,HLOOKUP(R2410,データについて!$J$12:$M$18,7,FALSE),"*")</f>
        <v>2</v>
      </c>
      <c r="AD2410" s="81" t="str">
        <f>IF(X2410=2,HLOOKUP(R2410,データについて!$J$12:$M$18,7,FALSE),"*")</f>
        <v>*</v>
      </c>
    </row>
    <row r="2411" spans="1:30">
      <c r="A2411" s="30">
        <v>2781</v>
      </c>
      <c r="B2411" s="30" t="s">
        <v>2815</v>
      </c>
      <c r="C2411" s="30" t="s">
        <v>2816</v>
      </c>
      <c r="D2411" s="30" t="s">
        <v>106</v>
      </c>
      <c r="E2411" s="30"/>
      <c r="F2411" s="30" t="s">
        <v>107</v>
      </c>
      <c r="G2411" s="30" t="s">
        <v>106</v>
      </c>
      <c r="H2411" s="30"/>
      <c r="I2411" s="30" t="s">
        <v>192</v>
      </c>
      <c r="J2411" s="30" t="s">
        <v>2256</v>
      </c>
      <c r="K2411" s="30"/>
      <c r="L2411" s="30" t="s">
        <v>108</v>
      </c>
      <c r="M2411" s="30" t="s">
        <v>109</v>
      </c>
      <c r="N2411" s="30" t="s">
        <v>114</v>
      </c>
      <c r="O2411" s="30" t="s">
        <v>115</v>
      </c>
      <c r="P2411" s="30" t="s">
        <v>112</v>
      </c>
      <c r="Q2411" s="30" t="s">
        <v>118</v>
      </c>
      <c r="R2411" s="30" t="s">
        <v>187</v>
      </c>
      <c r="S2411" s="81">
        <f>HLOOKUP(L2411,データについて!$J$6:$M$18,13,FALSE)</f>
        <v>1</v>
      </c>
      <c r="T2411" s="81">
        <f>HLOOKUP(M2411,データについて!$J$7:$M$18,12,FALSE)</f>
        <v>2</v>
      </c>
      <c r="U2411" s="81">
        <f>HLOOKUP(N2411,データについて!$J$8:$M$18,11,FALSE)</f>
        <v>1</v>
      </c>
      <c r="V2411" s="81">
        <f>HLOOKUP(O2411,データについて!$J$9:$M$18,10,FALSE)</f>
        <v>1</v>
      </c>
      <c r="W2411" s="81">
        <f>HLOOKUP(P2411,データについて!$J$10:$M$18,9,FALSE)</f>
        <v>1</v>
      </c>
      <c r="X2411" s="81">
        <f>HLOOKUP(Q2411,データについて!$J$11:$M$18,8,FALSE)</f>
        <v>2</v>
      </c>
      <c r="Y2411" s="81">
        <f>HLOOKUP(R2411,データについて!$J$12:$M$18,7,FALSE)</f>
        <v>3</v>
      </c>
      <c r="Z2411" s="81">
        <f>HLOOKUP(I2411,データについて!$J$3:$M$18,16,FALSE)</f>
        <v>1</v>
      </c>
      <c r="AA2411" s="81">
        <f>IFERROR(HLOOKUP(J2411,データについて!$J$4:$AH$19,16,FALSE),"")</f>
        <v>13</v>
      </c>
      <c r="AB2411" s="81" t="str">
        <f>IFERROR(HLOOKUP(K2411,データについて!$J$5:$AH$20,14,FALSE),"")</f>
        <v/>
      </c>
      <c r="AC2411" s="81" t="str">
        <f>IF(X2411=1,HLOOKUP(R2411,データについて!$J$12:$M$18,7,FALSE),"*")</f>
        <v>*</v>
      </c>
      <c r="AD2411" s="81">
        <f>IF(X2411=2,HLOOKUP(R2411,データについて!$J$12:$M$18,7,FALSE),"*")</f>
        <v>3</v>
      </c>
    </row>
    <row r="2412" spans="1:30">
      <c r="A2412" s="30">
        <v>2780</v>
      </c>
      <c r="B2412" s="30" t="s">
        <v>2817</v>
      </c>
      <c r="C2412" s="30" t="s">
        <v>2816</v>
      </c>
      <c r="D2412" s="30" t="s">
        <v>106</v>
      </c>
      <c r="E2412" s="30"/>
      <c r="F2412" s="30" t="s">
        <v>107</v>
      </c>
      <c r="G2412" s="30" t="s">
        <v>106</v>
      </c>
      <c r="H2412" s="30"/>
      <c r="I2412" s="30" t="s">
        <v>192</v>
      </c>
      <c r="J2412" s="30" t="s">
        <v>125</v>
      </c>
      <c r="K2412" s="30"/>
      <c r="L2412" s="30" t="s">
        <v>108</v>
      </c>
      <c r="M2412" s="30" t="s">
        <v>109</v>
      </c>
      <c r="N2412" s="30" t="s">
        <v>114</v>
      </c>
      <c r="O2412" s="30" t="s">
        <v>115</v>
      </c>
      <c r="P2412" s="30" t="s">
        <v>112</v>
      </c>
      <c r="Q2412" s="30" t="s">
        <v>118</v>
      </c>
      <c r="R2412" s="30" t="s">
        <v>187</v>
      </c>
      <c r="S2412" s="81">
        <f>HLOOKUP(L2412,データについて!$J$6:$M$18,13,FALSE)</f>
        <v>1</v>
      </c>
      <c r="T2412" s="81">
        <f>HLOOKUP(M2412,データについて!$J$7:$M$18,12,FALSE)</f>
        <v>2</v>
      </c>
      <c r="U2412" s="81">
        <f>HLOOKUP(N2412,データについて!$J$8:$M$18,11,FALSE)</f>
        <v>1</v>
      </c>
      <c r="V2412" s="81">
        <f>HLOOKUP(O2412,データについて!$J$9:$M$18,10,FALSE)</f>
        <v>1</v>
      </c>
      <c r="W2412" s="81">
        <f>HLOOKUP(P2412,データについて!$J$10:$M$18,9,FALSE)</f>
        <v>1</v>
      </c>
      <c r="X2412" s="81">
        <f>HLOOKUP(Q2412,データについて!$J$11:$M$18,8,FALSE)</f>
        <v>2</v>
      </c>
      <c r="Y2412" s="81">
        <f>HLOOKUP(R2412,データについて!$J$12:$M$18,7,FALSE)</f>
        <v>3</v>
      </c>
      <c r="Z2412" s="81">
        <f>HLOOKUP(I2412,データについて!$J$3:$M$18,16,FALSE)</f>
        <v>1</v>
      </c>
      <c r="AA2412" s="81">
        <f>IFERROR(HLOOKUP(J2412,データについて!$J$4:$AH$19,16,FALSE),"")</f>
        <v>6</v>
      </c>
      <c r="AB2412" s="81" t="str">
        <f>IFERROR(HLOOKUP(K2412,データについて!$J$5:$AH$20,14,FALSE),"")</f>
        <v/>
      </c>
      <c r="AC2412" s="81" t="str">
        <f>IF(X2412=1,HLOOKUP(R2412,データについて!$J$12:$M$18,7,FALSE),"*")</f>
        <v>*</v>
      </c>
      <c r="AD2412" s="81">
        <f>IF(X2412=2,HLOOKUP(R2412,データについて!$J$12:$M$18,7,FALSE),"*")</f>
        <v>3</v>
      </c>
    </row>
    <row r="2413" spans="1:30">
      <c r="A2413" s="30">
        <v>2779</v>
      </c>
      <c r="B2413" s="30" t="s">
        <v>2818</v>
      </c>
      <c r="C2413" s="30" t="s">
        <v>2819</v>
      </c>
      <c r="D2413" s="30" t="s">
        <v>106</v>
      </c>
      <c r="E2413" s="30"/>
      <c r="F2413" s="30" t="s">
        <v>107</v>
      </c>
      <c r="G2413" s="30" t="s">
        <v>106</v>
      </c>
      <c r="H2413" s="30"/>
      <c r="I2413" s="30" t="s">
        <v>192</v>
      </c>
      <c r="J2413" s="30" t="s">
        <v>2256</v>
      </c>
      <c r="K2413" s="30"/>
      <c r="L2413" s="30" t="s">
        <v>108</v>
      </c>
      <c r="M2413" s="30" t="s">
        <v>109</v>
      </c>
      <c r="N2413" s="30" t="s">
        <v>114</v>
      </c>
      <c r="O2413" s="30" t="s">
        <v>115</v>
      </c>
      <c r="P2413" s="30" t="s">
        <v>112</v>
      </c>
      <c r="Q2413" s="30" t="s">
        <v>112</v>
      </c>
      <c r="R2413" s="30" t="s">
        <v>187</v>
      </c>
      <c r="S2413" s="81">
        <f>HLOOKUP(L2413,データについて!$J$6:$M$18,13,FALSE)</f>
        <v>1</v>
      </c>
      <c r="T2413" s="81">
        <f>HLOOKUP(M2413,データについて!$J$7:$M$18,12,FALSE)</f>
        <v>2</v>
      </c>
      <c r="U2413" s="81">
        <f>HLOOKUP(N2413,データについて!$J$8:$M$18,11,FALSE)</f>
        <v>1</v>
      </c>
      <c r="V2413" s="81">
        <f>HLOOKUP(O2413,データについて!$J$9:$M$18,10,FALSE)</f>
        <v>1</v>
      </c>
      <c r="W2413" s="81">
        <f>HLOOKUP(P2413,データについて!$J$10:$M$18,9,FALSE)</f>
        <v>1</v>
      </c>
      <c r="X2413" s="81">
        <f>HLOOKUP(Q2413,データについて!$J$11:$M$18,8,FALSE)</f>
        <v>1</v>
      </c>
      <c r="Y2413" s="81">
        <f>HLOOKUP(R2413,データについて!$J$12:$M$18,7,FALSE)</f>
        <v>3</v>
      </c>
      <c r="Z2413" s="81">
        <f>HLOOKUP(I2413,データについて!$J$3:$M$18,16,FALSE)</f>
        <v>1</v>
      </c>
      <c r="AA2413" s="81">
        <f>IFERROR(HLOOKUP(J2413,データについて!$J$4:$AH$19,16,FALSE),"")</f>
        <v>13</v>
      </c>
      <c r="AB2413" s="81" t="str">
        <f>IFERROR(HLOOKUP(K2413,データについて!$J$5:$AH$20,14,FALSE),"")</f>
        <v/>
      </c>
      <c r="AC2413" s="81">
        <f>IF(X2413=1,HLOOKUP(R2413,データについて!$J$12:$M$18,7,FALSE),"*")</f>
        <v>3</v>
      </c>
      <c r="AD2413" s="81" t="str">
        <f>IF(X2413=2,HLOOKUP(R2413,データについて!$J$12:$M$18,7,FALSE),"*")</f>
        <v>*</v>
      </c>
    </row>
    <row r="2414" spans="1:30">
      <c r="A2414" s="30">
        <v>2778</v>
      </c>
      <c r="B2414" s="30" t="s">
        <v>2820</v>
      </c>
      <c r="C2414" s="30" t="s">
        <v>2821</v>
      </c>
      <c r="D2414" s="30" t="s">
        <v>106</v>
      </c>
      <c r="E2414" s="30"/>
      <c r="F2414" s="30" t="s">
        <v>107</v>
      </c>
      <c r="G2414" s="30" t="s">
        <v>106</v>
      </c>
      <c r="H2414" s="30"/>
      <c r="I2414" s="30" t="s">
        <v>192</v>
      </c>
      <c r="J2414" s="30" t="s">
        <v>2256</v>
      </c>
      <c r="K2414" s="30"/>
      <c r="L2414" s="30" t="s">
        <v>117</v>
      </c>
      <c r="M2414" s="30" t="s">
        <v>113</v>
      </c>
      <c r="N2414" s="30" t="s">
        <v>114</v>
      </c>
      <c r="O2414" s="30" t="s">
        <v>115</v>
      </c>
      <c r="P2414" s="30" t="s">
        <v>112</v>
      </c>
      <c r="Q2414" s="30" t="s">
        <v>112</v>
      </c>
      <c r="R2414" s="30" t="s">
        <v>187</v>
      </c>
      <c r="S2414" s="81">
        <f>HLOOKUP(L2414,データについて!$J$6:$M$18,13,FALSE)</f>
        <v>2</v>
      </c>
      <c r="T2414" s="81">
        <f>HLOOKUP(M2414,データについて!$J$7:$M$18,12,FALSE)</f>
        <v>1</v>
      </c>
      <c r="U2414" s="81">
        <f>HLOOKUP(N2414,データについて!$J$8:$M$18,11,FALSE)</f>
        <v>1</v>
      </c>
      <c r="V2414" s="81">
        <f>HLOOKUP(O2414,データについて!$J$9:$M$18,10,FALSE)</f>
        <v>1</v>
      </c>
      <c r="W2414" s="81">
        <f>HLOOKUP(P2414,データについて!$J$10:$M$18,9,FALSE)</f>
        <v>1</v>
      </c>
      <c r="X2414" s="81">
        <f>HLOOKUP(Q2414,データについて!$J$11:$M$18,8,FALSE)</f>
        <v>1</v>
      </c>
      <c r="Y2414" s="81">
        <f>HLOOKUP(R2414,データについて!$J$12:$M$18,7,FALSE)</f>
        <v>3</v>
      </c>
      <c r="Z2414" s="81">
        <f>HLOOKUP(I2414,データについて!$J$3:$M$18,16,FALSE)</f>
        <v>1</v>
      </c>
      <c r="AA2414" s="81">
        <f>IFERROR(HLOOKUP(J2414,データについて!$J$4:$AH$19,16,FALSE),"")</f>
        <v>13</v>
      </c>
      <c r="AB2414" s="81" t="str">
        <f>IFERROR(HLOOKUP(K2414,データについて!$J$5:$AH$20,14,FALSE),"")</f>
        <v/>
      </c>
      <c r="AC2414" s="81">
        <f>IF(X2414=1,HLOOKUP(R2414,データについて!$J$12:$M$18,7,FALSE),"*")</f>
        <v>3</v>
      </c>
      <c r="AD2414" s="81" t="str">
        <f>IF(X2414=2,HLOOKUP(R2414,データについて!$J$12:$M$18,7,FALSE),"*")</f>
        <v>*</v>
      </c>
    </row>
    <row r="2415" spans="1:30">
      <c r="A2415" s="30">
        <v>2777</v>
      </c>
      <c r="B2415" s="30" t="s">
        <v>2822</v>
      </c>
      <c r="C2415" s="30" t="s">
        <v>2823</v>
      </c>
      <c r="D2415" s="30" t="s">
        <v>106</v>
      </c>
      <c r="E2415" s="30"/>
      <c r="F2415" s="30" t="s">
        <v>107</v>
      </c>
      <c r="G2415" s="30" t="s">
        <v>106</v>
      </c>
      <c r="H2415" s="30"/>
      <c r="I2415" s="30" t="s">
        <v>192</v>
      </c>
      <c r="J2415" s="30" t="s">
        <v>2256</v>
      </c>
      <c r="K2415" s="30"/>
      <c r="L2415" s="30" t="s">
        <v>108</v>
      </c>
      <c r="M2415" s="30" t="s">
        <v>113</v>
      </c>
      <c r="N2415" s="30" t="s">
        <v>114</v>
      </c>
      <c r="O2415" s="30" t="s">
        <v>115</v>
      </c>
      <c r="P2415" s="30" t="s">
        <v>112</v>
      </c>
      <c r="Q2415" s="30" t="s">
        <v>112</v>
      </c>
      <c r="R2415" s="30" t="s">
        <v>185</v>
      </c>
      <c r="S2415" s="81">
        <f>HLOOKUP(L2415,データについて!$J$6:$M$18,13,FALSE)</f>
        <v>1</v>
      </c>
      <c r="T2415" s="81">
        <f>HLOOKUP(M2415,データについて!$J$7:$M$18,12,FALSE)</f>
        <v>1</v>
      </c>
      <c r="U2415" s="81">
        <f>HLOOKUP(N2415,データについて!$J$8:$M$18,11,FALSE)</f>
        <v>1</v>
      </c>
      <c r="V2415" s="81">
        <f>HLOOKUP(O2415,データについて!$J$9:$M$18,10,FALSE)</f>
        <v>1</v>
      </c>
      <c r="W2415" s="81">
        <f>HLOOKUP(P2415,データについて!$J$10:$M$18,9,FALSE)</f>
        <v>1</v>
      </c>
      <c r="X2415" s="81">
        <f>HLOOKUP(Q2415,データについて!$J$11:$M$18,8,FALSE)</f>
        <v>1</v>
      </c>
      <c r="Y2415" s="81">
        <f>HLOOKUP(R2415,データについて!$J$12:$M$18,7,FALSE)</f>
        <v>2</v>
      </c>
      <c r="Z2415" s="81">
        <f>HLOOKUP(I2415,データについて!$J$3:$M$18,16,FALSE)</f>
        <v>1</v>
      </c>
      <c r="AA2415" s="81">
        <f>IFERROR(HLOOKUP(J2415,データについて!$J$4:$AH$19,16,FALSE),"")</f>
        <v>13</v>
      </c>
      <c r="AB2415" s="81" t="str">
        <f>IFERROR(HLOOKUP(K2415,データについて!$J$5:$AH$20,14,FALSE),"")</f>
        <v/>
      </c>
      <c r="AC2415" s="81">
        <f>IF(X2415=1,HLOOKUP(R2415,データについて!$J$12:$M$18,7,FALSE),"*")</f>
        <v>2</v>
      </c>
      <c r="AD2415" s="81" t="str">
        <f>IF(X2415=2,HLOOKUP(R2415,データについて!$J$12:$M$18,7,FALSE),"*")</f>
        <v>*</v>
      </c>
    </row>
    <row r="2416" spans="1:30">
      <c r="A2416" s="30">
        <v>2776</v>
      </c>
      <c r="B2416" s="30" t="s">
        <v>2824</v>
      </c>
      <c r="C2416" s="30" t="s">
        <v>2825</v>
      </c>
      <c r="D2416" s="30" t="s">
        <v>106</v>
      </c>
      <c r="E2416" s="30"/>
      <c r="F2416" s="30" t="s">
        <v>107</v>
      </c>
      <c r="G2416" s="30" t="s">
        <v>106</v>
      </c>
      <c r="H2416" s="30"/>
      <c r="I2416" s="30" t="s">
        <v>192</v>
      </c>
      <c r="J2416" s="30" t="s">
        <v>2256</v>
      </c>
      <c r="K2416" s="30"/>
      <c r="L2416" s="30" t="s">
        <v>108</v>
      </c>
      <c r="M2416" s="30" t="s">
        <v>109</v>
      </c>
      <c r="N2416" s="30" t="s">
        <v>114</v>
      </c>
      <c r="O2416" s="30" t="s">
        <v>115</v>
      </c>
      <c r="P2416" s="30" t="s">
        <v>112</v>
      </c>
      <c r="Q2416" s="30" t="s">
        <v>118</v>
      </c>
      <c r="R2416" s="30" t="s">
        <v>185</v>
      </c>
      <c r="S2416" s="81">
        <f>HLOOKUP(L2416,データについて!$J$6:$M$18,13,FALSE)</f>
        <v>1</v>
      </c>
      <c r="T2416" s="81">
        <f>HLOOKUP(M2416,データについて!$J$7:$M$18,12,FALSE)</f>
        <v>2</v>
      </c>
      <c r="U2416" s="81">
        <f>HLOOKUP(N2416,データについて!$J$8:$M$18,11,FALSE)</f>
        <v>1</v>
      </c>
      <c r="V2416" s="81">
        <f>HLOOKUP(O2416,データについて!$J$9:$M$18,10,FALSE)</f>
        <v>1</v>
      </c>
      <c r="W2416" s="81">
        <f>HLOOKUP(P2416,データについて!$J$10:$M$18,9,FALSE)</f>
        <v>1</v>
      </c>
      <c r="X2416" s="81">
        <f>HLOOKUP(Q2416,データについて!$J$11:$M$18,8,FALSE)</f>
        <v>2</v>
      </c>
      <c r="Y2416" s="81">
        <f>HLOOKUP(R2416,データについて!$J$12:$M$18,7,FALSE)</f>
        <v>2</v>
      </c>
      <c r="Z2416" s="81">
        <f>HLOOKUP(I2416,データについて!$J$3:$M$18,16,FALSE)</f>
        <v>1</v>
      </c>
      <c r="AA2416" s="81">
        <f>IFERROR(HLOOKUP(J2416,データについて!$J$4:$AH$19,16,FALSE),"")</f>
        <v>13</v>
      </c>
      <c r="AB2416" s="81" t="str">
        <f>IFERROR(HLOOKUP(K2416,データについて!$J$5:$AH$20,14,FALSE),"")</f>
        <v/>
      </c>
      <c r="AC2416" s="81" t="str">
        <f>IF(X2416=1,HLOOKUP(R2416,データについて!$J$12:$M$18,7,FALSE),"*")</f>
        <v>*</v>
      </c>
      <c r="AD2416" s="81">
        <f>IF(X2416=2,HLOOKUP(R2416,データについて!$J$12:$M$18,7,FALSE),"*")</f>
        <v>2</v>
      </c>
    </row>
    <row r="2417" spans="1:30">
      <c r="A2417" s="30">
        <v>2775</v>
      </c>
      <c r="B2417" s="30" t="s">
        <v>2826</v>
      </c>
      <c r="C2417" s="30" t="s">
        <v>2827</v>
      </c>
      <c r="D2417" s="30" t="s">
        <v>106</v>
      </c>
      <c r="E2417" s="30"/>
      <c r="F2417" s="30" t="s">
        <v>107</v>
      </c>
      <c r="G2417" s="30" t="s">
        <v>106</v>
      </c>
      <c r="H2417" s="30"/>
      <c r="I2417" s="30" t="s">
        <v>192</v>
      </c>
      <c r="J2417" s="30" t="s">
        <v>2256</v>
      </c>
      <c r="K2417" s="30"/>
      <c r="L2417" s="30" t="s">
        <v>117</v>
      </c>
      <c r="M2417" s="30" t="s">
        <v>113</v>
      </c>
      <c r="N2417" s="30" t="s">
        <v>114</v>
      </c>
      <c r="O2417" s="30" t="s">
        <v>115</v>
      </c>
      <c r="P2417" s="30" t="s">
        <v>112</v>
      </c>
      <c r="Q2417" s="30" t="s">
        <v>112</v>
      </c>
      <c r="R2417" s="30" t="s">
        <v>185</v>
      </c>
      <c r="S2417" s="81">
        <f>HLOOKUP(L2417,データについて!$J$6:$M$18,13,FALSE)</f>
        <v>2</v>
      </c>
      <c r="T2417" s="81">
        <f>HLOOKUP(M2417,データについて!$J$7:$M$18,12,FALSE)</f>
        <v>1</v>
      </c>
      <c r="U2417" s="81">
        <f>HLOOKUP(N2417,データについて!$J$8:$M$18,11,FALSE)</f>
        <v>1</v>
      </c>
      <c r="V2417" s="81">
        <f>HLOOKUP(O2417,データについて!$J$9:$M$18,10,FALSE)</f>
        <v>1</v>
      </c>
      <c r="W2417" s="81">
        <f>HLOOKUP(P2417,データについて!$J$10:$M$18,9,FALSE)</f>
        <v>1</v>
      </c>
      <c r="X2417" s="81">
        <f>HLOOKUP(Q2417,データについて!$J$11:$M$18,8,FALSE)</f>
        <v>1</v>
      </c>
      <c r="Y2417" s="81">
        <f>HLOOKUP(R2417,データについて!$J$12:$M$18,7,FALSE)</f>
        <v>2</v>
      </c>
      <c r="Z2417" s="81">
        <f>HLOOKUP(I2417,データについて!$J$3:$M$18,16,FALSE)</f>
        <v>1</v>
      </c>
      <c r="AA2417" s="81">
        <f>IFERROR(HLOOKUP(J2417,データについて!$J$4:$AH$19,16,FALSE),"")</f>
        <v>13</v>
      </c>
      <c r="AB2417" s="81" t="str">
        <f>IFERROR(HLOOKUP(K2417,データについて!$J$5:$AH$20,14,FALSE),"")</f>
        <v/>
      </c>
      <c r="AC2417" s="81">
        <f>IF(X2417=1,HLOOKUP(R2417,データについて!$J$12:$M$18,7,FALSE),"*")</f>
        <v>2</v>
      </c>
      <c r="AD2417" s="81" t="str">
        <f>IF(X2417=2,HLOOKUP(R2417,データについて!$J$12:$M$18,7,FALSE),"*")</f>
        <v>*</v>
      </c>
    </row>
    <row r="2418" spans="1:30">
      <c r="A2418" s="30">
        <v>2774</v>
      </c>
      <c r="B2418" s="30" t="s">
        <v>2828</v>
      </c>
      <c r="C2418" s="30" t="s">
        <v>2829</v>
      </c>
      <c r="D2418" s="30" t="s">
        <v>106</v>
      </c>
      <c r="E2418" s="30"/>
      <c r="F2418" s="30" t="s">
        <v>107</v>
      </c>
      <c r="G2418" s="30" t="s">
        <v>106</v>
      </c>
      <c r="H2418" s="30"/>
      <c r="I2418" s="30" t="s">
        <v>192</v>
      </c>
      <c r="J2418" s="30" t="s">
        <v>2256</v>
      </c>
      <c r="K2418" s="30"/>
      <c r="L2418" s="30" t="s">
        <v>117</v>
      </c>
      <c r="M2418" s="30" t="s">
        <v>109</v>
      </c>
      <c r="N2418" s="30" t="s">
        <v>122</v>
      </c>
      <c r="O2418" s="30" t="s">
        <v>115</v>
      </c>
      <c r="P2418" s="30" t="s">
        <v>112</v>
      </c>
      <c r="Q2418" s="30" t="s">
        <v>112</v>
      </c>
      <c r="R2418" s="30" t="s">
        <v>187</v>
      </c>
      <c r="S2418" s="81">
        <f>HLOOKUP(L2418,データについて!$J$6:$M$18,13,FALSE)</f>
        <v>2</v>
      </c>
      <c r="T2418" s="81">
        <f>HLOOKUP(M2418,データについて!$J$7:$M$18,12,FALSE)</f>
        <v>2</v>
      </c>
      <c r="U2418" s="81">
        <f>HLOOKUP(N2418,データについて!$J$8:$M$18,11,FALSE)</f>
        <v>3</v>
      </c>
      <c r="V2418" s="81">
        <f>HLOOKUP(O2418,データについて!$J$9:$M$18,10,FALSE)</f>
        <v>1</v>
      </c>
      <c r="W2418" s="81">
        <f>HLOOKUP(P2418,データについて!$J$10:$M$18,9,FALSE)</f>
        <v>1</v>
      </c>
      <c r="X2418" s="81">
        <f>HLOOKUP(Q2418,データについて!$J$11:$M$18,8,FALSE)</f>
        <v>1</v>
      </c>
      <c r="Y2418" s="81">
        <f>HLOOKUP(R2418,データについて!$J$12:$M$18,7,FALSE)</f>
        <v>3</v>
      </c>
      <c r="Z2418" s="81">
        <f>HLOOKUP(I2418,データについて!$J$3:$M$18,16,FALSE)</f>
        <v>1</v>
      </c>
      <c r="AA2418" s="81">
        <f>IFERROR(HLOOKUP(J2418,データについて!$J$4:$AH$19,16,FALSE),"")</f>
        <v>13</v>
      </c>
      <c r="AB2418" s="81" t="str">
        <f>IFERROR(HLOOKUP(K2418,データについて!$J$5:$AH$20,14,FALSE),"")</f>
        <v/>
      </c>
      <c r="AC2418" s="81">
        <f>IF(X2418=1,HLOOKUP(R2418,データについて!$J$12:$M$18,7,FALSE),"*")</f>
        <v>3</v>
      </c>
      <c r="AD2418" s="81" t="str">
        <f>IF(X2418=2,HLOOKUP(R2418,データについて!$J$12:$M$18,7,FALSE),"*")</f>
        <v>*</v>
      </c>
    </row>
    <row r="2419" spans="1:30">
      <c r="A2419" s="30">
        <v>2773</v>
      </c>
      <c r="B2419" s="30" t="s">
        <v>2830</v>
      </c>
      <c r="C2419" s="30" t="s">
        <v>2829</v>
      </c>
      <c r="D2419" s="30" t="s">
        <v>106</v>
      </c>
      <c r="E2419" s="30"/>
      <c r="F2419" s="30" t="s">
        <v>107</v>
      </c>
      <c r="G2419" s="30" t="s">
        <v>106</v>
      </c>
      <c r="H2419" s="30"/>
      <c r="I2419" s="30" t="s">
        <v>192</v>
      </c>
      <c r="J2419" s="30" t="s">
        <v>2256</v>
      </c>
      <c r="K2419" s="30"/>
      <c r="L2419" s="30" t="s">
        <v>117</v>
      </c>
      <c r="M2419" s="30" t="s">
        <v>109</v>
      </c>
      <c r="N2419" s="30" t="s">
        <v>119</v>
      </c>
      <c r="O2419" s="30" t="s">
        <v>115</v>
      </c>
      <c r="P2419" s="30" t="s">
        <v>112</v>
      </c>
      <c r="Q2419" s="30" t="s">
        <v>112</v>
      </c>
      <c r="R2419" s="30" t="s">
        <v>187</v>
      </c>
      <c r="S2419" s="81">
        <f>HLOOKUP(L2419,データについて!$J$6:$M$18,13,FALSE)</f>
        <v>2</v>
      </c>
      <c r="T2419" s="81">
        <f>HLOOKUP(M2419,データについて!$J$7:$M$18,12,FALSE)</f>
        <v>2</v>
      </c>
      <c r="U2419" s="81">
        <f>HLOOKUP(N2419,データについて!$J$8:$M$18,11,FALSE)</f>
        <v>4</v>
      </c>
      <c r="V2419" s="81">
        <f>HLOOKUP(O2419,データについて!$J$9:$M$18,10,FALSE)</f>
        <v>1</v>
      </c>
      <c r="W2419" s="81">
        <f>HLOOKUP(P2419,データについて!$J$10:$M$18,9,FALSE)</f>
        <v>1</v>
      </c>
      <c r="X2419" s="81">
        <f>HLOOKUP(Q2419,データについて!$J$11:$M$18,8,FALSE)</f>
        <v>1</v>
      </c>
      <c r="Y2419" s="81">
        <f>HLOOKUP(R2419,データについて!$J$12:$M$18,7,FALSE)</f>
        <v>3</v>
      </c>
      <c r="Z2419" s="81">
        <f>HLOOKUP(I2419,データについて!$J$3:$M$18,16,FALSE)</f>
        <v>1</v>
      </c>
      <c r="AA2419" s="81">
        <f>IFERROR(HLOOKUP(J2419,データについて!$J$4:$AH$19,16,FALSE),"")</f>
        <v>13</v>
      </c>
      <c r="AB2419" s="81" t="str">
        <f>IFERROR(HLOOKUP(K2419,データについて!$J$5:$AH$20,14,FALSE),"")</f>
        <v/>
      </c>
      <c r="AC2419" s="81">
        <f>IF(X2419=1,HLOOKUP(R2419,データについて!$J$12:$M$18,7,FALSE),"*")</f>
        <v>3</v>
      </c>
      <c r="AD2419" s="81" t="str">
        <f>IF(X2419=2,HLOOKUP(R2419,データについて!$J$12:$M$18,7,FALSE),"*")</f>
        <v>*</v>
      </c>
    </row>
    <row r="2420" spans="1:30">
      <c r="A2420" s="30">
        <v>2772</v>
      </c>
      <c r="B2420" s="30" t="s">
        <v>2831</v>
      </c>
      <c r="C2420" s="30" t="s">
        <v>2832</v>
      </c>
      <c r="D2420" s="30" t="s">
        <v>106</v>
      </c>
      <c r="E2420" s="30"/>
      <c r="F2420" s="30" t="s">
        <v>107</v>
      </c>
      <c r="G2420" s="30" t="s">
        <v>106</v>
      </c>
      <c r="H2420" s="30"/>
      <c r="I2420" s="30" t="s">
        <v>192</v>
      </c>
      <c r="J2420" s="30" t="s">
        <v>2256</v>
      </c>
      <c r="K2420" s="30"/>
      <c r="L2420" s="30" t="s">
        <v>117</v>
      </c>
      <c r="M2420" s="30" t="s">
        <v>109</v>
      </c>
      <c r="N2420" s="30" t="s">
        <v>119</v>
      </c>
      <c r="O2420" s="30" t="s">
        <v>115</v>
      </c>
      <c r="P2420" s="30" t="s">
        <v>112</v>
      </c>
      <c r="Q2420" s="30" t="s">
        <v>112</v>
      </c>
      <c r="R2420" s="30" t="s">
        <v>183</v>
      </c>
      <c r="S2420" s="81">
        <f>HLOOKUP(L2420,データについて!$J$6:$M$18,13,FALSE)</f>
        <v>2</v>
      </c>
      <c r="T2420" s="81">
        <f>HLOOKUP(M2420,データについて!$J$7:$M$18,12,FALSE)</f>
        <v>2</v>
      </c>
      <c r="U2420" s="81">
        <f>HLOOKUP(N2420,データについて!$J$8:$M$18,11,FALSE)</f>
        <v>4</v>
      </c>
      <c r="V2420" s="81">
        <f>HLOOKUP(O2420,データについて!$J$9:$M$18,10,FALSE)</f>
        <v>1</v>
      </c>
      <c r="W2420" s="81">
        <f>HLOOKUP(P2420,データについて!$J$10:$M$18,9,FALSE)</f>
        <v>1</v>
      </c>
      <c r="X2420" s="81">
        <f>HLOOKUP(Q2420,データについて!$J$11:$M$18,8,FALSE)</f>
        <v>1</v>
      </c>
      <c r="Y2420" s="81">
        <f>HLOOKUP(R2420,データについて!$J$12:$M$18,7,FALSE)</f>
        <v>1</v>
      </c>
      <c r="Z2420" s="81">
        <f>HLOOKUP(I2420,データについて!$J$3:$M$18,16,FALSE)</f>
        <v>1</v>
      </c>
      <c r="AA2420" s="81">
        <f>IFERROR(HLOOKUP(J2420,データについて!$J$4:$AH$19,16,FALSE),"")</f>
        <v>13</v>
      </c>
      <c r="AB2420" s="81" t="str">
        <f>IFERROR(HLOOKUP(K2420,データについて!$J$5:$AH$20,14,FALSE),"")</f>
        <v/>
      </c>
      <c r="AC2420" s="81">
        <f>IF(X2420=1,HLOOKUP(R2420,データについて!$J$12:$M$18,7,FALSE),"*")</f>
        <v>1</v>
      </c>
      <c r="AD2420" s="81" t="str">
        <f>IF(X2420=2,HLOOKUP(R2420,データについて!$J$12:$M$18,7,FALSE),"*")</f>
        <v>*</v>
      </c>
    </row>
    <row r="2421" spans="1:30">
      <c r="A2421" s="30">
        <v>2771</v>
      </c>
      <c r="B2421" s="30" t="s">
        <v>2833</v>
      </c>
      <c r="C2421" s="30" t="s">
        <v>2834</v>
      </c>
      <c r="D2421" s="30" t="s">
        <v>106</v>
      </c>
      <c r="E2421" s="30"/>
      <c r="F2421" s="30" t="s">
        <v>107</v>
      </c>
      <c r="G2421" s="30" t="s">
        <v>106</v>
      </c>
      <c r="H2421" s="30"/>
      <c r="I2421" s="30" t="s">
        <v>192</v>
      </c>
      <c r="J2421" s="30" t="s">
        <v>2256</v>
      </c>
      <c r="K2421" s="30"/>
      <c r="L2421" s="30" t="s">
        <v>108</v>
      </c>
      <c r="M2421" s="30" t="s">
        <v>113</v>
      </c>
      <c r="N2421" s="30" t="s">
        <v>114</v>
      </c>
      <c r="O2421" s="30" t="s">
        <v>115</v>
      </c>
      <c r="P2421" s="30" t="s">
        <v>112</v>
      </c>
      <c r="Q2421" s="30" t="s">
        <v>112</v>
      </c>
      <c r="R2421" s="30" t="s">
        <v>187</v>
      </c>
      <c r="S2421" s="81">
        <f>HLOOKUP(L2421,データについて!$J$6:$M$18,13,FALSE)</f>
        <v>1</v>
      </c>
      <c r="T2421" s="81">
        <f>HLOOKUP(M2421,データについて!$J$7:$M$18,12,FALSE)</f>
        <v>1</v>
      </c>
      <c r="U2421" s="81">
        <f>HLOOKUP(N2421,データについて!$J$8:$M$18,11,FALSE)</f>
        <v>1</v>
      </c>
      <c r="V2421" s="81">
        <f>HLOOKUP(O2421,データについて!$J$9:$M$18,10,FALSE)</f>
        <v>1</v>
      </c>
      <c r="W2421" s="81">
        <f>HLOOKUP(P2421,データについて!$J$10:$M$18,9,FALSE)</f>
        <v>1</v>
      </c>
      <c r="X2421" s="81">
        <f>HLOOKUP(Q2421,データについて!$J$11:$M$18,8,FALSE)</f>
        <v>1</v>
      </c>
      <c r="Y2421" s="81">
        <f>HLOOKUP(R2421,データについて!$J$12:$M$18,7,FALSE)</f>
        <v>3</v>
      </c>
      <c r="Z2421" s="81">
        <f>HLOOKUP(I2421,データについて!$J$3:$M$18,16,FALSE)</f>
        <v>1</v>
      </c>
      <c r="AA2421" s="81">
        <f>IFERROR(HLOOKUP(J2421,データについて!$J$4:$AH$19,16,FALSE),"")</f>
        <v>13</v>
      </c>
      <c r="AB2421" s="81" t="str">
        <f>IFERROR(HLOOKUP(K2421,データについて!$J$5:$AH$20,14,FALSE),"")</f>
        <v/>
      </c>
      <c r="AC2421" s="81">
        <f>IF(X2421=1,HLOOKUP(R2421,データについて!$J$12:$M$18,7,FALSE),"*")</f>
        <v>3</v>
      </c>
      <c r="AD2421" s="81" t="str">
        <f>IF(X2421=2,HLOOKUP(R2421,データについて!$J$12:$M$18,7,FALSE),"*")</f>
        <v>*</v>
      </c>
    </row>
    <row r="2422" spans="1:30">
      <c r="A2422" s="30">
        <v>2770</v>
      </c>
      <c r="B2422" s="30" t="s">
        <v>2835</v>
      </c>
      <c r="C2422" s="30" t="s">
        <v>2836</v>
      </c>
      <c r="D2422" s="30" t="s">
        <v>106</v>
      </c>
      <c r="E2422" s="30"/>
      <c r="F2422" s="30" t="s">
        <v>107</v>
      </c>
      <c r="G2422" s="30" t="s">
        <v>106</v>
      </c>
      <c r="H2422" s="30"/>
      <c r="I2422" s="30" t="s">
        <v>192</v>
      </c>
      <c r="J2422" s="30" t="s">
        <v>2256</v>
      </c>
      <c r="K2422" s="30"/>
      <c r="L2422" s="30" t="s">
        <v>108</v>
      </c>
      <c r="M2422" s="30" t="s">
        <v>109</v>
      </c>
      <c r="N2422" s="30" t="s">
        <v>114</v>
      </c>
      <c r="O2422" s="30" t="s">
        <v>116</v>
      </c>
      <c r="P2422" s="30" t="s">
        <v>112</v>
      </c>
      <c r="Q2422" s="30" t="s">
        <v>112</v>
      </c>
      <c r="R2422" s="30" t="s">
        <v>187</v>
      </c>
      <c r="S2422" s="81">
        <f>HLOOKUP(L2422,データについて!$J$6:$M$18,13,FALSE)</f>
        <v>1</v>
      </c>
      <c r="T2422" s="81">
        <f>HLOOKUP(M2422,データについて!$J$7:$M$18,12,FALSE)</f>
        <v>2</v>
      </c>
      <c r="U2422" s="81">
        <f>HLOOKUP(N2422,データについて!$J$8:$M$18,11,FALSE)</f>
        <v>1</v>
      </c>
      <c r="V2422" s="81">
        <f>HLOOKUP(O2422,データについて!$J$9:$M$18,10,FALSE)</f>
        <v>2</v>
      </c>
      <c r="W2422" s="81">
        <f>HLOOKUP(P2422,データについて!$J$10:$M$18,9,FALSE)</f>
        <v>1</v>
      </c>
      <c r="X2422" s="81">
        <f>HLOOKUP(Q2422,データについて!$J$11:$M$18,8,FALSE)</f>
        <v>1</v>
      </c>
      <c r="Y2422" s="81">
        <f>HLOOKUP(R2422,データについて!$J$12:$M$18,7,FALSE)</f>
        <v>3</v>
      </c>
      <c r="Z2422" s="81">
        <f>HLOOKUP(I2422,データについて!$J$3:$M$18,16,FALSE)</f>
        <v>1</v>
      </c>
      <c r="AA2422" s="81">
        <f>IFERROR(HLOOKUP(J2422,データについて!$J$4:$AH$19,16,FALSE),"")</f>
        <v>13</v>
      </c>
      <c r="AB2422" s="81" t="str">
        <f>IFERROR(HLOOKUP(K2422,データについて!$J$5:$AH$20,14,FALSE),"")</f>
        <v/>
      </c>
      <c r="AC2422" s="81">
        <f>IF(X2422=1,HLOOKUP(R2422,データについて!$J$12:$M$18,7,FALSE),"*")</f>
        <v>3</v>
      </c>
      <c r="AD2422" s="81" t="str">
        <f>IF(X2422=2,HLOOKUP(R2422,データについて!$J$12:$M$18,7,FALSE),"*")</f>
        <v>*</v>
      </c>
    </row>
    <row r="2423" spans="1:30">
      <c r="A2423" s="30">
        <v>2769</v>
      </c>
      <c r="B2423" s="30" t="s">
        <v>2837</v>
      </c>
      <c r="C2423" s="30" t="s">
        <v>2836</v>
      </c>
      <c r="D2423" s="30" t="s">
        <v>106</v>
      </c>
      <c r="E2423" s="30"/>
      <c r="F2423" s="30" t="s">
        <v>107</v>
      </c>
      <c r="G2423" s="30" t="s">
        <v>106</v>
      </c>
      <c r="H2423" s="30"/>
      <c r="I2423" s="30" t="s">
        <v>192</v>
      </c>
      <c r="J2423" s="30" t="s">
        <v>2256</v>
      </c>
      <c r="K2423" s="30"/>
      <c r="L2423" s="30" t="s">
        <v>108</v>
      </c>
      <c r="M2423" s="30" t="s">
        <v>109</v>
      </c>
      <c r="N2423" s="30" t="s">
        <v>114</v>
      </c>
      <c r="O2423" s="30" t="s">
        <v>116</v>
      </c>
      <c r="P2423" s="30" t="s">
        <v>112</v>
      </c>
      <c r="Q2423" s="30" t="s">
        <v>112</v>
      </c>
      <c r="R2423" s="30" t="s">
        <v>187</v>
      </c>
      <c r="S2423" s="81">
        <f>HLOOKUP(L2423,データについて!$J$6:$M$18,13,FALSE)</f>
        <v>1</v>
      </c>
      <c r="T2423" s="81">
        <f>HLOOKUP(M2423,データについて!$J$7:$M$18,12,FALSE)</f>
        <v>2</v>
      </c>
      <c r="U2423" s="81">
        <f>HLOOKUP(N2423,データについて!$J$8:$M$18,11,FALSE)</f>
        <v>1</v>
      </c>
      <c r="V2423" s="81">
        <f>HLOOKUP(O2423,データについて!$J$9:$M$18,10,FALSE)</f>
        <v>2</v>
      </c>
      <c r="W2423" s="81">
        <f>HLOOKUP(P2423,データについて!$J$10:$M$18,9,FALSE)</f>
        <v>1</v>
      </c>
      <c r="X2423" s="81">
        <f>HLOOKUP(Q2423,データについて!$J$11:$M$18,8,FALSE)</f>
        <v>1</v>
      </c>
      <c r="Y2423" s="81">
        <f>HLOOKUP(R2423,データについて!$J$12:$M$18,7,FALSE)</f>
        <v>3</v>
      </c>
      <c r="Z2423" s="81">
        <f>HLOOKUP(I2423,データについて!$J$3:$M$18,16,FALSE)</f>
        <v>1</v>
      </c>
      <c r="AA2423" s="81">
        <f>IFERROR(HLOOKUP(J2423,データについて!$J$4:$AH$19,16,FALSE),"")</f>
        <v>13</v>
      </c>
      <c r="AB2423" s="81" t="str">
        <f>IFERROR(HLOOKUP(K2423,データについて!$J$5:$AH$20,14,FALSE),"")</f>
        <v/>
      </c>
      <c r="AC2423" s="81">
        <f>IF(X2423=1,HLOOKUP(R2423,データについて!$J$12:$M$18,7,FALSE),"*")</f>
        <v>3</v>
      </c>
      <c r="AD2423" s="81" t="str">
        <f>IF(X2423=2,HLOOKUP(R2423,データについて!$J$12:$M$18,7,FALSE),"*")</f>
        <v>*</v>
      </c>
    </row>
    <row r="2424" spans="1:30">
      <c r="A2424" s="30">
        <v>2768</v>
      </c>
      <c r="B2424" s="30" t="s">
        <v>2838</v>
      </c>
      <c r="C2424" s="30" t="s">
        <v>2839</v>
      </c>
      <c r="D2424" s="30" t="s">
        <v>106</v>
      </c>
      <c r="E2424" s="30"/>
      <c r="F2424" s="30" t="s">
        <v>107</v>
      </c>
      <c r="G2424" s="30" t="s">
        <v>106</v>
      </c>
      <c r="H2424" s="30"/>
      <c r="I2424" s="30" t="s">
        <v>192</v>
      </c>
      <c r="J2424" s="30" t="s">
        <v>2256</v>
      </c>
      <c r="K2424" s="30"/>
      <c r="L2424" s="30" t="s">
        <v>108</v>
      </c>
      <c r="M2424" s="30" t="s">
        <v>113</v>
      </c>
      <c r="N2424" s="30" t="s">
        <v>122</v>
      </c>
      <c r="O2424" s="30" t="s">
        <v>115</v>
      </c>
      <c r="P2424" s="30" t="s">
        <v>112</v>
      </c>
      <c r="Q2424" s="30" t="s">
        <v>118</v>
      </c>
      <c r="R2424" s="30" t="s">
        <v>187</v>
      </c>
      <c r="S2424" s="81">
        <f>HLOOKUP(L2424,データについて!$J$6:$M$18,13,FALSE)</f>
        <v>1</v>
      </c>
      <c r="T2424" s="81">
        <f>HLOOKUP(M2424,データについて!$J$7:$M$18,12,FALSE)</f>
        <v>1</v>
      </c>
      <c r="U2424" s="81">
        <f>HLOOKUP(N2424,データについて!$J$8:$M$18,11,FALSE)</f>
        <v>3</v>
      </c>
      <c r="V2424" s="81">
        <f>HLOOKUP(O2424,データについて!$J$9:$M$18,10,FALSE)</f>
        <v>1</v>
      </c>
      <c r="W2424" s="81">
        <f>HLOOKUP(P2424,データについて!$J$10:$M$18,9,FALSE)</f>
        <v>1</v>
      </c>
      <c r="X2424" s="81">
        <f>HLOOKUP(Q2424,データについて!$J$11:$M$18,8,FALSE)</f>
        <v>2</v>
      </c>
      <c r="Y2424" s="81">
        <f>HLOOKUP(R2424,データについて!$J$12:$M$18,7,FALSE)</f>
        <v>3</v>
      </c>
      <c r="Z2424" s="81">
        <f>HLOOKUP(I2424,データについて!$J$3:$M$18,16,FALSE)</f>
        <v>1</v>
      </c>
      <c r="AA2424" s="81">
        <f>IFERROR(HLOOKUP(J2424,データについて!$J$4:$AH$19,16,FALSE),"")</f>
        <v>13</v>
      </c>
      <c r="AB2424" s="81" t="str">
        <f>IFERROR(HLOOKUP(K2424,データについて!$J$5:$AH$20,14,FALSE),"")</f>
        <v/>
      </c>
      <c r="AC2424" s="81" t="str">
        <f>IF(X2424=1,HLOOKUP(R2424,データについて!$J$12:$M$18,7,FALSE),"*")</f>
        <v>*</v>
      </c>
      <c r="AD2424" s="81">
        <f>IF(X2424=2,HLOOKUP(R2424,データについて!$J$12:$M$18,7,FALSE),"*")</f>
        <v>3</v>
      </c>
    </row>
    <row r="2425" spans="1:30">
      <c r="A2425" s="30">
        <v>2767</v>
      </c>
      <c r="B2425" s="30" t="s">
        <v>2840</v>
      </c>
      <c r="C2425" s="30" t="s">
        <v>2839</v>
      </c>
      <c r="D2425" s="30" t="s">
        <v>106</v>
      </c>
      <c r="E2425" s="30"/>
      <c r="F2425" s="30" t="s">
        <v>107</v>
      </c>
      <c r="G2425" s="30" t="s">
        <v>106</v>
      </c>
      <c r="H2425" s="30"/>
      <c r="I2425" s="30" t="s">
        <v>192</v>
      </c>
      <c r="J2425" s="30" t="s">
        <v>2256</v>
      </c>
      <c r="K2425" s="30"/>
      <c r="L2425" s="30" t="s">
        <v>117</v>
      </c>
      <c r="M2425" s="30" t="s">
        <v>113</v>
      </c>
      <c r="N2425" s="30" t="s">
        <v>114</v>
      </c>
      <c r="O2425" s="30" t="s">
        <v>115</v>
      </c>
      <c r="P2425" s="30" t="s">
        <v>112</v>
      </c>
      <c r="Q2425" s="30" t="s">
        <v>112</v>
      </c>
      <c r="R2425" s="30" t="s">
        <v>183</v>
      </c>
      <c r="S2425" s="81">
        <f>HLOOKUP(L2425,データについて!$J$6:$M$18,13,FALSE)</f>
        <v>2</v>
      </c>
      <c r="T2425" s="81">
        <f>HLOOKUP(M2425,データについて!$J$7:$M$18,12,FALSE)</f>
        <v>1</v>
      </c>
      <c r="U2425" s="81">
        <f>HLOOKUP(N2425,データについて!$J$8:$M$18,11,FALSE)</f>
        <v>1</v>
      </c>
      <c r="V2425" s="81">
        <f>HLOOKUP(O2425,データについて!$J$9:$M$18,10,FALSE)</f>
        <v>1</v>
      </c>
      <c r="W2425" s="81">
        <f>HLOOKUP(P2425,データについて!$J$10:$M$18,9,FALSE)</f>
        <v>1</v>
      </c>
      <c r="X2425" s="81">
        <f>HLOOKUP(Q2425,データについて!$J$11:$M$18,8,FALSE)</f>
        <v>1</v>
      </c>
      <c r="Y2425" s="81">
        <f>HLOOKUP(R2425,データについて!$J$12:$M$18,7,FALSE)</f>
        <v>1</v>
      </c>
      <c r="Z2425" s="81">
        <f>HLOOKUP(I2425,データについて!$J$3:$M$18,16,FALSE)</f>
        <v>1</v>
      </c>
      <c r="AA2425" s="81">
        <f>IFERROR(HLOOKUP(J2425,データについて!$J$4:$AH$19,16,FALSE),"")</f>
        <v>13</v>
      </c>
      <c r="AB2425" s="81" t="str">
        <f>IFERROR(HLOOKUP(K2425,データについて!$J$5:$AH$20,14,FALSE),"")</f>
        <v/>
      </c>
      <c r="AC2425" s="81">
        <f>IF(X2425=1,HLOOKUP(R2425,データについて!$J$12:$M$18,7,FALSE),"*")</f>
        <v>1</v>
      </c>
      <c r="AD2425" s="81" t="str">
        <f>IF(X2425=2,HLOOKUP(R2425,データについて!$J$12:$M$18,7,FALSE),"*")</f>
        <v>*</v>
      </c>
    </row>
    <row r="2426" spans="1:30">
      <c r="A2426" s="30">
        <v>2766</v>
      </c>
      <c r="B2426" s="30" t="s">
        <v>2841</v>
      </c>
      <c r="C2426" s="30" t="s">
        <v>2842</v>
      </c>
      <c r="D2426" s="30" t="s">
        <v>106</v>
      </c>
      <c r="E2426" s="30"/>
      <c r="F2426" s="30" t="s">
        <v>107</v>
      </c>
      <c r="G2426" s="30" t="s">
        <v>106</v>
      </c>
      <c r="H2426" s="30"/>
      <c r="I2426" s="30" t="s">
        <v>192</v>
      </c>
      <c r="J2426" s="30" t="s">
        <v>2256</v>
      </c>
      <c r="K2426" s="30"/>
      <c r="L2426" s="30" t="s">
        <v>108</v>
      </c>
      <c r="M2426" s="30" t="s">
        <v>113</v>
      </c>
      <c r="N2426" s="30" t="s">
        <v>114</v>
      </c>
      <c r="O2426" s="30" t="s">
        <v>115</v>
      </c>
      <c r="P2426" s="30" t="s">
        <v>112</v>
      </c>
      <c r="Q2426" s="30" t="s">
        <v>112</v>
      </c>
      <c r="R2426" s="30" t="s">
        <v>185</v>
      </c>
      <c r="S2426" s="81">
        <f>HLOOKUP(L2426,データについて!$J$6:$M$18,13,FALSE)</f>
        <v>1</v>
      </c>
      <c r="T2426" s="81">
        <f>HLOOKUP(M2426,データについて!$J$7:$M$18,12,FALSE)</f>
        <v>1</v>
      </c>
      <c r="U2426" s="81">
        <f>HLOOKUP(N2426,データについて!$J$8:$M$18,11,FALSE)</f>
        <v>1</v>
      </c>
      <c r="V2426" s="81">
        <f>HLOOKUP(O2426,データについて!$J$9:$M$18,10,FALSE)</f>
        <v>1</v>
      </c>
      <c r="W2426" s="81">
        <f>HLOOKUP(P2426,データについて!$J$10:$M$18,9,FALSE)</f>
        <v>1</v>
      </c>
      <c r="X2426" s="81">
        <f>HLOOKUP(Q2426,データについて!$J$11:$M$18,8,FALSE)</f>
        <v>1</v>
      </c>
      <c r="Y2426" s="81">
        <f>HLOOKUP(R2426,データについて!$J$12:$M$18,7,FALSE)</f>
        <v>2</v>
      </c>
      <c r="Z2426" s="81">
        <f>HLOOKUP(I2426,データについて!$J$3:$M$18,16,FALSE)</f>
        <v>1</v>
      </c>
      <c r="AA2426" s="81">
        <f>IFERROR(HLOOKUP(J2426,データについて!$J$4:$AH$19,16,FALSE),"")</f>
        <v>13</v>
      </c>
      <c r="AB2426" s="81" t="str">
        <f>IFERROR(HLOOKUP(K2426,データについて!$J$5:$AH$20,14,FALSE),"")</f>
        <v/>
      </c>
      <c r="AC2426" s="81">
        <f>IF(X2426=1,HLOOKUP(R2426,データについて!$J$12:$M$18,7,FALSE),"*")</f>
        <v>2</v>
      </c>
      <c r="AD2426" s="81" t="str">
        <f>IF(X2426=2,HLOOKUP(R2426,データについて!$J$12:$M$18,7,FALSE),"*")</f>
        <v>*</v>
      </c>
    </row>
    <row r="2427" spans="1:30">
      <c r="A2427" s="30">
        <v>2765</v>
      </c>
      <c r="B2427" s="30" t="s">
        <v>2843</v>
      </c>
      <c r="C2427" s="30" t="s">
        <v>2842</v>
      </c>
      <c r="D2427" s="30" t="s">
        <v>106</v>
      </c>
      <c r="E2427" s="30"/>
      <c r="F2427" s="30" t="s">
        <v>107</v>
      </c>
      <c r="G2427" s="30" t="s">
        <v>106</v>
      </c>
      <c r="H2427" s="30"/>
      <c r="I2427" s="30" t="s">
        <v>192</v>
      </c>
      <c r="J2427" s="30" t="s">
        <v>2256</v>
      </c>
      <c r="K2427" s="30"/>
      <c r="L2427" s="30" t="s">
        <v>117</v>
      </c>
      <c r="M2427" s="30" t="s">
        <v>113</v>
      </c>
      <c r="N2427" s="30" t="s">
        <v>114</v>
      </c>
      <c r="O2427" s="30" t="s">
        <v>115</v>
      </c>
      <c r="P2427" s="30" t="s">
        <v>112</v>
      </c>
      <c r="Q2427" s="30" t="s">
        <v>112</v>
      </c>
      <c r="R2427" s="30" t="s">
        <v>185</v>
      </c>
      <c r="S2427" s="81">
        <f>HLOOKUP(L2427,データについて!$J$6:$M$18,13,FALSE)</f>
        <v>2</v>
      </c>
      <c r="T2427" s="81">
        <f>HLOOKUP(M2427,データについて!$J$7:$M$18,12,FALSE)</f>
        <v>1</v>
      </c>
      <c r="U2427" s="81">
        <f>HLOOKUP(N2427,データについて!$J$8:$M$18,11,FALSE)</f>
        <v>1</v>
      </c>
      <c r="V2427" s="81">
        <f>HLOOKUP(O2427,データについて!$J$9:$M$18,10,FALSE)</f>
        <v>1</v>
      </c>
      <c r="W2427" s="81">
        <f>HLOOKUP(P2427,データについて!$J$10:$M$18,9,FALSE)</f>
        <v>1</v>
      </c>
      <c r="X2427" s="81">
        <f>HLOOKUP(Q2427,データについて!$J$11:$M$18,8,FALSE)</f>
        <v>1</v>
      </c>
      <c r="Y2427" s="81">
        <f>HLOOKUP(R2427,データについて!$J$12:$M$18,7,FALSE)</f>
        <v>2</v>
      </c>
      <c r="Z2427" s="81">
        <f>HLOOKUP(I2427,データについて!$J$3:$M$18,16,FALSE)</f>
        <v>1</v>
      </c>
      <c r="AA2427" s="81">
        <f>IFERROR(HLOOKUP(J2427,データについて!$J$4:$AH$19,16,FALSE),"")</f>
        <v>13</v>
      </c>
      <c r="AB2427" s="81" t="str">
        <f>IFERROR(HLOOKUP(K2427,データについて!$J$5:$AH$20,14,FALSE),"")</f>
        <v/>
      </c>
      <c r="AC2427" s="81">
        <f>IF(X2427=1,HLOOKUP(R2427,データについて!$J$12:$M$18,7,FALSE),"*")</f>
        <v>2</v>
      </c>
      <c r="AD2427" s="81" t="str">
        <f>IF(X2427=2,HLOOKUP(R2427,データについて!$J$12:$M$18,7,FALSE),"*")</f>
        <v>*</v>
      </c>
    </row>
    <row r="2428" spans="1:30">
      <c r="A2428" s="30">
        <v>2764</v>
      </c>
      <c r="B2428" s="30" t="s">
        <v>2844</v>
      </c>
      <c r="C2428" s="30" t="s">
        <v>2845</v>
      </c>
      <c r="D2428" s="30" t="s">
        <v>106</v>
      </c>
      <c r="E2428" s="30"/>
      <c r="F2428" s="30" t="s">
        <v>107</v>
      </c>
      <c r="G2428" s="30" t="s">
        <v>106</v>
      </c>
      <c r="H2428" s="30"/>
      <c r="I2428" s="30" t="s">
        <v>192</v>
      </c>
      <c r="J2428" s="30" t="s">
        <v>2256</v>
      </c>
      <c r="K2428" s="30"/>
      <c r="L2428" s="30" t="s">
        <v>117</v>
      </c>
      <c r="M2428" s="30" t="s">
        <v>113</v>
      </c>
      <c r="N2428" s="30" t="s">
        <v>110</v>
      </c>
      <c r="O2428" s="30" t="s">
        <v>115</v>
      </c>
      <c r="P2428" s="30" t="s">
        <v>112</v>
      </c>
      <c r="Q2428" s="30" t="s">
        <v>112</v>
      </c>
      <c r="R2428" s="30" t="s">
        <v>185</v>
      </c>
      <c r="S2428" s="81">
        <f>HLOOKUP(L2428,データについて!$J$6:$M$18,13,FALSE)</f>
        <v>2</v>
      </c>
      <c r="T2428" s="81">
        <f>HLOOKUP(M2428,データについて!$J$7:$M$18,12,FALSE)</f>
        <v>1</v>
      </c>
      <c r="U2428" s="81">
        <f>HLOOKUP(N2428,データについて!$J$8:$M$18,11,FALSE)</f>
        <v>2</v>
      </c>
      <c r="V2428" s="81">
        <f>HLOOKUP(O2428,データについて!$J$9:$M$18,10,FALSE)</f>
        <v>1</v>
      </c>
      <c r="W2428" s="81">
        <f>HLOOKUP(P2428,データについて!$J$10:$M$18,9,FALSE)</f>
        <v>1</v>
      </c>
      <c r="X2428" s="81">
        <f>HLOOKUP(Q2428,データについて!$J$11:$M$18,8,FALSE)</f>
        <v>1</v>
      </c>
      <c r="Y2428" s="81">
        <f>HLOOKUP(R2428,データについて!$J$12:$M$18,7,FALSE)</f>
        <v>2</v>
      </c>
      <c r="Z2428" s="81">
        <f>HLOOKUP(I2428,データについて!$J$3:$M$18,16,FALSE)</f>
        <v>1</v>
      </c>
      <c r="AA2428" s="81">
        <f>IFERROR(HLOOKUP(J2428,データについて!$J$4:$AH$19,16,FALSE),"")</f>
        <v>13</v>
      </c>
      <c r="AB2428" s="81" t="str">
        <f>IFERROR(HLOOKUP(K2428,データについて!$J$5:$AH$20,14,FALSE),"")</f>
        <v/>
      </c>
      <c r="AC2428" s="81">
        <f>IF(X2428=1,HLOOKUP(R2428,データについて!$J$12:$M$18,7,FALSE),"*")</f>
        <v>2</v>
      </c>
      <c r="AD2428" s="81" t="str">
        <f>IF(X2428=2,HLOOKUP(R2428,データについて!$J$12:$M$18,7,FALSE),"*")</f>
        <v>*</v>
      </c>
    </row>
    <row r="2429" spans="1:30">
      <c r="A2429" s="30">
        <v>2763</v>
      </c>
      <c r="B2429" s="30" t="s">
        <v>2846</v>
      </c>
      <c r="C2429" s="30" t="s">
        <v>2845</v>
      </c>
      <c r="D2429" s="30" t="s">
        <v>106</v>
      </c>
      <c r="E2429" s="30"/>
      <c r="F2429" s="30" t="s">
        <v>107</v>
      </c>
      <c r="G2429" s="30" t="s">
        <v>106</v>
      </c>
      <c r="H2429" s="30"/>
      <c r="I2429" s="30" t="s">
        <v>192</v>
      </c>
      <c r="J2429" s="30" t="s">
        <v>2256</v>
      </c>
      <c r="K2429" s="30"/>
      <c r="L2429" s="30" t="s">
        <v>108</v>
      </c>
      <c r="M2429" s="30" t="s">
        <v>109</v>
      </c>
      <c r="N2429" s="30" t="s">
        <v>114</v>
      </c>
      <c r="O2429" s="30" t="s">
        <v>115</v>
      </c>
      <c r="P2429" s="30" t="s">
        <v>112</v>
      </c>
      <c r="Q2429" s="30" t="s">
        <v>112</v>
      </c>
      <c r="R2429" s="30" t="s">
        <v>189</v>
      </c>
      <c r="S2429" s="81">
        <f>HLOOKUP(L2429,データについて!$J$6:$M$18,13,FALSE)</f>
        <v>1</v>
      </c>
      <c r="T2429" s="81">
        <f>HLOOKUP(M2429,データについて!$J$7:$M$18,12,FALSE)</f>
        <v>2</v>
      </c>
      <c r="U2429" s="81">
        <f>HLOOKUP(N2429,データについて!$J$8:$M$18,11,FALSE)</f>
        <v>1</v>
      </c>
      <c r="V2429" s="81">
        <f>HLOOKUP(O2429,データについて!$J$9:$M$18,10,FALSE)</f>
        <v>1</v>
      </c>
      <c r="W2429" s="81">
        <f>HLOOKUP(P2429,データについて!$J$10:$M$18,9,FALSE)</f>
        <v>1</v>
      </c>
      <c r="X2429" s="81">
        <f>HLOOKUP(Q2429,データについて!$J$11:$M$18,8,FALSE)</f>
        <v>1</v>
      </c>
      <c r="Y2429" s="81">
        <f>HLOOKUP(R2429,データについて!$J$12:$M$18,7,FALSE)</f>
        <v>4</v>
      </c>
      <c r="Z2429" s="81">
        <f>HLOOKUP(I2429,データについて!$J$3:$M$18,16,FALSE)</f>
        <v>1</v>
      </c>
      <c r="AA2429" s="81">
        <f>IFERROR(HLOOKUP(J2429,データについて!$J$4:$AH$19,16,FALSE),"")</f>
        <v>13</v>
      </c>
      <c r="AB2429" s="81" t="str">
        <f>IFERROR(HLOOKUP(K2429,データについて!$J$5:$AH$20,14,FALSE),"")</f>
        <v/>
      </c>
      <c r="AC2429" s="81">
        <f>IF(X2429=1,HLOOKUP(R2429,データについて!$J$12:$M$18,7,FALSE),"*")</f>
        <v>4</v>
      </c>
      <c r="AD2429" s="81" t="str">
        <f>IF(X2429=2,HLOOKUP(R2429,データについて!$J$12:$M$18,7,FALSE),"*")</f>
        <v>*</v>
      </c>
    </row>
    <row r="2430" spans="1:30">
      <c r="A2430" s="30">
        <v>2762</v>
      </c>
      <c r="B2430" s="30" t="s">
        <v>2847</v>
      </c>
      <c r="C2430" s="30" t="s">
        <v>2845</v>
      </c>
      <c r="D2430" s="30" t="s">
        <v>106</v>
      </c>
      <c r="E2430" s="30"/>
      <c r="F2430" s="30" t="s">
        <v>107</v>
      </c>
      <c r="G2430" s="30" t="s">
        <v>106</v>
      </c>
      <c r="H2430" s="30"/>
      <c r="I2430" s="30" t="s">
        <v>192</v>
      </c>
      <c r="J2430" s="30" t="s">
        <v>2256</v>
      </c>
      <c r="K2430" s="30"/>
      <c r="L2430" s="30" t="s">
        <v>108</v>
      </c>
      <c r="M2430" s="30" t="s">
        <v>113</v>
      </c>
      <c r="N2430" s="30" t="s">
        <v>110</v>
      </c>
      <c r="O2430" s="30" t="s">
        <v>115</v>
      </c>
      <c r="P2430" s="30" t="s">
        <v>112</v>
      </c>
      <c r="Q2430" s="30" t="s">
        <v>118</v>
      </c>
      <c r="R2430" s="30" t="s">
        <v>185</v>
      </c>
      <c r="S2430" s="81">
        <f>HLOOKUP(L2430,データについて!$J$6:$M$18,13,FALSE)</f>
        <v>1</v>
      </c>
      <c r="T2430" s="81">
        <f>HLOOKUP(M2430,データについて!$J$7:$M$18,12,FALSE)</f>
        <v>1</v>
      </c>
      <c r="U2430" s="81">
        <f>HLOOKUP(N2430,データについて!$J$8:$M$18,11,FALSE)</f>
        <v>2</v>
      </c>
      <c r="V2430" s="81">
        <f>HLOOKUP(O2430,データについて!$J$9:$M$18,10,FALSE)</f>
        <v>1</v>
      </c>
      <c r="W2430" s="81">
        <f>HLOOKUP(P2430,データについて!$J$10:$M$18,9,FALSE)</f>
        <v>1</v>
      </c>
      <c r="X2430" s="81">
        <f>HLOOKUP(Q2430,データについて!$J$11:$M$18,8,FALSE)</f>
        <v>2</v>
      </c>
      <c r="Y2430" s="81">
        <f>HLOOKUP(R2430,データについて!$J$12:$M$18,7,FALSE)</f>
        <v>2</v>
      </c>
      <c r="Z2430" s="81">
        <f>HLOOKUP(I2430,データについて!$J$3:$M$18,16,FALSE)</f>
        <v>1</v>
      </c>
      <c r="AA2430" s="81">
        <f>IFERROR(HLOOKUP(J2430,データについて!$J$4:$AH$19,16,FALSE),"")</f>
        <v>13</v>
      </c>
      <c r="AB2430" s="81" t="str">
        <f>IFERROR(HLOOKUP(K2430,データについて!$J$5:$AH$20,14,FALSE),"")</f>
        <v/>
      </c>
      <c r="AC2430" s="81" t="str">
        <f>IF(X2430=1,HLOOKUP(R2430,データについて!$J$12:$M$18,7,FALSE),"*")</f>
        <v>*</v>
      </c>
      <c r="AD2430" s="81">
        <f>IF(X2430=2,HLOOKUP(R2430,データについて!$J$12:$M$18,7,FALSE),"*")</f>
        <v>2</v>
      </c>
    </row>
    <row r="2431" spans="1:30">
      <c r="A2431" s="30">
        <v>2761</v>
      </c>
      <c r="B2431" s="30" t="s">
        <v>2848</v>
      </c>
      <c r="C2431" s="30" t="s">
        <v>2845</v>
      </c>
      <c r="D2431" s="30" t="s">
        <v>106</v>
      </c>
      <c r="E2431" s="30"/>
      <c r="F2431" s="30" t="s">
        <v>107</v>
      </c>
      <c r="G2431" s="30" t="s">
        <v>106</v>
      </c>
      <c r="H2431" s="30"/>
      <c r="I2431" s="30" t="s">
        <v>192</v>
      </c>
      <c r="J2431" s="30" t="s">
        <v>2256</v>
      </c>
      <c r="K2431" s="30"/>
      <c r="L2431" s="30" t="s">
        <v>117</v>
      </c>
      <c r="M2431" s="30" t="s">
        <v>113</v>
      </c>
      <c r="N2431" s="30" t="s">
        <v>114</v>
      </c>
      <c r="O2431" s="30" t="s">
        <v>115</v>
      </c>
      <c r="P2431" s="30" t="s">
        <v>112</v>
      </c>
      <c r="Q2431" s="30" t="s">
        <v>112</v>
      </c>
      <c r="R2431" s="30" t="s">
        <v>183</v>
      </c>
      <c r="S2431" s="81">
        <f>HLOOKUP(L2431,データについて!$J$6:$M$18,13,FALSE)</f>
        <v>2</v>
      </c>
      <c r="T2431" s="81">
        <f>HLOOKUP(M2431,データについて!$J$7:$M$18,12,FALSE)</f>
        <v>1</v>
      </c>
      <c r="U2431" s="81">
        <f>HLOOKUP(N2431,データについて!$J$8:$M$18,11,FALSE)</f>
        <v>1</v>
      </c>
      <c r="V2431" s="81">
        <f>HLOOKUP(O2431,データについて!$J$9:$M$18,10,FALSE)</f>
        <v>1</v>
      </c>
      <c r="W2431" s="81">
        <f>HLOOKUP(P2431,データについて!$J$10:$M$18,9,FALSE)</f>
        <v>1</v>
      </c>
      <c r="X2431" s="81">
        <f>HLOOKUP(Q2431,データについて!$J$11:$M$18,8,FALSE)</f>
        <v>1</v>
      </c>
      <c r="Y2431" s="81">
        <f>HLOOKUP(R2431,データについて!$J$12:$M$18,7,FALSE)</f>
        <v>1</v>
      </c>
      <c r="Z2431" s="81">
        <f>HLOOKUP(I2431,データについて!$J$3:$M$18,16,FALSE)</f>
        <v>1</v>
      </c>
      <c r="AA2431" s="81">
        <f>IFERROR(HLOOKUP(J2431,データについて!$J$4:$AH$19,16,FALSE),"")</f>
        <v>13</v>
      </c>
      <c r="AB2431" s="81" t="str">
        <f>IFERROR(HLOOKUP(K2431,データについて!$J$5:$AH$20,14,FALSE),"")</f>
        <v/>
      </c>
      <c r="AC2431" s="81">
        <f>IF(X2431=1,HLOOKUP(R2431,データについて!$J$12:$M$18,7,FALSE),"*")</f>
        <v>1</v>
      </c>
      <c r="AD2431" s="81" t="str">
        <f>IF(X2431=2,HLOOKUP(R2431,データについて!$J$12:$M$18,7,FALSE),"*")</f>
        <v>*</v>
      </c>
    </row>
    <row r="2432" spans="1:30">
      <c r="A2432" s="30">
        <v>2760</v>
      </c>
      <c r="B2432" s="30" t="s">
        <v>2849</v>
      </c>
      <c r="C2432" s="30" t="s">
        <v>2850</v>
      </c>
      <c r="D2432" s="30" t="s">
        <v>106</v>
      </c>
      <c r="E2432" s="30"/>
      <c r="F2432" s="30" t="s">
        <v>107</v>
      </c>
      <c r="G2432" s="30" t="s">
        <v>106</v>
      </c>
      <c r="H2432" s="30"/>
      <c r="I2432" s="30" t="s">
        <v>192</v>
      </c>
      <c r="J2432" s="30" t="s">
        <v>2256</v>
      </c>
      <c r="K2432" s="30"/>
      <c r="L2432" s="30" t="s">
        <v>117</v>
      </c>
      <c r="M2432" s="30" t="s">
        <v>113</v>
      </c>
      <c r="N2432" s="30" t="s">
        <v>114</v>
      </c>
      <c r="O2432" s="30" t="s">
        <v>115</v>
      </c>
      <c r="P2432" s="30" t="s">
        <v>112</v>
      </c>
      <c r="Q2432" s="30" t="s">
        <v>112</v>
      </c>
      <c r="R2432" s="30" t="s">
        <v>183</v>
      </c>
      <c r="S2432" s="81">
        <f>HLOOKUP(L2432,データについて!$J$6:$M$18,13,FALSE)</f>
        <v>2</v>
      </c>
      <c r="T2432" s="81">
        <f>HLOOKUP(M2432,データについて!$J$7:$M$18,12,FALSE)</f>
        <v>1</v>
      </c>
      <c r="U2432" s="81">
        <f>HLOOKUP(N2432,データについて!$J$8:$M$18,11,FALSE)</f>
        <v>1</v>
      </c>
      <c r="V2432" s="81">
        <f>HLOOKUP(O2432,データについて!$J$9:$M$18,10,FALSE)</f>
        <v>1</v>
      </c>
      <c r="W2432" s="81">
        <f>HLOOKUP(P2432,データについて!$J$10:$M$18,9,FALSE)</f>
        <v>1</v>
      </c>
      <c r="X2432" s="81">
        <f>HLOOKUP(Q2432,データについて!$J$11:$M$18,8,FALSE)</f>
        <v>1</v>
      </c>
      <c r="Y2432" s="81">
        <f>HLOOKUP(R2432,データについて!$J$12:$M$18,7,FALSE)</f>
        <v>1</v>
      </c>
      <c r="Z2432" s="81">
        <f>HLOOKUP(I2432,データについて!$J$3:$M$18,16,FALSE)</f>
        <v>1</v>
      </c>
      <c r="AA2432" s="81">
        <f>IFERROR(HLOOKUP(J2432,データについて!$J$4:$AH$19,16,FALSE),"")</f>
        <v>13</v>
      </c>
      <c r="AB2432" s="81" t="str">
        <f>IFERROR(HLOOKUP(K2432,データについて!$J$5:$AH$20,14,FALSE),"")</f>
        <v/>
      </c>
      <c r="AC2432" s="81">
        <f>IF(X2432=1,HLOOKUP(R2432,データについて!$J$12:$M$18,7,FALSE),"*")</f>
        <v>1</v>
      </c>
      <c r="AD2432" s="81" t="str">
        <f>IF(X2432=2,HLOOKUP(R2432,データについて!$J$12:$M$18,7,FALSE),"*")</f>
        <v>*</v>
      </c>
    </row>
    <row r="2433" spans="1:30">
      <c r="A2433" s="30">
        <v>2759</v>
      </c>
      <c r="B2433" s="30" t="s">
        <v>2851</v>
      </c>
      <c r="C2433" s="30" t="s">
        <v>2850</v>
      </c>
      <c r="D2433" s="30" t="s">
        <v>106</v>
      </c>
      <c r="E2433" s="30"/>
      <c r="F2433" s="30" t="s">
        <v>107</v>
      </c>
      <c r="G2433" s="30" t="s">
        <v>106</v>
      </c>
      <c r="H2433" s="30"/>
      <c r="I2433" s="30" t="s">
        <v>192</v>
      </c>
      <c r="J2433" s="30" t="s">
        <v>2256</v>
      </c>
      <c r="K2433" s="30"/>
      <c r="L2433" s="30" t="s">
        <v>117</v>
      </c>
      <c r="M2433" s="30" t="s">
        <v>109</v>
      </c>
      <c r="N2433" s="30" t="s">
        <v>114</v>
      </c>
      <c r="O2433" s="30" t="s">
        <v>115</v>
      </c>
      <c r="P2433" s="30" t="s">
        <v>112</v>
      </c>
      <c r="Q2433" s="30" t="s">
        <v>112</v>
      </c>
      <c r="R2433" s="30" t="s">
        <v>185</v>
      </c>
      <c r="S2433" s="81">
        <f>HLOOKUP(L2433,データについて!$J$6:$M$18,13,FALSE)</f>
        <v>2</v>
      </c>
      <c r="T2433" s="81">
        <f>HLOOKUP(M2433,データについて!$J$7:$M$18,12,FALSE)</f>
        <v>2</v>
      </c>
      <c r="U2433" s="81">
        <f>HLOOKUP(N2433,データについて!$J$8:$M$18,11,FALSE)</f>
        <v>1</v>
      </c>
      <c r="V2433" s="81">
        <f>HLOOKUP(O2433,データについて!$J$9:$M$18,10,FALSE)</f>
        <v>1</v>
      </c>
      <c r="W2433" s="81">
        <f>HLOOKUP(P2433,データについて!$J$10:$M$18,9,FALSE)</f>
        <v>1</v>
      </c>
      <c r="X2433" s="81">
        <f>HLOOKUP(Q2433,データについて!$J$11:$M$18,8,FALSE)</f>
        <v>1</v>
      </c>
      <c r="Y2433" s="81">
        <f>HLOOKUP(R2433,データについて!$J$12:$M$18,7,FALSE)</f>
        <v>2</v>
      </c>
      <c r="Z2433" s="81">
        <f>HLOOKUP(I2433,データについて!$J$3:$M$18,16,FALSE)</f>
        <v>1</v>
      </c>
      <c r="AA2433" s="81">
        <f>IFERROR(HLOOKUP(J2433,データについて!$J$4:$AH$19,16,FALSE),"")</f>
        <v>13</v>
      </c>
      <c r="AB2433" s="81" t="str">
        <f>IFERROR(HLOOKUP(K2433,データについて!$J$5:$AH$20,14,FALSE),"")</f>
        <v/>
      </c>
      <c r="AC2433" s="81">
        <f>IF(X2433=1,HLOOKUP(R2433,データについて!$J$12:$M$18,7,FALSE),"*")</f>
        <v>2</v>
      </c>
      <c r="AD2433" s="81" t="str">
        <f>IF(X2433=2,HLOOKUP(R2433,データについて!$J$12:$M$18,7,FALSE),"*")</f>
        <v>*</v>
      </c>
    </row>
    <row r="2434" spans="1:30">
      <c r="A2434" s="30">
        <v>2758</v>
      </c>
      <c r="B2434" s="30" t="s">
        <v>2852</v>
      </c>
      <c r="C2434" s="30" t="s">
        <v>2853</v>
      </c>
      <c r="D2434" s="30" t="s">
        <v>106</v>
      </c>
      <c r="E2434" s="30"/>
      <c r="F2434" s="30" t="s">
        <v>107</v>
      </c>
      <c r="G2434" s="30" t="s">
        <v>106</v>
      </c>
      <c r="H2434" s="30"/>
      <c r="I2434" s="30" t="s">
        <v>192</v>
      </c>
      <c r="J2434" s="30" t="s">
        <v>2256</v>
      </c>
      <c r="K2434" s="30"/>
      <c r="L2434" s="30" t="s">
        <v>117</v>
      </c>
      <c r="M2434" s="30" t="s">
        <v>109</v>
      </c>
      <c r="N2434" s="30" t="s">
        <v>110</v>
      </c>
      <c r="O2434" s="30" t="s">
        <v>115</v>
      </c>
      <c r="P2434" s="30" t="s">
        <v>112</v>
      </c>
      <c r="Q2434" s="30" t="s">
        <v>112</v>
      </c>
      <c r="R2434" s="30" t="s">
        <v>187</v>
      </c>
      <c r="S2434" s="81">
        <f>HLOOKUP(L2434,データについて!$J$6:$M$18,13,FALSE)</f>
        <v>2</v>
      </c>
      <c r="T2434" s="81">
        <f>HLOOKUP(M2434,データについて!$J$7:$M$18,12,FALSE)</f>
        <v>2</v>
      </c>
      <c r="U2434" s="81">
        <f>HLOOKUP(N2434,データについて!$J$8:$M$18,11,FALSE)</f>
        <v>2</v>
      </c>
      <c r="V2434" s="81">
        <f>HLOOKUP(O2434,データについて!$J$9:$M$18,10,FALSE)</f>
        <v>1</v>
      </c>
      <c r="W2434" s="81">
        <f>HLOOKUP(P2434,データについて!$J$10:$M$18,9,FALSE)</f>
        <v>1</v>
      </c>
      <c r="X2434" s="81">
        <f>HLOOKUP(Q2434,データについて!$J$11:$M$18,8,FALSE)</f>
        <v>1</v>
      </c>
      <c r="Y2434" s="81">
        <f>HLOOKUP(R2434,データについて!$J$12:$M$18,7,FALSE)</f>
        <v>3</v>
      </c>
      <c r="Z2434" s="81">
        <f>HLOOKUP(I2434,データについて!$J$3:$M$18,16,FALSE)</f>
        <v>1</v>
      </c>
      <c r="AA2434" s="81">
        <f>IFERROR(HLOOKUP(J2434,データについて!$J$4:$AH$19,16,FALSE),"")</f>
        <v>13</v>
      </c>
      <c r="AB2434" s="81" t="str">
        <f>IFERROR(HLOOKUP(K2434,データについて!$J$5:$AH$20,14,FALSE),"")</f>
        <v/>
      </c>
      <c r="AC2434" s="81">
        <f>IF(X2434=1,HLOOKUP(R2434,データについて!$J$12:$M$18,7,FALSE),"*")</f>
        <v>3</v>
      </c>
      <c r="AD2434" s="81" t="str">
        <f>IF(X2434=2,HLOOKUP(R2434,データについて!$J$12:$M$18,7,FALSE),"*")</f>
        <v>*</v>
      </c>
    </row>
    <row r="2435" spans="1:30">
      <c r="A2435" s="30">
        <v>2757</v>
      </c>
      <c r="B2435" s="30" t="s">
        <v>2854</v>
      </c>
      <c r="C2435" s="30" t="s">
        <v>2855</v>
      </c>
      <c r="D2435" s="30" t="s">
        <v>106</v>
      </c>
      <c r="E2435" s="30"/>
      <c r="F2435" s="30" t="s">
        <v>107</v>
      </c>
      <c r="G2435" s="30" t="s">
        <v>106</v>
      </c>
      <c r="H2435" s="30"/>
      <c r="I2435" s="30" t="s">
        <v>192</v>
      </c>
      <c r="J2435" s="30" t="s">
        <v>2256</v>
      </c>
      <c r="K2435" s="30"/>
      <c r="L2435" s="30" t="s">
        <v>108</v>
      </c>
      <c r="M2435" s="30" t="s">
        <v>113</v>
      </c>
      <c r="N2435" s="30" t="s">
        <v>110</v>
      </c>
      <c r="O2435" s="30" t="s">
        <v>115</v>
      </c>
      <c r="P2435" s="30" t="s">
        <v>112</v>
      </c>
      <c r="Q2435" s="30" t="s">
        <v>112</v>
      </c>
      <c r="R2435" s="30" t="s">
        <v>185</v>
      </c>
      <c r="S2435" s="81">
        <f>HLOOKUP(L2435,データについて!$J$6:$M$18,13,FALSE)</f>
        <v>1</v>
      </c>
      <c r="T2435" s="81">
        <f>HLOOKUP(M2435,データについて!$J$7:$M$18,12,FALSE)</f>
        <v>1</v>
      </c>
      <c r="U2435" s="81">
        <f>HLOOKUP(N2435,データについて!$J$8:$M$18,11,FALSE)</f>
        <v>2</v>
      </c>
      <c r="V2435" s="81">
        <f>HLOOKUP(O2435,データについて!$J$9:$M$18,10,FALSE)</f>
        <v>1</v>
      </c>
      <c r="W2435" s="81">
        <f>HLOOKUP(P2435,データについて!$J$10:$M$18,9,FALSE)</f>
        <v>1</v>
      </c>
      <c r="X2435" s="81">
        <f>HLOOKUP(Q2435,データについて!$J$11:$M$18,8,FALSE)</f>
        <v>1</v>
      </c>
      <c r="Y2435" s="81">
        <f>HLOOKUP(R2435,データについて!$J$12:$M$18,7,FALSE)</f>
        <v>2</v>
      </c>
      <c r="Z2435" s="81">
        <f>HLOOKUP(I2435,データについて!$J$3:$M$18,16,FALSE)</f>
        <v>1</v>
      </c>
      <c r="AA2435" s="81">
        <f>IFERROR(HLOOKUP(J2435,データについて!$J$4:$AH$19,16,FALSE),"")</f>
        <v>13</v>
      </c>
      <c r="AB2435" s="81" t="str">
        <f>IFERROR(HLOOKUP(K2435,データについて!$J$5:$AH$20,14,FALSE),"")</f>
        <v/>
      </c>
      <c r="AC2435" s="81">
        <f>IF(X2435=1,HLOOKUP(R2435,データについて!$J$12:$M$18,7,FALSE),"*")</f>
        <v>2</v>
      </c>
      <c r="AD2435" s="81" t="str">
        <f>IF(X2435=2,HLOOKUP(R2435,データについて!$J$12:$M$18,7,FALSE),"*")</f>
        <v>*</v>
      </c>
    </row>
    <row r="2436" spans="1:30">
      <c r="A2436" s="30">
        <v>2756</v>
      </c>
      <c r="B2436" s="30" t="s">
        <v>2856</v>
      </c>
      <c r="C2436" s="30" t="s">
        <v>2855</v>
      </c>
      <c r="D2436" s="30" t="s">
        <v>106</v>
      </c>
      <c r="E2436" s="30"/>
      <c r="F2436" s="30" t="s">
        <v>107</v>
      </c>
      <c r="G2436" s="30" t="s">
        <v>106</v>
      </c>
      <c r="H2436" s="30"/>
      <c r="I2436" s="30" t="s">
        <v>192</v>
      </c>
      <c r="J2436" s="30" t="s">
        <v>2256</v>
      </c>
      <c r="K2436" s="30"/>
      <c r="L2436" s="30" t="s">
        <v>117</v>
      </c>
      <c r="M2436" s="30" t="s">
        <v>113</v>
      </c>
      <c r="N2436" s="30" t="s">
        <v>119</v>
      </c>
      <c r="O2436" s="30" t="s">
        <v>115</v>
      </c>
      <c r="P2436" s="30" t="s">
        <v>112</v>
      </c>
      <c r="Q2436" s="30" t="s">
        <v>112</v>
      </c>
      <c r="R2436" s="30" t="s">
        <v>185</v>
      </c>
      <c r="S2436" s="81">
        <f>HLOOKUP(L2436,データについて!$J$6:$M$18,13,FALSE)</f>
        <v>2</v>
      </c>
      <c r="T2436" s="81">
        <f>HLOOKUP(M2436,データについて!$J$7:$M$18,12,FALSE)</f>
        <v>1</v>
      </c>
      <c r="U2436" s="81">
        <f>HLOOKUP(N2436,データについて!$J$8:$M$18,11,FALSE)</f>
        <v>4</v>
      </c>
      <c r="V2436" s="81">
        <f>HLOOKUP(O2436,データについて!$J$9:$M$18,10,FALSE)</f>
        <v>1</v>
      </c>
      <c r="W2436" s="81">
        <f>HLOOKUP(P2436,データについて!$J$10:$M$18,9,FALSE)</f>
        <v>1</v>
      </c>
      <c r="X2436" s="81">
        <f>HLOOKUP(Q2436,データについて!$J$11:$M$18,8,FALSE)</f>
        <v>1</v>
      </c>
      <c r="Y2436" s="81">
        <f>HLOOKUP(R2436,データについて!$J$12:$M$18,7,FALSE)</f>
        <v>2</v>
      </c>
      <c r="Z2436" s="81">
        <f>HLOOKUP(I2436,データについて!$J$3:$M$18,16,FALSE)</f>
        <v>1</v>
      </c>
      <c r="AA2436" s="81">
        <f>IFERROR(HLOOKUP(J2436,データについて!$J$4:$AH$19,16,FALSE),"")</f>
        <v>13</v>
      </c>
      <c r="AB2436" s="81" t="str">
        <f>IFERROR(HLOOKUP(K2436,データについて!$J$5:$AH$20,14,FALSE),"")</f>
        <v/>
      </c>
      <c r="AC2436" s="81">
        <f>IF(X2436=1,HLOOKUP(R2436,データについて!$J$12:$M$18,7,FALSE),"*")</f>
        <v>2</v>
      </c>
      <c r="AD2436" s="81" t="str">
        <f>IF(X2436=2,HLOOKUP(R2436,データについて!$J$12:$M$18,7,FALSE),"*")</f>
        <v>*</v>
      </c>
    </row>
    <row r="2437" spans="1:30">
      <c r="A2437" s="30">
        <v>2755</v>
      </c>
      <c r="B2437" s="30" t="s">
        <v>2857</v>
      </c>
      <c r="C2437" s="30" t="s">
        <v>2858</v>
      </c>
      <c r="D2437" s="30" t="s">
        <v>106</v>
      </c>
      <c r="E2437" s="30"/>
      <c r="F2437" s="30" t="s">
        <v>107</v>
      </c>
      <c r="G2437" s="30" t="s">
        <v>106</v>
      </c>
      <c r="H2437" s="30"/>
      <c r="I2437" s="30" t="s">
        <v>192</v>
      </c>
      <c r="J2437" s="30" t="s">
        <v>2256</v>
      </c>
      <c r="K2437" s="30"/>
      <c r="L2437" s="30" t="s">
        <v>108</v>
      </c>
      <c r="M2437" s="30" t="s">
        <v>109</v>
      </c>
      <c r="N2437" s="30" t="s">
        <v>114</v>
      </c>
      <c r="O2437" s="30" t="s">
        <v>115</v>
      </c>
      <c r="P2437" s="30" t="s">
        <v>112</v>
      </c>
      <c r="Q2437" s="30" t="s">
        <v>112</v>
      </c>
      <c r="R2437" s="30" t="s">
        <v>183</v>
      </c>
      <c r="S2437" s="81">
        <f>HLOOKUP(L2437,データについて!$J$6:$M$18,13,FALSE)</f>
        <v>1</v>
      </c>
      <c r="T2437" s="81">
        <f>HLOOKUP(M2437,データについて!$J$7:$M$18,12,FALSE)</f>
        <v>2</v>
      </c>
      <c r="U2437" s="81">
        <f>HLOOKUP(N2437,データについて!$J$8:$M$18,11,FALSE)</f>
        <v>1</v>
      </c>
      <c r="V2437" s="81">
        <f>HLOOKUP(O2437,データについて!$J$9:$M$18,10,FALSE)</f>
        <v>1</v>
      </c>
      <c r="W2437" s="81">
        <f>HLOOKUP(P2437,データについて!$J$10:$M$18,9,FALSE)</f>
        <v>1</v>
      </c>
      <c r="X2437" s="81">
        <f>HLOOKUP(Q2437,データについて!$J$11:$M$18,8,FALSE)</f>
        <v>1</v>
      </c>
      <c r="Y2437" s="81">
        <f>HLOOKUP(R2437,データについて!$J$12:$M$18,7,FALSE)</f>
        <v>1</v>
      </c>
      <c r="Z2437" s="81">
        <f>HLOOKUP(I2437,データについて!$J$3:$M$18,16,FALSE)</f>
        <v>1</v>
      </c>
      <c r="AA2437" s="81">
        <f>IFERROR(HLOOKUP(J2437,データについて!$J$4:$AH$19,16,FALSE),"")</f>
        <v>13</v>
      </c>
      <c r="AB2437" s="81" t="str">
        <f>IFERROR(HLOOKUP(K2437,データについて!$J$5:$AH$20,14,FALSE),"")</f>
        <v/>
      </c>
      <c r="AC2437" s="81">
        <f>IF(X2437=1,HLOOKUP(R2437,データについて!$J$12:$M$18,7,FALSE),"*")</f>
        <v>1</v>
      </c>
      <c r="AD2437" s="81" t="str">
        <f>IF(X2437=2,HLOOKUP(R2437,データについて!$J$12:$M$18,7,FALSE),"*")</f>
        <v>*</v>
      </c>
    </row>
    <row r="2438" spans="1:30">
      <c r="A2438" s="30">
        <v>2754</v>
      </c>
      <c r="B2438" s="30" t="s">
        <v>2859</v>
      </c>
      <c r="C2438" s="30" t="s">
        <v>2860</v>
      </c>
      <c r="D2438" s="30" t="s">
        <v>106</v>
      </c>
      <c r="E2438" s="30"/>
      <c r="F2438" s="30" t="s">
        <v>107</v>
      </c>
      <c r="G2438" s="30" t="s">
        <v>106</v>
      </c>
      <c r="H2438" s="30"/>
      <c r="I2438" s="30" t="s">
        <v>192</v>
      </c>
      <c r="J2438" s="30" t="s">
        <v>125</v>
      </c>
      <c r="K2438" s="30"/>
      <c r="L2438" s="30" t="s">
        <v>108</v>
      </c>
      <c r="M2438" s="30" t="s">
        <v>109</v>
      </c>
      <c r="N2438" s="30" t="s">
        <v>114</v>
      </c>
      <c r="O2438" s="30" t="s">
        <v>115</v>
      </c>
      <c r="P2438" s="30" t="s">
        <v>112</v>
      </c>
      <c r="Q2438" s="30" t="s">
        <v>118</v>
      </c>
      <c r="R2438" s="30" t="s">
        <v>187</v>
      </c>
      <c r="S2438" s="81">
        <f>HLOOKUP(L2438,データについて!$J$6:$M$18,13,FALSE)</f>
        <v>1</v>
      </c>
      <c r="T2438" s="81">
        <f>HLOOKUP(M2438,データについて!$J$7:$M$18,12,FALSE)</f>
        <v>2</v>
      </c>
      <c r="U2438" s="81">
        <f>HLOOKUP(N2438,データについて!$J$8:$M$18,11,FALSE)</f>
        <v>1</v>
      </c>
      <c r="V2438" s="81">
        <f>HLOOKUP(O2438,データについて!$J$9:$M$18,10,FALSE)</f>
        <v>1</v>
      </c>
      <c r="W2438" s="81">
        <f>HLOOKUP(P2438,データについて!$J$10:$M$18,9,FALSE)</f>
        <v>1</v>
      </c>
      <c r="X2438" s="81">
        <f>HLOOKUP(Q2438,データについて!$J$11:$M$18,8,FALSE)</f>
        <v>2</v>
      </c>
      <c r="Y2438" s="81">
        <f>HLOOKUP(R2438,データについて!$J$12:$M$18,7,FALSE)</f>
        <v>3</v>
      </c>
      <c r="Z2438" s="81">
        <f>HLOOKUP(I2438,データについて!$J$3:$M$18,16,FALSE)</f>
        <v>1</v>
      </c>
      <c r="AA2438" s="81">
        <f>IFERROR(HLOOKUP(J2438,データについて!$J$4:$AH$19,16,FALSE),"")</f>
        <v>6</v>
      </c>
      <c r="AB2438" s="81" t="str">
        <f>IFERROR(HLOOKUP(K2438,データについて!$J$5:$AH$20,14,FALSE),"")</f>
        <v/>
      </c>
      <c r="AC2438" s="81" t="str">
        <f>IF(X2438=1,HLOOKUP(R2438,データについて!$J$12:$M$18,7,FALSE),"*")</f>
        <v>*</v>
      </c>
      <c r="AD2438" s="81">
        <f>IF(X2438=2,HLOOKUP(R2438,データについて!$J$12:$M$18,7,FALSE),"*")</f>
        <v>3</v>
      </c>
    </row>
    <row r="2439" spans="1:30">
      <c r="A2439" s="30">
        <v>2753</v>
      </c>
      <c r="B2439" s="30" t="s">
        <v>2861</v>
      </c>
      <c r="C2439" s="30" t="s">
        <v>2862</v>
      </c>
      <c r="D2439" s="30" t="s">
        <v>106</v>
      </c>
      <c r="E2439" s="30"/>
      <c r="F2439" s="30" t="s">
        <v>107</v>
      </c>
      <c r="G2439" s="30" t="s">
        <v>106</v>
      </c>
      <c r="H2439" s="30"/>
      <c r="I2439" s="30" t="s">
        <v>192</v>
      </c>
      <c r="J2439" s="30" t="s">
        <v>2256</v>
      </c>
      <c r="K2439" s="30"/>
      <c r="L2439" s="30" t="s">
        <v>108</v>
      </c>
      <c r="M2439" s="30" t="s">
        <v>109</v>
      </c>
      <c r="N2439" s="30" t="s">
        <v>114</v>
      </c>
      <c r="O2439" s="30" t="s">
        <v>115</v>
      </c>
      <c r="P2439" s="30" t="s">
        <v>112</v>
      </c>
      <c r="Q2439" s="30" t="s">
        <v>118</v>
      </c>
      <c r="R2439" s="30" t="s">
        <v>187</v>
      </c>
      <c r="S2439" s="81">
        <f>HLOOKUP(L2439,データについて!$J$6:$M$18,13,FALSE)</f>
        <v>1</v>
      </c>
      <c r="T2439" s="81">
        <f>HLOOKUP(M2439,データについて!$J$7:$M$18,12,FALSE)</f>
        <v>2</v>
      </c>
      <c r="U2439" s="81">
        <f>HLOOKUP(N2439,データについて!$J$8:$M$18,11,FALSE)</f>
        <v>1</v>
      </c>
      <c r="V2439" s="81">
        <f>HLOOKUP(O2439,データについて!$J$9:$M$18,10,FALSE)</f>
        <v>1</v>
      </c>
      <c r="W2439" s="81">
        <f>HLOOKUP(P2439,データについて!$J$10:$M$18,9,FALSE)</f>
        <v>1</v>
      </c>
      <c r="X2439" s="81">
        <f>HLOOKUP(Q2439,データについて!$J$11:$M$18,8,FALSE)</f>
        <v>2</v>
      </c>
      <c r="Y2439" s="81">
        <f>HLOOKUP(R2439,データについて!$J$12:$M$18,7,FALSE)</f>
        <v>3</v>
      </c>
      <c r="Z2439" s="81">
        <f>HLOOKUP(I2439,データについて!$J$3:$M$18,16,FALSE)</f>
        <v>1</v>
      </c>
      <c r="AA2439" s="81">
        <f>IFERROR(HLOOKUP(J2439,データについて!$J$4:$AH$19,16,FALSE),"")</f>
        <v>13</v>
      </c>
      <c r="AB2439" s="81" t="str">
        <f>IFERROR(HLOOKUP(K2439,データについて!$J$5:$AH$20,14,FALSE),"")</f>
        <v/>
      </c>
      <c r="AC2439" s="81" t="str">
        <f>IF(X2439=1,HLOOKUP(R2439,データについて!$J$12:$M$18,7,FALSE),"*")</f>
        <v>*</v>
      </c>
      <c r="AD2439" s="81">
        <f>IF(X2439=2,HLOOKUP(R2439,データについて!$J$12:$M$18,7,FALSE),"*")</f>
        <v>3</v>
      </c>
    </row>
    <row r="2440" spans="1:30">
      <c r="A2440" s="30">
        <v>2752</v>
      </c>
      <c r="B2440" s="30" t="s">
        <v>2863</v>
      </c>
      <c r="C2440" s="30" t="s">
        <v>2864</v>
      </c>
      <c r="D2440" s="30" t="s">
        <v>106</v>
      </c>
      <c r="E2440" s="30"/>
      <c r="F2440" s="30" t="s">
        <v>107</v>
      </c>
      <c r="G2440" s="30" t="s">
        <v>106</v>
      </c>
      <c r="H2440" s="30"/>
      <c r="I2440" s="30" t="s">
        <v>192</v>
      </c>
      <c r="J2440" s="30" t="s">
        <v>2256</v>
      </c>
      <c r="K2440" s="30"/>
      <c r="L2440" s="30" t="s">
        <v>117</v>
      </c>
      <c r="M2440" s="30" t="s">
        <v>109</v>
      </c>
      <c r="N2440" s="30" t="s">
        <v>110</v>
      </c>
      <c r="O2440" s="30" t="s">
        <v>115</v>
      </c>
      <c r="P2440" s="30" t="s">
        <v>112</v>
      </c>
      <c r="Q2440" s="30" t="s">
        <v>112</v>
      </c>
      <c r="R2440" s="30" t="s">
        <v>185</v>
      </c>
      <c r="S2440" s="81">
        <f>HLOOKUP(L2440,データについて!$J$6:$M$18,13,FALSE)</f>
        <v>2</v>
      </c>
      <c r="T2440" s="81">
        <f>HLOOKUP(M2440,データについて!$J$7:$M$18,12,FALSE)</f>
        <v>2</v>
      </c>
      <c r="U2440" s="81">
        <f>HLOOKUP(N2440,データについて!$J$8:$M$18,11,FALSE)</f>
        <v>2</v>
      </c>
      <c r="V2440" s="81">
        <f>HLOOKUP(O2440,データについて!$J$9:$M$18,10,FALSE)</f>
        <v>1</v>
      </c>
      <c r="W2440" s="81">
        <f>HLOOKUP(P2440,データについて!$J$10:$M$18,9,FALSE)</f>
        <v>1</v>
      </c>
      <c r="X2440" s="81">
        <f>HLOOKUP(Q2440,データについて!$J$11:$M$18,8,FALSE)</f>
        <v>1</v>
      </c>
      <c r="Y2440" s="81">
        <f>HLOOKUP(R2440,データについて!$J$12:$M$18,7,FALSE)</f>
        <v>2</v>
      </c>
      <c r="Z2440" s="81">
        <f>HLOOKUP(I2440,データについて!$J$3:$M$18,16,FALSE)</f>
        <v>1</v>
      </c>
      <c r="AA2440" s="81">
        <f>IFERROR(HLOOKUP(J2440,データについて!$J$4:$AH$19,16,FALSE),"")</f>
        <v>13</v>
      </c>
      <c r="AB2440" s="81" t="str">
        <f>IFERROR(HLOOKUP(K2440,データについて!$J$5:$AH$20,14,FALSE),"")</f>
        <v/>
      </c>
      <c r="AC2440" s="81">
        <f>IF(X2440=1,HLOOKUP(R2440,データについて!$J$12:$M$18,7,FALSE),"*")</f>
        <v>2</v>
      </c>
      <c r="AD2440" s="81" t="str">
        <f>IF(X2440=2,HLOOKUP(R2440,データについて!$J$12:$M$18,7,FALSE),"*")</f>
        <v>*</v>
      </c>
    </row>
    <row r="2441" spans="1:30">
      <c r="A2441" s="30">
        <v>2751</v>
      </c>
      <c r="B2441" s="30" t="s">
        <v>2865</v>
      </c>
      <c r="C2441" s="30" t="s">
        <v>2866</v>
      </c>
      <c r="D2441" s="30" t="s">
        <v>106</v>
      </c>
      <c r="E2441" s="30"/>
      <c r="F2441" s="30" t="s">
        <v>107</v>
      </c>
      <c r="G2441" s="30" t="s">
        <v>106</v>
      </c>
      <c r="H2441" s="30"/>
      <c r="I2441" s="30" t="s">
        <v>192</v>
      </c>
      <c r="J2441" s="30" t="s">
        <v>2256</v>
      </c>
      <c r="K2441" s="30"/>
      <c r="L2441" s="30" t="s">
        <v>108</v>
      </c>
      <c r="M2441" s="30" t="s">
        <v>113</v>
      </c>
      <c r="N2441" s="30" t="s">
        <v>114</v>
      </c>
      <c r="O2441" s="30" t="s">
        <v>115</v>
      </c>
      <c r="P2441" s="30" t="s">
        <v>112</v>
      </c>
      <c r="Q2441" s="30" t="s">
        <v>112</v>
      </c>
      <c r="R2441" s="30" t="s">
        <v>183</v>
      </c>
      <c r="S2441" s="81">
        <f>HLOOKUP(L2441,データについて!$J$6:$M$18,13,FALSE)</f>
        <v>1</v>
      </c>
      <c r="T2441" s="81">
        <f>HLOOKUP(M2441,データについて!$J$7:$M$18,12,FALSE)</f>
        <v>1</v>
      </c>
      <c r="U2441" s="81">
        <f>HLOOKUP(N2441,データについて!$J$8:$M$18,11,FALSE)</f>
        <v>1</v>
      </c>
      <c r="V2441" s="81">
        <f>HLOOKUP(O2441,データについて!$J$9:$M$18,10,FALSE)</f>
        <v>1</v>
      </c>
      <c r="W2441" s="81">
        <f>HLOOKUP(P2441,データについて!$J$10:$M$18,9,FALSE)</f>
        <v>1</v>
      </c>
      <c r="X2441" s="81">
        <f>HLOOKUP(Q2441,データについて!$J$11:$M$18,8,FALSE)</f>
        <v>1</v>
      </c>
      <c r="Y2441" s="81">
        <f>HLOOKUP(R2441,データについて!$J$12:$M$18,7,FALSE)</f>
        <v>1</v>
      </c>
      <c r="Z2441" s="81">
        <f>HLOOKUP(I2441,データについて!$J$3:$M$18,16,FALSE)</f>
        <v>1</v>
      </c>
      <c r="AA2441" s="81">
        <f>IFERROR(HLOOKUP(J2441,データについて!$J$4:$AH$19,16,FALSE),"")</f>
        <v>13</v>
      </c>
      <c r="AB2441" s="81" t="str">
        <f>IFERROR(HLOOKUP(K2441,データについて!$J$5:$AH$20,14,FALSE),"")</f>
        <v/>
      </c>
      <c r="AC2441" s="81">
        <f>IF(X2441=1,HLOOKUP(R2441,データについて!$J$12:$M$18,7,FALSE),"*")</f>
        <v>1</v>
      </c>
      <c r="AD2441" s="81" t="str">
        <f>IF(X2441=2,HLOOKUP(R2441,データについて!$J$12:$M$18,7,FALSE),"*")</f>
        <v>*</v>
      </c>
    </row>
    <row r="2442" spans="1:30">
      <c r="A2442" s="30">
        <v>2750</v>
      </c>
      <c r="B2442" s="30" t="s">
        <v>2867</v>
      </c>
      <c r="C2442" s="30" t="s">
        <v>2868</v>
      </c>
      <c r="D2442" s="30" t="s">
        <v>106</v>
      </c>
      <c r="E2442" s="30"/>
      <c r="F2442" s="30" t="s">
        <v>107</v>
      </c>
      <c r="G2442" s="30" t="s">
        <v>106</v>
      </c>
      <c r="H2442" s="30"/>
      <c r="I2442" s="30" t="s">
        <v>192</v>
      </c>
      <c r="J2442" s="30" t="s">
        <v>125</v>
      </c>
      <c r="K2442" s="30"/>
      <c r="L2442" s="30" t="s">
        <v>108</v>
      </c>
      <c r="M2442" s="30" t="s">
        <v>109</v>
      </c>
      <c r="N2442" s="30" t="s">
        <v>114</v>
      </c>
      <c r="O2442" s="30" t="s">
        <v>115</v>
      </c>
      <c r="P2442" s="30" t="s">
        <v>118</v>
      </c>
      <c r="Q2442" s="30" t="s">
        <v>118</v>
      </c>
      <c r="R2442" s="30" t="s">
        <v>187</v>
      </c>
      <c r="S2442" s="81">
        <f>HLOOKUP(L2442,データについて!$J$6:$M$18,13,FALSE)</f>
        <v>1</v>
      </c>
      <c r="T2442" s="81">
        <f>HLOOKUP(M2442,データについて!$J$7:$M$18,12,FALSE)</f>
        <v>2</v>
      </c>
      <c r="U2442" s="81">
        <f>HLOOKUP(N2442,データについて!$J$8:$M$18,11,FALSE)</f>
        <v>1</v>
      </c>
      <c r="V2442" s="81">
        <f>HLOOKUP(O2442,データについて!$J$9:$M$18,10,FALSE)</f>
        <v>1</v>
      </c>
      <c r="W2442" s="81">
        <f>HLOOKUP(P2442,データについて!$J$10:$M$18,9,FALSE)</f>
        <v>2</v>
      </c>
      <c r="X2442" s="81">
        <f>HLOOKUP(Q2442,データについて!$J$11:$M$18,8,FALSE)</f>
        <v>2</v>
      </c>
      <c r="Y2442" s="81">
        <f>HLOOKUP(R2442,データについて!$J$12:$M$18,7,FALSE)</f>
        <v>3</v>
      </c>
      <c r="Z2442" s="81">
        <f>HLOOKUP(I2442,データについて!$J$3:$M$18,16,FALSE)</f>
        <v>1</v>
      </c>
      <c r="AA2442" s="81">
        <f>IFERROR(HLOOKUP(J2442,データについて!$J$4:$AH$19,16,FALSE),"")</f>
        <v>6</v>
      </c>
      <c r="AB2442" s="81" t="str">
        <f>IFERROR(HLOOKUP(K2442,データについて!$J$5:$AH$20,14,FALSE),"")</f>
        <v/>
      </c>
      <c r="AC2442" s="81" t="str">
        <f>IF(X2442=1,HLOOKUP(R2442,データについて!$J$12:$M$18,7,FALSE),"*")</f>
        <v>*</v>
      </c>
      <c r="AD2442" s="81">
        <f>IF(X2442=2,HLOOKUP(R2442,データについて!$J$12:$M$18,7,FALSE),"*")</f>
        <v>3</v>
      </c>
    </row>
    <row r="2443" spans="1:30">
      <c r="A2443" s="30">
        <v>2749</v>
      </c>
      <c r="B2443" s="30" t="s">
        <v>2869</v>
      </c>
      <c r="C2443" s="30" t="s">
        <v>2870</v>
      </c>
      <c r="D2443" s="30" t="s">
        <v>106</v>
      </c>
      <c r="E2443" s="30"/>
      <c r="F2443" s="30" t="s">
        <v>107</v>
      </c>
      <c r="G2443" s="30" t="s">
        <v>106</v>
      </c>
      <c r="H2443" s="30"/>
      <c r="I2443" s="30" t="s">
        <v>192</v>
      </c>
      <c r="J2443" s="30" t="s">
        <v>2256</v>
      </c>
      <c r="K2443" s="30"/>
      <c r="L2443" s="30" t="s">
        <v>108</v>
      </c>
      <c r="M2443" s="30" t="s">
        <v>113</v>
      </c>
      <c r="N2443" s="30" t="s">
        <v>110</v>
      </c>
      <c r="O2443" s="30" t="s">
        <v>115</v>
      </c>
      <c r="P2443" s="30" t="s">
        <v>112</v>
      </c>
      <c r="Q2443" s="30" t="s">
        <v>112</v>
      </c>
      <c r="R2443" s="30" t="s">
        <v>187</v>
      </c>
      <c r="S2443" s="81">
        <f>HLOOKUP(L2443,データについて!$J$6:$M$18,13,FALSE)</f>
        <v>1</v>
      </c>
      <c r="T2443" s="81">
        <f>HLOOKUP(M2443,データについて!$J$7:$M$18,12,FALSE)</f>
        <v>1</v>
      </c>
      <c r="U2443" s="81">
        <f>HLOOKUP(N2443,データについて!$J$8:$M$18,11,FALSE)</f>
        <v>2</v>
      </c>
      <c r="V2443" s="81">
        <f>HLOOKUP(O2443,データについて!$J$9:$M$18,10,FALSE)</f>
        <v>1</v>
      </c>
      <c r="W2443" s="81">
        <f>HLOOKUP(P2443,データについて!$J$10:$M$18,9,FALSE)</f>
        <v>1</v>
      </c>
      <c r="X2443" s="81">
        <f>HLOOKUP(Q2443,データについて!$J$11:$M$18,8,FALSE)</f>
        <v>1</v>
      </c>
      <c r="Y2443" s="81">
        <f>HLOOKUP(R2443,データについて!$J$12:$M$18,7,FALSE)</f>
        <v>3</v>
      </c>
      <c r="Z2443" s="81">
        <f>HLOOKUP(I2443,データについて!$J$3:$M$18,16,FALSE)</f>
        <v>1</v>
      </c>
      <c r="AA2443" s="81">
        <f>IFERROR(HLOOKUP(J2443,データについて!$J$4:$AH$19,16,FALSE),"")</f>
        <v>13</v>
      </c>
      <c r="AB2443" s="81" t="str">
        <f>IFERROR(HLOOKUP(K2443,データについて!$J$5:$AH$20,14,FALSE),"")</f>
        <v/>
      </c>
      <c r="AC2443" s="81">
        <f>IF(X2443=1,HLOOKUP(R2443,データについて!$J$12:$M$18,7,FALSE),"*")</f>
        <v>3</v>
      </c>
      <c r="AD2443" s="81" t="str">
        <f>IF(X2443=2,HLOOKUP(R2443,データについて!$J$12:$M$18,7,FALSE),"*")</f>
        <v>*</v>
      </c>
    </row>
    <row r="2444" spans="1:30">
      <c r="A2444" s="30">
        <v>2748</v>
      </c>
      <c r="B2444" s="30" t="s">
        <v>2871</v>
      </c>
      <c r="C2444" s="30" t="s">
        <v>2870</v>
      </c>
      <c r="D2444" s="30" t="s">
        <v>106</v>
      </c>
      <c r="E2444" s="30"/>
      <c r="F2444" s="30" t="s">
        <v>107</v>
      </c>
      <c r="G2444" s="30" t="s">
        <v>106</v>
      </c>
      <c r="H2444" s="30"/>
      <c r="I2444" s="30" t="s">
        <v>192</v>
      </c>
      <c r="J2444" s="30" t="s">
        <v>2256</v>
      </c>
      <c r="K2444" s="30"/>
      <c r="L2444" s="30" t="s">
        <v>108</v>
      </c>
      <c r="M2444" s="30" t="s">
        <v>113</v>
      </c>
      <c r="N2444" s="30" t="s">
        <v>110</v>
      </c>
      <c r="O2444" s="30" t="s">
        <v>115</v>
      </c>
      <c r="P2444" s="30" t="s">
        <v>112</v>
      </c>
      <c r="Q2444" s="30" t="s">
        <v>112</v>
      </c>
      <c r="R2444" s="30" t="s">
        <v>187</v>
      </c>
      <c r="S2444" s="81">
        <f>HLOOKUP(L2444,データについて!$J$6:$M$18,13,FALSE)</f>
        <v>1</v>
      </c>
      <c r="T2444" s="81">
        <f>HLOOKUP(M2444,データについて!$J$7:$M$18,12,FALSE)</f>
        <v>1</v>
      </c>
      <c r="U2444" s="81">
        <f>HLOOKUP(N2444,データについて!$J$8:$M$18,11,FALSE)</f>
        <v>2</v>
      </c>
      <c r="V2444" s="81">
        <f>HLOOKUP(O2444,データについて!$J$9:$M$18,10,FALSE)</f>
        <v>1</v>
      </c>
      <c r="W2444" s="81">
        <f>HLOOKUP(P2444,データについて!$J$10:$M$18,9,FALSE)</f>
        <v>1</v>
      </c>
      <c r="X2444" s="81">
        <f>HLOOKUP(Q2444,データについて!$J$11:$M$18,8,FALSE)</f>
        <v>1</v>
      </c>
      <c r="Y2444" s="81">
        <f>HLOOKUP(R2444,データについて!$J$12:$M$18,7,FALSE)</f>
        <v>3</v>
      </c>
      <c r="Z2444" s="81">
        <f>HLOOKUP(I2444,データについて!$J$3:$M$18,16,FALSE)</f>
        <v>1</v>
      </c>
      <c r="AA2444" s="81">
        <f>IFERROR(HLOOKUP(J2444,データについて!$J$4:$AH$19,16,FALSE),"")</f>
        <v>13</v>
      </c>
      <c r="AB2444" s="81" t="str">
        <f>IFERROR(HLOOKUP(K2444,データについて!$J$5:$AH$20,14,FALSE),"")</f>
        <v/>
      </c>
      <c r="AC2444" s="81">
        <f>IF(X2444=1,HLOOKUP(R2444,データについて!$J$12:$M$18,7,FALSE),"*")</f>
        <v>3</v>
      </c>
      <c r="AD2444" s="81" t="str">
        <f>IF(X2444=2,HLOOKUP(R2444,データについて!$J$12:$M$18,7,FALSE),"*")</f>
        <v>*</v>
      </c>
    </row>
    <row r="2445" spans="1:30">
      <c r="A2445" s="30">
        <v>2747</v>
      </c>
      <c r="B2445" s="30" t="s">
        <v>2872</v>
      </c>
      <c r="C2445" s="30" t="s">
        <v>2873</v>
      </c>
      <c r="D2445" s="30" t="s">
        <v>106</v>
      </c>
      <c r="E2445" s="30"/>
      <c r="F2445" s="30" t="s">
        <v>107</v>
      </c>
      <c r="G2445" s="30" t="s">
        <v>106</v>
      </c>
      <c r="H2445" s="30"/>
      <c r="I2445" s="30" t="s">
        <v>192</v>
      </c>
      <c r="J2445" s="30" t="s">
        <v>2256</v>
      </c>
      <c r="K2445" s="30"/>
      <c r="L2445" s="30" t="s">
        <v>117</v>
      </c>
      <c r="M2445" s="30" t="s">
        <v>109</v>
      </c>
      <c r="N2445" s="30" t="s">
        <v>114</v>
      </c>
      <c r="O2445" s="30" t="s">
        <v>115</v>
      </c>
      <c r="P2445" s="30" t="s">
        <v>112</v>
      </c>
      <c r="Q2445" s="30" t="s">
        <v>112</v>
      </c>
      <c r="R2445" s="30" t="s">
        <v>185</v>
      </c>
      <c r="S2445" s="81">
        <f>HLOOKUP(L2445,データについて!$J$6:$M$18,13,FALSE)</f>
        <v>2</v>
      </c>
      <c r="T2445" s="81">
        <f>HLOOKUP(M2445,データについて!$J$7:$M$18,12,FALSE)</f>
        <v>2</v>
      </c>
      <c r="U2445" s="81">
        <f>HLOOKUP(N2445,データについて!$J$8:$M$18,11,FALSE)</f>
        <v>1</v>
      </c>
      <c r="V2445" s="81">
        <f>HLOOKUP(O2445,データについて!$J$9:$M$18,10,FALSE)</f>
        <v>1</v>
      </c>
      <c r="W2445" s="81">
        <f>HLOOKUP(P2445,データについて!$J$10:$M$18,9,FALSE)</f>
        <v>1</v>
      </c>
      <c r="X2445" s="81">
        <f>HLOOKUP(Q2445,データについて!$J$11:$M$18,8,FALSE)</f>
        <v>1</v>
      </c>
      <c r="Y2445" s="81">
        <f>HLOOKUP(R2445,データについて!$J$12:$M$18,7,FALSE)</f>
        <v>2</v>
      </c>
      <c r="Z2445" s="81">
        <f>HLOOKUP(I2445,データについて!$J$3:$M$18,16,FALSE)</f>
        <v>1</v>
      </c>
      <c r="AA2445" s="81">
        <f>IFERROR(HLOOKUP(J2445,データについて!$J$4:$AH$19,16,FALSE),"")</f>
        <v>13</v>
      </c>
      <c r="AB2445" s="81" t="str">
        <f>IFERROR(HLOOKUP(K2445,データについて!$J$5:$AH$20,14,FALSE),"")</f>
        <v/>
      </c>
      <c r="AC2445" s="81">
        <f>IF(X2445=1,HLOOKUP(R2445,データについて!$J$12:$M$18,7,FALSE),"*")</f>
        <v>2</v>
      </c>
      <c r="AD2445" s="81" t="str">
        <f>IF(X2445=2,HLOOKUP(R2445,データについて!$J$12:$M$18,7,FALSE),"*")</f>
        <v>*</v>
      </c>
    </row>
    <row r="2446" spans="1:30">
      <c r="A2446" s="30">
        <v>2746</v>
      </c>
      <c r="B2446" s="30" t="s">
        <v>2874</v>
      </c>
      <c r="C2446" s="30" t="s">
        <v>2875</v>
      </c>
      <c r="D2446" s="30" t="s">
        <v>106</v>
      </c>
      <c r="E2446" s="30"/>
      <c r="F2446" s="30" t="s">
        <v>107</v>
      </c>
      <c r="G2446" s="30" t="s">
        <v>106</v>
      </c>
      <c r="H2446" s="30"/>
      <c r="I2446" s="30" t="s">
        <v>192</v>
      </c>
      <c r="J2446" s="30" t="s">
        <v>2256</v>
      </c>
      <c r="K2446" s="30"/>
      <c r="L2446" s="30" t="s">
        <v>108</v>
      </c>
      <c r="M2446" s="30" t="s">
        <v>113</v>
      </c>
      <c r="N2446" s="30" t="s">
        <v>114</v>
      </c>
      <c r="O2446" s="30" t="s">
        <v>115</v>
      </c>
      <c r="P2446" s="30" t="s">
        <v>112</v>
      </c>
      <c r="Q2446" s="30" t="s">
        <v>112</v>
      </c>
      <c r="R2446" s="30" t="s">
        <v>185</v>
      </c>
      <c r="S2446" s="81">
        <f>HLOOKUP(L2446,データについて!$J$6:$M$18,13,FALSE)</f>
        <v>1</v>
      </c>
      <c r="T2446" s="81">
        <f>HLOOKUP(M2446,データについて!$J$7:$M$18,12,FALSE)</f>
        <v>1</v>
      </c>
      <c r="U2446" s="81">
        <f>HLOOKUP(N2446,データについて!$J$8:$M$18,11,FALSE)</f>
        <v>1</v>
      </c>
      <c r="V2446" s="81">
        <f>HLOOKUP(O2446,データについて!$J$9:$M$18,10,FALSE)</f>
        <v>1</v>
      </c>
      <c r="W2446" s="81">
        <f>HLOOKUP(P2446,データについて!$J$10:$M$18,9,FALSE)</f>
        <v>1</v>
      </c>
      <c r="X2446" s="81">
        <f>HLOOKUP(Q2446,データについて!$J$11:$M$18,8,FALSE)</f>
        <v>1</v>
      </c>
      <c r="Y2446" s="81">
        <f>HLOOKUP(R2446,データについて!$J$12:$M$18,7,FALSE)</f>
        <v>2</v>
      </c>
      <c r="Z2446" s="81">
        <f>HLOOKUP(I2446,データについて!$J$3:$M$18,16,FALSE)</f>
        <v>1</v>
      </c>
      <c r="AA2446" s="81">
        <f>IFERROR(HLOOKUP(J2446,データについて!$J$4:$AH$19,16,FALSE),"")</f>
        <v>13</v>
      </c>
      <c r="AB2446" s="81" t="str">
        <f>IFERROR(HLOOKUP(K2446,データについて!$J$5:$AH$20,14,FALSE),"")</f>
        <v/>
      </c>
      <c r="AC2446" s="81">
        <f>IF(X2446=1,HLOOKUP(R2446,データについて!$J$12:$M$18,7,FALSE),"*")</f>
        <v>2</v>
      </c>
      <c r="AD2446" s="81" t="str">
        <f>IF(X2446=2,HLOOKUP(R2446,データについて!$J$12:$M$18,7,FALSE),"*")</f>
        <v>*</v>
      </c>
    </row>
    <row r="2447" spans="1:30">
      <c r="A2447" s="30">
        <v>2745</v>
      </c>
      <c r="B2447" s="30" t="s">
        <v>2876</v>
      </c>
      <c r="C2447" s="30" t="s">
        <v>2877</v>
      </c>
      <c r="D2447" s="30" t="s">
        <v>106</v>
      </c>
      <c r="E2447" s="30"/>
      <c r="F2447" s="30" t="s">
        <v>107</v>
      </c>
      <c r="G2447" s="30" t="s">
        <v>106</v>
      </c>
      <c r="H2447" s="30"/>
      <c r="I2447" s="30" t="s">
        <v>191</v>
      </c>
      <c r="J2447" s="30"/>
      <c r="K2447" s="30" t="s">
        <v>126</v>
      </c>
      <c r="L2447" s="30" t="s">
        <v>117</v>
      </c>
      <c r="M2447" s="30" t="s">
        <v>121</v>
      </c>
      <c r="N2447" s="30" t="s">
        <v>119</v>
      </c>
      <c r="O2447" s="30" t="s">
        <v>115</v>
      </c>
      <c r="P2447" s="30" t="s">
        <v>112</v>
      </c>
      <c r="Q2447" s="30" t="s">
        <v>112</v>
      </c>
      <c r="R2447" s="30" t="s">
        <v>187</v>
      </c>
      <c r="S2447" s="81">
        <f>HLOOKUP(L2447,データについて!$J$6:$M$18,13,FALSE)</f>
        <v>2</v>
      </c>
      <c r="T2447" s="81">
        <f>HLOOKUP(M2447,データについて!$J$7:$M$18,12,FALSE)</f>
        <v>4</v>
      </c>
      <c r="U2447" s="81">
        <f>HLOOKUP(N2447,データについて!$J$8:$M$18,11,FALSE)</f>
        <v>4</v>
      </c>
      <c r="V2447" s="81">
        <f>HLOOKUP(O2447,データについて!$J$9:$M$18,10,FALSE)</f>
        <v>1</v>
      </c>
      <c r="W2447" s="81">
        <f>HLOOKUP(P2447,データについて!$J$10:$M$18,9,FALSE)</f>
        <v>1</v>
      </c>
      <c r="X2447" s="81">
        <f>HLOOKUP(Q2447,データについて!$J$11:$M$18,8,FALSE)</f>
        <v>1</v>
      </c>
      <c r="Y2447" s="81">
        <f>HLOOKUP(R2447,データについて!$J$12:$M$18,7,FALSE)</f>
        <v>3</v>
      </c>
      <c r="Z2447" s="81">
        <f>HLOOKUP(I2447,データについて!$J$3:$M$18,16,FALSE)</f>
        <v>2</v>
      </c>
      <c r="AA2447" s="81" t="str">
        <f>IFERROR(HLOOKUP(J2447,データについて!$J$4:$AH$19,16,FALSE),"")</f>
        <v/>
      </c>
      <c r="AB2447" s="81">
        <f>IFERROR(HLOOKUP(K2447,データについて!$J$5:$AH$20,14,FALSE),"")</f>
        <v>0</v>
      </c>
      <c r="AC2447" s="81">
        <f>IF(X2447=1,HLOOKUP(R2447,データについて!$J$12:$M$18,7,FALSE),"*")</f>
        <v>3</v>
      </c>
      <c r="AD2447" s="81" t="str">
        <f>IF(X2447=2,HLOOKUP(R2447,データについて!$J$12:$M$18,7,FALSE),"*")</f>
        <v>*</v>
      </c>
    </row>
    <row r="2448" spans="1:30">
      <c r="A2448" s="30">
        <v>2744</v>
      </c>
      <c r="B2448" s="30" t="s">
        <v>2878</v>
      </c>
      <c r="C2448" s="30" t="s">
        <v>2879</v>
      </c>
      <c r="D2448" s="30" t="s">
        <v>106</v>
      </c>
      <c r="E2448" s="30"/>
      <c r="F2448" s="30" t="s">
        <v>107</v>
      </c>
      <c r="G2448" s="30" t="s">
        <v>106</v>
      </c>
      <c r="H2448" s="30"/>
      <c r="I2448" s="30" t="s">
        <v>191</v>
      </c>
      <c r="J2448" s="30"/>
      <c r="K2448" s="30" t="s">
        <v>129</v>
      </c>
      <c r="L2448" s="30" t="s">
        <v>117</v>
      </c>
      <c r="M2448" s="30" t="s">
        <v>109</v>
      </c>
      <c r="N2448" s="30" t="s">
        <v>119</v>
      </c>
      <c r="O2448" s="30" t="s">
        <v>115</v>
      </c>
      <c r="P2448" s="30" t="s">
        <v>112</v>
      </c>
      <c r="Q2448" s="30" t="s">
        <v>112</v>
      </c>
      <c r="R2448" s="30" t="s">
        <v>187</v>
      </c>
      <c r="S2448" s="81">
        <f>HLOOKUP(L2448,データについて!$J$6:$M$18,13,FALSE)</f>
        <v>2</v>
      </c>
      <c r="T2448" s="81">
        <f>HLOOKUP(M2448,データについて!$J$7:$M$18,12,FALSE)</f>
        <v>2</v>
      </c>
      <c r="U2448" s="81">
        <f>HLOOKUP(N2448,データについて!$J$8:$M$18,11,FALSE)</f>
        <v>4</v>
      </c>
      <c r="V2448" s="81">
        <f>HLOOKUP(O2448,データについて!$J$9:$M$18,10,FALSE)</f>
        <v>1</v>
      </c>
      <c r="W2448" s="81">
        <f>HLOOKUP(P2448,データについて!$J$10:$M$18,9,FALSE)</f>
        <v>1</v>
      </c>
      <c r="X2448" s="81">
        <f>HLOOKUP(Q2448,データについて!$J$11:$M$18,8,FALSE)</f>
        <v>1</v>
      </c>
      <c r="Y2448" s="81">
        <f>HLOOKUP(R2448,データについて!$J$12:$M$18,7,FALSE)</f>
        <v>3</v>
      </c>
      <c r="Z2448" s="81">
        <f>HLOOKUP(I2448,データについて!$J$3:$M$18,16,FALSE)</f>
        <v>2</v>
      </c>
      <c r="AA2448" s="81" t="str">
        <f>IFERROR(HLOOKUP(J2448,データについて!$J$4:$AH$19,16,FALSE),"")</f>
        <v/>
      </c>
      <c r="AB2448" s="81">
        <f>IFERROR(HLOOKUP(K2448,データについて!$J$5:$AH$20,14,FALSE),"")</f>
        <v>0</v>
      </c>
      <c r="AC2448" s="81">
        <f>IF(X2448=1,HLOOKUP(R2448,データについて!$J$12:$M$18,7,FALSE),"*")</f>
        <v>3</v>
      </c>
      <c r="AD2448" s="81" t="str">
        <f>IF(X2448=2,HLOOKUP(R2448,データについて!$J$12:$M$18,7,FALSE),"*")</f>
        <v>*</v>
      </c>
    </row>
    <row r="2449" spans="1:30">
      <c r="A2449" s="30">
        <v>2743</v>
      </c>
      <c r="B2449" s="30" t="s">
        <v>2880</v>
      </c>
      <c r="C2449" s="30" t="s">
        <v>2881</v>
      </c>
      <c r="D2449" s="30" t="s">
        <v>106</v>
      </c>
      <c r="E2449" s="30"/>
      <c r="F2449" s="30" t="s">
        <v>107</v>
      </c>
      <c r="G2449" s="30" t="s">
        <v>106</v>
      </c>
      <c r="H2449" s="30"/>
      <c r="I2449" s="30" t="s">
        <v>191</v>
      </c>
      <c r="J2449" s="30"/>
      <c r="K2449" s="30" t="s">
        <v>129</v>
      </c>
      <c r="L2449" s="30" t="s">
        <v>108</v>
      </c>
      <c r="M2449" s="30" t="s">
        <v>109</v>
      </c>
      <c r="N2449" s="30" t="s">
        <v>119</v>
      </c>
      <c r="O2449" s="30" t="s">
        <v>115</v>
      </c>
      <c r="P2449" s="30" t="s">
        <v>118</v>
      </c>
      <c r="Q2449" s="30" t="s">
        <v>112</v>
      </c>
      <c r="R2449" s="30" t="s">
        <v>187</v>
      </c>
      <c r="S2449" s="81">
        <f>HLOOKUP(L2449,データについて!$J$6:$M$18,13,FALSE)</f>
        <v>1</v>
      </c>
      <c r="T2449" s="81">
        <f>HLOOKUP(M2449,データについて!$J$7:$M$18,12,FALSE)</f>
        <v>2</v>
      </c>
      <c r="U2449" s="81">
        <f>HLOOKUP(N2449,データについて!$J$8:$M$18,11,FALSE)</f>
        <v>4</v>
      </c>
      <c r="V2449" s="81">
        <f>HLOOKUP(O2449,データについて!$J$9:$M$18,10,FALSE)</f>
        <v>1</v>
      </c>
      <c r="W2449" s="81">
        <f>HLOOKUP(P2449,データについて!$J$10:$M$18,9,FALSE)</f>
        <v>2</v>
      </c>
      <c r="X2449" s="81">
        <f>HLOOKUP(Q2449,データについて!$J$11:$M$18,8,FALSE)</f>
        <v>1</v>
      </c>
      <c r="Y2449" s="81">
        <f>HLOOKUP(R2449,データについて!$J$12:$M$18,7,FALSE)</f>
        <v>3</v>
      </c>
      <c r="Z2449" s="81">
        <f>HLOOKUP(I2449,データについて!$J$3:$M$18,16,FALSE)</f>
        <v>2</v>
      </c>
      <c r="AA2449" s="81" t="str">
        <f>IFERROR(HLOOKUP(J2449,データについて!$J$4:$AH$19,16,FALSE),"")</f>
        <v/>
      </c>
      <c r="AB2449" s="81">
        <f>IFERROR(HLOOKUP(K2449,データについて!$J$5:$AH$20,14,FALSE),"")</f>
        <v>0</v>
      </c>
      <c r="AC2449" s="81">
        <f>IF(X2449=1,HLOOKUP(R2449,データについて!$J$12:$M$18,7,FALSE),"*")</f>
        <v>3</v>
      </c>
      <c r="AD2449" s="81" t="str">
        <f>IF(X2449=2,HLOOKUP(R2449,データについて!$J$12:$M$18,7,FALSE),"*")</f>
        <v>*</v>
      </c>
    </row>
    <row r="2450" spans="1:30">
      <c r="A2450" s="30">
        <v>2742</v>
      </c>
      <c r="B2450" s="30" t="s">
        <v>2882</v>
      </c>
      <c r="C2450" s="30" t="s">
        <v>2881</v>
      </c>
      <c r="D2450" s="30" t="s">
        <v>106</v>
      </c>
      <c r="E2450" s="30"/>
      <c r="F2450" s="30" t="s">
        <v>107</v>
      </c>
      <c r="G2450" s="30" t="s">
        <v>106</v>
      </c>
      <c r="H2450" s="30"/>
      <c r="I2450" s="30" t="s">
        <v>191</v>
      </c>
      <c r="J2450" s="30"/>
      <c r="K2450" s="30" t="s">
        <v>129</v>
      </c>
      <c r="L2450" s="30" t="s">
        <v>108</v>
      </c>
      <c r="M2450" s="30" t="s">
        <v>109</v>
      </c>
      <c r="N2450" s="30" t="s">
        <v>114</v>
      </c>
      <c r="O2450" s="30" t="s">
        <v>115</v>
      </c>
      <c r="P2450" s="30" t="s">
        <v>112</v>
      </c>
      <c r="Q2450" s="30" t="s">
        <v>112</v>
      </c>
      <c r="R2450" s="30" t="s">
        <v>185</v>
      </c>
      <c r="S2450" s="81">
        <f>HLOOKUP(L2450,データについて!$J$6:$M$18,13,FALSE)</f>
        <v>1</v>
      </c>
      <c r="T2450" s="81">
        <f>HLOOKUP(M2450,データについて!$J$7:$M$18,12,FALSE)</f>
        <v>2</v>
      </c>
      <c r="U2450" s="81">
        <f>HLOOKUP(N2450,データについて!$J$8:$M$18,11,FALSE)</f>
        <v>1</v>
      </c>
      <c r="V2450" s="81">
        <f>HLOOKUP(O2450,データについて!$J$9:$M$18,10,FALSE)</f>
        <v>1</v>
      </c>
      <c r="W2450" s="81">
        <f>HLOOKUP(P2450,データについて!$J$10:$M$18,9,FALSE)</f>
        <v>1</v>
      </c>
      <c r="X2450" s="81">
        <f>HLOOKUP(Q2450,データについて!$J$11:$M$18,8,FALSE)</f>
        <v>1</v>
      </c>
      <c r="Y2450" s="81">
        <f>HLOOKUP(R2450,データについて!$J$12:$M$18,7,FALSE)</f>
        <v>2</v>
      </c>
      <c r="Z2450" s="81">
        <f>HLOOKUP(I2450,データについて!$J$3:$M$18,16,FALSE)</f>
        <v>2</v>
      </c>
      <c r="AA2450" s="81" t="str">
        <f>IFERROR(HLOOKUP(J2450,データについて!$J$4:$AH$19,16,FALSE),"")</f>
        <v/>
      </c>
      <c r="AB2450" s="81">
        <f>IFERROR(HLOOKUP(K2450,データについて!$J$5:$AH$20,14,FALSE),"")</f>
        <v>0</v>
      </c>
      <c r="AC2450" s="81">
        <f>IF(X2450=1,HLOOKUP(R2450,データについて!$J$12:$M$18,7,FALSE),"*")</f>
        <v>2</v>
      </c>
      <c r="AD2450" s="81" t="str">
        <f>IF(X2450=2,HLOOKUP(R2450,データについて!$J$12:$M$18,7,FALSE),"*")</f>
        <v>*</v>
      </c>
    </row>
    <row r="2451" spans="1:30">
      <c r="A2451" s="30">
        <v>2741</v>
      </c>
      <c r="B2451" s="30" t="s">
        <v>2883</v>
      </c>
      <c r="C2451" s="30" t="s">
        <v>2884</v>
      </c>
      <c r="D2451" s="30" t="s">
        <v>106</v>
      </c>
      <c r="E2451" s="30"/>
      <c r="F2451" s="30" t="s">
        <v>107</v>
      </c>
      <c r="G2451" s="30" t="s">
        <v>106</v>
      </c>
      <c r="H2451" s="30"/>
      <c r="I2451" s="30" t="s">
        <v>191</v>
      </c>
      <c r="J2451" s="30"/>
      <c r="K2451" s="30" t="s">
        <v>129</v>
      </c>
      <c r="L2451" s="30" t="s">
        <v>108</v>
      </c>
      <c r="M2451" s="30" t="s">
        <v>113</v>
      </c>
      <c r="N2451" s="30" t="s">
        <v>114</v>
      </c>
      <c r="O2451" s="30" t="s">
        <v>115</v>
      </c>
      <c r="P2451" s="30" t="s">
        <v>118</v>
      </c>
      <c r="Q2451" s="30" t="s">
        <v>112</v>
      </c>
      <c r="R2451" s="30" t="s">
        <v>185</v>
      </c>
      <c r="S2451" s="81">
        <f>HLOOKUP(L2451,データについて!$J$6:$M$18,13,FALSE)</f>
        <v>1</v>
      </c>
      <c r="T2451" s="81">
        <f>HLOOKUP(M2451,データについて!$J$7:$M$18,12,FALSE)</f>
        <v>1</v>
      </c>
      <c r="U2451" s="81">
        <f>HLOOKUP(N2451,データについて!$J$8:$M$18,11,FALSE)</f>
        <v>1</v>
      </c>
      <c r="V2451" s="81">
        <f>HLOOKUP(O2451,データについて!$J$9:$M$18,10,FALSE)</f>
        <v>1</v>
      </c>
      <c r="W2451" s="81">
        <f>HLOOKUP(P2451,データについて!$J$10:$M$18,9,FALSE)</f>
        <v>2</v>
      </c>
      <c r="X2451" s="81">
        <f>HLOOKUP(Q2451,データについて!$J$11:$M$18,8,FALSE)</f>
        <v>1</v>
      </c>
      <c r="Y2451" s="81">
        <f>HLOOKUP(R2451,データについて!$J$12:$M$18,7,FALSE)</f>
        <v>2</v>
      </c>
      <c r="Z2451" s="81">
        <f>HLOOKUP(I2451,データについて!$J$3:$M$18,16,FALSE)</f>
        <v>2</v>
      </c>
      <c r="AA2451" s="81" t="str">
        <f>IFERROR(HLOOKUP(J2451,データについて!$J$4:$AH$19,16,FALSE),"")</f>
        <v/>
      </c>
      <c r="AB2451" s="81">
        <f>IFERROR(HLOOKUP(K2451,データについて!$J$5:$AH$20,14,FALSE),"")</f>
        <v>0</v>
      </c>
      <c r="AC2451" s="81">
        <f>IF(X2451=1,HLOOKUP(R2451,データについて!$J$12:$M$18,7,FALSE),"*")</f>
        <v>2</v>
      </c>
      <c r="AD2451" s="81" t="str">
        <f>IF(X2451=2,HLOOKUP(R2451,データについて!$J$12:$M$18,7,FALSE),"*")</f>
        <v>*</v>
      </c>
    </row>
    <row r="2452" spans="1:30">
      <c r="A2452" s="30">
        <v>2740</v>
      </c>
      <c r="B2452" s="30" t="s">
        <v>2885</v>
      </c>
      <c r="C2452" s="30" t="s">
        <v>2886</v>
      </c>
      <c r="D2452" s="30" t="s">
        <v>106</v>
      </c>
      <c r="E2452" s="30"/>
      <c r="F2452" s="30" t="s">
        <v>107</v>
      </c>
      <c r="G2452" s="30" t="s">
        <v>106</v>
      </c>
      <c r="H2452" s="30"/>
      <c r="I2452" s="30" t="s">
        <v>191</v>
      </c>
      <c r="J2452" s="30"/>
      <c r="K2452" s="30" t="s">
        <v>129</v>
      </c>
      <c r="L2452" s="30" t="s">
        <v>108</v>
      </c>
      <c r="M2452" s="30" t="s">
        <v>109</v>
      </c>
      <c r="N2452" s="30" t="s">
        <v>110</v>
      </c>
      <c r="O2452" s="30" t="s">
        <v>115</v>
      </c>
      <c r="P2452" s="30" t="s">
        <v>112</v>
      </c>
      <c r="Q2452" s="30" t="s">
        <v>118</v>
      </c>
      <c r="R2452" s="30" t="s">
        <v>185</v>
      </c>
      <c r="S2452" s="81">
        <f>HLOOKUP(L2452,データについて!$J$6:$M$18,13,FALSE)</f>
        <v>1</v>
      </c>
      <c r="T2452" s="81">
        <f>HLOOKUP(M2452,データについて!$J$7:$M$18,12,FALSE)</f>
        <v>2</v>
      </c>
      <c r="U2452" s="81">
        <f>HLOOKUP(N2452,データについて!$J$8:$M$18,11,FALSE)</f>
        <v>2</v>
      </c>
      <c r="V2452" s="81">
        <f>HLOOKUP(O2452,データについて!$J$9:$M$18,10,FALSE)</f>
        <v>1</v>
      </c>
      <c r="W2452" s="81">
        <f>HLOOKUP(P2452,データについて!$J$10:$M$18,9,FALSE)</f>
        <v>1</v>
      </c>
      <c r="X2452" s="81">
        <f>HLOOKUP(Q2452,データについて!$J$11:$M$18,8,FALSE)</f>
        <v>2</v>
      </c>
      <c r="Y2452" s="81">
        <f>HLOOKUP(R2452,データについて!$J$12:$M$18,7,FALSE)</f>
        <v>2</v>
      </c>
      <c r="Z2452" s="81">
        <f>HLOOKUP(I2452,データについて!$J$3:$M$18,16,FALSE)</f>
        <v>2</v>
      </c>
      <c r="AA2452" s="81" t="str">
        <f>IFERROR(HLOOKUP(J2452,データについて!$J$4:$AH$19,16,FALSE),"")</f>
        <v/>
      </c>
      <c r="AB2452" s="81">
        <f>IFERROR(HLOOKUP(K2452,データについて!$J$5:$AH$20,14,FALSE),"")</f>
        <v>0</v>
      </c>
      <c r="AC2452" s="81" t="str">
        <f>IF(X2452=1,HLOOKUP(R2452,データについて!$J$12:$M$18,7,FALSE),"*")</f>
        <v>*</v>
      </c>
      <c r="AD2452" s="81">
        <f>IF(X2452=2,HLOOKUP(R2452,データについて!$J$12:$M$18,7,FALSE),"*")</f>
        <v>2</v>
      </c>
    </row>
    <row r="2453" spans="1:30">
      <c r="A2453" s="30">
        <v>2739</v>
      </c>
      <c r="B2453" s="30" t="s">
        <v>2887</v>
      </c>
      <c r="C2453" s="30" t="s">
        <v>2886</v>
      </c>
      <c r="D2453" s="30" t="s">
        <v>106</v>
      </c>
      <c r="E2453" s="30"/>
      <c r="F2453" s="30" t="s">
        <v>107</v>
      </c>
      <c r="G2453" s="30" t="s">
        <v>106</v>
      </c>
      <c r="H2453" s="30"/>
      <c r="I2453" s="30" t="s">
        <v>191</v>
      </c>
      <c r="J2453" s="30"/>
      <c r="K2453" s="30" t="s">
        <v>129</v>
      </c>
      <c r="L2453" s="30" t="s">
        <v>117</v>
      </c>
      <c r="M2453" s="30" t="s">
        <v>113</v>
      </c>
      <c r="N2453" s="30" t="s">
        <v>110</v>
      </c>
      <c r="O2453" s="30" t="s">
        <v>115</v>
      </c>
      <c r="P2453" s="30" t="s">
        <v>118</v>
      </c>
      <c r="Q2453" s="30" t="s">
        <v>118</v>
      </c>
      <c r="R2453" s="30" t="s">
        <v>187</v>
      </c>
      <c r="S2453" s="81">
        <f>HLOOKUP(L2453,データについて!$J$6:$M$18,13,FALSE)</f>
        <v>2</v>
      </c>
      <c r="T2453" s="81">
        <f>HLOOKUP(M2453,データについて!$J$7:$M$18,12,FALSE)</f>
        <v>1</v>
      </c>
      <c r="U2453" s="81">
        <f>HLOOKUP(N2453,データについて!$J$8:$M$18,11,FALSE)</f>
        <v>2</v>
      </c>
      <c r="V2453" s="81">
        <f>HLOOKUP(O2453,データについて!$J$9:$M$18,10,FALSE)</f>
        <v>1</v>
      </c>
      <c r="W2453" s="81">
        <f>HLOOKUP(P2453,データについて!$J$10:$M$18,9,FALSE)</f>
        <v>2</v>
      </c>
      <c r="X2453" s="81">
        <f>HLOOKUP(Q2453,データについて!$J$11:$M$18,8,FALSE)</f>
        <v>2</v>
      </c>
      <c r="Y2453" s="81">
        <f>HLOOKUP(R2453,データについて!$J$12:$M$18,7,FALSE)</f>
        <v>3</v>
      </c>
      <c r="Z2453" s="81">
        <f>HLOOKUP(I2453,データについて!$J$3:$M$18,16,FALSE)</f>
        <v>2</v>
      </c>
      <c r="AA2453" s="81" t="str">
        <f>IFERROR(HLOOKUP(J2453,データについて!$J$4:$AH$19,16,FALSE),"")</f>
        <v/>
      </c>
      <c r="AB2453" s="81">
        <f>IFERROR(HLOOKUP(K2453,データについて!$J$5:$AH$20,14,FALSE),"")</f>
        <v>0</v>
      </c>
      <c r="AC2453" s="81" t="str">
        <f>IF(X2453=1,HLOOKUP(R2453,データについて!$J$12:$M$18,7,FALSE),"*")</f>
        <v>*</v>
      </c>
      <c r="AD2453" s="81">
        <f>IF(X2453=2,HLOOKUP(R2453,データについて!$J$12:$M$18,7,FALSE),"*")</f>
        <v>3</v>
      </c>
    </row>
    <row r="2454" spans="1:30">
      <c r="A2454" s="30">
        <v>2738</v>
      </c>
      <c r="B2454" s="30" t="s">
        <v>2888</v>
      </c>
      <c r="C2454" s="30" t="s">
        <v>2886</v>
      </c>
      <c r="D2454" s="30" t="s">
        <v>106</v>
      </c>
      <c r="E2454" s="30"/>
      <c r="F2454" s="30" t="s">
        <v>107</v>
      </c>
      <c r="G2454" s="30" t="s">
        <v>106</v>
      </c>
      <c r="H2454" s="30"/>
      <c r="I2454" s="30" t="s">
        <v>191</v>
      </c>
      <c r="J2454" s="30"/>
      <c r="K2454" s="30" t="s">
        <v>129</v>
      </c>
      <c r="L2454" s="30" t="s">
        <v>117</v>
      </c>
      <c r="M2454" s="30" t="s">
        <v>109</v>
      </c>
      <c r="N2454" s="30" t="s">
        <v>110</v>
      </c>
      <c r="O2454" s="30" t="s">
        <v>115</v>
      </c>
      <c r="P2454" s="30" t="s">
        <v>112</v>
      </c>
      <c r="Q2454" s="30" t="s">
        <v>118</v>
      </c>
      <c r="R2454" s="30" t="s">
        <v>183</v>
      </c>
      <c r="S2454" s="81">
        <f>HLOOKUP(L2454,データについて!$J$6:$M$18,13,FALSE)</f>
        <v>2</v>
      </c>
      <c r="T2454" s="81">
        <f>HLOOKUP(M2454,データについて!$J$7:$M$18,12,FALSE)</f>
        <v>2</v>
      </c>
      <c r="U2454" s="81">
        <f>HLOOKUP(N2454,データについて!$J$8:$M$18,11,FALSE)</f>
        <v>2</v>
      </c>
      <c r="V2454" s="81">
        <f>HLOOKUP(O2454,データについて!$J$9:$M$18,10,FALSE)</f>
        <v>1</v>
      </c>
      <c r="W2454" s="81">
        <f>HLOOKUP(P2454,データについて!$J$10:$M$18,9,FALSE)</f>
        <v>1</v>
      </c>
      <c r="X2454" s="81">
        <f>HLOOKUP(Q2454,データについて!$J$11:$M$18,8,FALSE)</f>
        <v>2</v>
      </c>
      <c r="Y2454" s="81">
        <f>HLOOKUP(R2454,データについて!$J$12:$M$18,7,FALSE)</f>
        <v>1</v>
      </c>
      <c r="Z2454" s="81">
        <f>HLOOKUP(I2454,データについて!$J$3:$M$18,16,FALSE)</f>
        <v>2</v>
      </c>
      <c r="AA2454" s="81" t="str">
        <f>IFERROR(HLOOKUP(J2454,データについて!$J$4:$AH$19,16,FALSE),"")</f>
        <v/>
      </c>
      <c r="AB2454" s="81">
        <f>IFERROR(HLOOKUP(K2454,データについて!$J$5:$AH$20,14,FALSE),"")</f>
        <v>0</v>
      </c>
      <c r="AC2454" s="81" t="str">
        <f>IF(X2454=1,HLOOKUP(R2454,データについて!$J$12:$M$18,7,FALSE),"*")</f>
        <v>*</v>
      </c>
      <c r="AD2454" s="81">
        <f>IF(X2454=2,HLOOKUP(R2454,データについて!$J$12:$M$18,7,FALSE),"*")</f>
        <v>1</v>
      </c>
    </row>
    <row r="2455" spans="1:30">
      <c r="A2455" s="30">
        <v>2737</v>
      </c>
      <c r="B2455" s="30" t="s">
        <v>2889</v>
      </c>
      <c r="C2455" s="30" t="s">
        <v>2890</v>
      </c>
      <c r="D2455" s="30" t="s">
        <v>106</v>
      </c>
      <c r="E2455" s="30"/>
      <c r="F2455" s="30" t="s">
        <v>107</v>
      </c>
      <c r="G2455" s="30" t="s">
        <v>106</v>
      </c>
      <c r="H2455" s="30"/>
      <c r="I2455" s="30" t="s">
        <v>191</v>
      </c>
      <c r="J2455" s="30"/>
      <c r="K2455" s="30" t="s">
        <v>129</v>
      </c>
      <c r="L2455" s="30" t="s">
        <v>117</v>
      </c>
      <c r="M2455" s="30" t="s">
        <v>109</v>
      </c>
      <c r="N2455" s="30" t="s">
        <v>114</v>
      </c>
      <c r="O2455" s="30" t="s">
        <v>115</v>
      </c>
      <c r="P2455" s="30" t="s">
        <v>112</v>
      </c>
      <c r="Q2455" s="30" t="s">
        <v>118</v>
      </c>
      <c r="R2455" s="30" t="s">
        <v>185</v>
      </c>
      <c r="S2455" s="81">
        <f>HLOOKUP(L2455,データについて!$J$6:$M$18,13,FALSE)</f>
        <v>2</v>
      </c>
      <c r="T2455" s="81">
        <f>HLOOKUP(M2455,データについて!$J$7:$M$18,12,FALSE)</f>
        <v>2</v>
      </c>
      <c r="U2455" s="81">
        <f>HLOOKUP(N2455,データについて!$J$8:$M$18,11,FALSE)</f>
        <v>1</v>
      </c>
      <c r="V2455" s="81">
        <f>HLOOKUP(O2455,データについて!$J$9:$M$18,10,FALSE)</f>
        <v>1</v>
      </c>
      <c r="W2455" s="81">
        <f>HLOOKUP(P2455,データについて!$J$10:$M$18,9,FALSE)</f>
        <v>1</v>
      </c>
      <c r="X2455" s="81">
        <f>HLOOKUP(Q2455,データについて!$J$11:$M$18,8,FALSE)</f>
        <v>2</v>
      </c>
      <c r="Y2455" s="81">
        <f>HLOOKUP(R2455,データについて!$J$12:$M$18,7,FALSE)</f>
        <v>2</v>
      </c>
      <c r="Z2455" s="81">
        <f>HLOOKUP(I2455,データについて!$J$3:$M$18,16,FALSE)</f>
        <v>2</v>
      </c>
      <c r="AA2455" s="81" t="str">
        <f>IFERROR(HLOOKUP(J2455,データについて!$J$4:$AH$19,16,FALSE),"")</f>
        <v/>
      </c>
      <c r="AB2455" s="81">
        <f>IFERROR(HLOOKUP(K2455,データについて!$J$5:$AH$20,14,FALSE),"")</f>
        <v>0</v>
      </c>
      <c r="AC2455" s="81" t="str">
        <f>IF(X2455=1,HLOOKUP(R2455,データについて!$J$12:$M$18,7,FALSE),"*")</f>
        <v>*</v>
      </c>
      <c r="AD2455" s="81">
        <f>IF(X2455=2,HLOOKUP(R2455,データについて!$J$12:$M$18,7,FALSE),"*")</f>
        <v>2</v>
      </c>
    </row>
    <row r="2456" spans="1:30">
      <c r="A2456" s="30">
        <v>2736</v>
      </c>
      <c r="B2456" s="30" t="s">
        <v>2891</v>
      </c>
      <c r="C2456" s="30" t="s">
        <v>2892</v>
      </c>
      <c r="D2456" s="30" t="s">
        <v>106</v>
      </c>
      <c r="E2456" s="30"/>
      <c r="F2456" s="30" t="s">
        <v>107</v>
      </c>
      <c r="G2456" s="30" t="s">
        <v>106</v>
      </c>
      <c r="H2456" s="30"/>
      <c r="I2456" s="30" t="s">
        <v>191</v>
      </c>
      <c r="J2456" s="30"/>
      <c r="K2456" s="30" t="s">
        <v>129</v>
      </c>
      <c r="L2456" s="30" t="s">
        <v>117</v>
      </c>
      <c r="M2456" s="30" t="s">
        <v>113</v>
      </c>
      <c r="N2456" s="30" t="s">
        <v>110</v>
      </c>
      <c r="O2456" s="30" t="s">
        <v>115</v>
      </c>
      <c r="P2456" s="30" t="s">
        <v>112</v>
      </c>
      <c r="Q2456" s="30" t="s">
        <v>112</v>
      </c>
      <c r="R2456" s="30" t="s">
        <v>185</v>
      </c>
      <c r="S2456" s="81">
        <f>HLOOKUP(L2456,データについて!$J$6:$M$18,13,FALSE)</f>
        <v>2</v>
      </c>
      <c r="T2456" s="81">
        <f>HLOOKUP(M2456,データについて!$J$7:$M$18,12,FALSE)</f>
        <v>1</v>
      </c>
      <c r="U2456" s="81">
        <f>HLOOKUP(N2456,データについて!$J$8:$M$18,11,FALSE)</f>
        <v>2</v>
      </c>
      <c r="V2456" s="81">
        <f>HLOOKUP(O2456,データについて!$J$9:$M$18,10,FALSE)</f>
        <v>1</v>
      </c>
      <c r="W2456" s="81">
        <f>HLOOKUP(P2456,データについて!$J$10:$M$18,9,FALSE)</f>
        <v>1</v>
      </c>
      <c r="X2456" s="81">
        <f>HLOOKUP(Q2456,データについて!$J$11:$M$18,8,FALSE)</f>
        <v>1</v>
      </c>
      <c r="Y2456" s="81">
        <f>HLOOKUP(R2456,データについて!$J$12:$M$18,7,FALSE)</f>
        <v>2</v>
      </c>
      <c r="Z2456" s="81">
        <f>HLOOKUP(I2456,データについて!$J$3:$M$18,16,FALSE)</f>
        <v>2</v>
      </c>
      <c r="AA2456" s="81" t="str">
        <f>IFERROR(HLOOKUP(J2456,データについて!$J$4:$AH$19,16,FALSE),"")</f>
        <v/>
      </c>
      <c r="AB2456" s="81">
        <f>IFERROR(HLOOKUP(K2456,データについて!$J$5:$AH$20,14,FALSE),"")</f>
        <v>0</v>
      </c>
      <c r="AC2456" s="81">
        <f>IF(X2456=1,HLOOKUP(R2456,データについて!$J$12:$M$18,7,FALSE),"*")</f>
        <v>2</v>
      </c>
      <c r="AD2456" s="81" t="str">
        <f>IF(X2456=2,HLOOKUP(R2456,データについて!$J$12:$M$18,7,FALSE),"*")</f>
        <v>*</v>
      </c>
    </row>
    <row r="2457" spans="1:30">
      <c r="A2457" s="30">
        <v>2735</v>
      </c>
      <c r="B2457" s="30" t="s">
        <v>2893</v>
      </c>
      <c r="C2457" s="30" t="s">
        <v>2894</v>
      </c>
      <c r="D2457" s="30" t="s">
        <v>106</v>
      </c>
      <c r="E2457" s="30"/>
      <c r="F2457" s="30" t="s">
        <v>107</v>
      </c>
      <c r="G2457" s="30" t="s">
        <v>106</v>
      </c>
      <c r="H2457" s="30"/>
      <c r="I2457" s="30" t="s">
        <v>191</v>
      </c>
      <c r="J2457" s="30"/>
      <c r="K2457" s="30" t="s">
        <v>129</v>
      </c>
      <c r="L2457" s="30" t="s">
        <v>117</v>
      </c>
      <c r="M2457" s="30" t="s">
        <v>109</v>
      </c>
      <c r="N2457" s="30" t="s">
        <v>114</v>
      </c>
      <c r="O2457" s="30" t="s">
        <v>115</v>
      </c>
      <c r="P2457" s="30" t="s">
        <v>112</v>
      </c>
      <c r="Q2457" s="30" t="s">
        <v>112</v>
      </c>
      <c r="R2457" s="30" t="s">
        <v>187</v>
      </c>
      <c r="S2457" s="81">
        <f>HLOOKUP(L2457,データについて!$J$6:$M$18,13,FALSE)</f>
        <v>2</v>
      </c>
      <c r="T2457" s="81">
        <f>HLOOKUP(M2457,データについて!$J$7:$M$18,12,FALSE)</f>
        <v>2</v>
      </c>
      <c r="U2457" s="81">
        <f>HLOOKUP(N2457,データについて!$J$8:$M$18,11,FALSE)</f>
        <v>1</v>
      </c>
      <c r="V2457" s="81">
        <f>HLOOKUP(O2457,データについて!$J$9:$M$18,10,FALSE)</f>
        <v>1</v>
      </c>
      <c r="W2457" s="81">
        <f>HLOOKUP(P2457,データについて!$J$10:$M$18,9,FALSE)</f>
        <v>1</v>
      </c>
      <c r="X2457" s="81">
        <f>HLOOKUP(Q2457,データについて!$J$11:$M$18,8,FALSE)</f>
        <v>1</v>
      </c>
      <c r="Y2457" s="81">
        <f>HLOOKUP(R2457,データについて!$J$12:$M$18,7,FALSE)</f>
        <v>3</v>
      </c>
      <c r="Z2457" s="81">
        <f>HLOOKUP(I2457,データについて!$J$3:$M$18,16,FALSE)</f>
        <v>2</v>
      </c>
      <c r="AA2457" s="81" t="str">
        <f>IFERROR(HLOOKUP(J2457,データについて!$J$4:$AH$19,16,FALSE),"")</f>
        <v/>
      </c>
      <c r="AB2457" s="81">
        <f>IFERROR(HLOOKUP(K2457,データについて!$J$5:$AH$20,14,FALSE),"")</f>
        <v>0</v>
      </c>
      <c r="AC2457" s="81">
        <f>IF(X2457=1,HLOOKUP(R2457,データについて!$J$12:$M$18,7,FALSE),"*")</f>
        <v>3</v>
      </c>
      <c r="AD2457" s="81" t="str">
        <f>IF(X2457=2,HLOOKUP(R2457,データについて!$J$12:$M$18,7,FALSE),"*")</f>
        <v>*</v>
      </c>
    </row>
    <row r="2458" spans="1:30">
      <c r="A2458" s="30">
        <v>2734</v>
      </c>
      <c r="B2458" s="30" t="s">
        <v>2895</v>
      </c>
      <c r="C2458" s="30" t="s">
        <v>2896</v>
      </c>
      <c r="D2458" s="30" t="s">
        <v>106</v>
      </c>
      <c r="E2458" s="30"/>
      <c r="F2458" s="30" t="s">
        <v>107</v>
      </c>
      <c r="G2458" s="30" t="s">
        <v>106</v>
      </c>
      <c r="H2458" s="30"/>
      <c r="I2458" s="30" t="s">
        <v>191</v>
      </c>
      <c r="J2458" s="30"/>
      <c r="K2458" s="30" t="s">
        <v>129</v>
      </c>
      <c r="L2458" s="30" t="s">
        <v>117</v>
      </c>
      <c r="M2458" s="30" t="s">
        <v>113</v>
      </c>
      <c r="N2458" s="30" t="s">
        <v>110</v>
      </c>
      <c r="O2458" s="30" t="s">
        <v>115</v>
      </c>
      <c r="P2458" s="30" t="s">
        <v>112</v>
      </c>
      <c r="Q2458" s="30" t="s">
        <v>112</v>
      </c>
      <c r="R2458" s="30" t="s">
        <v>185</v>
      </c>
      <c r="S2458" s="81">
        <f>HLOOKUP(L2458,データについて!$J$6:$M$18,13,FALSE)</f>
        <v>2</v>
      </c>
      <c r="T2458" s="81">
        <f>HLOOKUP(M2458,データについて!$J$7:$M$18,12,FALSE)</f>
        <v>1</v>
      </c>
      <c r="U2458" s="81">
        <f>HLOOKUP(N2458,データについて!$J$8:$M$18,11,FALSE)</f>
        <v>2</v>
      </c>
      <c r="V2458" s="81">
        <f>HLOOKUP(O2458,データについて!$J$9:$M$18,10,FALSE)</f>
        <v>1</v>
      </c>
      <c r="W2458" s="81">
        <f>HLOOKUP(P2458,データについて!$J$10:$M$18,9,FALSE)</f>
        <v>1</v>
      </c>
      <c r="X2458" s="81">
        <f>HLOOKUP(Q2458,データについて!$J$11:$M$18,8,FALSE)</f>
        <v>1</v>
      </c>
      <c r="Y2458" s="81">
        <f>HLOOKUP(R2458,データについて!$J$12:$M$18,7,FALSE)</f>
        <v>2</v>
      </c>
      <c r="Z2458" s="81">
        <f>HLOOKUP(I2458,データについて!$J$3:$M$18,16,FALSE)</f>
        <v>2</v>
      </c>
      <c r="AA2458" s="81" t="str">
        <f>IFERROR(HLOOKUP(J2458,データについて!$J$4:$AH$19,16,FALSE),"")</f>
        <v/>
      </c>
      <c r="AB2458" s="81">
        <f>IFERROR(HLOOKUP(K2458,データについて!$J$5:$AH$20,14,FALSE),"")</f>
        <v>0</v>
      </c>
      <c r="AC2458" s="81">
        <f>IF(X2458=1,HLOOKUP(R2458,データについて!$J$12:$M$18,7,FALSE),"*")</f>
        <v>2</v>
      </c>
      <c r="AD2458" s="81" t="str">
        <f>IF(X2458=2,HLOOKUP(R2458,データについて!$J$12:$M$18,7,FALSE),"*")</f>
        <v>*</v>
      </c>
    </row>
    <row r="2459" spans="1:30">
      <c r="A2459" s="30">
        <v>2733</v>
      </c>
      <c r="B2459" s="30" t="s">
        <v>2897</v>
      </c>
      <c r="C2459" s="30" t="s">
        <v>2896</v>
      </c>
      <c r="D2459" s="30" t="s">
        <v>106</v>
      </c>
      <c r="E2459" s="30"/>
      <c r="F2459" s="30" t="s">
        <v>107</v>
      </c>
      <c r="G2459" s="30" t="s">
        <v>106</v>
      </c>
      <c r="H2459" s="30"/>
      <c r="I2459" s="30" t="s">
        <v>191</v>
      </c>
      <c r="J2459" s="30"/>
      <c r="K2459" s="30" t="s">
        <v>129</v>
      </c>
      <c r="L2459" s="30" t="s">
        <v>117</v>
      </c>
      <c r="M2459" s="30" t="s">
        <v>113</v>
      </c>
      <c r="N2459" s="30" t="s">
        <v>110</v>
      </c>
      <c r="O2459" s="30" t="s">
        <v>115</v>
      </c>
      <c r="P2459" s="30" t="s">
        <v>112</v>
      </c>
      <c r="Q2459" s="30" t="s">
        <v>112</v>
      </c>
      <c r="R2459" s="30" t="s">
        <v>185</v>
      </c>
      <c r="S2459" s="81">
        <f>HLOOKUP(L2459,データについて!$J$6:$M$18,13,FALSE)</f>
        <v>2</v>
      </c>
      <c r="T2459" s="81">
        <f>HLOOKUP(M2459,データについて!$J$7:$M$18,12,FALSE)</f>
        <v>1</v>
      </c>
      <c r="U2459" s="81">
        <f>HLOOKUP(N2459,データについて!$J$8:$M$18,11,FALSE)</f>
        <v>2</v>
      </c>
      <c r="V2459" s="81">
        <f>HLOOKUP(O2459,データについて!$J$9:$M$18,10,FALSE)</f>
        <v>1</v>
      </c>
      <c r="W2459" s="81">
        <f>HLOOKUP(P2459,データについて!$J$10:$M$18,9,FALSE)</f>
        <v>1</v>
      </c>
      <c r="X2459" s="81">
        <f>HLOOKUP(Q2459,データについて!$J$11:$M$18,8,FALSE)</f>
        <v>1</v>
      </c>
      <c r="Y2459" s="81">
        <f>HLOOKUP(R2459,データについて!$J$12:$M$18,7,FALSE)</f>
        <v>2</v>
      </c>
      <c r="Z2459" s="81">
        <f>HLOOKUP(I2459,データについて!$J$3:$M$18,16,FALSE)</f>
        <v>2</v>
      </c>
      <c r="AA2459" s="81" t="str">
        <f>IFERROR(HLOOKUP(J2459,データについて!$J$4:$AH$19,16,FALSE),"")</f>
        <v/>
      </c>
      <c r="AB2459" s="81">
        <f>IFERROR(HLOOKUP(K2459,データについて!$J$5:$AH$20,14,FALSE),"")</f>
        <v>0</v>
      </c>
      <c r="AC2459" s="81">
        <f>IF(X2459=1,HLOOKUP(R2459,データについて!$J$12:$M$18,7,FALSE),"*")</f>
        <v>2</v>
      </c>
      <c r="AD2459" s="81" t="str">
        <f>IF(X2459=2,HLOOKUP(R2459,データについて!$J$12:$M$18,7,FALSE),"*")</f>
        <v>*</v>
      </c>
    </row>
    <row r="2460" spans="1:30">
      <c r="A2460" s="30">
        <v>2732</v>
      </c>
      <c r="B2460" s="30" t="s">
        <v>2898</v>
      </c>
      <c r="C2460" s="30" t="s">
        <v>2899</v>
      </c>
      <c r="D2460" s="30" t="s">
        <v>106</v>
      </c>
      <c r="E2460" s="30"/>
      <c r="F2460" s="30" t="s">
        <v>107</v>
      </c>
      <c r="G2460" s="30" t="s">
        <v>106</v>
      </c>
      <c r="H2460" s="30"/>
      <c r="I2460" s="30" t="s">
        <v>191</v>
      </c>
      <c r="J2460" s="30"/>
      <c r="K2460" s="30" t="s">
        <v>129</v>
      </c>
      <c r="L2460" s="30" t="s">
        <v>108</v>
      </c>
      <c r="M2460" s="30" t="s">
        <v>109</v>
      </c>
      <c r="N2460" s="30" t="s">
        <v>110</v>
      </c>
      <c r="O2460" s="30" t="s">
        <v>115</v>
      </c>
      <c r="P2460" s="30" t="s">
        <v>112</v>
      </c>
      <c r="Q2460" s="30" t="s">
        <v>112</v>
      </c>
      <c r="R2460" s="30" t="s">
        <v>185</v>
      </c>
      <c r="S2460" s="81">
        <f>HLOOKUP(L2460,データについて!$J$6:$M$18,13,FALSE)</f>
        <v>1</v>
      </c>
      <c r="T2460" s="81">
        <f>HLOOKUP(M2460,データについて!$J$7:$M$18,12,FALSE)</f>
        <v>2</v>
      </c>
      <c r="U2460" s="81">
        <f>HLOOKUP(N2460,データについて!$J$8:$M$18,11,FALSE)</f>
        <v>2</v>
      </c>
      <c r="V2460" s="81">
        <f>HLOOKUP(O2460,データについて!$J$9:$M$18,10,FALSE)</f>
        <v>1</v>
      </c>
      <c r="W2460" s="81">
        <f>HLOOKUP(P2460,データについて!$J$10:$M$18,9,FALSE)</f>
        <v>1</v>
      </c>
      <c r="X2460" s="81">
        <f>HLOOKUP(Q2460,データについて!$J$11:$M$18,8,FALSE)</f>
        <v>1</v>
      </c>
      <c r="Y2460" s="81">
        <f>HLOOKUP(R2460,データについて!$J$12:$M$18,7,FALSE)</f>
        <v>2</v>
      </c>
      <c r="Z2460" s="81">
        <f>HLOOKUP(I2460,データについて!$J$3:$M$18,16,FALSE)</f>
        <v>2</v>
      </c>
      <c r="AA2460" s="81" t="str">
        <f>IFERROR(HLOOKUP(J2460,データについて!$J$4:$AH$19,16,FALSE),"")</f>
        <v/>
      </c>
      <c r="AB2460" s="81">
        <f>IFERROR(HLOOKUP(K2460,データについて!$J$5:$AH$20,14,FALSE),"")</f>
        <v>0</v>
      </c>
      <c r="AC2460" s="81">
        <f>IF(X2460=1,HLOOKUP(R2460,データについて!$J$12:$M$18,7,FALSE),"*")</f>
        <v>2</v>
      </c>
      <c r="AD2460" s="81" t="str">
        <f>IF(X2460=2,HLOOKUP(R2460,データについて!$J$12:$M$18,7,FALSE),"*")</f>
        <v>*</v>
      </c>
    </row>
    <row r="2461" spans="1:30">
      <c r="A2461" s="30">
        <v>2731</v>
      </c>
      <c r="B2461" s="30" t="s">
        <v>2900</v>
      </c>
      <c r="C2461" s="30" t="s">
        <v>2901</v>
      </c>
      <c r="D2461" s="30" t="s">
        <v>106</v>
      </c>
      <c r="E2461" s="30"/>
      <c r="F2461" s="30" t="s">
        <v>107</v>
      </c>
      <c r="G2461" s="30" t="s">
        <v>106</v>
      </c>
      <c r="H2461" s="30"/>
      <c r="I2461" s="30" t="s">
        <v>191</v>
      </c>
      <c r="J2461" s="30"/>
      <c r="K2461" s="30" t="s">
        <v>129</v>
      </c>
      <c r="L2461" s="30" t="s">
        <v>108</v>
      </c>
      <c r="M2461" s="30" t="s">
        <v>124</v>
      </c>
      <c r="N2461" s="30" t="s">
        <v>114</v>
      </c>
      <c r="O2461" s="30" t="s">
        <v>115</v>
      </c>
      <c r="P2461" s="30" t="s">
        <v>118</v>
      </c>
      <c r="Q2461" s="30" t="s">
        <v>118</v>
      </c>
      <c r="R2461" s="30" t="s">
        <v>187</v>
      </c>
      <c r="S2461" s="81">
        <f>HLOOKUP(L2461,データについて!$J$6:$M$18,13,FALSE)</f>
        <v>1</v>
      </c>
      <c r="T2461" s="81">
        <f>HLOOKUP(M2461,データについて!$J$7:$M$18,12,FALSE)</f>
        <v>3</v>
      </c>
      <c r="U2461" s="81">
        <f>HLOOKUP(N2461,データについて!$J$8:$M$18,11,FALSE)</f>
        <v>1</v>
      </c>
      <c r="V2461" s="81">
        <f>HLOOKUP(O2461,データについて!$J$9:$M$18,10,FALSE)</f>
        <v>1</v>
      </c>
      <c r="W2461" s="81">
        <f>HLOOKUP(P2461,データについて!$J$10:$M$18,9,FALSE)</f>
        <v>2</v>
      </c>
      <c r="X2461" s="81">
        <f>HLOOKUP(Q2461,データについて!$J$11:$M$18,8,FALSE)</f>
        <v>2</v>
      </c>
      <c r="Y2461" s="81">
        <f>HLOOKUP(R2461,データについて!$J$12:$M$18,7,FALSE)</f>
        <v>3</v>
      </c>
      <c r="Z2461" s="81">
        <f>HLOOKUP(I2461,データについて!$J$3:$M$18,16,FALSE)</f>
        <v>2</v>
      </c>
      <c r="AA2461" s="81" t="str">
        <f>IFERROR(HLOOKUP(J2461,データについて!$J$4:$AH$19,16,FALSE),"")</f>
        <v/>
      </c>
      <c r="AB2461" s="81">
        <f>IFERROR(HLOOKUP(K2461,データについて!$J$5:$AH$20,14,FALSE),"")</f>
        <v>0</v>
      </c>
      <c r="AC2461" s="81" t="str">
        <f>IF(X2461=1,HLOOKUP(R2461,データについて!$J$12:$M$18,7,FALSE),"*")</f>
        <v>*</v>
      </c>
      <c r="AD2461" s="81">
        <f>IF(X2461=2,HLOOKUP(R2461,データについて!$J$12:$M$18,7,FALSE),"*")</f>
        <v>3</v>
      </c>
    </row>
    <row r="2462" spans="1:30">
      <c r="A2462" s="30">
        <v>2730</v>
      </c>
      <c r="B2462" s="30" t="s">
        <v>2902</v>
      </c>
      <c r="C2462" s="30" t="s">
        <v>2903</v>
      </c>
      <c r="D2462" s="30" t="s">
        <v>106</v>
      </c>
      <c r="E2462" s="30"/>
      <c r="F2462" s="30" t="s">
        <v>107</v>
      </c>
      <c r="G2462" s="30" t="s">
        <v>106</v>
      </c>
      <c r="H2462" s="30"/>
      <c r="I2462" s="30" t="s">
        <v>191</v>
      </c>
      <c r="J2462" s="30"/>
      <c r="K2462" s="30" t="s">
        <v>129</v>
      </c>
      <c r="L2462" s="30" t="s">
        <v>108</v>
      </c>
      <c r="M2462" s="30" t="s">
        <v>109</v>
      </c>
      <c r="N2462" s="30" t="s">
        <v>110</v>
      </c>
      <c r="O2462" s="30" t="s">
        <v>115</v>
      </c>
      <c r="P2462" s="30" t="s">
        <v>112</v>
      </c>
      <c r="Q2462" s="30" t="s">
        <v>118</v>
      </c>
      <c r="R2462" s="30" t="s">
        <v>187</v>
      </c>
      <c r="S2462" s="81">
        <f>HLOOKUP(L2462,データについて!$J$6:$M$18,13,FALSE)</f>
        <v>1</v>
      </c>
      <c r="T2462" s="81">
        <f>HLOOKUP(M2462,データについて!$J$7:$M$18,12,FALSE)</f>
        <v>2</v>
      </c>
      <c r="U2462" s="81">
        <f>HLOOKUP(N2462,データについて!$J$8:$M$18,11,FALSE)</f>
        <v>2</v>
      </c>
      <c r="V2462" s="81">
        <f>HLOOKUP(O2462,データについて!$J$9:$M$18,10,FALSE)</f>
        <v>1</v>
      </c>
      <c r="W2462" s="81">
        <f>HLOOKUP(P2462,データについて!$J$10:$M$18,9,FALSE)</f>
        <v>1</v>
      </c>
      <c r="X2462" s="81">
        <f>HLOOKUP(Q2462,データについて!$J$11:$M$18,8,FALSE)</f>
        <v>2</v>
      </c>
      <c r="Y2462" s="81">
        <f>HLOOKUP(R2462,データについて!$J$12:$M$18,7,FALSE)</f>
        <v>3</v>
      </c>
      <c r="Z2462" s="81">
        <f>HLOOKUP(I2462,データについて!$J$3:$M$18,16,FALSE)</f>
        <v>2</v>
      </c>
      <c r="AA2462" s="81" t="str">
        <f>IFERROR(HLOOKUP(J2462,データについて!$J$4:$AH$19,16,FALSE),"")</f>
        <v/>
      </c>
      <c r="AB2462" s="81">
        <f>IFERROR(HLOOKUP(K2462,データについて!$J$5:$AH$20,14,FALSE),"")</f>
        <v>0</v>
      </c>
      <c r="AC2462" s="81" t="str">
        <f>IF(X2462=1,HLOOKUP(R2462,データについて!$J$12:$M$18,7,FALSE),"*")</f>
        <v>*</v>
      </c>
      <c r="AD2462" s="81">
        <f>IF(X2462=2,HLOOKUP(R2462,データについて!$J$12:$M$18,7,FALSE),"*")</f>
        <v>3</v>
      </c>
    </row>
    <row r="2463" spans="1:30">
      <c r="A2463" s="30">
        <v>2729</v>
      </c>
      <c r="B2463" s="30" t="s">
        <v>2904</v>
      </c>
      <c r="C2463" s="30" t="s">
        <v>2905</v>
      </c>
      <c r="D2463" s="30" t="s">
        <v>106</v>
      </c>
      <c r="E2463" s="30"/>
      <c r="F2463" s="30" t="s">
        <v>107</v>
      </c>
      <c r="G2463" s="30" t="s">
        <v>106</v>
      </c>
      <c r="H2463" s="30"/>
      <c r="I2463" s="30" t="s">
        <v>191</v>
      </c>
      <c r="J2463" s="30"/>
      <c r="K2463" s="30" t="s">
        <v>129</v>
      </c>
      <c r="L2463" s="30" t="s">
        <v>117</v>
      </c>
      <c r="M2463" s="30" t="s">
        <v>113</v>
      </c>
      <c r="N2463" s="30" t="s">
        <v>114</v>
      </c>
      <c r="O2463" s="30" t="s">
        <v>115</v>
      </c>
      <c r="P2463" s="30" t="s">
        <v>112</v>
      </c>
      <c r="Q2463" s="30" t="s">
        <v>112</v>
      </c>
      <c r="R2463" s="30" t="s">
        <v>189</v>
      </c>
      <c r="S2463" s="81">
        <f>HLOOKUP(L2463,データについて!$J$6:$M$18,13,FALSE)</f>
        <v>2</v>
      </c>
      <c r="T2463" s="81">
        <f>HLOOKUP(M2463,データについて!$J$7:$M$18,12,FALSE)</f>
        <v>1</v>
      </c>
      <c r="U2463" s="81">
        <f>HLOOKUP(N2463,データについて!$J$8:$M$18,11,FALSE)</f>
        <v>1</v>
      </c>
      <c r="V2463" s="81">
        <f>HLOOKUP(O2463,データについて!$J$9:$M$18,10,FALSE)</f>
        <v>1</v>
      </c>
      <c r="W2463" s="81">
        <f>HLOOKUP(P2463,データについて!$J$10:$M$18,9,FALSE)</f>
        <v>1</v>
      </c>
      <c r="X2463" s="81">
        <f>HLOOKUP(Q2463,データについて!$J$11:$M$18,8,FALSE)</f>
        <v>1</v>
      </c>
      <c r="Y2463" s="81">
        <f>HLOOKUP(R2463,データについて!$J$12:$M$18,7,FALSE)</f>
        <v>4</v>
      </c>
      <c r="Z2463" s="81">
        <f>HLOOKUP(I2463,データについて!$J$3:$M$18,16,FALSE)</f>
        <v>2</v>
      </c>
      <c r="AA2463" s="81" t="str">
        <f>IFERROR(HLOOKUP(J2463,データについて!$J$4:$AH$19,16,FALSE),"")</f>
        <v/>
      </c>
      <c r="AB2463" s="81">
        <f>IFERROR(HLOOKUP(K2463,データについて!$J$5:$AH$20,14,FALSE),"")</f>
        <v>0</v>
      </c>
      <c r="AC2463" s="81">
        <f>IF(X2463=1,HLOOKUP(R2463,データについて!$J$12:$M$18,7,FALSE),"*")</f>
        <v>4</v>
      </c>
      <c r="AD2463" s="81" t="str">
        <f>IF(X2463=2,HLOOKUP(R2463,データについて!$J$12:$M$18,7,FALSE),"*")</f>
        <v>*</v>
      </c>
    </row>
    <row r="2464" spans="1:30">
      <c r="A2464" s="30">
        <v>2728</v>
      </c>
      <c r="B2464" s="30" t="s">
        <v>2906</v>
      </c>
      <c r="C2464" s="30" t="s">
        <v>2907</v>
      </c>
      <c r="D2464" s="30" t="s">
        <v>106</v>
      </c>
      <c r="E2464" s="30"/>
      <c r="F2464" s="30" t="s">
        <v>107</v>
      </c>
      <c r="G2464" s="30" t="s">
        <v>106</v>
      </c>
      <c r="H2464" s="30"/>
      <c r="I2464" s="30" t="s">
        <v>191</v>
      </c>
      <c r="J2464" s="30"/>
      <c r="K2464" s="30" t="s">
        <v>129</v>
      </c>
      <c r="L2464" s="30" t="s">
        <v>117</v>
      </c>
      <c r="M2464" s="30" t="s">
        <v>113</v>
      </c>
      <c r="N2464" s="30" t="s">
        <v>114</v>
      </c>
      <c r="O2464" s="30" t="s">
        <v>115</v>
      </c>
      <c r="P2464" s="30" t="s">
        <v>118</v>
      </c>
      <c r="Q2464" s="30" t="s">
        <v>112</v>
      </c>
      <c r="R2464" s="30" t="s">
        <v>185</v>
      </c>
      <c r="S2464" s="81">
        <f>HLOOKUP(L2464,データについて!$J$6:$M$18,13,FALSE)</f>
        <v>2</v>
      </c>
      <c r="T2464" s="81">
        <f>HLOOKUP(M2464,データについて!$J$7:$M$18,12,FALSE)</f>
        <v>1</v>
      </c>
      <c r="U2464" s="81">
        <f>HLOOKUP(N2464,データについて!$J$8:$M$18,11,FALSE)</f>
        <v>1</v>
      </c>
      <c r="V2464" s="81">
        <f>HLOOKUP(O2464,データについて!$J$9:$M$18,10,FALSE)</f>
        <v>1</v>
      </c>
      <c r="W2464" s="81">
        <f>HLOOKUP(P2464,データについて!$J$10:$M$18,9,FALSE)</f>
        <v>2</v>
      </c>
      <c r="X2464" s="81">
        <f>HLOOKUP(Q2464,データについて!$J$11:$M$18,8,FALSE)</f>
        <v>1</v>
      </c>
      <c r="Y2464" s="81">
        <f>HLOOKUP(R2464,データについて!$J$12:$M$18,7,FALSE)</f>
        <v>2</v>
      </c>
      <c r="Z2464" s="81">
        <f>HLOOKUP(I2464,データについて!$J$3:$M$18,16,FALSE)</f>
        <v>2</v>
      </c>
      <c r="AA2464" s="81" t="str">
        <f>IFERROR(HLOOKUP(J2464,データについて!$J$4:$AH$19,16,FALSE),"")</f>
        <v/>
      </c>
      <c r="AB2464" s="81">
        <f>IFERROR(HLOOKUP(K2464,データについて!$J$5:$AH$20,14,FALSE),"")</f>
        <v>0</v>
      </c>
      <c r="AC2464" s="81">
        <f>IF(X2464=1,HLOOKUP(R2464,データについて!$J$12:$M$18,7,FALSE),"*")</f>
        <v>2</v>
      </c>
      <c r="AD2464" s="81" t="str">
        <f>IF(X2464=2,HLOOKUP(R2464,データについて!$J$12:$M$18,7,FALSE),"*")</f>
        <v>*</v>
      </c>
    </row>
    <row r="2465" spans="1:30">
      <c r="A2465" s="30">
        <v>2727</v>
      </c>
      <c r="B2465" s="30" t="s">
        <v>2908</v>
      </c>
      <c r="C2465" s="30" t="s">
        <v>2909</v>
      </c>
      <c r="D2465" s="30" t="s">
        <v>106</v>
      </c>
      <c r="E2465" s="30"/>
      <c r="F2465" s="30" t="s">
        <v>107</v>
      </c>
      <c r="G2465" s="30" t="s">
        <v>106</v>
      </c>
      <c r="H2465" s="30"/>
      <c r="I2465" s="30" t="s">
        <v>191</v>
      </c>
      <c r="J2465" s="30"/>
      <c r="K2465" s="30" t="s">
        <v>129</v>
      </c>
      <c r="L2465" s="30" t="s">
        <v>108</v>
      </c>
      <c r="M2465" s="30" t="s">
        <v>109</v>
      </c>
      <c r="N2465" s="30" t="s">
        <v>114</v>
      </c>
      <c r="O2465" s="30" t="s">
        <v>111</v>
      </c>
      <c r="P2465" s="30" t="s">
        <v>112</v>
      </c>
      <c r="Q2465" s="30" t="s">
        <v>118</v>
      </c>
      <c r="R2465" s="30" t="s">
        <v>185</v>
      </c>
      <c r="S2465" s="81">
        <f>HLOOKUP(L2465,データについて!$J$6:$M$18,13,FALSE)</f>
        <v>1</v>
      </c>
      <c r="T2465" s="81">
        <f>HLOOKUP(M2465,データについて!$J$7:$M$18,12,FALSE)</f>
        <v>2</v>
      </c>
      <c r="U2465" s="81">
        <f>HLOOKUP(N2465,データについて!$J$8:$M$18,11,FALSE)</f>
        <v>1</v>
      </c>
      <c r="V2465" s="81">
        <f>HLOOKUP(O2465,データについて!$J$9:$M$18,10,FALSE)</f>
        <v>3</v>
      </c>
      <c r="W2465" s="81">
        <f>HLOOKUP(P2465,データについて!$J$10:$M$18,9,FALSE)</f>
        <v>1</v>
      </c>
      <c r="X2465" s="81">
        <f>HLOOKUP(Q2465,データについて!$J$11:$M$18,8,FALSE)</f>
        <v>2</v>
      </c>
      <c r="Y2465" s="81">
        <f>HLOOKUP(R2465,データについて!$J$12:$M$18,7,FALSE)</f>
        <v>2</v>
      </c>
      <c r="Z2465" s="81">
        <f>HLOOKUP(I2465,データについて!$J$3:$M$18,16,FALSE)</f>
        <v>2</v>
      </c>
      <c r="AA2465" s="81" t="str">
        <f>IFERROR(HLOOKUP(J2465,データについて!$J$4:$AH$19,16,FALSE),"")</f>
        <v/>
      </c>
      <c r="AB2465" s="81">
        <f>IFERROR(HLOOKUP(K2465,データについて!$J$5:$AH$20,14,FALSE),"")</f>
        <v>0</v>
      </c>
      <c r="AC2465" s="81" t="str">
        <f>IF(X2465=1,HLOOKUP(R2465,データについて!$J$12:$M$18,7,FALSE),"*")</f>
        <v>*</v>
      </c>
      <c r="AD2465" s="81">
        <f>IF(X2465=2,HLOOKUP(R2465,データについて!$J$12:$M$18,7,FALSE),"*")</f>
        <v>2</v>
      </c>
    </row>
    <row r="2466" spans="1:30">
      <c r="A2466" s="30">
        <v>2726</v>
      </c>
      <c r="B2466" s="30" t="s">
        <v>2910</v>
      </c>
      <c r="C2466" s="30" t="s">
        <v>2911</v>
      </c>
      <c r="D2466" s="30" t="s">
        <v>106</v>
      </c>
      <c r="E2466" s="30"/>
      <c r="F2466" s="30" t="s">
        <v>107</v>
      </c>
      <c r="G2466" s="30" t="s">
        <v>106</v>
      </c>
      <c r="H2466" s="30"/>
      <c r="I2466" s="30" t="s">
        <v>191</v>
      </c>
      <c r="J2466" s="30"/>
      <c r="K2466" s="30" t="s">
        <v>129</v>
      </c>
      <c r="L2466" s="30" t="s">
        <v>108</v>
      </c>
      <c r="M2466" s="30" t="s">
        <v>113</v>
      </c>
      <c r="N2466" s="30" t="s">
        <v>114</v>
      </c>
      <c r="O2466" s="30" t="s">
        <v>123</v>
      </c>
      <c r="P2466" s="30" t="s">
        <v>112</v>
      </c>
      <c r="Q2466" s="30" t="s">
        <v>112</v>
      </c>
      <c r="R2466" s="30" t="s">
        <v>185</v>
      </c>
      <c r="S2466" s="81">
        <f>HLOOKUP(L2466,データについて!$J$6:$M$18,13,FALSE)</f>
        <v>1</v>
      </c>
      <c r="T2466" s="81">
        <f>HLOOKUP(M2466,データについて!$J$7:$M$18,12,FALSE)</f>
        <v>1</v>
      </c>
      <c r="U2466" s="81">
        <f>HLOOKUP(N2466,データについて!$J$8:$M$18,11,FALSE)</f>
        <v>1</v>
      </c>
      <c r="V2466" s="81">
        <f>HLOOKUP(O2466,データについて!$J$9:$M$18,10,FALSE)</f>
        <v>4</v>
      </c>
      <c r="W2466" s="81">
        <f>HLOOKUP(P2466,データについて!$J$10:$M$18,9,FALSE)</f>
        <v>1</v>
      </c>
      <c r="X2466" s="81">
        <f>HLOOKUP(Q2466,データについて!$J$11:$M$18,8,FALSE)</f>
        <v>1</v>
      </c>
      <c r="Y2466" s="81">
        <f>HLOOKUP(R2466,データについて!$J$12:$M$18,7,FALSE)</f>
        <v>2</v>
      </c>
      <c r="Z2466" s="81">
        <f>HLOOKUP(I2466,データについて!$J$3:$M$18,16,FALSE)</f>
        <v>2</v>
      </c>
      <c r="AA2466" s="81" t="str">
        <f>IFERROR(HLOOKUP(J2466,データについて!$J$4:$AH$19,16,FALSE),"")</f>
        <v/>
      </c>
      <c r="AB2466" s="81">
        <f>IFERROR(HLOOKUP(K2466,データについて!$J$5:$AH$20,14,FALSE),"")</f>
        <v>0</v>
      </c>
      <c r="AC2466" s="81">
        <f>IF(X2466=1,HLOOKUP(R2466,データについて!$J$12:$M$18,7,FALSE),"*")</f>
        <v>2</v>
      </c>
      <c r="AD2466" s="81" t="str">
        <f>IF(X2466=2,HLOOKUP(R2466,データについて!$J$12:$M$18,7,FALSE),"*")</f>
        <v>*</v>
      </c>
    </row>
    <row r="2467" spans="1:30">
      <c r="A2467" s="30">
        <v>2725</v>
      </c>
      <c r="B2467" s="30" t="s">
        <v>2912</v>
      </c>
      <c r="C2467" s="30" t="s">
        <v>2911</v>
      </c>
      <c r="D2467" s="30" t="s">
        <v>106</v>
      </c>
      <c r="E2467" s="30"/>
      <c r="F2467" s="30" t="s">
        <v>107</v>
      </c>
      <c r="G2467" s="30" t="s">
        <v>106</v>
      </c>
      <c r="H2467" s="30"/>
      <c r="I2467" s="30" t="s">
        <v>191</v>
      </c>
      <c r="J2467" s="30"/>
      <c r="K2467" s="30" t="s">
        <v>129</v>
      </c>
      <c r="L2467" s="30" t="s">
        <v>117</v>
      </c>
      <c r="M2467" s="30" t="s">
        <v>109</v>
      </c>
      <c r="N2467" s="30" t="s">
        <v>114</v>
      </c>
      <c r="O2467" s="30" t="s">
        <v>115</v>
      </c>
      <c r="P2467" s="30" t="s">
        <v>112</v>
      </c>
      <c r="Q2467" s="30" t="s">
        <v>112</v>
      </c>
      <c r="R2467" s="30" t="s">
        <v>185</v>
      </c>
      <c r="S2467" s="81">
        <f>HLOOKUP(L2467,データについて!$J$6:$M$18,13,FALSE)</f>
        <v>2</v>
      </c>
      <c r="T2467" s="81">
        <f>HLOOKUP(M2467,データについて!$J$7:$M$18,12,FALSE)</f>
        <v>2</v>
      </c>
      <c r="U2467" s="81">
        <f>HLOOKUP(N2467,データについて!$J$8:$M$18,11,FALSE)</f>
        <v>1</v>
      </c>
      <c r="V2467" s="81">
        <f>HLOOKUP(O2467,データについて!$J$9:$M$18,10,FALSE)</f>
        <v>1</v>
      </c>
      <c r="W2467" s="81">
        <f>HLOOKUP(P2467,データについて!$J$10:$M$18,9,FALSE)</f>
        <v>1</v>
      </c>
      <c r="X2467" s="81">
        <f>HLOOKUP(Q2467,データについて!$J$11:$M$18,8,FALSE)</f>
        <v>1</v>
      </c>
      <c r="Y2467" s="81">
        <f>HLOOKUP(R2467,データについて!$J$12:$M$18,7,FALSE)</f>
        <v>2</v>
      </c>
      <c r="Z2467" s="81">
        <f>HLOOKUP(I2467,データについて!$J$3:$M$18,16,FALSE)</f>
        <v>2</v>
      </c>
      <c r="AA2467" s="81" t="str">
        <f>IFERROR(HLOOKUP(J2467,データについて!$J$4:$AH$19,16,FALSE),"")</f>
        <v/>
      </c>
      <c r="AB2467" s="81">
        <f>IFERROR(HLOOKUP(K2467,データについて!$J$5:$AH$20,14,FALSE),"")</f>
        <v>0</v>
      </c>
      <c r="AC2467" s="81">
        <f>IF(X2467=1,HLOOKUP(R2467,データについて!$J$12:$M$18,7,FALSE),"*")</f>
        <v>2</v>
      </c>
      <c r="AD2467" s="81" t="str">
        <f>IF(X2467=2,HLOOKUP(R2467,データについて!$J$12:$M$18,7,FALSE),"*")</f>
        <v>*</v>
      </c>
    </row>
    <row r="2468" spans="1:30">
      <c r="A2468" s="30">
        <v>2724</v>
      </c>
      <c r="B2468" s="30" t="s">
        <v>2913</v>
      </c>
      <c r="C2468" s="30" t="s">
        <v>2914</v>
      </c>
      <c r="D2468" s="30" t="s">
        <v>106</v>
      </c>
      <c r="E2468" s="30"/>
      <c r="F2468" s="30" t="s">
        <v>107</v>
      </c>
      <c r="G2468" s="30" t="s">
        <v>106</v>
      </c>
      <c r="H2468" s="30"/>
      <c r="I2468" s="30" t="s">
        <v>191</v>
      </c>
      <c r="J2468" s="30"/>
      <c r="K2468" s="30" t="s">
        <v>129</v>
      </c>
      <c r="L2468" s="30" t="s">
        <v>108</v>
      </c>
      <c r="M2468" s="30" t="s">
        <v>113</v>
      </c>
      <c r="N2468" s="30" t="s">
        <v>110</v>
      </c>
      <c r="O2468" s="30" t="s">
        <v>115</v>
      </c>
      <c r="P2468" s="30" t="s">
        <v>118</v>
      </c>
      <c r="Q2468" s="30" t="s">
        <v>112</v>
      </c>
      <c r="R2468" s="30" t="s">
        <v>185</v>
      </c>
      <c r="S2468" s="81">
        <f>HLOOKUP(L2468,データについて!$J$6:$M$18,13,FALSE)</f>
        <v>1</v>
      </c>
      <c r="T2468" s="81">
        <f>HLOOKUP(M2468,データについて!$J$7:$M$18,12,FALSE)</f>
        <v>1</v>
      </c>
      <c r="U2468" s="81">
        <f>HLOOKUP(N2468,データについて!$J$8:$M$18,11,FALSE)</f>
        <v>2</v>
      </c>
      <c r="V2468" s="81">
        <f>HLOOKUP(O2468,データについて!$J$9:$M$18,10,FALSE)</f>
        <v>1</v>
      </c>
      <c r="W2468" s="81">
        <f>HLOOKUP(P2468,データについて!$J$10:$M$18,9,FALSE)</f>
        <v>2</v>
      </c>
      <c r="X2468" s="81">
        <f>HLOOKUP(Q2468,データについて!$J$11:$M$18,8,FALSE)</f>
        <v>1</v>
      </c>
      <c r="Y2468" s="81">
        <f>HLOOKUP(R2468,データについて!$J$12:$M$18,7,FALSE)</f>
        <v>2</v>
      </c>
      <c r="Z2468" s="81">
        <f>HLOOKUP(I2468,データについて!$J$3:$M$18,16,FALSE)</f>
        <v>2</v>
      </c>
      <c r="AA2468" s="81" t="str">
        <f>IFERROR(HLOOKUP(J2468,データについて!$J$4:$AH$19,16,FALSE),"")</f>
        <v/>
      </c>
      <c r="AB2468" s="81">
        <f>IFERROR(HLOOKUP(K2468,データについて!$J$5:$AH$20,14,FALSE),"")</f>
        <v>0</v>
      </c>
      <c r="AC2468" s="81">
        <f>IF(X2468=1,HLOOKUP(R2468,データについて!$J$12:$M$18,7,FALSE),"*")</f>
        <v>2</v>
      </c>
      <c r="AD2468" s="81" t="str">
        <f>IF(X2468=2,HLOOKUP(R2468,データについて!$J$12:$M$18,7,FALSE),"*")</f>
        <v>*</v>
      </c>
    </row>
    <row r="2469" spans="1:30">
      <c r="A2469" s="30">
        <v>2723</v>
      </c>
      <c r="B2469" s="30" t="s">
        <v>2915</v>
      </c>
      <c r="C2469" s="30" t="s">
        <v>2914</v>
      </c>
      <c r="D2469" s="30" t="s">
        <v>106</v>
      </c>
      <c r="E2469" s="30"/>
      <c r="F2469" s="30" t="s">
        <v>107</v>
      </c>
      <c r="G2469" s="30" t="s">
        <v>106</v>
      </c>
      <c r="H2469" s="30"/>
      <c r="I2469" s="30" t="s">
        <v>191</v>
      </c>
      <c r="J2469" s="30"/>
      <c r="K2469" s="30" t="s">
        <v>129</v>
      </c>
      <c r="L2469" s="30" t="s">
        <v>117</v>
      </c>
      <c r="M2469" s="30" t="s">
        <v>124</v>
      </c>
      <c r="N2469" s="30" t="s">
        <v>110</v>
      </c>
      <c r="O2469" s="30" t="s">
        <v>115</v>
      </c>
      <c r="P2469" s="30" t="s">
        <v>112</v>
      </c>
      <c r="Q2469" s="30" t="s">
        <v>112</v>
      </c>
      <c r="R2469" s="30" t="s">
        <v>185</v>
      </c>
      <c r="S2469" s="81">
        <f>HLOOKUP(L2469,データについて!$J$6:$M$18,13,FALSE)</f>
        <v>2</v>
      </c>
      <c r="T2469" s="81">
        <f>HLOOKUP(M2469,データについて!$J$7:$M$18,12,FALSE)</f>
        <v>3</v>
      </c>
      <c r="U2469" s="81">
        <f>HLOOKUP(N2469,データについて!$J$8:$M$18,11,FALSE)</f>
        <v>2</v>
      </c>
      <c r="V2469" s="81">
        <f>HLOOKUP(O2469,データについて!$J$9:$M$18,10,FALSE)</f>
        <v>1</v>
      </c>
      <c r="W2469" s="81">
        <f>HLOOKUP(P2469,データについて!$J$10:$M$18,9,FALSE)</f>
        <v>1</v>
      </c>
      <c r="X2469" s="81">
        <f>HLOOKUP(Q2469,データについて!$J$11:$M$18,8,FALSE)</f>
        <v>1</v>
      </c>
      <c r="Y2469" s="81">
        <f>HLOOKUP(R2469,データについて!$J$12:$M$18,7,FALSE)</f>
        <v>2</v>
      </c>
      <c r="Z2469" s="81">
        <f>HLOOKUP(I2469,データについて!$J$3:$M$18,16,FALSE)</f>
        <v>2</v>
      </c>
      <c r="AA2469" s="81" t="str">
        <f>IFERROR(HLOOKUP(J2469,データについて!$J$4:$AH$19,16,FALSE),"")</f>
        <v/>
      </c>
      <c r="AB2469" s="81">
        <f>IFERROR(HLOOKUP(K2469,データについて!$J$5:$AH$20,14,FALSE),"")</f>
        <v>0</v>
      </c>
      <c r="AC2469" s="81">
        <f>IF(X2469=1,HLOOKUP(R2469,データについて!$J$12:$M$18,7,FALSE),"*")</f>
        <v>2</v>
      </c>
      <c r="AD2469" s="81" t="str">
        <f>IF(X2469=2,HLOOKUP(R2469,データについて!$J$12:$M$18,7,FALSE),"*")</f>
        <v>*</v>
      </c>
    </row>
    <row r="2470" spans="1:30">
      <c r="A2470" s="30">
        <v>2722</v>
      </c>
      <c r="B2470" s="30" t="s">
        <v>2916</v>
      </c>
      <c r="C2470" s="30" t="s">
        <v>2917</v>
      </c>
      <c r="D2470" s="30" t="s">
        <v>106</v>
      </c>
      <c r="E2470" s="30"/>
      <c r="F2470" s="30" t="s">
        <v>107</v>
      </c>
      <c r="G2470" s="30" t="s">
        <v>106</v>
      </c>
      <c r="H2470" s="30"/>
      <c r="I2470" s="30" t="s">
        <v>191</v>
      </c>
      <c r="J2470" s="30"/>
      <c r="K2470" s="30" t="s">
        <v>129</v>
      </c>
      <c r="L2470" s="30" t="s">
        <v>108</v>
      </c>
      <c r="M2470" s="30" t="s">
        <v>113</v>
      </c>
      <c r="N2470" s="30" t="s">
        <v>110</v>
      </c>
      <c r="O2470" s="30" t="s">
        <v>115</v>
      </c>
      <c r="P2470" s="30" t="s">
        <v>112</v>
      </c>
      <c r="Q2470" s="30" t="s">
        <v>118</v>
      </c>
      <c r="R2470" s="30" t="s">
        <v>189</v>
      </c>
      <c r="S2470" s="81">
        <f>HLOOKUP(L2470,データについて!$J$6:$M$18,13,FALSE)</f>
        <v>1</v>
      </c>
      <c r="T2470" s="81">
        <f>HLOOKUP(M2470,データについて!$J$7:$M$18,12,FALSE)</f>
        <v>1</v>
      </c>
      <c r="U2470" s="81">
        <f>HLOOKUP(N2470,データについて!$J$8:$M$18,11,FALSE)</f>
        <v>2</v>
      </c>
      <c r="V2470" s="81">
        <f>HLOOKUP(O2470,データについて!$J$9:$M$18,10,FALSE)</f>
        <v>1</v>
      </c>
      <c r="W2470" s="81">
        <f>HLOOKUP(P2470,データについて!$J$10:$M$18,9,FALSE)</f>
        <v>1</v>
      </c>
      <c r="X2470" s="81">
        <f>HLOOKUP(Q2470,データについて!$J$11:$M$18,8,FALSE)</f>
        <v>2</v>
      </c>
      <c r="Y2470" s="81">
        <f>HLOOKUP(R2470,データについて!$J$12:$M$18,7,FALSE)</f>
        <v>4</v>
      </c>
      <c r="Z2470" s="81">
        <f>HLOOKUP(I2470,データについて!$J$3:$M$18,16,FALSE)</f>
        <v>2</v>
      </c>
      <c r="AA2470" s="81" t="str">
        <f>IFERROR(HLOOKUP(J2470,データについて!$J$4:$AH$19,16,FALSE),"")</f>
        <v/>
      </c>
      <c r="AB2470" s="81">
        <f>IFERROR(HLOOKUP(K2470,データについて!$J$5:$AH$20,14,FALSE),"")</f>
        <v>0</v>
      </c>
      <c r="AC2470" s="81" t="str">
        <f>IF(X2470=1,HLOOKUP(R2470,データについて!$J$12:$M$18,7,FALSE),"*")</f>
        <v>*</v>
      </c>
      <c r="AD2470" s="81">
        <f>IF(X2470=2,HLOOKUP(R2470,データについて!$J$12:$M$18,7,FALSE),"*")</f>
        <v>4</v>
      </c>
    </row>
    <row r="2471" spans="1:30">
      <c r="A2471" s="30">
        <v>2721</v>
      </c>
      <c r="B2471" s="30" t="s">
        <v>2918</v>
      </c>
      <c r="C2471" s="30" t="s">
        <v>2919</v>
      </c>
      <c r="D2471" s="30" t="s">
        <v>106</v>
      </c>
      <c r="E2471" s="30"/>
      <c r="F2471" s="30" t="s">
        <v>107</v>
      </c>
      <c r="G2471" s="30" t="s">
        <v>106</v>
      </c>
      <c r="H2471" s="30"/>
      <c r="I2471" s="30" t="s">
        <v>191</v>
      </c>
      <c r="J2471" s="30"/>
      <c r="K2471" s="30" t="s">
        <v>126</v>
      </c>
      <c r="L2471" s="30" t="s">
        <v>120</v>
      </c>
      <c r="M2471" s="30" t="s">
        <v>124</v>
      </c>
      <c r="N2471" s="30" t="s">
        <v>110</v>
      </c>
      <c r="O2471" s="30" t="s">
        <v>111</v>
      </c>
      <c r="P2471" s="30" t="s">
        <v>112</v>
      </c>
      <c r="Q2471" s="30" t="s">
        <v>112</v>
      </c>
      <c r="R2471" s="30" t="s">
        <v>187</v>
      </c>
      <c r="S2471" s="81">
        <f>HLOOKUP(L2471,データについて!$J$6:$M$18,13,FALSE)</f>
        <v>3</v>
      </c>
      <c r="T2471" s="81">
        <f>HLOOKUP(M2471,データについて!$J$7:$M$18,12,FALSE)</f>
        <v>3</v>
      </c>
      <c r="U2471" s="81">
        <f>HLOOKUP(N2471,データについて!$J$8:$M$18,11,FALSE)</f>
        <v>2</v>
      </c>
      <c r="V2471" s="81">
        <f>HLOOKUP(O2471,データについて!$J$9:$M$18,10,FALSE)</f>
        <v>3</v>
      </c>
      <c r="W2471" s="81">
        <f>HLOOKUP(P2471,データについて!$J$10:$M$18,9,FALSE)</f>
        <v>1</v>
      </c>
      <c r="X2471" s="81">
        <f>HLOOKUP(Q2471,データについて!$J$11:$M$18,8,FALSE)</f>
        <v>1</v>
      </c>
      <c r="Y2471" s="81">
        <f>HLOOKUP(R2471,データについて!$J$12:$M$18,7,FALSE)</f>
        <v>3</v>
      </c>
      <c r="Z2471" s="81">
        <f>HLOOKUP(I2471,データについて!$J$3:$M$18,16,FALSE)</f>
        <v>2</v>
      </c>
      <c r="AA2471" s="81" t="str">
        <f>IFERROR(HLOOKUP(J2471,データについて!$J$4:$AH$19,16,FALSE),"")</f>
        <v/>
      </c>
      <c r="AB2471" s="81">
        <f>IFERROR(HLOOKUP(K2471,データについて!$J$5:$AH$20,14,FALSE),"")</f>
        <v>0</v>
      </c>
      <c r="AC2471" s="81">
        <f>IF(X2471=1,HLOOKUP(R2471,データについて!$J$12:$M$18,7,FALSE),"*")</f>
        <v>3</v>
      </c>
      <c r="AD2471" s="81" t="str">
        <f>IF(X2471=2,HLOOKUP(R2471,データについて!$J$12:$M$18,7,FALSE),"*")</f>
        <v>*</v>
      </c>
    </row>
    <row r="2472" spans="1:30">
      <c r="A2472" s="30">
        <v>2720</v>
      </c>
      <c r="B2472" s="30" t="s">
        <v>2920</v>
      </c>
      <c r="C2472" s="30" t="s">
        <v>2921</v>
      </c>
      <c r="D2472" s="30" t="s">
        <v>106</v>
      </c>
      <c r="E2472" s="30"/>
      <c r="F2472" s="30" t="s">
        <v>107</v>
      </c>
      <c r="G2472" s="30" t="s">
        <v>106</v>
      </c>
      <c r="H2472" s="30"/>
      <c r="I2472" s="30" t="s">
        <v>191</v>
      </c>
      <c r="J2472" s="30"/>
      <c r="K2472" s="30" t="s">
        <v>129</v>
      </c>
      <c r="L2472" s="30" t="s">
        <v>108</v>
      </c>
      <c r="M2472" s="30" t="s">
        <v>113</v>
      </c>
      <c r="N2472" s="30" t="s">
        <v>114</v>
      </c>
      <c r="O2472" s="30" t="s">
        <v>116</v>
      </c>
      <c r="P2472" s="30" t="s">
        <v>112</v>
      </c>
      <c r="Q2472" s="30" t="s">
        <v>112</v>
      </c>
      <c r="R2472" s="30" t="s">
        <v>187</v>
      </c>
      <c r="S2472" s="81">
        <f>HLOOKUP(L2472,データについて!$J$6:$M$18,13,FALSE)</f>
        <v>1</v>
      </c>
      <c r="T2472" s="81">
        <f>HLOOKUP(M2472,データについて!$J$7:$M$18,12,FALSE)</f>
        <v>1</v>
      </c>
      <c r="U2472" s="81">
        <f>HLOOKUP(N2472,データについて!$J$8:$M$18,11,FALSE)</f>
        <v>1</v>
      </c>
      <c r="V2472" s="81">
        <f>HLOOKUP(O2472,データについて!$J$9:$M$18,10,FALSE)</f>
        <v>2</v>
      </c>
      <c r="W2472" s="81">
        <f>HLOOKUP(P2472,データについて!$J$10:$M$18,9,FALSE)</f>
        <v>1</v>
      </c>
      <c r="X2472" s="81">
        <f>HLOOKUP(Q2472,データについて!$J$11:$M$18,8,FALSE)</f>
        <v>1</v>
      </c>
      <c r="Y2472" s="81">
        <f>HLOOKUP(R2472,データについて!$J$12:$M$18,7,FALSE)</f>
        <v>3</v>
      </c>
      <c r="Z2472" s="81">
        <f>HLOOKUP(I2472,データについて!$J$3:$M$18,16,FALSE)</f>
        <v>2</v>
      </c>
      <c r="AA2472" s="81" t="str">
        <f>IFERROR(HLOOKUP(J2472,データについて!$J$4:$AH$19,16,FALSE),"")</f>
        <v/>
      </c>
      <c r="AB2472" s="81">
        <f>IFERROR(HLOOKUP(K2472,データについて!$J$5:$AH$20,14,FALSE),"")</f>
        <v>0</v>
      </c>
      <c r="AC2472" s="81">
        <f>IF(X2472=1,HLOOKUP(R2472,データについて!$J$12:$M$18,7,FALSE),"*")</f>
        <v>3</v>
      </c>
      <c r="AD2472" s="81" t="str">
        <f>IF(X2472=2,HLOOKUP(R2472,データについて!$J$12:$M$18,7,FALSE),"*")</f>
        <v>*</v>
      </c>
    </row>
    <row r="2473" spans="1:30">
      <c r="A2473" s="30">
        <v>2719</v>
      </c>
      <c r="B2473" s="30" t="s">
        <v>2922</v>
      </c>
      <c r="C2473" s="30" t="s">
        <v>2923</v>
      </c>
      <c r="D2473" s="30" t="s">
        <v>106</v>
      </c>
      <c r="E2473" s="30"/>
      <c r="F2473" s="30" t="s">
        <v>107</v>
      </c>
      <c r="G2473" s="30" t="s">
        <v>106</v>
      </c>
      <c r="H2473" s="30"/>
      <c r="I2473" s="30" t="s">
        <v>191</v>
      </c>
      <c r="J2473" s="30"/>
      <c r="K2473" s="30" t="s">
        <v>129</v>
      </c>
      <c r="L2473" s="30" t="s">
        <v>108</v>
      </c>
      <c r="M2473" s="30" t="s">
        <v>109</v>
      </c>
      <c r="N2473" s="30" t="s">
        <v>110</v>
      </c>
      <c r="O2473" s="30" t="s">
        <v>123</v>
      </c>
      <c r="P2473" s="30" t="s">
        <v>118</v>
      </c>
      <c r="Q2473" s="30" t="s">
        <v>112</v>
      </c>
      <c r="R2473" s="30" t="s">
        <v>189</v>
      </c>
      <c r="S2473" s="81">
        <f>HLOOKUP(L2473,データについて!$J$6:$M$18,13,FALSE)</f>
        <v>1</v>
      </c>
      <c r="T2473" s="81">
        <f>HLOOKUP(M2473,データについて!$J$7:$M$18,12,FALSE)</f>
        <v>2</v>
      </c>
      <c r="U2473" s="81">
        <f>HLOOKUP(N2473,データについて!$J$8:$M$18,11,FALSE)</f>
        <v>2</v>
      </c>
      <c r="V2473" s="81">
        <f>HLOOKUP(O2473,データについて!$J$9:$M$18,10,FALSE)</f>
        <v>4</v>
      </c>
      <c r="W2473" s="81">
        <f>HLOOKUP(P2473,データについて!$J$10:$M$18,9,FALSE)</f>
        <v>2</v>
      </c>
      <c r="X2473" s="81">
        <f>HLOOKUP(Q2473,データについて!$J$11:$M$18,8,FALSE)</f>
        <v>1</v>
      </c>
      <c r="Y2473" s="81">
        <f>HLOOKUP(R2473,データについて!$J$12:$M$18,7,FALSE)</f>
        <v>4</v>
      </c>
      <c r="Z2473" s="81">
        <f>HLOOKUP(I2473,データについて!$J$3:$M$18,16,FALSE)</f>
        <v>2</v>
      </c>
      <c r="AA2473" s="81" t="str">
        <f>IFERROR(HLOOKUP(J2473,データについて!$J$4:$AH$19,16,FALSE),"")</f>
        <v/>
      </c>
      <c r="AB2473" s="81">
        <f>IFERROR(HLOOKUP(K2473,データについて!$J$5:$AH$20,14,FALSE),"")</f>
        <v>0</v>
      </c>
      <c r="AC2473" s="81">
        <f>IF(X2473=1,HLOOKUP(R2473,データについて!$J$12:$M$18,7,FALSE),"*")</f>
        <v>4</v>
      </c>
      <c r="AD2473" s="81" t="str">
        <f>IF(X2473=2,HLOOKUP(R2473,データについて!$J$12:$M$18,7,FALSE),"*")</f>
        <v>*</v>
      </c>
    </row>
    <row r="2474" spans="1:30">
      <c r="A2474" s="30">
        <v>2718</v>
      </c>
      <c r="B2474" s="30" t="s">
        <v>2924</v>
      </c>
      <c r="C2474" s="30" t="s">
        <v>2925</v>
      </c>
      <c r="D2474" s="30" t="s">
        <v>106</v>
      </c>
      <c r="E2474" s="30"/>
      <c r="F2474" s="30" t="s">
        <v>107</v>
      </c>
      <c r="G2474" s="30" t="s">
        <v>106</v>
      </c>
      <c r="H2474" s="30"/>
      <c r="I2474" s="30" t="s">
        <v>191</v>
      </c>
      <c r="J2474" s="30"/>
      <c r="K2474" s="30" t="s">
        <v>129</v>
      </c>
      <c r="L2474" s="30" t="s">
        <v>117</v>
      </c>
      <c r="M2474" s="30" t="s">
        <v>109</v>
      </c>
      <c r="N2474" s="30" t="s">
        <v>110</v>
      </c>
      <c r="O2474" s="30" t="s">
        <v>115</v>
      </c>
      <c r="P2474" s="30" t="s">
        <v>112</v>
      </c>
      <c r="Q2474" s="30" t="s">
        <v>112</v>
      </c>
      <c r="R2474" s="30" t="s">
        <v>185</v>
      </c>
      <c r="S2474" s="81">
        <f>HLOOKUP(L2474,データについて!$J$6:$M$18,13,FALSE)</f>
        <v>2</v>
      </c>
      <c r="T2474" s="81">
        <f>HLOOKUP(M2474,データについて!$J$7:$M$18,12,FALSE)</f>
        <v>2</v>
      </c>
      <c r="U2474" s="81">
        <f>HLOOKUP(N2474,データについて!$J$8:$M$18,11,FALSE)</f>
        <v>2</v>
      </c>
      <c r="V2474" s="81">
        <f>HLOOKUP(O2474,データについて!$J$9:$M$18,10,FALSE)</f>
        <v>1</v>
      </c>
      <c r="W2474" s="81">
        <f>HLOOKUP(P2474,データについて!$J$10:$M$18,9,FALSE)</f>
        <v>1</v>
      </c>
      <c r="X2474" s="81">
        <f>HLOOKUP(Q2474,データについて!$J$11:$M$18,8,FALSE)</f>
        <v>1</v>
      </c>
      <c r="Y2474" s="81">
        <f>HLOOKUP(R2474,データについて!$J$12:$M$18,7,FALSE)</f>
        <v>2</v>
      </c>
      <c r="Z2474" s="81">
        <f>HLOOKUP(I2474,データについて!$J$3:$M$18,16,FALSE)</f>
        <v>2</v>
      </c>
      <c r="AA2474" s="81" t="str">
        <f>IFERROR(HLOOKUP(J2474,データについて!$J$4:$AH$19,16,FALSE),"")</f>
        <v/>
      </c>
      <c r="AB2474" s="81">
        <f>IFERROR(HLOOKUP(K2474,データについて!$J$5:$AH$20,14,FALSE),"")</f>
        <v>0</v>
      </c>
      <c r="AC2474" s="81">
        <f>IF(X2474=1,HLOOKUP(R2474,データについて!$J$12:$M$18,7,FALSE),"*")</f>
        <v>2</v>
      </c>
      <c r="AD2474" s="81" t="str">
        <f>IF(X2474=2,HLOOKUP(R2474,データについて!$J$12:$M$18,7,FALSE),"*")</f>
        <v>*</v>
      </c>
    </row>
    <row r="2475" spans="1:30">
      <c r="A2475" s="30">
        <v>2717</v>
      </c>
      <c r="B2475" s="30" t="s">
        <v>2926</v>
      </c>
      <c r="C2475" s="30" t="s">
        <v>2927</v>
      </c>
      <c r="D2475" s="30" t="s">
        <v>106</v>
      </c>
      <c r="E2475" s="30"/>
      <c r="F2475" s="30" t="s">
        <v>107</v>
      </c>
      <c r="G2475" s="30" t="s">
        <v>106</v>
      </c>
      <c r="H2475" s="30"/>
      <c r="I2475" s="30" t="s">
        <v>191</v>
      </c>
      <c r="J2475" s="30"/>
      <c r="K2475" s="30" t="s">
        <v>129</v>
      </c>
      <c r="L2475" s="30" t="s">
        <v>117</v>
      </c>
      <c r="M2475" s="30" t="s">
        <v>109</v>
      </c>
      <c r="N2475" s="30" t="s">
        <v>110</v>
      </c>
      <c r="O2475" s="30" t="s">
        <v>115</v>
      </c>
      <c r="P2475" s="30" t="s">
        <v>112</v>
      </c>
      <c r="Q2475" s="30" t="s">
        <v>112</v>
      </c>
      <c r="R2475" s="30" t="s">
        <v>189</v>
      </c>
      <c r="S2475" s="81">
        <f>HLOOKUP(L2475,データについて!$J$6:$M$18,13,FALSE)</f>
        <v>2</v>
      </c>
      <c r="T2475" s="81">
        <f>HLOOKUP(M2475,データについて!$J$7:$M$18,12,FALSE)</f>
        <v>2</v>
      </c>
      <c r="U2475" s="81">
        <f>HLOOKUP(N2475,データについて!$J$8:$M$18,11,FALSE)</f>
        <v>2</v>
      </c>
      <c r="V2475" s="81">
        <f>HLOOKUP(O2475,データについて!$J$9:$M$18,10,FALSE)</f>
        <v>1</v>
      </c>
      <c r="W2475" s="81">
        <f>HLOOKUP(P2475,データについて!$J$10:$M$18,9,FALSE)</f>
        <v>1</v>
      </c>
      <c r="X2475" s="81">
        <f>HLOOKUP(Q2475,データについて!$J$11:$M$18,8,FALSE)</f>
        <v>1</v>
      </c>
      <c r="Y2475" s="81">
        <f>HLOOKUP(R2475,データについて!$J$12:$M$18,7,FALSE)</f>
        <v>4</v>
      </c>
      <c r="Z2475" s="81">
        <f>HLOOKUP(I2475,データについて!$J$3:$M$18,16,FALSE)</f>
        <v>2</v>
      </c>
      <c r="AA2475" s="81" t="str">
        <f>IFERROR(HLOOKUP(J2475,データについて!$J$4:$AH$19,16,FALSE),"")</f>
        <v/>
      </c>
      <c r="AB2475" s="81">
        <f>IFERROR(HLOOKUP(K2475,データについて!$J$5:$AH$20,14,FALSE),"")</f>
        <v>0</v>
      </c>
      <c r="AC2475" s="81">
        <f>IF(X2475=1,HLOOKUP(R2475,データについて!$J$12:$M$18,7,FALSE),"*")</f>
        <v>4</v>
      </c>
      <c r="AD2475" s="81" t="str">
        <f>IF(X2475=2,HLOOKUP(R2475,データについて!$J$12:$M$18,7,FALSE),"*")</f>
        <v>*</v>
      </c>
    </row>
    <row r="2476" spans="1:30">
      <c r="A2476" s="30">
        <v>2716</v>
      </c>
      <c r="B2476" s="30" t="s">
        <v>2928</v>
      </c>
      <c r="C2476" s="30" t="s">
        <v>2929</v>
      </c>
      <c r="D2476" s="30" t="s">
        <v>106</v>
      </c>
      <c r="E2476" s="30"/>
      <c r="F2476" s="30" t="s">
        <v>107</v>
      </c>
      <c r="G2476" s="30" t="s">
        <v>106</v>
      </c>
      <c r="H2476" s="30"/>
      <c r="I2476" s="30" t="s">
        <v>191</v>
      </c>
      <c r="J2476" s="30"/>
      <c r="K2476" s="30" t="s">
        <v>129</v>
      </c>
      <c r="L2476" s="30" t="s">
        <v>108</v>
      </c>
      <c r="M2476" s="30" t="s">
        <v>113</v>
      </c>
      <c r="N2476" s="30" t="s">
        <v>114</v>
      </c>
      <c r="O2476" s="30" t="s">
        <v>115</v>
      </c>
      <c r="P2476" s="30" t="s">
        <v>118</v>
      </c>
      <c r="Q2476" s="30" t="s">
        <v>112</v>
      </c>
      <c r="R2476" s="30" t="s">
        <v>183</v>
      </c>
      <c r="S2476" s="81">
        <f>HLOOKUP(L2476,データについて!$J$6:$M$18,13,FALSE)</f>
        <v>1</v>
      </c>
      <c r="T2476" s="81">
        <f>HLOOKUP(M2476,データについて!$J$7:$M$18,12,FALSE)</f>
        <v>1</v>
      </c>
      <c r="U2476" s="81">
        <f>HLOOKUP(N2476,データについて!$J$8:$M$18,11,FALSE)</f>
        <v>1</v>
      </c>
      <c r="V2476" s="81">
        <f>HLOOKUP(O2476,データについて!$J$9:$M$18,10,FALSE)</f>
        <v>1</v>
      </c>
      <c r="W2476" s="81">
        <f>HLOOKUP(P2476,データについて!$J$10:$M$18,9,FALSE)</f>
        <v>2</v>
      </c>
      <c r="X2476" s="81">
        <f>HLOOKUP(Q2476,データについて!$J$11:$M$18,8,FALSE)</f>
        <v>1</v>
      </c>
      <c r="Y2476" s="81">
        <f>HLOOKUP(R2476,データについて!$J$12:$M$18,7,FALSE)</f>
        <v>1</v>
      </c>
      <c r="Z2476" s="81">
        <f>HLOOKUP(I2476,データについて!$J$3:$M$18,16,FALSE)</f>
        <v>2</v>
      </c>
      <c r="AA2476" s="81" t="str">
        <f>IFERROR(HLOOKUP(J2476,データについて!$J$4:$AH$19,16,FALSE),"")</f>
        <v/>
      </c>
      <c r="AB2476" s="81">
        <f>IFERROR(HLOOKUP(K2476,データについて!$J$5:$AH$20,14,FALSE),"")</f>
        <v>0</v>
      </c>
      <c r="AC2476" s="81">
        <f>IF(X2476=1,HLOOKUP(R2476,データについて!$J$12:$M$18,7,FALSE),"*")</f>
        <v>1</v>
      </c>
      <c r="AD2476" s="81" t="str">
        <f>IF(X2476=2,HLOOKUP(R2476,データについて!$J$12:$M$18,7,FALSE),"*")</f>
        <v>*</v>
      </c>
    </row>
    <row r="2477" spans="1:30">
      <c r="A2477" s="30">
        <v>2715</v>
      </c>
      <c r="B2477" s="30" t="s">
        <v>193</v>
      </c>
      <c r="C2477" s="30" t="s">
        <v>194</v>
      </c>
      <c r="D2477" s="30" t="s">
        <v>106</v>
      </c>
      <c r="E2477" s="30"/>
      <c r="F2477" s="30" t="s">
        <v>107</v>
      </c>
      <c r="G2477" s="30" t="s">
        <v>106</v>
      </c>
      <c r="H2477" s="30"/>
      <c r="I2477" s="30" t="s">
        <v>191</v>
      </c>
      <c r="J2477" s="30"/>
      <c r="K2477" s="30" t="s">
        <v>129</v>
      </c>
      <c r="L2477" s="30" t="s">
        <v>108</v>
      </c>
      <c r="M2477" s="30" t="s">
        <v>113</v>
      </c>
      <c r="N2477" s="30" t="s">
        <v>114</v>
      </c>
      <c r="O2477" s="30" t="s">
        <v>123</v>
      </c>
      <c r="P2477" s="30" t="s">
        <v>118</v>
      </c>
      <c r="Q2477" s="30" t="s">
        <v>118</v>
      </c>
      <c r="R2477" s="30" t="s">
        <v>187</v>
      </c>
      <c r="S2477" s="81">
        <f>HLOOKUP(L2477,データについて!$J$6:$M$18,13,FALSE)</f>
        <v>1</v>
      </c>
      <c r="T2477" s="81">
        <f>HLOOKUP(M2477,データについて!$J$7:$M$18,12,FALSE)</f>
        <v>1</v>
      </c>
      <c r="U2477" s="81">
        <f>HLOOKUP(N2477,データについて!$J$8:$M$18,11,FALSE)</f>
        <v>1</v>
      </c>
      <c r="V2477" s="81">
        <f>HLOOKUP(O2477,データについて!$J$9:$M$18,10,FALSE)</f>
        <v>4</v>
      </c>
      <c r="W2477" s="81">
        <f>HLOOKUP(P2477,データについて!$J$10:$M$18,9,FALSE)</f>
        <v>2</v>
      </c>
      <c r="X2477" s="81">
        <f>HLOOKUP(Q2477,データについて!$J$11:$M$18,8,FALSE)</f>
        <v>2</v>
      </c>
      <c r="Y2477" s="81">
        <f>HLOOKUP(R2477,データについて!$J$12:$M$18,7,FALSE)</f>
        <v>3</v>
      </c>
      <c r="Z2477" s="81">
        <f>HLOOKUP(I2477,データについて!$J$3:$M$18,16,FALSE)</f>
        <v>2</v>
      </c>
      <c r="AA2477" s="81" t="str">
        <f>IFERROR(HLOOKUP(J2477,データについて!$J$4:$AH$19,16,FALSE),"")</f>
        <v/>
      </c>
      <c r="AB2477" s="81">
        <f>IFERROR(HLOOKUP(K2477,データについて!$J$5:$AH$20,14,FALSE),"")</f>
        <v>0</v>
      </c>
      <c r="AC2477" s="81" t="str">
        <f>IF(X2477=1,HLOOKUP(R2477,データについて!$J$12:$M$18,7,FALSE),"*")</f>
        <v>*</v>
      </c>
      <c r="AD2477" s="81">
        <f>IF(X2477=2,HLOOKUP(R2477,データについて!$J$12:$M$18,7,FALSE),"*")</f>
        <v>3</v>
      </c>
    </row>
    <row r="2478" spans="1:30">
      <c r="A2478" s="30">
        <v>2714</v>
      </c>
      <c r="B2478" s="30" t="s">
        <v>195</v>
      </c>
      <c r="C2478" s="30" t="s">
        <v>194</v>
      </c>
      <c r="D2478" s="30" t="s">
        <v>106</v>
      </c>
      <c r="E2478" s="30"/>
      <c r="F2478" s="30" t="s">
        <v>107</v>
      </c>
      <c r="G2478" s="30" t="s">
        <v>106</v>
      </c>
      <c r="H2478" s="30"/>
      <c r="I2478" s="30" t="s">
        <v>191</v>
      </c>
      <c r="J2478" s="30"/>
      <c r="K2478" s="30" t="s">
        <v>129</v>
      </c>
      <c r="L2478" s="30" t="s">
        <v>108</v>
      </c>
      <c r="M2478" s="30" t="s">
        <v>124</v>
      </c>
      <c r="N2478" s="30" t="s">
        <v>110</v>
      </c>
      <c r="O2478" s="30" t="s">
        <v>116</v>
      </c>
      <c r="P2478" s="30" t="s">
        <v>112</v>
      </c>
      <c r="Q2478" s="30" t="s">
        <v>112</v>
      </c>
      <c r="R2478" s="30" t="s">
        <v>185</v>
      </c>
      <c r="S2478" s="81">
        <f>HLOOKUP(L2478,データについて!$J$6:$M$18,13,FALSE)</f>
        <v>1</v>
      </c>
      <c r="T2478" s="81">
        <f>HLOOKUP(M2478,データについて!$J$7:$M$18,12,FALSE)</f>
        <v>3</v>
      </c>
      <c r="U2478" s="81">
        <f>HLOOKUP(N2478,データについて!$J$8:$M$18,11,FALSE)</f>
        <v>2</v>
      </c>
      <c r="V2478" s="81">
        <f>HLOOKUP(O2478,データについて!$J$9:$M$18,10,FALSE)</f>
        <v>2</v>
      </c>
      <c r="W2478" s="81">
        <f>HLOOKUP(P2478,データについて!$J$10:$M$18,9,FALSE)</f>
        <v>1</v>
      </c>
      <c r="X2478" s="81">
        <f>HLOOKUP(Q2478,データについて!$J$11:$M$18,8,FALSE)</f>
        <v>1</v>
      </c>
      <c r="Y2478" s="81">
        <f>HLOOKUP(R2478,データについて!$J$12:$M$18,7,FALSE)</f>
        <v>2</v>
      </c>
      <c r="Z2478" s="81">
        <f>HLOOKUP(I2478,データについて!$J$3:$M$18,16,FALSE)</f>
        <v>2</v>
      </c>
      <c r="AA2478" s="81" t="str">
        <f>IFERROR(HLOOKUP(J2478,データについて!$J$4:$AH$19,16,FALSE),"")</f>
        <v/>
      </c>
      <c r="AB2478" s="81">
        <f>IFERROR(HLOOKUP(K2478,データについて!$J$5:$AH$20,14,FALSE),"")</f>
        <v>0</v>
      </c>
      <c r="AC2478" s="81">
        <f>IF(X2478=1,HLOOKUP(R2478,データについて!$J$12:$M$18,7,FALSE),"*")</f>
        <v>2</v>
      </c>
      <c r="AD2478" s="81" t="str">
        <f>IF(X2478=2,HLOOKUP(R2478,データについて!$J$12:$M$18,7,FALSE),"*")</f>
        <v>*</v>
      </c>
    </row>
    <row r="2479" spans="1:30">
      <c r="A2479" s="30">
        <v>2713</v>
      </c>
      <c r="B2479" s="30" t="s">
        <v>196</v>
      </c>
      <c r="C2479" s="30" t="s">
        <v>197</v>
      </c>
      <c r="D2479" s="30" t="s">
        <v>106</v>
      </c>
      <c r="E2479" s="30"/>
      <c r="F2479" s="30" t="s">
        <v>107</v>
      </c>
      <c r="G2479" s="30" t="s">
        <v>106</v>
      </c>
      <c r="H2479" s="30"/>
      <c r="I2479" s="30" t="s">
        <v>191</v>
      </c>
      <c r="J2479" s="30"/>
      <c r="K2479" s="30" t="s">
        <v>129</v>
      </c>
      <c r="L2479" s="30" t="s">
        <v>108</v>
      </c>
      <c r="M2479" s="30" t="s">
        <v>124</v>
      </c>
      <c r="N2479" s="30" t="s">
        <v>110</v>
      </c>
      <c r="O2479" s="30" t="s">
        <v>115</v>
      </c>
      <c r="P2479" s="30" t="s">
        <v>118</v>
      </c>
      <c r="Q2479" s="30" t="s">
        <v>118</v>
      </c>
      <c r="R2479" s="30" t="s">
        <v>189</v>
      </c>
      <c r="S2479" s="81">
        <f>HLOOKUP(L2479,データについて!$J$6:$M$18,13,FALSE)</f>
        <v>1</v>
      </c>
      <c r="T2479" s="81">
        <f>HLOOKUP(M2479,データについて!$J$7:$M$18,12,FALSE)</f>
        <v>3</v>
      </c>
      <c r="U2479" s="81">
        <f>HLOOKUP(N2479,データについて!$J$8:$M$18,11,FALSE)</f>
        <v>2</v>
      </c>
      <c r="V2479" s="81">
        <f>HLOOKUP(O2479,データについて!$J$9:$M$18,10,FALSE)</f>
        <v>1</v>
      </c>
      <c r="W2479" s="81">
        <f>HLOOKUP(P2479,データについて!$J$10:$M$18,9,FALSE)</f>
        <v>2</v>
      </c>
      <c r="X2479" s="81">
        <f>HLOOKUP(Q2479,データについて!$J$11:$M$18,8,FALSE)</f>
        <v>2</v>
      </c>
      <c r="Y2479" s="81">
        <f>HLOOKUP(R2479,データについて!$J$12:$M$18,7,FALSE)</f>
        <v>4</v>
      </c>
      <c r="Z2479" s="81">
        <f>HLOOKUP(I2479,データについて!$J$3:$M$18,16,FALSE)</f>
        <v>2</v>
      </c>
      <c r="AA2479" s="81" t="str">
        <f>IFERROR(HLOOKUP(J2479,データについて!$J$4:$AH$19,16,FALSE),"")</f>
        <v/>
      </c>
      <c r="AB2479" s="81">
        <f>IFERROR(HLOOKUP(K2479,データについて!$J$5:$AH$20,14,FALSE),"")</f>
        <v>0</v>
      </c>
      <c r="AC2479" s="81" t="str">
        <f>IF(X2479=1,HLOOKUP(R2479,データについて!$J$12:$M$18,7,FALSE),"*")</f>
        <v>*</v>
      </c>
      <c r="AD2479" s="81">
        <f>IF(X2479=2,HLOOKUP(R2479,データについて!$J$12:$M$18,7,FALSE),"*")</f>
        <v>4</v>
      </c>
    </row>
    <row r="2480" spans="1:30">
      <c r="A2480" s="30">
        <v>2712</v>
      </c>
      <c r="B2480" s="30" t="s">
        <v>198</v>
      </c>
      <c r="C2480" s="30" t="s">
        <v>199</v>
      </c>
      <c r="D2480" s="30" t="s">
        <v>106</v>
      </c>
      <c r="E2480" s="30"/>
      <c r="F2480" s="30" t="s">
        <v>107</v>
      </c>
      <c r="G2480" s="30" t="s">
        <v>106</v>
      </c>
      <c r="H2480" s="30"/>
      <c r="I2480" s="30" t="s">
        <v>191</v>
      </c>
      <c r="J2480" s="30"/>
      <c r="K2480" s="30" t="s">
        <v>129</v>
      </c>
      <c r="L2480" s="30" t="s">
        <v>108</v>
      </c>
      <c r="M2480" s="30" t="s">
        <v>109</v>
      </c>
      <c r="N2480" s="30" t="s">
        <v>114</v>
      </c>
      <c r="O2480" s="30" t="s">
        <v>115</v>
      </c>
      <c r="P2480" s="30" t="s">
        <v>118</v>
      </c>
      <c r="Q2480" s="30" t="s">
        <v>112</v>
      </c>
      <c r="R2480" s="30" t="s">
        <v>185</v>
      </c>
      <c r="S2480" s="81">
        <f>HLOOKUP(L2480,データについて!$J$6:$M$18,13,FALSE)</f>
        <v>1</v>
      </c>
      <c r="T2480" s="81">
        <f>HLOOKUP(M2480,データについて!$J$7:$M$18,12,FALSE)</f>
        <v>2</v>
      </c>
      <c r="U2480" s="81">
        <f>HLOOKUP(N2480,データについて!$J$8:$M$18,11,FALSE)</f>
        <v>1</v>
      </c>
      <c r="V2480" s="81">
        <f>HLOOKUP(O2480,データについて!$J$9:$M$18,10,FALSE)</f>
        <v>1</v>
      </c>
      <c r="W2480" s="81">
        <f>HLOOKUP(P2480,データについて!$J$10:$M$18,9,FALSE)</f>
        <v>2</v>
      </c>
      <c r="X2480" s="81">
        <f>HLOOKUP(Q2480,データについて!$J$11:$M$18,8,FALSE)</f>
        <v>1</v>
      </c>
      <c r="Y2480" s="81">
        <f>HLOOKUP(R2480,データについて!$J$12:$M$18,7,FALSE)</f>
        <v>2</v>
      </c>
      <c r="Z2480" s="81">
        <f>HLOOKUP(I2480,データについて!$J$3:$M$18,16,FALSE)</f>
        <v>2</v>
      </c>
      <c r="AA2480" s="81" t="str">
        <f>IFERROR(HLOOKUP(J2480,データについて!$J$4:$AH$19,16,FALSE),"")</f>
        <v/>
      </c>
      <c r="AB2480" s="81">
        <f>IFERROR(HLOOKUP(K2480,データについて!$J$5:$AH$20,14,FALSE),"")</f>
        <v>0</v>
      </c>
      <c r="AC2480" s="81">
        <f>IF(X2480=1,HLOOKUP(R2480,データについて!$J$12:$M$18,7,FALSE),"*")</f>
        <v>2</v>
      </c>
      <c r="AD2480" s="81" t="str">
        <f>IF(X2480=2,HLOOKUP(R2480,データについて!$J$12:$M$18,7,FALSE),"*")</f>
        <v>*</v>
      </c>
    </row>
    <row r="2481" spans="1:30">
      <c r="A2481" s="30">
        <v>2711</v>
      </c>
      <c r="B2481" s="30" t="s">
        <v>200</v>
      </c>
      <c r="C2481" s="30" t="s">
        <v>201</v>
      </c>
      <c r="D2481" s="30" t="s">
        <v>106</v>
      </c>
      <c r="E2481" s="30"/>
      <c r="F2481" s="30" t="s">
        <v>107</v>
      </c>
      <c r="G2481" s="30" t="s">
        <v>106</v>
      </c>
      <c r="H2481" s="30"/>
      <c r="I2481" s="30" t="s">
        <v>191</v>
      </c>
      <c r="J2481" s="30"/>
      <c r="K2481" s="30" t="s">
        <v>129</v>
      </c>
      <c r="L2481" s="30" t="s">
        <v>117</v>
      </c>
      <c r="M2481" s="30" t="s">
        <v>109</v>
      </c>
      <c r="N2481" s="30" t="s">
        <v>114</v>
      </c>
      <c r="O2481" s="30" t="s">
        <v>115</v>
      </c>
      <c r="P2481" s="30" t="s">
        <v>112</v>
      </c>
      <c r="Q2481" s="30" t="s">
        <v>112</v>
      </c>
      <c r="R2481" s="30" t="s">
        <v>185</v>
      </c>
      <c r="S2481" s="81">
        <f>HLOOKUP(L2481,データについて!$J$6:$M$18,13,FALSE)</f>
        <v>2</v>
      </c>
      <c r="T2481" s="81">
        <f>HLOOKUP(M2481,データについて!$J$7:$M$18,12,FALSE)</f>
        <v>2</v>
      </c>
      <c r="U2481" s="81">
        <f>HLOOKUP(N2481,データについて!$J$8:$M$18,11,FALSE)</f>
        <v>1</v>
      </c>
      <c r="V2481" s="81">
        <f>HLOOKUP(O2481,データについて!$J$9:$M$18,10,FALSE)</f>
        <v>1</v>
      </c>
      <c r="W2481" s="81">
        <f>HLOOKUP(P2481,データについて!$J$10:$M$18,9,FALSE)</f>
        <v>1</v>
      </c>
      <c r="X2481" s="81">
        <f>HLOOKUP(Q2481,データについて!$J$11:$M$18,8,FALSE)</f>
        <v>1</v>
      </c>
      <c r="Y2481" s="81">
        <f>HLOOKUP(R2481,データについて!$J$12:$M$18,7,FALSE)</f>
        <v>2</v>
      </c>
      <c r="Z2481" s="81">
        <f>HLOOKUP(I2481,データについて!$J$3:$M$18,16,FALSE)</f>
        <v>2</v>
      </c>
      <c r="AA2481" s="81" t="str">
        <f>IFERROR(HLOOKUP(J2481,データについて!$J$4:$AH$19,16,FALSE),"")</f>
        <v/>
      </c>
      <c r="AB2481" s="81">
        <f>IFERROR(HLOOKUP(K2481,データについて!$J$5:$AH$20,14,FALSE),"")</f>
        <v>0</v>
      </c>
      <c r="AC2481" s="81">
        <f>IF(X2481=1,HLOOKUP(R2481,データについて!$J$12:$M$18,7,FALSE),"*")</f>
        <v>2</v>
      </c>
      <c r="AD2481" s="81" t="str">
        <f>IF(X2481=2,HLOOKUP(R2481,データについて!$J$12:$M$18,7,FALSE),"*")</f>
        <v>*</v>
      </c>
    </row>
    <row r="2482" spans="1:30">
      <c r="A2482" s="30">
        <v>2710</v>
      </c>
      <c r="B2482" s="30" t="s">
        <v>202</v>
      </c>
      <c r="C2482" s="30" t="s">
        <v>203</v>
      </c>
      <c r="D2482" s="30" t="s">
        <v>106</v>
      </c>
      <c r="E2482" s="30"/>
      <c r="F2482" s="30" t="s">
        <v>107</v>
      </c>
      <c r="G2482" s="30" t="s">
        <v>106</v>
      </c>
      <c r="H2482" s="30"/>
      <c r="I2482" s="30" t="s">
        <v>191</v>
      </c>
      <c r="J2482" s="30"/>
      <c r="K2482" s="30" t="s">
        <v>129</v>
      </c>
      <c r="L2482" s="30" t="s">
        <v>108</v>
      </c>
      <c r="M2482" s="30" t="s">
        <v>124</v>
      </c>
      <c r="N2482" s="30" t="s">
        <v>110</v>
      </c>
      <c r="O2482" s="30" t="s">
        <v>115</v>
      </c>
      <c r="P2482" s="30" t="s">
        <v>112</v>
      </c>
      <c r="Q2482" s="30" t="s">
        <v>118</v>
      </c>
      <c r="R2482" s="30" t="s">
        <v>189</v>
      </c>
      <c r="S2482" s="81">
        <f>HLOOKUP(L2482,データについて!$J$6:$M$18,13,FALSE)</f>
        <v>1</v>
      </c>
      <c r="T2482" s="81">
        <f>HLOOKUP(M2482,データについて!$J$7:$M$18,12,FALSE)</f>
        <v>3</v>
      </c>
      <c r="U2482" s="81">
        <f>HLOOKUP(N2482,データについて!$J$8:$M$18,11,FALSE)</f>
        <v>2</v>
      </c>
      <c r="V2482" s="81">
        <f>HLOOKUP(O2482,データについて!$J$9:$M$18,10,FALSE)</f>
        <v>1</v>
      </c>
      <c r="W2482" s="81">
        <f>HLOOKUP(P2482,データについて!$J$10:$M$18,9,FALSE)</f>
        <v>1</v>
      </c>
      <c r="X2482" s="81">
        <f>HLOOKUP(Q2482,データについて!$J$11:$M$18,8,FALSE)</f>
        <v>2</v>
      </c>
      <c r="Y2482" s="81">
        <f>HLOOKUP(R2482,データについて!$J$12:$M$18,7,FALSE)</f>
        <v>4</v>
      </c>
      <c r="Z2482" s="81">
        <f>HLOOKUP(I2482,データについて!$J$3:$M$18,16,FALSE)</f>
        <v>2</v>
      </c>
      <c r="AA2482" s="81" t="str">
        <f>IFERROR(HLOOKUP(J2482,データについて!$J$4:$AH$19,16,FALSE),"")</f>
        <v/>
      </c>
      <c r="AB2482" s="81">
        <f>IFERROR(HLOOKUP(K2482,データについて!$J$5:$AH$20,14,FALSE),"")</f>
        <v>0</v>
      </c>
      <c r="AC2482" s="81" t="str">
        <f>IF(X2482=1,HLOOKUP(R2482,データについて!$J$12:$M$18,7,FALSE),"*")</f>
        <v>*</v>
      </c>
      <c r="AD2482" s="81">
        <f>IF(X2482=2,HLOOKUP(R2482,データについて!$J$12:$M$18,7,FALSE),"*")</f>
        <v>4</v>
      </c>
    </row>
    <row r="2483" spans="1:30">
      <c r="A2483" s="30">
        <v>2709</v>
      </c>
      <c r="B2483" s="30" t="s">
        <v>204</v>
      </c>
      <c r="C2483" s="30" t="s">
        <v>205</v>
      </c>
      <c r="D2483" s="30" t="s">
        <v>106</v>
      </c>
      <c r="E2483" s="30"/>
      <c r="F2483" s="30" t="s">
        <v>107</v>
      </c>
      <c r="G2483" s="30" t="s">
        <v>106</v>
      </c>
      <c r="H2483" s="30"/>
      <c r="I2483" s="30" t="s">
        <v>191</v>
      </c>
      <c r="J2483" s="30"/>
      <c r="K2483" s="30" t="s">
        <v>126</v>
      </c>
      <c r="L2483" s="30" t="s">
        <v>108</v>
      </c>
      <c r="M2483" s="30" t="s">
        <v>113</v>
      </c>
      <c r="N2483" s="30" t="s">
        <v>114</v>
      </c>
      <c r="O2483" s="30" t="s">
        <v>115</v>
      </c>
      <c r="P2483" s="30" t="s">
        <v>112</v>
      </c>
      <c r="Q2483" s="30" t="s">
        <v>112</v>
      </c>
      <c r="R2483" s="30" t="s">
        <v>185</v>
      </c>
      <c r="S2483" s="81">
        <f>HLOOKUP(L2483,データについて!$J$6:$M$18,13,FALSE)</f>
        <v>1</v>
      </c>
      <c r="T2483" s="81">
        <f>HLOOKUP(M2483,データについて!$J$7:$M$18,12,FALSE)</f>
        <v>1</v>
      </c>
      <c r="U2483" s="81">
        <f>HLOOKUP(N2483,データについて!$J$8:$M$18,11,FALSE)</f>
        <v>1</v>
      </c>
      <c r="V2483" s="81">
        <f>HLOOKUP(O2483,データについて!$J$9:$M$18,10,FALSE)</f>
        <v>1</v>
      </c>
      <c r="W2483" s="81">
        <f>HLOOKUP(P2483,データについて!$J$10:$M$18,9,FALSE)</f>
        <v>1</v>
      </c>
      <c r="X2483" s="81">
        <f>HLOOKUP(Q2483,データについて!$J$11:$M$18,8,FALSE)</f>
        <v>1</v>
      </c>
      <c r="Y2483" s="81">
        <f>HLOOKUP(R2483,データについて!$J$12:$M$18,7,FALSE)</f>
        <v>2</v>
      </c>
      <c r="Z2483" s="81">
        <f>HLOOKUP(I2483,データについて!$J$3:$M$18,16,FALSE)</f>
        <v>2</v>
      </c>
      <c r="AA2483" s="81" t="str">
        <f>IFERROR(HLOOKUP(J2483,データについて!$J$4:$AH$19,16,FALSE),"")</f>
        <v/>
      </c>
      <c r="AB2483" s="81">
        <f>IFERROR(HLOOKUP(K2483,データについて!$J$5:$AH$20,14,FALSE),"")</f>
        <v>0</v>
      </c>
      <c r="AC2483" s="81">
        <f>IF(X2483=1,HLOOKUP(R2483,データについて!$J$12:$M$18,7,FALSE),"*")</f>
        <v>2</v>
      </c>
      <c r="AD2483" s="81" t="str">
        <f>IF(X2483=2,HLOOKUP(R2483,データについて!$J$12:$M$18,7,FALSE),"*")</f>
        <v>*</v>
      </c>
    </row>
    <row r="2484" spans="1:30">
      <c r="A2484" s="30">
        <v>2708</v>
      </c>
      <c r="B2484" s="30" t="s">
        <v>206</v>
      </c>
      <c r="C2484" s="30" t="s">
        <v>207</v>
      </c>
      <c r="D2484" s="30" t="s">
        <v>106</v>
      </c>
      <c r="E2484" s="30"/>
      <c r="F2484" s="30" t="s">
        <v>107</v>
      </c>
      <c r="G2484" s="30" t="s">
        <v>106</v>
      </c>
      <c r="H2484" s="30"/>
      <c r="I2484" s="30" t="s">
        <v>191</v>
      </c>
      <c r="J2484" s="30"/>
      <c r="K2484" s="30" t="s">
        <v>129</v>
      </c>
      <c r="L2484" s="30" t="s">
        <v>117</v>
      </c>
      <c r="M2484" s="30" t="s">
        <v>113</v>
      </c>
      <c r="N2484" s="30" t="s">
        <v>110</v>
      </c>
      <c r="O2484" s="30" t="s">
        <v>115</v>
      </c>
      <c r="P2484" s="30" t="s">
        <v>118</v>
      </c>
      <c r="Q2484" s="30" t="s">
        <v>112</v>
      </c>
      <c r="R2484" s="30" t="s">
        <v>183</v>
      </c>
      <c r="S2484" s="81">
        <f>HLOOKUP(L2484,データについて!$J$6:$M$18,13,FALSE)</f>
        <v>2</v>
      </c>
      <c r="T2484" s="81">
        <f>HLOOKUP(M2484,データについて!$J$7:$M$18,12,FALSE)</f>
        <v>1</v>
      </c>
      <c r="U2484" s="81">
        <f>HLOOKUP(N2484,データについて!$J$8:$M$18,11,FALSE)</f>
        <v>2</v>
      </c>
      <c r="V2484" s="81">
        <f>HLOOKUP(O2484,データについて!$J$9:$M$18,10,FALSE)</f>
        <v>1</v>
      </c>
      <c r="W2484" s="81">
        <f>HLOOKUP(P2484,データについて!$J$10:$M$18,9,FALSE)</f>
        <v>2</v>
      </c>
      <c r="X2484" s="81">
        <f>HLOOKUP(Q2484,データについて!$J$11:$M$18,8,FALSE)</f>
        <v>1</v>
      </c>
      <c r="Y2484" s="81">
        <f>HLOOKUP(R2484,データについて!$J$12:$M$18,7,FALSE)</f>
        <v>1</v>
      </c>
      <c r="Z2484" s="81">
        <f>HLOOKUP(I2484,データについて!$J$3:$M$18,16,FALSE)</f>
        <v>2</v>
      </c>
      <c r="AA2484" s="81" t="str">
        <f>IFERROR(HLOOKUP(J2484,データについて!$J$4:$AH$19,16,FALSE),"")</f>
        <v/>
      </c>
      <c r="AB2484" s="81">
        <f>IFERROR(HLOOKUP(K2484,データについて!$J$5:$AH$20,14,FALSE),"")</f>
        <v>0</v>
      </c>
      <c r="AC2484" s="81">
        <f>IF(X2484=1,HLOOKUP(R2484,データについて!$J$12:$M$18,7,FALSE),"*")</f>
        <v>1</v>
      </c>
      <c r="AD2484" s="81" t="str">
        <f>IF(X2484=2,HLOOKUP(R2484,データについて!$J$12:$M$18,7,FALSE),"*")</f>
        <v>*</v>
      </c>
    </row>
    <row r="2485" spans="1:30">
      <c r="A2485" s="30">
        <v>2707</v>
      </c>
      <c r="B2485" s="30" t="s">
        <v>208</v>
      </c>
      <c r="C2485" s="30" t="s">
        <v>209</v>
      </c>
      <c r="D2485" s="30" t="s">
        <v>106</v>
      </c>
      <c r="E2485" s="30"/>
      <c r="F2485" s="30" t="s">
        <v>107</v>
      </c>
      <c r="G2485" s="30" t="s">
        <v>106</v>
      </c>
      <c r="H2485" s="30"/>
      <c r="I2485" s="30" t="s">
        <v>191</v>
      </c>
      <c r="J2485" s="30"/>
      <c r="K2485" s="30" t="s">
        <v>129</v>
      </c>
      <c r="L2485" s="30" t="s">
        <v>117</v>
      </c>
      <c r="M2485" s="30" t="s">
        <v>113</v>
      </c>
      <c r="N2485" s="30" t="s">
        <v>114</v>
      </c>
      <c r="O2485" s="30" t="s">
        <v>115</v>
      </c>
      <c r="P2485" s="30" t="s">
        <v>112</v>
      </c>
      <c r="Q2485" s="30" t="s">
        <v>112</v>
      </c>
      <c r="R2485" s="30" t="s">
        <v>185</v>
      </c>
      <c r="S2485" s="81">
        <f>HLOOKUP(L2485,データについて!$J$6:$M$18,13,FALSE)</f>
        <v>2</v>
      </c>
      <c r="T2485" s="81">
        <f>HLOOKUP(M2485,データについて!$J$7:$M$18,12,FALSE)</f>
        <v>1</v>
      </c>
      <c r="U2485" s="81">
        <f>HLOOKUP(N2485,データについて!$J$8:$M$18,11,FALSE)</f>
        <v>1</v>
      </c>
      <c r="V2485" s="81">
        <f>HLOOKUP(O2485,データについて!$J$9:$M$18,10,FALSE)</f>
        <v>1</v>
      </c>
      <c r="W2485" s="81">
        <f>HLOOKUP(P2485,データについて!$J$10:$M$18,9,FALSE)</f>
        <v>1</v>
      </c>
      <c r="X2485" s="81">
        <f>HLOOKUP(Q2485,データについて!$J$11:$M$18,8,FALSE)</f>
        <v>1</v>
      </c>
      <c r="Y2485" s="81">
        <f>HLOOKUP(R2485,データについて!$J$12:$M$18,7,FALSE)</f>
        <v>2</v>
      </c>
      <c r="Z2485" s="81">
        <f>HLOOKUP(I2485,データについて!$J$3:$M$18,16,FALSE)</f>
        <v>2</v>
      </c>
      <c r="AA2485" s="81" t="str">
        <f>IFERROR(HLOOKUP(J2485,データについて!$J$4:$AH$19,16,FALSE),"")</f>
        <v/>
      </c>
      <c r="AB2485" s="81">
        <f>IFERROR(HLOOKUP(K2485,データについて!$J$5:$AH$20,14,FALSE),"")</f>
        <v>0</v>
      </c>
      <c r="AC2485" s="81">
        <f>IF(X2485=1,HLOOKUP(R2485,データについて!$J$12:$M$18,7,FALSE),"*")</f>
        <v>2</v>
      </c>
      <c r="AD2485" s="81" t="str">
        <f>IF(X2485=2,HLOOKUP(R2485,データについて!$J$12:$M$18,7,FALSE),"*")</f>
        <v>*</v>
      </c>
    </row>
    <row r="2486" spans="1:30">
      <c r="A2486" s="30">
        <v>2706</v>
      </c>
      <c r="B2486" s="30" t="s">
        <v>210</v>
      </c>
      <c r="C2486" s="30" t="s">
        <v>211</v>
      </c>
      <c r="D2486" s="30" t="s">
        <v>106</v>
      </c>
      <c r="E2486" s="30"/>
      <c r="F2486" s="30" t="s">
        <v>107</v>
      </c>
      <c r="G2486" s="30" t="s">
        <v>106</v>
      </c>
      <c r="H2486" s="30"/>
      <c r="I2486" s="30" t="s">
        <v>191</v>
      </c>
      <c r="J2486" s="30"/>
      <c r="K2486" s="30" t="s">
        <v>126</v>
      </c>
      <c r="L2486" s="30" t="s">
        <v>117</v>
      </c>
      <c r="M2486" s="30" t="s">
        <v>124</v>
      </c>
      <c r="N2486" s="30" t="s">
        <v>119</v>
      </c>
      <c r="O2486" s="30" t="s">
        <v>123</v>
      </c>
      <c r="P2486" s="30" t="s">
        <v>118</v>
      </c>
      <c r="Q2486" s="30" t="s">
        <v>112</v>
      </c>
      <c r="R2486" s="30" t="s">
        <v>183</v>
      </c>
      <c r="S2486" s="81">
        <f>HLOOKUP(L2486,データについて!$J$6:$M$18,13,FALSE)</f>
        <v>2</v>
      </c>
      <c r="T2486" s="81">
        <f>HLOOKUP(M2486,データについて!$J$7:$M$18,12,FALSE)</f>
        <v>3</v>
      </c>
      <c r="U2486" s="81">
        <f>HLOOKUP(N2486,データについて!$J$8:$M$18,11,FALSE)</f>
        <v>4</v>
      </c>
      <c r="V2486" s="81">
        <f>HLOOKUP(O2486,データについて!$J$9:$M$18,10,FALSE)</f>
        <v>4</v>
      </c>
      <c r="W2486" s="81">
        <f>HLOOKUP(P2486,データについて!$J$10:$M$18,9,FALSE)</f>
        <v>2</v>
      </c>
      <c r="X2486" s="81">
        <f>HLOOKUP(Q2486,データについて!$J$11:$M$18,8,FALSE)</f>
        <v>1</v>
      </c>
      <c r="Y2486" s="81">
        <f>HLOOKUP(R2486,データについて!$J$12:$M$18,7,FALSE)</f>
        <v>1</v>
      </c>
      <c r="Z2486" s="81">
        <f>HLOOKUP(I2486,データについて!$J$3:$M$18,16,FALSE)</f>
        <v>2</v>
      </c>
      <c r="AA2486" s="81" t="str">
        <f>IFERROR(HLOOKUP(J2486,データについて!$J$4:$AH$19,16,FALSE),"")</f>
        <v/>
      </c>
      <c r="AB2486" s="81">
        <f>IFERROR(HLOOKUP(K2486,データについて!$J$5:$AH$20,14,FALSE),"")</f>
        <v>0</v>
      </c>
      <c r="AC2486" s="81">
        <f>IF(X2486=1,HLOOKUP(R2486,データについて!$J$12:$M$18,7,FALSE),"*")</f>
        <v>1</v>
      </c>
      <c r="AD2486" s="81" t="str">
        <f>IF(X2486=2,HLOOKUP(R2486,データについて!$J$12:$M$18,7,FALSE),"*")</f>
        <v>*</v>
      </c>
    </row>
    <row r="2487" spans="1:30">
      <c r="A2487" s="30">
        <v>2705</v>
      </c>
      <c r="B2487" s="30" t="s">
        <v>212</v>
      </c>
      <c r="C2487" s="30" t="s">
        <v>213</v>
      </c>
      <c r="D2487" s="30" t="s">
        <v>106</v>
      </c>
      <c r="E2487" s="30"/>
      <c r="F2487" s="30" t="s">
        <v>107</v>
      </c>
      <c r="G2487" s="30" t="s">
        <v>106</v>
      </c>
      <c r="H2487" s="30"/>
      <c r="I2487" s="30" t="s">
        <v>191</v>
      </c>
      <c r="J2487" s="30"/>
      <c r="K2487" s="30" t="s">
        <v>129</v>
      </c>
      <c r="L2487" s="30" t="s">
        <v>108</v>
      </c>
      <c r="M2487" s="30" t="s">
        <v>124</v>
      </c>
      <c r="N2487" s="30" t="s">
        <v>110</v>
      </c>
      <c r="O2487" s="30" t="s">
        <v>115</v>
      </c>
      <c r="P2487" s="30" t="s">
        <v>118</v>
      </c>
      <c r="Q2487" s="30" t="s">
        <v>118</v>
      </c>
      <c r="R2487" s="30" t="s">
        <v>187</v>
      </c>
      <c r="S2487" s="81">
        <f>HLOOKUP(L2487,データについて!$J$6:$M$18,13,FALSE)</f>
        <v>1</v>
      </c>
      <c r="T2487" s="81">
        <f>HLOOKUP(M2487,データについて!$J$7:$M$18,12,FALSE)</f>
        <v>3</v>
      </c>
      <c r="U2487" s="81">
        <f>HLOOKUP(N2487,データについて!$J$8:$M$18,11,FALSE)</f>
        <v>2</v>
      </c>
      <c r="V2487" s="81">
        <f>HLOOKUP(O2487,データについて!$J$9:$M$18,10,FALSE)</f>
        <v>1</v>
      </c>
      <c r="W2487" s="81">
        <f>HLOOKUP(P2487,データについて!$J$10:$M$18,9,FALSE)</f>
        <v>2</v>
      </c>
      <c r="X2487" s="81">
        <f>HLOOKUP(Q2487,データについて!$J$11:$M$18,8,FALSE)</f>
        <v>2</v>
      </c>
      <c r="Y2487" s="81">
        <f>HLOOKUP(R2487,データについて!$J$12:$M$18,7,FALSE)</f>
        <v>3</v>
      </c>
      <c r="Z2487" s="81">
        <f>HLOOKUP(I2487,データについて!$J$3:$M$18,16,FALSE)</f>
        <v>2</v>
      </c>
      <c r="AA2487" s="81" t="str">
        <f>IFERROR(HLOOKUP(J2487,データについて!$J$4:$AH$19,16,FALSE),"")</f>
        <v/>
      </c>
      <c r="AB2487" s="81">
        <f>IFERROR(HLOOKUP(K2487,データについて!$J$5:$AH$20,14,FALSE),"")</f>
        <v>0</v>
      </c>
      <c r="AC2487" s="81" t="str">
        <f>IF(X2487=1,HLOOKUP(R2487,データについて!$J$12:$M$18,7,FALSE),"*")</f>
        <v>*</v>
      </c>
      <c r="AD2487" s="81">
        <f>IF(X2487=2,HLOOKUP(R2487,データについて!$J$12:$M$18,7,FALSE),"*")</f>
        <v>3</v>
      </c>
    </row>
    <row r="2488" spans="1:30">
      <c r="A2488" s="30">
        <v>2704</v>
      </c>
      <c r="B2488" s="30" t="s">
        <v>214</v>
      </c>
      <c r="C2488" s="30" t="s">
        <v>215</v>
      </c>
      <c r="D2488" s="30" t="s">
        <v>106</v>
      </c>
      <c r="E2488" s="30"/>
      <c r="F2488" s="30" t="s">
        <v>107</v>
      </c>
      <c r="G2488" s="30" t="s">
        <v>106</v>
      </c>
      <c r="H2488" s="30"/>
      <c r="I2488" s="30" t="s">
        <v>191</v>
      </c>
      <c r="J2488" s="30"/>
      <c r="K2488" s="30" t="s">
        <v>129</v>
      </c>
      <c r="L2488" s="30" t="s">
        <v>117</v>
      </c>
      <c r="M2488" s="30" t="s">
        <v>109</v>
      </c>
      <c r="N2488" s="30" t="s">
        <v>110</v>
      </c>
      <c r="O2488" s="30" t="s">
        <v>115</v>
      </c>
      <c r="P2488" s="30" t="s">
        <v>112</v>
      </c>
      <c r="Q2488" s="30" t="s">
        <v>112</v>
      </c>
      <c r="R2488" s="30" t="s">
        <v>185</v>
      </c>
      <c r="S2488" s="81">
        <f>HLOOKUP(L2488,データについて!$J$6:$M$18,13,FALSE)</f>
        <v>2</v>
      </c>
      <c r="T2488" s="81">
        <f>HLOOKUP(M2488,データについて!$J$7:$M$18,12,FALSE)</f>
        <v>2</v>
      </c>
      <c r="U2488" s="81">
        <f>HLOOKUP(N2488,データについて!$J$8:$M$18,11,FALSE)</f>
        <v>2</v>
      </c>
      <c r="V2488" s="81">
        <f>HLOOKUP(O2488,データについて!$J$9:$M$18,10,FALSE)</f>
        <v>1</v>
      </c>
      <c r="W2488" s="81">
        <f>HLOOKUP(P2488,データについて!$J$10:$M$18,9,FALSE)</f>
        <v>1</v>
      </c>
      <c r="X2488" s="81">
        <f>HLOOKUP(Q2488,データについて!$J$11:$M$18,8,FALSE)</f>
        <v>1</v>
      </c>
      <c r="Y2488" s="81">
        <f>HLOOKUP(R2488,データについて!$J$12:$M$18,7,FALSE)</f>
        <v>2</v>
      </c>
      <c r="Z2488" s="81">
        <f>HLOOKUP(I2488,データについて!$J$3:$M$18,16,FALSE)</f>
        <v>2</v>
      </c>
      <c r="AA2488" s="81" t="str">
        <f>IFERROR(HLOOKUP(J2488,データについて!$J$4:$AH$19,16,FALSE),"")</f>
        <v/>
      </c>
      <c r="AB2488" s="81">
        <f>IFERROR(HLOOKUP(K2488,データについて!$J$5:$AH$20,14,FALSE),"")</f>
        <v>0</v>
      </c>
      <c r="AC2488" s="81">
        <f>IF(X2488=1,HLOOKUP(R2488,データについて!$J$12:$M$18,7,FALSE),"*")</f>
        <v>2</v>
      </c>
      <c r="AD2488" s="81" t="str">
        <f>IF(X2488=2,HLOOKUP(R2488,データについて!$J$12:$M$18,7,FALSE),"*")</f>
        <v>*</v>
      </c>
    </row>
    <row r="2489" spans="1:30">
      <c r="A2489" s="30">
        <v>2703</v>
      </c>
      <c r="B2489" s="30" t="s">
        <v>216</v>
      </c>
      <c r="C2489" s="30" t="s">
        <v>217</v>
      </c>
      <c r="D2489" s="30" t="s">
        <v>106</v>
      </c>
      <c r="E2489" s="30"/>
      <c r="F2489" s="30" t="s">
        <v>107</v>
      </c>
      <c r="G2489" s="30" t="s">
        <v>106</v>
      </c>
      <c r="H2489" s="30"/>
      <c r="I2489" s="30" t="s">
        <v>191</v>
      </c>
      <c r="J2489" s="30"/>
      <c r="K2489" s="30" t="s">
        <v>129</v>
      </c>
      <c r="L2489" s="30" t="s">
        <v>108</v>
      </c>
      <c r="M2489" s="30" t="s">
        <v>124</v>
      </c>
      <c r="N2489" s="30" t="s">
        <v>122</v>
      </c>
      <c r="O2489" s="30" t="s">
        <v>115</v>
      </c>
      <c r="P2489" s="30" t="s">
        <v>112</v>
      </c>
      <c r="Q2489" s="30" t="s">
        <v>118</v>
      </c>
      <c r="R2489" s="30" t="s">
        <v>189</v>
      </c>
      <c r="S2489" s="81">
        <f>HLOOKUP(L2489,データについて!$J$6:$M$18,13,FALSE)</f>
        <v>1</v>
      </c>
      <c r="T2489" s="81">
        <f>HLOOKUP(M2489,データについて!$J$7:$M$18,12,FALSE)</f>
        <v>3</v>
      </c>
      <c r="U2489" s="81">
        <f>HLOOKUP(N2489,データについて!$J$8:$M$18,11,FALSE)</f>
        <v>3</v>
      </c>
      <c r="V2489" s="81">
        <f>HLOOKUP(O2489,データについて!$J$9:$M$18,10,FALSE)</f>
        <v>1</v>
      </c>
      <c r="W2489" s="81">
        <f>HLOOKUP(P2489,データについて!$J$10:$M$18,9,FALSE)</f>
        <v>1</v>
      </c>
      <c r="X2489" s="81">
        <f>HLOOKUP(Q2489,データについて!$J$11:$M$18,8,FALSE)</f>
        <v>2</v>
      </c>
      <c r="Y2489" s="81">
        <f>HLOOKUP(R2489,データについて!$J$12:$M$18,7,FALSE)</f>
        <v>4</v>
      </c>
      <c r="Z2489" s="81">
        <f>HLOOKUP(I2489,データについて!$J$3:$M$18,16,FALSE)</f>
        <v>2</v>
      </c>
      <c r="AA2489" s="81" t="str">
        <f>IFERROR(HLOOKUP(J2489,データについて!$J$4:$AH$19,16,FALSE),"")</f>
        <v/>
      </c>
      <c r="AB2489" s="81">
        <f>IFERROR(HLOOKUP(K2489,データについて!$J$5:$AH$20,14,FALSE),"")</f>
        <v>0</v>
      </c>
      <c r="AC2489" s="81" t="str">
        <f>IF(X2489=1,HLOOKUP(R2489,データについて!$J$12:$M$18,7,FALSE),"*")</f>
        <v>*</v>
      </c>
      <c r="AD2489" s="81">
        <f>IF(X2489=2,HLOOKUP(R2489,データについて!$J$12:$M$18,7,FALSE),"*")</f>
        <v>4</v>
      </c>
    </row>
    <row r="2490" spans="1:30">
      <c r="A2490" s="30">
        <v>2702</v>
      </c>
      <c r="B2490" s="30" t="s">
        <v>218</v>
      </c>
      <c r="C2490" s="30" t="s">
        <v>219</v>
      </c>
      <c r="D2490" s="30" t="s">
        <v>106</v>
      </c>
      <c r="E2490" s="30"/>
      <c r="F2490" s="30" t="s">
        <v>107</v>
      </c>
      <c r="G2490" s="30" t="s">
        <v>106</v>
      </c>
      <c r="H2490" s="30"/>
      <c r="I2490" s="30" t="s">
        <v>191</v>
      </c>
      <c r="J2490" s="30"/>
      <c r="K2490" s="30" t="s">
        <v>129</v>
      </c>
      <c r="L2490" s="30" t="s">
        <v>117</v>
      </c>
      <c r="M2490" s="30" t="s">
        <v>124</v>
      </c>
      <c r="N2490" s="30" t="s">
        <v>110</v>
      </c>
      <c r="O2490" s="30" t="s">
        <v>115</v>
      </c>
      <c r="P2490" s="30" t="s">
        <v>118</v>
      </c>
      <c r="Q2490" s="30" t="s">
        <v>118</v>
      </c>
      <c r="R2490" s="30" t="s">
        <v>187</v>
      </c>
      <c r="S2490" s="81">
        <f>HLOOKUP(L2490,データについて!$J$6:$M$18,13,FALSE)</f>
        <v>2</v>
      </c>
      <c r="T2490" s="81">
        <f>HLOOKUP(M2490,データについて!$J$7:$M$18,12,FALSE)</f>
        <v>3</v>
      </c>
      <c r="U2490" s="81">
        <f>HLOOKUP(N2490,データについて!$J$8:$M$18,11,FALSE)</f>
        <v>2</v>
      </c>
      <c r="V2490" s="81">
        <f>HLOOKUP(O2490,データについて!$J$9:$M$18,10,FALSE)</f>
        <v>1</v>
      </c>
      <c r="W2490" s="81">
        <f>HLOOKUP(P2490,データについて!$J$10:$M$18,9,FALSE)</f>
        <v>2</v>
      </c>
      <c r="X2490" s="81">
        <f>HLOOKUP(Q2490,データについて!$J$11:$M$18,8,FALSE)</f>
        <v>2</v>
      </c>
      <c r="Y2490" s="81">
        <f>HLOOKUP(R2490,データについて!$J$12:$M$18,7,FALSE)</f>
        <v>3</v>
      </c>
      <c r="Z2490" s="81">
        <f>HLOOKUP(I2490,データについて!$J$3:$M$18,16,FALSE)</f>
        <v>2</v>
      </c>
      <c r="AA2490" s="81" t="str">
        <f>IFERROR(HLOOKUP(J2490,データについて!$J$4:$AH$19,16,FALSE),"")</f>
        <v/>
      </c>
      <c r="AB2490" s="81">
        <f>IFERROR(HLOOKUP(K2490,データについて!$J$5:$AH$20,14,FALSE),"")</f>
        <v>0</v>
      </c>
      <c r="AC2490" s="81" t="str">
        <f>IF(X2490=1,HLOOKUP(R2490,データについて!$J$12:$M$18,7,FALSE),"*")</f>
        <v>*</v>
      </c>
      <c r="AD2490" s="81">
        <f>IF(X2490=2,HLOOKUP(R2490,データについて!$J$12:$M$18,7,FALSE),"*")</f>
        <v>3</v>
      </c>
    </row>
    <row r="2491" spans="1:30">
      <c r="A2491" s="30">
        <v>2701</v>
      </c>
      <c r="B2491" s="30" t="s">
        <v>220</v>
      </c>
      <c r="C2491" s="30" t="s">
        <v>221</v>
      </c>
      <c r="D2491" s="30" t="s">
        <v>106</v>
      </c>
      <c r="E2491" s="30"/>
      <c r="F2491" s="30" t="s">
        <v>107</v>
      </c>
      <c r="G2491" s="30" t="s">
        <v>106</v>
      </c>
      <c r="H2491" s="30"/>
      <c r="I2491" s="30" t="s">
        <v>191</v>
      </c>
      <c r="J2491" s="30"/>
      <c r="K2491" s="30" t="s">
        <v>129</v>
      </c>
      <c r="L2491" s="30" t="s">
        <v>117</v>
      </c>
      <c r="M2491" s="30" t="s">
        <v>109</v>
      </c>
      <c r="N2491" s="30" t="s">
        <v>110</v>
      </c>
      <c r="O2491" s="30" t="s">
        <v>111</v>
      </c>
      <c r="P2491" s="30" t="s">
        <v>112</v>
      </c>
      <c r="Q2491" s="30" t="s">
        <v>112</v>
      </c>
      <c r="R2491" s="30" t="s">
        <v>187</v>
      </c>
      <c r="S2491" s="81">
        <f>HLOOKUP(L2491,データについて!$J$6:$M$18,13,FALSE)</f>
        <v>2</v>
      </c>
      <c r="T2491" s="81">
        <f>HLOOKUP(M2491,データについて!$J$7:$M$18,12,FALSE)</f>
        <v>2</v>
      </c>
      <c r="U2491" s="81">
        <f>HLOOKUP(N2491,データについて!$J$8:$M$18,11,FALSE)</f>
        <v>2</v>
      </c>
      <c r="V2491" s="81">
        <f>HLOOKUP(O2491,データについて!$J$9:$M$18,10,FALSE)</f>
        <v>3</v>
      </c>
      <c r="W2491" s="81">
        <f>HLOOKUP(P2491,データについて!$J$10:$M$18,9,FALSE)</f>
        <v>1</v>
      </c>
      <c r="X2491" s="81">
        <f>HLOOKUP(Q2491,データについて!$J$11:$M$18,8,FALSE)</f>
        <v>1</v>
      </c>
      <c r="Y2491" s="81">
        <f>HLOOKUP(R2491,データについて!$J$12:$M$18,7,FALSE)</f>
        <v>3</v>
      </c>
      <c r="Z2491" s="81">
        <f>HLOOKUP(I2491,データについて!$J$3:$M$18,16,FALSE)</f>
        <v>2</v>
      </c>
      <c r="AA2491" s="81" t="str">
        <f>IFERROR(HLOOKUP(J2491,データについて!$J$4:$AH$19,16,FALSE),"")</f>
        <v/>
      </c>
      <c r="AB2491" s="81">
        <f>IFERROR(HLOOKUP(K2491,データについて!$J$5:$AH$20,14,FALSE),"")</f>
        <v>0</v>
      </c>
      <c r="AC2491" s="81">
        <f>IF(X2491=1,HLOOKUP(R2491,データについて!$J$12:$M$18,7,FALSE),"*")</f>
        <v>3</v>
      </c>
      <c r="AD2491" s="81" t="str">
        <f>IF(X2491=2,HLOOKUP(R2491,データについて!$J$12:$M$18,7,FALSE),"*")</f>
        <v>*</v>
      </c>
    </row>
    <row r="2492" spans="1:30">
      <c r="A2492" s="30">
        <v>2700</v>
      </c>
      <c r="B2492" s="30" t="s">
        <v>222</v>
      </c>
      <c r="C2492" s="30" t="s">
        <v>223</v>
      </c>
      <c r="D2492" s="30" t="s">
        <v>106</v>
      </c>
      <c r="E2492" s="30"/>
      <c r="F2492" s="30" t="s">
        <v>107</v>
      </c>
      <c r="G2492" s="30" t="s">
        <v>106</v>
      </c>
      <c r="H2492" s="30"/>
      <c r="I2492" s="30" t="s">
        <v>191</v>
      </c>
      <c r="J2492" s="30"/>
      <c r="K2492" s="30" t="s">
        <v>129</v>
      </c>
      <c r="L2492" s="30" t="s">
        <v>108</v>
      </c>
      <c r="M2492" s="30" t="s">
        <v>109</v>
      </c>
      <c r="N2492" s="30" t="s">
        <v>114</v>
      </c>
      <c r="O2492" s="30" t="s">
        <v>115</v>
      </c>
      <c r="P2492" s="30" t="s">
        <v>118</v>
      </c>
      <c r="Q2492" s="30" t="s">
        <v>118</v>
      </c>
      <c r="R2492" s="30" t="s">
        <v>187</v>
      </c>
      <c r="S2492" s="81">
        <f>HLOOKUP(L2492,データについて!$J$6:$M$18,13,FALSE)</f>
        <v>1</v>
      </c>
      <c r="T2492" s="81">
        <f>HLOOKUP(M2492,データについて!$J$7:$M$18,12,FALSE)</f>
        <v>2</v>
      </c>
      <c r="U2492" s="81">
        <f>HLOOKUP(N2492,データについて!$J$8:$M$18,11,FALSE)</f>
        <v>1</v>
      </c>
      <c r="V2492" s="81">
        <f>HLOOKUP(O2492,データについて!$J$9:$M$18,10,FALSE)</f>
        <v>1</v>
      </c>
      <c r="W2492" s="81">
        <f>HLOOKUP(P2492,データについて!$J$10:$M$18,9,FALSE)</f>
        <v>2</v>
      </c>
      <c r="X2492" s="81">
        <f>HLOOKUP(Q2492,データについて!$J$11:$M$18,8,FALSE)</f>
        <v>2</v>
      </c>
      <c r="Y2492" s="81">
        <f>HLOOKUP(R2492,データについて!$J$12:$M$18,7,FALSE)</f>
        <v>3</v>
      </c>
      <c r="Z2492" s="81">
        <f>HLOOKUP(I2492,データについて!$J$3:$M$18,16,FALSE)</f>
        <v>2</v>
      </c>
      <c r="AA2492" s="81" t="str">
        <f>IFERROR(HLOOKUP(J2492,データについて!$J$4:$AH$19,16,FALSE),"")</f>
        <v/>
      </c>
      <c r="AB2492" s="81">
        <f>IFERROR(HLOOKUP(K2492,データについて!$J$5:$AH$20,14,FALSE),"")</f>
        <v>0</v>
      </c>
      <c r="AC2492" s="81" t="str">
        <f>IF(X2492=1,HLOOKUP(R2492,データについて!$J$12:$M$18,7,FALSE),"*")</f>
        <v>*</v>
      </c>
      <c r="AD2492" s="81">
        <f>IF(X2492=2,HLOOKUP(R2492,データについて!$J$12:$M$18,7,FALSE),"*")</f>
        <v>3</v>
      </c>
    </row>
    <row r="2493" spans="1:30">
      <c r="A2493" s="30">
        <v>2699</v>
      </c>
      <c r="B2493" s="30" t="s">
        <v>224</v>
      </c>
      <c r="C2493" s="30" t="s">
        <v>225</v>
      </c>
      <c r="D2493" s="30" t="s">
        <v>106</v>
      </c>
      <c r="E2493" s="30"/>
      <c r="F2493" s="30" t="s">
        <v>107</v>
      </c>
      <c r="G2493" s="30" t="s">
        <v>106</v>
      </c>
      <c r="H2493" s="30"/>
      <c r="I2493" s="30" t="s">
        <v>191</v>
      </c>
      <c r="J2493" s="30"/>
      <c r="K2493" s="30" t="s">
        <v>129</v>
      </c>
      <c r="L2493" s="30" t="s">
        <v>120</v>
      </c>
      <c r="M2493" s="30" t="s">
        <v>109</v>
      </c>
      <c r="N2493" s="30" t="s">
        <v>122</v>
      </c>
      <c r="O2493" s="30" t="s">
        <v>123</v>
      </c>
      <c r="P2493" s="30" t="s">
        <v>118</v>
      </c>
      <c r="Q2493" s="30" t="s">
        <v>112</v>
      </c>
      <c r="R2493" s="30" t="s">
        <v>189</v>
      </c>
      <c r="S2493" s="81">
        <f>HLOOKUP(L2493,データについて!$J$6:$M$18,13,FALSE)</f>
        <v>3</v>
      </c>
      <c r="T2493" s="81">
        <f>HLOOKUP(M2493,データについて!$J$7:$M$18,12,FALSE)</f>
        <v>2</v>
      </c>
      <c r="U2493" s="81">
        <f>HLOOKUP(N2493,データについて!$J$8:$M$18,11,FALSE)</f>
        <v>3</v>
      </c>
      <c r="V2493" s="81">
        <f>HLOOKUP(O2493,データについて!$J$9:$M$18,10,FALSE)</f>
        <v>4</v>
      </c>
      <c r="W2493" s="81">
        <f>HLOOKUP(P2493,データについて!$J$10:$M$18,9,FALSE)</f>
        <v>2</v>
      </c>
      <c r="X2493" s="81">
        <f>HLOOKUP(Q2493,データについて!$J$11:$M$18,8,FALSE)</f>
        <v>1</v>
      </c>
      <c r="Y2493" s="81">
        <f>HLOOKUP(R2493,データについて!$J$12:$M$18,7,FALSE)</f>
        <v>4</v>
      </c>
      <c r="Z2493" s="81">
        <f>HLOOKUP(I2493,データについて!$J$3:$M$18,16,FALSE)</f>
        <v>2</v>
      </c>
      <c r="AA2493" s="81" t="str">
        <f>IFERROR(HLOOKUP(J2493,データについて!$J$4:$AH$19,16,FALSE),"")</f>
        <v/>
      </c>
      <c r="AB2493" s="81">
        <f>IFERROR(HLOOKUP(K2493,データについて!$J$5:$AH$20,14,FALSE),"")</f>
        <v>0</v>
      </c>
      <c r="AC2493" s="81">
        <f>IF(X2493=1,HLOOKUP(R2493,データについて!$J$12:$M$18,7,FALSE),"*")</f>
        <v>4</v>
      </c>
      <c r="AD2493" s="81" t="str">
        <f>IF(X2493=2,HLOOKUP(R2493,データについて!$J$12:$M$18,7,FALSE),"*")</f>
        <v>*</v>
      </c>
    </row>
    <row r="2494" spans="1:30">
      <c r="A2494" s="30">
        <v>2698</v>
      </c>
      <c r="B2494" s="30" t="s">
        <v>226</v>
      </c>
      <c r="C2494" s="30" t="s">
        <v>227</v>
      </c>
      <c r="D2494" s="30" t="s">
        <v>106</v>
      </c>
      <c r="E2494" s="30"/>
      <c r="F2494" s="30" t="s">
        <v>107</v>
      </c>
      <c r="G2494" s="30" t="s">
        <v>106</v>
      </c>
      <c r="H2494" s="30"/>
      <c r="I2494" s="30" t="s">
        <v>191</v>
      </c>
      <c r="J2494" s="30"/>
      <c r="K2494" s="30" t="s">
        <v>129</v>
      </c>
      <c r="L2494" s="30" t="s">
        <v>117</v>
      </c>
      <c r="M2494" s="30" t="s">
        <v>124</v>
      </c>
      <c r="N2494" s="30" t="s">
        <v>122</v>
      </c>
      <c r="O2494" s="30" t="s">
        <v>111</v>
      </c>
      <c r="P2494" s="30" t="s">
        <v>112</v>
      </c>
      <c r="Q2494" s="30" t="s">
        <v>118</v>
      </c>
      <c r="R2494" s="30" t="s">
        <v>189</v>
      </c>
      <c r="S2494" s="81">
        <f>HLOOKUP(L2494,データについて!$J$6:$M$18,13,FALSE)</f>
        <v>2</v>
      </c>
      <c r="T2494" s="81">
        <f>HLOOKUP(M2494,データについて!$J$7:$M$18,12,FALSE)</f>
        <v>3</v>
      </c>
      <c r="U2494" s="81">
        <f>HLOOKUP(N2494,データについて!$J$8:$M$18,11,FALSE)</f>
        <v>3</v>
      </c>
      <c r="V2494" s="81">
        <f>HLOOKUP(O2494,データについて!$J$9:$M$18,10,FALSE)</f>
        <v>3</v>
      </c>
      <c r="W2494" s="81">
        <f>HLOOKUP(P2494,データについて!$J$10:$M$18,9,FALSE)</f>
        <v>1</v>
      </c>
      <c r="X2494" s="81">
        <f>HLOOKUP(Q2494,データについて!$J$11:$M$18,8,FALSE)</f>
        <v>2</v>
      </c>
      <c r="Y2494" s="81">
        <f>HLOOKUP(R2494,データについて!$J$12:$M$18,7,FALSE)</f>
        <v>4</v>
      </c>
      <c r="Z2494" s="81">
        <f>HLOOKUP(I2494,データについて!$J$3:$M$18,16,FALSE)</f>
        <v>2</v>
      </c>
      <c r="AA2494" s="81" t="str">
        <f>IFERROR(HLOOKUP(J2494,データについて!$J$4:$AH$19,16,FALSE),"")</f>
        <v/>
      </c>
      <c r="AB2494" s="81">
        <f>IFERROR(HLOOKUP(K2494,データについて!$J$5:$AH$20,14,FALSE),"")</f>
        <v>0</v>
      </c>
      <c r="AC2494" s="81" t="str">
        <f>IF(X2494=1,HLOOKUP(R2494,データについて!$J$12:$M$18,7,FALSE),"*")</f>
        <v>*</v>
      </c>
      <c r="AD2494" s="81">
        <f>IF(X2494=2,HLOOKUP(R2494,データについて!$J$12:$M$18,7,FALSE),"*")</f>
        <v>4</v>
      </c>
    </row>
    <row r="2495" spans="1:30">
      <c r="A2495" s="30">
        <v>2697</v>
      </c>
      <c r="B2495" s="30" t="s">
        <v>228</v>
      </c>
      <c r="C2495" s="30" t="s">
        <v>229</v>
      </c>
      <c r="D2495" s="30" t="s">
        <v>106</v>
      </c>
      <c r="E2495" s="30"/>
      <c r="F2495" s="30" t="s">
        <v>107</v>
      </c>
      <c r="G2495" s="30" t="s">
        <v>106</v>
      </c>
      <c r="H2495" s="30"/>
      <c r="I2495" s="30" t="s">
        <v>191</v>
      </c>
      <c r="J2495" s="30"/>
      <c r="K2495" s="30" t="s">
        <v>129</v>
      </c>
      <c r="L2495" s="30" t="s">
        <v>108</v>
      </c>
      <c r="M2495" s="30" t="s">
        <v>109</v>
      </c>
      <c r="N2495" s="30" t="s">
        <v>114</v>
      </c>
      <c r="O2495" s="30" t="s">
        <v>115</v>
      </c>
      <c r="P2495" s="30" t="s">
        <v>118</v>
      </c>
      <c r="Q2495" s="30" t="s">
        <v>112</v>
      </c>
      <c r="R2495" s="30" t="s">
        <v>185</v>
      </c>
      <c r="S2495" s="81">
        <f>HLOOKUP(L2495,データについて!$J$6:$M$18,13,FALSE)</f>
        <v>1</v>
      </c>
      <c r="T2495" s="81">
        <f>HLOOKUP(M2495,データについて!$J$7:$M$18,12,FALSE)</f>
        <v>2</v>
      </c>
      <c r="U2495" s="81">
        <f>HLOOKUP(N2495,データについて!$J$8:$M$18,11,FALSE)</f>
        <v>1</v>
      </c>
      <c r="V2495" s="81">
        <f>HLOOKUP(O2495,データについて!$J$9:$M$18,10,FALSE)</f>
        <v>1</v>
      </c>
      <c r="W2495" s="81">
        <f>HLOOKUP(P2495,データについて!$J$10:$M$18,9,FALSE)</f>
        <v>2</v>
      </c>
      <c r="X2495" s="81">
        <f>HLOOKUP(Q2495,データについて!$J$11:$M$18,8,FALSE)</f>
        <v>1</v>
      </c>
      <c r="Y2495" s="81">
        <f>HLOOKUP(R2495,データについて!$J$12:$M$18,7,FALSE)</f>
        <v>2</v>
      </c>
      <c r="Z2495" s="81">
        <f>HLOOKUP(I2495,データについて!$J$3:$M$18,16,FALSE)</f>
        <v>2</v>
      </c>
      <c r="AA2495" s="81" t="str">
        <f>IFERROR(HLOOKUP(J2495,データについて!$J$4:$AH$19,16,FALSE),"")</f>
        <v/>
      </c>
      <c r="AB2495" s="81">
        <f>IFERROR(HLOOKUP(K2495,データについて!$J$5:$AH$20,14,FALSE),"")</f>
        <v>0</v>
      </c>
      <c r="AC2495" s="81">
        <f>IF(X2495=1,HLOOKUP(R2495,データについて!$J$12:$M$18,7,FALSE),"*")</f>
        <v>2</v>
      </c>
      <c r="AD2495" s="81" t="str">
        <f>IF(X2495=2,HLOOKUP(R2495,データについて!$J$12:$M$18,7,FALSE),"*")</f>
        <v>*</v>
      </c>
    </row>
    <row r="2496" spans="1:30">
      <c r="A2496" s="30">
        <v>2696</v>
      </c>
      <c r="B2496" s="30" t="s">
        <v>230</v>
      </c>
      <c r="C2496" s="30" t="s">
        <v>231</v>
      </c>
      <c r="D2496" s="30" t="s">
        <v>106</v>
      </c>
      <c r="E2496" s="30"/>
      <c r="F2496" s="30" t="s">
        <v>107</v>
      </c>
      <c r="G2496" s="30" t="s">
        <v>106</v>
      </c>
      <c r="H2496" s="30"/>
      <c r="I2496" s="30" t="s">
        <v>191</v>
      </c>
      <c r="J2496" s="30"/>
      <c r="K2496" s="30" t="s">
        <v>129</v>
      </c>
      <c r="L2496" s="30" t="s">
        <v>117</v>
      </c>
      <c r="M2496" s="30" t="s">
        <v>113</v>
      </c>
      <c r="N2496" s="30" t="s">
        <v>110</v>
      </c>
      <c r="O2496" s="30" t="s">
        <v>115</v>
      </c>
      <c r="P2496" s="30" t="s">
        <v>118</v>
      </c>
      <c r="Q2496" s="30" t="s">
        <v>112</v>
      </c>
      <c r="R2496" s="30" t="s">
        <v>185</v>
      </c>
      <c r="S2496" s="81">
        <f>HLOOKUP(L2496,データについて!$J$6:$M$18,13,FALSE)</f>
        <v>2</v>
      </c>
      <c r="T2496" s="81">
        <f>HLOOKUP(M2496,データについて!$J$7:$M$18,12,FALSE)</f>
        <v>1</v>
      </c>
      <c r="U2496" s="81">
        <f>HLOOKUP(N2496,データについて!$J$8:$M$18,11,FALSE)</f>
        <v>2</v>
      </c>
      <c r="V2496" s="81">
        <f>HLOOKUP(O2496,データについて!$J$9:$M$18,10,FALSE)</f>
        <v>1</v>
      </c>
      <c r="W2496" s="81">
        <f>HLOOKUP(P2496,データについて!$J$10:$M$18,9,FALSE)</f>
        <v>2</v>
      </c>
      <c r="X2496" s="81">
        <f>HLOOKUP(Q2496,データについて!$J$11:$M$18,8,FALSE)</f>
        <v>1</v>
      </c>
      <c r="Y2496" s="81">
        <f>HLOOKUP(R2496,データについて!$J$12:$M$18,7,FALSE)</f>
        <v>2</v>
      </c>
      <c r="Z2496" s="81">
        <f>HLOOKUP(I2496,データについて!$J$3:$M$18,16,FALSE)</f>
        <v>2</v>
      </c>
      <c r="AA2496" s="81" t="str">
        <f>IFERROR(HLOOKUP(J2496,データについて!$J$4:$AH$19,16,FALSE),"")</f>
        <v/>
      </c>
      <c r="AB2496" s="81">
        <f>IFERROR(HLOOKUP(K2496,データについて!$J$5:$AH$20,14,FALSE),"")</f>
        <v>0</v>
      </c>
      <c r="AC2496" s="81">
        <f>IF(X2496=1,HLOOKUP(R2496,データについて!$J$12:$M$18,7,FALSE),"*")</f>
        <v>2</v>
      </c>
      <c r="AD2496" s="81" t="str">
        <f>IF(X2496=2,HLOOKUP(R2496,データについて!$J$12:$M$18,7,FALSE),"*")</f>
        <v>*</v>
      </c>
    </row>
    <row r="2497" spans="1:30">
      <c r="A2497" s="30">
        <v>2695</v>
      </c>
      <c r="B2497" s="30" t="s">
        <v>232</v>
      </c>
      <c r="C2497" s="30" t="s">
        <v>231</v>
      </c>
      <c r="D2497" s="30" t="s">
        <v>106</v>
      </c>
      <c r="E2497" s="30"/>
      <c r="F2497" s="30" t="s">
        <v>107</v>
      </c>
      <c r="G2497" s="30" t="s">
        <v>106</v>
      </c>
      <c r="H2497" s="30"/>
      <c r="I2497" s="30" t="s">
        <v>191</v>
      </c>
      <c r="J2497" s="30"/>
      <c r="K2497" s="30" t="s">
        <v>129</v>
      </c>
      <c r="L2497" s="30" t="s">
        <v>117</v>
      </c>
      <c r="M2497" s="30" t="s">
        <v>109</v>
      </c>
      <c r="N2497" s="30" t="s">
        <v>119</v>
      </c>
      <c r="O2497" s="30" t="s">
        <v>115</v>
      </c>
      <c r="P2497" s="30" t="s">
        <v>112</v>
      </c>
      <c r="Q2497" s="30" t="s">
        <v>112</v>
      </c>
      <c r="R2497" s="30" t="s">
        <v>183</v>
      </c>
      <c r="S2497" s="81">
        <f>HLOOKUP(L2497,データについて!$J$6:$M$18,13,FALSE)</f>
        <v>2</v>
      </c>
      <c r="T2497" s="81">
        <f>HLOOKUP(M2497,データについて!$J$7:$M$18,12,FALSE)</f>
        <v>2</v>
      </c>
      <c r="U2497" s="81">
        <f>HLOOKUP(N2497,データについて!$J$8:$M$18,11,FALSE)</f>
        <v>4</v>
      </c>
      <c r="V2497" s="81">
        <f>HLOOKUP(O2497,データについて!$J$9:$M$18,10,FALSE)</f>
        <v>1</v>
      </c>
      <c r="W2497" s="81">
        <f>HLOOKUP(P2497,データについて!$J$10:$M$18,9,FALSE)</f>
        <v>1</v>
      </c>
      <c r="X2497" s="81">
        <f>HLOOKUP(Q2497,データについて!$J$11:$M$18,8,FALSE)</f>
        <v>1</v>
      </c>
      <c r="Y2497" s="81">
        <f>HLOOKUP(R2497,データについて!$J$12:$M$18,7,FALSE)</f>
        <v>1</v>
      </c>
      <c r="Z2497" s="81">
        <f>HLOOKUP(I2497,データについて!$J$3:$M$18,16,FALSE)</f>
        <v>2</v>
      </c>
      <c r="AA2497" s="81" t="str">
        <f>IFERROR(HLOOKUP(J2497,データについて!$J$4:$AH$19,16,FALSE),"")</f>
        <v/>
      </c>
      <c r="AB2497" s="81">
        <f>IFERROR(HLOOKUP(K2497,データについて!$J$5:$AH$20,14,FALSE),"")</f>
        <v>0</v>
      </c>
      <c r="AC2497" s="81">
        <f>IF(X2497=1,HLOOKUP(R2497,データについて!$J$12:$M$18,7,FALSE),"*")</f>
        <v>1</v>
      </c>
      <c r="AD2497" s="81" t="str">
        <f>IF(X2497=2,HLOOKUP(R2497,データについて!$J$12:$M$18,7,FALSE),"*")</f>
        <v>*</v>
      </c>
    </row>
    <row r="2498" spans="1:30">
      <c r="A2498" s="30">
        <v>2694</v>
      </c>
      <c r="B2498" s="30" t="s">
        <v>233</v>
      </c>
      <c r="C2498" s="30" t="s">
        <v>234</v>
      </c>
      <c r="D2498" s="30" t="s">
        <v>106</v>
      </c>
      <c r="E2498" s="30"/>
      <c r="F2498" s="30" t="s">
        <v>107</v>
      </c>
      <c r="G2498" s="30" t="s">
        <v>106</v>
      </c>
      <c r="H2498" s="30"/>
      <c r="I2498" s="30" t="s">
        <v>191</v>
      </c>
      <c r="J2498" s="30"/>
      <c r="K2498" s="30" t="s">
        <v>129</v>
      </c>
      <c r="L2498" s="30" t="s">
        <v>117</v>
      </c>
      <c r="M2498" s="30" t="s">
        <v>109</v>
      </c>
      <c r="N2498" s="30" t="s">
        <v>114</v>
      </c>
      <c r="O2498" s="30" t="s">
        <v>115</v>
      </c>
      <c r="P2498" s="30" t="s">
        <v>112</v>
      </c>
      <c r="Q2498" s="30" t="s">
        <v>112</v>
      </c>
      <c r="R2498" s="30" t="s">
        <v>189</v>
      </c>
      <c r="S2498" s="81">
        <f>HLOOKUP(L2498,データについて!$J$6:$M$18,13,FALSE)</f>
        <v>2</v>
      </c>
      <c r="T2498" s="81">
        <f>HLOOKUP(M2498,データについて!$J$7:$M$18,12,FALSE)</f>
        <v>2</v>
      </c>
      <c r="U2498" s="81">
        <f>HLOOKUP(N2498,データについて!$J$8:$M$18,11,FALSE)</f>
        <v>1</v>
      </c>
      <c r="V2498" s="81">
        <f>HLOOKUP(O2498,データについて!$J$9:$M$18,10,FALSE)</f>
        <v>1</v>
      </c>
      <c r="W2498" s="81">
        <f>HLOOKUP(P2498,データについて!$J$10:$M$18,9,FALSE)</f>
        <v>1</v>
      </c>
      <c r="X2498" s="81">
        <f>HLOOKUP(Q2498,データについて!$J$11:$M$18,8,FALSE)</f>
        <v>1</v>
      </c>
      <c r="Y2498" s="81">
        <f>HLOOKUP(R2498,データについて!$J$12:$M$18,7,FALSE)</f>
        <v>4</v>
      </c>
      <c r="Z2498" s="81">
        <f>HLOOKUP(I2498,データについて!$J$3:$M$18,16,FALSE)</f>
        <v>2</v>
      </c>
      <c r="AA2498" s="81" t="str">
        <f>IFERROR(HLOOKUP(J2498,データについて!$J$4:$AH$19,16,FALSE),"")</f>
        <v/>
      </c>
      <c r="AB2498" s="81">
        <f>IFERROR(HLOOKUP(K2498,データについて!$J$5:$AH$20,14,FALSE),"")</f>
        <v>0</v>
      </c>
      <c r="AC2498" s="81">
        <f>IF(X2498=1,HLOOKUP(R2498,データについて!$J$12:$M$18,7,FALSE),"*")</f>
        <v>4</v>
      </c>
      <c r="AD2498" s="81" t="str">
        <f>IF(X2498=2,HLOOKUP(R2498,データについて!$J$12:$M$18,7,FALSE),"*")</f>
        <v>*</v>
      </c>
    </row>
    <row r="2499" spans="1:30">
      <c r="A2499" s="30">
        <v>2693</v>
      </c>
      <c r="B2499" s="30" t="s">
        <v>235</v>
      </c>
      <c r="C2499" s="30" t="s">
        <v>236</v>
      </c>
      <c r="D2499" s="30" t="s">
        <v>106</v>
      </c>
      <c r="E2499" s="30"/>
      <c r="F2499" s="30" t="s">
        <v>107</v>
      </c>
      <c r="G2499" s="30" t="s">
        <v>106</v>
      </c>
      <c r="H2499" s="30"/>
      <c r="I2499" s="30" t="s">
        <v>191</v>
      </c>
      <c r="J2499" s="30"/>
      <c r="K2499" s="30" t="s">
        <v>129</v>
      </c>
      <c r="L2499" s="30" t="s">
        <v>108</v>
      </c>
      <c r="M2499" s="30" t="s">
        <v>113</v>
      </c>
      <c r="N2499" s="30" t="s">
        <v>119</v>
      </c>
      <c r="O2499" s="30" t="s">
        <v>115</v>
      </c>
      <c r="P2499" s="30" t="s">
        <v>118</v>
      </c>
      <c r="Q2499" s="30" t="s">
        <v>112</v>
      </c>
      <c r="R2499" s="30" t="s">
        <v>183</v>
      </c>
      <c r="S2499" s="81">
        <f>HLOOKUP(L2499,データについて!$J$6:$M$18,13,FALSE)</f>
        <v>1</v>
      </c>
      <c r="T2499" s="81">
        <f>HLOOKUP(M2499,データについて!$J$7:$M$18,12,FALSE)</f>
        <v>1</v>
      </c>
      <c r="U2499" s="81">
        <f>HLOOKUP(N2499,データについて!$J$8:$M$18,11,FALSE)</f>
        <v>4</v>
      </c>
      <c r="V2499" s="81">
        <f>HLOOKUP(O2499,データについて!$J$9:$M$18,10,FALSE)</f>
        <v>1</v>
      </c>
      <c r="W2499" s="81">
        <f>HLOOKUP(P2499,データについて!$J$10:$M$18,9,FALSE)</f>
        <v>2</v>
      </c>
      <c r="X2499" s="81">
        <f>HLOOKUP(Q2499,データについて!$J$11:$M$18,8,FALSE)</f>
        <v>1</v>
      </c>
      <c r="Y2499" s="81">
        <f>HLOOKUP(R2499,データについて!$J$12:$M$18,7,FALSE)</f>
        <v>1</v>
      </c>
      <c r="Z2499" s="81">
        <f>HLOOKUP(I2499,データについて!$J$3:$M$18,16,FALSE)</f>
        <v>2</v>
      </c>
      <c r="AA2499" s="81" t="str">
        <f>IFERROR(HLOOKUP(J2499,データについて!$J$4:$AH$19,16,FALSE),"")</f>
        <v/>
      </c>
      <c r="AB2499" s="81">
        <f>IFERROR(HLOOKUP(K2499,データについて!$J$5:$AH$20,14,FALSE),"")</f>
        <v>0</v>
      </c>
      <c r="AC2499" s="81">
        <f>IF(X2499=1,HLOOKUP(R2499,データについて!$J$12:$M$18,7,FALSE),"*")</f>
        <v>1</v>
      </c>
      <c r="AD2499" s="81" t="str">
        <f>IF(X2499=2,HLOOKUP(R2499,データについて!$J$12:$M$18,7,FALSE),"*")</f>
        <v>*</v>
      </c>
    </row>
    <row r="2500" spans="1:30">
      <c r="A2500" s="30">
        <v>2692</v>
      </c>
      <c r="B2500" s="30" t="s">
        <v>237</v>
      </c>
      <c r="C2500" s="30" t="s">
        <v>238</v>
      </c>
      <c r="D2500" s="30" t="s">
        <v>106</v>
      </c>
      <c r="E2500" s="30"/>
      <c r="F2500" s="30" t="s">
        <v>107</v>
      </c>
      <c r="G2500" s="30" t="s">
        <v>106</v>
      </c>
      <c r="H2500" s="30"/>
      <c r="I2500" s="30" t="s">
        <v>192</v>
      </c>
      <c r="J2500" s="30" t="s">
        <v>128</v>
      </c>
      <c r="K2500" s="30"/>
      <c r="L2500" s="30" t="s">
        <v>108</v>
      </c>
      <c r="M2500" s="30" t="s">
        <v>109</v>
      </c>
      <c r="N2500" s="30" t="s">
        <v>114</v>
      </c>
      <c r="O2500" s="30" t="s">
        <v>115</v>
      </c>
      <c r="P2500" s="30" t="s">
        <v>112</v>
      </c>
      <c r="Q2500" s="30" t="s">
        <v>112</v>
      </c>
      <c r="R2500" s="30" t="s">
        <v>185</v>
      </c>
      <c r="S2500" s="81">
        <f>HLOOKUP(L2500,データについて!$J$6:$M$18,13,FALSE)</f>
        <v>1</v>
      </c>
      <c r="T2500" s="81">
        <f>HLOOKUP(M2500,データについて!$J$7:$M$18,12,FALSE)</f>
        <v>2</v>
      </c>
      <c r="U2500" s="81">
        <f>HLOOKUP(N2500,データについて!$J$8:$M$18,11,FALSE)</f>
        <v>1</v>
      </c>
      <c r="V2500" s="81">
        <f>HLOOKUP(O2500,データについて!$J$9:$M$18,10,FALSE)</f>
        <v>1</v>
      </c>
      <c r="W2500" s="81">
        <f>HLOOKUP(P2500,データについて!$J$10:$M$18,9,FALSE)</f>
        <v>1</v>
      </c>
      <c r="X2500" s="81">
        <f>HLOOKUP(Q2500,データについて!$J$11:$M$18,8,FALSE)</f>
        <v>1</v>
      </c>
      <c r="Y2500" s="81">
        <f>HLOOKUP(R2500,データについて!$J$12:$M$18,7,FALSE)</f>
        <v>2</v>
      </c>
      <c r="Z2500" s="81">
        <f>HLOOKUP(I2500,データについて!$J$3:$M$18,16,FALSE)</f>
        <v>1</v>
      </c>
      <c r="AA2500" s="81">
        <f>IFERROR(HLOOKUP(J2500,データについて!$J$4:$AH$19,16,FALSE),"")</f>
        <v>1</v>
      </c>
      <c r="AB2500" s="81" t="str">
        <f>IFERROR(HLOOKUP(K2500,データについて!$J$5:$AH$20,14,FALSE),"")</f>
        <v/>
      </c>
      <c r="AC2500" s="81">
        <f>IF(X2500=1,HLOOKUP(R2500,データについて!$J$12:$M$18,7,FALSE),"*")</f>
        <v>2</v>
      </c>
      <c r="AD2500" s="81" t="str">
        <f>IF(X2500=2,HLOOKUP(R2500,データについて!$J$12:$M$18,7,FALSE),"*")</f>
        <v>*</v>
      </c>
    </row>
    <row r="2501" spans="1:30">
      <c r="A2501" s="30">
        <v>2691</v>
      </c>
      <c r="B2501" s="30" t="s">
        <v>239</v>
      </c>
      <c r="C2501" s="30" t="s">
        <v>240</v>
      </c>
      <c r="D2501" s="30" t="s">
        <v>106</v>
      </c>
      <c r="E2501" s="30"/>
      <c r="F2501" s="30" t="s">
        <v>107</v>
      </c>
      <c r="G2501" s="30" t="s">
        <v>106</v>
      </c>
      <c r="H2501" s="30"/>
      <c r="I2501" s="30" t="s">
        <v>192</v>
      </c>
      <c r="J2501" s="30" t="s">
        <v>128</v>
      </c>
      <c r="K2501" s="30"/>
      <c r="L2501" s="30" t="s">
        <v>108</v>
      </c>
      <c r="M2501" s="30" t="s">
        <v>109</v>
      </c>
      <c r="N2501" s="30" t="s">
        <v>114</v>
      </c>
      <c r="O2501" s="30" t="s">
        <v>115</v>
      </c>
      <c r="P2501" s="30" t="s">
        <v>112</v>
      </c>
      <c r="Q2501" s="30" t="s">
        <v>112</v>
      </c>
      <c r="R2501" s="30" t="s">
        <v>185</v>
      </c>
      <c r="S2501" s="81">
        <f>HLOOKUP(L2501,データについて!$J$6:$M$18,13,FALSE)</f>
        <v>1</v>
      </c>
      <c r="T2501" s="81">
        <f>HLOOKUP(M2501,データについて!$J$7:$M$18,12,FALSE)</f>
        <v>2</v>
      </c>
      <c r="U2501" s="81">
        <f>HLOOKUP(N2501,データについて!$J$8:$M$18,11,FALSE)</f>
        <v>1</v>
      </c>
      <c r="V2501" s="81">
        <f>HLOOKUP(O2501,データについて!$J$9:$M$18,10,FALSE)</f>
        <v>1</v>
      </c>
      <c r="W2501" s="81">
        <f>HLOOKUP(P2501,データについて!$J$10:$M$18,9,FALSE)</f>
        <v>1</v>
      </c>
      <c r="X2501" s="81">
        <f>HLOOKUP(Q2501,データについて!$J$11:$M$18,8,FALSE)</f>
        <v>1</v>
      </c>
      <c r="Y2501" s="81">
        <f>HLOOKUP(R2501,データについて!$J$12:$M$18,7,FALSE)</f>
        <v>2</v>
      </c>
      <c r="Z2501" s="81">
        <f>HLOOKUP(I2501,データについて!$J$3:$M$18,16,FALSE)</f>
        <v>1</v>
      </c>
      <c r="AA2501" s="81">
        <f>IFERROR(HLOOKUP(J2501,データについて!$J$4:$AH$19,16,FALSE),"")</f>
        <v>1</v>
      </c>
      <c r="AB2501" s="81" t="str">
        <f>IFERROR(HLOOKUP(K2501,データについて!$J$5:$AH$20,14,FALSE),"")</f>
        <v/>
      </c>
      <c r="AC2501" s="81">
        <f>IF(X2501=1,HLOOKUP(R2501,データについて!$J$12:$M$18,7,FALSE),"*")</f>
        <v>2</v>
      </c>
      <c r="AD2501" s="81" t="str">
        <f>IF(X2501=2,HLOOKUP(R2501,データについて!$J$12:$M$18,7,FALSE),"*")</f>
        <v>*</v>
      </c>
    </row>
    <row r="2502" spans="1:30">
      <c r="A2502" s="30">
        <v>2690</v>
      </c>
      <c r="B2502" s="30" t="s">
        <v>241</v>
      </c>
      <c r="C2502" s="30" t="s">
        <v>242</v>
      </c>
      <c r="D2502" s="30" t="s">
        <v>106</v>
      </c>
      <c r="E2502" s="30"/>
      <c r="F2502" s="30" t="s">
        <v>107</v>
      </c>
      <c r="G2502" s="30" t="s">
        <v>106</v>
      </c>
      <c r="H2502" s="30"/>
      <c r="I2502" s="30" t="s">
        <v>192</v>
      </c>
      <c r="J2502" s="30" t="s">
        <v>128</v>
      </c>
      <c r="K2502" s="30"/>
      <c r="L2502" s="30" t="s">
        <v>117</v>
      </c>
      <c r="M2502" s="30" t="s">
        <v>109</v>
      </c>
      <c r="N2502" s="30" t="s">
        <v>110</v>
      </c>
      <c r="O2502" s="30" t="s">
        <v>115</v>
      </c>
      <c r="P2502" s="30" t="s">
        <v>112</v>
      </c>
      <c r="Q2502" s="30" t="s">
        <v>118</v>
      </c>
      <c r="R2502" s="30" t="s">
        <v>185</v>
      </c>
      <c r="S2502" s="81">
        <f>HLOOKUP(L2502,データについて!$J$6:$M$18,13,FALSE)</f>
        <v>2</v>
      </c>
      <c r="T2502" s="81">
        <f>HLOOKUP(M2502,データについて!$J$7:$M$18,12,FALSE)</f>
        <v>2</v>
      </c>
      <c r="U2502" s="81">
        <f>HLOOKUP(N2502,データについて!$J$8:$M$18,11,FALSE)</f>
        <v>2</v>
      </c>
      <c r="V2502" s="81">
        <f>HLOOKUP(O2502,データについて!$J$9:$M$18,10,FALSE)</f>
        <v>1</v>
      </c>
      <c r="W2502" s="81">
        <f>HLOOKUP(P2502,データについて!$J$10:$M$18,9,FALSE)</f>
        <v>1</v>
      </c>
      <c r="X2502" s="81">
        <f>HLOOKUP(Q2502,データについて!$J$11:$M$18,8,FALSE)</f>
        <v>2</v>
      </c>
      <c r="Y2502" s="81">
        <f>HLOOKUP(R2502,データについて!$J$12:$M$18,7,FALSE)</f>
        <v>2</v>
      </c>
      <c r="Z2502" s="81">
        <f>HLOOKUP(I2502,データについて!$J$3:$M$18,16,FALSE)</f>
        <v>1</v>
      </c>
      <c r="AA2502" s="81">
        <f>IFERROR(HLOOKUP(J2502,データについて!$J$4:$AH$19,16,FALSE),"")</f>
        <v>1</v>
      </c>
      <c r="AB2502" s="81" t="str">
        <f>IFERROR(HLOOKUP(K2502,データについて!$J$5:$AH$20,14,FALSE),"")</f>
        <v/>
      </c>
      <c r="AC2502" s="81" t="str">
        <f>IF(X2502=1,HLOOKUP(R2502,データについて!$J$12:$M$18,7,FALSE),"*")</f>
        <v>*</v>
      </c>
      <c r="AD2502" s="81">
        <f>IF(X2502=2,HLOOKUP(R2502,データについて!$J$12:$M$18,7,FALSE),"*")</f>
        <v>2</v>
      </c>
    </row>
    <row r="2503" spans="1:30">
      <c r="A2503" s="30">
        <v>2689</v>
      </c>
      <c r="B2503" s="30" t="s">
        <v>243</v>
      </c>
      <c r="C2503" s="30" t="s">
        <v>244</v>
      </c>
      <c r="D2503" s="30" t="s">
        <v>106</v>
      </c>
      <c r="E2503" s="30"/>
      <c r="F2503" s="30" t="s">
        <v>107</v>
      </c>
      <c r="G2503" s="30" t="s">
        <v>106</v>
      </c>
      <c r="H2503" s="30"/>
      <c r="I2503" s="30" t="s">
        <v>192</v>
      </c>
      <c r="J2503" s="30" t="s">
        <v>128</v>
      </c>
      <c r="K2503" s="30"/>
      <c r="L2503" s="30" t="s">
        <v>117</v>
      </c>
      <c r="M2503" s="30" t="s">
        <v>113</v>
      </c>
      <c r="N2503" s="30" t="s">
        <v>110</v>
      </c>
      <c r="O2503" s="30" t="s">
        <v>115</v>
      </c>
      <c r="P2503" s="30" t="s">
        <v>112</v>
      </c>
      <c r="Q2503" s="30" t="s">
        <v>112</v>
      </c>
      <c r="R2503" s="30" t="s">
        <v>183</v>
      </c>
      <c r="S2503" s="81">
        <f>HLOOKUP(L2503,データについて!$J$6:$M$18,13,FALSE)</f>
        <v>2</v>
      </c>
      <c r="T2503" s="81">
        <f>HLOOKUP(M2503,データについて!$J$7:$M$18,12,FALSE)</f>
        <v>1</v>
      </c>
      <c r="U2503" s="81">
        <f>HLOOKUP(N2503,データについて!$J$8:$M$18,11,FALSE)</f>
        <v>2</v>
      </c>
      <c r="V2503" s="81">
        <f>HLOOKUP(O2503,データについて!$J$9:$M$18,10,FALSE)</f>
        <v>1</v>
      </c>
      <c r="W2503" s="81">
        <f>HLOOKUP(P2503,データについて!$J$10:$M$18,9,FALSE)</f>
        <v>1</v>
      </c>
      <c r="X2503" s="81">
        <f>HLOOKUP(Q2503,データについて!$J$11:$M$18,8,FALSE)</f>
        <v>1</v>
      </c>
      <c r="Y2503" s="81">
        <f>HLOOKUP(R2503,データについて!$J$12:$M$18,7,FALSE)</f>
        <v>1</v>
      </c>
      <c r="Z2503" s="81">
        <f>HLOOKUP(I2503,データについて!$J$3:$M$18,16,FALSE)</f>
        <v>1</v>
      </c>
      <c r="AA2503" s="81">
        <f>IFERROR(HLOOKUP(J2503,データについて!$J$4:$AH$19,16,FALSE),"")</f>
        <v>1</v>
      </c>
      <c r="AB2503" s="81" t="str">
        <f>IFERROR(HLOOKUP(K2503,データについて!$J$5:$AH$20,14,FALSE),"")</f>
        <v/>
      </c>
      <c r="AC2503" s="81">
        <f>IF(X2503=1,HLOOKUP(R2503,データについて!$J$12:$M$18,7,FALSE),"*")</f>
        <v>1</v>
      </c>
      <c r="AD2503" s="81" t="str">
        <f>IF(X2503=2,HLOOKUP(R2503,データについて!$J$12:$M$18,7,FALSE),"*")</f>
        <v>*</v>
      </c>
    </row>
    <row r="2504" spans="1:30">
      <c r="A2504" s="30">
        <v>2688</v>
      </c>
      <c r="B2504" s="30" t="s">
        <v>245</v>
      </c>
      <c r="C2504" s="30" t="s">
        <v>246</v>
      </c>
      <c r="D2504" s="30" t="s">
        <v>106</v>
      </c>
      <c r="E2504" s="30"/>
      <c r="F2504" s="30" t="s">
        <v>107</v>
      </c>
      <c r="G2504" s="30" t="s">
        <v>106</v>
      </c>
      <c r="H2504" s="30"/>
      <c r="I2504" s="30" t="s">
        <v>192</v>
      </c>
      <c r="J2504" s="30" t="s">
        <v>128</v>
      </c>
      <c r="K2504" s="30"/>
      <c r="L2504" s="30" t="s">
        <v>117</v>
      </c>
      <c r="M2504" s="30" t="s">
        <v>109</v>
      </c>
      <c r="N2504" s="30" t="s">
        <v>114</v>
      </c>
      <c r="O2504" s="30" t="s">
        <v>115</v>
      </c>
      <c r="P2504" s="30" t="s">
        <v>112</v>
      </c>
      <c r="Q2504" s="30" t="s">
        <v>118</v>
      </c>
      <c r="R2504" s="30" t="s">
        <v>185</v>
      </c>
      <c r="S2504" s="81">
        <f>HLOOKUP(L2504,データについて!$J$6:$M$18,13,FALSE)</f>
        <v>2</v>
      </c>
      <c r="T2504" s="81">
        <f>HLOOKUP(M2504,データについて!$J$7:$M$18,12,FALSE)</f>
        <v>2</v>
      </c>
      <c r="U2504" s="81">
        <f>HLOOKUP(N2504,データについて!$J$8:$M$18,11,FALSE)</f>
        <v>1</v>
      </c>
      <c r="V2504" s="81">
        <f>HLOOKUP(O2504,データについて!$J$9:$M$18,10,FALSE)</f>
        <v>1</v>
      </c>
      <c r="W2504" s="81">
        <f>HLOOKUP(P2504,データについて!$J$10:$M$18,9,FALSE)</f>
        <v>1</v>
      </c>
      <c r="X2504" s="81">
        <f>HLOOKUP(Q2504,データについて!$J$11:$M$18,8,FALSE)</f>
        <v>2</v>
      </c>
      <c r="Y2504" s="81">
        <f>HLOOKUP(R2504,データについて!$J$12:$M$18,7,FALSE)</f>
        <v>2</v>
      </c>
      <c r="Z2504" s="81">
        <f>HLOOKUP(I2504,データについて!$J$3:$M$18,16,FALSE)</f>
        <v>1</v>
      </c>
      <c r="AA2504" s="81">
        <f>IFERROR(HLOOKUP(J2504,データについて!$J$4:$AH$19,16,FALSE),"")</f>
        <v>1</v>
      </c>
      <c r="AB2504" s="81" t="str">
        <f>IFERROR(HLOOKUP(K2504,データについて!$J$5:$AH$20,14,FALSE),"")</f>
        <v/>
      </c>
      <c r="AC2504" s="81" t="str">
        <f>IF(X2504=1,HLOOKUP(R2504,データについて!$J$12:$M$18,7,FALSE),"*")</f>
        <v>*</v>
      </c>
      <c r="AD2504" s="81">
        <f>IF(X2504=2,HLOOKUP(R2504,データについて!$J$12:$M$18,7,FALSE),"*")</f>
        <v>2</v>
      </c>
    </row>
    <row r="2505" spans="1:30">
      <c r="A2505" s="30">
        <v>2687</v>
      </c>
      <c r="B2505" s="30" t="s">
        <v>247</v>
      </c>
      <c r="C2505" s="30" t="s">
        <v>248</v>
      </c>
      <c r="D2505" s="30" t="s">
        <v>106</v>
      </c>
      <c r="E2505" s="30"/>
      <c r="F2505" s="30" t="s">
        <v>107</v>
      </c>
      <c r="G2505" s="30" t="s">
        <v>106</v>
      </c>
      <c r="H2505" s="30"/>
      <c r="I2505" s="30" t="s">
        <v>192</v>
      </c>
      <c r="J2505" s="30" t="s">
        <v>128</v>
      </c>
      <c r="K2505" s="30"/>
      <c r="L2505" s="30" t="s">
        <v>117</v>
      </c>
      <c r="M2505" s="30" t="s">
        <v>113</v>
      </c>
      <c r="N2505" s="30" t="s">
        <v>114</v>
      </c>
      <c r="O2505" s="30" t="s">
        <v>115</v>
      </c>
      <c r="P2505" s="30" t="s">
        <v>112</v>
      </c>
      <c r="Q2505" s="30" t="s">
        <v>112</v>
      </c>
      <c r="R2505" s="30" t="s">
        <v>183</v>
      </c>
      <c r="S2505" s="81">
        <f>HLOOKUP(L2505,データについて!$J$6:$M$18,13,FALSE)</f>
        <v>2</v>
      </c>
      <c r="T2505" s="81">
        <f>HLOOKUP(M2505,データについて!$J$7:$M$18,12,FALSE)</f>
        <v>1</v>
      </c>
      <c r="U2505" s="81">
        <f>HLOOKUP(N2505,データについて!$J$8:$M$18,11,FALSE)</f>
        <v>1</v>
      </c>
      <c r="V2505" s="81">
        <f>HLOOKUP(O2505,データについて!$J$9:$M$18,10,FALSE)</f>
        <v>1</v>
      </c>
      <c r="W2505" s="81">
        <f>HLOOKUP(P2505,データについて!$J$10:$M$18,9,FALSE)</f>
        <v>1</v>
      </c>
      <c r="X2505" s="81">
        <f>HLOOKUP(Q2505,データについて!$J$11:$M$18,8,FALSE)</f>
        <v>1</v>
      </c>
      <c r="Y2505" s="81">
        <f>HLOOKUP(R2505,データについて!$J$12:$M$18,7,FALSE)</f>
        <v>1</v>
      </c>
      <c r="Z2505" s="81">
        <f>HLOOKUP(I2505,データについて!$J$3:$M$18,16,FALSE)</f>
        <v>1</v>
      </c>
      <c r="AA2505" s="81">
        <f>IFERROR(HLOOKUP(J2505,データについて!$J$4:$AH$19,16,FALSE),"")</f>
        <v>1</v>
      </c>
      <c r="AB2505" s="81" t="str">
        <f>IFERROR(HLOOKUP(K2505,データについて!$J$5:$AH$20,14,FALSE),"")</f>
        <v/>
      </c>
      <c r="AC2505" s="81">
        <f>IF(X2505=1,HLOOKUP(R2505,データについて!$J$12:$M$18,7,FALSE),"*")</f>
        <v>1</v>
      </c>
      <c r="AD2505" s="81" t="str">
        <f>IF(X2505=2,HLOOKUP(R2505,データについて!$J$12:$M$18,7,FALSE),"*")</f>
        <v>*</v>
      </c>
    </row>
    <row r="2506" spans="1:30">
      <c r="A2506" s="30">
        <v>2686</v>
      </c>
      <c r="B2506" s="30" t="s">
        <v>249</v>
      </c>
      <c r="C2506" s="30" t="s">
        <v>250</v>
      </c>
      <c r="D2506" s="30" t="s">
        <v>106</v>
      </c>
      <c r="E2506" s="30"/>
      <c r="F2506" s="30" t="s">
        <v>107</v>
      </c>
      <c r="G2506" s="30" t="s">
        <v>106</v>
      </c>
      <c r="H2506" s="30"/>
      <c r="I2506" s="30" t="s">
        <v>192</v>
      </c>
      <c r="J2506" s="30" t="s">
        <v>128</v>
      </c>
      <c r="K2506" s="30"/>
      <c r="L2506" s="30" t="s">
        <v>108</v>
      </c>
      <c r="M2506" s="30" t="s">
        <v>113</v>
      </c>
      <c r="N2506" s="30" t="s">
        <v>110</v>
      </c>
      <c r="O2506" s="30" t="s">
        <v>115</v>
      </c>
      <c r="P2506" s="30" t="s">
        <v>112</v>
      </c>
      <c r="Q2506" s="30" t="s">
        <v>112</v>
      </c>
      <c r="R2506" s="30" t="s">
        <v>185</v>
      </c>
      <c r="S2506" s="81">
        <f>HLOOKUP(L2506,データについて!$J$6:$M$18,13,FALSE)</f>
        <v>1</v>
      </c>
      <c r="T2506" s="81">
        <f>HLOOKUP(M2506,データについて!$J$7:$M$18,12,FALSE)</f>
        <v>1</v>
      </c>
      <c r="U2506" s="81">
        <f>HLOOKUP(N2506,データについて!$J$8:$M$18,11,FALSE)</f>
        <v>2</v>
      </c>
      <c r="V2506" s="81">
        <f>HLOOKUP(O2506,データについて!$J$9:$M$18,10,FALSE)</f>
        <v>1</v>
      </c>
      <c r="W2506" s="81">
        <f>HLOOKUP(P2506,データについて!$J$10:$M$18,9,FALSE)</f>
        <v>1</v>
      </c>
      <c r="X2506" s="81">
        <f>HLOOKUP(Q2506,データについて!$J$11:$M$18,8,FALSE)</f>
        <v>1</v>
      </c>
      <c r="Y2506" s="81">
        <f>HLOOKUP(R2506,データについて!$J$12:$M$18,7,FALSE)</f>
        <v>2</v>
      </c>
      <c r="Z2506" s="81">
        <f>HLOOKUP(I2506,データについて!$J$3:$M$18,16,FALSE)</f>
        <v>1</v>
      </c>
      <c r="AA2506" s="81">
        <f>IFERROR(HLOOKUP(J2506,データについて!$J$4:$AH$19,16,FALSE),"")</f>
        <v>1</v>
      </c>
      <c r="AB2506" s="81" t="str">
        <f>IFERROR(HLOOKUP(K2506,データについて!$J$5:$AH$20,14,FALSE),"")</f>
        <v/>
      </c>
      <c r="AC2506" s="81">
        <f>IF(X2506=1,HLOOKUP(R2506,データについて!$J$12:$M$18,7,FALSE),"*")</f>
        <v>2</v>
      </c>
      <c r="AD2506" s="81" t="str">
        <f>IF(X2506=2,HLOOKUP(R2506,データについて!$J$12:$M$18,7,FALSE),"*")</f>
        <v>*</v>
      </c>
    </row>
    <row r="2507" spans="1:30">
      <c r="A2507" s="30">
        <v>2685</v>
      </c>
      <c r="B2507" s="30" t="s">
        <v>251</v>
      </c>
      <c r="C2507" s="30" t="s">
        <v>252</v>
      </c>
      <c r="D2507" s="30" t="s">
        <v>106</v>
      </c>
      <c r="E2507" s="30"/>
      <c r="F2507" s="30" t="s">
        <v>107</v>
      </c>
      <c r="G2507" s="30" t="s">
        <v>106</v>
      </c>
      <c r="H2507" s="30"/>
      <c r="I2507" s="30" t="s">
        <v>192</v>
      </c>
      <c r="J2507" s="30" t="s">
        <v>128</v>
      </c>
      <c r="K2507" s="30"/>
      <c r="L2507" s="30" t="s">
        <v>117</v>
      </c>
      <c r="M2507" s="30" t="s">
        <v>109</v>
      </c>
      <c r="N2507" s="30" t="s">
        <v>122</v>
      </c>
      <c r="O2507" s="30" t="s">
        <v>115</v>
      </c>
      <c r="P2507" s="30" t="s">
        <v>112</v>
      </c>
      <c r="Q2507" s="30" t="s">
        <v>112</v>
      </c>
      <c r="R2507" s="30" t="s">
        <v>185</v>
      </c>
      <c r="S2507" s="81">
        <f>HLOOKUP(L2507,データについて!$J$6:$M$18,13,FALSE)</f>
        <v>2</v>
      </c>
      <c r="T2507" s="81">
        <f>HLOOKUP(M2507,データについて!$J$7:$M$18,12,FALSE)</f>
        <v>2</v>
      </c>
      <c r="U2507" s="81">
        <f>HLOOKUP(N2507,データについて!$J$8:$M$18,11,FALSE)</f>
        <v>3</v>
      </c>
      <c r="V2507" s="81">
        <f>HLOOKUP(O2507,データについて!$J$9:$M$18,10,FALSE)</f>
        <v>1</v>
      </c>
      <c r="W2507" s="81">
        <f>HLOOKUP(P2507,データについて!$J$10:$M$18,9,FALSE)</f>
        <v>1</v>
      </c>
      <c r="X2507" s="81">
        <f>HLOOKUP(Q2507,データについて!$J$11:$M$18,8,FALSE)</f>
        <v>1</v>
      </c>
      <c r="Y2507" s="81">
        <f>HLOOKUP(R2507,データについて!$J$12:$M$18,7,FALSE)</f>
        <v>2</v>
      </c>
      <c r="Z2507" s="81">
        <f>HLOOKUP(I2507,データについて!$J$3:$M$18,16,FALSE)</f>
        <v>1</v>
      </c>
      <c r="AA2507" s="81">
        <f>IFERROR(HLOOKUP(J2507,データについて!$J$4:$AH$19,16,FALSE),"")</f>
        <v>1</v>
      </c>
      <c r="AB2507" s="81" t="str">
        <f>IFERROR(HLOOKUP(K2507,データについて!$J$5:$AH$20,14,FALSE),"")</f>
        <v/>
      </c>
      <c r="AC2507" s="81">
        <f>IF(X2507=1,HLOOKUP(R2507,データについて!$J$12:$M$18,7,FALSE),"*")</f>
        <v>2</v>
      </c>
      <c r="AD2507" s="81" t="str">
        <f>IF(X2507=2,HLOOKUP(R2507,データについて!$J$12:$M$18,7,FALSE),"*")</f>
        <v>*</v>
      </c>
    </row>
    <row r="2508" spans="1:30">
      <c r="A2508" s="30">
        <v>2684</v>
      </c>
      <c r="B2508" s="30" t="s">
        <v>253</v>
      </c>
      <c r="C2508" s="30" t="s">
        <v>254</v>
      </c>
      <c r="D2508" s="30" t="s">
        <v>106</v>
      </c>
      <c r="E2508" s="30"/>
      <c r="F2508" s="30" t="s">
        <v>107</v>
      </c>
      <c r="G2508" s="30" t="s">
        <v>106</v>
      </c>
      <c r="H2508" s="30"/>
      <c r="I2508" s="30" t="s">
        <v>192</v>
      </c>
      <c r="J2508" s="30" t="s">
        <v>128</v>
      </c>
      <c r="K2508" s="30"/>
      <c r="L2508" s="30" t="s">
        <v>108</v>
      </c>
      <c r="M2508" s="30" t="s">
        <v>109</v>
      </c>
      <c r="N2508" s="30" t="s">
        <v>110</v>
      </c>
      <c r="O2508" s="30" t="s">
        <v>115</v>
      </c>
      <c r="P2508" s="30" t="s">
        <v>112</v>
      </c>
      <c r="Q2508" s="30" t="s">
        <v>112</v>
      </c>
      <c r="R2508" s="30" t="s">
        <v>183</v>
      </c>
      <c r="S2508" s="81">
        <f>HLOOKUP(L2508,データについて!$J$6:$M$18,13,FALSE)</f>
        <v>1</v>
      </c>
      <c r="T2508" s="81">
        <f>HLOOKUP(M2508,データについて!$J$7:$M$18,12,FALSE)</f>
        <v>2</v>
      </c>
      <c r="U2508" s="81">
        <f>HLOOKUP(N2508,データについて!$J$8:$M$18,11,FALSE)</f>
        <v>2</v>
      </c>
      <c r="V2508" s="81">
        <f>HLOOKUP(O2508,データについて!$J$9:$M$18,10,FALSE)</f>
        <v>1</v>
      </c>
      <c r="W2508" s="81">
        <f>HLOOKUP(P2508,データについて!$J$10:$M$18,9,FALSE)</f>
        <v>1</v>
      </c>
      <c r="X2508" s="81">
        <f>HLOOKUP(Q2508,データについて!$J$11:$M$18,8,FALSE)</f>
        <v>1</v>
      </c>
      <c r="Y2508" s="81">
        <f>HLOOKUP(R2508,データについて!$J$12:$M$18,7,FALSE)</f>
        <v>1</v>
      </c>
      <c r="Z2508" s="81">
        <f>HLOOKUP(I2508,データについて!$J$3:$M$18,16,FALSE)</f>
        <v>1</v>
      </c>
      <c r="AA2508" s="81">
        <f>IFERROR(HLOOKUP(J2508,データについて!$J$4:$AH$19,16,FALSE),"")</f>
        <v>1</v>
      </c>
      <c r="AB2508" s="81" t="str">
        <f>IFERROR(HLOOKUP(K2508,データについて!$J$5:$AH$20,14,FALSE),"")</f>
        <v/>
      </c>
      <c r="AC2508" s="81">
        <f>IF(X2508=1,HLOOKUP(R2508,データについて!$J$12:$M$18,7,FALSE),"*")</f>
        <v>1</v>
      </c>
      <c r="AD2508" s="81" t="str">
        <f>IF(X2508=2,HLOOKUP(R2508,データについて!$J$12:$M$18,7,FALSE),"*")</f>
        <v>*</v>
      </c>
    </row>
    <row r="2509" spans="1:30">
      <c r="A2509" s="30">
        <v>2683</v>
      </c>
      <c r="B2509" s="30" t="s">
        <v>255</v>
      </c>
      <c r="C2509" s="30" t="s">
        <v>256</v>
      </c>
      <c r="D2509" s="30" t="s">
        <v>106</v>
      </c>
      <c r="E2509" s="30"/>
      <c r="F2509" s="30" t="s">
        <v>107</v>
      </c>
      <c r="G2509" s="30" t="s">
        <v>106</v>
      </c>
      <c r="H2509" s="30"/>
      <c r="I2509" s="30" t="s">
        <v>192</v>
      </c>
      <c r="J2509" s="30" t="s">
        <v>128</v>
      </c>
      <c r="K2509" s="30"/>
      <c r="L2509" s="30" t="s">
        <v>108</v>
      </c>
      <c r="M2509" s="30" t="s">
        <v>113</v>
      </c>
      <c r="N2509" s="30" t="s">
        <v>110</v>
      </c>
      <c r="O2509" s="30" t="s">
        <v>115</v>
      </c>
      <c r="P2509" s="30" t="s">
        <v>112</v>
      </c>
      <c r="Q2509" s="30" t="s">
        <v>118</v>
      </c>
      <c r="R2509" s="30" t="s">
        <v>185</v>
      </c>
      <c r="S2509" s="81">
        <f>HLOOKUP(L2509,データについて!$J$6:$M$18,13,FALSE)</f>
        <v>1</v>
      </c>
      <c r="T2509" s="81">
        <f>HLOOKUP(M2509,データについて!$J$7:$M$18,12,FALSE)</f>
        <v>1</v>
      </c>
      <c r="U2509" s="81">
        <f>HLOOKUP(N2509,データについて!$J$8:$M$18,11,FALSE)</f>
        <v>2</v>
      </c>
      <c r="V2509" s="81">
        <f>HLOOKUP(O2509,データについて!$J$9:$M$18,10,FALSE)</f>
        <v>1</v>
      </c>
      <c r="W2509" s="81">
        <f>HLOOKUP(P2509,データについて!$J$10:$M$18,9,FALSE)</f>
        <v>1</v>
      </c>
      <c r="X2509" s="81">
        <f>HLOOKUP(Q2509,データについて!$J$11:$M$18,8,FALSE)</f>
        <v>2</v>
      </c>
      <c r="Y2509" s="81">
        <f>HLOOKUP(R2509,データについて!$J$12:$M$18,7,FALSE)</f>
        <v>2</v>
      </c>
      <c r="Z2509" s="81">
        <f>HLOOKUP(I2509,データについて!$J$3:$M$18,16,FALSE)</f>
        <v>1</v>
      </c>
      <c r="AA2509" s="81">
        <f>IFERROR(HLOOKUP(J2509,データについて!$J$4:$AH$19,16,FALSE),"")</f>
        <v>1</v>
      </c>
      <c r="AB2509" s="81" t="str">
        <f>IFERROR(HLOOKUP(K2509,データについて!$J$5:$AH$20,14,FALSE),"")</f>
        <v/>
      </c>
      <c r="AC2509" s="81" t="str">
        <f>IF(X2509=1,HLOOKUP(R2509,データについて!$J$12:$M$18,7,FALSE),"*")</f>
        <v>*</v>
      </c>
      <c r="AD2509" s="81">
        <f>IF(X2509=2,HLOOKUP(R2509,データについて!$J$12:$M$18,7,FALSE),"*")</f>
        <v>2</v>
      </c>
    </row>
    <row r="2510" spans="1:30">
      <c r="A2510" s="30">
        <v>2682</v>
      </c>
      <c r="B2510" s="30" t="s">
        <v>257</v>
      </c>
      <c r="C2510" s="30" t="s">
        <v>258</v>
      </c>
      <c r="D2510" s="30" t="s">
        <v>106</v>
      </c>
      <c r="E2510" s="30"/>
      <c r="F2510" s="30" t="s">
        <v>107</v>
      </c>
      <c r="G2510" s="30" t="s">
        <v>106</v>
      </c>
      <c r="H2510" s="30"/>
      <c r="I2510" s="30" t="s">
        <v>192</v>
      </c>
      <c r="J2510" s="30" t="s">
        <v>128</v>
      </c>
      <c r="K2510" s="30"/>
      <c r="L2510" s="30" t="s">
        <v>108</v>
      </c>
      <c r="M2510" s="30" t="s">
        <v>124</v>
      </c>
      <c r="N2510" s="30" t="s">
        <v>114</v>
      </c>
      <c r="O2510" s="30" t="s">
        <v>115</v>
      </c>
      <c r="P2510" s="30" t="s">
        <v>112</v>
      </c>
      <c r="Q2510" s="30" t="s">
        <v>118</v>
      </c>
      <c r="R2510" s="30" t="s">
        <v>185</v>
      </c>
      <c r="S2510" s="81">
        <f>HLOOKUP(L2510,データについて!$J$6:$M$18,13,FALSE)</f>
        <v>1</v>
      </c>
      <c r="T2510" s="81">
        <f>HLOOKUP(M2510,データについて!$J$7:$M$18,12,FALSE)</f>
        <v>3</v>
      </c>
      <c r="U2510" s="81">
        <f>HLOOKUP(N2510,データについて!$J$8:$M$18,11,FALSE)</f>
        <v>1</v>
      </c>
      <c r="V2510" s="81">
        <f>HLOOKUP(O2510,データについて!$J$9:$M$18,10,FALSE)</f>
        <v>1</v>
      </c>
      <c r="W2510" s="81">
        <f>HLOOKUP(P2510,データについて!$J$10:$M$18,9,FALSE)</f>
        <v>1</v>
      </c>
      <c r="X2510" s="81">
        <f>HLOOKUP(Q2510,データについて!$J$11:$M$18,8,FALSE)</f>
        <v>2</v>
      </c>
      <c r="Y2510" s="81">
        <f>HLOOKUP(R2510,データについて!$J$12:$M$18,7,FALSE)</f>
        <v>2</v>
      </c>
      <c r="Z2510" s="81">
        <f>HLOOKUP(I2510,データについて!$J$3:$M$18,16,FALSE)</f>
        <v>1</v>
      </c>
      <c r="AA2510" s="81">
        <f>IFERROR(HLOOKUP(J2510,データについて!$J$4:$AH$19,16,FALSE),"")</f>
        <v>1</v>
      </c>
      <c r="AB2510" s="81" t="str">
        <f>IFERROR(HLOOKUP(K2510,データについて!$J$5:$AH$20,14,FALSE),"")</f>
        <v/>
      </c>
      <c r="AC2510" s="81" t="str">
        <f>IF(X2510=1,HLOOKUP(R2510,データについて!$J$12:$M$18,7,FALSE),"*")</f>
        <v>*</v>
      </c>
      <c r="AD2510" s="81">
        <f>IF(X2510=2,HLOOKUP(R2510,データについて!$J$12:$M$18,7,FALSE),"*")</f>
        <v>2</v>
      </c>
    </row>
    <row r="2511" spans="1:30">
      <c r="A2511" s="30">
        <v>2681</v>
      </c>
      <c r="B2511" s="30" t="s">
        <v>259</v>
      </c>
      <c r="C2511" s="30" t="s">
        <v>260</v>
      </c>
      <c r="D2511" s="30" t="s">
        <v>106</v>
      </c>
      <c r="E2511" s="30"/>
      <c r="F2511" s="30" t="s">
        <v>107</v>
      </c>
      <c r="G2511" s="30" t="s">
        <v>106</v>
      </c>
      <c r="H2511" s="30"/>
      <c r="I2511" s="30" t="s">
        <v>192</v>
      </c>
      <c r="J2511" s="30" t="s">
        <v>128</v>
      </c>
      <c r="K2511" s="30"/>
      <c r="L2511" s="30" t="s">
        <v>117</v>
      </c>
      <c r="M2511" s="30" t="s">
        <v>113</v>
      </c>
      <c r="N2511" s="30" t="s">
        <v>114</v>
      </c>
      <c r="O2511" s="30" t="s">
        <v>115</v>
      </c>
      <c r="P2511" s="30" t="s">
        <v>112</v>
      </c>
      <c r="Q2511" s="30" t="s">
        <v>112</v>
      </c>
      <c r="R2511" s="30" t="s">
        <v>185</v>
      </c>
      <c r="S2511" s="81">
        <f>HLOOKUP(L2511,データについて!$J$6:$M$18,13,FALSE)</f>
        <v>2</v>
      </c>
      <c r="T2511" s="81">
        <f>HLOOKUP(M2511,データについて!$J$7:$M$18,12,FALSE)</f>
        <v>1</v>
      </c>
      <c r="U2511" s="81">
        <f>HLOOKUP(N2511,データについて!$J$8:$M$18,11,FALSE)</f>
        <v>1</v>
      </c>
      <c r="V2511" s="81">
        <f>HLOOKUP(O2511,データについて!$J$9:$M$18,10,FALSE)</f>
        <v>1</v>
      </c>
      <c r="W2511" s="81">
        <f>HLOOKUP(P2511,データについて!$J$10:$M$18,9,FALSE)</f>
        <v>1</v>
      </c>
      <c r="X2511" s="81">
        <f>HLOOKUP(Q2511,データについて!$J$11:$M$18,8,FALSE)</f>
        <v>1</v>
      </c>
      <c r="Y2511" s="81">
        <f>HLOOKUP(R2511,データについて!$J$12:$M$18,7,FALSE)</f>
        <v>2</v>
      </c>
      <c r="Z2511" s="81">
        <f>HLOOKUP(I2511,データについて!$J$3:$M$18,16,FALSE)</f>
        <v>1</v>
      </c>
      <c r="AA2511" s="81">
        <f>IFERROR(HLOOKUP(J2511,データについて!$J$4:$AH$19,16,FALSE),"")</f>
        <v>1</v>
      </c>
      <c r="AB2511" s="81" t="str">
        <f>IFERROR(HLOOKUP(K2511,データについて!$J$5:$AH$20,14,FALSE),"")</f>
        <v/>
      </c>
      <c r="AC2511" s="81">
        <f>IF(X2511=1,HLOOKUP(R2511,データについて!$J$12:$M$18,7,FALSE),"*")</f>
        <v>2</v>
      </c>
      <c r="AD2511" s="81" t="str">
        <f>IF(X2511=2,HLOOKUP(R2511,データについて!$J$12:$M$18,7,FALSE),"*")</f>
        <v>*</v>
      </c>
    </row>
    <row r="2512" spans="1:30">
      <c r="A2512" s="30">
        <v>2680</v>
      </c>
      <c r="B2512" s="30" t="s">
        <v>261</v>
      </c>
      <c r="C2512" s="30" t="s">
        <v>262</v>
      </c>
      <c r="D2512" s="30" t="s">
        <v>106</v>
      </c>
      <c r="E2512" s="30"/>
      <c r="F2512" s="30" t="s">
        <v>107</v>
      </c>
      <c r="G2512" s="30" t="s">
        <v>106</v>
      </c>
      <c r="H2512" s="30"/>
      <c r="I2512" s="30" t="s">
        <v>192</v>
      </c>
      <c r="J2512" s="30" t="s">
        <v>128</v>
      </c>
      <c r="K2512" s="30"/>
      <c r="L2512" s="30" t="s">
        <v>117</v>
      </c>
      <c r="M2512" s="30" t="s">
        <v>113</v>
      </c>
      <c r="N2512" s="30" t="s">
        <v>110</v>
      </c>
      <c r="O2512" s="30" t="s">
        <v>115</v>
      </c>
      <c r="P2512" s="30" t="s">
        <v>112</v>
      </c>
      <c r="Q2512" s="30" t="s">
        <v>112</v>
      </c>
      <c r="R2512" s="30" t="s">
        <v>185</v>
      </c>
      <c r="S2512" s="81">
        <f>HLOOKUP(L2512,データについて!$J$6:$M$18,13,FALSE)</f>
        <v>2</v>
      </c>
      <c r="T2512" s="81">
        <f>HLOOKUP(M2512,データについて!$J$7:$M$18,12,FALSE)</f>
        <v>1</v>
      </c>
      <c r="U2512" s="81">
        <f>HLOOKUP(N2512,データについて!$J$8:$M$18,11,FALSE)</f>
        <v>2</v>
      </c>
      <c r="V2512" s="81">
        <f>HLOOKUP(O2512,データについて!$J$9:$M$18,10,FALSE)</f>
        <v>1</v>
      </c>
      <c r="W2512" s="81">
        <f>HLOOKUP(P2512,データについて!$J$10:$M$18,9,FALSE)</f>
        <v>1</v>
      </c>
      <c r="X2512" s="81">
        <f>HLOOKUP(Q2512,データについて!$J$11:$M$18,8,FALSE)</f>
        <v>1</v>
      </c>
      <c r="Y2512" s="81">
        <f>HLOOKUP(R2512,データについて!$J$12:$M$18,7,FALSE)</f>
        <v>2</v>
      </c>
      <c r="Z2512" s="81">
        <f>HLOOKUP(I2512,データについて!$J$3:$M$18,16,FALSE)</f>
        <v>1</v>
      </c>
      <c r="AA2512" s="81">
        <f>IFERROR(HLOOKUP(J2512,データについて!$J$4:$AH$19,16,FALSE),"")</f>
        <v>1</v>
      </c>
      <c r="AB2512" s="81" t="str">
        <f>IFERROR(HLOOKUP(K2512,データについて!$J$5:$AH$20,14,FALSE),"")</f>
        <v/>
      </c>
      <c r="AC2512" s="81">
        <f>IF(X2512=1,HLOOKUP(R2512,データについて!$J$12:$M$18,7,FALSE),"*")</f>
        <v>2</v>
      </c>
      <c r="AD2512" s="81" t="str">
        <f>IF(X2512=2,HLOOKUP(R2512,データについて!$J$12:$M$18,7,FALSE),"*")</f>
        <v>*</v>
      </c>
    </row>
    <row r="2513" spans="1:30">
      <c r="A2513" s="30">
        <v>2679</v>
      </c>
      <c r="B2513" s="30" t="s">
        <v>263</v>
      </c>
      <c r="C2513" s="30" t="s">
        <v>262</v>
      </c>
      <c r="D2513" s="30" t="s">
        <v>106</v>
      </c>
      <c r="E2513" s="30"/>
      <c r="F2513" s="30" t="s">
        <v>107</v>
      </c>
      <c r="G2513" s="30" t="s">
        <v>106</v>
      </c>
      <c r="H2513" s="30"/>
      <c r="I2513" s="30" t="s">
        <v>192</v>
      </c>
      <c r="J2513" s="30" t="s">
        <v>128</v>
      </c>
      <c r="K2513" s="30"/>
      <c r="L2513" s="30" t="s">
        <v>117</v>
      </c>
      <c r="M2513" s="30" t="s">
        <v>113</v>
      </c>
      <c r="N2513" s="30" t="s">
        <v>110</v>
      </c>
      <c r="O2513" s="30" t="s">
        <v>115</v>
      </c>
      <c r="P2513" s="30" t="s">
        <v>112</v>
      </c>
      <c r="Q2513" s="30" t="s">
        <v>112</v>
      </c>
      <c r="R2513" s="30" t="s">
        <v>185</v>
      </c>
      <c r="S2513" s="81">
        <f>HLOOKUP(L2513,データについて!$J$6:$M$18,13,FALSE)</f>
        <v>2</v>
      </c>
      <c r="T2513" s="81">
        <f>HLOOKUP(M2513,データについて!$J$7:$M$18,12,FALSE)</f>
        <v>1</v>
      </c>
      <c r="U2513" s="81">
        <f>HLOOKUP(N2513,データについて!$J$8:$M$18,11,FALSE)</f>
        <v>2</v>
      </c>
      <c r="V2513" s="81">
        <f>HLOOKUP(O2513,データについて!$J$9:$M$18,10,FALSE)</f>
        <v>1</v>
      </c>
      <c r="W2513" s="81">
        <f>HLOOKUP(P2513,データについて!$J$10:$M$18,9,FALSE)</f>
        <v>1</v>
      </c>
      <c r="X2513" s="81">
        <f>HLOOKUP(Q2513,データについて!$J$11:$M$18,8,FALSE)</f>
        <v>1</v>
      </c>
      <c r="Y2513" s="81">
        <f>HLOOKUP(R2513,データについて!$J$12:$M$18,7,FALSE)</f>
        <v>2</v>
      </c>
      <c r="Z2513" s="81">
        <f>HLOOKUP(I2513,データについて!$J$3:$M$18,16,FALSE)</f>
        <v>1</v>
      </c>
      <c r="AA2513" s="81">
        <f>IFERROR(HLOOKUP(J2513,データについて!$J$4:$AH$19,16,FALSE),"")</f>
        <v>1</v>
      </c>
      <c r="AB2513" s="81" t="str">
        <f>IFERROR(HLOOKUP(K2513,データについて!$J$5:$AH$20,14,FALSE),"")</f>
        <v/>
      </c>
      <c r="AC2513" s="81">
        <f>IF(X2513=1,HLOOKUP(R2513,データについて!$J$12:$M$18,7,FALSE),"*")</f>
        <v>2</v>
      </c>
      <c r="AD2513" s="81" t="str">
        <f>IF(X2513=2,HLOOKUP(R2513,データについて!$J$12:$M$18,7,FALSE),"*")</f>
        <v>*</v>
      </c>
    </row>
    <row r="2514" spans="1:30">
      <c r="A2514" s="30">
        <v>2678</v>
      </c>
      <c r="B2514" s="30" t="s">
        <v>264</v>
      </c>
      <c r="C2514" s="30" t="s">
        <v>265</v>
      </c>
      <c r="D2514" s="30" t="s">
        <v>106</v>
      </c>
      <c r="E2514" s="30"/>
      <c r="F2514" s="30" t="s">
        <v>107</v>
      </c>
      <c r="G2514" s="30" t="s">
        <v>106</v>
      </c>
      <c r="H2514" s="30"/>
      <c r="I2514" s="30" t="s">
        <v>192</v>
      </c>
      <c r="J2514" s="30" t="s">
        <v>128</v>
      </c>
      <c r="K2514" s="30"/>
      <c r="L2514" s="30" t="s">
        <v>117</v>
      </c>
      <c r="M2514" s="30" t="s">
        <v>113</v>
      </c>
      <c r="N2514" s="30" t="s">
        <v>110</v>
      </c>
      <c r="O2514" s="30" t="s">
        <v>115</v>
      </c>
      <c r="P2514" s="30" t="s">
        <v>112</v>
      </c>
      <c r="Q2514" s="30" t="s">
        <v>112</v>
      </c>
      <c r="R2514" s="30" t="s">
        <v>185</v>
      </c>
      <c r="S2514" s="81">
        <f>HLOOKUP(L2514,データについて!$J$6:$M$18,13,FALSE)</f>
        <v>2</v>
      </c>
      <c r="T2514" s="81">
        <f>HLOOKUP(M2514,データについて!$J$7:$M$18,12,FALSE)</f>
        <v>1</v>
      </c>
      <c r="U2514" s="81">
        <f>HLOOKUP(N2514,データについて!$J$8:$M$18,11,FALSE)</f>
        <v>2</v>
      </c>
      <c r="V2514" s="81">
        <f>HLOOKUP(O2514,データについて!$J$9:$M$18,10,FALSE)</f>
        <v>1</v>
      </c>
      <c r="W2514" s="81">
        <f>HLOOKUP(P2514,データについて!$J$10:$M$18,9,FALSE)</f>
        <v>1</v>
      </c>
      <c r="X2514" s="81">
        <f>HLOOKUP(Q2514,データについて!$J$11:$M$18,8,FALSE)</f>
        <v>1</v>
      </c>
      <c r="Y2514" s="81">
        <f>HLOOKUP(R2514,データについて!$J$12:$M$18,7,FALSE)</f>
        <v>2</v>
      </c>
      <c r="Z2514" s="81">
        <f>HLOOKUP(I2514,データについて!$J$3:$M$18,16,FALSE)</f>
        <v>1</v>
      </c>
      <c r="AA2514" s="81">
        <f>IFERROR(HLOOKUP(J2514,データについて!$J$4:$AH$19,16,FALSE),"")</f>
        <v>1</v>
      </c>
      <c r="AB2514" s="81" t="str">
        <f>IFERROR(HLOOKUP(K2514,データについて!$J$5:$AH$20,14,FALSE),"")</f>
        <v/>
      </c>
      <c r="AC2514" s="81">
        <f>IF(X2514=1,HLOOKUP(R2514,データについて!$J$12:$M$18,7,FALSE),"*")</f>
        <v>2</v>
      </c>
      <c r="AD2514" s="81" t="str">
        <f>IF(X2514=2,HLOOKUP(R2514,データについて!$J$12:$M$18,7,FALSE),"*")</f>
        <v>*</v>
      </c>
    </row>
    <row r="2515" spans="1:30">
      <c r="A2515" s="30">
        <v>2677</v>
      </c>
      <c r="B2515" s="30" t="s">
        <v>266</v>
      </c>
      <c r="C2515" s="30" t="s">
        <v>265</v>
      </c>
      <c r="D2515" s="30" t="s">
        <v>106</v>
      </c>
      <c r="E2515" s="30"/>
      <c r="F2515" s="30" t="s">
        <v>107</v>
      </c>
      <c r="G2515" s="30" t="s">
        <v>106</v>
      </c>
      <c r="H2515" s="30"/>
      <c r="I2515" s="30" t="s">
        <v>192</v>
      </c>
      <c r="J2515" s="30" t="s">
        <v>128</v>
      </c>
      <c r="K2515" s="30"/>
      <c r="L2515" s="30" t="s">
        <v>117</v>
      </c>
      <c r="M2515" s="30" t="s">
        <v>109</v>
      </c>
      <c r="N2515" s="30" t="s">
        <v>110</v>
      </c>
      <c r="O2515" s="30" t="s">
        <v>115</v>
      </c>
      <c r="P2515" s="30" t="s">
        <v>112</v>
      </c>
      <c r="Q2515" s="30" t="s">
        <v>112</v>
      </c>
      <c r="R2515" s="30" t="s">
        <v>185</v>
      </c>
      <c r="S2515" s="81">
        <f>HLOOKUP(L2515,データについて!$J$6:$M$18,13,FALSE)</f>
        <v>2</v>
      </c>
      <c r="T2515" s="81">
        <f>HLOOKUP(M2515,データについて!$J$7:$M$18,12,FALSE)</f>
        <v>2</v>
      </c>
      <c r="U2515" s="81">
        <f>HLOOKUP(N2515,データについて!$J$8:$M$18,11,FALSE)</f>
        <v>2</v>
      </c>
      <c r="V2515" s="81">
        <f>HLOOKUP(O2515,データについて!$J$9:$M$18,10,FALSE)</f>
        <v>1</v>
      </c>
      <c r="W2515" s="81">
        <f>HLOOKUP(P2515,データについて!$J$10:$M$18,9,FALSE)</f>
        <v>1</v>
      </c>
      <c r="X2515" s="81">
        <f>HLOOKUP(Q2515,データについて!$J$11:$M$18,8,FALSE)</f>
        <v>1</v>
      </c>
      <c r="Y2515" s="81">
        <f>HLOOKUP(R2515,データについて!$J$12:$M$18,7,FALSE)</f>
        <v>2</v>
      </c>
      <c r="Z2515" s="81">
        <f>HLOOKUP(I2515,データについて!$J$3:$M$18,16,FALSE)</f>
        <v>1</v>
      </c>
      <c r="AA2515" s="81">
        <f>IFERROR(HLOOKUP(J2515,データについて!$J$4:$AH$19,16,FALSE),"")</f>
        <v>1</v>
      </c>
      <c r="AB2515" s="81" t="str">
        <f>IFERROR(HLOOKUP(K2515,データについて!$J$5:$AH$20,14,FALSE),"")</f>
        <v/>
      </c>
      <c r="AC2515" s="81">
        <f>IF(X2515=1,HLOOKUP(R2515,データについて!$J$12:$M$18,7,FALSE),"*")</f>
        <v>2</v>
      </c>
      <c r="AD2515" s="81" t="str">
        <f>IF(X2515=2,HLOOKUP(R2515,データについて!$J$12:$M$18,7,FALSE),"*")</f>
        <v>*</v>
      </c>
    </row>
    <row r="2516" spans="1:30">
      <c r="A2516" s="30">
        <v>2676</v>
      </c>
      <c r="B2516" s="30" t="s">
        <v>267</v>
      </c>
      <c r="C2516" s="30" t="s">
        <v>265</v>
      </c>
      <c r="D2516" s="30" t="s">
        <v>106</v>
      </c>
      <c r="E2516" s="30"/>
      <c r="F2516" s="30" t="s">
        <v>107</v>
      </c>
      <c r="G2516" s="30" t="s">
        <v>106</v>
      </c>
      <c r="H2516" s="30"/>
      <c r="I2516" s="30" t="s">
        <v>192</v>
      </c>
      <c r="J2516" s="30" t="s">
        <v>128</v>
      </c>
      <c r="K2516" s="30"/>
      <c r="L2516" s="30" t="s">
        <v>117</v>
      </c>
      <c r="M2516" s="30" t="s">
        <v>113</v>
      </c>
      <c r="N2516" s="30" t="s">
        <v>110</v>
      </c>
      <c r="O2516" s="30" t="s">
        <v>115</v>
      </c>
      <c r="P2516" s="30" t="s">
        <v>112</v>
      </c>
      <c r="Q2516" s="30" t="s">
        <v>112</v>
      </c>
      <c r="R2516" s="30" t="s">
        <v>185</v>
      </c>
      <c r="S2516" s="81">
        <f>HLOOKUP(L2516,データについて!$J$6:$M$18,13,FALSE)</f>
        <v>2</v>
      </c>
      <c r="T2516" s="81">
        <f>HLOOKUP(M2516,データについて!$J$7:$M$18,12,FALSE)</f>
        <v>1</v>
      </c>
      <c r="U2516" s="81">
        <f>HLOOKUP(N2516,データについて!$J$8:$M$18,11,FALSE)</f>
        <v>2</v>
      </c>
      <c r="V2516" s="81">
        <f>HLOOKUP(O2516,データについて!$J$9:$M$18,10,FALSE)</f>
        <v>1</v>
      </c>
      <c r="W2516" s="81">
        <f>HLOOKUP(P2516,データについて!$J$10:$M$18,9,FALSE)</f>
        <v>1</v>
      </c>
      <c r="X2516" s="81">
        <f>HLOOKUP(Q2516,データについて!$J$11:$M$18,8,FALSE)</f>
        <v>1</v>
      </c>
      <c r="Y2516" s="81">
        <f>HLOOKUP(R2516,データについて!$J$12:$M$18,7,FALSE)</f>
        <v>2</v>
      </c>
      <c r="Z2516" s="81">
        <f>HLOOKUP(I2516,データについて!$J$3:$M$18,16,FALSE)</f>
        <v>1</v>
      </c>
      <c r="AA2516" s="81">
        <f>IFERROR(HLOOKUP(J2516,データについて!$J$4:$AH$19,16,FALSE),"")</f>
        <v>1</v>
      </c>
      <c r="AB2516" s="81" t="str">
        <f>IFERROR(HLOOKUP(K2516,データについて!$J$5:$AH$20,14,FALSE),"")</f>
        <v/>
      </c>
      <c r="AC2516" s="81">
        <f>IF(X2516=1,HLOOKUP(R2516,データについて!$J$12:$M$18,7,FALSE),"*")</f>
        <v>2</v>
      </c>
      <c r="AD2516" s="81" t="str">
        <f>IF(X2516=2,HLOOKUP(R2516,データについて!$J$12:$M$18,7,FALSE),"*")</f>
        <v>*</v>
      </c>
    </row>
    <row r="2517" spans="1:30">
      <c r="A2517" s="30">
        <v>2675</v>
      </c>
      <c r="B2517" s="30" t="s">
        <v>268</v>
      </c>
      <c r="C2517" s="30" t="s">
        <v>265</v>
      </c>
      <c r="D2517" s="30" t="s">
        <v>106</v>
      </c>
      <c r="E2517" s="30"/>
      <c r="F2517" s="30" t="s">
        <v>107</v>
      </c>
      <c r="G2517" s="30" t="s">
        <v>106</v>
      </c>
      <c r="H2517" s="30"/>
      <c r="I2517" s="30" t="s">
        <v>192</v>
      </c>
      <c r="J2517" s="30" t="s">
        <v>128</v>
      </c>
      <c r="K2517" s="30"/>
      <c r="L2517" s="30" t="s">
        <v>108</v>
      </c>
      <c r="M2517" s="30" t="s">
        <v>113</v>
      </c>
      <c r="N2517" s="30" t="s">
        <v>114</v>
      </c>
      <c r="O2517" s="30" t="s">
        <v>123</v>
      </c>
      <c r="P2517" s="30" t="s">
        <v>112</v>
      </c>
      <c r="Q2517" s="30" t="s">
        <v>112</v>
      </c>
      <c r="R2517" s="30" t="s">
        <v>189</v>
      </c>
      <c r="S2517" s="81">
        <f>HLOOKUP(L2517,データについて!$J$6:$M$18,13,FALSE)</f>
        <v>1</v>
      </c>
      <c r="T2517" s="81">
        <f>HLOOKUP(M2517,データについて!$J$7:$M$18,12,FALSE)</f>
        <v>1</v>
      </c>
      <c r="U2517" s="81">
        <f>HLOOKUP(N2517,データについて!$J$8:$M$18,11,FALSE)</f>
        <v>1</v>
      </c>
      <c r="V2517" s="81">
        <f>HLOOKUP(O2517,データについて!$J$9:$M$18,10,FALSE)</f>
        <v>4</v>
      </c>
      <c r="W2517" s="81">
        <f>HLOOKUP(P2517,データについて!$J$10:$M$18,9,FALSE)</f>
        <v>1</v>
      </c>
      <c r="X2517" s="81">
        <f>HLOOKUP(Q2517,データについて!$J$11:$M$18,8,FALSE)</f>
        <v>1</v>
      </c>
      <c r="Y2517" s="81">
        <f>HLOOKUP(R2517,データについて!$J$12:$M$18,7,FALSE)</f>
        <v>4</v>
      </c>
      <c r="Z2517" s="81">
        <f>HLOOKUP(I2517,データについて!$J$3:$M$18,16,FALSE)</f>
        <v>1</v>
      </c>
      <c r="AA2517" s="81">
        <f>IFERROR(HLOOKUP(J2517,データについて!$J$4:$AH$19,16,FALSE),"")</f>
        <v>1</v>
      </c>
      <c r="AB2517" s="81" t="str">
        <f>IFERROR(HLOOKUP(K2517,データについて!$J$5:$AH$20,14,FALSE),"")</f>
        <v/>
      </c>
      <c r="AC2517" s="81">
        <f>IF(X2517=1,HLOOKUP(R2517,データについて!$J$12:$M$18,7,FALSE),"*")</f>
        <v>4</v>
      </c>
      <c r="AD2517" s="81" t="str">
        <f>IF(X2517=2,HLOOKUP(R2517,データについて!$J$12:$M$18,7,FALSE),"*")</f>
        <v>*</v>
      </c>
    </row>
    <row r="2518" spans="1:30">
      <c r="A2518" s="30">
        <v>2674</v>
      </c>
      <c r="B2518" s="30" t="s">
        <v>269</v>
      </c>
      <c r="C2518" s="30" t="s">
        <v>270</v>
      </c>
      <c r="D2518" s="30" t="s">
        <v>106</v>
      </c>
      <c r="E2518" s="30"/>
      <c r="F2518" s="30" t="s">
        <v>107</v>
      </c>
      <c r="G2518" s="30" t="s">
        <v>106</v>
      </c>
      <c r="H2518" s="30"/>
      <c r="I2518" s="30" t="s">
        <v>192</v>
      </c>
      <c r="J2518" s="30" t="s">
        <v>128</v>
      </c>
      <c r="K2518" s="30"/>
      <c r="L2518" s="30" t="s">
        <v>117</v>
      </c>
      <c r="M2518" s="30" t="s">
        <v>109</v>
      </c>
      <c r="N2518" s="30" t="s">
        <v>114</v>
      </c>
      <c r="O2518" s="30" t="s">
        <v>115</v>
      </c>
      <c r="P2518" s="30" t="s">
        <v>112</v>
      </c>
      <c r="Q2518" s="30" t="s">
        <v>112</v>
      </c>
      <c r="R2518" s="30" t="s">
        <v>187</v>
      </c>
      <c r="S2518" s="81">
        <f>HLOOKUP(L2518,データについて!$J$6:$M$18,13,FALSE)</f>
        <v>2</v>
      </c>
      <c r="T2518" s="81">
        <f>HLOOKUP(M2518,データについて!$J$7:$M$18,12,FALSE)</f>
        <v>2</v>
      </c>
      <c r="U2518" s="81">
        <f>HLOOKUP(N2518,データについて!$J$8:$M$18,11,FALSE)</f>
        <v>1</v>
      </c>
      <c r="V2518" s="81">
        <f>HLOOKUP(O2518,データについて!$J$9:$M$18,10,FALSE)</f>
        <v>1</v>
      </c>
      <c r="W2518" s="81">
        <f>HLOOKUP(P2518,データについて!$J$10:$M$18,9,FALSE)</f>
        <v>1</v>
      </c>
      <c r="X2518" s="81">
        <f>HLOOKUP(Q2518,データについて!$J$11:$M$18,8,FALSE)</f>
        <v>1</v>
      </c>
      <c r="Y2518" s="81">
        <f>HLOOKUP(R2518,データについて!$J$12:$M$18,7,FALSE)</f>
        <v>3</v>
      </c>
      <c r="Z2518" s="81">
        <f>HLOOKUP(I2518,データについて!$J$3:$M$18,16,FALSE)</f>
        <v>1</v>
      </c>
      <c r="AA2518" s="81">
        <f>IFERROR(HLOOKUP(J2518,データについて!$J$4:$AH$19,16,FALSE),"")</f>
        <v>1</v>
      </c>
      <c r="AB2518" s="81" t="str">
        <f>IFERROR(HLOOKUP(K2518,データについて!$J$5:$AH$20,14,FALSE),"")</f>
        <v/>
      </c>
      <c r="AC2518" s="81">
        <f>IF(X2518=1,HLOOKUP(R2518,データについて!$J$12:$M$18,7,FALSE),"*")</f>
        <v>3</v>
      </c>
      <c r="AD2518" s="81" t="str">
        <f>IF(X2518=2,HLOOKUP(R2518,データについて!$J$12:$M$18,7,FALSE),"*")</f>
        <v>*</v>
      </c>
    </row>
    <row r="2519" spans="1:30">
      <c r="A2519" s="30">
        <v>2673</v>
      </c>
      <c r="B2519" s="30" t="s">
        <v>271</v>
      </c>
      <c r="C2519" s="30" t="s">
        <v>272</v>
      </c>
      <c r="D2519" s="30" t="s">
        <v>106</v>
      </c>
      <c r="E2519" s="30"/>
      <c r="F2519" s="30" t="s">
        <v>107</v>
      </c>
      <c r="G2519" s="30" t="s">
        <v>106</v>
      </c>
      <c r="H2519" s="30"/>
      <c r="I2519" s="30" t="s">
        <v>192</v>
      </c>
      <c r="J2519" s="30" t="s">
        <v>128</v>
      </c>
      <c r="K2519" s="30"/>
      <c r="L2519" s="30" t="s">
        <v>108</v>
      </c>
      <c r="M2519" s="30" t="s">
        <v>109</v>
      </c>
      <c r="N2519" s="30" t="s">
        <v>114</v>
      </c>
      <c r="O2519" s="30" t="s">
        <v>115</v>
      </c>
      <c r="P2519" s="30" t="s">
        <v>112</v>
      </c>
      <c r="Q2519" s="30" t="s">
        <v>112</v>
      </c>
      <c r="R2519" s="30" t="s">
        <v>185</v>
      </c>
      <c r="S2519" s="81">
        <f>HLOOKUP(L2519,データについて!$J$6:$M$18,13,FALSE)</f>
        <v>1</v>
      </c>
      <c r="T2519" s="81">
        <f>HLOOKUP(M2519,データについて!$J$7:$M$18,12,FALSE)</f>
        <v>2</v>
      </c>
      <c r="U2519" s="81">
        <f>HLOOKUP(N2519,データについて!$J$8:$M$18,11,FALSE)</f>
        <v>1</v>
      </c>
      <c r="V2519" s="81">
        <f>HLOOKUP(O2519,データについて!$J$9:$M$18,10,FALSE)</f>
        <v>1</v>
      </c>
      <c r="W2519" s="81">
        <f>HLOOKUP(P2519,データについて!$J$10:$M$18,9,FALSE)</f>
        <v>1</v>
      </c>
      <c r="X2519" s="81">
        <f>HLOOKUP(Q2519,データについて!$J$11:$M$18,8,FALSE)</f>
        <v>1</v>
      </c>
      <c r="Y2519" s="81">
        <f>HLOOKUP(R2519,データについて!$J$12:$M$18,7,FALSE)</f>
        <v>2</v>
      </c>
      <c r="Z2519" s="81">
        <f>HLOOKUP(I2519,データについて!$J$3:$M$18,16,FALSE)</f>
        <v>1</v>
      </c>
      <c r="AA2519" s="81">
        <f>IFERROR(HLOOKUP(J2519,データについて!$J$4:$AH$19,16,FALSE),"")</f>
        <v>1</v>
      </c>
      <c r="AB2519" s="81" t="str">
        <f>IFERROR(HLOOKUP(K2519,データについて!$J$5:$AH$20,14,FALSE),"")</f>
        <v/>
      </c>
      <c r="AC2519" s="81">
        <f>IF(X2519=1,HLOOKUP(R2519,データについて!$J$12:$M$18,7,FALSE),"*")</f>
        <v>2</v>
      </c>
      <c r="AD2519" s="81" t="str">
        <f>IF(X2519=2,HLOOKUP(R2519,データについて!$J$12:$M$18,7,FALSE),"*")</f>
        <v>*</v>
      </c>
    </row>
    <row r="2520" spans="1:30">
      <c r="A2520" s="30">
        <v>2672</v>
      </c>
      <c r="B2520" s="30" t="s">
        <v>273</v>
      </c>
      <c r="C2520" s="30" t="s">
        <v>274</v>
      </c>
      <c r="D2520" s="30" t="s">
        <v>106</v>
      </c>
      <c r="E2520" s="30"/>
      <c r="F2520" s="30" t="s">
        <v>107</v>
      </c>
      <c r="G2520" s="30" t="s">
        <v>106</v>
      </c>
      <c r="H2520" s="30"/>
      <c r="I2520" s="30" t="s">
        <v>192</v>
      </c>
      <c r="J2520" s="30" t="s">
        <v>128</v>
      </c>
      <c r="K2520" s="30"/>
      <c r="L2520" s="30" t="s">
        <v>117</v>
      </c>
      <c r="M2520" s="30" t="s">
        <v>109</v>
      </c>
      <c r="N2520" s="30" t="s">
        <v>114</v>
      </c>
      <c r="O2520" s="30" t="s">
        <v>115</v>
      </c>
      <c r="P2520" s="30" t="s">
        <v>112</v>
      </c>
      <c r="Q2520" s="30" t="s">
        <v>112</v>
      </c>
      <c r="R2520" s="30" t="s">
        <v>185</v>
      </c>
      <c r="S2520" s="81">
        <f>HLOOKUP(L2520,データについて!$J$6:$M$18,13,FALSE)</f>
        <v>2</v>
      </c>
      <c r="T2520" s="81">
        <f>HLOOKUP(M2520,データについて!$J$7:$M$18,12,FALSE)</f>
        <v>2</v>
      </c>
      <c r="U2520" s="81">
        <f>HLOOKUP(N2520,データについて!$J$8:$M$18,11,FALSE)</f>
        <v>1</v>
      </c>
      <c r="V2520" s="81">
        <f>HLOOKUP(O2520,データについて!$J$9:$M$18,10,FALSE)</f>
        <v>1</v>
      </c>
      <c r="W2520" s="81">
        <f>HLOOKUP(P2520,データについて!$J$10:$M$18,9,FALSE)</f>
        <v>1</v>
      </c>
      <c r="X2520" s="81">
        <f>HLOOKUP(Q2520,データについて!$J$11:$M$18,8,FALSE)</f>
        <v>1</v>
      </c>
      <c r="Y2520" s="81">
        <f>HLOOKUP(R2520,データについて!$J$12:$M$18,7,FALSE)</f>
        <v>2</v>
      </c>
      <c r="Z2520" s="81">
        <f>HLOOKUP(I2520,データについて!$J$3:$M$18,16,FALSE)</f>
        <v>1</v>
      </c>
      <c r="AA2520" s="81">
        <f>IFERROR(HLOOKUP(J2520,データについて!$J$4:$AH$19,16,FALSE),"")</f>
        <v>1</v>
      </c>
      <c r="AB2520" s="81" t="str">
        <f>IFERROR(HLOOKUP(K2520,データについて!$J$5:$AH$20,14,FALSE),"")</f>
        <v/>
      </c>
      <c r="AC2520" s="81">
        <f>IF(X2520=1,HLOOKUP(R2520,データについて!$J$12:$M$18,7,FALSE),"*")</f>
        <v>2</v>
      </c>
      <c r="AD2520" s="81" t="str">
        <f>IF(X2520=2,HLOOKUP(R2520,データについて!$J$12:$M$18,7,FALSE),"*")</f>
        <v>*</v>
      </c>
    </row>
    <row r="2521" spans="1:30">
      <c r="A2521" s="30">
        <v>2671</v>
      </c>
      <c r="B2521" s="30" t="s">
        <v>275</v>
      </c>
      <c r="C2521" s="30" t="s">
        <v>276</v>
      </c>
      <c r="D2521" s="30" t="s">
        <v>106</v>
      </c>
      <c r="E2521" s="30"/>
      <c r="F2521" s="30" t="s">
        <v>107</v>
      </c>
      <c r="G2521" s="30" t="s">
        <v>106</v>
      </c>
      <c r="H2521" s="30"/>
      <c r="I2521" s="30" t="s">
        <v>192</v>
      </c>
      <c r="J2521" s="30" t="s">
        <v>128</v>
      </c>
      <c r="K2521" s="30"/>
      <c r="L2521" s="30" t="s">
        <v>108</v>
      </c>
      <c r="M2521" s="30" t="s">
        <v>109</v>
      </c>
      <c r="N2521" s="30" t="s">
        <v>122</v>
      </c>
      <c r="O2521" s="30" t="s">
        <v>115</v>
      </c>
      <c r="P2521" s="30" t="s">
        <v>112</v>
      </c>
      <c r="Q2521" s="30" t="s">
        <v>112</v>
      </c>
      <c r="R2521" s="30" t="s">
        <v>185</v>
      </c>
      <c r="S2521" s="81">
        <f>HLOOKUP(L2521,データについて!$J$6:$M$18,13,FALSE)</f>
        <v>1</v>
      </c>
      <c r="T2521" s="81">
        <f>HLOOKUP(M2521,データについて!$J$7:$M$18,12,FALSE)</f>
        <v>2</v>
      </c>
      <c r="U2521" s="81">
        <f>HLOOKUP(N2521,データについて!$J$8:$M$18,11,FALSE)</f>
        <v>3</v>
      </c>
      <c r="V2521" s="81">
        <f>HLOOKUP(O2521,データについて!$J$9:$M$18,10,FALSE)</f>
        <v>1</v>
      </c>
      <c r="W2521" s="81">
        <f>HLOOKUP(P2521,データについて!$J$10:$M$18,9,FALSE)</f>
        <v>1</v>
      </c>
      <c r="X2521" s="81">
        <f>HLOOKUP(Q2521,データについて!$J$11:$M$18,8,FALSE)</f>
        <v>1</v>
      </c>
      <c r="Y2521" s="81">
        <f>HLOOKUP(R2521,データについて!$J$12:$M$18,7,FALSE)</f>
        <v>2</v>
      </c>
      <c r="Z2521" s="81">
        <f>HLOOKUP(I2521,データについて!$J$3:$M$18,16,FALSE)</f>
        <v>1</v>
      </c>
      <c r="AA2521" s="81">
        <f>IFERROR(HLOOKUP(J2521,データについて!$J$4:$AH$19,16,FALSE),"")</f>
        <v>1</v>
      </c>
      <c r="AB2521" s="81" t="str">
        <f>IFERROR(HLOOKUP(K2521,データについて!$J$5:$AH$20,14,FALSE),"")</f>
        <v/>
      </c>
      <c r="AC2521" s="81">
        <f>IF(X2521=1,HLOOKUP(R2521,データについて!$J$12:$M$18,7,FALSE),"*")</f>
        <v>2</v>
      </c>
      <c r="AD2521" s="81" t="str">
        <f>IF(X2521=2,HLOOKUP(R2521,データについて!$J$12:$M$18,7,FALSE),"*")</f>
        <v>*</v>
      </c>
    </row>
    <row r="2522" spans="1:30">
      <c r="A2522" s="30">
        <v>2670</v>
      </c>
      <c r="B2522" s="30" t="s">
        <v>277</v>
      </c>
      <c r="C2522" s="30" t="s">
        <v>276</v>
      </c>
      <c r="D2522" s="30" t="s">
        <v>106</v>
      </c>
      <c r="E2522" s="30"/>
      <c r="F2522" s="30" t="s">
        <v>107</v>
      </c>
      <c r="G2522" s="30" t="s">
        <v>106</v>
      </c>
      <c r="H2522" s="30"/>
      <c r="I2522" s="30" t="s">
        <v>192</v>
      </c>
      <c r="J2522" s="30" t="s">
        <v>128</v>
      </c>
      <c r="K2522" s="30"/>
      <c r="L2522" s="30" t="s">
        <v>117</v>
      </c>
      <c r="M2522" s="30" t="s">
        <v>113</v>
      </c>
      <c r="N2522" s="30" t="s">
        <v>114</v>
      </c>
      <c r="O2522" s="30" t="s">
        <v>115</v>
      </c>
      <c r="P2522" s="30" t="s">
        <v>112</v>
      </c>
      <c r="Q2522" s="30" t="s">
        <v>112</v>
      </c>
      <c r="R2522" s="30" t="s">
        <v>183</v>
      </c>
      <c r="S2522" s="81">
        <f>HLOOKUP(L2522,データについて!$J$6:$M$18,13,FALSE)</f>
        <v>2</v>
      </c>
      <c r="T2522" s="81">
        <f>HLOOKUP(M2522,データについて!$J$7:$M$18,12,FALSE)</f>
        <v>1</v>
      </c>
      <c r="U2522" s="81">
        <f>HLOOKUP(N2522,データについて!$J$8:$M$18,11,FALSE)</f>
        <v>1</v>
      </c>
      <c r="V2522" s="81">
        <f>HLOOKUP(O2522,データについて!$J$9:$M$18,10,FALSE)</f>
        <v>1</v>
      </c>
      <c r="W2522" s="81">
        <f>HLOOKUP(P2522,データについて!$J$10:$M$18,9,FALSE)</f>
        <v>1</v>
      </c>
      <c r="X2522" s="81">
        <f>HLOOKUP(Q2522,データについて!$J$11:$M$18,8,FALSE)</f>
        <v>1</v>
      </c>
      <c r="Y2522" s="81">
        <f>HLOOKUP(R2522,データについて!$J$12:$M$18,7,FALSE)</f>
        <v>1</v>
      </c>
      <c r="Z2522" s="81">
        <f>HLOOKUP(I2522,データについて!$J$3:$M$18,16,FALSE)</f>
        <v>1</v>
      </c>
      <c r="AA2522" s="81">
        <f>IFERROR(HLOOKUP(J2522,データについて!$J$4:$AH$19,16,FALSE),"")</f>
        <v>1</v>
      </c>
      <c r="AB2522" s="81" t="str">
        <f>IFERROR(HLOOKUP(K2522,データについて!$J$5:$AH$20,14,FALSE),"")</f>
        <v/>
      </c>
      <c r="AC2522" s="81">
        <f>IF(X2522=1,HLOOKUP(R2522,データについて!$J$12:$M$18,7,FALSE),"*")</f>
        <v>1</v>
      </c>
      <c r="AD2522" s="81" t="str">
        <f>IF(X2522=2,HLOOKUP(R2522,データについて!$J$12:$M$18,7,FALSE),"*")</f>
        <v>*</v>
      </c>
    </row>
    <row r="2523" spans="1:30">
      <c r="A2523" s="30">
        <v>2669</v>
      </c>
      <c r="B2523" s="30" t="s">
        <v>278</v>
      </c>
      <c r="C2523" s="30" t="s">
        <v>279</v>
      </c>
      <c r="D2523" s="30" t="s">
        <v>106</v>
      </c>
      <c r="E2523" s="30"/>
      <c r="F2523" s="30" t="s">
        <v>107</v>
      </c>
      <c r="G2523" s="30" t="s">
        <v>106</v>
      </c>
      <c r="H2523" s="30"/>
      <c r="I2523" s="30" t="s">
        <v>192</v>
      </c>
      <c r="J2523" s="30" t="s">
        <v>128</v>
      </c>
      <c r="K2523" s="30"/>
      <c r="L2523" s="30" t="s">
        <v>117</v>
      </c>
      <c r="M2523" s="30" t="s">
        <v>113</v>
      </c>
      <c r="N2523" s="30" t="s">
        <v>114</v>
      </c>
      <c r="O2523" s="30" t="s">
        <v>115</v>
      </c>
      <c r="P2523" s="30" t="s">
        <v>112</v>
      </c>
      <c r="Q2523" s="30" t="s">
        <v>112</v>
      </c>
      <c r="R2523" s="30" t="s">
        <v>187</v>
      </c>
      <c r="S2523" s="81">
        <f>HLOOKUP(L2523,データについて!$J$6:$M$18,13,FALSE)</f>
        <v>2</v>
      </c>
      <c r="T2523" s="81">
        <f>HLOOKUP(M2523,データについて!$J$7:$M$18,12,FALSE)</f>
        <v>1</v>
      </c>
      <c r="U2523" s="81">
        <f>HLOOKUP(N2523,データについて!$J$8:$M$18,11,FALSE)</f>
        <v>1</v>
      </c>
      <c r="V2523" s="81">
        <f>HLOOKUP(O2523,データについて!$J$9:$M$18,10,FALSE)</f>
        <v>1</v>
      </c>
      <c r="W2523" s="81">
        <f>HLOOKUP(P2523,データについて!$J$10:$M$18,9,FALSE)</f>
        <v>1</v>
      </c>
      <c r="X2523" s="81">
        <f>HLOOKUP(Q2523,データについて!$J$11:$M$18,8,FALSE)</f>
        <v>1</v>
      </c>
      <c r="Y2523" s="81">
        <f>HLOOKUP(R2523,データについて!$J$12:$M$18,7,FALSE)</f>
        <v>3</v>
      </c>
      <c r="Z2523" s="81">
        <f>HLOOKUP(I2523,データについて!$J$3:$M$18,16,FALSE)</f>
        <v>1</v>
      </c>
      <c r="AA2523" s="81">
        <f>IFERROR(HLOOKUP(J2523,データについて!$J$4:$AH$19,16,FALSE),"")</f>
        <v>1</v>
      </c>
      <c r="AB2523" s="81" t="str">
        <f>IFERROR(HLOOKUP(K2523,データについて!$J$5:$AH$20,14,FALSE),"")</f>
        <v/>
      </c>
      <c r="AC2523" s="81">
        <f>IF(X2523=1,HLOOKUP(R2523,データについて!$J$12:$M$18,7,FALSE),"*")</f>
        <v>3</v>
      </c>
      <c r="AD2523" s="81" t="str">
        <f>IF(X2523=2,HLOOKUP(R2523,データについて!$J$12:$M$18,7,FALSE),"*")</f>
        <v>*</v>
      </c>
    </row>
    <row r="2524" spans="1:30">
      <c r="A2524" s="30">
        <v>2668</v>
      </c>
      <c r="B2524" s="30" t="s">
        <v>280</v>
      </c>
      <c r="C2524" s="30" t="s">
        <v>281</v>
      </c>
      <c r="D2524" s="30" t="s">
        <v>106</v>
      </c>
      <c r="E2524" s="30"/>
      <c r="F2524" s="30" t="s">
        <v>107</v>
      </c>
      <c r="G2524" s="30" t="s">
        <v>106</v>
      </c>
      <c r="H2524" s="30"/>
      <c r="I2524" s="30" t="s">
        <v>192</v>
      </c>
      <c r="J2524" s="30" t="s">
        <v>128</v>
      </c>
      <c r="K2524" s="30"/>
      <c r="L2524" s="30" t="s">
        <v>117</v>
      </c>
      <c r="M2524" s="30" t="s">
        <v>113</v>
      </c>
      <c r="N2524" s="30" t="s">
        <v>114</v>
      </c>
      <c r="O2524" s="30" t="s">
        <v>115</v>
      </c>
      <c r="P2524" s="30" t="s">
        <v>112</v>
      </c>
      <c r="Q2524" s="30" t="s">
        <v>112</v>
      </c>
      <c r="R2524" s="30" t="s">
        <v>183</v>
      </c>
      <c r="S2524" s="81">
        <f>HLOOKUP(L2524,データについて!$J$6:$M$18,13,FALSE)</f>
        <v>2</v>
      </c>
      <c r="T2524" s="81">
        <f>HLOOKUP(M2524,データについて!$J$7:$M$18,12,FALSE)</f>
        <v>1</v>
      </c>
      <c r="U2524" s="81">
        <f>HLOOKUP(N2524,データについて!$J$8:$M$18,11,FALSE)</f>
        <v>1</v>
      </c>
      <c r="V2524" s="81">
        <f>HLOOKUP(O2524,データについて!$J$9:$M$18,10,FALSE)</f>
        <v>1</v>
      </c>
      <c r="W2524" s="81">
        <f>HLOOKUP(P2524,データについて!$J$10:$M$18,9,FALSE)</f>
        <v>1</v>
      </c>
      <c r="X2524" s="81">
        <f>HLOOKUP(Q2524,データについて!$J$11:$M$18,8,FALSE)</f>
        <v>1</v>
      </c>
      <c r="Y2524" s="81">
        <f>HLOOKUP(R2524,データについて!$J$12:$M$18,7,FALSE)</f>
        <v>1</v>
      </c>
      <c r="Z2524" s="81">
        <f>HLOOKUP(I2524,データについて!$J$3:$M$18,16,FALSE)</f>
        <v>1</v>
      </c>
      <c r="AA2524" s="81">
        <f>IFERROR(HLOOKUP(J2524,データについて!$J$4:$AH$19,16,FALSE),"")</f>
        <v>1</v>
      </c>
      <c r="AB2524" s="81" t="str">
        <f>IFERROR(HLOOKUP(K2524,データについて!$J$5:$AH$20,14,FALSE),"")</f>
        <v/>
      </c>
      <c r="AC2524" s="81">
        <f>IF(X2524=1,HLOOKUP(R2524,データについて!$J$12:$M$18,7,FALSE),"*")</f>
        <v>1</v>
      </c>
      <c r="AD2524" s="81" t="str">
        <f>IF(X2524=2,HLOOKUP(R2524,データについて!$J$12:$M$18,7,FALSE),"*")</f>
        <v>*</v>
      </c>
    </row>
    <row r="2525" spans="1:30">
      <c r="A2525" s="30">
        <v>2667</v>
      </c>
      <c r="B2525" s="30" t="s">
        <v>282</v>
      </c>
      <c r="C2525" s="30" t="s">
        <v>283</v>
      </c>
      <c r="D2525" s="30" t="s">
        <v>106</v>
      </c>
      <c r="E2525" s="30"/>
      <c r="F2525" s="30" t="s">
        <v>107</v>
      </c>
      <c r="G2525" s="30" t="s">
        <v>106</v>
      </c>
      <c r="H2525" s="30"/>
      <c r="I2525" s="30" t="s">
        <v>192</v>
      </c>
      <c r="J2525" s="30" t="s">
        <v>128</v>
      </c>
      <c r="K2525" s="30"/>
      <c r="L2525" s="30" t="s">
        <v>108</v>
      </c>
      <c r="M2525" s="30" t="s">
        <v>113</v>
      </c>
      <c r="N2525" s="30" t="s">
        <v>114</v>
      </c>
      <c r="O2525" s="30" t="s">
        <v>115</v>
      </c>
      <c r="P2525" s="30" t="s">
        <v>112</v>
      </c>
      <c r="Q2525" s="30" t="s">
        <v>112</v>
      </c>
      <c r="R2525" s="30" t="s">
        <v>183</v>
      </c>
      <c r="S2525" s="81">
        <f>HLOOKUP(L2525,データについて!$J$6:$M$18,13,FALSE)</f>
        <v>1</v>
      </c>
      <c r="T2525" s="81">
        <f>HLOOKUP(M2525,データについて!$J$7:$M$18,12,FALSE)</f>
        <v>1</v>
      </c>
      <c r="U2525" s="81">
        <f>HLOOKUP(N2525,データについて!$J$8:$M$18,11,FALSE)</f>
        <v>1</v>
      </c>
      <c r="V2525" s="81">
        <f>HLOOKUP(O2525,データについて!$J$9:$M$18,10,FALSE)</f>
        <v>1</v>
      </c>
      <c r="W2525" s="81">
        <f>HLOOKUP(P2525,データについて!$J$10:$M$18,9,FALSE)</f>
        <v>1</v>
      </c>
      <c r="X2525" s="81">
        <f>HLOOKUP(Q2525,データについて!$J$11:$M$18,8,FALSE)</f>
        <v>1</v>
      </c>
      <c r="Y2525" s="81">
        <f>HLOOKUP(R2525,データについて!$J$12:$M$18,7,FALSE)</f>
        <v>1</v>
      </c>
      <c r="Z2525" s="81">
        <f>HLOOKUP(I2525,データについて!$J$3:$M$18,16,FALSE)</f>
        <v>1</v>
      </c>
      <c r="AA2525" s="81">
        <f>IFERROR(HLOOKUP(J2525,データについて!$J$4:$AH$19,16,FALSE),"")</f>
        <v>1</v>
      </c>
      <c r="AB2525" s="81" t="str">
        <f>IFERROR(HLOOKUP(K2525,データについて!$J$5:$AH$20,14,FALSE),"")</f>
        <v/>
      </c>
      <c r="AC2525" s="81">
        <f>IF(X2525=1,HLOOKUP(R2525,データについて!$J$12:$M$18,7,FALSE),"*")</f>
        <v>1</v>
      </c>
      <c r="AD2525" s="81" t="str">
        <f>IF(X2525=2,HLOOKUP(R2525,データについて!$J$12:$M$18,7,FALSE),"*")</f>
        <v>*</v>
      </c>
    </row>
    <row r="2526" spans="1:30">
      <c r="A2526" s="30">
        <v>2666</v>
      </c>
      <c r="B2526" s="30" t="s">
        <v>284</v>
      </c>
      <c r="C2526" s="30" t="s">
        <v>285</v>
      </c>
      <c r="D2526" s="30" t="s">
        <v>106</v>
      </c>
      <c r="E2526" s="30"/>
      <c r="F2526" s="30" t="s">
        <v>107</v>
      </c>
      <c r="G2526" s="30" t="s">
        <v>106</v>
      </c>
      <c r="H2526" s="30"/>
      <c r="I2526" s="30" t="s">
        <v>192</v>
      </c>
      <c r="J2526" s="30" t="s">
        <v>128</v>
      </c>
      <c r="K2526" s="30"/>
      <c r="L2526" s="30" t="s">
        <v>108</v>
      </c>
      <c r="M2526" s="30" t="s">
        <v>113</v>
      </c>
      <c r="N2526" s="30" t="s">
        <v>110</v>
      </c>
      <c r="O2526" s="30" t="s">
        <v>115</v>
      </c>
      <c r="P2526" s="30" t="s">
        <v>112</v>
      </c>
      <c r="Q2526" s="30" t="s">
        <v>112</v>
      </c>
      <c r="R2526" s="30" t="s">
        <v>185</v>
      </c>
      <c r="S2526" s="81">
        <f>HLOOKUP(L2526,データについて!$J$6:$M$18,13,FALSE)</f>
        <v>1</v>
      </c>
      <c r="T2526" s="81">
        <f>HLOOKUP(M2526,データについて!$J$7:$M$18,12,FALSE)</f>
        <v>1</v>
      </c>
      <c r="U2526" s="81">
        <f>HLOOKUP(N2526,データについて!$J$8:$M$18,11,FALSE)</f>
        <v>2</v>
      </c>
      <c r="V2526" s="81">
        <f>HLOOKUP(O2526,データについて!$J$9:$M$18,10,FALSE)</f>
        <v>1</v>
      </c>
      <c r="W2526" s="81">
        <f>HLOOKUP(P2526,データについて!$J$10:$M$18,9,FALSE)</f>
        <v>1</v>
      </c>
      <c r="X2526" s="81">
        <f>HLOOKUP(Q2526,データについて!$J$11:$M$18,8,FALSE)</f>
        <v>1</v>
      </c>
      <c r="Y2526" s="81">
        <f>HLOOKUP(R2526,データについて!$J$12:$M$18,7,FALSE)</f>
        <v>2</v>
      </c>
      <c r="Z2526" s="81">
        <f>HLOOKUP(I2526,データについて!$J$3:$M$18,16,FALSE)</f>
        <v>1</v>
      </c>
      <c r="AA2526" s="81">
        <f>IFERROR(HLOOKUP(J2526,データについて!$J$4:$AH$19,16,FALSE),"")</f>
        <v>1</v>
      </c>
      <c r="AB2526" s="81" t="str">
        <f>IFERROR(HLOOKUP(K2526,データについて!$J$5:$AH$20,14,FALSE),"")</f>
        <v/>
      </c>
      <c r="AC2526" s="81">
        <f>IF(X2526=1,HLOOKUP(R2526,データについて!$J$12:$M$18,7,FALSE),"*")</f>
        <v>2</v>
      </c>
      <c r="AD2526" s="81" t="str">
        <f>IF(X2526=2,HLOOKUP(R2526,データについて!$J$12:$M$18,7,FALSE),"*")</f>
        <v>*</v>
      </c>
    </row>
    <row r="2527" spans="1:30">
      <c r="A2527" s="30">
        <v>2665</v>
      </c>
      <c r="B2527" s="30" t="s">
        <v>286</v>
      </c>
      <c r="C2527" s="30" t="s">
        <v>287</v>
      </c>
      <c r="D2527" s="30" t="s">
        <v>106</v>
      </c>
      <c r="E2527" s="30"/>
      <c r="F2527" s="30" t="s">
        <v>107</v>
      </c>
      <c r="G2527" s="30" t="s">
        <v>106</v>
      </c>
      <c r="H2527" s="30"/>
      <c r="I2527" s="30" t="s">
        <v>192</v>
      </c>
      <c r="J2527" s="30" t="s">
        <v>128</v>
      </c>
      <c r="K2527" s="30"/>
      <c r="L2527" s="30" t="s">
        <v>117</v>
      </c>
      <c r="M2527" s="30" t="s">
        <v>113</v>
      </c>
      <c r="N2527" s="30" t="s">
        <v>114</v>
      </c>
      <c r="O2527" s="30" t="s">
        <v>115</v>
      </c>
      <c r="P2527" s="30" t="s">
        <v>112</v>
      </c>
      <c r="Q2527" s="30" t="s">
        <v>112</v>
      </c>
      <c r="R2527" s="30" t="s">
        <v>183</v>
      </c>
      <c r="S2527" s="81">
        <f>HLOOKUP(L2527,データについて!$J$6:$M$18,13,FALSE)</f>
        <v>2</v>
      </c>
      <c r="T2527" s="81">
        <f>HLOOKUP(M2527,データについて!$J$7:$M$18,12,FALSE)</f>
        <v>1</v>
      </c>
      <c r="U2527" s="81">
        <f>HLOOKUP(N2527,データについて!$J$8:$M$18,11,FALSE)</f>
        <v>1</v>
      </c>
      <c r="V2527" s="81">
        <f>HLOOKUP(O2527,データについて!$J$9:$M$18,10,FALSE)</f>
        <v>1</v>
      </c>
      <c r="W2527" s="81">
        <f>HLOOKUP(P2527,データについて!$J$10:$M$18,9,FALSE)</f>
        <v>1</v>
      </c>
      <c r="X2527" s="81">
        <f>HLOOKUP(Q2527,データについて!$J$11:$M$18,8,FALSE)</f>
        <v>1</v>
      </c>
      <c r="Y2527" s="81">
        <f>HLOOKUP(R2527,データについて!$J$12:$M$18,7,FALSE)</f>
        <v>1</v>
      </c>
      <c r="Z2527" s="81">
        <f>HLOOKUP(I2527,データについて!$J$3:$M$18,16,FALSE)</f>
        <v>1</v>
      </c>
      <c r="AA2527" s="81">
        <f>IFERROR(HLOOKUP(J2527,データについて!$J$4:$AH$19,16,FALSE),"")</f>
        <v>1</v>
      </c>
      <c r="AB2527" s="81" t="str">
        <f>IFERROR(HLOOKUP(K2527,データについて!$J$5:$AH$20,14,FALSE),"")</f>
        <v/>
      </c>
      <c r="AC2527" s="81">
        <f>IF(X2527=1,HLOOKUP(R2527,データについて!$J$12:$M$18,7,FALSE),"*")</f>
        <v>1</v>
      </c>
      <c r="AD2527" s="81" t="str">
        <f>IF(X2527=2,HLOOKUP(R2527,データについて!$J$12:$M$18,7,FALSE),"*")</f>
        <v>*</v>
      </c>
    </row>
    <row r="2528" spans="1:30">
      <c r="A2528" s="30">
        <v>2664</v>
      </c>
      <c r="B2528" s="30" t="s">
        <v>288</v>
      </c>
      <c r="C2528" s="30" t="s">
        <v>289</v>
      </c>
      <c r="D2528" s="30" t="s">
        <v>106</v>
      </c>
      <c r="E2528" s="30"/>
      <c r="F2528" s="30" t="s">
        <v>107</v>
      </c>
      <c r="G2528" s="30" t="s">
        <v>106</v>
      </c>
      <c r="H2528" s="30"/>
      <c r="I2528" s="30" t="s">
        <v>192</v>
      </c>
      <c r="J2528" s="30" t="s">
        <v>128</v>
      </c>
      <c r="K2528" s="30"/>
      <c r="L2528" s="30" t="s">
        <v>108</v>
      </c>
      <c r="M2528" s="30" t="s">
        <v>109</v>
      </c>
      <c r="N2528" s="30" t="s">
        <v>114</v>
      </c>
      <c r="O2528" s="30" t="s">
        <v>115</v>
      </c>
      <c r="P2528" s="30" t="s">
        <v>112</v>
      </c>
      <c r="Q2528" s="30" t="s">
        <v>112</v>
      </c>
      <c r="R2528" s="30" t="s">
        <v>185</v>
      </c>
      <c r="S2528" s="81">
        <f>HLOOKUP(L2528,データについて!$J$6:$M$18,13,FALSE)</f>
        <v>1</v>
      </c>
      <c r="T2528" s="81">
        <f>HLOOKUP(M2528,データについて!$J$7:$M$18,12,FALSE)</f>
        <v>2</v>
      </c>
      <c r="U2528" s="81">
        <f>HLOOKUP(N2528,データについて!$J$8:$M$18,11,FALSE)</f>
        <v>1</v>
      </c>
      <c r="V2528" s="81">
        <f>HLOOKUP(O2528,データについて!$J$9:$M$18,10,FALSE)</f>
        <v>1</v>
      </c>
      <c r="W2528" s="81">
        <f>HLOOKUP(P2528,データについて!$J$10:$M$18,9,FALSE)</f>
        <v>1</v>
      </c>
      <c r="X2528" s="81">
        <f>HLOOKUP(Q2528,データについて!$J$11:$M$18,8,FALSE)</f>
        <v>1</v>
      </c>
      <c r="Y2528" s="81">
        <f>HLOOKUP(R2528,データについて!$J$12:$M$18,7,FALSE)</f>
        <v>2</v>
      </c>
      <c r="Z2528" s="81">
        <f>HLOOKUP(I2528,データについて!$J$3:$M$18,16,FALSE)</f>
        <v>1</v>
      </c>
      <c r="AA2528" s="81">
        <f>IFERROR(HLOOKUP(J2528,データについて!$J$4:$AH$19,16,FALSE),"")</f>
        <v>1</v>
      </c>
      <c r="AB2528" s="81" t="str">
        <f>IFERROR(HLOOKUP(K2528,データについて!$J$5:$AH$20,14,FALSE),"")</f>
        <v/>
      </c>
      <c r="AC2528" s="81">
        <f>IF(X2528=1,HLOOKUP(R2528,データについて!$J$12:$M$18,7,FALSE),"*")</f>
        <v>2</v>
      </c>
      <c r="AD2528" s="81" t="str">
        <f>IF(X2528=2,HLOOKUP(R2528,データについて!$J$12:$M$18,7,FALSE),"*")</f>
        <v>*</v>
      </c>
    </row>
    <row r="2529" spans="1:30">
      <c r="A2529" s="30">
        <v>2663</v>
      </c>
      <c r="B2529" s="30" t="s">
        <v>290</v>
      </c>
      <c r="C2529" s="30" t="s">
        <v>291</v>
      </c>
      <c r="D2529" s="30" t="s">
        <v>106</v>
      </c>
      <c r="E2529" s="30"/>
      <c r="F2529" s="30" t="s">
        <v>107</v>
      </c>
      <c r="G2529" s="30" t="s">
        <v>106</v>
      </c>
      <c r="H2529" s="30"/>
      <c r="I2529" s="30" t="s">
        <v>192</v>
      </c>
      <c r="J2529" s="30" t="s">
        <v>128</v>
      </c>
      <c r="K2529" s="30"/>
      <c r="L2529" s="30" t="s">
        <v>108</v>
      </c>
      <c r="M2529" s="30" t="s">
        <v>113</v>
      </c>
      <c r="N2529" s="30" t="s">
        <v>122</v>
      </c>
      <c r="O2529" s="30" t="s">
        <v>115</v>
      </c>
      <c r="P2529" s="30" t="s">
        <v>112</v>
      </c>
      <c r="Q2529" s="30" t="s">
        <v>112</v>
      </c>
      <c r="R2529" s="30" t="s">
        <v>183</v>
      </c>
      <c r="S2529" s="81">
        <f>HLOOKUP(L2529,データについて!$J$6:$M$18,13,FALSE)</f>
        <v>1</v>
      </c>
      <c r="T2529" s="81">
        <f>HLOOKUP(M2529,データについて!$J$7:$M$18,12,FALSE)</f>
        <v>1</v>
      </c>
      <c r="U2529" s="81">
        <f>HLOOKUP(N2529,データについて!$J$8:$M$18,11,FALSE)</f>
        <v>3</v>
      </c>
      <c r="V2529" s="81">
        <f>HLOOKUP(O2529,データについて!$J$9:$M$18,10,FALSE)</f>
        <v>1</v>
      </c>
      <c r="W2529" s="81">
        <f>HLOOKUP(P2529,データについて!$J$10:$M$18,9,FALSE)</f>
        <v>1</v>
      </c>
      <c r="X2529" s="81">
        <f>HLOOKUP(Q2529,データについて!$J$11:$M$18,8,FALSE)</f>
        <v>1</v>
      </c>
      <c r="Y2529" s="81">
        <f>HLOOKUP(R2529,データについて!$J$12:$M$18,7,FALSE)</f>
        <v>1</v>
      </c>
      <c r="Z2529" s="81">
        <f>HLOOKUP(I2529,データについて!$J$3:$M$18,16,FALSE)</f>
        <v>1</v>
      </c>
      <c r="AA2529" s="81">
        <f>IFERROR(HLOOKUP(J2529,データについて!$J$4:$AH$19,16,FALSE),"")</f>
        <v>1</v>
      </c>
      <c r="AB2529" s="81" t="str">
        <f>IFERROR(HLOOKUP(K2529,データについて!$J$5:$AH$20,14,FALSE),"")</f>
        <v/>
      </c>
      <c r="AC2529" s="81">
        <f>IF(X2529=1,HLOOKUP(R2529,データについて!$J$12:$M$18,7,FALSE),"*")</f>
        <v>1</v>
      </c>
      <c r="AD2529" s="81" t="str">
        <f>IF(X2529=2,HLOOKUP(R2529,データについて!$J$12:$M$18,7,FALSE),"*")</f>
        <v>*</v>
      </c>
    </row>
    <row r="2530" spans="1:30">
      <c r="A2530" s="30">
        <v>2662</v>
      </c>
      <c r="B2530" s="30" t="s">
        <v>292</v>
      </c>
      <c r="C2530" s="30" t="s">
        <v>293</v>
      </c>
      <c r="D2530" s="30" t="s">
        <v>106</v>
      </c>
      <c r="E2530" s="30"/>
      <c r="F2530" s="30" t="s">
        <v>107</v>
      </c>
      <c r="G2530" s="30" t="s">
        <v>106</v>
      </c>
      <c r="H2530" s="30"/>
      <c r="I2530" s="30" t="s">
        <v>192</v>
      </c>
      <c r="J2530" s="30" t="s">
        <v>128</v>
      </c>
      <c r="K2530" s="30"/>
      <c r="L2530" s="30" t="s">
        <v>108</v>
      </c>
      <c r="M2530" s="30" t="s">
        <v>113</v>
      </c>
      <c r="N2530" s="30" t="s">
        <v>114</v>
      </c>
      <c r="O2530" s="30" t="s">
        <v>115</v>
      </c>
      <c r="P2530" s="30" t="s">
        <v>112</v>
      </c>
      <c r="Q2530" s="30" t="s">
        <v>112</v>
      </c>
      <c r="R2530" s="30" t="s">
        <v>183</v>
      </c>
      <c r="S2530" s="81">
        <f>HLOOKUP(L2530,データについて!$J$6:$M$18,13,FALSE)</f>
        <v>1</v>
      </c>
      <c r="T2530" s="81">
        <f>HLOOKUP(M2530,データについて!$J$7:$M$18,12,FALSE)</f>
        <v>1</v>
      </c>
      <c r="U2530" s="81">
        <f>HLOOKUP(N2530,データについて!$J$8:$M$18,11,FALSE)</f>
        <v>1</v>
      </c>
      <c r="V2530" s="81">
        <f>HLOOKUP(O2530,データについて!$J$9:$M$18,10,FALSE)</f>
        <v>1</v>
      </c>
      <c r="W2530" s="81">
        <f>HLOOKUP(P2530,データについて!$J$10:$M$18,9,FALSE)</f>
        <v>1</v>
      </c>
      <c r="X2530" s="81">
        <f>HLOOKUP(Q2530,データについて!$J$11:$M$18,8,FALSE)</f>
        <v>1</v>
      </c>
      <c r="Y2530" s="81">
        <f>HLOOKUP(R2530,データについて!$J$12:$M$18,7,FALSE)</f>
        <v>1</v>
      </c>
      <c r="Z2530" s="81">
        <f>HLOOKUP(I2530,データについて!$J$3:$M$18,16,FALSE)</f>
        <v>1</v>
      </c>
      <c r="AA2530" s="81">
        <f>IFERROR(HLOOKUP(J2530,データについて!$J$4:$AH$19,16,FALSE),"")</f>
        <v>1</v>
      </c>
      <c r="AB2530" s="81" t="str">
        <f>IFERROR(HLOOKUP(K2530,データについて!$J$5:$AH$20,14,FALSE),"")</f>
        <v/>
      </c>
      <c r="AC2530" s="81">
        <f>IF(X2530=1,HLOOKUP(R2530,データについて!$J$12:$M$18,7,FALSE),"*")</f>
        <v>1</v>
      </c>
      <c r="AD2530" s="81" t="str">
        <f>IF(X2530=2,HLOOKUP(R2530,データについて!$J$12:$M$18,7,FALSE),"*")</f>
        <v>*</v>
      </c>
    </row>
    <row r="2531" spans="1:30">
      <c r="A2531" s="30">
        <v>2661</v>
      </c>
      <c r="B2531" s="30" t="s">
        <v>294</v>
      </c>
      <c r="C2531" s="30" t="s">
        <v>295</v>
      </c>
      <c r="D2531" s="30" t="s">
        <v>106</v>
      </c>
      <c r="E2531" s="30"/>
      <c r="F2531" s="30" t="s">
        <v>107</v>
      </c>
      <c r="G2531" s="30" t="s">
        <v>106</v>
      </c>
      <c r="H2531" s="30"/>
      <c r="I2531" s="30" t="s">
        <v>192</v>
      </c>
      <c r="J2531" s="30" t="s">
        <v>128</v>
      </c>
      <c r="K2531" s="30"/>
      <c r="L2531" s="30" t="s">
        <v>117</v>
      </c>
      <c r="M2531" s="30" t="s">
        <v>109</v>
      </c>
      <c r="N2531" s="30" t="s">
        <v>114</v>
      </c>
      <c r="O2531" s="30" t="s">
        <v>115</v>
      </c>
      <c r="P2531" s="30" t="s">
        <v>112</v>
      </c>
      <c r="Q2531" s="30" t="s">
        <v>112</v>
      </c>
      <c r="R2531" s="30" t="s">
        <v>185</v>
      </c>
      <c r="S2531" s="81">
        <f>HLOOKUP(L2531,データについて!$J$6:$M$18,13,FALSE)</f>
        <v>2</v>
      </c>
      <c r="T2531" s="81">
        <f>HLOOKUP(M2531,データについて!$J$7:$M$18,12,FALSE)</f>
        <v>2</v>
      </c>
      <c r="U2531" s="81">
        <f>HLOOKUP(N2531,データについて!$J$8:$M$18,11,FALSE)</f>
        <v>1</v>
      </c>
      <c r="V2531" s="81">
        <f>HLOOKUP(O2531,データについて!$J$9:$M$18,10,FALSE)</f>
        <v>1</v>
      </c>
      <c r="W2531" s="81">
        <f>HLOOKUP(P2531,データについて!$J$10:$M$18,9,FALSE)</f>
        <v>1</v>
      </c>
      <c r="X2531" s="81">
        <f>HLOOKUP(Q2531,データについて!$J$11:$M$18,8,FALSE)</f>
        <v>1</v>
      </c>
      <c r="Y2531" s="81">
        <f>HLOOKUP(R2531,データについて!$J$12:$M$18,7,FALSE)</f>
        <v>2</v>
      </c>
      <c r="Z2531" s="81">
        <f>HLOOKUP(I2531,データについて!$J$3:$M$18,16,FALSE)</f>
        <v>1</v>
      </c>
      <c r="AA2531" s="81">
        <f>IFERROR(HLOOKUP(J2531,データについて!$J$4:$AH$19,16,FALSE),"")</f>
        <v>1</v>
      </c>
      <c r="AB2531" s="81" t="str">
        <f>IFERROR(HLOOKUP(K2531,データについて!$J$5:$AH$20,14,FALSE),"")</f>
        <v/>
      </c>
      <c r="AC2531" s="81">
        <f>IF(X2531=1,HLOOKUP(R2531,データについて!$J$12:$M$18,7,FALSE),"*")</f>
        <v>2</v>
      </c>
      <c r="AD2531" s="81" t="str">
        <f>IF(X2531=2,HLOOKUP(R2531,データについて!$J$12:$M$18,7,FALSE),"*")</f>
        <v>*</v>
      </c>
    </row>
    <row r="2532" spans="1:30">
      <c r="A2532" s="30">
        <v>2660</v>
      </c>
      <c r="B2532" s="30" t="s">
        <v>296</v>
      </c>
      <c r="C2532" s="30" t="s">
        <v>297</v>
      </c>
      <c r="D2532" s="30" t="s">
        <v>106</v>
      </c>
      <c r="E2532" s="30"/>
      <c r="F2532" s="30" t="s">
        <v>107</v>
      </c>
      <c r="G2532" s="30" t="s">
        <v>106</v>
      </c>
      <c r="H2532" s="30"/>
      <c r="I2532" s="30" t="s">
        <v>192</v>
      </c>
      <c r="J2532" s="30" t="s">
        <v>128</v>
      </c>
      <c r="K2532" s="30"/>
      <c r="L2532" s="30" t="s">
        <v>108</v>
      </c>
      <c r="M2532" s="30" t="s">
        <v>113</v>
      </c>
      <c r="N2532" s="30" t="s">
        <v>110</v>
      </c>
      <c r="O2532" s="30" t="s">
        <v>115</v>
      </c>
      <c r="P2532" s="30" t="s">
        <v>112</v>
      </c>
      <c r="Q2532" s="30" t="s">
        <v>112</v>
      </c>
      <c r="R2532" s="30" t="s">
        <v>185</v>
      </c>
      <c r="S2532" s="81">
        <f>HLOOKUP(L2532,データについて!$J$6:$M$18,13,FALSE)</f>
        <v>1</v>
      </c>
      <c r="T2532" s="81">
        <f>HLOOKUP(M2532,データについて!$J$7:$M$18,12,FALSE)</f>
        <v>1</v>
      </c>
      <c r="U2532" s="81">
        <f>HLOOKUP(N2532,データについて!$J$8:$M$18,11,FALSE)</f>
        <v>2</v>
      </c>
      <c r="V2532" s="81">
        <f>HLOOKUP(O2532,データについて!$J$9:$M$18,10,FALSE)</f>
        <v>1</v>
      </c>
      <c r="W2532" s="81">
        <f>HLOOKUP(P2532,データについて!$J$10:$M$18,9,FALSE)</f>
        <v>1</v>
      </c>
      <c r="X2532" s="81">
        <f>HLOOKUP(Q2532,データについて!$J$11:$M$18,8,FALSE)</f>
        <v>1</v>
      </c>
      <c r="Y2532" s="81">
        <f>HLOOKUP(R2532,データについて!$J$12:$M$18,7,FALSE)</f>
        <v>2</v>
      </c>
      <c r="Z2532" s="81">
        <f>HLOOKUP(I2532,データについて!$J$3:$M$18,16,FALSE)</f>
        <v>1</v>
      </c>
      <c r="AA2532" s="81">
        <f>IFERROR(HLOOKUP(J2532,データについて!$J$4:$AH$19,16,FALSE),"")</f>
        <v>1</v>
      </c>
      <c r="AB2532" s="81" t="str">
        <f>IFERROR(HLOOKUP(K2532,データについて!$J$5:$AH$20,14,FALSE),"")</f>
        <v/>
      </c>
      <c r="AC2532" s="81">
        <f>IF(X2532=1,HLOOKUP(R2532,データについて!$J$12:$M$18,7,FALSE),"*")</f>
        <v>2</v>
      </c>
      <c r="AD2532" s="81" t="str">
        <f>IF(X2532=2,HLOOKUP(R2532,データについて!$J$12:$M$18,7,FALSE),"*")</f>
        <v>*</v>
      </c>
    </row>
    <row r="2533" spans="1:30">
      <c r="A2533" s="30">
        <v>2659</v>
      </c>
      <c r="B2533" s="30" t="s">
        <v>298</v>
      </c>
      <c r="C2533" s="30" t="s">
        <v>299</v>
      </c>
      <c r="D2533" s="30" t="s">
        <v>106</v>
      </c>
      <c r="E2533" s="30"/>
      <c r="F2533" s="30" t="s">
        <v>107</v>
      </c>
      <c r="G2533" s="30" t="s">
        <v>106</v>
      </c>
      <c r="H2533" s="30"/>
      <c r="I2533" s="30" t="s">
        <v>192</v>
      </c>
      <c r="J2533" s="30" t="s">
        <v>128</v>
      </c>
      <c r="K2533" s="30"/>
      <c r="L2533" s="30" t="s">
        <v>117</v>
      </c>
      <c r="M2533" s="30" t="s">
        <v>113</v>
      </c>
      <c r="N2533" s="30" t="s">
        <v>114</v>
      </c>
      <c r="O2533" s="30" t="s">
        <v>115</v>
      </c>
      <c r="P2533" s="30" t="s">
        <v>112</v>
      </c>
      <c r="Q2533" s="30" t="s">
        <v>112</v>
      </c>
      <c r="R2533" s="30" t="s">
        <v>183</v>
      </c>
      <c r="S2533" s="81">
        <f>HLOOKUP(L2533,データについて!$J$6:$M$18,13,FALSE)</f>
        <v>2</v>
      </c>
      <c r="T2533" s="81">
        <f>HLOOKUP(M2533,データについて!$J$7:$M$18,12,FALSE)</f>
        <v>1</v>
      </c>
      <c r="U2533" s="81">
        <f>HLOOKUP(N2533,データについて!$J$8:$M$18,11,FALSE)</f>
        <v>1</v>
      </c>
      <c r="V2533" s="81">
        <f>HLOOKUP(O2533,データについて!$J$9:$M$18,10,FALSE)</f>
        <v>1</v>
      </c>
      <c r="W2533" s="81">
        <f>HLOOKUP(P2533,データについて!$J$10:$M$18,9,FALSE)</f>
        <v>1</v>
      </c>
      <c r="X2533" s="81">
        <f>HLOOKUP(Q2533,データについて!$J$11:$M$18,8,FALSE)</f>
        <v>1</v>
      </c>
      <c r="Y2533" s="81">
        <f>HLOOKUP(R2533,データについて!$J$12:$M$18,7,FALSE)</f>
        <v>1</v>
      </c>
      <c r="Z2533" s="81">
        <f>HLOOKUP(I2533,データについて!$J$3:$M$18,16,FALSE)</f>
        <v>1</v>
      </c>
      <c r="AA2533" s="81">
        <f>IFERROR(HLOOKUP(J2533,データについて!$J$4:$AH$19,16,FALSE),"")</f>
        <v>1</v>
      </c>
      <c r="AB2533" s="81" t="str">
        <f>IFERROR(HLOOKUP(K2533,データについて!$J$5:$AH$20,14,FALSE),"")</f>
        <v/>
      </c>
      <c r="AC2533" s="81">
        <f>IF(X2533=1,HLOOKUP(R2533,データについて!$J$12:$M$18,7,FALSE),"*")</f>
        <v>1</v>
      </c>
      <c r="AD2533" s="81" t="str">
        <f>IF(X2533=2,HLOOKUP(R2533,データについて!$J$12:$M$18,7,FALSE),"*")</f>
        <v>*</v>
      </c>
    </row>
    <row r="2534" spans="1:30">
      <c r="A2534" s="30">
        <v>2658</v>
      </c>
      <c r="B2534" s="30" t="s">
        <v>300</v>
      </c>
      <c r="C2534" s="30" t="s">
        <v>301</v>
      </c>
      <c r="D2534" s="30" t="s">
        <v>106</v>
      </c>
      <c r="E2534" s="30"/>
      <c r="F2534" s="30" t="s">
        <v>107</v>
      </c>
      <c r="G2534" s="30" t="s">
        <v>106</v>
      </c>
      <c r="H2534" s="30"/>
      <c r="I2534" s="30" t="s">
        <v>192</v>
      </c>
      <c r="J2534" s="30" t="s">
        <v>128</v>
      </c>
      <c r="K2534" s="30"/>
      <c r="L2534" s="30" t="s">
        <v>108</v>
      </c>
      <c r="M2534" s="30" t="s">
        <v>109</v>
      </c>
      <c r="N2534" s="30" t="s">
        <v>114</v>
      </c>
      <c r="O2534" s="30" t="s">
        <v>115</v>
      </c>
      <c r="P2534" s="30" t="s">
        <v>112</v>
      </c>
      <c r="Q2534" s="30" t="s">
        <v>112</v>
      </c>
      <c r="R2534" s="30" t="s">
        <v>183</v>
      </c>
      <c r="S2534" s="81">
        <f>HLOOKUP(L2534,データについて!$J$6:$M$18,13,FALSE)</f>
        <v>1</v>
      </c>
      <c r="T2534" s="81">
        <f>HLOOKUP(M2534,データについて!$J$7:$M$18,12,FALSE)</f>
        <v>2</v>
      </c>
      <c r="U2534" s="81">
        <f>HLOOKUP(N2534,データについて!$J$8:$M$18,11,FALSE)</f>
        <v>1</v>
      </c>
      <c r="V2534" s="81">
        <f>HLOOKUP(O2534,データについて!$J$9:$M$18,10,FALSE)</f>
        <v>1</v>
      </c>
      <c r="W2534" s="81">
        <f>HLOOKUP(P2534,データについて!$J$10:$M$18,9,FALSE)</f>
        <v>1</v>
      </c>
      <c r="X2534" s="81">
        <f>HLOOKUP(Q2534,データについて!$J$11:$M$18,8,FALSE)</f>
        <v>1</v>
      </c>
      <c r="Y2534" s="81">
        <f>HLOOKUP(R2534,データについて!$J$12:$M$18,7,FALSE)</f>
        <v>1</v>
      </c>
      <c r="Z2534" s="81">
        <f>HLOOKUP(I2534,データについて!$J$3:$M$18,16,FALSE)</f>
        <v>1</v>
      </c>
      <c r="AA2534" s="81">
        <f>IFERROR(HLOOKUP(J2534,データについて!$J$4:$AH$19,16,FALSE),"")</f>
        <v>1</v>
      </c>
      <c r="AB2534" s="81" t="str">
        <f>IFERROR(HLOOKUP(K2534,データについて!$J$5:$AH$20,14,FALSE),"")</f>
        <v/>
      </c>
      <c r="AC2534" s="81">
        <f>IF(X2534=1,HLOOKUP(R2534,データについて!$J$12:$M$18,7,FALSE),"*")</f>
        <v>1</v>
      </c>
      <c r="AD2534" s="81" t="str">
        <f>IF(X2534=2,HLOOKUP(R2534,データについて!$J$12:$M$18,7,FALSE),"*")</f>
        <v>*</v>
      </c>
    </row>
    <row r="2535" spans="1:30">
      <c r="A2535" s="30">
        <v>2657</v>
      </c>
      <c r="B2535" s="30" t="s">
        <v>302</v>
      </c>
      <c r="C2535" s="30" t="s">
        <v>301</v>
      </c>
      <c r="D2535" s="30" t="s">
        <v>106</v>
      </c>
      <c r="E2535" s="30"/>
      <c r="F2535" s="30" t="s">
        <v>107</v>
      </c>
      <c r="G2535" s="30" t="s">
        <v>106</v>
      </c>
      <c r="H2535" s="30"/>
      <c r="I2535" s="30" t="s">
        <v>192</v>
      </c>
      <c r="J2535" s="30" t="s">
        <v>128</v>
      </c>
      <c r="K2535" s="30"/>
      <c r="L2535" s="30" t="s">
        <v>108</v>
      </c>
      <c r="M2535" s="30" t="s">
        <v>109</v>
      </c>
      <c r="N2535" s="30" t="s">
        <v>114</v>
      </c>
      <c r="O2535" s="30" t="s">
        <v>115</v>
      </c>
      <c r="P2535" s="30" t="s">
        <v>112</v>
      </c>
      <c r="Q2535" s="30" t="s">
        <v>112</v>
      </c>
      <c r="R2535" s="30" t="s">
        <v>185</v>
      </c>
      <c r="S2535" s="81">
        <f>HLOOKUP(L2535,データについて!$J$6:$M$18,13,FALSE)</f>
        <v>1</v>
      </c>
      <c r="T2535" s="81">
        <f>HLOOKUP(M2535,データについて!$J$7:$M$18,12,FALSE)</f>
        <v>2</v>
      </c>
      <c r="U2535" s="81">
        <f>HLOOKUP(N2535,データについて!$J$8:$M$18,11,FALSE)</f>
        <v>1</v>
      </c>
      <c r="V2535" s="81">
        <f>HLOOKUP(O2535,データについて!$J$9:$M$18,10,FALSE)</f>
        <v>1</v>
      </c>
      <c r="W2535" s="81">
        <f>HLOOKUP(P2535,データについて!$J$10:$M$18,9,FALSE)</f>
        <v>1</v>
      </c>
      <c r="X2535" s="81">
        <f>HLOOKUP(Q2535,データについて!$J$11:$M$18,8,FALSE)</f>
        <v>1</v>
      </c>
      <c r="Y2535" s="81">
        <f>HLOOKUP(R2535,データについて!$J$12:$M$18,7,FALSE)</f>
        <v>2</v>
      </c>
      <c r="Z2535" s="81">
        <f>HLOOKUP(I2535,データについて!$J$3:$M$18,16,FALSE)</f>
        <v>1</v>
      </c>
      <c r="AA2535" s="81">
        <f>IFERROR(HLOOKUP(J2535,データについて!$J$4:$AH$19,16,FALSE),"")</f>
        <v>1</v>
      </c>
      <c r="AB2535" s="81" t="str">
        <f>IFERROR(HLOOKUP(K2535,データについて!$J$5:$AH$20,14,FALSE),"")</f>
        <v/>
      </c>
      <c r="AC2535" s="81">
        <f>IF(X2535=1,HLOOKUP(R2535,データについて!$J$12:$M$18,7,FALSE),"*")</f>
        <v>2</v>
      </c>
      <c r="AD2535" s="81" t="str">
        <f>IF(X2535=2,HLOOKUP(R2535,データについて!$J$12:$M$18,7,FALSE),"*")</f>
        <v>*</v>
      </c>
    </row>
    <row r="2536" spans="1:30">
      <c r="A2536" s="30">
        <v>2656</v>
      </c>
      <c r="B2536" s="30" t="s">
        <v>303</v>
      </c>
      <c r="C2536" s="30" t="s">
        <v>304</v>
      </c>
      <c r="D2536" s="30" t="s">
        <v>106</v>
      </c>
      <c r="E2536" s="30"/>
      <c r="F2536" s="30" t="s">
        <v>107</v>
      </c>
      <c r="G2536" s="30" t="s">
        <v>106</v>
      </c>
      <c r="H2536" s="30"/>
      <c r="I2536" s="30" t="s">
        <v>192</v>
      </c>
      <c r="J2536" s="30" t="s">
        <v>128</v>
      </c>
      <c r="K2536" s="30"/>
      <c r="L2536" s="30" t="s">
        <v>117</v>
      </c>
      <c r="M2536" s="30" t="s">
        <v>109</v>
      </c>
      <c r="N2536" s="30" t="s">
        <v>110</v>
      </c>
      <c r="O2536" s="30" t="s">
        <v>115</v>
      </c>
      <c r="P2536" s="30" t="s">
        <v>112</v>
      </c>
      <c r="Q2536" s="30" t="s">
        <v>112</v>
      </c>
      <c r="R2536" s="30" t="s">
        <v>183</v>
      </c>
      <c r="S2536" s="81">
        <f>HLOOKUP(L2536,データについて!$J$6:$M$18,13,FALSE)</f>
        <v>2</v>
      </c>
      <c r="T2536" s="81">
        <f>HLOOKUP(M2536,データについて!$J$7:$M$18,12,FALSE)</f>
        <v>2</v>
      </c>
      <c r="U2536" s="81">
        <f>HLOOKUP(N2536,データについて!$J$8:$M$18,11,FALSE)</f>
        <v>2</v>
      </c>
      <c r="V2536" s="81">
        <f>HLOOKUP(O2536,データについて!$J$9:$M$18,10,FALSE)</f>
        <v>1</v>
      </c>
      <c r="W2536" s="81">
        <f>HLOOKUP(P2536,データについて!$J$10:$M$18,9,FALSE)</f>
        <v>1</v>
      </c>
      <c r="X2536" s="81">
        <f>HLOOKUP(Q2536,データについて!$J$11:$M$18,8,FALSE)</f>
        <v>1</v>
      </c>
      <c r="Y2536" s="81">
        <f>HLOOKUP(R2536,データについて!$J$12:$M$18,7,FALSE)</f>
        <v>1</v>
      </c>
      <c r="Z2536" s="81">
        <f>HLOOKUP(I2536,データについて!$J$3:$M$18,16,FALSE)</f>
        <v>1</v>
      </c>
      <c r="AA2536" s="81">
        <f>IFERROR(HLOOKUP(J2536,データについて!$J$4:$AH$19,16,FALSE),"")</f>
        <v>1</v>
      </c>
      <c r="AB2536" s="81" t="str">
        <f>IFERROR(HLOOKUP(K2536,データについて!$J$5:$AH$20,14,FALSE),"")</f>
        <v/>
      </c>
      <c r="AC2536" s="81">
        <f>IF(X2536=1,HLOOKUP(R2536,データについて!$J$12:$M$18,7,FALSE),"*")</f>
        <v>1</v>
      </c>
      <c r="AD2536" s="81" t="str">
        <f>IF(X2536=2,HLOOKUP(R2536,データについて!$J$12:$M$18,7,FALSE),"*")</f>
        <v>*</v>
      </c>
    </row>
    <row r="2537" spans="1:30">
      <c r="A2537" s="30">
        <v>2655</v>
      </c>
      <c r="B2537" s="30" t="s">
        <v>305</v>
      </c>
      <c r="C2537" s="30" t="s">
        <v>306</v>
      </c>
      <c r="D2537" s="30" t="s">
        <v>106</v>
      </c>
      <c r="E2537" s="30"/>
      <c r="F2537" s="30" t="s">
        <v>107</v>
      </c>
      <c r="G2537" s="30" t="s">
        <v>106</v>
      </c>
      <c r="H2537" s="30"/>
      <c r="I2537" s="30" t="s">
        <v>192</v>
      </c>
      <c r="J2537" s="30" t="s">
        <v>128</v>
      </c>
      <c r="K2537" s="30"/>
      <c r="L2537" s="30" t="s">
        <v>108</v>
      </c>
      <c r="M2537" s="30" t="s">
        <v>113</v>
      </c>
      <c r="N2537" s="30" t="s">
        <v>114</v>
      </c>
      <c r="O2537" s="30" t="s">
        <v>115</v>
      </c>
      <c r="P2537" s="30" t="s">
        <v>112</v>
      </c>
      <c r="Q2537" s="30" t="s">
        <v>112</v>
      </c>
      <c r="R2537" s="30" t="s">
        <v>183</v>
      </c>
      <c r="S2537" s="81">
        <f>HLOOKUP(L2537,データについて!$J$6:$M$18,13,FALSE)</f>
        <v>1</v>
      </c>
      <c r="T2537" s="81">
        <f>HLOOKUP(M2537,データについて!$J$7:$M$18,12,FALSE)</f>
        <v>1</v>
      </c>
      <c r="U2537" s="81">
        <f>HLOOKUP(N2537,データについて!$J$8:$M$18,11,FALSE)</f>
        <v>1</v>
      </c>
      <c r="V2537" s="81">
        <f>HLOOKUP(O2537,データについて!$J$9:$M$18,10,FALSE)</f>
        <v>1</v>
      </c>
      <c r="W2537" s="81">
        <f>HLOOKUP(P2537,データについて!$J$10:$M$18,9,FALSE)</f>
        <v>1</v>
      </c>
      <c r="X2537" s="81">
        <f>HLOOKUP(Q2537,データについて!$J$11:$M$18,8,FALSE)</f>
        <v>1</v>
      </c>
      <c r="Y2537" s="81">
        <f>HLOOKUP(R2537,データについて!$J$12:$M$18,7,FALSE)</f>
        <v>1</v>
      </c>
      <c r="Z2537" s="81">
        <f>HLOOKUP(I2537,データについて!$J$3:$M$18,16,FALSE)</f>
        <v>1</v>
      </c>
      <c r="AA2537" s="81">
        <f>IFERROR(HLOOKUP(J2537,データについて!$J$4:$AH$19,16,FALSE),"")</f>
        <v>1</v>
      </c>
      <c r="AB2537" s="81" t="str">
        <f>IFERROR(HLOOKUP(K2537,データについて!$J$5:$AH$20,14,FALSE),"")</f>
        <v/>
      </c>
      <c r="AC2537" s="81">
        <f>IF(X2537=1,HLOOKUP(R2537,データについて!$J$12:$M$18,7,FALSE),"*")</f>
        <v>1</v>
      </c>
      <c r="AD2537" s="81" t="str">
        <f>IF(X2537=2,HLOOKUP(R2537,データについて!$J$12:$M$18,7,FALSE),"*")</f>
        <v>*</v>
      </c>
    </row>
    <row r="2538" spans="1:30">
      <c r="A2538" s="30">
        <v>2654</v>
      </c>
      <c r="B2538" s="30" t="s">
        <v>307</v>
      </c>
      <c r="C2538" s="30" t="s">
        <v>308</v>
      </c>
      <c r="D2538" s="30" t="s">
        <v>106</v>
      </c>
      <c r="E2538" s="30"/>
      <c r="F2538" s="30" t="s">
        <v>107</v>
      </c>
      <c r="G2538" s="30" t="s">
        <v>106</v>
      </c>
      <c r="H2538" s="30"/>
      <c r="I2538" s="30" t="s">
        <v>192</v>
      </c>
      <c r="J2538" s="30" t="s">
        <v>125</v>
      </c>
      <c r="K2538" s="30"/>
      <c r="L2538" s="30" t="s">
        <v>117</v>
      </c>
      <c r="M2538" s="30" t="s">
        <v>113</v>
      </c>
      <c r="N2538" s="30" t="s">
        <v>114</v>
      </c>
      <c r="O2538" s="30" t="s">
        <v>115</v>
      </c>
      <c r="P2538" s="30" t="s">
        <v>112</v>
      </c>
      <c r="Q2538" s="30" t="s">
        <v>112</v>
      </c>
      <c r="R2538" s="30" t="s">
        <v>185</v>
      </c>
      <c r="S2538" s="81">
        <f>HLOOKUP(L2538,データについて!$J$6:$M$18,13,FALSE)</f>
        <v>2</v>
      </c>
      <c r="T2538" s="81">
        <f>HLOOKUP(M2538,データについて!$J$7:$M$18,12,FALSE)</f>
        <v>1</v>
      </c>
      <c r="U2538" s="81">
        <f>HLOOKUP(N2538,データについて!$J$8:$M$18,11,FALSE)</f>
        <v>1</v>
      </c>
      <c r="V2538" s="81">
        <f>HLOOKUP(O2538,データについて!$J$9:$M$18,10,FALSE)</f>
        <v>1</v>
      </c>
      <c r="W2538" s="81">
        <f>HLOOKUP(P2538,データについて!$J$10:$M$18,9,FALSE)</f>
        <v>1</v>
      </c>
      <c r="X2538" s="81">
        <f>HLOOKUP(Q2538,データについて!$J$11:$M$18,8,FALSE)</f>
        <v>1</v>
      </c>
      <c r="Y2538" s="81">
        <f>HLOOKUP(R2538,データについて!$J$12:$M$18,7,FALSE)</f>
        <v>2</v>
      </c>
      <c r="Z2538" s="81">
        <f>HLOOKUP(I2538,データについて!$J$3:$M$18,16,FALSE)</f>
        <v>1</v>
      </c>
      <c r="AA2538" s="81">
        <f>IFERROR(HLOOKUP(J2538,データについて!$J$4:$AH$19,16,FALSE),"")</f>
        <v>6</v>
      </c>
      <c r="AB2538" s="81" t="str">
        <f>IFERROR(HLOOKUP(K2538,データについて!$J$5:$AH$20,14,FALSE),"")</f>
        <v/>
      </c>
      <c r="AC2538" s="81">
        <f>IF(X2538=1,HLOOKUP(R2538,データについて!$J$12:$M$18,7,FALSE),"*")</f>
        <v>2</v>
      </c>
      <c r="AD2538" s="81" t="str">
        <f>IF(X2538=2,HLOOKUP(R2538,データについて!$J$12:$M$18,7,FALSE),"*")</f>
        <v>*</v>
      </c>
    </row>
    <row r="2539" spans="1:30">
      <c r="A2539" s="30">
        <v>2653</v>
      </c>
      <c r="B2539" s="30" t="s">
        <v>309</v>
      </c>
      <c r="C2539" s="30" t="s">
        <v>310</v>
      </c>
      <c r="D2539" s="30" t="s">
        <v>106</v>
      </c>
      <c r="E2539" s="30"/>
      <c r="F2539" s="30" t="s">
        <v>107</v>
      </c>
      <c r="G2539" s="30" t="s">
        <v>106</v>
      </c>
      <c r="H2539" s="30"/>
      <c r="I2539" s="30" t="s">
        <v>192</v>
      </c>
      <c r="J2539" s="30" t="s">
        <v>125</v>
      </c>
      <c r="K2539" s="30"/>
      <c r="L2539" s="30" t="s">
        <v>117</v>
      </c>
      <c r="M2539" s="30" t="s">
        <v>109</v>
      </c>
      <c r="N2539" s="30" t="s">
        <v>110</v>
      </c>
      <c r="O2539" s="30" t="s">
        <v>115</v>
      </c>
      <c r="P2539" s="30" t="s">
        <v>112</v>
      </c>
      <c r="Q2539" s="30" t="s">
        <v>112</v>
      </c>
      <c r="R2539" s="30" t="s">
        <v>187</v>
      </c>
      <c r="S2539" s="81">
        <f>HLOOKUP(L2539,データについて!$J$6:$M$18,13,FALSE)</f>
        <v>2</v>
      </c>
      <c r="T2539" s="81">
        <f>HLOOKUP(M2539,データについて!$J$7:$M$18,12,FALSE)</f>
        <v>2</v>
      </c>
      <c r="U2539" s="81">
        <f>HLOOKUP(N2539,データについて!$J$8:$M$18,11,FALSE)</f>
        <v>2</v>
      </c>
      <c r="V2539" s="81">
        <f>HLOOKUP(O2539,データについて!$J$9:$M$18,10,FALSE)</f>
        <v>1</v>
      </c>
      <c r="W2539" s="81">
        <f>HLOOKUP(P2539,データについて!$J$10:$M$18,9,FALSE)</f>
        <v>1</v>
      </c>
      <c r="X2539" s="81">
        <f>HLOOKUP(Q2539,データについて!$J$11:$M$18,8,FALSE)</f>
        <v>1</v>
      </c>
      <c r="Y2539" s="81">
        <f>HLOOKUP(R2539,データについて!$J$12:$M$18,7,FALSE)</f>
        <v>3</v>
      </c>
      <c r="Z2539" s="81">
        <f>HLOOKUP(I2539,データについて!$J$3:$M$18,16,FALSE)</f>
        <v>1</v>
      </c>
      <c r="AA2539" s="81">
        <f>IFERROR(HLOOKUP(J2539,データについて!$J$4:$AH$19,16,FALSE),"")</f>
        <v>6</v>
      </c>
      <c r="AB2539" s="81" t="str">
        <f>IFERROR(HLOOKUP(K2539,データについて!$J$5:$AH$20,14,FALSE),"")</f>
        <v/>
      </c>
      <c r="AC2539" s="81">
        <f>IF(X2539=1,HLOOKUP(R2539,データについて!$J$12:$M$18,7,FALSE),"*")</f>
        <v>3</v>
      </c>
      <c r="AD2539" s="81" t="str">
        <f>IF(X2539=2,HLOOKUP(R2539,データについて!$J$12:$M$18,7,FALSE),"*")</f>
        <v>*</v>
      </c>
    </row>
    <row r="2540" spans="1:30">
      <c r="A2540" s="30">
        <v>2652</v>
      </c>
      <c r="B2540" s="30" t="s">
        <v>311</v>
      </c>
      <c r="C2540" s="30" t="s">
        <v>312</v>
      </c>
      <c r="D2540" s="30" t="s">
        <v>106</v>
      </c>
      <c r="E2540" s="30"/>
      <c r="F2540" s="30" t="s">
        <v>107</v>
      </c>
      <c r="G2540" s="30" t="s">
        <v>106</v>
      </c>
      <c r="H2540" s="30"/>
      <c r="I2540" s="30" t="s">
        <v>192</v>
      </c>
      <c r="J2540" s="30" t="s">
        <v>125</v>
      </c>
      <c r="K2540" s="30"/>
      <c r="L2540" s="30" t="s">
        <v>108</v>
      </c>
      <c r="M2540" s="30" t="s">
        <v>124</v>
      </c>
      <c r="N2540" s="30" t="s">
        <v>110</v>
      </c>
      <c r="O2540" s="30" t="s">
        <v>111</v>
      </c>
      <c r="P2540" s="30" t="s">
        <v>112</v>
      </c>
      <c r="Q2540" s="30" t="s">
        <v>118</v>
      </c>
      <c r="R2540" s="30" t="s">
        <v>187</v>
      </c>
      <c r="S2540" s="81">
        <f>HLOOKUP(L2540,データについて!$J$6:$M$18,13,FALSE)</f>
        <v>1</v>
      </c>
      <c r="T2540" s="81">
        <f>HLOOKUP(M2540,データについて!$J$7:$M$18,12,FALSE)</f>
        <v>3</v>
      </c>
      <c r="U2540" s="81">
        <f>HLOOKUP(N2540,データについて!$J$8:$M$18,11,FALSE)</f>
        <v>2</v>
      </c>
      <c r="V2540" s="81">
        <f>HLOOKUP(O2540,データについて!$J$9:$M$18,10,FALSE)</f>
        <v>3</v>
      </c>
      <c r="W2540" s="81">
        <f>HLOOKUP(P2540,データについて!$J$10:$M$18,9,FALSE)</f>
        <v>1</v>
      </c>
      <c r="X2540" s="81">
        <f>HLOOKUP(Q2540,データについて!$J$11:$M$18,8,FALSE)</f>
        <v>2</v>
      </c>
      <c r="Y2540" s="81">
        <f>HLOOKUP(R2540,データについて!$J$12:$M$18,7,FALSE)</f>
        <v>3</v>
      </c>
      <c r="Z2540" s="81">
        <f>HLOOKUP(I2540,データについて!$J$3:$M$18,16,FALSE)</f>
        <v>1</v>
      </c>
      <c r="AA2540" s="81">
        <f>IFERROR(HLOOKUP(J2540,データについて!$J$4:$AH$19,16,FALSE),"")</f>
        <v>6</v>
      </c>
      <c r="AB2540" s="81" t="str">
        <f>IFERROR(HLOOKUP(K2540,データについて!$J$5:$AH$20,14,FALSE),"")</f>
        <v/>
      </c>
      <c r="AC2540" s="81" t="str">
        <f>IF(X2540=1,HLOOKUP(R2540,データについて!$J$12:$M$18,7,FALSE),"*")</f>
        <v>*</v>
      </c>
      <c r="AD2540" s="81">
        <f>IF(X2540=2,HLOOKUP(R2540,データについて!$J$12:$M$18,7,FALSE),"*")</f>
        <v>3</v>
      </c>
    </row>
    <row r="2541" spans="1:30">
      <c r="A2541" s="30">
        <v>2651</v>
      </c>
      <c r="B2541" s="30" t="s">
        <v>313</v>
      </c>
      <c r="C2541" s="30" t="s">
        <v>314</v>
      </c>
      <c r="D2541" s="30" t="s">
        <v>106</v>
      </c>
      <c r="E2541" s="30"/>
      <c r="F2541" s="30" t="s">
        <v>107</v>
      </c>
      <c r="G2541" s="30" t="s">
        <v>106</v>
      </c>
      <c r="H2541" s="30"/>
      <c r="I2541" s="30" t="s">
        <v>192</v>
      </c>
      <c r="J2541" s="30" t="s">
        <v>125</v>
      </c>
      <c r="K2541" s="30"/>
      <c r="L2541" s="30" t="s">
        <v>117</v>
      </c>
      <c r="M2541" s="30" t="s">
        <v>113</v>
      </c>
      <c r="N2541" s="30" t="s">
        <v>110</v>
      </c>
      <c r="O2541" s="30" t="s">
        <v>115</v>
      </c>
      <c r="P2541" s="30" t="s">
        <v>112</v>
      </c>
      <c r="Q2541" s="30" t="s">
        <v>112</v>
      </c>
      <c r="R2541" s="30" t="s">
        <v>185</v>
      </c>
      <c r="S2541" s="81">
        <f>HLOOKUP(L2541,データについて!$J$6:$M$18,13,FALSE)</f>
        <v>2</v>
      </c>
      <c r="T2541" s="81">
        <f>HLOOKUP(M2541,データについて!$J$7:$M$18,12,FALSE)</f>
        <v>1</v>
      </c>
      <c r="U2541" s="81">
        <f>HLOOKUP(N2541,データについて!$J$8:$M$18,11,FALSE)</f>
        <v>2</v>
      </c>
      <c r="V2541" s="81">
        <f>HLOOKUP(O2541,データについて!$J$9:$M$18,10,FALSE)</f>
        <v>1</v>
      </c>
      <c r="W2541" s="81">
        <f>HLOOKUP(P2541,データについて!$J$10:$M$18,9,FALSE)</f>
        <v>1</v>
      </c>
      <c r="X2541" s="81">
        <f>HLOOKUP(Q2541,データについて!$J$11:$M$18,8,FALSE)</f>
        <v>1</v>
      </c>
      <c r="Y2541" s="81">
        <f>HLOOKUP(R2541,データについて!$J$12:$M$18,7,FALSE)</f>
        <v>2</v>
      </c>
      <c r="Z2541" s="81">
        <f>HLOOKUP(I2541,データについて!$J$3:$M$18,16,FALSE)</f>
        <v>1</v>
      </c>
      <c r="AA2541" s="81">
        <f>IFERROR(HLOOKUP(J2541,データについて!$J$4:$AH$19,16,FALSE),"")</f>
        <v>6</v>
      </c>
      <c r="AB2541" s="81" t="str">
        <f>IFERROR(HLOOKUP(K2541,データについて!$J$5:$AH$20,14,FALSE),"")</f>
        <v/>
      </c>
      <c r="AC2541" s="81">
        <f>IF(X2541=1,HLOOKUP(R2541,データについて!$J$12:$M$18,7,FALSE),"*")</f>
        <v>2</v>
      </c>
      <c r="AD2541" s="81" t="str">
        <f>IF(X2541=2,HLOOKUP(R2541,データについて!$J$12:$M$18,7,FALSE),"*")</f>
        <v>*</v>
      </c>
    </row>
    <row r="2542" spans="1:30">
      <c r="A2542" s="30">
        <v>2650</v>
      </c>
      <c r="B2542" s="30" t="s">
        <v>315</v>
      </c>
      <c r="C2542" s="30" t="s">
        <v>316</v>
      </c>
      <c r="D2542" s="30" t="s">
        <v>106</v>
      </c>
      <c r="E2542" s="30"/>
      <c r="F2542" s="30" t="s">
        <v>107</v>
      </c>
      <c r="G2542" s="30" t="s">
        <v>106</v>
      </c>
      <c r="H2542" s="30"/>
      <c r="I2542" s="30" t="s">
        <v>192</v>
      </c>
      <c r="J2542" s="30" t="s">
        <v>125</v>
      </c>
      <c r="K2542" s="30"/>
      <c r="L2542" s="30" t="s">
        <v>117</v>
      </c>
      <c r="M2542" s="30" t="s">
        <v>113</v>
      </c>
      <c r="N2542" s="30" t="s">
        <v>122</v>
      </c>
      <c r="O2542" s="30" t="s">
        <v>123</v>
      </c>
      <c r="P2542" s="30" t="s">
        <v>112</v>
      </c>
      <c r="Q2542" s="30" t="s">
        <v>112</v>
      </c>
      <c r="R2542" s="30" t="s">
        <v>185</v>
      </c>
      <c r="S2542" s="81">
        <f>HLOOKUP(L2542,データについて!$J$6:$M$18,13,FALSE)</f>
        <v>2</v>
      </c>
      <c r="T2542" s="81">
        <f>HLOOKUP(M2542,データについて!$J$7:$M$18,12,FALSE)</f>
        <v>1</v>
      </c>
      <c r="U2542" s="81">
        <f>HLOOKUP(N2542,データについて!$J$8:$M$18,11,FALSE)</f>
        <v>3</v>
      </c>
      <c r="V2542" s="81">
        <f>HLOOKUP(O2542,データについて!$J$9:$M$18,10,FALSE)</f>
        <v>4</v>
      </c>
      <c r="W2542" s="81">
        <f>HLOOKUP(P2542,データについて!$J$10:$M$18,9,FALSE)</f>
        <v>1</v>
      </c>
      <c r="X2542" s="81">
        <f>HLOOKUP(Q2542,データについて!$J$11:$M$18,8,FALSE)</f>
        <v>1</v>
      </c>
      <c r="Y2542" s="81">
        <f>HLOOKUP(R2542,データについて!$J$12:$M$18,7,FALSE)</f>
        <v>2</v>
      </c>
      <c r="Z2542" s="81">
        <f>HLOOKUP(I2542,データについて!$J$3:$M$18,16,FALSE)</f>
        <v>1</v>
      </c>
      <c r="AA2542" s="81">
        <f>IFERROR(HLOOKUP(J2542,データについて!$J$4:$AH$19,16,FALSE),"")</f>
        <v>6</v>
      </c>
      <c r="AB2542" s="81" t="str">
        <f>IFERROR(HLOOKUP(K2542,データについて!$J$5:$AH$20,14,FALSE),"")</f>
        <v/>
      </c>
      <c r="AC2542" s="81">
        <f>IF(X2542=1,HLOOKUP(R2542,データについて!$J$12:$M$18,7,FALSE),"*")</f>
        <v>2</v>
      </c>
      <c r="AD2542" s="81" t="str">
        <f>IF(X2542=2,HLOOKUP(R2542,データについて!$J$12:$M$18,7,FALSE),"*")</f>
        <v>*</v>
      </c>
    </row>
    <row r="2543" spans="1:30">
      <c r="A2543" s="30">
        <v>2649</v>
      </c>
      <c r="B2543" s="30" t="s">
        <v>317</v>
      </c>
      <c r="C2543" s="30" t="s">
        <v>318</v>
      </c>
      <c r="D2543" s="30" t="s">
        <v>106</v>
      </c>
      <c r="E2543" s="30"/>
      <c r="F2543" s="30" t="s">
        <v>107</v>
      </c>
      <c r="G2543" s="30" t="s">
        <v>106</v>
      </c>
      <c r="H2543" s="30"/>
      <c r="I2543" s="30" t="s">
        <v>192</v>
      </c>
      <c r="J2543" s="30" t="s">
        <v>125</v>
      </c>
      <c r="K2543" s="30"/>
      <c r="L2543" s="30" t="s">
        <v>108</v>
      </c>
      <c r="M2543" s="30" t="s">
        <v>109</v>
      </c>
      <c r="N2543" s="30" t="s">
        <v>119</v>
      </c>
      <c r="O2543" s="30" t="s">
        <v>115</v>
      </c>
      <c r="P2543" s="30" t="s">
        <v>112</v>
      </c>
      <c r="Q2543" s="30" t="s">
        <v>112</v>
      </c>
      <c r="R2543" s="30" t="s">
        <v>183</v>
      </c>
      <c r="S2543" s="81">
        <f>HLOOKUP(L2543,データについて!$J$6:$M$18,13,FALSE)</f>
        <v>1</v>
      </c>
      <c r="T2543" s="81">
        <f>HLOOKUP(M2543,データについて!$J$7:$M$18,12,FALSE)</f>
        <v>2</v>
      </c>
      <c r="U2543" s="81">
        <f>HLOOKUP(N2543,データについて!$J$8:$M$18,11,FALSE)</f>
        <v>4</v>
      </c>
      <c r="V2543" s="81">
        <f>HLOOKUP(O2543,データについて!$J$9:$M$18,10,FALSE)</f>
        <v>1</v>
      </c>
      <c r="W2543" s="81">
        <f>HLOOKUP(P2543,データについて!$J$10:$M$18,9,FALSE)</f>
        <v>1</v>
      </c>
      <c r="X2543" s="81">
        <f>HLOOKUP(Q2543,データについて!$J$11:$M$18,8,FALSE)</f>
        <v>1</v>
      </c>
      <c r="Y2543" s="81">
        <f>HLOOKUP(R2543,データについて!$J$12:$M$18,7,FALSE)</f>
        <v>1</v>
      </c>
      <c r="Z2543" s="81">
        <f>HLOOKUP(I2543,データについて!$J$3:$M$18,16,FALSE)</f>
        <v>1</v>
      </c>
      <c r="AA2543" s="81">
        <f>IFERROR(HLOOKUP(J2543,データについて!$J$4:$AH$19,16,FALSE),"")</f>
        <v>6</v>
      </c>
      <c r="AB2543" s="81" t="str">
        <f>IFERROR(HLOOKUP(K2543,データについて!$J$5:$AH$20,14,FALSE),"")</f>
        <v/>
      </c>
      <c r="AC2543" s="81">
        <f>IF(X2543=1,HLOOKUP(R2543,データについて!$J$12:$M$18,7,FALSE),"*")</f>
        <v>1</v>
      </c>
      <c r="AD2543" s="81" t="str">
        <f>IF(X2543=2,HLOOKUP(R2543,データについて!$J$12:$M$18,7,FALSE),"*")</f>
        <v>*</v>
      </c>
    </row>
    <row r="2544" spans="1:30">
      <c r="A2544" s="30">
        <v>2648</v>
      </c>
      <c r="B2544" s="30" t="s">
        <v>319</v>
      </c>
      <c r="C2544" s="30" t="s">
        <v>320</v>
      </c>
      <c r="D2544" s="30" t="s">
        <v>106</v>
      </c>
      <c r="E2544" s="30"/>
      <c r="F2544" s="30" t="s">
        <v>107</v>
      </c>
      <c r="G2544" s="30" t="s">
        <v>106</v>
      </c>
      <c r="H2544" s="30"/>
      <c r="I2544" s="30" t="s">
        <v>192</v>
      </c>
      <c r="J2544" s="30" t="s">
        <v>125</v>
      </c>
      <c r="K2544" s="30"/>
      <c r="L2544" s="30" t="s">
        <v>117</v>
      </c>
      <c r="M2544" s="30" t="s">
        <v>113</v>
      </c>
      <c r="N2544" s="30" t="s">
        <v>114</v>
      </c>
      <c r="O2544" s="30" t="s">
        <v>115</v>
      </c>
      <c r="P2544" s="30" t="s">
        <v>112</v>
      </c>
      <c r="Q2544" s="30" t="s">
        <v>112</v>
      </c>
      <c r="R2544" s="30" t="s">
        <v>185</v>
      </c>
      <c r="S2544" s="81">
        <f>HLOOKUP(L2544,データについて!$J$6:$M$18,13,FALSE)</f>
        <v>2</v>
      </c>
      <c r="T2544" s="81">
        <f>HLOOKUP(M2544,データについて!$J$7:$M$18,12,FALSE)</f>
        <v>1</v>
      </c>
      <c r="U2544" s="81">
        <f>HLOOKUP(N2544,データについて!$J$8:$M$18,11,FALSE)</f>
        <v>1</v>
      </c>
      <c r="V2544" s="81">
        <f>HLOOKUP(O2544,データについて!$J$9:$M$18,10,FALSE)</f>
        <v>1</v>
      </c>
      <c r="W2544" s="81">
        <f>HLOOKUP(P2544,データについて!$J$10:$M$18,9,FALSE)</f>
        <v>1</v>
      </c>
      <c r="X2544" s="81">
        <f>HLOOKUP(Q2544,データについて!$J$11:$M$18,8,FALSE)</f>
        <v>1</v>
      </c>
      <c r="Y2544" s="81">
        <f>HLOOKUP(R2544,データについて!$J$12:$M$18,7,FALSE)</f>
        <v>2</v>
      </c>
      <c r="Z2544" s="81">
        <f>HLOOKUP(I2544,データについて!$J$3:$M$18,16,FALSE)</f>
        <v>1</v>
      </c>
      <c r="AA2544" s="81">
        <f>IFERROR(HLOOKUP(J2544,データについて!$J$4:$AH$19,16,FALSE),"")</f>
        <v>6</v>
      </c>
      <c r="AB2544" s="81" t="str">
        <f>IFERROR(HLOOKUP(K2544,データについて!$J$5:$AH$20,14,FALSE),"")</f>
        <v/>
      </c>
      <c r="AC2544" s="81">
        <f>IF(X2544=1,HLOOKUP(R2544,データについて!$J$12:$M$18,7,FALSE),"*")</f>
        <v>2</v>
      </c>
      <c r="AD2544" s="81" t="str">
        <f>IF(X2544=2,HLOOKUP(R2544,データについて!$J$12:$M$18,7,FALSE),"*")</f>
        <v>*</v>
      </c>
    </row>
    <row r="2545" spans="1:30">
      <c r="A2545" s="30">
        <v>2647</v>
      </c>
      <c r="B2545" s="30" t="s">
        <v>321</v>
      </c>
      <c r="C2545" s="30" t="s">
        <v>322</v>
      </c>
      <c r="D2545" s="30" t="s">
        <v>106</v>
      </c>
      <c r="E2545" s="30"/>
      <c r="F2545" s="30" t="s">
        <v>107</v>
      </c>
      <c r="G2545" s="30" t="s">
        <v>106</v>
      </c>
      <c r="H2545" s="30"/>
      <c r="I2545" s="30" t="s">
        <v>192</v>
      </c>
      <c r="J2545" s="30" t="s">
        <v>125</v>
      </c>
      <c r="K2545" s="30"/>
      <c r="L2545" s="30" t="s">
        <v>108</v>
      </c>
      <c r="M2545" s="30" t="s">
        <v>113</v>
      </c>
      <c r="N2545" s="30" t="s">
        <v>114</v>
      </c>
      <c r="O2545" s="30" t="s">
        <v>115</v>
      </c>
      <c r="P2545" s="30" t="s">
        <v>112</v>
      </c>
      <c r="Q2545" s="30" t="s">
        <v>118</v>
      </c>
      <c r="R2545" s="30" t="s">
        <v>185</v>
      </c>
      <c r="S2545" s="81">
        <f>HLOOKUP(L2545,データについて!$J$6:$M$18,13,FALSE)</f>
        <v>1</v>
      </c>
      <c r="T2545" s="81">
        <f>HLOOKUP(M2545,データについて!$J$7:$M$18,12,FALSE)</f>
        <v>1</v>
      </c>
      <c r="U2545" s="81">
        <f>HLOOKUP(N2545,データについて!$J$8:$M$18,11,FALSE)</f>
        <v>1</v>
      </c>
      <c r="V2545" s="81">
        <f>HLOOKUP(O2545,データについて!$J$9:$M$18,10,FALSE)</f>
        <v>1</v>
      </c>
      <c r="W2545" s="81">
        <f>HLOOKUP(P2545,データについて!$J$10:$M$18,9,FALSE)</f>
        <v>1</v>
      </c>
      <c r="X2545" s="81">
        <f>HLOOKUP(Q2545,データについて!$J$11:$M$18,8,FALSE)</f>
        <v>2</v>
      </c>
      <c r="Y2545" s="81">
        <f>HLOOKUP(R2545,データについて!$J$12:$M$18,7,FALSE)</f>
        <v>2</v>
      </c>
      <c r="Z2545" s="81">
        <f>HLOOKUP(I2545,データについて!$J$3:$M$18,16,FALSE)</f>
        <v>1</v>
      </c>
      <c r="AA2545" s="81">
        <f>IFERROR(HLOOKUP(J2545,データについて!$J$4:$AH$19,16,FALSE),"")</f>
        <v>6</v>
      </c>
      <c r="AB2545" s="81" t="str">
        <f>IFERROR(HLOOKUP(K2545,データについて!$J$5:$AH$20,14,FALSE),"")</f>
        <v/>
      </c>
      <c r="AC2545" s="81" t="str">
        <f>IF(X2545=1,HLOOKUP(R2545,データについて!$J$12:$M$18,7,FALSE),"*")</f>
        <v>*</v>
      </c>
      <c r="AD2545" s="81">
        <f>IF(X2545=2,HLOOKUP(R2545,データについて!$J$12:$M$18,7,FALSE),"*")</f>
        <v>2</v>
      </c>
    </row>
    <row r="2546" spans="1:30">
      <c r="A2546" s="30">
        <v>2646</v>
      </c>
      <c r="B2546" s="30" t="s">
        <v>323</v>
      </c>
      <c r="C2546" s="30" t="s">
        <v>324</v>
      </c>
      <c r="D2546" s="30" t="s">
        <v>106</v>
      </c>
      <c r="E2546" s="30"/>
      <c r="F2546" s="30" t="s">
        <v>107</v>
      </c>
      <c r="G2546" s="30" t="s">
        <v>106</v>
      </c>
      <c r="H2546" s="30"/>
      <c r="I2546" s="30" t="s">
        <v>192</v>
      </c>
      <c r="J2546" s="30" t="s">
        <v>125</v>
      </c>
      <c r="K2546" s="30"/>
      <c r="L2546" s="30" t="s">
        <v>117</v>
      </c>
      <c r="M2546" s="30" t="s">
        <v>109</v>
      </c>
      <c r="N2546" s="30" t="s">
        <v>114</v>
      </c>
      <c r="O2546" s="30" t="s">
        <v>115</v>
      </c>
      <c r="P2546" s="30" t="s">
        <v>112</v>
      </c>
      <c r="Q2546" s="30" t="s">
        <v>112</v>
      </c>
      <c r="R2546" s="30" t="s">
        <v>185</v>
      </c>
      <c r="S2546" s="81">
        <f>HLOOKUP(L2546,データについて!$J$6:$M$18,13,FALSE)</f>
        <v>2</v>
      </c>
      <c r="T2546" s="81">
        <f>HLOOKUP(M2546,データについて!$J$7:$M$18,12,FALSE)</f>
        <v>2</v>
      </c>
      <c r="U2546" s="81">
        <f>HLOOKUP(N2546,データについて!$J$8:$M$18,11,FALSE)</f>
        <v>1</v>
      </c>
      <c r="V2546" s="81">
        <f>HLOOKUP(O2546,データについて!$J$9:$M$18,10,FALSE)</f>
        <v>1</v>
      </c>
      <c r="W2546" s="81">
        <f>HLOOKUP(P2546,データについて!$J$10:$M$18,9,FALSE)</f>
        <v>1</v>
      </c>
      <c r="X2546" s="81">
        <f>HLOOKUP(Q2546,データについて!$J$11:$M$18,8,FALSE)</f>
        <v>1</v>
      </c>
      <c r="Y2546" s="81">
        <f>HLOOKUP(R2546,データについて!$J$12:$M$18,7,FALSE)</f>
        <v>2</v>
      </c>
      <c r="Z2546" s="81">
        <f>HLOOKUP(I2546,データについて!$J$3:$M$18,16,FALSE)</f>
        <v>1</v>
      </c>
      <c r="AA2546" s="81">
        <f>IFERROR(HLOOKUP(J2546,データについて!$J$4:$AH$19,16,FALSE),"")</f>
        <v>6</v>
      </c>
      <c r="AB2546" s="81" t="str">
        <f>IFERROR(HLOOKUP(K2546,データについて!$J$5:$AH$20,14,FALSE),"")</f>
        <v/>
      </c>
      <c r="AC2546" s="81">
        <f>IF(X2546=1,HLOOKUP(R2546,データについて!$J$12:$M$18,7,FALSE),"*")</f>
        <v>2</v>
      </c>
      <c r="AD2546" s="81" t="str">
        <f>IF(X2546=2,HLOOKUP(R2546,データについて!$J$12:$M$18,7,FALSE),"*")</f>
        <v>*</v>
      </c>
    </row>
    <row r="2547" spans="1:30">
      <c r="A2547" s="30">
        <v>2645</v>
      </c>
      <c r="B2547" s="30" t="s">
        <v>325</v>
      </c>
      <c r="C2547" s="30" t="s">
        <v>326</v>
      </c>
      <c r="D2547" s="30" t="s">
        <v>106</v>
      </c>
      <c r="E2547" s="30"/>
      <c r="F2547" s="30" t="s">
        <v>107</v>
      </c>
      <c r="G2547" s="30" t="s">
        <v>106</v>
      </c>
      <c r="H2547" s="30"/>
      <c r="I2547" s="30" t="s">
        <v>192</v>
      </c>
      <c r="J2547" s="30" t="s">
        <v>125</v>
      </c>
      <c r="K2547" s="30"/>
      <c r="L2547" s="30" t="s">
        <v>117</v>
      </c>
      <c r="M2547" s="30" t="s">
        <v>109</v>
      </c>
      <c r="N2547" s="30" t="s">
        <v>110</v>
      </c>
      <c r="O2547" s="30" t="s">
        <v>115</v>
      </c>
      <c r="P2547" s="30" t="s">
        <v>112</v>
      </c>
      <c r="Q2547" s="30" t="s">
        <v>112</v>
      </c>
      <c r="R2547" s="30" t="s">
        <v>185</v>
      </c>
      <c r="S2547" s="81">
        <f>HLOOKUP(L2547,データについて!$J$6:$M$18,13,FALSE)</f>
        <v>2</v>
      </c>
      <c r="T2547" s="81">
        <f>HLOOKUP(M2547,データについて!$J$7:$M$18,12,FALSE)</f>
        <v>2</v>
      </c>
      <c r="U2547" s="81">
        <f>HLOOKUP(N2547,データについて!$J$8:$M$18,11,FALSE)</f>
        <v>2</v>
      </c>
      <c r="V2547" s="81">
        <f>HLOOKUP(O2547,データについて!$J$9:$M$18,10,FALSE)</f>
        <v>1</v>
      </c>
      <c r="W2547" s="81">
        <f>HLOOKUP(P2547,データについて!$J$10:$M$18,9,FALSE)</f>
        <v>1</v>
      </c>
      <c r="X2547" s="81">
        <f>HLOOKUP(Q2547,データについて!$J$11:$M$18,8,FALSE)</f>
        <v>1</v>
      </c>
      <c r="Y2547" s="81">
        <f>HLOOKUP(R2547,データについて!$J$12:$M$18,7,FALSE)</f>
        <v>2</v>
      </c>
      <c r="Z2547" s="81">
        <f>HLOOKUP(I2547,データについて!$J$3:$M$18,16,FALSE)</f>
        <v>1</v>
      </c>
      <c r="AA2547" s="81">
        <f>IFERROR(HLOOKUP(J2547,データについて!$J$4:$AH$19,16,FALSE),"")</f>
        <v>6</v>
      </c>
      <c r="AB2547" s="81" t="str">
        <f>IFERROR(HLOOKUP(K2547,データについて!$J$5:$AH$20,14,FALSE),"")</f>
        <v/>
      </c>
      <c r="AC2547" s="81">
        <f>IF(X2547=1,HLOOKUP(R2547,データについて!$J$12:$M$18,7,FALSE),"*")</f>
        <v>2</v>
      </c>
      <c r="AD2547" s="81" t="str">
        <f>IF(X2547=2,HLOOKUP(R2547,データについて!$J$12:$M$18,7,FALSE),"*")</f>
        <v>*</v>
      </c>
    </row>
    <row r="2548" spans="1:30">
      <c r="A2548" s="30">
        <v>2644</v>
      </c>
      <c r="B2548" s="30" t="s">
        <v>327</v>
      </c>
      <c r="C2548" s="30" t="s">
        <v>328</v>
      </c>
      <c r="D2548" s="30" t="s">
        <v>106</v>
      </c>
      <c r="E2548" s="30"/>
      <c r="F2548" s="30" t="s">
        <v>107</v>
      </c>
      <c r="G2548" s="30" t="s">
        <v>106</v>
      </c>
      <c r="H2548" s="30"/>
      <c r="I2548" s="30" t="s">
        <v>192</v>
      </c>
      <c r="J2548" s="30" t="s">
        <v>125</v>
      </c>
      <c r="K2548" s="30"/>
      <c r="L2548" s="30" t="s">
        <v>108</v>
      </c>
      <c r="M2548" s="30" t="s">
        <v>109</v>
      </c>
      <c r="N2548" s="30" t="s">
        <v>110</v>
      </c>
      <c r="O2548" s="30" t="s">
        <v>123</v>
      </c>
      <c r="P2548" s="30" t="s">
        <v>112</v>
      </c>
      <c r="Q2548" s="30" t="s">
        <v>112</v>
      </c>
      <c r="R2548" s="30" t="s">
        <v>187</v>
      </c>
      <c r="S2548" s="81">
        <f>HLOOKUP(L2548,データについて!$J$6:$M$18,13,FALSE)</f>
        <v>1</v>
      </c>
      <c r="T2548" s="81">
        <f>HLOOKUP(M2548,データについて!$J$7:$M$18,12,FALSE)</f>
        <v>2</v>
      </c>
      <c r="U2548" s="81">
        <f>HLOOKUP(N2548,データについて!$J$8:$M$18,11,FALSE)</f>
        <v>2</v>
      </c>
      <c r="V2548" s="81">
        <f>HLOOKUP(O2548,データについて!$J$9:$M$18,10,FALSE)</f>
        <v>4</v>
      </c>
      <c r="W2548" s="81">
        <f>HLOOKUP(P2548,データについて!$J$10:$M$18,9,FALSE)</f>
        <v>1</v>
      </c>
      <c r="X2548" s="81">
        <f>HLOOKUP(Q2548,データについて!$J$11:$M$18,8,FALSE)</f>
        <v>1</v>
      </c>
      <c r="Y2548" s="81">
        <f>HLOOKUP(R2548,データについて!$J$12:$M$18,7,FALSE)</f>
        <v>3</v>
      </c>
      <c r="Z2548" s="81">
        <f>HLOOKUP(I2548,データについて!$J$3:$M$18,16,FALSE)</f>
        <v>1</v>
      </c>
      <c r="AA2548" s="81">
        <f>IFERROR(HLOOKUP(J2548,データについて!$J$4:$AH$19,16,FALSE),"")</f>
        <v>6</v>
      </c>
      <c r="AB2548" s="81" t="str">
        <f>IFERROR(HLOOKUP(K2548,データについて!$J$5:$AH$20,14,FALSE),"")</f>
        <v/>
      </c>
      <c r="AC2548" s="81">
        <f>IF(X2548=1,HLOOKUP(R2548,データについて!$J$12:$M$18,7,FALSE),"*")</f>
        <v>3</v>
      </c>
      <c r="AD2548" s="81" t="str">
        <f>IF(X2548=2,HLOOKUP(R2548,データについて!$J$12:$M$18,7,FALSE),"*")</f>
        <v>*</v>
      </c>
    </row>
    <row r="2549" spans="1:30">
      <c r="A2549" s="30">
        <v>2643</v>
      </c>
      <c r="B2549" s="30" t="s">
        <v>329</v>
      </c>
      <c r="C2549" s="30" t="s">
        <v>330</v>
      </c>
      <c r="D2549" s="30" t="s">
        <v>106</v>
      </c>
      <c r="E2549" s="30"/>
      <c r="F2549" s="30" t="s">
        <v>107</v>
      </c>
      <c r="G2549" s="30" t="s">
        <v>106</v>
      </c>
      <c r="H2549" s="30"/>
      <c r="I2549" s="30" t="s">
        <v>192</v>
      </c>
      <c r="J2549" s="30" t="s">
        <v>125</v>
      </c>
      <c r="K2549" s="30"/>
      <c r="L2549" s="30" t="s">
        <v>108</v>
      </c>
      <c r="M2549" s="30" t="s">
        <v>109</v>
      </c>
      <c r="N2549" s="30" t="s">
        <v>114</v>
      </c>
      <c r="O2549" s="30" t="s">
        <v>115</v>
      </c>
      <c r="P2549" s="30" t="s">
        <v>112</v>
      </c>
      <c r="Q2549" s="30" t="s">
        <v>112</v>
      </c>
      <c r="R2549" s="30" t="s">
        <v>185</v>
      </c>
      <c r="S2549" s="81">
        <f>HLOOKUP(L2549,データについて!$J$6:$M$18,13,FALSE)</f>
        <v>1</v>
      </c>
      <c r="T2549" s="81">
        <f>HLOOKUP(M2549,データについて!$J$7:$M$18,12,FALSE)</f>
        <v>2</v>
      </c>
      <c r="U2549" s="81">
        <f>HLOOKUP(N2549,データについて!$J$8:$M$18,11,FALSE)</f>
        <v>1</v>
      </c>
      <c r="V2549" s="81">
        <f>HLOOKUP(O2549,データについて!$J$9:$M$18,10,FALSE)</f>
        <v>1</v>
      </c>
      <c r="W2549" s="81">
        <f>HLOOKUP(P2549,データについて!$J$10:$M$18,9,FALSE)</f>
        <v>1</v>
      </c>
      <c r="X2549" s="81">
        <f>HLOOKUP(Q2549,データについて!$J$11:$M$18,8,FALSE)</f>
        <v>1</v>
      </c>
      <c r="Y2549" s="81">
        <f>HLOOKUP(R2549,データについて!$J$12:$M$18,7,FALSE)</f>
        <v>2</v>
      </c>
      <c r="Z2549" s="81">
        <f>HLOOKUP(I2549,データについて!$J$3:$M$18,16,FALSE)</f>
        <v>1</v>
      </c>
      <c r="AA2549" s="81">
        <f>IFERROR(HLOOKUP(J2549,データについて!$J$4:$AH$19,16,FALSE),"")</f>
        <v>6</v>
      </c>
      <c r="AB2549" s="81" t="str">
        <f>IFERROR(HLOOKUP(K2549,データについて!$J$5:$AH$20,14,FALSE),"")</f>
        <v/>
      </c>
      <c r="AC2549" s="81">
        <f>IF(X2549=1,HLOOKUP(R2549,データについて!$J$12:$M$18,7,FALSE),"*")</f>
        <v>2</v>
      </c>
      <c r="AD2549" s="81" t="str">
        <f>IF(X2549=2,HLOOKUP(R2549,データについて!$J$12:$M$18,7,FALSE),"*")</f>
        <v>*</v>
      </c>
    </row>
    <row r="2550" spans="1:30">
      <c r="A2550" s="30">
        <v>2642</v>
      </c>
      <c r="B2550" s="30" t="s">
        <v>331</v>
      </c>
      <c r="C2550" s="30" t="s">
        <v>332</v>
      </c>
      <c r="D2550" s="30" t="s">
        <v>106</v>
      </c>
      <c r="E2550" s="30"/>
      <c r="F2550" s="30" t="s">
        <v>107</v>
      </c>
      <c r="G2550" s="30" t="s">
        <v>106</v>
      </c>
      <c r="H2550" s="30"/>
      <c r="I2550" s="30" t="s">
        <v>192</v>
      </c>
      <c r="J2550" s="30" t="s">
        <v>125</v>
      </c>
      <c r="K2550" s="30"/>
      <c r="L2550" s="30" t="s">
        <v>117</v>
      </c>
      <c r="M2550" s="30" t="s">
        <v>109</v>
      </c>
      <c r="N2550" s="30" t="s">
        <v>122</v>
      </c>
      <c r="O2550" s="30" t="s">
        <v>115</v>
      </c>
      <c r="P2550" s="30" t="s">
        <v>112</v>
      </c>
      <c r="Q2550" s="30" t="s">
        <v>118</v>
      </c>
      <c r="R2550" s="30" t="s">
        <v>189</v>
      </c>
      <c r="S2550" s="81">
        <f>HLOOKUP(L2550,データについて!$J$6:$M$18,13,FALSE)</f>
        <v>2</v>
      </c>
      <c r="T2550" s="81">
        <f>HLOOKUP(M2550,データについて!$J$7:$M$18,12,FALSE)</f>
        <v>2</v>
      </c>
      <c r="U2550" s="81">
        <f>HLOOKUP(N2550,データについて!$J$8:$M$18,11,FALSE)</f>
        <v>3</v>
      </c>
      <c r="V2550" s="81">
        <f>HLOOKUP(O2550,データについて!$J$9:$M$18,10,FALSE)</f>
        <v>1</v>
      </c>
      <c r="W2550" s="81">
        <f>HLOOKUP(P2550,データについて!$J$10:$M$18,9,FALSE)</f>
        <v>1</v>
      </c>
      <c r="X2550" s="81">
        <f>HLOOKUP(Q2550,データについて!$J$11:$M$18,8,FALSE)</f>
        <v>2</v>
      </c>
      <c r="Y2550" s="81">
        <f>HLOOKUP(R2550,データについて!$J$12:$M$18,7,FALSE)</f>
        <v>4</v>
      </c>
      <c r="Z2550" s="81">
        <f>HLOOKUP(I2550,データについて!$J$3:$M$18,16,FALSE)</f>
        <v>1</v>
      </c>
      <c r="AA2550" s="81">
        <f>IFERROR(HLOOKUP(J2550,データについて!$J$4:$AH$19,16,FALSE),"")</f>
        <v>6</v>
      </c>
      <c r="AB2550" s="81" t="str">
        <f>IFERROR(HLOOKUP(K2550,データについて!$J$5:$AH$20,14,FALSE),"")</f>
        <v/>
      </c>
      <c r="AC2550" s="81" t="str">
        <f>IF(X2550=1,HLOOKUP(R2550,データについて!$J$12:$M$18,7,FALSE),"*")</f>
        <v>*</v>
      </c>
      <c r="AD2550" s="81">
        <f>IF(X2550=2,HLOOKUP(R2550,データについて!$J$12:$M$18,7,FALSE),"*")</f>
        <v>4</v>
      </c>
    </row>
    <row r="2551" spans="1:30">
      <c r="A2551" s="30">
        <v>2641</v>
      </c>
      <c r="B2551" s="30" t="s">
        <v>333</v>
      </c>
      <c r="C2551" s="30" t="s">
        <v>332</v>
      </c>
      <c r="D2551" s="30" t="s">
        <v>106</v>
      </c>
      <c r="E2551" s="30"/>
      <c r="F2551" s="30" t="s">
        <v>107</v>
      </c>
      <c r="G2551" s="30" t="s">
        <v>106</v>
      </c>
      <c r="H2551" s="30"/>
      <c r="I2551" s="30" t="s">
        <v>192</v>
      </c>
      <c r="J2551" s="30" t="s">
        <v>125</v>
      </c>
      <c r="K2551" s="30"/>
      <c r="L2551" s="30" t="s">
        <v>117</v>
      </c>
      <c r="M2551" s="30" t="s">
        <v>113</v>
      </c>
      <c r="N2551" s="30" t="s">
        <v>110</v>
      </c>
      <c r="O2551" s="30" t="s">
        <v>115</v>
      </c>
      <c r="P2551" s="30" t="s">
        <v>112</v>
      </c>
      <c r="Q2551" s="30" t="s">
        <v>112</v>
      </c>
      <c r="R2551" s="30" t="s">
        <v>187</v>
      </c>
      <c r="S2551" s="81">
        <f>HLOOKUP(L2551,データについて!$J$6:$M$18,13,FALSE)</f>
        <v>2</v>
      </c>
      <c r="T2551" s="81">
        <f>HLOOKUP(M2551,データについて!$J$7:$M$18,12,FALSE)</f>
        <v>1</v>
      </c>
      <c r="U2551" s="81">
        <f>HLOOKUP(N2551,データについて!$J$8:$M$18,11,FALSE)</f>
        <v>2</v>
      </c>
      <c r="V2551" s="81">
        <f>HLOOKUP(O2551,データについて!$J$9:$M$18,10,FALSE)</f>
        <v>1</v>
      </c>
      <c r="W2551" s="81">
        <f>HLOOKUP(P2551,データについて!$J$10:$M$18,9,FALSE)</f>
        <v>1</v>
      </c>
      <c r="X2551" s="81">
        <f>HLOOKUP(Q2551,データについて!$J$11:$M$18,8,FALSE)</f>
        <v>1</v>
      </c>
      <c r="Y2551" s="81">
        <f>HLOOKUP(R2551,データについて!$J$12:$M$18,7,FALSE)</f>
        <v>3</v>
      </c>
      <c r="Z2551" s="81">
        <f>HLOOKUP(I2551,データについて!$J$3:$M$18,16,FALSE)</f>
        <v>1</v>
      </c>
      <c r="AA2551" s="81">
        <f>IFERROR(HLOOKUP(J2551,データについて!$J$4:$AH$19,16,FALSE),"")</f>
        <v>6</v>
      </c>
      <c r="AB2551" s="81" t="str">
        <f>IFERROR(HLOOKUP(K2551,データについて!$J$5:$AH$20,14,FALSE),"")</f>
        <v/>
      </c>
      <c r="AC2551" s="81">
        <f>IF(X2551=1,HLOOKUP(R2551,データについて!$J$12:$M$18,7,FALSE),"*")</f>
        <v>3</v>
      </c>
      <c r="AD2551" s="81" t="str">
        <f>IF(X2551=2,HLOOKUP(R2551,データについて!$J$12:$M$18,7,FALSE),"*")</f>
        <v>*</v>
      </c>
    </row>
    <row r="2552" spans="1:30">
      <c r="A2552" s="30">
        <v>2640</v>
      </c>
      <c r="B2552" s="30" t="s">
        <v>334</v>
      </c>
      <c r="C2552" s="30" t="s">
        <v>335</v>
      </c>
      <c r="D2552" s="30" t="s">
        <v>106</v>
      </c>
      <c r="E2552" s="30"/>
      <c r="F2552" s="30" t="s">
        <v>107</v>
      </c>
      <c r="G2552" s="30" t="s">
        <v>106</v>
      </c>
      <c r="H2552" s="30"/>
      <c r="I2552" s="30" t="s">
        <v>192</v>
      </c>
      <c r="J2552" s="30" t="s">
        <v>125</v>
      </c>
      <c r="K2552" s="30"/>
      <c r="L2552" s="30" t="s">
        <v>117</v>
      </c>
      <c r="M2552" s="30" t="s">
        <v>109</v>
      </c>
      <c r="N2552" s="30" t="s">
        <v>122</v>
      </c>
      <c r="O2552" s="30" t="s">
        <v>115</v>
      </c>
      <c r="P2552" s="30" t="s">
        <v>112</v>
      </c>
      <c r="Q2552" s="30" t="s">
        <v>112</v>
      </c>
      <c r="R2552" s="30" t="s">
        <v>189</v>
      </c>
      <c r="S2552" s="81">
        <f>HLOOKUP(L2552,データについて!$J$6:$M$18,13,FALSE)</f>
        <v>2</v>
      </c>
      <c r="T2552" s="81">
        <f>HLOOKUP(M2552,データについて!$J$7:$M$18,12,FALSE)</f>
        <v>2</v>
      </c>
      <c r="U2552" s="81">
        <f>HLOOKUP(N2552,データについて!$J$8:$M$18,11,FALSE)</f>
        <v>3</v>
      </c>
      <c r="V2552" s="81">
        <f>HLOOKUP(O2552,データについて!$J$9:$M$18,10,FALSE)</f>
        <v>1</v>
      </c>
      <c r="W2552" s="81">
        <f>HLOOKUP(P2552,データについて!$J$10:$M$18,9,FALSE)</f>
        <v>1</v>
      </c>
      <c r="X2552" s="81">
        <f>HLOOKUP(Q2552,データについて!$J$11:$M$18,8,FALSE)</f>
        <v>1</v>
      </c>
      <c r="Y2552" s="81">
        <f>HLOOKUP(R2552,データについて!$J$12:$M$18,7,FALSE)</f>
        <v>4</v>
      </c>
      <c r="Z2552" s="81">
        <f>HLOOKUP(I2552,データについて!$J$3:$M$18,16,FALSE)</f>
        <v>1</v>
      </c>
      <c r="AA2552" s="81">
        <f>IFERROR(HLOOKUP(J2552,データについて!$J$4:$AH$19,16,FALSE),"")</f>
        <v>6</v>
      </c>
      <c r="AB2552" s="81" t="str">
        <f>IFERROR(HLOOKUP(K2552,データについて!$J$5:$AH$20,14,FALSE),"")</f>
        <v/>
      </c>
      <c r="AC2552" s="81">
        <f>IF(X2552=1,HLOOKUP(R2552,データについて!$J$12:$M$18,7,FALSE),"*")</f>
        <v>4</v>
      </c>
      <c r="AD2552" s="81" t="str">
        <f>IF(X2552=2,HLOOKUP(R2552,データについて!$J$12:$M$18,7,FALSE),"*")</f>
        <v>*</v>
      </c>
    </row>
    <row r="2553" spans="1:30">
      <c r="A2553" s="30">
        <v>2639</v>
      </c>
      <c r="B2553" s="30" t="s">
        <v>336</v>
      </c>
      <c r="C2553" s="30" t="s">
        <v>337</v>
      </c>
      <c r="D2553" s="30" t="s">
        <v>106</v>
      </c>
      <c r="E2553" s="30"/>
      <c r="F2553" s="30" t="s">
        <v>107</v>
      </c>
      <c r="G2553" s="30" t="s">
        <v>106</v>
      </c>
      <c r="H2553" s="30"/>
      <c r="I2553" s="30" t="s">
        <v>192</v>
      </c>
      <c r="J2553" s="30" t="s">
        <v>125</v>
      </c>
      <c r="K2553" s="30"/>
      <c r="L2553" s="30" t="s">
        <v>117</v>
      </c>
      <c r="M2553" s="30" t="s">
        <v>113</v>
      </c>
      <c r="N2553" s="30" t="s">
        <v>110</v>
      </c>
      <c r="O2553" s="30" t="s">
        <v>115</v>
      </c>
      <c r="P2553" s="30" t="s">
        <v>112</v>
      </c>
      <c r="Q2553" s="30" t="s">
        <v>112</v>
      </c>
      <c r="R2553" s="30" t="s">
        <v>185</v>
      </c>
      <c r="S2553" s="81">
        <f>HLOOKUP(L2553,データについて!$J$6:$M$18,13,FALSE)</f>
        <v>2</v>
      </c>
      <c r="T2553" s="81">
        <f>HLOOKUP(M2553,データについて!$J$7:$M$18,12,FALSE)</f>
        <v>1</v>
      </c>
      <c r="U2553" s="81">
        <f>HLOOKUP(N2553,データについて!$J$8:$M$18,11,FALSE)</f>
        <v>2</v>
      </c>
      <c r="V2553" s="81">
        <f>HLOOKUP(O2553,データについて!$J$9:$M$18,10,FALSE)</f>
        <v>1</v>
      </c>
      <c r="W2553" s="81">
        <f>HLOOKUP(P2553,データについて!$J$10:$M$18,9,FALSE)</f>
        <v>1</v>
      </c>
      <c r="X2553" s="81">
        <f>HLOOKUP(Q2553,データについて!$J$11:$M$18,8,FALSE)</f>
        <v>1</v>
      </c>
      <c r="Y2553" s="81">
        <f>HLOOKUP(R2553,データについて!$J$12:$M$18,7,FALSE)</f>
        <v>2</v>
      </c>
      <c r="Z2553" s="81">
        <f>HLOOKUP(I2553,データについて!$J$3:$M$18,16,FALSE)</f>
        <v>1</v>
      </c>
      <c r="AA2553" s="81">
        <f>IFERROR(HLOOKUP(J2553,データについて!$J$4:$AH$19,16,FALSE),"")</f>
        <v>6</v>
      </c>
      <c r="AB2553" s="81" t="str">
        <f>IFERROR(HLOOKUP(K2553,データについて!$J$5:$AH$20,14,FALSE),"")</f>
        <v/>
      </c>
      <c r="AC2553" s="81">
        <f>IF(X2553=1,HLOOKUP(R2553,データについて!$J$12:$M$18,7,FALSE),"*")</f>
        <v>2</v>
      </c>
      <c r="AD2553" s="81" t="str">
        <f>IF(X2553=2,HLOOKUP(R2553,データについて!$J$12:$M$18,7,FALSE),"*")</f>
        <v>*</v>
      </c>
    </row>
    <row r="2554" spans="1:30">
      <c r="A2554" s="30">
        <v>2638</v>
      </c>
      <c r="B2554" s="30" t="s">
        <v>338</v>
      </c>
      <c r="C2554" s="30" t="s">
        <v>339</v>
      </c>
      <c r="D2554" s="30" t="s">
        <v>106</v>
      </c>
      <c r="E2554" s="30"/>
      <c r="F2554" s="30" t="s">
        <v>107</v>
      </c>
      <c r="G2554" s="30" t="s">
        <v>106</v>
      </c>
      <c r="H2554" s="30"/>
      <c r="I2554" s="30" t="s">
        <v>192</v>
      </c>
      <c r="J2554" s="30" t="s">
        <v>125</v>
      </c>
      <c r="K2554" s="30"/>
      <c r="L2554" s="30" t="s">
        <v>117</v>
      </c>
      <c r="M2554" s="30" t="s">
        <v>109</v>
      </c>
      <c r="N2554" s="30" t="s">
        <v>110</v>
      </c>
      <c r="O2554" s="30" t="s">
        <v>115</v>
      </c>
      <c r="P2554" s="30" t="s">
        <v>118</v>
      </c>
      <c r="Q2554" s="30" t="s">
        <v>112</v>
      </c>
      <c r="R2554" s="30" t="s">
        <v>187</v>
      </c>
      <c r="S2554" s="81">
        <f>HLOOKUP(L2554,データについて!$J$6:$M$18,13,FALSE)</f>
        <v>2</v>
      </c>
      <c r="T2554" s="81">
        <f>HLOOKUP(M2554,データについて!$J$7:$M$18,12,FALSE)</f>
        <v>2</v>
      </c>
      <c r="U2554" s="81">
        <f>HLOOKUP(N2554,データについて!$J$8:$M$18,11,FALSE)</f>
        <v>2</v>
      </c>
      <c r="V2554" s="81">
        <f>HLOOKUP(O2554,データについて!$J$9:$M$18,10,FALSE)</f>
        <v>1</v>
      </c>
      <c r="W2554" s="81">
        <f>HLOOKUP(P2554,データについて!$J$10:$M$18,9,FALSE)</f>
        <v>2</v>
      </c>
      <c r="X2554" s="81">
        <f>HLOOKUP(Q2554,データについて!$J$11:$M$18,8,FALSE)</f>
        <v>1</v>
      </c>
      <c r="Y2554" s="81">
        <f>HLOOKUP(R2554,データについて!$J$12:$M$18,7,FALSE)</f>
        <v>3</v>
      </c>
      <c r="Z2554" s="81">
        <f>HLOOKUP(I2554,データについて!$J$3:$M$18,16,FALSE)</f>
        <v>1</v>
      </c>
      <c r="AA2554" s="81">
        <f>IFERROR(HLOOKUP(J2554,データについて!$J$4:$AH$19,16,FALSE),"")</f>
        <v>6</v>
      </c>
      <c r="AB2554" s="81" t="str">
        <f>IFERROR(HLOOKUP(K2554,データについて!$J$5:$AH$20,14,FALSE),"")</f>
        <v/>
      </c>
      <c r="AC2554" s="81">
        <f>IF(X2554=1,HLOOKUP(R2554,データについて!$J$12:$M$18,7,FALSE),"*")</f>
        <v>3</v>
      </c>
      <c r="AD2554" s="81" t="str">
        <f>IF(X2554=2,HLOOKUP(R2554,データについて!$J$12:$M$18,7,FALSE),"*")</f>
        <v>*</v>
      </c>
    </row>
    <row r="2555" spans="1:30">
      <c r="A2555" s="30">
        <v>2637</v>
      </c>
      <c r="B2555" s="30" t="s">
        <v>340</v>
      </c>
      <c r="C2555" s="30" t="s">
        <v>339</v>
      </c>
      <c r="D2555" s="30" t="s">
        <v>106</v>
      </c>
      <c r="E2555" s="30"/>
      <c r="F2555" s="30" t="s">
        <v>107</v>
      </c>
      <c r="G2555" s="30" t="s">
        <v>106</v>
      </c>
      <c r="H2555" s="30"/>
      <c r="I2555" s="30" t="s">
        <v>192</v>
      </c>
      <c r="J2555" s="30" t="s">
        <v>125</v>
      </c>
      <c r="K2555" s="30"/>
      <c r="L2555" s="30" t="s">
        <v>108</v>
      </c>
      <c r="M2555" s="30" t="s">
        <v>113</v>
      </c>
      <c r="N2555" s="30" t="s">
        <v>119</v>
      </c>
      <c r="O2555" s="30" t="s">
        <v>115</v>
      </c>
      <c r="P2555" s="30" t="s">
        <v>112</v>
      </c>
      <c r="Q2555" s="30" t="s">
        <v>112</v>
      </c>
      <c r="R2555" s="30" t="s">
        <v>185</v>
      </c>
      <c r="S2555" s="81">
        <f>HLOOKUP(L2555,データについて!$J$6:$M$18,13,FALSE)</f>
        <v>1</v>
      </c>
      <c r="T2555" s="81">
        <f>HLOOKUP(M2555,データについて!$J$7:$M$18,12,FALSE)</f>
        <v>1</v>
      </c>
      <c r="U2555" s="81">
        <f>HLOOKUP(N2555,データについて!$J$8:$M$18,11,FALSE)</f>
        <v>4</v>
      </c>
      <c r="V2555" s="81">
        <f>HLOOKUP(O2555,データについて!$J$9:$M$18,10,FALSE)</f>
        <v>1</v>
      </c>
      <c r="W2555" s="81">
        <f>HLOOKUP(P2555,データについて!$J$10:$M$18,9,FALSE)</f>
        <v>1</v>
      </c>
      <c r="X2555" s="81">
        <f>HLOOKUP(Q2555,データについて!$J$11:$M$18,8,FALSE)</f>
        <v>1</v>
      </c>
      <c r="Y2555" s="81">
        <f>HLOOKUP(R2555,データについて!$J$12:$M$18,7,FALSE)</f>
        <v>2</v>
      </c>
      <c r="Z2555" s="81">
        <f>HLOOKUP(I2555,データについて!$J$3:$M$18,16,FALSE)</f>
        <v>1</v>
      </c>
      <c r="AA2555" s="81">
        <f>IFERROR(HLOOKUP(J2555,データについて!$J$4:$AH$19,16,FALSE),"")</f>
        <v>6</v>
      </c>
      <c r="AB2555" s="81" t="str">
        <f>IFERROR(HLOOKUP(K2555,データについて!$J$5:$AH$20,14,FALSE),"")</f>
        <v/>
      </c>
      <c r="AC2555" s="81">
        <f>IF(X2555=1,HLOOKUP(R2555,データについて!$J$12:$M$18,7,FALSE),"*")</f>
        <v>2</v>
      </c>
      <c r="AD2555" s="81" t="str">
        <f>IF(X2555=2,HLOOKUP(R2555,データについて!$J$12:$M$18,7,FALSE),"*")</f>
        <v>*</v>
      </c>
    </row>
    <row r="2556" spans="1:30">
      <c r="A2556" s="30">
        <v>2636</v>
      </c>
      <c r="B2556" s="30" t="s">
        <v>341</v>
      </c>
      <c r="C2556" s="30" t="s">
        <v>342</v>
      </c>
      <c r="D2556" s="30" t="s">
        <v>106</v>
      </c>
      <c r="E2556" s="30"/>
      <c r="F2556" s="30" t="s">
        <v>107</v>
      </c>
      <c r="G2556" s="30" t="s">
        <v>106</v>
      </c>
      <c r="H2556" s="30"/>
      <c r="I2556" s="30" t="s">
        <v>192</v>
      </c>
      <c r="J2556" s="30" t="s">
        <v>125</v>
      </c>
      <c r="K2556" s="30"/>
      <c r="L2556" s="30" t="s">
        <v>108</v>
      </c>
      <c r="M2556" s="30" t="s">
        <v>109</v>
      </c>
      <c r="N2556" s="30" t="s">
        <v>114</v>
      </c>
      <c r="O2556" s="30" t="s">
        <v>123</v>
      </c>
      <c r="P2556" s="30" t="s">
        <v>112</v>
      </c>
      <c r="Q2556" s="30" t="s">
        <v>118</v>
      </c>
      <c r="R2556" s="30" t="s">
        <v>187</v>
      </c>
      <c r="S2556" s="81">
        <f>HLOOKUP(L2556,データについて!$J$6:$M$18,13,FALSE)</f>
        <v>1</v>
      </c>
      <c r="T2556" s="81">
        <f>HLOOKUP(M2556,データについて!$J$7:$M$18,12,FALSE)</f>
        <v>2</v>
      </c>
      <c r="U2556" s="81">
        <f>HLOOKUP(N2556,データについて!$J$8:$M$18,11,FALSE)</f>
        <v>1</v>
      </c>
      <c r="V2556" s="81">
        <f>HLOOKUP(O2556,データについて!$J$9:$M$18,10,FALSE)</f>
        <v>4</v>
      </c>
      <c r="W2556" s="81">
        <f>HLOOKUP(P2556,データについて!$J$10:$M$18,9,FALSE)</f>
        <v>1</v>
      </c>
      <c r="X2556" s="81">
        <f>HLOOKUP(Q2556,データについて!$J$11:$M$18,8,FALSE)</f>
        <v>2</v>
      </c>
      <c r="Y2556" s="81">
        <f>HLOOKUP(R2556,データについて!$J$12:$M$18,7,FALSE)</f>
        <v>3</v>
      </c>
      <c r="Z2556" s="81">
        <f>HLOOKUP(I2556,データについて!$J$3:$M$18,16,FALSE)</f>
        <v>1</v>
      </c>
      <c r="AA2556" s="81">
        <f>IFERROR(HLOOKUP(J2556,データについて!$J$4:$AH$19,16,FALSE),"")</f>
        <v>6</v>
      </c>
      <c r="AB2556" s="81" t="str">
        <f>IFERROR(HLOOKUP(K2556,データについて!$J$5:$AH$20,14,FALSE),"")</f>
        <v/>
      </c>
      <c r="AC2556" s="81" t="str">
        <f>IF(X2556=1,HLOOKUP(R2556,データについて!$J$12:$M$18,7,FALSE),"*")</f>
        <v>*</v>
      </c>
      <c r="AD2556" s="81">
        <f>IF(X2556=2,HLOOKUP(R2556,データについて!$J$12:$M$18,7,FALSE),"*")</f>
        <v>3</v>
      </c>
    </row>
    <row r="2557" spans="1:30">
      <c r="A2557" s="30">
        <v>2635</v>
      </c>
      <c r="B2557" s="30" t="s">
        <v>343</v>
      </c>
      <c r="C2557" s="30" t="s">
        <v>344</v>
      </c>
      <c r="D2557" s="30" t="s">
        <v>106</v>
      </c>
      <c r="E2557" s="30"/>
      <c r="F2557" s="30" t="s">
        <v>107</v>
      </c>
      <c r="G2557" s="30" t="s">
        <v>106</v>
      </c>
      <c r="H2557" s="30"/>
      <c r="I2557" s="30" t="s">
        <v>192</v>
      </c>
      <c r="J2557" s="30" t="s">
        <v>125</v>
      </c>
      <c r="K2557" s="30"/>
      <c r="L2557" s="30" t="s">
        <v>117</v>
      </c>
      <c r="M2557" s="30" t="s">
        <v>109</v>
      </c>
      <c r="N2557" s="30" t="s">
        <v>114</v>
      </c>
      <c r="O2557" s="30" t="s">
        <v>115</v>
      </c>
      <c r="P2557" s="30" t="s">
        <v>112</v>
      </c>
      <c r="Q2557" s="30" t="s">
        <v>112</v>
      </c>
      <c r="R2557" s="30" t="s">
        <v>185</v>
      </c>
      <c r="S2557" s="81">
        <f>HLOOKUP(L2557,データについて!$J$6:$M$18,13,FALSE)</f>
        <v>2</v>
      </c>
      <c r="T2557" s="81">
        <f>HLOOKUP(M2557,データについて!$J$7:$M$18,12,FALSE)</f>
        <v>2</v>
      </c>
      <c r="U2557" s="81">
        <f>HLOOKUP(N2557,データについて!$J$8:$M$18,11,FALSE)</f>
        <v>1</v>
      </c>
      <c r="V2557" s="81">
        <f>HLOOKUP(O2557,データについて!$J$9:$M$18,10,FALSE)</f>
        <v>1</v>
      </c>
      <c r="W2557" s="81">
        <f>HLOOKUP(P2557,データについて!$J$10:$M$18,9,FALSE)</f>
        <v>1</v>
      </c>
      <c r="X2557" s="81">
        <f>HLOOKUP(Q2557,データについて!$J$11:$M$18,8,FALSE)</f>
        <v>1</v>
      </c>
      <c r="Y2557" s="81">
        <f>HLOOKUP(R2557,データについて!$J$12:$M$18,7,FALSE)</f>
        <v>2</v>
      </c>
      <c r="Z2557" s="81">
        <f>HLOOKUP(I2557,データについて!$J$3:$M$18,16,FALSE)</f>
        <v>1</v>
      </c>
      <c r="AA2557" s="81">
        <f>IFERROR(HLOOKUP(J2557,データについて!$J$4:$AH$19,16,FALSE),"")</f>
        <v>6</v>
      </c>
      <c r="AB2557" s="81" t="str">
        <f>IFERROR(HLOOKUP(K2557,データについて!$J$5:$AH$20,14,FALSE),"")</f>
        <v/>
      </c>
      <c r="AC2557" s="81">
        <f>IF(X2557=1,HLOOKUP(R2557,データについて!$J$12:$M$18,7,FALSE),"*")</f>
        <v>2</v>
      </c>
      <c r="AD2557" s="81" t="str">
        <f>IF(X2557=2,HLOOKUP(R2557,データについて!$J$12:$M$18,7,FALSE),"*")</f>
        <v>*</v>
      </c>
    </row>
    <row r="2558" spans="1:30">
      <c r="A2558" s="30">
        <v>2634</v>
      </c>
      <c r="B2558" s="30" t="s">
        <v>345</v>
      </c>
      <c r="C2558" s="30" t="s">
        <v>344</v>
      </c>
      <c r="D2558" s="30" t="s">
        <v>106</v>
      </c>
      <c r="E2558" s="30"/>
      <c r="F2558" s="30" t="s">
        <v>107</v>
      </c>
      <c r="G2558" s="30" t="s">
        <v>106</v>
      </c>
      <c r="H2558" s="30"/>
      <c r="I2558" s="30" t="s">
        <v>192</v>
      </c>
      <c r="J2558" s="30" t="s">
        <v>125</v>
      </c>
      <c r="K2558" s="30"/>
      <c r="L2558" s="30" t="s">
        <v>108</v>
      </c>
      <c r="M2558" s="30" t="s">
        <v>121</v>
      </c>
      <c r="N2558" s="30" t="s">
        <v>110</v>
      </c>
      <c r="O2558" s="30" t="s">
        <v>115</v>
      </c>
      <c r="P2558" s="30" t="s">
        <v>112</v>
      </c>
      <c r="Q2558" s="30" t="s">
        <v>118</v>
      </c>
      <c r="R2558" s="30" t="s">
        <v>183</v>
      </c>
      <c r="S2558" s="81">
        <f>HLOOKUP(L2558,データについて!$J$6:$M$18,13,FALSE)</f>
        <v>1</v>
      </c>
      <c r="T2558" s="81">
        <f>HLOOKUP(M2558,データについて!$J$7:$M$18,12,FALSE)</f>
        <v>4</v>
      </c>
      <c r="U2558" s="81">
        <f>HLOOKUP(N2558,データについて!$J$8:$M$18,11,FALSE)</f>
        <v>2</v>
      </c>
      <c r="V2558" s="81">
        <f>HLOOKUP(O2558,データについて!$J$9:$M$18,10,FALSE)</f>
        <v>1</v>
      </c>
      <c r="W2558" s="81">
        <f>HLOOKUP(P2558,データについて!$J$10:$M$18,9,FALSE)</f>
        <v>1</v>
      </c>
      <c r="X2558" s="81">
        <f>HLOOKUP(Q2558,データについて!$J$11:$M$18,8,FALSE)</f>
        <v>2</v>
      </c>
      <c r="Y2558" s="81">
        <f>HLOOKUP(R2558,データについて!$J$12:$M$18,7,FALSE)</f>
        <v>1</v>
      </c>
      <c r="Z2558" s="81">
        <f>HLOOKUP(I2558,データについて!$J$3:$M$18,16,FALSE)</f>
        <v>1</v>
      </c>
      <c r="AA2558" s="81">
        <f>IFERROR(HLOOKUP(J2558,データについて!$J$4:$AH$19,16,FALSE),"")</f>
        <v>6</v>
      </c>
      <c r="AB2558" s="81" t="str">
        <f>IFERROR(HLOOKUP(K2558,データについて!$J$5:$AH$20,14,FALSE),"")</f>
        <v/>
      </c>
      <c r="AC2558" s="81" t="str">
        <f>IF(X2558=1,HLOOKUP(R2558,データについて!$J$12:$M$18,7,FALSE),"*")</f>
        <v>*</v>
      </c>
      <c r="AD2558" s="81">
        <f>IF(X2558=2,HLOOKUP(R2558,データについて!$J$12:$M$18,7,FALSE),"*")</f>
        <v>1</v>
      </c>
    </row>
    <row r="2559" spans="1:30">
      <c r="A2559" s="30">
        <v>2633</v>
      </c>
      <c r="B2559" s="30" t="s">
        <v>346</v>
      </c>
      <c r="C2559" s="30" t="s">
        <v>347</v>
      </c>
      <c r="D2559" s="30" t="s">
        <v>106</v>
      </c>
      <c r="E2559" s="30"/>
      <c r="F2559" s="30" t="s">
        <v>107</v>
      </c>
      <c r="G2559" s="30" t="s">
        <v>106</v>
      </c>
      <c r="H2559" s="30"/>
      <c r="I2559" s="30" t="s">
        <v>192</v>
      </c>
      <c r="J2559" s="30" t="s">
        <v>125</v>
      </c>
      <c r="K2559" s="30"/>
      <c r="L2559" s="30" t="s">
        <v>108</v>
      </c>
      <c r="M2559" s="30" t="s">
        <v>109</v>
      </c>
      <c r="N2559" s="30" t="s">
        <v>114</v>
      </c>
      <c r="O2559" s="30" t="s">
        <v>115</v>
      </c>
      <c r="P2559" s="30" t="s">
        <v>112</v>
      </c>
      <c r="Q2559" s="30" t="s">
        <v>118</v>
      </c>
      <c r="R2559" s="30" t="s">
        <v>185</v>
      </c>
      <c r="S2559" s="81">
        <f>HLOOKUP(L2559,データについて!$J$6:$M$18,13,FALSE)</f>
        <v>1</v>
      </c>
      <c r="T2559" s="81">
        <f>HLOOKUP(M2559,データについて!$J$7:$M$18,12,FALSE)</f>
        <v>2</v>
      </c>
      <c r="U2559" s="81">
        <f>HLOOKUP(N2559,データについて!$J$8:$M$18,11,FALSE)</f>
        <v>1</v>
      </c>
      <c r="V2559" s="81">
        <f>HLOOKUP(O2559,データについて!$J$9:$M$18,10,FALSE)</f>
        <v>1</v>
      </c>
      <c r="W2559" s="81">
        <f>HLOOKUP(P2559,データについて!$J$10:$M$18,9,FALSE)</f>
        <v>1</v>
      </c>
      <c r="X2559" s="81">
        <f>HLOOKUP(Q2559,データについて!$J$11:$M$18,8,FALSE)</f>
        <v>2</v>
      </c>
      <c r="Y2559" s="81">
        <f>HLOOKUP(R2559,データについて!$J$12:$M$18,7,FALSE)</f>
        <v>2</v>
      </c>
      <c r="Z2559" s="81">
        <f>HLOOKUP(I2559,データについて!$J$3:$M$18,16,FALSE)</f>
        <v>1</v>
      </c>
      <c r="AA2559" s="81">
        <f>IFERROR(HLOOKUP(J2559,データについて!$J$4:$AH$19,16,FALSE),"")</f>
        <v>6</v>
      </c>
      <c r="AB2559" s="81" t="str">
        <f>IFERROR(HLOOKUP(K2559,データについて!$J$5:$AH$20,14,FALSE),"")</f>
        <v/>
      </c>
      <c r="AC2559" s="81" t="str">
        <f>IF(X2559=1,HLOOKUP(R2559,データについて!$J$12:$M$18,7,FALSE),"*")</f>
        <v>*</v>
      </c>
      <c r="AD2559" s="81">
        <f>IF(X2559=2,HLOOKUP(R2559,データについて!$J$12:$M$18,7,FALSE),"*")</f>
        <v>2</v>
      </c>
    </row>
    <row r="2560" spans="1:30">
      <c r="A2560" s="30">
        <v>2632</v>
      </c>
      <c r="B2560" s="30" t="s">
        <v>348</v>
      </c>
      <c r="C2560" s="30" t="s">
        <v>349</v>
      </c>
      <c r="D2560" s="30" t="s">
        <v>106</v>
      </c>
      <c r="E2560" s="30"/>
      <c r="F2560" s="30" t="s">
        <v>107</v>
      </c>
      <c r="G2560" s="30" t="s">
        <v>106</v>
      </c>
      <c r="H2560" s="30"/>
      <c r="I2560" s="30" t="s">
        <v>192</v>
      </c>
      <c r="J2560" s="30" t="s">
        <v>125</v>
      </c>
      <c r="K2560" s="30"/>
      <c r="L2560" s="30" t="s">
        <v>117</v>
      </c>
      <c r="M2560" s="30" t="s">
        <v>109</v>
      </c>
      <c r="N2560" s="30" t="s">
        <v>110</v>
      </c>
      <c r="O2560" s="30" t="s">
        <v>115</v>
      </c>
      <c r="P2560" s="30" t="s">
        <v>112</v>
      </c>
      <c r="Q2560" s="30" t="s">
        <v>112</v>
      </c>
      <c r="R2560" s="30" t="s">
        <v>185</v>
      </c>
      <c r="S2560" s="81">
        <f>HLOOKUP(L2560,データについて!$J$6:$M$18,13,FALSE)</f>
        <v>2</v>
      </c>
      <c r="T2560" s="81">
        <f>HLOOKUP(M2560,データについて!$J$7:$M$18,12,FALSE)</f>
        <v>2</v>
      </c>
      <c r="U2560" s="81">
        <f>HLOOKUP(N2560,データについて!$J$8:$M$18,11,FALSE)</f>
        <v>2</v>
      </c>
      <c r="V2560" s="81">
        <f>HLOOKUP(O2560,データについて!$J$9:$M$18,10,FALSE)</f>
        <v>1</v>
      </c>
      <c r="W2560" s="81">
        <f>HLOOKUP(P2560,データについて!$J$10:$M$18,9,FALSE)</f>
        <v>1</v>
      </c>
      <c r="X2560" s="81">
        <f>HLOOKUP(Q2560,データについて!$J$11:$M$18,8,FALSE)</f>
        <v>1</v>
      </c>
      <c r="Y2560" s="81">
        <f>HLOOKUP(R2560,データについて!$J$12:$M$18,7,FALSE)</f>
        <v>2</v>
      </c>
      <c r="Z2560" s="81">
        <f>HLOOKUP(I2560,データについて!$J$3:$M$18,16,FALSE)</f>
        <v>1</v>
      </c>
      <c r="AA2560" s="81">
        <f>IFERROR(HLOOKUP(J2560,データについて!$J$4:$AH$19,16,FALSE),"")</f>
        <v>6</v>
      </c>
      <c r="AB2560" s="81" t="str">
        <f>IFERROR(HLOOKUP(K2560,データについて!$J$5:$AH$20,14,FALSE),"")</f>
        <v/>
      </c>
      <c r="AC2560" s="81">
        <f>IF(X2560=1,HLOOKUP(R2560,データについて!$J$12:$M$18,7,FALSE),"*")</f>
        <v>2</v>
      </c>
      <c r="AD2560" s="81" t="str">
        <f>IF(X2560=2,HLOOKUP(R2560,データについて!$J$12:$M$18,7,FALSE),"*")</f>
        <v>*</v>
      </c>
    </row>
    <row r="2561" spans="1:30">
      <c r="A2561" s="30">
        <v>2631</v>
      </c>
      <c r="B2561" s="30" t="s">
        <v>350</v>
      </c>
      <c r="C2561" s="30" t="s">
        <v>351</v>
      </c>
      <c r="D2561" s="30" t="s">
        <v>106</v>
      </c>
      <c r="E2561" s="30"/>
      <c r="F2561" s="30" t="s">
        <v>107</v>
      </c>
      <c r="G2561" s="30" t="s">
        <v>106</v>
      </c>
      <c r="H2561" s="30"/>
      <c r="I2561" s="30" t="s">
        <v>192</v>
      </c>
      <c r="J2561" s="30" t="s">
        <v>125</v>
      </c>
      <c r="K2561" s="30"/>
      <c r="L2561" s="30" t="s">
        <v>108</v>
      </c>
      <c r="M2561" s="30" t="s">
        <v>113</v>
      </c>
      <c r="N2561" s="30" t="s">
        <v>110</v>
      </c>
      <c r="O2561" s="30" t="s">
        <v>115</v>
      </c>
      <c r="P2561" s="30" t="s">
        <v>112</v>
      </c>
      <c r="Q2561" s="30" t="s">
        <v>112</v>
      </c>
      <c r="R2561" s="30" t="s">
        <v>189</v>
      </c>
      <c r="S2561" s="81">
        <f>HLOOKUP(L2561,データについて!$J$6:$M$18,13,FALSE)</f>
        <v>1</v>
      </c>
      <c r="T2561" s="81">
        <f>HLOOKUP(M2561,データについて!$J$7:$M$18,12,FALSE)</f>
        <v>1</v>
      </c>
      <c r="U2561" s="81">
        <f>HLOOKUP(N2561,データについて!$J$8:$M$18,11,FALSE)</f>
        <v>2</v>
      </c>
      <c r="V2561" s="81">
        <f>HLOOKUP(O2561,データについて!$J$9:$M$18,10,FALSE)</f>
        <v>1</v>
      </c>
      <c r="W2561" s="81">
        <f>HLOOKUP(P2561,データについて!$J$10:$M$18,9,FALSE)</f>
        <v>1</v>
      </c>
      <c r="X2561" s="81">
        <f>HLOOKUP(Q2561,データについて!$J$11:$M$18,8,FALSE)</f>
        <v>1</v>
      </c>
      <c r="Y2561" s="81">
        <f>HLOOKUP(R2561,データについて!$J$12:$M$18,7,FALSE)</f>
        <v>4</v>
      </c>
      <c r="Z2561" s="81">
        <f>HLOOKUP(I2561,データについて!$J$3:$M$18,16,FALSE)</f>
        <v>1</v>
      </c>
      <c r="AA2561" s="81">
        <f>IFERROR(HLOOKUP(J2561,データについて!$J$4:$AH$19,16,FALSE),"")</f>
        <v>6</v>
      </c>
      <c r="AB2561" s="81" t="str">
        <f>IFERROR(HLOOKUP(K2561,データについて!$J$5:$AH$20,14,FALSE),"")</f>
        <v/>
      </c>
      <c r="AC2561" s="81">
        <f>IF(X2561=1,HLOOKUP(R2561,データについて!$J$12:$M$18,7,FALSE),"*")</f>
        <v>4</v>
      </c>
      <c r="AD2561" s="81" t="str">
        <f>IF(X2561=2,HLOOKUP(R2561,データについて!$J$12:$M$18,7,FALSE),"*")</f>
        <v>*</v>
      </c>
    </row>
    <row r="2562" spans="1:30">
      <c r="A2562" s="30">
        <v>2630</v>
      </c>
      <c r="B2562" s="30" t="s">
        <v>352</v>
      </c>
      <c r="C2562" s="30" t="s">
        <v>353</v>
      </c>
      <c r="D2562" s="30" t="s">
        <v>106</v>
      </c>
      <c r="E2562" s="30"/>
      <c r="F2562" s="30" t="s">
        <v>107</v>
      </c>
      <c r="G2562" s="30" t="s">
        <v>106</v>
      </c>
      <c r="H2562" s="30"/>
      <c r="I2562" s="30" t="s">
        <v>192</v>
      </c>
      <c r="J2562" s="30" t="s">
        <v>125</v>
      </c>
      <c r="K2562" s="30"/>
      <c r="L2562" s="30" t="s">
        <v>108</v>
      </c>
      <c r="M2562" s="30" t="s">
        <v>121</v>
      </c>
      <c r="N2562" s="30" t="s">
        <v>114</v>
      </c>
      <c r="O2562" s="30" t="s">
        <v>115</v>
      </c>
      <c r="P2562" s="30" t="s">
        <v>112</v>
      </c>
      <c r="Q2562" s="30" t="s">
        <v>112</v>
      </c>
      <c r="R2562" s="30" t="s">
        <v>183</v>
      </c>
      <c r="S2562" s="81">
        <f>HLOOKUP(L2562,データについて!$J$6:$M$18,13,FALSE)</f>
        <v>1</v>
      </c>
      <c r="T2562" s="81">
        <f>HLOOKUP(M2562,データについて!$J$7:$M$18,12,FALSE)</f>
        <v>4</v>
      </c>
      <c r="U2562" s="81">
        <f>HLOOKUP(N2562,データについて!$J$8:$M$18,11,FALSE)</f>
        <v>1</v>
      </c>
      <c r="V2562" s="81">
        <f>HLOOKUP(O2562,データについて!$J$9:$M$18,10,FALSE)</f>
        <v>1</v>
      </c>
      <c r="W2562" s="81">
        <f>HLOOKUP(P2562,データについて!$J$10:$M$18,9,FALSE)</f>
        <v>1</v>
      </c>
      <c r="X2562" s="81">
        <f>HLOOKUP(Q2562,データについて!$J$11:$M$18,8,FALSE)</f>
        <v>1</v>
      </c>
      <c r="Y2562" s="81">
        <f>HLOOKUP(R2562,データについて!$J$12:$M$18,7,FALSE)</f>
        <v>1</v>
      </c>
      <c r="Z2562" s="81">
        <f>HLOOKUP(I2562,データについて!$J$3:$M$18,16,FALSE)</f>
        <v>1</v>
      </c>
      <c r="AA2562" s="81">
        <f>IFERROR(HLOOKUP(J2562,データについて!$J$4:$AH$19,16,FALSE),"")</f>
        <v>6</v>
      </c>
      <c r="AB2562" s="81" t="str">
        <f>IFERROR(HLOOKUP(K2562,データについて!$J$5:$AH$20,14,FALSE),"")</f>
        <v/>
      </c>
      <c r="AC2562" s="81">
        <f>IF(X2562=1,HLOOKUP(R2562,データについて!$J$12:$M$18,7,FALSE),"*")</f>
        <v>1</v>
      </c>
      <c r="AD2562" s="81" t="str">
        <f>IF(X2562=2,HLOOKUP(R2562,データについて!$J$12:$M$18,7,FALSE),"*")</f>
        <v>*</v>
      </c>
    </row>
    <row r="2563" spans="1:30">
      <c r="A2563" s="30">
        <v>2629</v>
      </c>
      <c r="B2563" s="30" t="s">
        <v>354</v>
      </c>
      <c r="C2563" s="30" t="s">
        <v>353</v>
      </c>
      <c r="D2563" s="30" t="s">
        <v>106</v>
      </c>
      <c r="E2563" s="30"/>
      <c r="F2563" s="30" t="s">
        <v>107</v>
      </c>
      <c r="G2563" s="30" t="s">
        <v>106</v>
      </c>
      <c r="H2563" s="30"/>
      <c r="I2563" s="30" t="s">
        <v>192</v>
      </c>
      <c r="J2563" s="30" t="s">
        <v>125</v>
      </c>
      <c r="K2563" s="30"/>
      <c r="L2563" s="30" t="s">
        <v>117</v>
      </c>
      <c r="M2563" s="30" t="s">
        <v>113</v>
      </c>
      <c r="N2563" s="30" t="s">
        <v>114</v>
      </c>
      <c r="O2563" s="30" t="s">
        <v>115</v>
      </c>
      <c r="P2563" s="30" t="s">
        <v>112</v>
      </c>
      <c r="Q2563" s="30" t="s">
        <v>112</v>
      </c>
      <c r="R2563" s="30" t="s">
        <v>183</v>
      </c>
      <c r="S2563" s="81">
        <f>HLOOKUP(L2563,データについて!$J$6:$M$18,13,FALSE)</f>
        <v>2</v>
      </c>
      <c r="T2563" s="81">
        <f>HLOOKUP(M2563,データについて!$J$7:$M$18,12,FALSE)</f>
        <v>1</v>
      </c>
      <c r="U2563" s="81">
        <f>HLOOKUP(N2563,データについて!$J$8:$M$18,11,FALSE)</f>
        <v>1</v>
      </c>
      <c r="V2563" s="81">
        <f>HLOOKUP(O2563,データについて!$J$9:$M$18,10,FALSE)</f>
        <v>1</v>
      </c>
      <c r="W2563" s="81">
        <f>HLOOKUP(P2563,データについて!$J$10:$M$18,9,FALSE)</f>
        <v>1</v>
      </c>
      <c r="X2563" s="81">
        <f>HLOOKUP(Q2563,データについて!$J$11:$M$18,8,FALSE)</f>
        <v>1</v>
      </c>
      <c r="Y2563" s="81">
        <f>HLOOKUP(R2563,データについて!$J$12:$M$18,7,FALSE)</f>
        <v>1</v>
      </c>
      <c r="Z2563" s="81">
        <f>HLOOKUP(I2563,データについて!$J$3:$M$18,16,FALSE)</f>
        <v>1</v>
      </c>
      <c r="AA2563" s="81">
        <f>IFERROR(HLOOKUP(J2563,データについて!$J$4:$AH$19,16,FALSE),"")</f>
        <v>6</v>
      </c>
      <c r="AB2563" s="81" t="str">
        <f>IFERROR(HLOOKUP(K2563,データについて!$J$5:$AH$20,14,FALSE),"")</f>
        <v/>
      </c>
      <c r="AC2563" s="81">
        <f>IF(X2563=1,HLOOKUP(R2563,データについて!$J$12:$M$18,7,FALSE),"*")</f>
        <v>1</v>
      </c>
      <c r="AD2563" s="81" t="str">
        <f>IF(X2563=2,HLOOKUP(R2563,データについて!$J$12:$M$18,7,FALSE),"*")</f>
        <v>*</v>
      </c>
    </row>
    <row r="2564" spans="1:30">
      <c r="A2564" s="30">
        <v>2628</v>
      </c>
      <c r="B2564" s="30" t="s">
        <v>355</v>
      </c>
      <c r="C2564" s="30" t="s">
        <v>356</v>
      </c>
      <c r="D2564" s="30" t="s">
        <v>106</v>
      </c>
      <c r="E2564" s="30"/>
      <c r="F2564" s="30" t="s">
        <v>107</v>
      </c>
      <c r="G2564" s="30" t="s">
        <v>106</v>
      </c>
      <c r="H2564" s="30"/>
      <c r="I2564" s="30" t="s">
        <v>192</v>
      </c>
      <c r="J2564" s="30" t="s">
        <v>125</v>
      </c>
      <c r="K2564" s="30"/>
      <c r="L2564" s="30" t="s">
        <v>108</v>
      </c>
      <c r="M2564" s="30" t="s">
        <v>113</v>
      </c>
      <c r="N2564" s="30" t="s">
        <v>114</v>
      </c>
      <c r="O2564" s="30" t="s">
        <v>115</v>
      </c>
      <c r="P2564" s="30" t="s">
        <v>118</v>
      </c>
      <c r="Q2564" s="30" t="s">
        <v>112</v>
      </c>
      <c r="R2564" s="30" t="s">
        <v>183</v>
      </c>
      <c r="S2564" s="81">
        <f>HLOOKUP(L2564,データについて!$J$6:$M$18,13,FALSE)</f>
        <v>1</v>
      </c>
      <c r="T2564" s="81">
        <f>HLOOKUP(M2564,データについて!$J$7:$M$18,12,FALSE)</f>
        <v>1</v>
      </c>
      <c r="U2564" s="81">
        <f>HLOOKUP(N2564,データについて!$J$8:$M$18,11,FALSE)</f>
        <v>1</v>
      </c>
      <c r="V2564" s="81">
        <f>HLOOKUP(O2564,データについて!$J$9:$M$18,10,FALSE)</f>
        <v>1</v>
      </c>
      <c r="W2564" s="81">
        <f>HLOOKUP(P2564,データについて!$J$10:$M$18,9,FALSE)</f>
        <v>2</v>
      </c>
      <c r="X2564" s="81">
        <f>HLOOKUP(Q2564,データについて!$J$11:$M$18,8,FALSE)</f>
        <v>1</v>
      </c>
      <c r="Y2564" s="81">
        <f>HLOOKUP(R2564,データについて!$J$12:$M$18,7,FALSE)</f>
        <v>1</v>
      </c>
      <c r="Z2564" s="81">
        <f>HLOOKUP(I2564,データについて!$J$3:$M$18,16,FALSE)</f>
        <v>1</v>
      </c>
      <c r="AA2564" s="81">
        <f>IFERROR(HLOOKUP(J2564,データについて!$J$4:$AH$19,16,FALSE),"")</f>
        <v>6</v>
      </c>
      <c r="AB2564" s="81" t="str">
        <f>IFERROR(HLOOKUP(K2564,データについて!$J$5:$AH$20,14,FALSE),"")</f>
        <v/>
      </c>
      <c r="AC2564" s="81">
        <f>IF(X2564=1,HLOOKUP(R2564,データについて!$J$12:$M$18,7,FALSE),"*")</f>
        <v>1</v>
      </c>
      <c r="AD2564" s="81" t="str">
        <f>IF(X2564=2,HLOOKUP(R2564,データについて!$J$12:$M$18,7,FALSE),"*")</f>
        <v>*</v>
      </c>
    </row>
    <row r="2565" spans="1:30">
      <c r="A2565" s="30">
        <v>2627</v>
      </c>
      <c r="B2565" s="30" t="s">
        <v>357</v>
      </c>
      <c r="C2565" s="30" t="s">
        <v>358</v>
      </c>
      <c r="D2565" s="30" t="s">
        <v>106</v>
      </c>
      <c r="E2565" s="30"/>
      <c r="F2565" s="30" t="s">
        <v>107</v>
      </c>
      <c r="G2565" s="30" t="s">
        <v>106</v>
      </c>
      <c r="H2565" s="30"/>
      <c r="I2565" s="30" t="s">
        <v>192</v>
      </c>
      <c r="J2565" s="30" t="s">
        <v>125</v>
      </c>
      <c r="K2565" s="30"/>
      <c r="L2565" s="30" t="s">
        <v>108</v>
      </c>
      <c r="M2565" s="30" t="s">
        <v>109</v>
      </c>
      <c r="N2565" s="30" t="s">
        <v>110</v>
      </c>
      <c r="O2565" s="30" t="s">
        <v>115</v>
      </c>
      <c r="P2565" s="30" t="s">
        <v>112</v>
      </c>
      <c r="Q2565" s="30" t="s">
        <v>112</v>
      </c>
      <c r="R2565" s="30" t="s">
        <v>185</v>
      </c>
      <c r="S2565" s="81">
        <f>HLOOKUP(L2565,データについて!$J$6:$M$18,13,FALSE)</f>
        <v>1</v>
      </c>
      <c r="T2565" s="81">
        <f>HLOOKUP(M2565,データについて!$J$7:$M$18,12,FALSE)</f>
        <v>2</v>
      </c>
      <c r="U2565" s="81">
        <f>HLOOKUP(N2565,データについて!$J$8:$M$18,11,FALSE)</f>
        <v>2</v>
      </c>
      <c r="V2565" s="81">
        <f>HLOOKUP(O2565,データについて!$J$9:$M$18,10,FALSE)</f>
        <v>1</v>
      </c>
      <c r="W2565" s="81">
        <f>HLOOKUP(P2565,データについて!$J$10:$M$18,9,FALSE)</f>
        <v>1</v>
      </c>
      <c r="X2565" s="81">
        <f>HLOOKUP(Q2565,データについて!$J$11:$M$18,8,FALSE)</f>
        <v>1</v>
      </c>
      <c r="Y2565" s="81">
        <f>HLOOKUP(R2565,データについて!$J$12:$M$18,7,FALSE)</f>
        <v>2</v>
      </c>
      <c r="Z2565" s="81">
        <f>HLOOKUP(I2565,データについて!$J$3:$M$18,16,FALSE)</f>
        <v>1</v>
      </c>
      <c r="AA2565" s="81">
        <f>IFERROR(HLOOKUP(J2565,データについて!$J$4:$AH$19,16,FALSE),"")</f>
        <v>6</v>
      </c>
      <c r="AB2565" s="81" t="str">
        <f>IFERROR(HLOOKUP(K2565,データについて!$J$5:$AH$20,14,FALSE),"")</f>
        <v/>
      </c>
      <c r="AC2565" s="81">
        <f>IF(X2565=1,HLOOKUP(R2565,データについて!$J$12:$M$18,7,FALSE),"*")</f>
        <v>2</v>
      </c>
      <c r="AD2565" s="81" t="str">
        <f>IF(X2565=2,HLOOKUP(R2565,データについて!$J$12:$M$18,7,FALSE),"*")</f>
        <v>*</v>
      </c>
    </row>
    <row r="2566" spans="1:30">
      <c r="A2566" s="30">
        <v>2626</v>
      </c>
      <c r="B2566" s="30" t="s">
        <v>359</v>
      </c>
      <c r="C2566" s="30" t="s">
        <v>360</v>
      </c>
      <c r="D2566" s="30" t="s">
        <v>106</v>
      </c>
      <c r="E2566" s="30"/>
      <c r="F2566" s="30" t="s">
        <v>107</v>
      </c>
      <c r="G2566" s="30" t="s">
        <v>106</v>
      </c>
      <c r="H2566" s="30"/>
      <c r="I2566" s="30" t="s">
        <v>192</v>
      </c>
      <c r="J2566" s="30" t="s">
        <v>125</v>
      </c>
      <c r="K2566" s="30"/>
      <c r="L2566" s="30" t="s">
        <v>117</v>
      </c>
      <c r="M2566" s="30" t="s">
        <v>113</v>
      </c>
      <c r="N2566" s="30" t="s">
        <v>114</v>
      </c>
      <c r="O2566" s="30" t="s">
        <v>115</v>
      </c>
      <c r="P2566" s="30" t="s">
        <v>112</v>
      </c>
      <c r="Q2566" s="30" t="s">
        <v>118</v>
      </c>
      <c r="R2566" s="30" t="s">
        <v>187</v>
      </c>
      <c r="S2566" s="81">
        <f>HLOOKUP(L2566,データについて!$J$6:$M$18,13,FALSE)</f>
        <v>2</v>
      </c>
      <c r="T2566" s="81">
        <f>HLOOKUP(M2566,データについて!$J$7:$M$18,12,FALSE)</f>
        <v>1</v>
      </c>
      <c r="U2566" s="81">
        <f>HLOOKUP(N2566,データについて!$J$8:$M$18,11,FALSE)</f>
        <v>1</v>
      </c>
      <c r="V2566" s="81">
        <f>HLOOKUP(O2566,データについて!$J$9:$M$18,10,FALSE)</f>
        <v>1</v>
      </c>
      <c r="W2566" s="81">
        <f>HLOOKUP(P2566,データについて!$J$10:$M$18,9,FALSE)</f>
        <v>1</v>
      </c>
      <c r="X2566" s="81">
        <f>HLOOKUP(Q2566,データについて!$J$11:$M$18,8,FALSE)</f>
        <v>2</v>
      </c>
      <c r="Y2566" s="81">
        <f>HLOOKUP(R2566,データについて!$J$12:$M$18,7,FALSE)</f>
        <v>3</v>
      </c>
      <c r="Z2566" s="81">
        <f>HLOOKUP(I2566,データについて!$J$3:$M$18,16,FALSE)</f>
        <v>1</v>
      </c>
      <c r="AA2566" s="81">
        <f>IFERROR(HLOOKUP(J2566,データについて!$J$4:$AH$19,16,FALSE),"")</f>
        <v>6</v>
      </c>
      <c r="AB2566" s="81" t="str">
        <f>IFERROR(HLOOKUP(K2566,データについて!$J$5:$AH$20,14,FALSE),"")</f>
        <v/>
      </c>
      <c r="AC2566" s="81" t="str">
        <f>IF(X2566=1,HLOOKUP(R2566,データについて!$J$12:$M$18,7,FALSE),"*")</f>
        <v>*</v>
      </c>
      <c r="AD2566" s="81">
        <f>IF(X2566=2,HLOOKUP(R2566,データについて!$J$12:$M$18,7,FALSE),"*")</f>
        <v>3</v>
      </c>
    </row>
    <row r="2567" spans="1:30">
      <c r="A2567" s="30">
        <v>2625</v>
      </c>
      <c r="B2567" s="30" t="s">
        <v>361</v>
      </c>
      <c r="C2567" s="30" t="s">
        <v>362</v>
      </c>
      <c r="D2567" s="30" t="s">
        <v>106</v>
      </c>
      <c r="E2567" s="30"/>
      <c r="F2567" s="30" t="s">
        <v>107</v>
      </c>
      <c r="G2567" s="30" t="s">
        <v>106</v>
      </c>
      <c r="H2567" s="30"/>
      <c r="I2567" s="30" t="s">
        <v>191</v>
      </c>
      <c r="J2567" s="30"/>
      <c r="K2567" s="30" t="s">
        <v>129</v>
      </c>
      <c r="L2567" s="30" t="s">
        <v>117</v>
      </c>
      <c r="M2567" s="30" t="s">
        <v>109</v>
      </c>
      <c r="N2567" s="30" t="s">
        <v>110</v>
      </c>
      <c r="O2567" s="30" t="s">
        <v>115</v>
      </c>
      <c r="P2567" s="30" t="s">
        <v>112</v>
      </c>
      <c r="Q2567" s="30" t="s">
        <v>112</v>
      </c>
      <c r="R2567" s="30" t="s">
        <v>187</v>
      </c>
      <c r="S2567" s="81">
        <f>HLOOKUP(L2567,データについて!$J$6:$M$18,13,FALSE)</f>
        <v>2</v>
      </c>
      <c r="T2567" s="81">
        <f>HLOOKUP(M2567,データについて!$J$7:$M$18,12,FALSE)</f>
        <v>2</v>
      </c>
      <c r="U2567" s="81">
        <f>HLOOKUP(N2567,データについて!$J$8:$M$18,11,FALSE)</f>
        <v>2</v>
      </c>
      <c r="V2567" s="81">
        <f>HLOOKUP(O2567,データについて!$J$9:$M$18,10,FALSE)</f>
        <v>1</v>
      </c>
      <c r="W2567" s="81">
        <f>HLOOKUP(P2567,データについて!$J$10:$M$18,9,FALSE)</f>
        <v>1</v>
      </c>
      <c r="X2567" s="81">
        <f>HLOOKUP(Q2567,データについて!$J$11:$M$18,8,FALSE)</f>
        <v>1</v>
      </c>
      <c r="Y2567" s="81">
        <f>HLOOKUP(R2567,データについて!$J$12:$M$18,7,FALSE)</f>
        <v>3</v>
      </c>
      <c r="Z2567" s="81">
        <f>HLOOKUP(I2567,データについて!$J$3:$M$18,16,FALSE)</f>
        <v>2</v>
      </c>
      <c r="AA2567" s="81" t="str">
        <f>IFERROR(HLOOKUP(J2567,データについて!$J$4:$AH$19,16,FALSE),"")</f>
        <v/>
      </c>
      <c r="AB2567" s="81">
        <f>IFERROR(HLOOKUP(K2567,データについて!$J$5:$AH$20,14,FALSE),"")</f>
        <v>0</v>
      </c>
      <c r="AC2567" s="81">
        <f>IF(X2567=1,HLOOKUP(R2567,データについて!$J$12:$M$18,7,FALSE),"*")</f>
        <v>3</v>
      </c>
      <c r="AD2567" s="81" t="str">
        <f>IF(X2567=2,HLOOKUP(R2567,データについて!$J$12:$M$18,7,FALSE),"*")</f>
        <v>*</v>
      </c>
    </row>
    <row r="2568" spans="1:30">
      <c r="A2568" s="30">
        <v>2624</v>
      </c>
      <c r="B2568" s="30" t="s">
        <v>363</v>
      </c>
      <c r="C2568" s="30" t="s">
        <v>364</v>
      </c>
      <c r="D2568" s="30" t="s">
        <v>106</v>
      </c>
      <c r="E2568" s="30"/>
      <c r="F2568" s="30" t="s">
        <v>107</v>
      </c>
      <c r="G2568" s="30" t="s">
        <v>106</v>
      </c>
      <c r="H2568" s="30"/>
      <c r="I2568" s="30" t="s">
        <v>191</v>
      </c>
      <c r="J2568" s="30"/>
      <c r="K2568" s="30" t="s">
        <v>129</v>
      </c>
      <c r="L2568" s="30" t="s">
        <v>117</v>
      </c>
      <c r="M2568" s="30" t="s">
        <v>109</v>
      </c>
      <c r="N2568" s="30" t="s">
        <v>110</v>
      </c>
      <c r="O2568" s="30" t="s">
        <v>115</v>
      </c>
      <c r="P2568" s="30" t="s">
        <v>112</v>
      </c>
      <c r="Q2568" s="30" t="s">
        <v>112</v>
      </c>
      <c r="R2568" s="30" t="s">
        <v>187</v>
      </c>
      <c r="S2568" s="81">
        <f>HLOOKUP(L2568,データについて!$J$6:$M$18,13,FALSE)</f>
        <v>2</v>
      </c>
      <c r="T2568" s="81">
        <f>HLOOKUP(M2568,データについて!$J$7:$M$18,12,FALSE)</f>
        <v>2</v>
      </c>
      <c r="U2568" s="81">
        <f>HLOOKUP(N2568,データについて!$J$8:$M$18,11,FALSE)</f>
        <v>2</v>
      </c>
      <c r="V2568" s="81">
        <f>HLOOKUP(O2568,データについて!$J$9:$M$18,10,FALSE)</f>
        <v>1</v>
      </c>
      <c r="W2568" s="81">
        <f>HLOOKUP(P2568,データについて!$J$10:$M$18,9,FALSE)</f>
        <v>1</v>
      </c>
      <c r="X2568" s="81">
        <f>HLOOKUP(Q2568,データについて!$J$11:$M$18,8,FALSE)</f>
        <v>1</v>
      </c>
      <c r="Y2568" s="81">
        <f>HLOOKUP(R2568,データについて!$J$12:$M$18,7,FALSE)</f>
        <v>3</v>
      </c>
      <c r="Z2568" s="81">
        <f>HLOOKUP(I2568,データについて!$J$3:$M$18,16,FALSE)</f>
        <v>2</v>
      </c>
      <c r="AA2568" s="81" t="str">
        <f>IFERROR(HLOOKUP(J2568,データについて!$J$4:$AH$19,16,FALSE),"")</f>
        <v/>
      </c>
      <c r="AB2568" s="81">
        <f>IFERROR(HLOOKUP(K2568,データについて!$J$5:$AH$20,14,FALSE),"")</f>
        <v>0</v>
      </c>
      <c r="AC2568" s="81">
        <f>IF(X2568=1,HLOOKUP(R2568,データについて!$J$12:$M$18,7,FALSE),"*")</f>
        <v>3</v>
      </c>
      <c r="AD2568" s="81" t="str">
        <f>IF(X2568=2,HLOOKUP(R2568,データについて!$J$12:$M$18,7,FALSE),"*")</f>
        <v>*</v>
      </c>
    </row>
    <row r="2569" spans="1:30">
      <c r="A2569" s="30">
        <v>2623</v>
      </c>
      <c r="B2569" s="30" t="s">
        <v>365</v>
      </c>
      <c r="C2569" s="30" t="s">
        <v>366</v>
      </c>
      <c r="D2569" s="30" t="s">
        <v>106</v>
      </c>
      <c r="E2569" s="30"/>
      <c r="F2569" s="30" t="s">
        <v>107</v>
      </c>
      <c r="G2569" s="30" t="s">
        <v>106</v>
      </c>
      <c r="H2569" s="30"/>
      <c r="I2569" s="30" t="s">
        <v>191</v>
      </c>
      <c r="J2569" s="30"/>
      <c r="K2569" s="30" t="s">
        <v>129</v>
      </c>
      <c r="L2569" s="30" t="s">
        <v>120</v>
      </c>
      <c r="M2569" s="30" t="s">
        <v>109</v>
      </c>
      <c r="N2569" s="30" t="s">
        <v>110</v>
      </c>
      <c r="O2569" s="30" t="s">
        <v>115</v>
      </c>
      <c r="P2569" s="30" t="s">
        <v>112</v>
      </c>
      <c r="Q2569" s="30" t="s">
        <v>112</v>
      </c>
      <c r="R2569" s="30" t="s">
        <v>187</v>
      </c>
      <c r="S2569" s="81">
        <f>HLOOKUP(L2569,データについて!$J$6:$M$18,13,FALSE)</f>
        <v>3</v>
      </c>
      <c r="T2569" s="81">
        <f>HLOOKUP(M2569,データについて!$J$7:$M$18,12,FALSE)</f>
        <v>2</v>
      </c>
      <c r="U2569" s="81">
        <f>HLOOKUP(N2569,データについて!$J$8:$M$18,11,FALSE)</f>
        <v>2</v>
      </c>
      <c r="V2569" s="81">
        <f>HLOOKUP(O2569,データについて!$J$9:$M$18,10,FALSE)</f>
        <v>1</v>
      </c>
      <c r="W2569" s="81">
        <f>HLOOKUP(P2569,データについて!$J$10:$M$18,9,FALSE)</f>
        <v>1</v>
      </c>
      <c r="X2569" s="81">
        <f>HLOOKUP(Q2569,データについて!$J$11:$M$18,8,FALSE)</f>
        <v>1</v>
      </c>
      <c r="Y2569" s="81">
        <f>HLOOKUP(R2569,データについて!$J$12:$M$18,7,FALSE)</f>
        <v>3</v>
      </c>
      <c r="Z2569" s="81">
        <f>HLOOKUP(I2569,データについて!$J$3:$M$18,16,FALSE)</f>
        <v>2</v>
      </c>
      <c r="AA2569" s="81" t="str">
        <f>IFERROR(HLOOKUP(J2569,データについて!$J$4:$AH$19,16,FALSE),"")</f>
        <v/>
      </c>
      <c r="AB2569" s="81">
        <f>IFERROR(HLOOKUP(K2569,データについて!$J$5:$AH$20,14,FALSE),"")</f>
        <v>0</v>
      </c>
      <c r="AC2569" s="81">
        <f>IF(X2569=1,HLOOKUP(R2569,データについて!$J$12:$M$18,7,FALSE),"*")</f>
        <v>3</v>
      </c>
      <c r="AD2569" s="81" t="str">
        <f>IF(X2569=2,HLOOKUP(R2569,データについて!$J$12:$M$18,7,FALSE),"*")</f>
        <v>*</v>
      </c>
    </row>
    <row r="2570" spans="1:30">
      <c r="A2570" s="30">
        <v>2622</v>
      </c>
      <c r="B2570" s="30" t="s">
        <v>367</v>
      </c>
      <c r="C2570" s="30" t="s">
        <v>368</v>
      </c>
      <c r="D2570" s="30" t="s">
        <v>106</v>
      </c>
      <c r="E2570" s="30"/>
      <c r="F2570" s="30" t="s">
        <v>107</v>
      </c>
      <c r="G2570" s="30" t="s">
        <v>106</v>
      </c>
      <c r="H2570" s="30"/>
      <c r="I2570" s="30" t="s">
        <v>191</v>
      </c>
      <c r="J2570" s="30"/>
      <c r="K2570" s="30" t="s">
        <v>129</v>
      </c>
      <c r="L2570" s="30" t="s">
        <v>108</v>
      </c>
      <c r="M2570" s="30" t="s">
        <v>121</v>
      </c>
      <c r="N2570" s="30" t="s">
        <v>122</v>
      </c>
      <c r="O2570" s="30" t="s">
        <v>123</v>
      </c>
      <c r="P2570" s="30" t="s">
        <v>118</v>
      </c>
      <c r="Q2570" s="30" t="s">
        <v>112</v>
      </c>
      <c r="R2570" s="30" t="s">
        <v>189</v>
      </c>
      <c r="S2570" s="81">
        <f>HLOOKUP(L2570,データについて!$J$6:$M$18,13,FALSE)</f>
        <v>1</v>
      </c>
      <c r="T2570" s="81">
        <f>HLOOKUP(M2570,データについて!$J$7:$M$18,12,FALSE)</f>
        <v>4</v>
      </c>
      <c r="U2570" s="81">
        <f>HLOOKUP(N2570,データについて!$J$8:$M$18,11,FALSE)</f>
        <v>3</v>
      </c>
      <c r="V2570" s="81">
        <f>HLOOKUP(O2570,データについて!$J$9:$M$18,10,FALSE)</f>
        <v>4</v>
      </c>
      <c r="W2570" s="81">
        <f>HLOOKUP(P2570,データについて!$J$10:$M$18,9,FALSE)</f>
        <v>2</v>
      </c>
      <c r="X2570" s="81">
        <f>HLOOKUP(Q2570,データについて!$J$11:$M$18,8,FALSE)</f>
        <v>1</v>
      </c>
      <c r="Y2570" s="81">
        <f>HLOOKUP(R2570,データについて!$J$12:$M$18,7,FALSE)</f>
        <v>4</v>
      </c>
      <c r="Z2570" s="81">
        <f>HLOOKUP(I2570,データについて!$J$3:$M$18,16,FALSE)</f>
        <v>2</v>
      </c>
      <c r="AA2570" s="81" t="str">
        <f>IFERROR(HLOOKUP(J2570,データについて!$J$4:$AH$19,16,FALSE),"")</f>
        <v/>
      </c>
      <c r="AB2570" s="81">
        <f>IFERROR(HLOOKUP(K2570,データについて!$J$5:$AH$20,14,FALSE),"")</f>
        <v>0</v>
      </c>
      <c r="AC2570" s="81">
        <f>IF(X2570=1,HLOOKUP(R2570,データについて!$J$12:$M$18,7,FALSE),"*")</f>
        <v>4</v>
      </c>
      <c r="AD2570" s="81" t="str">
        <f>IF(X2570=2,HLOOKUP(R2570,データについて!$J$12:$M$18,7,FALSE),"*")</f>
        <v>*</v>
      </c>
    </row>
    <row r="2571" spans="1:30">
      <c r="A2571" s="30">
        <v>2621</v>
      </c>
      <c r="B2571" s="30" t="s">
        <v>369</v>
      </c>
      <c r="C2571" s="30" t="s">
        <v>370</v>
      </c>
      <c r="D2571" s="30" t="s">
        <v>106</v>
      </c>
      <c r="E2571" s="30"/>
      <c r="F2571" s="30" t="s">
        <v>107</v>
      </c>
      <c r="G2571" s="30" t="s">
        <v>106</v>
      </c>
      <c r="H2571" s="30"/>
      <c r="I2571" s="30" t="s">
        <v>191</v>
      </c>
      <c r="J2571" s="30"/>
      <c r="K2571" s="30" t="s">
        <v>129</v>
      </c>
      <c r="L2571" s="30" t="s">
        <v>108</v>
      </c>
      <c r="M2571" s="30" t="s">
        <v>109</v>
      </c>
      <c r="N2571" s="30" t="s">
        <v>114</v>
      </c>
      <c r="O2571" s="30" t="s">
        <v>116</v>
      </c>
      <c r="P2571" s="30" t="s">
        <v>118</v>
      </c>
      <c r="Q2571" s="30" t="s">
        <v>112</v>
      </c>
      <c r="R2571" s="30" t="s">
        <v>183</v>
      </c>
      <c r="S2571" s="81">
        <f>HLOOKUP(L2571,データについて!$J$6:$M$18,13,FALSE)</f>
        <v>1</v>
      </c>
      <c r="T2571" s="81">
        <f>HLOOKUP(M2571,データについて!$J$7:$M$18,12,FALSE)</f>
        <v>2</v>
      </c>
      <c r="U2571" s="81">
        <f>HLOOKUP(N2571,データについて!$J$8:$M$18,11,FALSE)</f>
        <v>1</v>
      </c>
      <c r="V2571" s="81">
        <f>HLOOKUP(O2571,データについて!$J$9:$M$18,10,FALSE)</f>
        <v>2</v>
      </c>
      <c r="W2571" s="81">
        <f>HLOOKUP(P2571,データについて!$J$10:$M$18,9,FALSE)</f>
        <v>2</v>
      </c>
      <c r="X2571" s="81">
        <f>HLOOKUP(Q2571,データについて!$J$11:$M$18,8,FALSE)</f>
        <v>1</v>
      </c>
      <c r="Y2571" s="81">
        <f>HLOOKUP(R2571,データについて!$J$12:$M$18,7,FALSE)</f>
        <v>1</v>
      </c>
      <c r="Z2571" s="81">
        <f>HLOOKUP(I2571,データについて!$J$3:$M$18,16,FALSE)</f>
        <v>2</v>
      </c>
      <c r="AA2571" s="81" t="str">
        <f>IFERROR(HLOOKUP(J2571,データについて!$J$4:$AH$19,16,FALSE),"")</f>
        <v/>
      </c>
      <c r="AB2571" s="81">
        <f>IFERROR(HLOOKUP(K2571,データについて!$J$5:$AH$20,14,FALSE),"")</f>
        <v>0</v>
      </c>
      <c r="AC2571" s="81">
        <f>IF(X2571=1,HLOOKUP(R2571,データについて!$J$12:$M$18,7,FALSE),"*")</f>
        <v>1</v>
      </c>
      <c r="AD2571" s="81" t="str">
        <f>IF(X2571=2,HLOOKUP(R2571,データについて!$J$12:$M$18,7,FALSE),"*")</f>
        <v>*</v>
      </c>
    </row>
    <row r="2572" spans="1:30">
      <c r="A2572" s="30">
        <v>2620</v>
      </c>
      <c r="B2572" s="30" t="s">
        <v>371</v>
      </c>
      <c r="C2572" s="30" t="s">
        <v>370</v>
      </c>
      <c r="D2572" s="30" t="s">
        <v>106</v>
      </c>
      <c r="E2572" s="30"/>
      <c r="F2572" s="30" t="s">
        <v>107</v>
      </c>
      <c r="G2572" s="30" t="s">
        <v>106</v>
      </c>
      <c r="H2572" s="30"/>
      <c r="I2572" s="30" t="s">
        <v>191</v>
      </c>
      <c r="J2572" s="30"/>
      <c r="K2572" s="30" t="s">
        <v>129</v>
      </c>
      <c r="L2572" s="30" t="s">
        <v>108</v>
      </c>
      <c r="M2572" s="30" t="s">
        <v>109</v>
      </c>
      <c r="N2572" s="30" t="s">
        <v>114</v>
      </c>
      <c r="O2572" s="30" t="s">
        <v>116</v>
      </c>
      <c r="P2572" s="30" t="s">
        <v>112</v>
      </c>
      <c r="Q2572" s="30" t="s">
        <v>118</v>
      </c>
      <c r="R2572" s="30" t="s">
        <v>185</v>
      </c>
      <c r="S2572" s="81">
        <f>HLOOKUP(L2572,データについて!$J$6:$M$18,13,FALSE)</f>
        <v>1</v>
      </c>
      <c r="T2572" s="81">
        <f>HLOOKUP(M2572,データについて!$J$7:$M$18,12,FALSE)</f>
        <v>2</v>
      </c>
      <c r="U2572" s="81">
        <f>HLOOKUP(N2572,データについて!$J$8:$M$18,11,FALSE)</f>
        <v>1</v>
      </c>
      <c r="V2572" s="81">
        <f>HLOOKUP(O2572,データについて!$J$9:$M$18,10,FALSE)</f>
        <v>2</v>
      </c>
      <c r="W2572" s="81">
        <f>HLOOKUP(P2572,データについて!$J$10:$M$18,9,FALSE)</f>
        <v>1</v>
      </c>
      <c r="X2572" s="81">
        <f>HLOOKUP(Q2572,データについて!$J$11:$M$18,8,FALSE)</f>
        <v>2</v>
      </c>
      <c r="Y2572" s="81">
        <f>HLOOKUP(R2572,データについて!$J$12:$M$18,7,FALSE)</f>
        <v>2</v>
      </c>
      <c r="Z2572" s="81">
        <f>HLOOKUP(I2572,データについて!$J$3:$M$18,16,FALSE)</f>
        <v>2</v>
      </c>
      <c r="AA2572" s="81" t="str">
        <f>IFERROR(HLOOKUP(J2572,データについて!$J$4:$AH$19,16,FALSE),"")</f>
        <v/>
      </c>
      <c r="AB2572" s="81">
        <f>IFERROR(HLOOKUP(K2572,データについて!$J$5:$AH$20,14,FALSE),"")</f>
        <v>0</v>
      </c>
      <c r="AC2572" s="81" t="str">
        <f>IF(X2572=1,HLOOKUP(R2572,データについて!$J$12:$M$18,7,FALSE),"*")</f>
        <v>*</v>
      </c>
      <c r="AD2572" s="81">
        <f>IF(X2572=2,HLOOKUP(R2572,データについて!$J$12:$M$18,7,FALSE),"*")</f>
        <v>2</v>
      </c>
    </row>
    <row r="2573" spans="1:30">
      <c r="A2573" s="30">
        <v>2619</v>
      </c>
      <c r="B2573" s="30" t="s">
        <v>372</v>
      </c>
      <c r="C2573" s="30" t="s">
        <v>373</v>
      </c>
      <c r="D2573" s="30" t="s">
        <v>106</v>
      </c>
      <c r="E2573" s="30"/>
      <c r="F2573" s="30" t="s">
        <v>107</v>
      </c>
      <c r="G2573" s="30" t="s">
        <v>106</v>
      </c>
      <c r="H2573" s="30"/>
      <c r="I2573" s="30" t="s">
        <v>191</v>
      </c>
      <c r="J2573" s="30"/>
      <c r="K2573" s="30" t="s">
        <v>129</v>
      </c>
      <c r="L2573" s="30" t="s">
        <v>117</v>
      </c>
      <c r="M2573" s="30" t="s">
        <v>109</v>
      </c>
      <c r="N2573" s="30" t="s">
        <v>114</v>
      </c>
      <c r="O2573" s="30" t="s">
        <v>115</v>
      </c>
      <c r="P2573" s="30" t="s">
        <v>112</v>
      </c>
      <c r="Q2573" s="30" t="s">
        <v>118</v>
      </c>
      <c r="R2573" s="30" t="s">
        <v>189</v>
      </c>
      <c r="S2573" s="81">
        <f>HLOOKUP(L2573,データについて!$J$6:$M$18,13,FALSE)</f>
        <v>2</v>
      </c>
      <c r="T2573" s="81">
        <f>HLOOKUP(M2573,データについて!$J$7:$M$18,12,FALSE)</f>
        <v>2</v>
      </c>
      <c r="U2573" s="81">
        <f>HLOOKUP(N2573,データについて!$J$8:$M$18,11,FALSE)</f>
        <v>1</v>
      </c>
      <c r="V2573" s="81">
        <f>HLOOKUP(O2573,データについて!$J$9:$M$18,10,FALSE)</f>
        <v>1</v>
      </c>
      <c r="W2573" s="81">
        <f>HLOOKUP(P2573,データについて!$J$10:$M$18,9,FALSE)</f>
        <v>1</v>
      </c>
      <c r="X2573" s="81">
        <f>HLOOKUP(Q2573,データについて!$J$11:$M$18,8,FALSE)</f>
        <v>2</v>
      </c>
      <c r="Y2573" s="81">
        <f>HLOOKUP(R2573,データについて!$J$12:$M$18,7,FALSE)</f>
        <v>4</v>
      </c>
      <c r="Z2573" s="81">
        <f>HLOOKUP(I2573,データについて!$J$3:$M$18,16,FALSE)</f>
        <v>2</v>
      </c>
      <c r="AA2573" s="81" t="str">
        <f>IFERROR(HLOOKUP(J2573,データについて!$J$4:$AH$19,16,FALSE),"")</f>
        <v/>
      </c>
      <c r="AB2573" s="81">
        <f>IFERROR(HLOOKUP(K2573,データについて!$J$5:$AH$20,14,FALSE),"")</f>
        <v>0</v>
      </c>
      <c r="AC2573" s="81" t="str">
        <f>IF(X2573=1,HLOOKUP(R2573,データについて!$J$12:$M$18,7,FALSE),"*")</f>
        <v>*</v>
      </c>
      <c r="AD2573" s="81">
        <f>IF(X2573=2,HLOOKUP(R2573,データについて!$J$12:$M$18,7,FALSE),"*")</f>
        <v>4</v>
      </c>
    </row>
    <row r="2574" spans="1:30">
      <c r="A2574" s="30">
        <v>2618</v>
      </c>
      <c r="B2574" s="30" t="s">
        <v>374</v>
      </c>
      <c r="C2574" s="30" t="s">
        <v>375</v>
      </c>
      <c r="D2574" s="30" t="s">
        <v>106</v>
      </c>
      <c r="E2574" s="30"/>
      <c r="F2574" s="30" t="s">
        <v>107</v>
      </c>
      <c r="G2574" s="30" t="s">
        <v>106</v>
      </c>
      <c r="H2574" s="30"/>
      <c r="I2574" s="30" t="s">
        <v>191</v>
      </c>
      <c r="J2574" s="30"/>
      <c r="K2574" s="30" t="s">
        <v>129</v>
      </c>
      <c r="L2574" s="30" t="s">
        <v>117</v>
      </c>
      <c r="M2574" s="30" t="s">
        <v>109</v>
      </c>
      <c r="N2574" s="30" t="s">
        <v>122</v>
      </c>
      <c r="O2574" s="30" t="s">
        <v>123</v>
      </c>
      <c r="P2574" s="30" t="s">
        <v>118</v>
      </c>
      <c r="Q2574" s="30" t="s">
        <v>112</v>
      </c>
      <c r="R2574" s="30" t="s">
        <v>187</v>
      </c>
      <c r="S2574" s="81">
        <f>HLOOKUP(L2574,データについて!$J$6:$M$18,13,FALSE)</f>
        <v>2</v>
      </c>
      <c r="T2574" s="81">
        <f>HLOOKUP(M2574,データについて!$J$7:$M$18,12,FALSE)</f>
        <v>2</v>
      </c>
      <c r="U2574" s="81">
        <f>HLOOKUP(N2574,データについて!$J$8:$M$18,11,FALSE)</f>
        <v>3</v>
      </c>
      <c r="V2574" s="81">
        <f>HLOOKUP(O2574,データについて!$J$9:$M$18,10,FALSE)</f>
        <v>4</v>
      </c>
      <c r="W2574" s="81">
        <f>HLOOKUP(P2574,データについて!$J$10:$M$18,9,FALSE)</f>
        <v>2</v>
      </c>
      <c r="X2574" s="81">
        <f>HLOOKUP(Q2574,データについて!$J$11:$M$18,8,FALSE)</f>
        <v>1</v>
      </c>
      <c r="Y2574" s="81">
        <f>HLOOKUP(R2574,データについて!$J$12:$M$18,7,FALSE)</f>
        <v>3</v>
      </c>
      <c r="Z2574" s="81">
        <f>HLOOKUP(I2574,データについて!$J$3:$M$18,16,FALSE)</f>
        <v>2</v>
      </c>
      <c r="AA2574" s="81" t="str">
        <f>IFERROR(HLOOKUP(J2574,データについて!$J$4:$AH$19,16,FALSE),"")</f>
        <v/>
      </c>
      <c r="AB2574" s="81">
        <f>IFERROR(HLOOKUP(K2574,データについて!$J$5:$AH$20,14,FALSE),"")</f>
        <v>0</v>
      </c>
      <c r="AC2574" s="81">
        <f>IF(X2574=1,HLOOKUP(R2574,データについて!$J$12:$M$18,7,FALSE),"*")</f>
        <v>3</v>
      </c>
      <c r="AD2574" s="81" t="str">
        <f>IF(X2574=2,HLOOKUP(R2574,データについて!$J$12:$M$18,7,FALSE),"*")</f>
        <v>*</v>
      </c>
    </row>
    <row r="2575" spans="1:30">
      <c r="A2575" s="30">
        <v>2617</v>
      </c>
      <c r="B2575" s="30" t="s">
        <v>376</v>
      </c>
      <c r="C2575" s="30" t="s">
        <v>377</v>
      </c>
      <c r="D2575" s="30" t="s">
        <v>106</v>
      </c>
      <c r="E2575" s="30"/>
      <c r="F2575" s="30" t="s">
        <v>107</v>
      </c>
      <c r="G2575" s="30" t="s">
        <v>106</v>
      </c>
      <c r="H2575" s="30"/>
      <c r="I2575" s="30" t="s">
        <v>191</v>
      </c>
      <c r="J2575" s="30"/>
      <c r="K2575" s="30" t="s">
        <v>129</v>
      </c>
      <c r="L2575" s="30" t="s">
        <v>108</v>
      </c>
      <c r="M2575" s="30" t="s">
        <v>109</v>
      </c>
      <c r="N2575" s="30" t="s">
        <v>122</v>
      </c>
      <c r="O2575" s="30" t="s">
        <v>115</v>
      </c>
      <c r="P2575" s="30" t="s">
        <v>112</v>
      </c>
      <c r="Q2575" s="30" t="s">
        <v>112</v>
      </c>
      <c r="R2575" s="30" t="s">
        <v>185</v>
      </c>
      <c r="S2575" s="81">
        <f>HLOOKUP(L2575,データについて!$J$6:$M$18,13,FALSE)</f>
        <v>1</v>
      </c>
      <c r="T2575" s="81">
        <f>HLOOKUP(M2575,データについて!$J$7:$M$18,12,FALSE)</f>
        <v>2</v>
      </c>
      <c r="U2575" s="81">
        <f>HLOOKUP(N2575,データについて!$J$8:$M$18,11,FALSE)</f>
        <v>3</v>
      </c>
      <c r="V2575" s="81">
        <f>HLOOKUP(O2575,データについて!$J$9:$M$18,10,FALSE)</f>
        <v>1</v>
      </c>
      <c r="W2575" s="81">
        <f>HLOOKUP(P2575,データについて!$J$10:$M$18,9,FALSE)</f>
        <v>1</v>
      </c>
      <c r="X2575" s="81">
        <f>HLOOKUP(Q2575,データについて!$J$11:$M$18,8,FALSE)</f>
        <v>1</v>
      </c>
      <c r="Y2575" s="81">
        <f>HLOOKUP(R2575,データについて!$J$12:$M$18,7,FALSE)</f>
        <v>2</v>
      </c>
      <c r="Z2575" s="81">
        <f>HLOOKUP(I2575,データについて!$J$3:$M$18,16,FALSE)</f>
        <v>2</v>
      </c>
      <c r="AA2575" s="81" t="str">
        <f>IFERROR(HLOOKUP(J2575,データについて!$J$4:$AH$19,16,FALSE),"")</f>
        <v/>
      </c>
      <c r="AB2575" s="81">
        <f>IFERROR(HLOOKUP(K2575,データについて!$J$5:$AH$20,14,FALSE),"")</f>
        <v>0</v>
      </c>
      <c r="AC2575" s="81">
        <f>IF(X2575=1,HLOOKUP(R2575,データについて!$J$12:$M$18,7,FALSE),"*")</f>
        <v>2</v>
      </c>
      <c r="AD2575" s="81" t="str">
        <f>IF(X2575=2,HLOOKUP(R2575,データについて!$J$12:$M$18,7,FALSE),"*")</f>
        <v>*</v>
      </c>
    </row>
    <row r="2576" spans="1:30">
      <c r="A2576" s="30">
        <v>2616</v>
      </c>
      <c r="B2576" s="30" t="s">
        <v>378</v>
      </c>
      <c r="C2576" s="30" t="s">
        <v>377</v>
      </c>
      <c r="D2576" s="30" t="s">
        <v>106</v>
      </c>
      <c r="E2576" s="30"/>
      <c r="F2576" s="30" t="s">
        <v>107</v>
      </c>
      <c r="G2576" s="30" t="s">
        <v>106</v>
      </c>
      <c r="H2576" s="30"/>
      <c r="I2576" s="30" t="s">
        <v>191</v>
      </c>
      <c r="J2576" s="30"/>
      <c r="K2576" s="30" t="s">
        <v>129</v>
      </c>
      <c r="L2576" s="30" t="s">
        <v>120</v>
      </c>
      <c r="M2576" s="30" t="s">
        <v>109</v>
      </c>
      <c r="N2576" s="30" t="s">
        <v>114</v>
      </c>
      <c r="O2576" s="30" t="s">
        <v>115</v>
      </c>
      <c r="P2576" s="30" t="s">
        <v>118</v>
      </c>
      <c r="Q2576" s="30" t="s">
        <v>112</v>
      </c>
      <c r="R2576" s="30" t="s">
        <v>185</v>
      </c>
      <c r="S2576" s="81">
        <f>HLOOKUP(L2576,データについて!$J$6:$M$18,13,FALSE)</f>
        <v>3</v>
      </c>
      <c r="T2576" s="81">
        <f>HLOOKUP(M2576,データについて!$J$7:$M$18,12,FALSE)</f>
        <v>2</v>
      </c>
      <c r="U2576" s="81">
        <f>HLOOKUP(N2576,データについて!$J$8:$M$18,11,FALSE)</f>
        <v>1</v>
      </c>
      <c r="V2576" s="81">
        <f>HLOOKUP(O2576,データについて!$J$9:$M$18,10,FALSE)</f>
        <v>1</v>
      </c>
      <c r="W2576" s="81">
        <f>HLOOKUP(P2576,データについて!$J$10:$M$18,9,FALSE)</f>
        <v>2</v>
      </c>
      <c r="X2576" s="81">
        <f>HLOOKUP(Q2576,データについて!$J$11:$M$18,8,FALSE)</f>
        <v>1</v>
      </c>
      <c r="Y2576" s="81">
        <f>HLOOKUP(R2576,データについて!$J$12:$M$18,7,FALSE)</f>
        <v>2</v>
      </c>
      <c r="Z2576" s="81">
        <f>HLOOKUP(I2576,データについて!$J$3:$M$18,16,FALSE)</f>
        <v>2</v>
      </c>
      <c r="AA2576" s="81" t="str">
        <f>IFERROR(HLOOKUP(J2576,データについて!$J$4:$AH$19,16,FALSE),"")</f>
        <v/>
      </c>
      <c r="AB2576" s="81">
        <f>IFERROR(HLOOKUP(K2576,データについて!$J$5:$AH$20,14,FALSE),"")</f>
        <v>0</v>
      </c>
      <c r="AC2576" s="81">
        <f>IF(X2576=1,HLOOKUP(R2576,データについて!$J$12:$M$18,7,FALSE),"*")</f>
        <v>2</v>
      </c>
      <c r="AD2576" s="81" t="str">
        <f>IF(X2576=2,HLOOKUP(R2576,データについて!$J$12:$M$18,7,FALSE),"*")</f>
        <v>*</v>
      </c>
    </row>
    <row r="2577" spans="1:30">
      <c r="A2577" s="30">
        <v>2615</v>
      </c>
      <c r="B2577" s="30" t="s">
        <v>379</v>
      </c>
      <c r="C2577" s="30" t="s">
        <v>380</v>
      </c>
      <c r="D2577" s="30" t="s">
        <v>106</v>
      </c>
      <c r="E2577" s="30"/>
      <c r="F2577" s="30" t="s">
        <v>107</v>
      </c>
      <c r="G2577" s="30" t="s">
        <v>106</v>
      </c>
      <c r="H2577" s="30"/>
      <c r="I2577" s="30" t="s">
        <v>191</v>
      </c>
      <c r="J2577" s="30"/>
      <c r="K2577" s="30" t="s">
        <v>129</v>
      </c>
      <c r="L2577" s="30" t="s">
        <v>117</v>
      </c>
      <c r="M2577" s="30" t="s">
        <v>109</v>
      </c>
      <c r="N2577" s="30" t="s">
        <v>110</v>
      </c>
      <c r="O2577" s="30" t="s">
        <v>115</v>
      </c>
      <c r="P2577" s="30" t="s">
        <v>112</v>
      </c>
      <c r="Q2577" s="30" t="s">
        <v>118</v>
      </c>
      <c r="R2577" s="30" t="s">
        <v>189</v>
      </c>
      <c r="S2577" s="81">
        <f>HLOOKUP(L2577,データについて!$J$6:$M$18,13,FALSE)</f>
        <v>2</v>
      </c>
      <c r="T2577" s="81">
        <f>HLOOKUP(M2577,データについて!$J$7:$M$18,12,FALSE)</f>
        <v>2</v>
      </c>
      <c r="U2577" s="81">
        <f>HLOOKUP(N2577,データについて!$J$8:$M$18,11,FALSE)</f>
        <v>2</v>
      </c>
      <c r="V2577" s="81">
        <f>HLOOKUP(O2577,データについて!$J$9:$M$18,10,FALSE)</f>
        <v>1</v>
      </c>
      <c r="W2577" s="81">
        <f>HLOOKUP(P2577,データについて!$J$10:$M$18,9,FALSE)</f>
        <v>1</v>
      </c>
      <c r="X2577" s="81">
        <f>HLOOKUP(Q2577,データについて!$J$11:$M$18,8,FALSE)</f>
        <v>2</v>
      </c>
      <c r="Y2577" s="81">
        <f>HLOOKUP(R2577,データについて!$J$12:$M$18,7,FALSE)</f>
        <v>4</v>
      </c>
      <c r="Z2577" s="81">
        <f>HLOOKUP(I2577,データについて!$J$3:$M$18,16,FALSE)</f>
        <v>2</v>
      </c>
      <c r="AA2577" s="81" t="str">
        <f>IFERROR(HLOOKUP(J2577,データについて!$J$4:$AH$19,16,FALSE),"")</f>
        <v/>
      </c>
      <c r="AB2577" s="81">
        <f>IFERROR(HLOOKUP(K2577,データについて!$J$5:$AH$20,14,FALSE),"")</f>
        <v>0</v>
      </c>
      <c r="AC2577" s="81" t="str">
        <f>IF(X2577=1,HLOOKUP(R2577,データについて!$J$12:$M$18,7,FALSE),"*")</f>
        <v>*</v>
      </c>
      <c r="AD2577" s="81">
        <f>IF(X2577=2,HLOOKUP(R2577,データについて!$J$12:$M$18,7,FALSE),"*")</f>
        <v>4</v>
      </c>
    </row>
    <row r="2578" spans="1:30">
      <c r="A2578" s="30">
        <v>2614</v>
      </c>
      <c r="B2578" s="30" t="s">
        <v>381</v>
      </c>
      <c r="C2578" s="30" t="s">
        <v>382</v>
      </c>
      <c r="D2578" s="30" t="s">
        <v>106</v>
      </c>
      <c r="E2578" s="30"/>
      <c r="F2578" s="30" t="s">
        <v>107</v>
      </c>
      <c r="G2578" s="30" t="s">
        <v>106</v>
      </c>
      <c r="H2578" s="30"/>
      <c r="I2578" s="30" t="s">
        <v>191</v>
      </c>
      <c r="J2578" s="30"/>
      <c r="K2578" s="30" t="s">
        <v>129</v>
      </c>
      <c r="L2578" s="30" t="s">
        <v>117</v>
      </c>
      <c r="M2578" s="30" t="s">
        <v>109</v>
      </c>
      <c r="N2578" s="30" t="s">
        <v>110</v>
      </c>
      <c r="O2578" s="30" t="s">
        <v>115</v>
      </c>
      <c r="P2578" s="30" t="s">
        <v>112</v>
      </c>
      <c r="Q2578" s="30" t="s">
        <v>112</v>
      </c>
      <c r="R2578" s="30" t="s">
        <v>187</v>
      </c>
      <c r="S2578" s="81">
        <f>HLOOKUP(L2578,データについて!$J$6:$M$18,13,FALSE)</f>
        <v>2</v>
      </c>
      <c r="T2578" s="81">
        <f>HLOOKUP(M2578,データについて!$J$7:$M$18,12,FALSE)</f>
        <v>2</v>
      </c>
      <c r="U2578" s="81">
        <f>HLOOKUP(N2578,データについて!$J$8:$M$18,11,FALSE)</f>
        <v>2</v>
      </c>
      <c r="V2578" s="81">
        <f>HLOOKUP(O2578,データについて!$J$9:$M$18,10,FALSE)</f>
        <v>1</v>
      </c>
      <c r="W2578" s="81">
        <f>HLOOKUP(P2578,データについて!$J$10:$M$18,9,FALSE)</f>
        <v>1</v>
      </c>
      <c r="X2578" s="81">
        <f>HLOOKUP(Q2578,データについて!$J$11:$M$18,8,FALSE)</f>
        <v>1</v>
      </c>
      <c r="Y2578" s="81">
        <f>HLOOKUP(R2578,データについて!$J$12:$M$18,7,FALSE)</f>
        <v>3</v>
      </c>
      <c r="Z2578" s="81">
        <f>HLOOKUP(I2578,データについて!$J$3:$M$18,16,FALSE)</f>
        <v>2</v>
      </c>
      <c r="AA2578" s="81" t="str">
        <f>IFERROR(HLOOKUP(J2578,データについて!$J$4:$AH$19,16,FALSE),"")</f>
        <v/>
      </c>
      <c r="AB2578" s="81">
        <f>IFERROR(HLOOKUP(K2578,データについて!$J$5:$AH$20,14,FALSE),"")</f>
        <v>0</v>
      </c>
      <c r="AC2578" s="81">
        <f>IF(X2578=1,HLOOKUP(R2578,データについて!$J$12:$M$18,7,FALSE),"*")</f>
        <v>3</v>
      </c>
      <c r="AD2578" s="81" t="str">
        <f>IF(X2578=2,HLOOKUP(R2578,データについて!$J$12:$M$18,7,FALSE),"*")</f>
        <v>*</v>
      </c>
    </row>
    <row r="2579" spans="1:30">
      <c r="A2579" s="30">
        <v>2613</v>
      </c>
      <c r="B2579" s="30" t="s">
        <v>383</v>
      </c>
      <c r="C2579" s="30" t="s">
        <v>384</v>
      </c>
      <c r="D2579" s="30" t="s">
        <v>106</v>
      </c>
      <c r="E2579" s="30"/>
      <c r="F2579" s="30" t="s">
        <v>107</v>
      </c>
      <c r="G2579" s="30" t="s">
        <v>106</v>
      </c>
      <c r="H2579" s="30"/>
      <c r="I2579" s="30" t="s">
        <v>191</v>
      </c>
      <c r="J2579" s="30"/>
      <c r="K2579" s="30" t="s">
        <v>129</v>
      </c>
      <c r="L2579" s="30" t="s">
        <v>117</v>
      </c>
      <c r="M2579" s="30" t="s">
        <v>109</v>
      </c>
      <c r="N2579" s="30" t="s">
        <v>110</v>
      </c>
      <c r="O2579" s="30" t="s">
        <v>115</v>
      </c>
      <c r="P2579" s="30" t="s">
        <v>112</v>
      </c>
      <c r="Q2579" s="30" t="s">
        <v>112</v>
      </c>
      <c r="R2579" s="30" t="s">
        <v>185</v>
      </c>
      <c r="S2579" s="81">
        <f>HLOOKUP(L2579,データについて!$J$6:$M$18,13,FALSE)</f>
        <v>2</v>
      </c>
      <c r="T2579" s="81">
        <f>HLOOKUP(M2579,データについて!$J$7:$M$18,12,FALSE)</f>
        <v>2</v>
      </c>
      <c r="U2579" s="81">
        <f>HLOOKUP(N2579,データについて!$J$8:$M$18,11,FALSE)</f>
        <v>2</v>
      </c>
      <c r="V2579" s="81">
        <f>HLOOKUP(O2579,データについて!$J$9:$M$18,10,FALSE)</f>
        <v>1</v>
      </c>
      <c r="W2579" s="81">
        <f>HLOOKUP(P2579,データについて!$J$10:$M$18,9,FALSE)</f>
        <v>1</v>
      </c>
      <c r="X2579" s="81">
        <f>HLOOKUP(Q2579,データについて!$J$11:$M$18,8,FALSE)</f>
        <v>1</v>
      </c>
      <c r="Y2579" s="81">
        <f>HLOOKUP(R2579,データについて!$J$12:$M$18,7,FALSE)</f>
        <v>2</v>
      </c>
      <c r="Z2579" s="81">
        <f>HLOOKUP(I2579,データについて!$J$3:$M$18,16,FALSE)</f>
        <v>2</v>
      </c>
      <c r="AA2579" s="81" t="str">
        <f>IFERROR(HLOOKUP(J2579,データについて!$J$4:$AH$19,16,FALSE),"")</f>
        <v/>
      </c>
      <c r="AB2579" s="81">
        <f>IFERROR(HLOOKUP(K2579,データについて!$J$5:$AH$20,14,FALSE),"")</f>
        <v>0</v>
      </c>
      <c r="AC2579" s="81">
        <f>IF(X2579=1,HLOOKUP(R2579,データについて!$J$12:$M$18,7,FALSE),"*")</f>
        <v>2</v>
      </c>
      <c r="AD2579" s="81" t="str">
        <f>IF(X2579=2,HLOOKUP(R2579,データについて!$J$12:$M$18,7,FALSE),"*")</f>
        <v>*</v>
      </c>
    </row>
    <row r="2580" spans="1:30">
      <c r="A2580" s="30">
        <v>2612</v>
      </c>
      <c r="B2580" s="30" t="s">
        <v>385</v>
      </c>
      <c r="C2580" s="30" t="s">
        <v>386</v>
      </c>
      <c r="D2580" s="30" t="s">
        <v>106</v>
      </c>
      <c r="E2580" s="30"/>
      <c r="F2580" s="30" t="s">
        <v>107</v>
      </c>
      <c r="G2580" s="30" t="s">
        <v>106</v>
      </c>
      <c r="H2580" s="30"/>
      <c r="I2580" s="30" t="s">
        <v>191</v>
      </c>
      <c r="J2580" s="30"/>
      <c r="K2580" s="30" t="s">
        <v>129</v>
      </c>
      <c r="L2580" s="30" t="s">
        <v>117</v>
      </c>
      <c r="M2580" s="30" t="s">
        <v>109</v>
      </c>
      <c r="N2580" s="30" t="s">
        <v>119</v>
      </c>
      <c r="O2580" s="30" t="s">
        <v>116</v>
      </c>
      <c r="P2580" s="30" t="s">
        <v>118</v>
      </c>
      <c r="Q2580" s="30" t="s">
        <v>112</v>
      </c>
      <c r="R2580" s="30" t="s">
        <v>187</v>
      </c>
      <c r="S2580" s="81">
        <f>HLOOKUP(L2580,データについて!$J$6:$M$18,13,FALSE)</f>
        <v>2</v>
      </c>
      <c r="T2580" s="81">
        <f>HLOOKUP(M2580,データについて!$J$7:$M$18,12,FALSE)</f>
        <v>2</v>
      </c>
      <c r="U2580" s="81">
        <f>HLOOKUP(N2580,データについて!$J$8:$M$18,11,FALSE)</f>
        <v>4</v>
      </c>
      <c r="V2580" s="81">
        <f>HLOOKUP(O2580,データについて!$J$9:$M$18,10,FALSE)</f>
        <v>2</v>
      </c>
      <c r="W2580" s="81">
        <f>HLOOKUP(P2580,データについて!$J$10:$M$18,9,FALSE)</f>
        <v>2</v>
      </c>
      <c r="X2580" s="81">
        <f>HLOOKUP(Q2580,データについて!$J$11:$M$18,8,FALSE)</f>
        <v>1</v>
      </c>
      <c r="Y2580" s="81">
        <f>HLOOKUP(R2580,データについて!$J$12:$M$18,7,FALSE)</f>
        <v>3</v>
      </c>
      <c r="Z2580" s="81">
        <f>HLOOKUP(I2580,データについて!$J$3:$M$18,16,FALSE)</f>
        <v>2</v>
      </c>
      <c r="AA2580" s="81" t="str">
        <f>IFERROR(HLOOKUP(J2580,データについて!$J$4:$AH$19,16,FALSE),"")</f>
        <v/>
      </c>
      <c r="AB2580" s="81">
        <f>IFERROR(HLOOKUP(K2580,データについて!$J$5:$AH$20,14,FALSE),"")</f>
        <v>0</v>
      </c>
      <c r="AC2580" s="81">
        <f>IF(X2580=1,HLOOKUP(R2580,データについて!$J$12:$M$18,7,FALSE),"*")</f>
        <v>3</v>
      </c>
      <c r="AD2580" s="81" t="str">
        <f>IF(X2580=2,HLOOKUP(R2580,データについて!$J$12:$M$18,7,FALSE),"*")</f>
        <v>*</v>
      </c>
    </row>
    <row r="2581" spans="1:30">
      <c r="A2581" s="30">
        <v>2611</v>
      </c>
      <c r="B2581" s="30" t="s">
        <v>387</v>
      </c>
      <c r="C2581" s="30" t="s">
        <v>388</v>
      </c>
      <c r="D2581" s="30" t="s">
        <v>106</v>
      </c>
      <c r="E2581" s="30"/>
      <c r="F2581" s="30" t="s">
        <v>107</v>
      </c>
      <c r="G2581" s="30" t="s">
        <v>106</v>
      </c>
      <c r="H2581" s="30"/>
      <c r="I2581" s="30" t="s">
        <v>191</v>
      </c>
      <c r="J2581" s="30"/>
      <c r="K2581" s="30" t="s">
        <v>129</v>
      </c>
      <c r="L2581" s="30" t="s">
        <v>117</v>
      </c>
      <c r="M2581" s="30" t="s">
        <v>109</v>
      </c>
      <c r="N2581" s="30" t="s">
        <v>114</v>
      </c>
      <c r="O2581" s="30" t="s">
        <v>115</v>
      </c>
      <c r="P2581" s="30" t="s">
        <v>112</v>
      </c>
      <c r="Q2581" s="30" t="s">
        <v>112</v>
      </c>
      <c r="R2581" s="30" t="s">
        <v>183</v>
      </c>
      <c r="S2581" s="81">
        <f>HLOOKUP(L2581,データについて!$J$6:$M$18,13,FALSE)</f>
        <v>2</v>
      </c>
      <c r="T2581" s="81">
        <f>HLOOKUP(M2581,データについて!$J$7:$M$18,12,FALSE)</f>
        <v>2</v>
      </c>
      <c r="U2581" s="81">
        <f>HLOOKUP(N2581,データについて!$J$8:$M$18,11,FALSE)</f>
        <v>1</v>
      </c>
      <c r="V2581" s="81">
        <f>HLOOKUP(O2581,データについて!$J$9:$M$18,10,FALSE)</f>
        <v>1</v>
      </c>
      <c r="W2581" s="81">
        <f>HLOOKUP(P2581,データについて!$J$10:$M$18,9,FALSE)</f>
        <v>1</v>
      </c>
      <c r="X2581" s="81">
        <f>HLOOKUP(Q2581,データについて!$J$11:$M$18,8,FALSE)</f>
        <v>1</v>
      </c>
      <c r="Y2581" s="81">
        <f>HLOOKUP(R2581,データについて!$J$12:$M$18,7,FALSE)</f>
        <v>1</v>
      </c>
      <c r="Z2581" s="81">
        <f>HLOOKUP(I2581,データについて!$J$3:$M$18,16,FALSE)</f>
        <v>2</v>
      </c>
      <c r="AA2581" s="81" t="str">
        <f>IFERROR(HLOOKUP(J2581,データについて!$J$4:$AH$19,16,FALSE),"")</f>
        <v/>
      </c>
      <c r="AB2581" s="81">
        <f>IFERROR(HLOOKUP(K2581,データについて!$J$5:$AH$20,14,FALSE),"")</f>
        <v>0</v>
      </c>
      <c r="AC2581" s="81">
        <f>IF(X2581=1,HLOOKUP(R2581,データについて!$J$12:$M$18,7,FALSE),"*")</f>
        <v>1</v>
      </c>
      <c r="AD2581" s="81" t="str">
        <f>IF(X2581=2,HLOOKUP(R2581,データについて!$J$12:$M$18,7,FALSE),"*")</f>
        <v>*</v>
      </c>
    </row>
    <row r="2582" spans="1:30">
      <c r="A2582" s="30">
        <v>2610</v>
      </c>
      <c r="B2582" s="30" t="s">
        <v>389</v>
      </c>
      <c r="C2582" s="30" t="s">
        <v>390</v>
      </c>
      <c r="D2582" s="30" t="s">
        <v>106</v>
      </c>
      <c r="E2582" s="30"/>
      <c r="F2582" s="30" t="s">
        <v>107</v>
      </c>
      <c r="G2582" s="30" t="s">
        <v>106</v>
      </c>
      <c r="H2582" s="30"/>
      <c r="I2582" s="30" t="s">
        <v>191</v>
      </c>
      <c r="J2582" s="30"/>
      <c r="K2582" s="30" t="s">
        <v>129</v>
      </c>
      <c r="L2582" s="30" t="s">
        <v>117</v>
      </c>
      <c r="M2582" s="30" t="s">
        <v>109</v>
      </c>
      <c r="N2582" s="30" t="s">
        <v>110</v>
      </c>
      <c r="O2582" s="30" t="s">
        <v>115</v>
      </c>
      <c r="P2582" s="30" t="s">
        <v>112</v>
      </c>
      <c r="Q2582" s="30" t="s">
        <v>118</v>
      </c>
      <c r="R2582" s="30" t="s">
        <v>187</v>
      </c>
      <c r="S2582" s="81">
        <f>HLOOKUP(L2582,データについて!$J$6:$M$18,13,FALSE)</f>
        <v>2</v>
      </c>
      <c r="T2582" s="81">
        <f>HLOOKUP(M2582,データについて!$J$7:$M$18,12,FALSE)</f>
        <v>2</v>
      </c>
      <c r="U2582" s="81">
        <f>HLOOKUP(N2582,データについて!$J$8:$M$18,11,FALSE)</f>
        <v>2</v>
      </c>
      <c r="V2582" s="81">
        <f>HLOOKUP(O2582,データについて!$J$9:$M$18,10,FALSE)</f>
        <v>1</v>
      </c>
      <c r="W2582" s="81">
        <f>HLOOKUP(P2582,データについて!$J$10:$M$18,9,FALSE)</f>
        <v>1</v>
      </c>
      <c r="X2582" s="81">
        <f>HLOOKUP(Q2582,データについて!$J$11:$M$18,8,FALSE)</f>
        <v>2</v>
      </c>
      <c r="Y2582" s="81">
        <f>HLOOKUP(R2582,データについて!$J$12:$M$18,7,FALSE)</f>
        <v>3</v>
      </c>
      <c r="Z2582" s="81">
        <f>HLOOKUP(I2582,データについて!$J$3:$M$18,16,FALSE)</f>
        <v>2</v>
      </c>
      <c r="AA2582" s="81" t="str">
        <f>IFERROR(HLOOKUP(J2582,データについて!$J$4:$AH$19,16,FALSE),"")</f>
        <v/>
      </c>
      <c r="AB2582" s="81">
        <f>IFERROR(HLOOKUP(K2582,データについて!$J$5:$AH$20,14,FALSE),"")</f>
        <v>0</v>
      </c>
      <c r="AC2582" s="81" t="str">
        <f>IF(X2582=1,HLOOKUP(R2582,データについて!$J$12:$M$18,7,FALSE),"*")</f>
        <v>*</v>
      </c>
      <c r="AD2582" s="81">
        <f>IF(X2582=2,HLOOKUP(R2582,データについて!$J$12:$M$18,7,FALSE),"*")</f>
        <v>3</v>
      </c>
    </row>
    <row r="2583" spans="1:30">
      <c r="A2583" s="30">
        <v>2609</v>
      </c>
      <c r="B2583" s="30" t="s">
        <v>391</v>
      </c>
      <c r="C2583" s="30" t="s">
        <v>392</v>
      </c>
      <c r="D2583" s="30" t="s">
        <v>106</v>
      </c>
      <c r="E2583" s="30"/>
      <c r="F2583" s="30" t="s">
        <v>107</v>
      </c>
      <c r="G2583" s="30" t="s">
        <v>106</v>
      </c>
      <c r="H2583" s="30"/>
      <c r="I2583" s="30" t="s">
        <v>191</v>
      </c>
      <c r="J2583" s="30"/>
      <c r="K2583" s="30" t="s">
        <v>129</v>
      </c>
      <c r="L2583" s="30" t="s">
        <v>117</v>
      </c>
      <c r="M2583" s="30" t="s">
        <v>113</v>
      </c>
      <c r="N2583" s="30" t="s">
        <v>110</v>
      </c>
      <c r="O2583" s="30" t="s">
        <v>115</v>
      </c>
      <c r="P2583" s="30" t="s">
        <v>112</v>
      </c>
      <c r="Q2583" s="30" t="s">
        <v>112</v>
      </c>
      <c r="R2583" s="30" t="s">
        <v>187</v>
      </c>
      <c r="S2583" s="81">
        <f>HLOOKUP(L2583,データについて!$J$6:$M$18,13,FALSE)</f>
        <v>2</v>
      </c>
      <c r="T2583" s="81">
        <f>HLOOKUP(M2583,データについて!$J$7:$M$18,12,FALSE)</f>
        <v>1</v>
      </c>
      <c r="U2583" s="81">
        <f>HLOOKUP(N2583,データについて!$J$8:$M$18,11,FALSE)</f>
        <v>2</v>
      </c>
      <c r="V2583" s="81">
        <f>HLOOKUP(O2583,データについて!$J$9:$M$18,10,FALSE)</f>
        <v>1</v>
      </c>
      <c r="W2583" s="81">
        <f>HLOOKUP(P2583,データについて!$J$10:$M$18,9,FALSE)</f>
        <v>1</v>
      </c>
      <c r="X2583" s="81">
        <f>HLOOKUP(Q2583,データについて!$J$11:$M$18,8,FALSE)</f>
        <v>1</v>
      </c>
      <c r="Y2583" s="81">
        <f>HLOOKUP(R2583,データについて!$J$12:$M$18,7,FALSE)</f>
        <v>3</v>
      </c>
      <c r="Z2583" s="81">
        <f>HLOOKUP(I2583,データについて!$J$3:$M$18,16,FALSE)</f>
        <v>2</v>
      </c>
      <c r="AA2583" s="81" t="str">
        <f>IFERROR(HLOOKUP(J2583,データについて!$J$4:$AH$19,16,FALSE),"")</f>
        <v/>
      </c>
      <c r="AB2583" s="81">
        <f>IFERROR(HLOOKUP(K2583,データについて!$J$5:$AH$20,14,FALSE),"")</f>
        <v>0</v>
      </c>
      <c r="AC2583" s="81">
        <f>IF(X2583=1,HLOOKUP(R2583,データについて!$J$12:$M$18,7,FALSE),"*")</f>
        <v>3</v>
      </c>
      <c r="AD2583" s="81" t="str">
        <f>IF(X2583=2,HLOOKUP(R2583,データについて!$J$12:$M$18,7,FALSE),"*")</f>
        <v>*</v>
      </c>
    </row>
    <row r="2584" spans="1:30">
      <c r="A2584" s="30">
        <v>2608</v>
      </c>
      <c r="B2584" s="30" t="s">
        <v>393</v>
      </c>
      <c r="C2584" s="30" t="s">
        <v>394</v>
      </c>
      <c r="D2584" s="30" t="s">
        <v>106</v>
      </c>
      <c r="E2584" s="30"/>
      <c r="F2584" s="30" t="s">
        <v>107</v>
      </c>
      <c r="G2584" s="30" t="s">
        <v>106</v>
      </c>
      <c r="H2584" s="30"/>
      <c r="I2584" s="30" t="s">
        <v>191</v>
      </c>
      <c r="J2584" s="30"/>
      <c r="K2584" s="30" t="s">
        <v>129</v>
      </c>
      <c r="L2584" s="30" t="s">
        <v>108</v>
      </c>
      <c r="M2584" s="30" t="s">
        <v>113</v>
      </c>
      <c r="N2584" s="30" t="s">
        <v>114</v>
      </c>
      <c r="O2584" s="30" t="s">
        <v>115</v>
      </c>
      <c r="P2584" s="30" t="s">
        <v>118</v>
      </c>
      <c r="Q2584" s="30" t="s">
        <v>112</v>
      </c>
      <c r="R2584" s="30" t="s">
        <v>185</v>
      </c>
      <c r="S2584" s="81">
        <f>HLOOKUP(L2584,データについて!$J$6:$M$18,13,FALSE)</f>
        <v>1</v>
      </c>
      <c r="T2584" s="81">
        <f>HLOOKUP(M2584,データについて!$J$7:$M$18,12,FALSE)</f>
        <v>1</v>
      </c>
      <c r="U2584" s="81">
        <f>HLOOKUP(N2584,データについて!$J$8:$M$18,11,FALSE)</f>
        <v>1</v>
      </c>
      <c r="V2584" s="81">
        <f>HLOOKUP(O2584,データについて!$J$9:$M$18,10,FALSE)</f>
        <v>1</v>
      </c>
      <c r="W2584" s="81">
        <f>HLOOKUP(P2584,データについて!$J$10:$M$18,9,FALSE)</f>
        <v>2</v>
      </c>
      <c r="X2584" s="81">
        <f>HLOOKUP(Q2584,データについて!$J$11:$M$18,8,FALSE)</f>
        <v>1</v>
      </c>
      <c r="Y2584" s="81">
        <f>HLOOKUP(R2584,データについて!$J$12:$M$18,7,FALSE)</f>
        <v>2</v>
      </c>
      <c r="Z2584" s="81">
        <f>HLOOKUP(I2584,データについて!$J$3:$M$18,16,FALSE)</f>
        <v>2</v>
      </c>
      <c r="AA2584" s="81" t="str">
        <f>IFERROR(HLOOKUP(J2584,データについて!$J$4:$AH$19,16,FALSE),"")</f>
        <v/>
      </c>
      <c r="AB2584" s="81">
        <f>IFERROR(HLOOKUP(K2584,データについて!$J$5:$AH$20,14,FALSE),"")</f>
        <v>0</v>
      </c>
      <c r="AC2584" s="81">
        <f>IF(X2584=1,HLOOKUP(R2584,データについて!$J$12:$M$18,7,FALSE),"*")</f>
        <v>2</v>
      </c>
      <c r="AD2584" s="81" t="str">
        <f>IF(X2584=2,HLOOKUP(R2584,データについて!$J$12:$M$18,7,FALSE),"*")</f>
        <v>*</v>
      </c>
    </row>
    <row r="2585" spans="1:30">
      <c r="A2585" s="30">
        <v>2607</v>
      </c>
      <c r="B2585" s="30" t="s">
        <v>395</v>
      </c>
      <c r="C2585" s="30" t="s">
        <v>396</v>
      </c>
      <c r="D2585" s="30" t="s">
        <v>106</v>
      </c>
      <c r="E2585" s="30"/>
      <c r="F2585" s="30" t="s">
        <v>107</v>
      </c>
      <c r="G2585" s="30" t="s">
        <v>106</v>
      </c>
      <c r="H2585" s="30"/>
      <c r="I2585" s="30" t="s">
        <v>191</v>
      </c>
      <c r="J2585" s="30"/>
      <c r="K2585" s="30" t="s">
        <v>129</v>
      </c>
      <c r="L2585" s="30" t="s">
        <v>108</v>
      </c>
      <c r="M2585" s="30" t="s">
        <v>109</v>
      </c>
      <c r="N2585" s="30" t="s">
        <v>114</v>
      </c>
      <c r="O2585" s="30" t="s">
        <v>115</v>
      </c>
      <c r="P2585" s="30" t="s">
        <v>112</v>
      </c>
      <c r="Q2585" s="30" t="s">
        <v>112</v>
      </c>
      <c r="R2585" s="30" t="s">
        <v>185</v>
      </c>
      <c r="S2585" s="81">
        <f>HLOOKUP(L2585,データについて!$J$6:$M$18,13,FALSE)</f>
        <v>1</v>
      </c>
      <c r="T2585" s="81">
        <f>HLOOKUP(M2585,データについて!$J$7:$M$18,12,FALSE)</f>
        <v>2</v>
      </c>
      <c r="U2585" s="81">
        <f>HLOOKUP(N2585,データについて!$J$8:$M$18,11,FALSE)</f>
        <v>1</v>
      </c>
      <c r="V2585" s="81">
        <f>HLOOKUP(O2585,データについて!$J$9:$M$18,10,FALSE)</f>
        <v>1</v>
      </c>
      <c r="W2585" s="81">
        <f>HLOOKUP(P2585,データについて!$J$10:$M$18,9,FALSE)</f>
        <v>1</v>
      </c>
      <c r="X2585" s="81">
        <f>HLOOKUP(Q2585,データについて!$J$11:$M$18,8,FALSE)</f>
        <v>1</v>
      </c>
      <c r="Y2585" s="81">
        <f>HLOOKUP(R2585,データについて!$J$12:$M$18,7,FALSE)</f>
        <v>2</v>
      </c>
      <c r="Z2585" s="81">
        <f>HLOOKUP(I2585,データについて!$J$3:$M$18,16,FALSE)</f>
        <v>2</v>
      </c>
      <c r="AA2585" s="81" t="str">
        <f>IFERROR(HLOOKUP(J2585,データについて!$J$4:$AH$19,16,FALSE),"")</f>
        <v/>
      </c>
      <c r="AB2585" s="81">
        <f>IFERROR(HLOOKUP(K2585,データについて!$J$5:$AH$20,14,FALSE),"")</f>
        <v>0</v>
      </c>
      <c r="AC2585" s="81">
        <f>IF(X2585=1,HLOOKUP(R2585,データについて!$J$12:$M$18,7,FALSE),"*")</f>
        <v>2</v>
      </c>
      <c r="AD2585" s="81" t="str">
        <f>IF(X2585=2,HLOOKUP(R2585,データについて!$J$12:$M$18,7,FALSE),"*")</f>
        <v>*</v>
      </c>
    </row>
    <row r="2586" spans="1:30">
      <c r="A2586" s="30">
        <v>2606</v>
      </c>
      <c r="B2586" s="30" t="s">
        <v>397</v>
      </c>
      <c r="C2586" s="30" t="s">
        <v>398</v>
      </c>
      <c r="D2586" s="30" t="s">
        <v>106</v>
      </c>
      <c r="E2586" s="30"/>
      <c r="F2586" s="30" t="s">
        <v>107</v>
      </c>
      <c r="G2586" s="30" t="s">
        <v>106</v>
      </c>
      <c r="H2586" s="30"/>
      <c r="I2586" s="30" t="s">
        <v>191</v>
      </c>
      <c r="J2586" s="30"/>
      <c r="K2586" s="30" t="s">
        <v>129</v>
      </c>
      <c r="L2586" s="30" t="s">
        <v>108</v>
      </c>
      <c r="M2586" s="30" t="s">
        <v>124</v>
      </c>
      <c r="N2586" s="30" t="s">
        <v>114</v>
      </c>
      <c r="O2586" s="30" t="s">
        <v>116</v>
      </c>
      <c r="P2586" s="30" t="s">
        <v>112</v>
      </c>
      <c r="Q2586" s="30" t="s">
        <v>118</v>
      </c>
      <c r="R2586" s="30" t="s">
        <v>187</v>
      </c>
      <c r="S2586" s="81">
        <f>HLOOKUP(L2586,データについて!$J$6:$M$18,13,FALSE)</f>
        <v>1</v>
      </c>
      <c r="T2586" s="81">
        <f>HLOOKUP(M2586,データについて!$J$7:$M$18,12,FALSE)</f>
        <v>3</v>
      </c>
      <c r="U2586" s="81">
        <f>HLOOKUP(N2586,データについて!$J$8:$M$18,11,FALSE)</f>
        <v>1</v>
      </c>
      <c r="V2586" s="81">
        <f>HLOOKUP(O2586,データについて!$J$9:$M$18,10,FALSE)</f>
        <v>2</v>
      </c>
      <c r="W2586" s="81">
        <f>HLOOKUP(P2586,データについて!$J$10:$M$18,9,FALSE)</f>
        <v>1</v>
      </c>
      <c r="X2586" s="81">
        <f>HLOOKUP(Q2586,データについて!$J$11:$M$18,8,FALSE)</f>
        <v>2</v>
      </c>
      <c r="Y2586" s="81">
        <f>HLOOKUP(R2586,データについて!$J$12:$M$18,7,FALSE)</f>
        <v>3</v>
      </c>
      <c r="Z2586" s="81">
        <f>HLOOKUP(I2586,データについて!$J$3:$M$18,16,FALSE)</f>
        <v>2</v>
      </c>
      <c r="AA2586" s="81" t="str">
        <f>IFERROR(HLOOKUP(J2586,データについて!$J$4:$AH$19,16,FALSE),"")</f>
        <v/>
      </c>
      <c r="AB2586" s="81">
        <f>IFERROR(HLOOKUP(K2586,データについて!$J$5:$AH$20,14,FALSE),"")</f>
        <v>0</v>
      </c>
      <c r="AC2586" s="81" t="str">
        <f>IF(X2586=1,HLOOKUP(R2586,データについて!$J$12:$M$18,7,FALSE),"*")</f>
        <v>*</v>
      </c>
      <c r="AD2586" s="81">
        <f>IF(X2586=2,HLOOKUP(R2586,データについて!$J$12:$M$18,7,FALSE),"*")</f>
        <v>3</v>
      </c>
    </row>
    <row r="2587" spans="1:30">
      <c r="A2587" s="30">
        <v>2605</v>
      </c>
      <c r="B2587" s="30" t="s">
        <v>399</v>
      </c>
      <c r="C2587" s="30" t="s">
        <v>400</v>
      </c>
      <c r="D2587" s="30" t="s">
        <v>106</v>
      </c>
      <c r="E2587" s="30"/>
      <c r="F2587" s="30" t="s">
        <v>107</v>
      </c>
      <c r="G2587" s="30" t="s">
        <v>106</v>
      </c>
      <c r="H2587" s="30"/>
      <c r="I2587" s="30" t="s">
        <v>191</v>
      </c>
      <c r="J2587" s="30"/>
      <c r="K2587" s="30" t="s">
        <v>129</v>
      </c>
      <c r="L2587" s="30" t="s">
        <v>117</v>
      </c>
      <c r="M2587" s="30" t="s">
        <v>124</v>
      </c>
      <c r="N2587" s="30" t="s">
        <v>122</v>
      </c>
      <c r="O2587" s="30" t="s">
        <v>115</v>
      </c>
      <c r="P2587" s="30" t="s">
        <v>112</v>
      </c>
      <c r="Q2587" s="30" t="s">
        <v>118</v>
      </c>
      <c r="R2587" s="30" t="s">
        <v>187</v>
      </c>
      <c r="S2587" s="81">
        <f>HLOOKUP(L2587,データについて!$J$6:$M$18,13,FALSE)</f>
        <v>2</v>
      </c>
      <c r="T2587" s="81">
        <f>HLOOKUP(M2587,データについて!$J$7:$M$18,12,FALSE)</f>
        <v>3</v>
      </c>
      <c r="U2587" s="81">
        <f>HLOOKUP(N2587,データについて!$J$8:$M$18,11,FALSE)</f>
        <v>3</v>
      </c>
      <c r="V2587" s="81">
        <f>HLOOKUP(O2587,データについて!$J$9:$M$18,10,FALSE)</f>
        <v>1</v>
      </c>
      <c r="W2587" s="81">
        <f>HLOOKUP(P2587,データについて!$J$10:$M$18,9,FALSE)</f>
        <v>1</v>
      </c>
      <c r="X2587" s="81">
        <f>HLOOKUP(Q2587,データについて!$J$11:$M$18,8,FALSE)</f>
        <v>2</v>
      </c>
      <c r="Y2587" s="81">
        <f>HLOOKUP(R2587,データについて!$J$12:$M$18,7,FALSE)</f>
        <v>3</v>
      </c>
      <c r="Z2587" s="81">
        <f>HLOOKUP(I2587,データについて!$J$3:$M$18,16,FALSE)</f>
        <v>2</v>
      </c>
      <c r="AA2587" s="81" t="str">
        <f>IFERROR(HLOOKUP(J2587,データについて!$J$4:$AH$19,16,FALSE),"")</f>
        <v/>
      </c>
      <c r="AB2587" s="81">
        <f>IFERROR(HLOOKUP(K2587,データについて!$J$5:$AH$20,14,FALSE),"")</f>
        <v>0</v>
      </c>
      <c r="AC2587" s="81" t="str">
        <f>IF(X2587=1,HLOOKUP(R2587,データについて!$J$12:$M$18,7,FALSE),"*")</f>
        <v>*</v>
      </c>
      <c r="AD2587" s="81">
        <f>IF(X2587=2,HLOOKUP(R2587,データについて!$J$12:$M$18,7,FALSE),"*")</f>
        <v>3</v>
      </c>
    </row>
    <row r="2588" spans="1:30">
      <c r="A2588" s="30">
        <v>2604</v>
      </c>
      <c r="B2588" s="30" t="s">
        <v>401</v>
      </c>
      <c r="C2588" s="30" t="s">
        <v>402</v>
      </c>
      <c r="D2588" s="30" t="s">
        <v>106</v>
      </c>
      <c r="E2588" s="30"/>
      <c r="F2588" s="30" t="s">
        <v>107</v>
      </c>
      <c r="G2588" s="30" t="s">
        <v>106</v>
      </c>
      <c r="H2588" s="30"/>
      <c r="I2588" s="30" t="s">
        <v>191</v>
      </c>
      <c r="J2588" s="30"/>
      <c r="K2588" s="30" t="s">
        <v>129</v>
      </c>
      <c r="L2588" s="30" t="s">
        <v>108</v>
      </c>
      <c r="M2588" s="30" t="s">
        <v>124</v>
      </c>
      <c r="N2588" s="30" t="s">
        <v>122</v>
      </c>
      <c r="O2588" s="30" t="s">
        <v>116</v>
      </c>
      <c r="P2588" s="30" t="s">
        <v>118</v>
      </c>
      <c r="Q2588" s="30" t="s">
        <v>118</v>
      </c>
      <c r="R2588" s="30" t="s">
        <v>189</v>
      </c>
      <c r="S2588" s="81">
        <f>HLOOKUP(L2588,データについて!$J$6:$M$18,13,FALSE)</f>
        <v>1</v>
      </c>
      <c r="T2588" s="81">
        <f>HLOOKUP(M2588,データについて!$J$7:$M$18,12,FALSE)</f>
        <v>3</v>
      </c>
      <c r="U2588" s="81">
        <f>HLOOKUP(N2588,データについて!$J$8:$M$18,11,FALSE)</f>
        <v>3</v>
      </c>
      <c r="V2588" s="81">
        <f>HLOOKUP(O2588,データについて!$J$9:$M$18,10,FALSE)</f>
        <v>2</v>
      </c>
      <c r="W2588" s="81">
        <f>HLOOKUP(P2588,データについて!$J$10:$M$18,9,FALSE)</f>
        <v>2</v>
      </c>
      <c r="X2588" s="81">
        <f>HLOOKUP(Q2588,データについて!$J$11:$M$18,8,FALSE)</f>
        <v>2</v>
      </c>
      <c r="Y2588" s="81">
        <f>HLOOKUP(R2588,データについて!$J$12:$M$18,7,FALSE)</f>
        <v>4</v>
      </c>
      <c r="Z2588" s="81">
        <f>HLOOKUP(I2588,データについて!$J$3:$M$18,16,FALSE)</f>
        <v>2</v>
      </c>
      <c r="AA2588" s="81" t="str">
        <f>IFERROR(HLOOKUP(J2588,データについて!$J$4:$AH$19,16,FALSE),"")</f>
        <v/>
      </c>
      <c r="AB2588" s="81">
        <f>IFERROR(HLOOKUP(K2588,データについて!$J$5:$AH$20,14,FALSE),"")</f>
        <v>0</v>
      </c>
      <c r="AC2588" s="81" t="str">
        <f>IF(X2588=1,HLOOKUP(R2588,データについて!$J$12:$M$18,7,FALSE),"*")</f>
        <v>*</v>
      </c>
      <c r="AD2588" s="81">
        <f>IF(X2588=2,HLOOKUP(R2588,データについて!$J$12:$M$18,7,FALSE),"*")</f>
        <v>4</v>
      </c>
    </row>
    <row r="2589" spans="1:30">
      <c r="A2589" s="30">
        <v>2603</v>
      </c>
      <c r="B2589" s="30" t="s">
        <v>403</v>
      </c>
      <c r="C2589" s="30" t="s">
        <v>404</v>
      </c>
      <c r="D2589" s="30" t="s">
        <v>106</v>
      </c>
      <c r="E2589" s="30"/>
      <c r="F2589" s="30" t="s">
        <v>107</v>
      </c>
      <c r="G2589" s="30" t="s">
        <v>106</v>
      </c>
      <c r="H2589" s="30"/>
      <c r="I2589" s="30" t="s">
        <v>191</v>
      </c>
      <c r="J2589" s="30"/>
      <c r="K2589" s="30" t="s">
        <v>129</v>
      </c>
      <c r="L2589" s="30" t="s">
        <v>108</v>
      </c>
      <c r="M2589" s="30" t="s">
        <v>113</v>
      </c>
      <c r="N2589" s="30" t="s">
        <v>114</v>
      </c>
      <c r="O2589" s="30" t="s">
        <v>115</v>
      </c>
      <c r="P2589" s="30" t="s">
        <v>112</v>
      </c>
      <c r="Q2589" s="30" t="s">
        <v>112</v>
      </c>
      <c r="R2589" s="30" t="s">
        <v>183</v>
      </c>
      <c r="S2589" s="81">
        <f>HLOOKUP(L2589,データについて!$J$6:$M$18,13,FALSE)</f>
        <v>1</v>
      </c>
      <c r="T2589" s="81">
        <f>HLOOKUP(M2589,データについて!$J$7:$M$18,12,FALSE)</f>
        <v>1</v>
      </c>
      <c r="U2589" s="81">
        <f>HLOOKUP(N2589,データについて!$J$8:$M$18,11,FALSE)</f>
        <v>1</v>
      </c>
      <c r="V2589" s="81">
        <f>HLOOKUP(O2589,データについて!$J$9:$M$18,10,FALSE)</f>
        <v>1</v>
      </c>
      <c r="W2589" s="81">
        <f>HLOOKUP(P2589,データについて!$J$10:$M$18,9,FALSE)</f>
        <v>1</v>
      </c>
      <c r="X2589" s="81">
        <f>HLOOKUP(Q2589,データについて!$J$11:$M$18,8,FALSE)</f>
        <v>1</v>
      </c>
      <c r="Y2589" s="81">
        <f>HLOOKUP(R2589,データについて!$J$12:$M$18,7,FALSE)</f>
        <v>1</v>
      </c>
      <c r="Z2589" s="81">
        <f>HLOOKUP(I2589,データについて!$J$3:$M$18,16,FALSE)</f>
        <v>2</v>
      </c>
      <c r="AA2589" s="81" t="str">
        <f>IFERROR(HLOOKUP(J2589,データについて!$J$4:$AH$19,16,FALSE),"")</f>
        <v/>
      </c>
      <c r="AB2589" s="81">
        <f>IFERROR(HLOOKUP(K2589,データについて!$J$5:$AH$20,14,FALSE),"")</f>
        <v>0</v>
      </c>
      <c r="AC2589" s="81">
        <f>IF(X2589=1,HLOOKUP(R2589,データについて!$J$12:$M$18,7,FALSE),"*")</f>
        <v>1</v>
      </c>
      <c r="AD2589" s="81" t="str">
        <f>IF(X2589=2,HLOOKUP(R2589,データについて!$J$12:$M$18,7,FALSE),"*")</f>
        <v>*</v>
      </c>
    </row>
    <row r="2590" spans="1:30">
      <c r="A2590" s="30">
        <v>2602</v>
      </c>
      <c r="B2590" s="30" t="s">
        <v>405</v>
      </c>
      <c r="C2590" s="30" t="s">
        <v>406</v>
      </c>
      <c r="D2590" s="30" t="s">
        <v>106</v>
      </c>
      <c r="E2590" s="30"/>
      <c r="F2590" s="30" t="s">
        <v>107</v>
      </c>
      <c r="G2590" s="30" t="s">
        <v>106</v>
      </c>
      <c r="H2590" s="30"/>
      <c r="I2590" s="30" t="s">
        <v>191</v>
      </c>
      <c r="J2590" s="30"/>
      <c r="K2590" s="30" t="s">
        <v>129</v>
      </c>
      <c r="L2590" s="30" t="s">
        <v>117</v>
      </c>
      <c r="M2590" s="30" t="s">
        <v>113</v>
      </c>
      <c r="N2590" s="30" t="s">
        <v>114</v>
      </c>
      <c r="O2590" s="30" t="s">
        <v>123</v>
      </c>
      <c r="P2590" s="30" t="s">
        <v>118</v>
      </c>
      <c r="Q2590" s="30" t="s">
        <v>112</v>
      </c>
      <c r="R2590" s="30" t="s">
        <v>185</v>
      </c>
      <c r="S2590" s="81">
        <f>HLOOKUP(L2590,データについて!$J$6:$M$18,13,FALSE)</f>
        <v>2</v>
      </c>
      <c r="T2590" s="81">
        <f>HLOOKUP(M2590,データについて!$J$7:$M$18,12,FALSE)</f>
        <v>1</v>
      </c>
      <c r="U2590" s="81">
        <f>HLOOKUP(N2590,データについて!$J$8:$M$18,11,FALSE)</f>
        <v>1</v>
      </c>
      <c r="V2590" s="81">
        <f>HLOOKUP(O2590,データについて!$J$9:$M$18,10,FALSE)</f>
        <v>4</v>
      </c>
      <c r="W2590" s="81">
        <f>HLOOKUP(P2590,データについて!$J$10:$M$18,9,FALSE)</f>
        <v>2</v>
      </c>
      <c r="X2590" s="81">
        <f>HLOOKUP(Q2590,データについて!$J$11:$M$18,8,FALSE)</f>
        <v>1</v>
      </c>
      <c r="Y2590" s="81">
        <f>HLOOKUP(R2590,データについて!$J$12:$M$18,7,FALSE)</f>
        <v>2</v>
      </c>
      <c r="Z2590" s="81">
        <f>HLOOKUP(I2590,データについて!$J$3:$M$18,16,FALSE)</f>
        <v>2</v>
      </c>
      <c r="AA2590" s="81" t="str">
        <f>IFERROR(HLOOKUP(J2590,データについて!$J$4:$AH$19,16,FALSE),"")</f>
        <v/>
      </c>
      <c r="AB2590" s="81">
        <f>IFERROR(HLOOKUP(K2590,データについて!$J$5:$AH$20,14,FALSE),"")</f>
        <v>0</v>
      </c>
      <c r="AC2590" s="81">
        <f>IF(X2590=1,HLOOKUP(R2590,データについて!$J$12:$M$18,7,FALSE),"*")</f>
        <v>2</v>
      </c>
      <c r="AD2590" s="81" t="str">
        <f>IF(X2590=2,HLOOKUP(R2590,データについて!$J$12:$M$18,7,FALSE),"*")</f>
        <v>*</v>
      </c>
    </row>
    <row r="2591" spans="1:30">
      <c r="A2591" s="30">
        <v>2601</v>
      </c>
      <c r="B2591" s="30" t="s">
        <v>407</v>
      </c>
      <c r="C2591" s="30" t="s">
        <v>408</v>
      </c>
      <c r="D2591" s="30" t="s">
        <v>106</v>
      </c>
      <c r="E2591" s="30"/>
      <c r="F2591" s="30" t="s">
        <v>107</v>
      </c>
      <c r="G2591" s="30" t="s">
        <v>106</v>
      </c>
      <c r="H2591" s="30"/>
      <c r="I2591" s="30" t="s">
        <v>191</v>
      </c>
      <c r="J2591" s="30"/>
      <c r="K2591" s="30" t="s">
        <v>129</v>
      </c>
      <c r="L2591" s="30" t="s">
        <v>108</v>
      </c>
      <c r="M2591" s="30" t="s">
        <v>113</v>
      </c>
      <c r="N2591" s="30" t="s">
        <v>114</v>
      </c>
      <c r="O2591" s="30" t="s">
        <v>115</v>
      </c>
      <c r="P2591" s="30" t="s">
        <v>118</v>
      </c>
      <c r="Q2591" s="30" t="s">
        <v>112</v>
      </c>
      <c r="R2591" s="30" t="s">
        <v>183</v>
      </c>
      <c r="S2591" s="81">
        <f>HLOOKUP(L2591,データについて!$J$6:$M$18,13,FALSE)</f>
        <v>1</v>
      </c>
      <c r="T2591" s="81">
        <f>HLOOKUP(M2591,データについて!$J$7:$M$18,12,FALSE)</f>
        <v>1</v>
      </c>
      <c r="U2591" s="81">
        <f>HLOOKUP(N2591,データについて!$J$8:$M$18,11,FALSE)</f>
        <v>1</v>
      </c>
      <c r="V2591" s="81">
        <f>HLOOKUP(O2591,データについて!$J$9:$M$18,10,FALSE)</f>
        <v>1</v>
      </c>
      <c r="W2591" s="81">
        <f>HLOOKUP(P2591,データについて!$J$10:$M$18,9,FALSE)</f>
        <v>2</v>
      </c>
      <c r="X2591" s="81">
        <f>HLOOKUP(Q2591,データについて!$J$11:$M$18,8,FALSE)</f>
        <v>1</v>
      </c>
      <c r="Y2591" s="81">
        <f>HLOOKUP(R2591,データについて!$J$12:$M$18,7,FALSE)</f>
        <v>1</v>
      </c>
      <c r="Z2591" s="81">
        <f>HLOOKUP(I2591,データについて!$J$3:$M$18,16,FALSE)</f>
        <v>2</v>
      </c>
      <c r="AA2591" s="81" t="str">
        <f>IFERROR(HLOOKUP(J2591,データについて!$J$4:$AH$19,16,FALSE),"")</f>
        <v/>
      </c>
      <c r="AB2591" s="81">
        <f>IFERROR(HLOOKUP(K2591,データについて!$J$5:$AH$20,14,FALSE),"")</f>
        <v>0</v>
      </c>
      <c r="AC2591" s="81">
        <f>IF(X2591=1,HLOOKUP(R2591,データについて!$J$12:$M$18,7,FALSE),"*")</f>
        <v>1</v>
      </c>
      <c r="AD2591" s="81" t="str">
        <f>IF(X2591=2,HLOOKUP(R2591,データについて!$J$12:$M$18,7,FALSE),"*")</f>
        <v>*</v>
      </c>
    </row>
    <row r="2592" spans="1:30">
      <c r="A2592" s="30">
        <v>2600</v>
      </c>
      <c r="B2592" s="30" t="s">
        <v>409</v>
      </c>
      <c r="C2592" s="30" t="s">
        <v>410</v>
      </c>
      <c r="D2592" s="30" t="s">
        <v>106</v>
      </c>
      <c r="E2592" s="30"/>
      <c r="F2592" s="30" t="s">
        <v>107</v>
      </c>
      <c r="G2592" s="30" t="s">
        <v>106</v>
      </c>
      <c r="H2592" s="30"/>
      <c r="I2592" s="30" t="s">
        <v>191</v>
      </c>
      <c r="J2592" s="30"/>
      <c r="K2592" s="30" t="s">
        <v>129</v>
      </c>
      <c r="L2592" s="30" t="s">
        <v>117</v>
      </c>
      <c r="M2592" s="30" t="s">
        <v>109</v>
      </c>
      <c r="N2592" s="30" t="s">
        <v>114</v>
      </c>
      <c r="O2592" s="30" t="s">
        <v>115</v>
      </c>
      <c r="P2592" s="30" t="s">
        <v>112</v>
      </c>
      <c r="Q2592" s="30" t="s">
        <v>112</v>
      </c>
      <c r="R2592" s="30" t="s">
        <v>183</v>
      </c>
      <c r="S2592" s="81">
        <f>HLOOKUP(L2592,データについて!$J$6:$M$18,13,FALSE)</f>
        <v>2</v>
      </c>
      <c r="T2592" s="81">
        <f>HLOOKUP(M2592,データについて!$J$7:$M$18,12,FALSE)</f>
        <v>2</v>
      </c>
      <c r="U2592" s="81">
        <f>HLOOKUP(N2592,データについて!$J$8:$M$18,11,FALSE)</f>
        <v>1</v>
      </c>
      <c r="V2592" s="81">
        <f>HLOOKUP(O2592,データについて!$J$9:$M$18,10,FALSE)</f>
        <v>1</v>
      </c>
      <c r="W2592" s="81">
        <f>HLOOKUP(P2592,データについて!$J$10:$M$18,9,FALSE)</f>
        <v>1</v>
      </c>
      <c r="X2592" s="81">
        <f>HLOOKUP(Q2592,データについて!$J$11:$M$18,8,FALSE)</f>
        <v>1</v>
      </c>
      <c r="Y2592" s="81">
        <f>HLOOKUP(R2592,データについて!$J$12:$M$18,7,FALSE)</f>
        <v>1</v>
      </c>
      <c r="Z2592" s="81">
        <f>HLOOKUP(I2592,データについて!$J$3:$M$18,16,FALSE)</f>
        <v>2</v>
      </c>
      <c r="AA2592" s="81" t="str">
        <f>IFERROR(HLOOKUP(J2592,データについて!$J$4:$AH$19,16,FALSE),"")</f>
        <v/>
      </c>
      <c r="AB2592" s="81">
        <f>IFERROR(HLOOKUP(K2592,データについて!$J$5:$AH$20,14,FALSE),"")</f>
        <v>0</v>
      </c>
      <c r="AC2592" s="81">
        <f>IF(X2592=1,HLOOKUP(R2592,データについて!$J$12:$M$18,7,FALSE),"*")</f>
        <v>1</v>
      </c>
      <c r="AD2592" s="81" t="str">
        <f>IF(X2592=2,HLOOKUP(R2592,データについて!$J$12:$M$18,7,FALSE),"*")</f>
        <v>*</v>
      </c>
    </row>
    <row r="2593" spans="1:30">
      <c r="A2593" s="30">
        <v>2599</v>
      </c>
      <c r="B2593" s="30" t="s">
        <v>411</v>
      </c>
      <c r="C2593" s="30" t="s">
        <v>412</v>
      </c>
      <c r="D2593" s="30" t="s">
        <v>106</v>
      </c>
      <c r="E2593" s="30"/>
      <c r="F2593" s="30" t="s">
        <v>107</v>
      </c>
      <c r="G2593" s="30" t="s">
        <v>106</v>
      </c>
      <c r="H2593" s="30"/>
      <c r="I2593" s="30" t="s">
        <v>191</v>
      </c>
      <c r="J2593" s="30"/>
      <c r="K2593" s="30" t="s">
        <v>129</v>
      </c>
      <c r="L2593" s="30" t="s">
        <v>108</v>
      </c>
      <c r="M2593" s="30" t="s">
        <v>113</v>
      </c>
      <c r="N2593" s="30" t="s">
        <v>114</v>
      </c>
      <c r="O2593" s="30" t="s">
        <v>115</v>
      </c>
      <c r="P2593" s="30" t="s">
        <v>112</v>
      </c>
      <c r="Q2593" s="30" t="s">
        <v>112</v>
      </c>
      <c r="R2593" s="30" t="s">
        <v>183</v>
      </c>
      <c r="S2593" s="81">
        <f>HLOOKUP(L2593,データについて!$J$6:$M$18,13,FALSE)</f>
        <v>1</v>
      </c>
      <c r="T2593" s="81">
        <f>HLOOKUP(M2593,データについて!$J$7:$M$18,12,FALSE)</f>
        <v>1</v>
      </c>
      <c r="U2593" s="81">
        <f>HLOOKUP(N2593,データについて!$J$8:$M$18,11,FALSE)</f>
        <v>1</v>
      </c>
      <c r="V2593" s="81">
        <f>HLOOKUP(O2593,データについて!$J$9:$M$18,10,FALSE)</f>
        <v>1</v>
      </c>
      <c r="W2593" s="81">
        <f>HLOOKUP(P2593,データについて!$J$10:$M$18,9,FALSE)</f>
        <v>1</v>
      </c>
      <c r="X2593" s="81">
        <f>HLOOKUP(Q2593,データについて!$J$11:$M$18,8,FALSE)</f>
        <v>1</v>
      </c>
      <c r="Y2593" s="81">
        <f>HLOOKUP(R2593,データについて!$J$12:$M$18,7,FALSE)</f>
        <v>1</v>
      </c>
      <c r="Z2593" s="81">
        <f>HLOOKUP(I2593,データについて!$J$3:$M$18,16,FALSE)</f>
        <v>2</v>
      </c>
      <c r="AA2593" s="81" t="str">
        <f>IFERROR(HLOOKUP(J2593,データについて!$J$4:$AH$19,16,FALSE),"")</f>
        <v/>
      </c>
      <c r="AB2593" s="81">
        <f>IFERROR(HLOOKUP(K2593,データについて!$J$5:$AH$20,14,FALSE),"")</f>
        <v>0</v>
      </c>
      <c r="AC2593" s="81">
        <f>IF(X2593=1,HLOOKUP(R2593,データについて!$J$12:$M$18,7,FALSE),"*")</f>
        <v>1</v>
      </c>
      <c r="AD2593" s="81" t="str">
        <f>IF(X2593=2,HLOOKUP(R2593,データについて!$J$12:$M$18,7,FALSE),"*")</f>
        <v>*</v>
      </c>
    </row>
    <row r="2594" spans="1:30">
      <c r="A2594" s="30">
        <v>2598</v>
      </c>
      <c r="B2594" s="30" t="s">
        <v>413</v>
      </c>
      <c r="C2594" s="30" t="s">
        <v>414</v>
      </c>
      <c r="D2594" s="30" t="s">
        <v>106</v>
      </c>
      <c r="E2594" s="30"/>
      <c r="F2594" s="30" t="s">
        <v>107</v>
      </c>
      <c r="G2594" s="30" t="s">
        <v>106</v>
      </c>
      <c r="H2594" s="30"/>
      <c r="I2594" s="30" t="s">
        <v>192</v>
      </c>
      <c r="J2594" s="30" t="s">
        <v>127</v>
      </c>
      <c r="K2594" s="30"/>
      <c r="L2594" s="30" t="s">
        <v>108</v>
      </c>
      <c r="M2594" s="30" t="s">
        <v>109</v>
      </c>
      <c r="N2594" s="30" t="s">
        <v>114</v>
      </c>
      <c r="O2594" s="30" t="s">
        <v>115</v>
      </c>
      <c r="P2594" s="30" t="s">
        <v>112</v>
      </c>
      <c r="Q2594" s="30" t="s">
        <v>112</v>
      </c>
      <c r="R2594" s="30" t="s">
        <v>185</v>
      </c>
      <c r="S2594" s="81">
        <f>HLOOKUP(L2594,データについて!$J$6:$M$18,13,FALSE)</f>
        <v>1</v>
      </c>
      <c r="T2594" s="81">
        <f>HLOOKUP(M2594,データについて!$J$7:$M$18,12,FALSE)</f>
        <v>2</v>
      </c>
      <c r="U2594" s="81">
        <f>HLOOKUP(N2594,データについて!$J$8:$M$18,11,FALSE)</f>
        <v>1</v>
      </c>
      <c r="V2594" s="81">
        <f>HLOOKUP(O2594,データについて!$J$9:$M$18,10,FALSE)</f>
        <v>1</v>
      </c>
      <c r="W2594" s="81">
        <f>HLOOKUP(P2594,データについて!$J$10:$M$18,9,FALSE)</f>
        <v>1</v>
      </c>
      <c r="X2594" s="81">
        <f>HLOOKUP(Q2594,データについて!$J$11:$M$18,8,FALSE)</f>
        <v>1</v>
      </c>
      <c r="Y2594" s="81">
        <f>HLOOKUP(R2594,データについて!$J$12:$M$18,7,FALSE)</f>
        <v>2</v>
      </c>
      <c r="Z2594" s="81">
        <f>HLOOKUP(I2594,データについて!$J$3:$M$18,16,FALSE)</f>
        <v>1</v>
      </c>
      <c r="AA2594" s="81">
        <f>IFERROR(HLOOKUP(J2594,データについて!$J$4:$AH$19,16,FALSE),"")</f>
        <v>14</v>
      </c>
      <c r="AB2594" s="81" t="str">
        <f>IFERROR(HLOOKUP(K2594,データについて!$J$5:$AH$20,14,FALSE),"")</f>
        <v/>
      </c>
      <c r="AC2594" s="81">
        <f>IF(X2594=1,HLOOKUP(R2594,データについて!$J$12:$M$18,7,FALSE),"*")</f>
        <v>2</v>
      </c>
      <c r="AD2594" s="81" t="str">
        <f>IF(X2594=2,HLOOKUP(R2594,データについて!$J$12:$M$18,7,FALSE),"*")</f>
        <v>*</v>
      </c>
    </row>
    <row r="2595" spans="1:30">
      <c r="A2595" s="30">
        <v>2597</v>
      </c>
      <c r="B2595" s="30" t="s">
        <v>415</v>
      </c>
      <c r="C2595" s="30" t="s">
        <v>416</v>
      </c>
      <c r="D2595" s="30" t="s">
        <v>106</v>
      </c>
      <c r="E2595" s="30"/>
      <c r="F2595" s="30" t="s">
        <v>107</v>
      </c>
      <c r="G2595" s="30" t="s">
        <v>106</v>
      </c>
      <c r="H2595" s="30"/>
      <c r="I2595" s="30" t="s">
        <v>192</v>
      </c>
      <c r="J2595" s="30" t="s">
        <v>127</v>
      </c>
      <c r="K2595" s="30"/>
      <c r="L2595" s="30" t="s">
        <v>117</v>
      </c>
      <c r="M2595" s="30" t="s">
        <v>113</v>
      </c>
      <c r="N2595" s="30" t="s">
        <v>114</v>
      </c>
      <c r="O2595" s="30" t="s">
        <v>115</v>
      </c>
      <c r="P2595" s="30" t="s">
        <v>112</v>
      </c>
      <c r="Q2595" s="30" t="s">
        <v>112</v>
      </c>
      <c r="R2595" s="30" t="s">
        <v>183</v>
      </c>
      <c r="S2595" s="81">
        <f>HLOOKUP(L2595,データについて!$J$6:$M$18,13,FALSE)</f>
        <v>2</v>
      </c>
      <c r="T2595" s="81">
        <f>HLOOKUP(M2595,データについて!$J$7:$M$18,12,FALSE)</f>
        <v>1</v>
      </c>
      <c r="U2595" s="81">
        <f>HLOOKUP(N2595,データについて!$J$8:$M$18,11,FALSE)</f>
        <v>1</v>
      </c>
      <c r="V2595" s="81">
        <f>HLOOKUP(O2595,データについて!$J$9:$M$18,10,FALSE)</f>
        <v>1</v>
      </c>
      <c r="W2595" s="81">
        <f>HLOOKUP(P2595,データについて!$J$10:$M$18,9,FALSE)</f>
        <v>1</v>
      </c>
      <c r="X2595" s="81">
        <f>HLOOKUP(Q2595,データについて!$J$11:$M$18,8,FALSE)</f>
        <v>1</v>
      </c>
      <c r="Y2595" s="81">
        <f>HLOOKUP(R2595,データについて!$J$12:$M$18,7,FALSE)</f>
        <v>1</v>
      </c>
      <c r="Z2595" s="81">
        <f>HLOOKUP(I2595,データについて!$J$3:$M$18,16,FALSE)</f>
        <v>1</v>
      </c>
      <c r="AA2595" s="81">
        <f>IFERROR(HLOOKUP(J2595,データについて!$J$4:$AH$19,16,FALSE),"")</f>
        <v>14</v>
      </c>
      <c r="AB2595" s="81" t="str">
        <f>IFERROR(HLOOKUP(K2595,データについて!$J$5:$AH$20,14,FALSE),"")</f>
        <v/>
      </c>
      <c r="AC2595" s="81">
        <f>IF(X2595=1,HLOOKUP(R2595,データについて!$J$12:$M$18,7,FALSE),"*")</f>
        <v>1</v>
      </c>
      <c r="AD2595" s="81" t="str">
        <f>IF(X2595=2,HLOOKUP(R2595,データについて!$J$12:$M$18,7,FALSE),"*")</f>
        <v>*</v>
      </c>
    </row>
    <row r="2596" spans="1:30">
      <c r="A2596" s="30">
        <v>2596</v>
      </c>
      <c r="B2596" s="30" t="s">
        <v>417</v>
      </c>
      <c r="C2596" s="30" t="s">
        <v>418</v>
      </c>
      <c r="D2596" s="30" t="s">
        <v>106</v>
      </c>
      <c r="E2596" s="30"/>
      <c r="F2596" s="30" t="s">
        <v>107</v>
      </c>
      <c r="G2596" s="30" t="s">
        <v>106</v>
      </c>
      <c r="H2596" s="30"/>
      <c r="I2596" s="30" t="s">
        <v>192</v>
      </c>
      <c r="J2596" s="30" t="s">
        <v>127</v>
      </c>
      <c r="K2596" s="30"/>
      <c r="L2596" s="30" t="s">
        <v>117</v>
      </c>
      <c r="M2596" s="30" t="s">
        <v>113</v>
      </c>
      <c r="N2596" s="30" t="s">
        <v>114</v>
      </c>
      <c r="O2596" s="30" t="s">
        <v>115</v>
      </c>
      <c r="P2596" s="30" t="s">
        <v>112</v>
      </c>
      <c r="Q2596" s="30" t="s">
        <v>112</v>
      </c>
      <c r="R2596" s="30" t="s">
        <v>189</v>
      </c>
      <c r="S2596" s="81">
        <f>HLOOKUP(L2596,データについて!$J$6:$M$18,13,FALSE)</f>
        <v>2</v>
      </c>
      <c r="T2596" s="81">
        <f>HLOOKUP(M2596,データについて!$J$7:$M$18,12,FALSE)</f>
        <v>1</v>
      </c>
      <c r="U2596" s="81">
        <f>HLOOKUP(N2596,データについて!$J$8:$M$18,11,FALSE)</f>
        <v>1</v>
      </c>
      <c r="V2596" s="81">
        <f>HLOOKUP(O2596,データについて!$J$9:$M$18,10,FALSE)</f>
        <v>1</v>
      </c>
      <c r="W2596" s="81">
        <f>HLOOKUP(P2596,データについて!$J$10:$M$18,9,FALSE)</f>
        <v>1</v>
      </c>
      <c r="X2596" s="81">
        <f>HLOOKUP(Q2596,データについて!$J$11:$M$18,8,FALSE)</f>
        <v>1</v>
      </c>
      <c r="Y2596" s="81">
        <f>HLOOKUP(R2596,データについて!$J$12:$M$18,7,FALSE)</f>
        <v>4</v>
      </c>
      <c r="Z2596" s="81">
        <f>HLOOKUP(I2596,データについて!$J$3:$M$18,16,FALSE)</f>
        <v>1</v>
      </c>
      <c r="AA2596" s="81">
        <f>IFERROR(HLOOKUP(J2596,データについて!$J$4:$AH$19,16,FALSE),"")</f>
        <v>14</v>
      </c>
      <c r="AB2596" s="81" t="str">
        <f>IFERROR(HLOOKUP(K2596,データについて!$J$5:$AH$20,14,FALSE),"")</f>
        <v/>
      </c>
      <c r="AC2596" s="81">
        <f>IF(X2596=1,HLOOKUP(R2596,データについて!$J$12:$M$18,7,FALSE),"*")</f>
        <v>4</v>
      </c>
      <c r="AD2596" s="81" t="str">
        <f>IF(X2596=2,HLOOKUP(R2596,データについて!$J$12:$M$18,7,FALSE),"*")</f>
        <v>*</v>
      </c>
    </row>
    <row r="2597" spans="1:30">
      <c r="A2597" s="30">
        <v>2595</v>
      </c>
      <c r="B2597" s="30" t="s">
        <v>419</v>
      </c>
      <c r="C2597" s="30" t="s">
        <v>420</v>
      </c>
      <c r="D2597" s="30" t="s">
        <v>106</v>
      </c>
      <c r="E2597" s="30"/>
      <c r="F2597" s="30" t="s">
        <v>107</v>
      </c>
      <c r="G2597" s="30" t="s">
        <v>106</v>
      </c>
      <c r="H2597" s="30"/>
      <c r="I2597" s="30" t="s">
        <v>192</v>
      </c>
      <c r="J2597" s="30" t="s">
        <v>127</v>
      </c>
      <c r="K2597" s="30"/>
      <c r="L2597" s="30" t="s">
        <v>117</v>
      </c>
      <c r="M2597" s="30" t="s">
        <v>113</v>
      </c>
      <c r="N2597" s="30" t="s">
        <v>114</v>
      </c>
      <c r="O2597" s="30" t="s">
        <v>115</v>
      </c>
      <c r="P2597" s="30" t="s">
        <v>112</v>
      </c>
      <c r="Q2597" s="30" t="s">
        <v>112</v>
      </c>
      <c r="R2597" s="30" t="s">
        <v>187</v>
      </c>
      <c r="S2597" s="81">
        <f>HLOOKUP(L2597,データについて!$J$6:$M$18,13,FALSE)</f>
        <v>2</v>
      </c>
      <c r="T2597" s="81">
        <f>HLOOKUP(M2597,データについて!$J$7:$M$18,12,FALSE)</f>
        <v>1</v>
      </c>
      <c r="U2597" s="81">
        <f>HLOOKUP(N2597,データについて!$J$8:$M$18,11,FALSE)</f>
        <v>1</v>
      </c>
      <c r="V2597" s="81">
        <f>HLOOKUP(O2597,データについて!$J$9:$M$18,10,FALSE)</f>
        <v>1</v>
      </c>
      <c r="W2597" s="81">
        <f>HLOOKUP(P2597,データについて!$J$10:$M$18,9,FALSE)</f>
        <v>1</v>
      </c>
      <c r="X2597" s="81">
        <f>HLOOKUP(Q2597,データについて!$J$11:$M$18,8,FALSE)</f>
        <v>1</v>
      </c>
      <c r="Y2597" s="81">
        <f>HLOOKUP(R2597,データについて!$J$12:$M$18,7,FALSE)</f>
        <v>3</v>
      </c>
      <c r="Z2597" s="81">
        <f>HLOOKUP(I2597,データについて!$J$3:$M$18,16,FALSE)</f>
        <v>1</v>
      </c>
      <c r="AA2597" s="81">
        <f>IFERROR(HLOOKUP(J2597,データについて!$J$4:$AH$19,16,FALSE),"")</f>
        <v>14</v>
      </c>
      <c r="AB2597" s="81" t="str">
        <f>IFERROR(HLOOKUP(K2597,データについて!$J$5:$AH$20,14,FALSE),"")</f>
        <v/>
      </c>
      <c r="AC2597" s="81">
        <f>IF(X2597=1,HLOOKUP(R2597,データについて!$J$12:$M$18,7,FALSE),"*")</f>
        <v>3</v>
      </c>
      <c r="AD2597" s="81" t="str">
        <f>IF(X2597=2,HLOOKUP(R2597,データについて!$J$12:$M$18,7,FALSE),"*")</f>
        <v>*</v>
      </c>
    </row>
    <row r="2598" spans="1:30">
      <c r="A2598" s="30">
        <v>2594</v>
      </c>
      <c r="B2598" s="30" t="s">
        <v>421</v>
      </c>
      <c r="C2598" s="30" t="s">
        <v>422</v>
      </c>
      <c r="D2598" s="30" t="s">
        <v>106</v>
      </c>
      <c r="E2598" s="30"/>
      <c r="F2598" s="30" t="s">
        <v>107</v>
      </c>
      <c r="G2598" s="30" t="s">
        <v>106</v>
      </c>
      <c r="H2598" s="30"/>
      <c r="I2598" s="30" t="s">
        <v>192</v>
      </c>
      <c r="J2598" s="30" t="s">
        <v>127</v>
      </c>
      <c r="K2598" s="30"/>
      <c r="L2598" s="30" t="s">
        <v>108</v>
      </c>
      <c r="M2598" s="30" t="s">
        <v>109</v>
      </c>
      <c r="N2598" s="30" t="s">
        <v>114</v>
      </c>
      <c r="O2598" s="30" t="s">
        <v>123</v>
      </c>
      <c r="P2598" s="30" t="s">
        <v>112</v>
      </c>
      <c r="Q2598" s="30" t="s">
        <v>118</v>
      </c>
      <c r="R2598" s="30" t="s">
        <v>189</v>
      </c>
      <c r="S2598" s="81">
        <f>HLOOKUP(L2598,データについて!$J$6:$M$18,13,FALSE)</f>
        <v>1</v>
      </c>
      <c r="T2598" s="81">
        <f>HLOOKUP(M2598,データについて!$J$7:$M$18,12,FALSE)</f>
        <v>2</v>
      </c>
      <c r="U2598" s="81">
        <f>HLOOKUP(N2598,データについて!$J$8:$M$18,11,FALSE)</f>
        <v>1</v>
      </c>
      <c r="V2598" s="81">
        <f>HLOOKUP(O2598,データについて!$J$9:$M$18,10,FALSE)</f>
        <v>4</v>
      </c>
      <c r="W2598" s="81">
        <f>HLOOKUP(P2598,データについて!$J$10:$M$18,9,FALSE)</f>
        <v>1</v>
      </c>
      <c r="X2598" s="81">
        <f>HLOOKUP(Q2598,データについて!$J$11:$M$18,8,FALSE)</f>
        <v>2</v>
      </c>
      <c r="Y2598" s="81">
        <f>HLOOKUP(R2598,データについて!$J$12:$M$18,7,FALSE)</f>
        <v>4</v>
      </c>
      <c r="Z2598" s="81">
        <f>HLOOKUP(I2598,データについて!$J$3:$M$18,16,FALSE)</f>
        <v>1</v>
      </c>
      <c r="AA2598" s="81">
        <f>IFERROR(HLOOKUP(J2598,データについて!$J$4:$AH$19,16,FALSE),"")</f>
        <v>14</v>
      </c>
      <c r="AB2598" s="81" t="str">
        <f>IFERROR(HLOOKUP(K2598,データについて!$J$5:$AH$20,14,FALSE),"")</f>
        <v/>
      </c>
      <c r="AC2598" s="81" t="str">
        <f>IF(X2598=1,HLOOKUP(R2598,データについて!$J$12:$M$18,7,FALSE),"*")</f>
        <v>*</v>
      </c>
      <c r="AD2598" s="81">
        <f>IF(X2598=2,HLOOKUP(R2598,データについて!$J$12:$M$18,7,FALSE),"*")</f>
        <v>4</v>
      </c>
    </row>
    <row r="2599" spans="1:30">
      <c r="A2599" s="30">
        <v>2593</v>
      </c>
      <c r="B2599" s="30" t="s">
        <v>423</v>
      </c>
      <c r="C2599" s="30" t="s">
        <v>424</v>
      </c>
      <c r="D2599" s="30" t="s">
        <v>106</v>
      </c>
      <c r="E2599" s="30"/>
      <c r="F2599" s="30" t="s">
        <v>107</v>
      </c>
      <c r="G2599" s="30" t="s">
        <v>106</v>
      </c>
      <c r="H2599" s="30"/>
      <c r="I2599" s="30" t="s">
        <v>192</v>
      </c>
      <c r="J2599" s="30" t="s">
        <v>127</v>
      </c>
      <c r="K2599" s="30"/>
      <c r="L2599" s="30" t="s">
        <v>108</v>
      </c>
      <c r="M2599" s="30" t="s">
        <v>109</v>
      </c>
      <c r="N2599" s="30" t="s">
        <v>110</v>
      </c>
      <c r="O2599" s="30" t="s">
        <v>115</v>
      </c>
      <c r="P2599" s="30" t="s">
        <v>112</v>
      </c>
      <c r="Q2599" s="30" t="s">
        <v>118</v>
      </c>
      <c r="R2599" s="30" t="s">
        <v>185</v>
      </c>
      <c r="S2599" s="81">
        <f>HLOOKUP(L2599,データについて!$J$6:$M$18,13,FALSE)</f>
        <v>1</v>
      </c>
      <c r="T2599" s="81">
        <f>HLOOKUP(M2599,データについて!$J$7:$M$18,12,FALSE)</f>
        <v>2</v>
      </c>
      <c r="U2599" s="81">
        <f>HLOOKUP(N2599,データについて!$J$8:$M$18,11,FALSE)</f>
        <v>2</v>
      </c>
      <c r="V2599" s="81">
        <f>HLOOKUP(O2599,データについて!$J$9:$M$18,10,FALSE)</f>
        <v>1</v>
      </c>
      <c r="W2599" s="81">
        <f>HLOOKUP(P2599,データについて!$J$10:$M$18,9,FALSE)</f>
        <v>1</v>
      </c>
      <c r="X2599" s="81">
        <f>HLOOKUP(Q2599,データについて!$J$11:$M$18,8,FALSE)</f>
        <v>2</v>
      </c>
      <c r="Y2599" s="81">
        <f>HLOOKUP(R2599,データについて!$J$12:$M$18,7,FALSE)</f>
        <v>2</v>
      </c>
      <c r="Z2599" s="81">
        <f>HLOOKUP(I2599,データについて!$J$3:$M$18,16,FALSE)</f>
        <v>1</v>
      </c>
      <c r="AA2599" s="81">
        <f>IFERROR(HLOOKUP(J2599,データについて!$J$4:$AH$19,16,FALSE),"")</f>
        <v>14</v>
      </c>
      <c r="AB2599" s="81" t="str">
        <f>IFERROR(HLOOKUP(K2599,データについて!$J$5:$AH$20,14,FALSE),"")</f>
        <v/>
      </c>
      <c r="AC2599" s="81" t="str">
        <f>IF(X2599=1,HLOOKUP(R2599,データについて!$J$12:$M$18,7,FALSE),"*")</f>
        <v>*</v>
      </c>
      <c r="AD2599" s="81">
        <f>IF(X2599=2,HLOOKUP(R2599,データについて!$J$12:$M$18,7,FALSE),"*")</f>
        <v>2</v>
      </c>
    </row>
    <row r="2600" spans="1:30">
      <c r="A2600" s="30">
        <v>2592</v>
      </c>
      <c r="B2600" s="30" t="s">
        <v>425</v>
      </c>
      <c r="C2600" s="30" t="s">
        <v>426</v>
      </c>
      <c r="D2600" s="30" t="s">
        <v>106</v>
      </c>
      <c r="E2600" s="30"/>
      <c r="F2600" s="30" t="s">
        <v>107</v>
      </c>
      <c r="G2600" s="30" t="s">
        <v>106</v>
      </c>
      <c r="H2600" s="30"/>
      <c r="I2600" s="30" t="s">
        <v>192</v>
      </c>
      <c r="J2600" s="30" t="s">
        <v>127</v>
      </c>
      <c r="K2600" s="30"/>
      <c r="L2600" s="30" t="s">
        <v>108</v>
      </c>
      <c r="M2600" s="30" t="s">
        <v>121</v>
      </c>
      <c r="N2600" s="30" t="s">
        <v>114</v>
      </c>
      <c r="O2600" s="30" t="s">
        <v>116</v>
      </c>
      <c r="P2600" s="30" t="s">
        <v>112</v>
      </c>
      <c r="Q2600" s="30" t="s">
        <v>112</v>
      </c>
      <c r="R2600" s="30" t="s">
        <v>183</v>
      </c>
      <c r="S2600" s="81">
        <f>HLOOKUP(L2600,データについて!$J$6:$M$18,13,FALSE)</f>
        <v>1</v>
      </c>
      <c r="T2600" s="81">
        <f>HLOOKUP(M2600,データについて!$J$7:$M$18,12,FALSE)</f>
        <v>4</v>
      </c>
      <c r="U2600" s="81">
        <f>HLOOKUP(N2600,データについて!$J$8:$M$18,11,FALSE)</f>
        <v>1</v>
      </c>
      <c r="V2600" s="81">
        <f>HLOOKUP(O2600,データについて!$J$9:$M$18,10,FALSE)</f>
        <v>2</v>
      </c>
      <c r="W2600" s="81">
        <f>HLOOKUP(P2600,データについて!$J$10:$M$18,9,FALSE)</f>
        <v>1</v>
      </c>
      <c r="X2600" s="81">
        <f>HLOOKUP(Q2600,データについて!$J$11:$M$18,8,FALSE)</f>
        <v>1</v>
      </c>
      <c r="Y2600" s="81">
        <f>HLOOKUP(R2600,データについて!$J$12:$M$18,7,FALSE)</f>
        <v>1</v>
      </c>
      <c r="Z2600" s="81">
        <f>HLOOKUP(I2600,データについて!$J$3:$M$18,16,FALSE)</f>
        <v>1</v>
      </c>
      <c r="AA2600" s="81">
        <f>IFERROR(HLOOKUP(J2600,データについて!$J$4:$AH$19,16,FALSE),"")</f>
        <v>14</v>
      </c>
      <c r="AB2600" s="81" t="str">
        <f>IFERROR(HLOOKUP(K2600,データについて!$J$5:$AH$20,14,FALSE),"")</f>
        <v/>
      </c>
      <c r="AC2600" s="81">
        <f>IF(X2600=1,HLOOKUP(R2600,データについて!$J$12:$M$18,7,FALSE),"*")</f>
        <v>1</v>
      </c>
      <c r="AD2600" s="81" t="str">
        <f>IF(X2600=2,HLOOKUP(R2600,データについて!$J$12:$M$18,7,FALSE),"*")</f>
        <v>*</v>
      </c>
    </row>
    <row r="2601" spans="1:30">
      <c r="A2601" s="30">
        <v>2591</v>
      </c>
      <c r="B2601" s="30" t="s">
        <v>427</v>
      </c>
      <c r="C2601" s="30" t="s">
        <v>428</v>
      </c>
      <c r="D2601" s="30" t="s">
        <v>106</v>
      </c>
      <c r="E2601" s="30"/>
      <c r="F2601" s="30" t="s">
        <v>107</v>
      </c>
      <c r="G2601" s="30" t="s">
        <v>106</v>
      </c>
      <c r="H2601" s="30"/>
      <c r="I2601" s="30" t="s">
        <v>192</v>
      </c>
      <c r="J2601" s="30" t="s">
        <v>127</v>
      </c>
      <c r="K2601" s="30"/>
      <c r="L2601" s="30" t="s">
        <v>108</v>
      </c>
      <c r="M2601" s="30" t="s">
        <v>109</v>
      </c>
      <c r="N2601" s="30" t="s">
        <v>119</v>
      </c>
      <c r="O2601" s="30" t="s">
        <v>115</v>
      </c>
      <c r="P2601" s="30" t="s">
        <v>112</v>
      </c>
      <c r="Q2601" s="30" t="s">
        <v>112</v>
      </c>
      <c r="R2601" s="30" t="s">
        <v>187</v>
      </c>
      <c r="S2601" s="81">
        <f>HLOOKUP(L2601,データについて!$J$6:$M$18,13,FALSE)</f>
        <v>1</v>
      </c>
      <c r="T2601" s="81">
        <f>HLOOKUP(M2601,データについて!$J$7:$M$18,12,FALSE)</f>
        <v>2</v>
      </c>
      <c r="U2601" s="81">
        <f>HLOOKUP(N2601,データについて!$J$8:$M$18,11,FALSE)</f>
        <v>4</v>
      </c>
      <c r="V2601" s="81">
        <f>HLOOKUP(O2601,データについて!$J$9:$M$18,10,FALSE)</f>
        <v>1</v>
      </c>
      <c r="W2601" s="81">
        <f>HLOOKUP(P2601,データについて!$J$10:$M$18,9,FALSE)</f>
        <v>1</v>
      </c>
      <c r="X2601" s="81">
        <f>HLOOKUP(Q2601,データについて!$J$11:$M$18,8,FALSE)</f>
        <v>1</v>
      </c>
      <c r="Y2601" s="81">
        <f>HLOOKUP(R2601,データについて!$J$12:$M$18,7,FALSE)</f>
        <v>3</v>
      </c>
      <c r="Z2601" s="81">
        <f>HLOOKUP(I2601,データについて!$J$3:$M$18,16,FALSE)</f>
        <v>1</v>
      </c>
      <c r="AA2601" s="81">
        <f>IFERROR(HLOOKUP(J2601,データについて!$J$4:$AH$19,16,FALSE),"")</f>
        <v>14</v>
      </c>
      <c r="AB2601" s="81" t="str">
        <f>IFERROR(HLOOKUP(K2601,データについて!$J$5:$AH$20,14,FALSE),"")</f>
        <v/>
      </c>
      <c r="AC2601" s="81">
        <f>IF(X2601=1,HLOOKUP(R2601,データについて!$J$12:$M$18,7,FALSE),"*")</f>
        <v>3</v>
      </c>
      <c r="AD2601" s="81" t="str">
        <f>IF(X2601=2,HLOOKUP(R2601,データについて!$J$12:$M$18,7,FALSE),"*")</f>
        <v>*</v>
      </c>
    </row>
    <row r="2602" spans="1:30">
      <c r="A2602" s="30">
        <v>2590</v>
      </c>
      <c r="B2602" s="30" t="s">
        <v>429</v>
      </c>
      <c r="C2602" s="30" t="s">
        <v>430</v>
      </c>
      <c r="D2602" s="30" t="s">
        <v>106</v>
      </c>
      <c r="E2602" s="30"/>
      <c r="F2602" s="30" t="s">
        <v>107</v>
      </c>
      <c r="G2602" s="30" t="s">
        <v>106</v>
      </c>
      <c r="H2602" s="30"/>
      <c r="I2602" s="30" t="s">
        <v>192</v>
      </c>
      <c r="J2602" s="30" t="s">
        <v>127</v>
      </c>
      <c r="K2602" s="30"/>
      <c r="L2602" s="30" t="s">
        <v>117</v>
      </c>
      <c r="M2602" s="30" t="s">
        <v>113</v>
      </c>
      <c r="N2602" s="30" t="s">
        <v>122</v>
      </c>
      <c r="O2602" s="30" t="s">
        <v>115</v>
      </c>
      <c r="P2602" s="30" t="s">
        <v>112</v>
      </c>
      <c r="Q2602" s="30" t="s">
        <v>112</v>
      </c>
      <c r="R2602" s="30" t="s">
        <v>187</v>
      </c>
      <c r="S2602" s="81">
        <f>HLOOKUP(L2602,データについて!$J$6:$M$18,13,FALSE)</f>
        <v>2</v>
      </c>
      <c r="T2602" s="81">
        <f>HLOOKUP(M2602,データについて!$J$7:$M$18,12,FALSE)</f>
        <v>1</v>
      </c>
      <c r="U2602" s="81">
        <f>HLOOKUP(N2602,データについて!$J$8:$M$18,11,FALSE)</f>
        <v>3</v>
      </c>
      <c r="V2602" s="81">
        <f>HLOOKUP(O2602,データについて!$J$9:$M$18,10,FALSE)</f>
        <v>1</v>
      </c>
      <c r="W2602" s="81">
        <f>HLOOKUP(P2602,データについて!$J$10:$M$18,9,FALSE)</f>
        <v>1</v>
      </c>
      <c r="X2602" s="81">
        <f>HLOOKUP(Q2602,データについて!$J$11:$M$18,8,FALSE)</f>
        <v>1</v>
      </c>
      <c r="Y2602" s="81">
        <f>HLOOKUP(R2602,データについて!$J$12:$M$18,7,FALSE)</f>
        <v>3</v>
      </c>
      <c r="Z2602" s="81">
        <f>HLOOKUP(I2602,データについて!$J$3:$M$18,16,FALSE)</f>
        <v>1</v>
      </c>
      <c r="AA2602" s="81">
        <f>IFERROR(HLOOKUP(J2602,データについて!$J$4:$AH$19,16,FALSE),"")</f>
        <v>14</v>
      </c>
      <c r="AB2602" s="81" t="str">
        <f>IFERROR(HLOOKUP(K2602,データについて!$J$5:$AH$20,14,FALSE),"")</f>
        <v/>
      </c>
      <c r="AC2602" s="81">
        <f>IF(X2602=1,HLOOKUP(R2602,データについて!$J$12:$M$18,7,FALSE),"*")</f>
        <v>3</v>
      </c>
      <c r="AD2602" s="81" t="str">
        <f>IF(X2602=2,HLOOKUP(R2602,データについて!$J$12:$M$18,7,FALSE),"*")</f>
        <v>*</v>
      </c>
    </row>
    <row r="2603" spans="1:30">
      <c r="A2603" s="30">
        <v>2589</v>
      </c>
      <c r="B2603" s="30" t="s">
        <v>431</v>
      </c>
      <c r="C2603" s="30" t="s">
        <v>432</v>
      </c>
      <c r="D2603" s="30" t="s">
        <v>106</v>
      </c>
      <c r="E2603" s="30"/>
      <c r="F2603" s="30" t="s">
        <v>107</v>
      </c>
      <c r="G2603" s="30" t="s">
        <v>106</v>
      </c>
      <c r="H2603" s="30"/>
      <c r="I2603" s="30" t="s">
        <v>192</v>
      </c>
      <c r="J2603" s="30" t="s">
        <v>127</v>
      </c>
      <c r="K2603" s="30"/>
      <c r="L2603" s="30" t="s">
        <v>108</v>
      </c>
      <c r="M2603" s="30" t="s">
        <v>109</v>
      </c>
      <c r="N2603" s="30" t="s">
        <v>110</v>
      </c>
      <c r="O2603" s="30" t="s">
        <v>115</v>
      </c>
      <c r="P2603" s="30" t="s">
        <v>112</v>
      </c>
      <c r="Q2603" s="30" t="s">
        <v>112</v>
      </c>
      <c r="R2603" s="30" t="s">
        <v>185</v>
      </c>
      <c r="S2603" s="81">
        <f>HLOOKUP(L2603,データについて!$J$6:$M$18,13,FALSE)</f>
        <v>1</v>
      </c>
      <c r="T2603" s="81">
        <f>HLOOKUP(M2603,データについて!$J$7:$M$18,12,FALSE)</f>
        <v>2</v>
      </c>
      <c r="U2603" s="81">
        <f>HLOOKUP(N2603,データについて!$J$8:$M$18,11,FALSE)</f>
        <v>2</v>
      </c>
      <c r="V2603" s="81">
        <f>HLOOKUP(O2603,データについて!$J$9:$M$18,10,FALSE)</f>
        <v>1</v>
      </c>
      <c r="W2603" s="81">
        <f>HLOOKUP(P2603,データについて!$J$10:$M$18,9,FALSE)</f>
        <v>1</v>
      </c>
      <c r="X2603" s="81">
        <f>HLOOKUP(Q2603,データについて!$J$11:$M$18,8,FALSE)</f>
        <v>1</v>
      </c>
      <c r="Y2603" s="81">
        <f>HLOOKUP(R2603,データについて!$J$12:$M$18,7,FALSE)</f>
        <v>2</v>
      </c>
      <c r="Z2603" s="81">
        <f>HLOOKUP(I2603,データについて!$J$3:$M$18,16,FALSE)</f>
        <v>1</v>
      </c>
      <c r="AA2603" s="81">
        <f>IFERROR(HLOOKUP(J2603,データについて!$J$4:$AH$19,16,FALSE),"")</f>
        <v>14</v>
      </c>
      <c r="AB2603" s="81" t="str">
        <f>IFERROR(HLOOKUP(K2603,データについて!$J$5:$AH$20,14,FALSE),"")</f>
        <v/>
      </c>
      <c r="AC2603" s="81">
        <f>IF(X2603=1,HLOOKUP(R2603,データについて!$J$12:$M$18,7,FALSE),"*")</f>
        <v>2</v>
      </c>
      <c r="AD2603" s="81" t="str">
        <f>IF(X2603=2,HLOOKUP(R2603,データについて!$J$12:$M$18,7,FALSE),"*")</f>
        <v>*</v>
      </c>
    </row>
    <row r="2604" spans="1:30">
      <c r="A2604" s="30">
        <v>2588</v>
      </c>
      <c r="B2604" s="30" t="s">
        <v>433</v>
      </c>
      <c r="C2604" s="30" t="s">
        <v>434</v>
      </c>
      <c r="D2604" s="30" t="s">
        <v>106</v>
      </c>
      <c r="E2604" s="30"/>
      <c r="F2604" s="30" t="s">
        <v>107</v>
      </c>
      <c r="G2604" s="30" t="s">
        <v>106</v>
      </c>
      <c r="H2604" s="30"/>
      <c r="I2604" s="30" t="s">
        <v>192</v>
      </c>
      <c r="J2604" s="30" t="s">
        <v>127</v>
      </c>
      <c r="K2604" s="30"/>
      <c r="L2604" s="30" t="s">
        <v>108</v>
      </c>
      <c r="M2604" s="30" t="s">
        <v>121</v>
      </c>
      <c r="N2604" s="30" t="s">
        <v>114</v>
      </c>
      <c r="O2604" s="30" t="s">
        <v>116</v>
      </c>
      <c r="P2604" s="30" t="s">
        <v>112</v>
      </c>
      <c r="Q2604" s="30" t="s">
        <v>112</v>
      </c>
      <c r="R2604" s="30" t="s">
        <v>183</v>
      </c>
      <c r="S2604" s="81">
        <f>HLOOKUP(L2604,データについて!$J$6:$M$18,13,FALSE)</f>
        <v>1</v>
      </c>
      <c r="T2604" s="81">
        <f>HLOOKUP(M2604,データについて!$J$7:$M$18,12,FALSE)</f>
        <v>4</v>
      </c>
      <c r="U2604" s="81">
        <f>HLOOKUP(N2604,データについて!$J$8:$M$18,11,FALSE)</f>
        <v>1</v>
      </c>
      <c r="V2604" s="81">
        <f>HLOOKUP(O2604,データについて!$J$9:$M$18,10,FALSE)</f>
        <v>2</v>
      </c>
      <c r="W2604" s="81">
        <f>HLOOKUP(P2604,データについて!$J$10:$M$18,9,FALSE)</f>
        <v>1</v>
      </c>
      <c r="X2604" s="81">
        <f>HLOOKUP(Q2604,データについて!$J$11:$M$18,8,FALSE)</f>
        <v>1</v>
      </c>
      <c r="Y2604" s="81">
        <f>HLOOKUP(R2604,データについて!$J$12:$M$18,7,FALSE)</f>
        <v>1</v>
      </c>
      <c r="Z2604" s="81">
        <f>HLOOKUP(I2604,データについて!$J$3:$M$18,16,FALSE)</f>
        <v>1</v>
      </c>
      <c r="AA2604" s="81">
        <f>IFERROR(HLOOKUP(J2604,データについて!$J$4:$AH$19,16,FALSE),"")</f>
        <v>14</v>
      </c>
      <c r="AB2604" s="81" t="str">
        <f>IFERROR(HLOOKUP(K2604,データについて!$J$5:$AH$20,14,FALSE),"")</f>
        <v/>
      </c>
      <c r="AC2604" s="81">
        <f>IF(X2604=1,HLOOKUP(R2604,データについて!$J$12:$M$18,7,FALSE),"*")</f>
        <v>1</v>
      </c>
      <c r="AD2604" s="81" t="str">
        <f>IF(X2604=2,HLOOKUP(R2604,データについて!$J$12:$M$18,7,FALSE),"*")</f>
        <v>*</v>
      </c>
    </row>
    <row r="2605" spans="1:30">
      <c r="A2605" s="30">
        <v>2587</v>
      </c>
      <c r="B2605" s="30" t="s">
        <v>435</v>
      </c>
      <c r="C2605" s="30" t="s">
        <v>434</v>
      </c>
      <c r="D2605" s="30" t="s">
        <v>106</v>
      </c>
      <c r="E2605" s="30"/>
      <c r="F2605" s="30" t="s">
        <v>107</v>
      </c>
      <c r="G2605" s="30" t="s">
        <v>106</v>
      </c>
      <c r="H2605" s="30"/>
      <c r="I2605" s="30" t="s">
        <v>192</v>
      </c>
      <c r="J2605" s="30" t="s">
        <v>127</v>
      </c>
      <c r="K2605" s="30"/>
      <c r="L2605" s="30" t="s">
        <v>117</v>
      </c>
      <c r="M2605" s="30" t="s">
        <v>109</v>
      </c>
      <c r="N2605" s="30" t="s">
        <v>114</v>
      </c>
      <c r="O2605" s="30" t="s">
        <v>115</v>
      </c>
      <c r="P2605" s="30" t="s">
        <v>112</v>
      </c>
      <c r="Q2605" s="30" t="s">
        <v>112</v>
      </c>
      <c r="R2605" s="30" t="s">
        <v>185</v>
      </c>
      <c r="S2605" s="81">
        <f>HLOOKUP(L2605,データについて!$J$6:$M$18,13,FALSE)</f>
        <v>2</v>
      </c>
      <c r="T2605" s="81">
        <f>HLOOKUP(M2605,データについて!$J$7:$M$18,12,FALSE)</f>
        <v>2</v>
      </c>
      <c r="U2605" s="81">
        <f>HLOOKUP(N2605,データについて!$J$8:$M$18,11,FALSE)</f>
        <v>1</v>
      </c>
      <c r="V2605" s="81">
        <f>HLOOKUP(O2605,データについて!$J$9:$M$18,10,FALSE)</f>
        <v>1</v>
      </c>
      <c r="W2605" s="81">
        <f>HLOOKUP(P2605,データについて!$J$10:$M$18,9,FALSE)</f>
        <v>1</v>
      </c>
      <c r="X2605" s="81">
        <f>HLOOKUP(Q2605,データについて!$J$11:$M$18,8,FALSE)</f>
        <v>1</v>
      </c>
      <c r="Y2605" s="81">
        <f>HLOOKUP(R2605,データについて!$J$12:$M$18,7,FALSE)</f>
        <v>2</v>
      </c>
      <c r="Z2605" s="81">
        <f>HLOOKUP(I2605,データについて!$J$3:$M$18,16,FALSE)</f>
        <v>1</v>
      </c>
      <c r="AA2605" s="81">
        <f>IFERROR(HLOOKUP(J2605,データについて!$J$4:$AH$19,16,FALSE),"")</f>
        <v>14</v>
      </c>
      <c r="AB2605" s="81" t="str">
        <f>IFERROR(HLOOKUP(K2605,データについて!$J$5:$AH$20,14,FALSE),"")</f>
        <v/>
      </c>
      <c r="AC2605" s="81">
        <f>IF(X2605=1,HLOOKUP(R2605,データについて!$J$12:$M$18,7,FALSE),"*")</f>
        <v>2</v>
      </c>
      <c r="AD2605" s="81" t="str">
        <f>IF(X2605=2,HLOOKUP(R2605,データについて!$J$12:$M$18,7,FALSE),"*")</f>
        <v>*</v>
      </c>
    </row>
    <row r="2606" spans="1:30">
      <c r="A2606" s="30">
        <v>2586</v>
      </c>
      <c r="B2606" s="30" t="s">
        <v>436</v>
      </c>
      <c r="C2606" s="30" t="s">
        <v>437</v>
      </c>
      <c r="D2606" s="30" t="s">
        <v>106</v>
      </c>
      <c r="E2606" s="30"/>
      <c r="F2606" s="30" t="s">
        <v>107</v>
      </c>
      <c r="G2606" s="30" t="s">
        <v>106</v>
      </c>
      <c r="H2606" s="30"/>
      <c r="I2606" s="30" t="s">
        <v>192</v>
      </c>
      <c r="J2606" s="30" t="s">
        <v>127</v>
      </c>
      <c r="K2606" s="30"/>
      <c r="L2606" s="30" t="s">
        <v>108</v>
      </c>
      <c r="M2606" s="30" t="s">
        <v>124</v>
      </c>
      <c r="N2606" s="30" t="s">
        <v>114</v>
      </c>
      <c r="O2606" s="30" t="s">
        <v>115</v>
      </c>
      <c r="P2606" s="30" t="s">
        <v>112</v>
      </c>
      <c r="Q2606" s="30" t="s">
        <v>112</v>
      </c>
      <c r="R2606" s="30" t="s">
        <v>185</v>
      </c>
      <c r="S2606" s="81">
        <f>HLOOKUP(L2606,データについて!$J$6:$M$18,13,FALSE)</f>
        <v>1</v>
      </c>
      <c r="T2606" s="81">
        <f>HLOOKUP(M2606,データについて!$J$7:$M$18,12,FALSE)</f>
        <v>3</v>
      </c>
      <c r="U2606" s="81">
        <f>HLOOKUP(N2606,データについて!$J$8:$M$18,11,FALSE)</f>
        <v>1</v>
      </c>
      <c r="V2606" s="81">
        <f>HLOOKUP(O2606,データについて!$J$9:$M$18,10,FALSE)</f>
        <v>1</v>
      </c>
      <c r="W2606" s="81">
        <f>HLOOKUP(P2606,データについて!$J$10:$M$18,9,FALSE)</f>
        <v>1</v>
      </c>
      <c r="X2606" s="81">
        <f>HLOOKUP(Q2606,データについて!$J$11:$M$18,8,FALSE)</f>
        <v>1</v>
      </c>
      <c r="Y2606" s="81">
        <f>HLOOKUP(R2606,データについて!$J$12:$M$18,7,FALSE)</f>
        <v>2</v>
      </c>
      <c r="Z2606" s="81">
        <f>HLOOKUP(I2606,データについて!$J$3:$M$18,16,FALSE)</f>
        <v>1</v>
      </c>
      <c r="AA2606" s="81">
        <f>IFERROR(HLOOKUP(J2606,データについて!$J$4:$AH$19,16,FALSE),"")</f>
        <v>14</v>
      </c>
      <c r="AB2606" s="81" t="str">
        <f>IFERROR(HLOOKUP(K2606,データについて!$J$5:$AH$20,14,FALSE),"")</f>
        <v/>
      </c>
      <c r="AC2606" s="81">
        <f>IF(X2606=1,HLOOKUP(R2606,データについて!$J$12:$M$18,7,FALSE),"*")</f>
        <v>2</v>
      </c>
      <c r="AD2606" s="81" t="str">
        <f>IF(X2606=2,HLOOKUP(R2606,データについて!$J$12:$M$18,7,FALSE),"*")</f>
        <v>*</v>
      </c>
    </row>
    <row r="2607" spans="1:30">
      <c r="A2607" s="30">
        <v>2585</v>
      </c>
      <c r="B2607" s="30" t="s">
        <v>438</v>
      </c>
      <c r="C2607" s="30" t="s">
        <v>439</v>
      </c>
      <c r="D2607" s="30" t="s">
        <v>106</v>
      </c>
      <c r="E2607" s="30"/>
      <c r="F2607" s="30" t="s">
        <v>107</v>
      </c>
      <c r="G2607" s="30" t="s">
        <v>106</v>
      </c>
      <c r="H2607" s="30"/>
      <c r="I2607" s="30" t="s">
        <v>192</v>
      </c>
      <c r="J2607" s="30" t="s">
        <v>127</v>
      </c>
      <c r="K2607" s="30"/>
      <c r="L2607" s="30" t="s">
        <v>117</v>
      </c>
      <c r="M2607" s="30" t="s">
        <v>109</v>
      </c>
      <c r="N2607" s="30" t="s">
        <v>110</v>
      </c>
      <c r="O2607" s="30" t="s">
        <v>123</v>
      </c>
      <c r="P2607" s="30" t="s">
        <v>112</v>
      </c>
      <c r="Q2607" s="30" t="s">
        <v>112</v>
      </c>
      <c r="R2607" s="30" t="s">
        <v>189</v>
      </c>
      <c r="S2607" s="81">
        <f>HLOOKUP(L2607,データについて!$J$6:$M$18,13,FALSE)</f>
        <v>2</v>
      </c>
      <c r="T2607" s="81">
        <f>HLOOKUP(M2607,データについて!$J$7:$M$18,12,FALSE)</f>
        <v>2</v>
      </c>
      <c r="U2607" s="81">
        <f>HLOOKUP(N2607,データについて!$J$8:$M$18,11,FALSE)</f>
        <v>2</v>
      </c>
      <c r="V2607" s="81">
        <f>HLOOKUP(O2607,データについて!$J$9:$M$18,10,FALSE)</f>
        <v>4</v>
      </c>
      <c r="W2607" s="81">
        <f>HLOOKUP(P2607,データについて!$J$10:$M$18,9,FALSE)</f>
        <v>1</v>
      </c>
      <c r="X2607" s="81">
        <f>HLOOKUP(Q2607,データについて!$J$11:$M$18,8,FALSE)</f>
        <v>1</v>
      </c>
      <c r="Y2607" s="81">
        <f>HLOOKUP(R2607,データについて!$J$12:$M$18,7,FALSE)</f>
        <v>4</v>
      </c>
      <c r="Z2607" s="81">
        <f>HLOOKUP(I2607,データについて!$J$3:$M$18,16,FALSE)</f>
        <v>1</v>
      </c>
      <c r="AA2607" s="81">
        <f>IFERROR(HLOOKUP(J2607,データについて!$J$4:$AH$19,16,FALSE),"")</f>
        <v>14</v>
      </c>
      <c r="AB2607" s="81" t="str">
        <f>IFERROR(HLOOKUP(K2607,データについて!$J$5:$AH$20,14,FALSE),"")</f>
        <v/>
      </c>
      <c r="AC2607" s="81">
        <f>IF(X2607=1,HLOOKUP(R2607,データについて!$J$12:$M$18,7,FALSE),"*")</f>
        <v>4</v>
      </c>
      <c r="AD2607" s="81" t="str">
        <f>IF(X2607=2,HLOOKUP(R2607,データについて!$J$12:$M$18,7,FALSE),"*")</f>
        <v>*</v>
      </c>
    </row>
    <row r="2608" spans="1:30">
      <c r="A2608" s="30">
        <v>2584</v>
      </c>
      <c r="B2608" s="30" t="s">
        <v>440</v>
      </c>
      <c r="C2608" s="30" t="s">
        <v>441</v>
      </c>
      <c r="D2608" s="30" t="s">
        <v>106</v>
      </c>
      <c r="E2608" s="30"/>
      <c r="F2608" s="30" t="s">
        <v>107</v>
      </c>
      <c r="G2608" s="30" t="s">
        <v>106</v>
      </c>
      <c r="H2608" s="30"/>
      <c r="I2608" s="30" t="s">
        <v>192</v>
      </c>
      <c r="J2608" s="30" t="s">
        <v>127</v>
      </c>
      <c r="K2608" s="30"/>
      <c r="L2608" s="30" t="s">
        <v>117</v>
      </c>
      <c r="M2608" s="30" t="s">
        <v>109</v>
      </c>
      <c r="N2608" s="30" t="s">
        <v>110</v>
      </c>
      <c r="O2608" s="30" t="s">
        <v>115</v>
      </c>
      <c r="P2608" s="30" t="s">
        <v>112</v>
      </c>
      <c r="Q2608" s="30" t="s">
        <v>112</v>
      </c>
      <c r="R2608" s="30" t="s">
        <v>185</v>
      </c>
      <c r="S2608" s="81">
        <f>HLOOKUP(L2608,データについて!$J$6:$M$18,13,FALSE)</f>
        <v>2</v>
      </c>
      <c r="T2608" s="81">
        <f>HLOOKUP(M2608,データについて!$J$7:$M$18,12,FALSE)</f>
        <v>2</v>
      </c>
      <c r="U2608" s="81">
        <f>HLOOKUP(N2608,データについて!$J$8:$M$18,11,FALSE)</f>
        <v>2</v>
      </c>
      <c r="V2608" s="81">
        <f>HLOOKUP(O2608,データについて!$J$9:$M$18,10,FALSE)</f>
        <v>1</v>
      </c>
      <c r="W2608" s="81">
        <f>HLOOKUP(P2608,データについて!$J$10:$M$18,9,FALSE)</f>
        <v>1</v>
      </c>
      <c r="X2608" s="81">
        <f>HLOOKUP(Q2608,データについて!$J$11:$M$18,8,FALSE)</f>
        <v>1</v>
      </c>
      <c r="Y2608" s="81">
        <f>HLOOKUP(R2608,データについて!$J$12:$M$18,7,FALSE)</f>
        <v>2</v>
      </c>
      <c r="Z2608" s="81">
        <f>HLOOKUP(I2608,データについて!$J$3:$M$18,16,FALSE)</f>
        <v>1</v>
      </c>
      <c r="AA2608" s="81">
        <f>IFERROR(HLOOKUP(J2608,データについて!$J$4:$AH$19,16,FALSE),"")</f>
        <v>14</v>
      </c>
      <c r="AB2608" s="81" t="str">
        <f>IFERROR(HLOOKUP(K2608,データについて!$J$5:$AH$20,14,FALSE),"")</f>
        <v/>
      </c>
      <c r="AC2608" s="81">
        <f>IF(X2608=1,HLOOKUP(R2608,データについて!$J$12:$M$18,7,FALSE),"*")</f>
        <v>2</v>
      </c>
      <c r="AD2608" s="81" t="str">
        <f>IF(X2608=2,HLOOKUP(R2608,データについて!$J$12:$M$18,7,FALSE),"*")</f>
        <v>*</v>
      </c>
    </row>
    <row r="2609" spans="1:30">
      <c r="A2609" s="30">
        <v>2583</v>
      </c>
      <c r="B2609" s="30" t="s">
        <v>442</v>
      </c>
      <c r="C2609" s="30" t="s">
        <v>441</v>
      </c>
      <c r="D2609" s="30" t="s">
        <v>106</v>
      </c>
      <c r="E2609" s="30"/>
      <c r="F2609" s="30" t="s">
        <v>107</v>
      </c>
      <c r="G2609" s="30" t="s">
        <v>106</v>
      </c>
      <c r="H2609" s="30"/>
      <c r="I2609" s="30" t="s">
        <v>192</v>
      </c>
      <c r="J2609" s="30" t="s">
        <v>127</v>
      </c>
      <c r="K2609" s="30"/>
      <c r="L2609" s="30" t="s">
        <v>108</v>
      </c>
      <c r="M2609" s="30" t="s">
        <v>113</v>
      </c>
      <c r="N2609" s="30" t="s">
        <v>114</v>
      </c>
      <c r="O2609" s="30" t="s">
        <v>123</v>
      </c>
      <c r="P2609" s="30" t="s">
        <v>112</v>
      </c>
      <c r="Q2609" s="30" t="s">
        <v>118</v>
      </c>
      <c r="R2609" s="30" t="s">
        <v>187</v>
      </c>
      <c r="S2609" s="81">
        <f>HLOOKUP(L2609,データについて!$J$6:$M$18,13,FALSE)</f>
        <v>1</v>
      </c>
      <c r="T2609" s="81">
        <f>HLOOKUP(M2609,データについて!$J$7:$M$18,12,FALSE)</f>
        <v>1</v>
      </c>
      <c r="U2609" s="81">
        <f>HLOOKUP(N2609,データについて!$J$8:$M$18,11,FALSE)</f>
        <v>1</v>
      </c>
      <c r="V2609" s="81">
        <f>HLOOKUP(O2609,データについて!$J$9:$M$18,10,FALSE)</f>
        <v>4</v>
      </c>
      <c r="W2609" s="81">
        <f>HLOOKUP(P2609,データについて!$J$10:$M$18,9,FALSE)</f>
        <v>1</v>
      </c>
      <c r="X2609" s="81">
        <f>HLOOKUP(Q2609,データについて!$J$11:$M$18,8,FALSE)</f>
        <v>2</v>
      </c>
      <c r="Y2609" s="81">
        <f>HLOOKUP(R2609,データについて!$J$12:$M$18,7,FALSE)</f>
        <v>3</v>
      </c>
      <c r="Z2609" s="81">
        <f>HLOOKUP(I2609,データについて!$J$3:$M$18,16,FALSE)</f>
        <v>1</v>
      </c>
      <c r="AA2609" s="81">
        <f>IFERROR(HLOOKUP(J2609,データについて!$J$4:$AH$19,16,FALSE),"")</f>
        <v>14</v>
      </c>
      <c r="AB2609" s="81" t="str">
        <f>IFERROR(HLOOKUP(K2609,データについて!$J$5:$AH$20,14,FALSE),"")</f>
        <v/>
      </c>
      <c r="AC2609" s="81" t="str">
        <f>IF(X2609=1,HLOOKUP(R2609,データについて!$J$12:$M$18,7,FALSE),"*")</f>
        <v>*</v>
      </c>
      <c r="AD2609" s="81">
        <f>IF(X2609=2,HLOOKUP(R2609,データについて!$J$12:$M$18,7,FALSE),"*")</f>
        <v>3</v>
      </c>
    </row>
    <row r="2610" spans="1:30">
      <c r="A2610" s="30">
        <v>2582</v>
      </c>
      <c r="B2610" s="30" t="s">
        <v>443</v>
      </c>
      <c r="C2610" s="30" t="s">
        <v>444</v>
      </c>
      <c r="D2610" s="30" t="s">
        <v>106</v>
      </c>
      <c r="E2610" s="30"/>
      <c r="F2610" s="30" t="s">
        <v>107</v>
      </c>
      <c r="G2610" s="30" t="s">
        <v>106</v>
      </c>
      <c r="H2610" s="30"/>
      <c r="I2610" s="30" t="s">
        <v>192</v>
      </c>
      <c r="J2610" s="30" t="s">
        <v>127</v>
      </c>
      <c r="K2610" s="30"/>
      <c r="L2610" s="30" t="s">
        <v>108</v>
      </c>
      <c r="M2610" s="30" t="s">
        <v>113</v>
      </c>
      <c r="N2610" s="30" t="s">
        <v>114</v>
      </c>
      <c r="O2610" s="30" t="s">
        <v>115</v>
      </c>
      <c r="P2610" s="30" t="s">
        <v>112</v>
      </c>
      <c r="Q2610" s="30" t="s">
        <v>112</v>
      </c>
      <c r="R2610" s="30" t="s">
        <v>185</v>
      </c>
      <c r="S2610" s="81">
        <f>HLOOKUP(L2610,データについて!$J$6:$M$18,13,FALSE)</f>
        <v>1</v>
      </c>
      <c r="T2610" s="81">
        <f>HLOOKUP(M2610,データについて!$J$7:$M$18,12,FALSE)</f>
        <v>1</v>
      </c>
      <c r="U2610" s="81">
        <f>HLOOKUP(N2610,データについて!$J$8:$M$18,11,FALSE)</f>
        <v>1</v>
      </c>
      <c r="V2610" s="81">
        <f>HLOOKUP(O2610,データについて!$J$9:$M$18,10,FALSE)</f>
        <v>1</v>
      </c>
      <c r="W2610" s="81">
        <f>HLOOKUP(P2610,データについて!$J$10:$M$18,9,FALSE)</f>
        <v>1</v>
      </c>
      <c r="X2610" s="81">
        <f>HLOOKUP(Q2610,データについて!$J$11:$M$18,8,FALSE)</f>
        <v>1</v>
      </c>
      <c r="Y2610" s="81">
        <f>HLOOKUP(R2610,データについて!$J$12:$M$18,7,FALSE)</f>
        <v>2</v>
      </c>
      <c r="Z2610" s="81">
        <f>HLOOKUP(I2610,データについて!$J$3:$M$18,16,FALSE)</f>
        <v>1</v>
      </c>
      <c r="AA2610" s="81">
        <f>IFERROR(HLOOKUP(J2610,データについて!$J$4:$AH$19,16,FALSE),"")</f>
        <v>14</v>
      </c>
      <c r="AB2610" s="81" t="str">
        <f>IFERROR(HLOOKUP(K2610,データについて!$J$5:$AH$20,14,FALSE),"")</f>
        <v/>
      </c>
      <c r="AC2610" s="81">
        <f>IF(X2610=1,HLOOKUP(R2610,データについて!$J$12:$M$18,7,FALSE),"*")</f>
        <v>2</v>
      </c>
      <c r="AD2610" s="81" t="str">
        <f>IF(X2610=2,HLOOKUP(R2610,データについて!$J$12:$M$18,7,FALSE),"*")</f>
        <v>*</v>
      </c>
    </row>
    <row r="2611" spans="1:30">
      <c r="A2611" s="30">
        <v>2581</v>
      </c>
      <c r="B2611" s="30" t="s">
        <v>445</v>
      </c>
      <c r="C2611" s="30" t="s">
        <v>446</v>
      </c>
      <c r="D2611" s="30" t="s">
        <v>106</v>
      </c>
      <c r="E2611" s="30"/>
      <c r="F2611" s="30" t="s">
        <v>107</v>
      </c>
      <c r="G2611" s="30" t="s">
        <v>106</v>
      </c>
      <c r="H2611" s="30"/>
      <c r="I2611" s="30" t="s">
        <v>192</v>
      </c>
      <c r="J2611" s="30" t="s">
        <v>127</v>
      </c>
      <c r="K2611" s="30"/>
      <c r="L2611" s="30" t="s">
        <v>108</v>
      </c>
      <c r="M2611" s="30" t="s">
        <v>109</v>
      </c>
      <c r="N2611" s="30" t="s">
        <v>119</v>
      </c>
      <c r="O2611" s="30" t="s">
        <v>115</v>
      </c>
      <c r="P2611" s="30" t="s">
        <v>112</v>
      </c>
      <c r="Q2611" s="30" t="s">
        <v>112</v>
      </c>
      <c r="R2611" s="30" t="s">
        <v>187</v>
      </c>
      <c r="S2611" s="81">
        <f>HLOOKUP(L2611,データについて!$J$6:$M$18,13,FALSE)</f>
        <v>1</v>
      </c>
      <c r="T2611" s="81">
        <f>HLOOKUP(M2611,データについて!$J$7:$M$18,12,FALSE)</f>
        <v>2</v>
      </c>
      <c r="U2611" s="81">
        <f>HLOOKUP(N2611,データについて!$J$8:$M$18,11,FALSE)</f>
        <v>4</v>
      </c>
      <c r="V2611" s="81">
        <f>HLOOKUP(O2611,データについて!$J$9:$M$18,10,FALSE)</f>
        <v>1</v>
      </c>
      <c r="W2611" s="81">
        <f>HLOOKUP(P2611,データについて!$J$10:$M$18,9,FALSE)</f>
        <v>1</v>
      </c>
      <c r="X2611" s="81">
        <f>HLOOKUP(Q2611,データについて!$J$11:$M$18,8,FALSE)</f>
        <v>1</v>
      </c>
      <c r="Y2611" s="81">
        <f>HLOOKUP(R2611,データについて!$J$12:$M$18,7,FALSE)</f>
        <v>3</v>
      </c>
      <c r="Z2611" s="81">
        <f>HLOOKUP(I2611,データについて!$J$3:$M$18,16,FALSE)</f>
        <v>1</v>
      </c>
      <c r="AA2611" s="81">
        <f>IFERROR(HLOOKUP(J2611,データについて!$J$4:$AH$19,16,FALSE),"")</f>
        <v>14</v>
      </c>
      <c r="AB2611" s="81" t="str">
        <f>IFERROR(HLOOKUP(K2611,データについて!$J$5:$AH$20,14,FALSE),"")</f>
        <v/>
      </c>
      <c r="AC2611" s="81">
        <f>IF(X2611=1,HLOOKUP(R2611,データについて!$J$12:$M$18,7,FALSE),"*")</f>
        <v>3</v>
      </c>
      <c r="AD2611" s="81" t="str">
        <f>IF(X2611=2,HLOOKUP(R2611,データについて!$J$12:$M$18,7,FALSE),"*")</f>
        <v>*</v>
      </c>
    </row>
    <row r="2612" spans="1:30">
      <c r="A2612" s="30">
        <v>2580</v>
      </c>
      <c r="B2612" s="30" t="s">
        <v>447</v>
      </c>
      <c r="C2612" s="30" t="s">
        <v>448</v>
      </c>
      <c r="D2612" s="30" t="s">
        <v>106</v>
      </c>
      <c r="E2612" s="30"/>
      <c r="F2612" s="30" t="s">
        <v>107</v>
      </c>
      <c r="G2612" s="30" t="s">
        <v>106</v>
      </c>
      <c r="H2612" s="30"/>
      <c r="I2612" s="30" t="s">
        <v>192</v>
      </c>
      <c r="J2612" s="30" t="s">
        <v>127</v>
      </c>
      <c r="K2612" s="30"/>
      <c r="L2612" s="30" t="s">
        <v>108</v>
      </c>
      <c r="M2612" s="30" t="s">
        <v>109</v>
      </c>
      <c r="N2612" s="30" t="s">
        <v>114</v>
      </c>
      <c r="O2612" s="30" t="s">
        <v>115</v>
      </c>
      <c r="P2612" s="30" t="s">
        <v>112</v>
      </c>
      <c r="Q2612" s="30" t="s">
        <v>112</v>
      </c>
      <c r="R2612" s="30" t="s">
        <v>185</v>
      </c>
      <c r="S2612" s="81">
        <f>HLOOKUP(L2612,データについて!$J$6:$M$18,13,FALSE)</f>
        <v>1</v>
      </c>
      <c r="T2612" s="81">
        <f>HLOOKUP(M2612,データについて!$J$7:$M$18,12,FALSE)</f>
        <v>2</v>
      </c>
      <c r="U2612" s="81">
        <f>HLOOKUP(N2612,データについて!$J$8:$M$18,11,FALSE)</f>
        <v>1</v>
      </c>
      <c r="V2612" s="81">
        <f>HLOOKUP(O2612,データについて!$J$9:$M$18,10,FALSE)</f>
        <v>1</v>
      </c>
      <c r="W2612" s="81">
        <f>HLOOKUP(P2612,データについて!$J$10:$M$18,9,FALSE)</f>
        <v>1</v>
      </c>
      <c r="X2612" s="81">
        <f>HLOOKUP(Q2612,データについて!$J$11:$M$18,8,FALSE)</f>
        <v>1</v>
      </c>
      <c r="Y2612" s="81">
        <f>HLOOKUP(R2612,データについて!$J$12:$M$18,7,FALSE)</f>
        <v>2</v>
      </c>
      <c r="Z2612" s="81">
        <f>HLOOKUP(I2612,データについて!$J$3:$M$18,16,FALSE)</f>
        <v>1</v>
      </c>
      <c r="AA2612" s="81">
        <f>IFERROR(HLOOKUP(J2612,データについて!$J$4:$AH$19,16,FALSE),"")</f>
        <v>14</v>
      </c>
      <c r="AB2612" s="81" t="str">
        <f>IFERROR(HLOOKUP(K2612,データについて!$J$5:$AH$20,14,FALSE),"")</f>
        <v/>
      </c>
      <c r="AC2612" s="81">
        <f>IF(X2612=1,HLOOKUP(R2612,データについて!$J$12:$M$18,7,FALSE),"*")</f>
        <v>2</v>
      </c>
      <c r="AD2612" s="81" t="str">
        <f>IF(X2612=2,HLOOKUP(R2612,データについて!$J$12:$M$18,7,FALSE),"*")</f>
        <v>*</v>
      </c>
    </row>
    <row r="2613" spans="1:30">
      <c r="A2613" s="30">
        <v>2579</v>
      </c>
      <c r="B2613" s="30" t="s">
        <v>449</v>
      </c>
      <c r="C2613" s="30" t="s">
        <v>450</v>
      </c>
      <c r="D2613" s="30" t="s">
        <v>106</v>
      </c>
      <c r="E2613" s="30"/>
      <c r="F2613" s="30" t="s">
        <v>107</v>
      </c>
      <c r="G2613" s="30" t="s">
        <v>106</v>
      </c>
      <c r="H2613" s="30"/>
      <c r="I2613" s="30" t="s">
        <v>192</v>
      </c>
      <c r="J2613" s="30" t="s">
        <v>127</v>
      </c>
      <c r="K2613" s="30"/>
      <c r="L2613" s="30" t="s">
        <v>117</v>
      </c>
      <c r="M2613" s="30" t="s">
        <v>109</v>
      </c>
      <c r="N2613" s="30" t="s">
        <v>110</v>
      </c>
      <c r="O2613" s="30" t="s">
        <v>123</v>
      </c>
      <c r="P2613" s="30" t="s">
        <v>112</v>
      </c>
      <c r="Q2613" s="30" t="s">
        <v>112</v>
      </c>
      <c r="R2613" s="30" t="s">
        <v>185</v>
      </c>
      <c r="S2613" s="81">
        <f>HLOOKUP(L2613,データについて!$J$6:$M$18,13,FALSE)</f>
        <v>2</v>
      </c>
      <c r="T2613" s="81">
        <f>HLOOKUP(M2613,データについて!$J$7:$M$18,12,FALSE)</f>
        <v>2</v>
      </c>
      <c r="U2613" s="81">
        <f>HLOOKUP(N2613,データについて!$J$8:$M$18,11,FALSE)</f>
        <v>2</v>
      </c>
      <c r="V2613" s="81">
        <f>HLOOKUP(O2613,データについて!$J$9:$M$18,10,FALSE)</f>
        <v>4</v>
      </c>
      <c r="W2613" s="81">
        <f>HLOOKUP(P2613,データについて!$J$10:$M$18,9,FALSE)</f>
        <v>1</v>
      </c>
      <c r="X2613" s="81">
        <f>HLOOKUP(Q2613,データについて!$J$11:$M$18,8,FALSE)</f>
        <v>1</v>
      </c>
      <c r="Y2613" s="81">
        <f>HLOOKUP(R2613,データについて!$J$12:$M$18,7,FALSE)</f>
        <v>2</v>
      </c>
      <c r="Z2613" s="81">
        <f>HLOOKUP(I2613,データについて!$J$3:$M$18,16,FALSE)</f>
        <v>1</v>
      </c>
      <c r="AA2613" s="81">
        <f>IFERROR(HLOOKUP(J2613,データについて!$J$4:$AH$19,16,FALSE),"")</f>
        <v>14</v>
      </c>
      <c r="AB2613" s="81" t="str">
        <f>IFERROR(HLOOKUP(K2613,データについて!$J$5:$AH$20,14,FALSE),"")</f>
        <v/>
      </c>
      <c r="AC2613" s="81">
        <f>IF(X2613=1,HLOOKUP(R2613,データについて!$J$12:$M$18,7,FALSE),"*")</f>
        <v>2</v>
      </c>
      <c r="AD2613" s="81" t="str">
        <f>IF(X2613=2,HLOOKUP(R2613,データについて!$J$12:$M$18,7,FALSE),"*")</f>
        <v>*</v>
      </c>
    </row>
    <row r="2614" spans="1:30">
      <c r="A2614" s="30">
        <v>2578</v>
      </c>
      <c r="B2614" s="30" t="s">
        <v>451</v>
      </c>
      <c r="C2614" s="30" t="s">
        <v>452</v>
      </c>
      <c r="D2614" s="30" t="s">
        <v>106</v>
      </c>
      <c r="E2614" s="30"/>
      <c r="F2614" s="30" t="s">
        <v>107</v>
      </c>
      <c r="G2614" s="30" t="s">
        <v>106</v>
      </c>
      <c r="H2614" s="30"/>
      <c r="I2614" s="30" t="s">
        <v>192</v>
      </c>
      <c r="J2614" s="30" t="s">
        <v>127</v>
      </c>
      <c r="K2614" s="30"/>
      <c r="L2614" s="30" t="s">
        <v>117</v>
      </c>
      <c r="M2614" s="30" t="s">
        <v>109</v>
      </c>
      <c r="N2614" s="30" t="s">
        <v>119</v>
      </c>
      <c r="O2614" s="30" t="s">
        <v>115</v>
      </c>
      <c r="P2614" s="30" t="s">
        <v>112</v>
      </c>
      <c r="Q2614" s="30" t="s">
        <v>112</v>
      </c>
      <c r="R2614" s="30" t="s">
        <v>187</v>
      </c>
      <c r="S2614" s="81">
        <f>HLOOKUP(L2614,データについて!$J$6:$M$18,13,FALSE)</f>
        <v>2</v>
      </c>
      <c r="T2614" s="81">
        <f>HLOOKUP(M2614,データについて!$J$7:$M$18,12,FALSE)</f>
        <v>2</v>
      </c>
      <c r="U2614" s="81">
        <f>HLOOKUP(N2614,データについて!$J$8:$M$18,11,FALSE)</f>
        <v>4</v>
      </c>
      <c r="V2614" s="81">
        <f>HLOOKUP(O2614,データについて!$J$9:$M$18,10,FALSE)</f>
        <v>1</v>
      </c>
      <c r="W2614" s="81">
        <f>HLOOKUP(P2614,データについて!$J$10:$M$18,9,FALSE)</f>
        <v>1</v>
      </c>
      <c r="X2614" s="81">
        <f>HLOOKUP(Q2614,データについて!$J$11:$M$18,8,FALSE)</f>
        <v>1</v>
      </c>
      <c r="Y2614" s="81">
        <f>HLOOKUP(R2614,データについて!$J$12:$M$18,7,FALSE)</f>
        <v>3</v>
      </c>
      <c r="Z2614" s="81">
        <f>HLOOKUP(I2614,データについて!$J$3:$M$18,16,FALSE)</f>
        <v>1</v>
      </c>
      <c r="AA2614" s="81">
        <f>IFERROR(HLOOKUP(J2614,データについて!$J$4:$AH$19,16,FALSE),"")</f>
        <v>14</v>
      </c>
      <c r="AB2614" s="81" t="str">
        <f>IFERROR(HLOOKUP(K2614,データについて!$J$5:$AH$20,14,FALSE),"")</f>
        <v/>
      </c>
      <c r="AC2614" s="81">
        <f>IF(X2614=1,HLOOKUP(R2614,データについて!$J$12:$M$18,7,FALSE),"*")</f>
        <v>3</v>
      </c>
      <c r="AD2614" s="81" t="str">
        <f>IF(X2614=2,HLOOKUP(R2614,データについて!$J$12:$M$18,7,FALSE),"*")</f>
        <v>*</v>
      </c>
    </row>
    <row r="2615" spans="1:30">
      <c r="A2615" s="30">
        <v>2577</v>
      </c>
      <c r="B2615" s="30" t="s">
        <v>453</v>
      </c>
      <c r="C2615" s="30" t="s">
        <v>454</v>
      </c>
      <c r="D2615" s="30" t="s">
        <v>106</v>
      </c>
      <c r="E2615" s="30"/>
      <c r="F2615" s="30" t="s">
        <v>107</v>
      </c>
      <c r="G2615" s="30" t="s">
        <v>106</v>
      </c>
      <c r="H2615" s="30"/>
      <c r="I2615" s="30" t="s">
        <v>192</v>
      </c>
      <c r="J2615" s="30" t="s">
        <v>127</v>
      </c>
      <c r="K2615" s="30"/>
      <c r="L2615" s="30" t="s">
        <v>108</v>
      </c>
      <c r="M2615" s="30" t="s">
        <v>113</v>
      </c>
      <c r="N2615" s="30" t="s">
        <v>110</v>
      </c>
      <c r="O2615" s="30" t="s">
        <v>115</v>
      </c>
      <c r="P2615" s="30" t="s">
        <v>112</v>
      </c>
      <c r="Q2615" s="30" t="s">
        <v>112</v>
      </c>
      <c r="R2615" s="30" t="s">
        <v>183</v>
      </c>
      <c r="S2615" s="81">
        <f>HLOOKUP(L2615,データについて!$J$6:$M$18,13,FALSE)</f>
        <v>1</v>
      </c>
      <c r="T2615" s="81">
        <f>HLOOKUP(M2615,データについて!$J$7:$M$18,12,FALSE)</f>
        <v>1</v>
      </c>
      <c r="U2615" s="81">
        <f>HLOOKUP(N2615,データについて!$J$8:$M$18,11,FALSE)</f>
        <v>2</v>
      </c>
      <c r="V2615" s="81">
        <f>HLOOKUP(O2615,データについて!$J$9:$M$18,10,FALSE)</f>
        <v>1</v>
      </c>
      <c r="W2615" s="81">
        <f>HLOOKUP(P2615,データについて!$J$10:$M$18,9,FALSE)</f>
        <v>1</v>
      </c>
      <c r="X2615" s="81">
        <f>HLOOKUP(Q2615,データについて!$J$11:$M$18,8,FALSE)</f>
        <v>1</v>
      </c>
      <c r="Y2615" s="81">
        <f>HLOOKUP(R2615,データについて!$J$12:$M$18,7,FALSE)</f>
        <v>1</v>
      </c>
      <c r="Z2615" s="81">
        <f>HLOOKUP(I2615,データについて!$J$3:$M$18,16,FALSE)</f>
        <v>1</v>
      </c>
      <c r="AA2615" s="81">
        <f>IFERROR(HLOOKUP(J2615,データについて!$J$4:$AH$19,16,FALSE),"")</f>
        <v>14</v>
      </c>
      <c r="AB2615" s="81" t="str">
        <f>IFERROR(HLOOKUP(K2615,データについて!$J$5:$AH$20,14,FALSE),"")</f>
        <v/>
      </c>
      <c r="AC2615" s="81">
        <f>IF(X2615=1,HLOOKUP(R2615,データについて!$J$12:$M$18,7,FALSE),"*")</f>
        <v>1</v>
      </c>
      <c r="AD2615" s="81" t="str">
        <f>IF(X2615=2,HLOOKUP(R2615,データについて!$J$12:$M$18,7,FALSE),"*")</f>
        <v>*</v>
      </c>
    </row>
    <row r="2616" spans="1:30">
      <c r="A2616" s="30">
        <v>2576</v>
      </c>
      <c r="B2616" s="30" t="s">
        <v>455</v>
      </c>
      <c r="C2616" s="30" t="s">
        <v>456</v>
      </c>
      <c r="D2616" s="30" t="s">
        <v>106</v>
      </c>
      <c r="E2616" s="30"/>
      <c r="F2616" s="30" t="s">
        <v>107</v>
      </c>
      <c r="G2616" s="30" t="s">
        <v>106</v>
      </c>
      <c r="H2616" s="30"/>
      <c r="I2616" s="30" t="s">
        <v>192</v>
      </c>
      <c r="J2616" s="30" t="s">
        <v>127</v>
      </c>
      <c r="K2616" s="30"/>
      <c r="L2616" s="30" t="s">
        <v>117</v>
      </c>
      <c r="M2616" s="30" t="s">
        <v>113</v>
      </c>
      <c r="N2616" s="30" t="s">
        <v>110</v>
      </c>
      <c r="O2616" s="30" t="s">
        <v>115</v>
      </c>
      <c r="P2616" s="30" t="s">
        <v>112</v>
      </c>
      <c r="Q2616" s="30" t="s">
        <v>112</v>
      </c>
      <c r="R2616" s="30" t="s">
        <v>185</v>
      </c>
      <c r="S2616" s="81">
        <f>HLOOKUP(L2616,データについて!$J$6:$M$18,13,FALSE)</f>
        <v>2</v>
      </c>
      <c r="T2616" s="81">
        <f>HLOOKUP(M2616,データについて!$J$7:$M$18,12,FALSE)</f>
        <v>1</v>
      </c>
      <c r="U2616" s="81">
        <f>HLOOKUP(N2616,データについて!$J$8:$M$18,11,FALSE)</f>
        <v>2</v>
      </c>
      <c r="V2616" s="81">
        <f>HLOOKUP(O2616,データについて!$J$9:$M$18,10,FALSE)</f>
        <v>1</v>
      </c>
      <c r="W2616" s="81">
        <f>HLOOKUP(P2616,データについて!$J$10:$M$18,9,FALSE)</f>
        <v>1</v>
      </c>
      <c r="X2616" s="81">
        <f>HLOOKUP(Q2616,データについて!$J$11:$M$18,8,FALSE)</f>
        <v>1</v>
      </c>
      <c r="Y2616" s="81">
        <f>HLOOKUP(R2616,データについて!$J$12:$M$18,7,FALSE)</f>
        <v>2</v>
      </c>
      <c r="Z2616" s="81">
        <f>HLOOKUP(I2616,データについて!$J$3:$M$18,16,FALSE)</f>
        <v>1</v>
      </c>
      <c r="AA2616" s="81">
        <f>IFERROR(HLOOKUP(J2616,データについて!$J$4:$AH$19,16,FALSE),"")</f>
        <v>14</v>
      </c>
      <c r="AB2616" s="81" t="str">
        <f>IFERROR(HLOOKUP(K2616,データについて!$J$5:$AH$20,14,FALSE),"")</f>
        <v/>
      </c>
      <c r="AC2616" s="81">
        <f>IF(X2616=1,HLOOKUP(R2616,データについて!$J$12:$M$18,7,FALSE),"*")</f>
        <v>2</v>
      </c>
      <c r="AD2616" s="81" t="str">
        <f>IF(X2616=2,HLOOKUP(R2616,データについて!$J$12:$M$18,7,FALSE),"*")</f>
        <v>*</v>
      </c>
    </row>
    <row r="2617" spans="1:30">
      <c r="A2617" s="30">
        <v>2575</v>
      </c>
      <c r="B2617" s="30" t="s">
        <v>457</v>
      </c>
      <c r="C2617" s="30" t="s">
        <v>458</v>
      </c>
      <c r="D2617" s="30" t="s">
        <v>106</v>
      </c>
      <c r="E2617" s="30"/>
      <c r="F2617" s="30" t="s">
        <v>107</v>
      </c>
      <c r="G2617" s="30" t="s">
        <v>106</v>
      </c>
      <c r="H2617" s="30"/>
      <c r="I2617" s="30" t="s">
        <v>192</v>
      </c>
      <c r="J2617" s="30" t="s">
        <v>127</v>
      </c>
      <c r="K2617" s="30"/>
      <c r="L2617" s="30" t="s">
        <v>108</v>
      </c>
      <c r="M2617" s="30" t="s">
        <v>109</v>
      </c>
      <c r="N2617" s="30" t="s">
        <v>114</v>
      </c>
      <c r="O2617" s="30" t="s">
        <v>123</v>
      </c>
      <c r="P2617" s="30" t="s">
        <v>112</v>
      </c>
      <c r="Q2617" s="30" t="s">
        <v>118</v>
      </c>
      <c r="R2617" s="30" t="s">
        <v>189</v>
      </c>
      <c r="S2617" s="81">
        <f>HLOOKUP(L2617,データについて!$J$6:$M$18,13,FALSE)</f>
        <v>1</v>
      </c>
      <c r="T2617" s="81">
        <f>HLOOKUP(M2617,データについて!$J$7:$M$18,12,FALSE)</f>
        <v>2</v>
      </c>
      <c r="U2617" s="81">
        <f>HLOOKUP(N2617,データについて!$J$8:$M$18,11,FALSE)</f>
        <v>1</v>
      </c>
      <c r="V2617" s="81">
        <f>HLOOKUP(O2617,データについて!$J$9:$M$18,10,FALSE)</f>
        <v>4</v>
      </c>
      <c r="W2617" s="81">
        <f>HLOOKUP(P2617,データについて!$J$10:$M$18,9,FALSE)</f>
        <v>1</v>
      </c>
      <c r="X2617" s="81">
        <f>HLOOKUP(Q2617,データについて!$J$11:$M$18,8,FALSE)</f>
        <v>2</v>
      </c>
      <c r="Y2617" s="81">
        <f>HLOOKUP(R2617,データについて!$J$12:$M$18,7,FALSE)</f>
        <v>4</v>
      </c>
      <c r="Z2617" s="81">
        <f>HLOOKUP(I2617,データについて!$J$3:$M$18,16,FALSE)</f>
        <v>1</v>
      </c>
      <c r="AA2617" s="81">
        <f>IFERROR(HLOOKUP(J2617,データについて!$J$4:$AH$19,16,FALSE),"")</f>
        <v>14</v>
      </c>
      <c r="AB2617" s="81" t="str">
        <f>IFERROR(HLOOKUP(K2617,データについて!$J$5:$AH$20,14,FALSE),"")</f>
        <v/>
      </c>
      <c r="AC2617" s="81" t="str">
        <f>IF(X2617=1,HLOOKUP(R2617,データについて!$J$12:$M$18,7,FALSE),"*")</f>
        <v>*</v>
      </c>
      <c r="AD2617" s="81">
        <f>IF(X2617=2,HLOOKUP(R2617,データについて!$J$12:$M$18,7,FALSE),"*")</f>
        <v>4</v>
      </c>
    </row>
    <row r="2618" spans="1:30">
      <c r="A2618" s="30">
        <v>2574</v>
      </c>
      <c r="B2618" s="30" t="s">
        <v>459</v>
      </c>
      <c r="C2618" s="30" t="s">
        <v>460</v>
      </c>
      <c r="D2618" s="30" t="s">
        <v>106</v>
      </c>
      <c r="E2618" s="30"/>
      <c r="F2618" s="30" t="s">
        <v>107</v>
      </c>
      <c r="G2618" s="30" t="s">
        <v>106</v>
      </c>
      <c r="H2618" s="30"/>
      <c r="I2618" s="30" t="s">
        <v>192</v>
      </c>
      <c r="J2618" s="30" t="s">
        <v>127</v>
      </c>
      <c r="K2618" s="30"/>
      <c r="L2618" s="30" t="s">
        <v>117</v>
      </c>
      <c r="M2618" s="30" t="s">
        <v>113</v>
      </c>
      <c r="N2618" s="30" t="s">
        <v>110</v>
      </c>
      <c r="O2618" s="30" t="s">
        <v>115</v>
      </c>
      <c r="P2618" s="30" t="s">
        <v>112</v>
      </c>
      <c r="Q2618" s="30" t="s">
        <v>112</v>
      </c>
      <c r="R2618" s="30" t="s">
        <v>187</v>
      </c>
      <c r="S2618" s="81">
        <f>HLOOKUP(L2618,データについて!$J$6:$M$18,13,FALSE)</f>
        <v>2</v>
      </c>
      <c r="T2618" s="81">
        <f>HLOOKUP(M2618,データについて!$J$7:$M$18,12,FALSE)</f>
        <v>1</v>
      </c>
      <c r="U2618" s="81">
        <f>HLOOKUP(N2618,データについて!$J$8:$M$18,11,FALSE)</f>
        <v>2</v>
      </c>
      <c r="V2618" s="81">
        <f>HLOOKUP(O2618,データについて!$J$9:$M$18,10,FALSE)</f>
        <v>1</v>
      </c>
      <c r="W2618" s="81">
        <f>HLOOKUP(P2618,データについて!$J$10:$M$18,9,FALSE)</f>
        <v>1</v>
      </c>
      <c r="X2618" s="81">
        <f>HLOOKUP(Q2618,データについて!$J$11:$M$18,8,FALSE)</f>
        <v>1</v>
      </c>
      <c r="Y2618" s="81">
        <f>HLOOKUP(R2618,データについて!$J$12:$M$18,7,FALSE)</f>
        <v>3</v>
      </c>
      <c r="Z2618" s="81">
        <f>HLOOKUP(I2618,データについて!$J$3:$M$18,16,FALSE)</f>
        <v>1</v>
      </c>
      <c r="AA2618" s="81">
        <f>IFERROR(HLOOKUP(J2618,データについて!$J$4:$AH$19,16,FALSE),"")</f>
        <v>14</v>
      </c>
      <c r="AB2618" s="81" t="str">
        <f>IFERROR(HLOOKUP(K2618,データについて!$J$5:$AH$20,14,FALSE),"")</f>
        <v/>
      </c>
      <c r="AC2618" s="81">
        <f>IF(X2618=1,HLOOKUP(R2618,データについて!$J$12:$M$18,7,FALSE),"*")</f>
        <v>3</v>
      </c>
      <c r="AD2618" s="81" t="str">
        <f>IF(X2618=2,HLOOKUP(R2618,データについて!$J$12:$M$18,7,FALSE),"*")</f>
        <v>*</v>
      </c>
    </row>
    <row r="2619" spans="1:30">
      <c r="A2619" s="30">
        <v>2573</v>
      </c>
      <c r="B2619" s="30" t="s">
        <v>461</v>
      </c>
      <c r="C2619" s="30" t="s">
        <v>462</v>
      </c>
      <c r="D2619" s="30" t="s">
        <v>106</v>
      </c>
      <c r="E2619" s="30"/>
      <c r="F2619" s="30" t="s">
        <v>107</v>
      </c>
      <c r="G2619" s="30" t="s">
        <v>106</v>
      </c>
      <c r="H2619" s="30"/>
      <c r="I2619" s="30" t="s">
        <v>192</v>
      </c>
      <c r="J2619" s="30" t="s">
        <v>127</v>
      </c>
      <c r="K2619" s="30"/>
      <c r="L2619" s="30" t="s">
        <v>117</v>
      </c>
      <c r="M2619" s="30" t="s">
        <v>109</v>
      </c>
      <c r="N2619" s="30" t="s">
        <v>110</v>
      </c>
      <c r="O2619" s="30" t="s">
        <v>115</v>
      </c>
      <c r="P2619" s="30" t="s">
        <v>112</v>
      </c>
      <c r="Q2619" s="30" t="s">
        <v>112</v>
      </c>
      <c r="R2619" s="30" t="s">
        <v>185</v>
      </c>
      <c r="S2619" s="81">
        <f>HLOOKUP(L2619,データについて!$J$6:$M$18,13,FALSE)</f>
        <v>2</v>
      </c>
      <c r="T2619" s="81">
        <f>HLOOKUP(M2619,データについて!$J$7:$M$18,12,FALSE)</f>
        <v>2</v>
      </c>
      <c r="U2619" s="81">
        <f>HLOOKUP(N2619,データについて!$J$8:$M$18,11,FALSE)</f>
        <v>2</v>
      </c>
      <c r="V2619" s="81">
        <f>HLOOKUP(O2619,データについて!$J$9:$M$18,10,FALSE)</f>
        <v>1</v>
      </c>
      <c r="W2619" s="81">
        <f>HLOOKUP(P2619,データについて!$J$10:$M$18,9,FALSE)</f>
        <v>1</v>
      </c>
      <c r="X2619" s="81">
        <f>HLOOKUP(Q2619,データについて!$J$11:$M$18,8,FALSE)</f>
        <v>1</v>
      </c>
      <c r="Y2619" s="81">
        <f>HLOOKUP(R2619,データについて!$J$12:$M$18,7,FALSE)</f>
        <v>2</v>
      </c>
      <c r="Z2619" s="81">
        <f>HLOOKUP(I2619,データについて!$J$3:$M$18,16,FALSE)</f>
        <v>1</v>
      </c>
      <c r="AA2619" s="81">
        <f>IFERROR(HLOOKUP(J2619,データについて!$J$4:$AH$19,16,FALSE),"")</f>
        <v>14</v>
      </c>
      <c r="AB2619" s="81" t="str">
        <f>IFERROR(HLOOKUP(K2619,データについて!$J$5:$AH$20,14,FALSE),"")</f>
        <v/>
      </c>
      <c r="AC2619" s="81">
        <f>IF(X2619=1,HLOOKUP(R2619,データについて!$J$12:$M$18,7,FALSE),"*")</f>
        <v>2</v>
      </c>
      <c r="AD2619" s="81" t="str">
        <f>IF(X2619=2,HLOOKUP(R2619,データについて!$J$12:$M$18,7,FALSE),"*")</f>
        <v>*</v>
      </c>
    </row>
    <row r="2620" spans="1:30">
      <c r="A2620" s="30">
        <v>2572</v>
      </c>
      <c r="B2620" s="30" t="s">
        <v>463</v>
      </c>
      <c r="C2620" s="30" t="s">
        <v>464</v>
      </c>
      <c r="D2620" s="30" t="s">
        <v>106</v>
      </c>
      <c r="E2620" s="30"/>
      <c r="F2620" s="30" t="s">
        <v>107</v>
      </c>
      <c r="G2620" s="30" t="s">
        <v>106</v>
      </c>
      <c r="H2620" s="30"/>
      <c r="I2620" s="30" t="s">
        <v>192</v>
      </c>
      <c r="J2620" s="30" t="s">
        <v>127</v>
      </c>
      <c r="K2620" s="30"/>
      <c r="L2620" s="30" t="s">
        <v>108</v>
      </c>
      <c r="M2620" s="30" t="s">
        <v>113</v>
      </c>
      <c r="N2620" s="30" t="s">
        <v>114</v>
      </c>
      <c r="O2620" s="30" t="s">
        <v>115</v>
      </c>
      <c r="P2620" s="30" t="s">
        <v>112</v>
      </c>
      <c r="Q2620" s="30" t="s">
        <v>112</v>
      </c>
      <c r="R2620" s="30" t="s">
        <v>183</v>
      </c>
      <c r="S2620" s="81">
        <f>HLOOKUP(L2620,データについて!$J$6:$M$18,13,FALSE)</f>
        <v>1</v>
      </c>
      <c r="T2620" s="81">
        <f>HLOOKUP(M2620,データについて!$J$7:$M$18,12,FALSE)</f>
        <v>1</v>
      </c>
      <c r="U2620" s="81">
        <f>HLOOKUP(N2620,データについて!$J$8:$M$18,11,FALSE)</f>
        <v>1</v>
      </c>
      <c r="V2620" s="81">
        <f>HLOOKUP(O2620,データについて!$J$9:$M$18,10,FALSE)</f>
        <v>1</v>
      </c>
      <c r="W2620" s="81">
        <f>HLOOKUP(P2620,データについて!$J$10:$M$18,9,FALSE)</f>
        <v>1</v>
      </c>
      <c r="X2620" s="81">
        <f>HLOOKUP(Q2620,データについて!$J$11:$M$18,8,FALSE)</f>
        <v>1</v>
      </c>
      <c r="Y2620" s="81">
        <f>HLOOKUP(R2620,データについて!$J$12:$M$18,7,FALSE)</f>
        <v>1</v>
      </c>
      <c r="Z2620" s="81">
        <f>HLOOKUP(I2620,データについて!$J$3:$M$18,16,FALSE)</f>
        <v>1</v>
      </c>
      <c r="AA2620" s="81">
        <f>IFERROR(HLOOKUP(J2620,データについて!$J$4:$AH$19,16,FALSE),"")</f>
        <v>14</v>
      </c>
      <c r="AB2620" s="81" t="str">
        <f>IFERROR(HLOOKUP(K2620,データについて!$J$5:$AH$20,14,FALSE),"")</f>
        <v/>
      </c>
      <c r="AC2620" s="81">
        <f>IF(X2620=1,HLOOKUP(R2620,データについて!$J$12:$M$18,7,FALSE),"*")</f>
        <v>1</v>
      </c>
      <c r="AD2620" s="81" t="str">
        <f>IF(X2620=2,HLOOKUP(R2620,データについて!$J$12:$M$18,7,FALSE),"*")</f>
        <v>*</v>
      </c>
    </row>
    <row r="2621" spans="1:30">
      <c r="A2621" s="30">
        <v>2571</v>
      </c>
      <c r="B2621" s="30" t="s">
        <v>465</v>
      </c>
      <c r="C2621" s="30" t="s">
        <v>466</v>
      </c>
      <c r="D2621" s="30" t="s">
        <v>106</v>
      </c>
      <c r="E2621" s="30"/>
      <c r="F2621" s="30" t="s">
        <v>107</v>
      </c>
      <c r="G2621" s="30" t="s">
        <v>106</v>
      </c>
      <c r="H2621" s="30"/>
      <c r="I2621" s="30" t="s">
        <v>192</v>
      </c>
      <c r="J2621" s="30" t="s">
        <v>127</v>
      </c>
      <c r="K2621" s="30"/>
      <c r="L2621" s="30" t="s">
        <v>117</v>
      </c>
      <c r="M2621" s="30" t="s">
        <v>109</v>
      </c>
      <c r="N2621" s="30" t="s">
        <v>110</v>
      </c>
      <c r="O2621" s="30" t="s">
        <v>115</v>
      </c>
      <c r="P2621" s="30" t="s">
        <v>112</v>
      </c>
      <c r="Q2621" s="30" t="s">
        <v>112</v>
      </c>
      <c r="R2621" s="30" t="s">
        <v>187</v>
      </c>
      <c r="S2621" s="81">
        <f>HLOOKUP(L2621,データについて!$J$6:$M$18,13,FALSE)</f>
        <v>2</v>
      </c>
      <c r="T2621" s="81">
        <f>HLOOKUP(M2621,データについて!$J$7:$M$18,12,FALSE)</f>
        <v>2</v>
      </c>
      <c r="U2621" s="81">
        <f>HLOOKUP(N2621,データについて!$J$8:$M$18,11,FALSE)</f>
        <v>2</v>
      </c>
      <c r="V2621" s="81">
        <f>HLOOKUP(O2621,データについて!$J$9:$M$18,10,FALSE)</f>
        <v>1</v>
      </c>
      <c r="W2621" s="81">
        <f>HLOOKUP(P2621,データについて!$J$10:$M$18,9,FALSE)</f>
        <v>1</v>
      </c>
      <c r="X2621" s="81">
        <f>HLOOKUP(Q2621,データについて!$J$11:$M$18,8,FALSE)</f>
        <v>1</v>
      </c>
      <c r="Y2621" s="81">
        <f>HLOOKUP(R2621,データについて!$J$12:$M$18,7,FALSE)</f>
        <v>3</v>
      </c>
      <c r="Z2621" s="81">
        <f>HLOOKUP(I2621,データについて!$J$3:$M$18,16,FALSE)</f>
        <v>1</v>
      </c>
      <c r="AA2621" s="81">
        <f>IFERROR(HLOOKUP(J2621,データについて!$J$4:$AH$19,16,FALSE),"")</f>
        <v>14</v>
      </c>
      <c r="AB2621" s="81" t="str">
        <f>IFERROR(HLOOKUP(K2621,データについて!$J$5:$AH$20,14,FALSE),"")</f>
        <v/>
      </c>
      <c r="AC2621" s="81">
        <f>IF(X2621=1,HLOOKUP(R2621,データについて!$J$12:$M$18,7,FALSE),"*")</f>
        <v>3</v>
      </c>
      <c r="AD2621" s="81" t="str">
        <f>IF(X2621=2,HLOOKUP(R2621,データについて!$J$12:$M$18,7,FALSE),"*")</f>
        <v>*</v>
      </c>
    </row>
    <row r="2622" spans="1:30">
      <c r="A2622" s="30">
        <v>2570</v>
      </c>
      <c r="B2622" s="30" t="s">
        <v>467</v>
      </c>
      <c r="C2622" s="30" t="s">
        <v>468</v>
      </c>
      <c r="D2622" s="30" t="s">
        <v>106</v>
      </c>
      <c r="E2622" s="30"/>
      <c r="F2622" s="30" t="s">
        <v>107</v>
      </c>
      <c r="G2622" s="30" t="s">
        <v>106</v>
      </c>
      <c r="H2622" s="30"/>
      <c r="I2622" s="30" t="s">
        <v>192</v>
      </c>
      <c r="J2622" s="30" t="s">
        <v>127</v>
      </c>
      <c r="K2622" s="30"/>
      <c r="L2622" s="30" t="s">
        <v>117</v>
      </c>
      <c r="M2622" s="30" t="s">
        <v>113</v>
      </c>
      <c r="N2622" s="30" t="s">
        <v>122</v>
      </c>
      <c r="O2622" s="30" t="s">
        <v>115</v>
      </c>
      <c r="P2622" s="30" t="s">
        <v>112</v>
      </c>
      <c r="Q2622" s="30" t="s">
        <v>118</v>
      </c>
      <c r="R2622" s="30" t="s">
        <v>187</v>
      </c>
      <c r="S2622" s="81">
        <f>HLOOKUP(L2622,データについて!$J$6:$M$18,13,FALSE)</f>
        <v>2</v>
      </c>
      <c r="T2622" s="81">
        <f>HLOOKUP(M2622,データについて!$J$7:$M$18,12,FALSE)</f>
        <v>1</v>
      </c>
      <c r="U2622" s="81">
        <f>HLOOKUP(N2622,データについて!$J$8:$M$18,11,FALSE)</f>
        <v>3</v>
      </c>
      <c r="V2622" s="81">
        <f>HLOOKUP(O2622,データについて!$J$9:$M$18,10,FALSE)</f>
        <v>1</v>
      </c>
      <c r="W2622" s="81">
        <f>HLOOKUP(P2622,データについて!$J$10:$M$18,9,FALSE)</f>
        <v>1</v>
      </c>
      <c r="X2622" s="81">
        <f>HLOOKUP(Q2622,データについて!$J$11:$M$18,8,FALSE)</f>
        <v>2</v>
      </c>
      <c r="Y2622" s="81">
        <f>HLOOKUP(R2622,データについて!$J$12:$M$18,7,FALSE)</f>
        <v>3</v>
      </c>
      <c r="Z2622" s="81">
        <f>HLOOKUP(I2622,データについて!$J$3:$M$18,16,FALSE)</f>
        <v>1</v>
      </c>
      <c r="AA2622" s="81">
        <f>IFERROR(HLOOKUP(J2622,データについて!$J$4:$AH$19,16,FALSE),"")</f>
        <v>14</v>
      </c>
      <c r="AB2622" s="81" t="str">
        <f>IFERROR(HLOOKUP(K2622,データについて!$J$5:$AH$20,14,FALSE),"")</f>
        <v/>
      </c>
      <c r="AC2622" s="81" t="str">
        <f>IF(X2622=1,HLOOKUP(R2622,データについて!$J$12:$M$18,7,FALSE),"*")</f>
        <v>*</v>
      </c>
      <c r="AD2622" s="81">
        <f>IF(X2622=2,HLOOKUP(R2622,データについて!$J$12:$M$18,7,FALSE),"*")</f>
        <v>3</v>
      </c>
    </row>
    <row r="2623" spans="1:30">
      <c r="A2623" s="30">
        <v>2569</v>
      </c>
      <c r="B2623" s="30" t="s">
        <v>469</v>
      </c>
      <c r="C2623" s="30" t="s">
        <v>470</v>
      </c>
      <c r="D2623" s="30" t="s">
        <v>106</v>
      </c>
      <c r="E2623" s="30"/>
      <c r="F2623" s="30" t="s">
        <v>107</v>
      </c>
      <c r="G2623" s="30" t="s">
        <v>106</v>
      </c>
      <c r="H2623" s="30"/>
      <c r="I2623" s="30" t="s">
        <v>192</v>
      </c>
      <c r="J2623" s="30" t="s">
        <v>127</v>
      </c>
      <c r="K2623" s="30"/>
      <c r="L2623" s="30" t="s">
        <v>117</v>
      </c>
      <c r="M2623" s="30" t="s">
        <v>113</v>
      </c>
      <c r="N2623" s="30" t="s">
        <v>110</v>
      </c>
      <c r="O2623" s="30" t="s">
        <v>111</v>
      </c>
      <c r="P2623" s="30" t="s">
        <v>112</v>
      </c>
      <c r="Q2623" s="30" t="s">
        <v>118</v>
      </c>
      <c r="R2623" s="30" t="s">
        <v>185</v>
      </c>
      <c r="S2623" s="81">
        <f>HLOOKUP(L2623,データについて!$J$6:$M$18,13,FALSE)</f>
        <v>2</v>
      </c>
      <c r="T2623" s="81">
        <f>HLOOKUP(M2623,データについて!$J$7:$M$18,12,FALSE)</f>
        <v>1</v>
      </c>
      <c r="U2623" s="81">
        <f>HLOOKUP(N2623,データについて!$J$8:$M$18,11,FALSE)</f>
        <v>2</v>
      </c>
      <c r="V2623" s="81">
        <f>HLOOKUP(O2623,データについて!$J$9:$M$18,10,FALSE)</f>
        <v>3</v>
      </c>
      <c r="W2623" s="81">
        <f>HLOOKUP(P2623,データについて!$J$10:$M$18,9,FALSE)</f>
        <v>1</v>
      </c>
      <c r="X2623" s="81">
        <f>HLOOKUP(Q2623,データについて!$J$11:$M$18,8,FALSE)</f>
        <v>2</v>
      </c>
      <c r="Y2623" s="81">
        <f>HLOOKUP(R2623,データについて!$J$12:$M$18,7,FALSE)</f>
        <v>2</v>
      </c>
      <c r="Z2623" s="81">
        <f>HLOOKUP(I2623,データについて!$J$3:$M$18,16,FALSE)</f>
        <v>1</v>
      </c>
      <c r="AA2623" s="81">
        <f>IFERROR(HLOOKUP(J2623,データについて!$J$4:$AH$19,16,FALSE),"")</f>
        <v>14</v>
      </c>
      <c r="AB2623" s="81" t="str">
        <f>IFERROR(HLOOKUP(K2623,データについて!$J$5:$AH$20,14,FALSE),"")</f>
        <v/>
      </c>
      <c r="AC2623" s="81" t="str">
        <f>IF(X2623=1,HLOOKUP(R2623,データについて!$J$12:$M$18,7,FALSE),"*")</f>
        <v>*</v>
      </c>
      <c r="AD2623" s="81">
        <f>IF(X2623=2,HLOOKUP(R2623,データについて!$J$12:$M$18,7,FALSE),"*")</f>
        <v>2</v>
      </c>
    </row>
    <row r="2624" spans="1:30">
      <c r="A2624" s="30">
        <v>2568</v>
      </c>
      <c r="B2624" s="30" t="s">
        <v>471</v>
      </c>
      <c r="C2624" s="30" t="s">
        <v>472</v>
      </c>
      <c r="D2624" s="30" t="s">
        <v>106</v>
      </c>
      <c r="E2624" s="30"/>
      <c r="F2624" s="30" t="s">
        <v>107</v>
      </c>
      <c r="G2624" s="30" t="s">
        <v>106</v>
      </c>
      <c r="H2624" s="30"/>
      <c r="I2624" s="30" t="s">
        <v>192</v>
      </c>
      <c r="J2624" s="30" t="s">
        <v>127</v>
      </c>
      <c r="K2624" s="30"/>
      <c r="L2624" s="30" t="s">
        <v>117</v>
      </c>
      <c r="M2624" s="30" t="s">
        <v>113</v>
      </c>
      <c r="N2624" s="30" t="s">
        <v>122</v>
      </c>
      <c r="O2624" s="30" t="s">
        <v>115</v>
      </c>
      <c r="P2624" s="30" t="s">
        <v>112</v>
      </c>
      <c r="Q2624" s="30" t="s">
        <v>112</v>
      </c>
      <c r="R2624" s="30" t="s">
        <v>185</v>
      </c>
      <c r="S2624" s="81">
        <f>HLOOKUP(L2624,データについて!$J$6:$M$18,13,FALSE)</f>
        <v>2</v>
      </c>
      <c r="T2624" s="81">
        <f>HLOOKUP(M2624,データについて!$J$7:$M$18,12,FALSE)</f>
        <v>1</v>
      </c>
      <c r="U2624" s="81">
        <f>HLOOKUP(N2624,データについて!$J$8:$M$18,11,FALSE)</f>
        <v>3</v>
      </c>
      <c r="V2624" s="81">
        <f>HLOOKUP(O2624,データについて!$J$9:$M$18,10,FALSE)</f>
        <v>1</v>
      </c>
      <c r="W2624" s="81">
        <f>HLOOKUP(P2624,データについて!$J$10:$M$18,9,FALSE)</f>
        <v>1</v>
      </c>
      <c r="X2624" s="81">
        <f>HLOOKUP(Q2624,データについて!$J$11:$M$18,8,FALSE)</f>
        <v>1</v>
      </c>
      <c r="Y2624" s="81">
        <f>HLOOKUP(R2624,データについて!$J$12:$M$18,7,FALSE)</f>
        <v>2</v>
      </c>
      <c r="Z2624" s="81">
        <f>HLOOKUP(I2624,データについて!$J$3:$M$18,16,FALSE)</f>
        <v>1</v>
      </c>
      <c r="AA2624" s="81">
        <f>IFERROR(HLOOKUP(J2624,データについて!$J$4:$AH$19,16,FALSE),"")</f>
        <v>14</v>
      </c>
      <c r="AB2624" s="81" t="str">
        <f>IFERROR(HLOOKUP(K2624,データについて!$J$5:$AH$20,14,FALSE),"")</f>
        <v/>
      </c>
      <c r="AC2624" s="81">
        <f>IF(X2624=1,HLOOKUP(R2624,データについて!$J$12:$M$18,7,FALSE),"*")</f>
        <v>2</v>
      </c>
      <c r="AD2624" s="81" t="str">
        <f>IF(X2624=2,HLOOKUP(R2624,データについて!$J$12:$M$18,7,FALSE),"*")</f>
        <v>*</v>
      </c>
    </row>
    <row r="2625" spans="1:30">
      <c r="A2625" s="30">
        <v>2567</v>
      </c>
      <c r="B2625" s="30" t="s">
        <v>473</v>
      </c>
      <c r="C2625" s="30" t="s">
        <v>474</v>
      </c>
      <c r="D2625" s="30" t="s">
        <v>106</v>
      </c>
      <c r="E2625" s="30"/>
      <c r="F2625" s="30" t="s">
        <v>107</v>
      </c>
      <c r="G2625" s="30" t="s">
        <v>106</v>
      </c>
      <c r="H2625" s="30"/>
      <c r="I2625" s="30" t="s">
        <v>192</v>
      </c>
      <c r="J2625" s="30" t="s">
        <v>127</v>
      </c>
      <c r="K2625" s="30"/>
      <c r="L2625" s="30" t="s">
        <v>117</v>
      </c>
      <c r="M2625" s="30" t="s">
        <v>109</v>
      </c>
      <c r="N2625" s="30" t="s">
        <v>110</v>
      </c>
      <c r="O2625" s="30" t="s">
        <v>115</v>
      </c>
      <c r="P2625" s="30" t="s">
        <v>112</v>
      </c>
      <c r="Q2625" s="30" t="s">
        <v>112</v>
      </c>
      <c r="R2625" s="30" t="s">
        <v>185</v>
      </c>
      <c r="S2625" s="81">
        <f>HLOOKUP(L2625,データについて!$J$6:$M$18,13,FALSE)</f>
        <v>2</v>
      </c>
      <c r="T2625" s="81">
        <f>HLOOKUP(M2625,データについて!$J$7:$M$18,12,FALSE)</f>
        <v>2</v>
      </c>
      <c r="U2625" s="81">
        <f>HLOOKUP(N2625,データについて!$J$8:$M$18,11,FALSE)</f>
        <v>2</v>
      </c>
      <c r="V2625" s="81">
        <f>HLOOKUP(O2625,データについて!$J$9:$M$18,10,FALSE)</f>
        <v>1</v>
      </c>
      <c r="W2625" s="81">
        <f>HLOOKUP(P2625,データについて!$J$10:$M$18,9,FALSE)</f>
        <v>1</v>
      </c>
      <c r="X2625" s="81">
        <f>HLOOKUP(Q2625,データについて!$J$11:$M$18,8,FALSE)</f>
        <v>1</v>
      </c>
      <c r="Y2625" s="81">
        <f>HLOOKUP(R2625,データについて!$J$12:$M$18,7,FALSE)</f>
        <v>2</v>
      </c>
      <c r="Z2625" s="81">
        <f>HLOOKUP(I2625,データについて!$J$3:$M$18,16,FALSE)</f>
        <v>1</v>
      </c>
      <c r="AA2625" s="81">
        <f>IFERROR(HLOOKUP(J2625,データについて!$J$4:$AH$19,16,FALSE),"")</f>
        <v>14</v>
      </c>
      <c r="AB2625" s="81" t="str">
        <f>IFERROR(HLOOKUP(K2625,データについて!$J$5:$AH$20,14,FALSE),"")</f>
        <v/>
      </c>
      <c r="AC2625" s="81">
        <f>IF(X2625=1,HLOOKUP(R2625,データについて!$J$12:$M$18,7,FALSE),"*")</f>
        <v>2</v>
      </c>
      <c r="AD2625" s="81" t="str">
        <f>IF(X2625=2,HLOOKUP(R2625,データについて!$J$12:$M$18,7,FALSE),"*")</f>
        <v>*</v>
      </c>
    </row>
    <row r="2626" spans="1:30">
      <c r="A2626" s="30">
        <v>2566</v>
      </c>
      <c r="B2626" s="30" t="s">
        <v>475</v>
      </c>
      <c r="C2626" s="30" t="s">
        <v>476</v>
      </c>
      <c r="D2626" s="30" t="s">
        <v>106</v>
      </c>
      <c r="E2626" s="30"/>
      <c r="F2626" s="30" t="s">
        <v>107</v>
      </c>
      <c r="G2626" s="30" t="s">
        <v>106</v>
      </c>
      <c r="H2626" s="30"/>
      <c r="I2626" s="30" t="s">
        <v>192</v>
      </c>
      <c r="J2626" s="30" t="s">
        <v>127</v>
      </c>
      <c r="K2626" s="30"/>
      <c r="L2626" s="30" t="s">
        <v>117</v>
      </c>
      <c r="M2626" s="30" t="s">
        <v>113</v>
      </c>
      <c r="N2626" s="30" t="s">
        <v>110</v>
      </c>
      <c r="O2626" s="30" t="s">
        <v>115</v>
      </c>
      <c r="P2626" s="30" t="s">
        <v>112</v>
      </c>
      <c r="Q2626" s="30" t="s">
        <v>112</v>
      </c>
      <c r="R2626" s="30" t="s">
        <v>183</v>
      </c>
      <c r="S2626" s="81">
        <f>HLOOKUP(L2626,データについて!$J$6:$M$18,13,FALSE)</f>
        <v>2</v>
      </c>
      <c r="T2626" s="81">
        <f>HLOOKUP(M2626,データについて!$J$7:$M$18,12,FALSE)</f>
        <v>1</v>
      </c>
      <c r="U2626" s="81">
        <f>HLOOKUP(N2626,データについて!$J$8:$M$18,11,FALSE)</f>
        <v>2</v>
      </c>
      <c r="V2626" s="81">
        <f>HLOOKUP(O2626,データについて!$J$9:$M$18,10,FALSE)</f>
        <v>1</v>
      </c>
      <c r="W2626" s="81">
        <f>HLOOKUP(P2626,データについて!$J$10:$M$18,9,FALSE)</f>
        <v>1</v>
      </c>
      <c r="X2626" s="81">
        <f>HLOOKUP(Q2626,データについて!$J$11:$M$18,8,FALSE)</f>
        <v>1</v>
      </c>
      <c r="Y2626" s="81">
        <f>HLOOKUP(R2626,データについて!$J$12:$M$18,7,FALSE)</f>
        <v>1</v>
      </c>
      <c r="Z2626" s="81">
        <f>HLOOKUP(I2626,データについて!$J$3:$M$18,16,FALSE)</f>
        <v>1</v>
      </c>
      <c r="AA2626" s="81">
        <f>IFERROR(HLOOKUP(J2626,データについて!$J$4:$AH$19,16,FALSE),"")</f>
        <v>14</v>
      </c>
      <c r="AB2626" s="81" t="str">
        <f>IFERROR(HLOOKUP(K2626,データについて!$J$5:$AH$20,14,FALSE),"")</f>
        <v/>
      </c>
      <c r="AC2626" s="81">
        <f>IF(X2626=1,HLOOKUP(R2626,データについて!$J$12:$M$18,7,FALSE),"*")</f>
        <v>1</v>
      </c>
      <c r="AD2626" s="81" t="str">
        <f>IF(X2626=2,HLOOKUP(R2626,データについて!$J$12:$M$18,7,FALSE),"*")</f>
        <v>*</v>
      </c>
    </row>
    <row r="2627" spans="1:30">
      <c r="A2627" s="30">
        <v>2565</v>
      </c>
      <c r="B2627" s="30" t="s">
        <v>477</v>
      </c>
      <c r="C2627" s="30" t="s">
        <v>478</v>
      </c>
      <c r="D2627" s="30" t="s">
        <v>106</v>
      </c>
      <c r="E2627" s="30"/>
      <c r="F2627" s="30" t="s">
        <v>107</v>
      </c>
      <c r="G2627" s="30" t="s">
        <v>106</v>
      </c>
      <c r="H2627" s="30"/>
      <c r="I2627" s="30" t="s">
        <v>192</v>
      </c>
      <c r="J2627" s="30" t="s">
        <v>127</v>
      </c>
      <c r="K2627" s="30"/>
      <c r="L2627" s="30" t="s">
        <v>117</v>
      </c>
      <c r="M2627" s="30" t="s">
        <v>113</v>
      </c>
      <c r="N2627" s="30" t="s">
        <v>110</v>
      </c>
      <c r="O2627" s="30" t="s">
        <v>115</v>
      </c>
      <c r="P2627" s="30" t="s">
        <v>112</v>
      </c>
      <c r="Q2627" s="30" t="s">
        <v>112</v>
      </c>
      <c r="R2627" s="30" t="s">
        <v>185</v>
      </c>
      <c r="S2627" s="81">
        <f>HLOOKUP(L2627,データについて!$J$6:$M$18,13,FALSE)</f>
        <v>2</v>
      </c>
      <c r="T2627" s="81">
        <f>HLOOKUP(M2627,データについて!$J$7:$M$18,12,FALSE)</f>
        <v>1</v>
      </c>
      <c r="U2627" s="81">
        <f>HLOOKUP(N2627,データについて!$J$8:$M$18,11,FALSE)</f>
        <v>2</v>
      </c>
      <c r="V2627" s="81">
        <f>HLOOKUP(O2627,データについて!$J$9:$M$18,10,FALSE)</f>
        <v>1</v>
      </c>
      <c r="W2627" s="81">
        <f>HLOOKUP(P2627,データについて!$J$10:$M$18,9,FALSE)</f>
        <v>1</v>
      </c>
      <c r="X2627" s="81">
        <f>HLOOKUP(Q2627,データについて!$J$11:$M$18,8,FALSE)</f>
        <v>1</v>
      </c>
      <c r="Y2627" s="81">
        <f>HLOOKUP(R2627,データについて!$J$12:$M$18,7,FALSE)</f>
        <v>2</v>
      </c>
      <c r="Z2627" s="81">
        <f>HLOOKUP(I2627,データについて!$J$3:$M$18,16,FALSE)</f>
        <v>1</v>
      </c>
      <c r="AA2627" s="81">
        <f>IFERROR(HLOOKUP(J2627,データについて!$J$4:$AH$19,16,FALSE),"")</f>
        <v>14</v>
      </c>
      <c r="AB2627" s="81" t="str">
        <f>IFERROR(HLOOKUP(K2627,データについて!$J$5:$AH$20,14,FALSE),"")</f>
        <v/>
      </c>
      <c r="AC2627" s="81">
        <f>IF(X2627=1,HLOOKUP(R2627,データについて!$J$12:$M$18,7,FALSE),"*")</f>
        <v>2</v>
      </c>
      <c r="AD2627" s="81" t="str">
        <f>IF(X2627=2,HLOOKUP(R2627,データについて!$J$12:$M$18,7,FALSE),"*")</f>
        <v>*</v>
      </c>
    </row>
    <row r="2628" spans="1:30">
      <c r="A2628" s="30">
        <v>2564</v>
      </c>
      <c r="B2628" s="30" t="s">
        <v>479</v>
      </c>
      <c r="C2628" s="30" t="s">
        <v>480</v>
      </c>
      <c r="D2628" s="30" t="s">
        <v>106</v>
      </c>
      <c r="E2628" s="30"/>
      <c r="F2628" s="30" t="s">
        <v>107</v>
      </c>
      <c r="G2628" s="30" t="s">
        <v>106</v>
      </c>
      <c r="H2628" s="30"/>
      <c r="I2628" s="30" t="s">
        <v>192</v>
      </c>
      <c r="J2628" s="30" t="s">
        <v>127</v>
      </c>
      <c r="K2628" s="30"/>
      <c r="L2628" s="30" t="s">
        <v>117</v>
      </c>
      <c r="M2628" s="30" t="s">
        <v>113</v>
      </c>
      <c r="N2628" s="30" t="s">
        <v>114</v>
      </c>
      <c r="O2628" s="30" t="s">
        <v>115</v>
      </c>
      <c r="P2628" s="30" t="s">
        <v>112</v>
      </c>
      <c r="Q2628" s="30" t="s">
        <v>112</v>
      </c>
      <c r="R2628" s="30" t="s">
        <v>183</v>
      </c>
      <c r="S2628" s="81">
        <f>HLOOKUP(L2628,データについて!$J$6:$M$18,13,FALSE)</f>
        <v>2</v>
      </c>
      <c r="T2628" s="81">
        <f>HLOOKUP(M2628,データについて!$J$7:$M$18,12,FALSE)</f>
        <v>1</v>
      </c>
      <c r="U2628" s="81">
        <f>HLOOKUP(N2628,データについて!$J$8:$M$18,11,FALSE)</f>
        <v>1</v>
      </c>
      <c r="V2628" s="81">
        <f>HLOOKUP(O2628,データについて!$J$9:$M$18,10,FALSE)</f>
        <v>1</v>
      </c>
      <c r="W2628" s="81">
        <f>HLOOKUP(P2628,データについて!$J$10:$M$18,9,FALSE)</f>
        <v>1</v>
      </c>
      <c r="X2628" s="81">
        <f>HLOOKUP(Q2628,データについて!$J$11:$M$18,8,FALSE)</f>
        <v>1</v>
      </c>
      <c r="Y2628" s="81">
        <f>HLOOKUP(R2628,データについて!$J$12:$M$18,7,FALSE)</f>
        <v>1</v>
      </c>
      <c r="Z2628" s="81">
        <f>HLOOKUP(I2628,データについて!$J$3:$M$18,16,FALSE)</f>
        <v>1</v>
      </c>
      <c r="AA2628" s="81">
        <f>IFERROR(HLOOKUP(J2628,データについて!$J$4:$AH$19,16,FALSE),"")</f>
        <v>14</v>
      </c>
      <c r="AB2628" s="81" t="str">
        <f>IFERROR(HLOOKUP(K2628,データについて!$J$5:$AH$20,14,FALSE),"")</f>
        <v/>
      </c>
      <c r="AC2628" s="81">
        <f>IF(X2628=1,HLOOKUP(R2628,データについて!$J$12:$M$18,7,FALSE),"*")</f>
        <v>1</v>
      </c>
      <c r="AD2628" s="81" t="str">
        <f>IF(X2628=2,HLOOKUP(R2628,データについて!$J$12:$M$18,7,FALSE),"*")</f>
        <v>*</v>
      </c>
    </row>
    <row r="2629" spans="1:30">
      <c r="A2629" s="30">
        <v>2563</v>
      </c>
      <c r="B2629" s="30" t="s">
        <v>481</v>
      </c>
      <c r="C2629" s="30" t="s">
        <v>482</v>
      </c>
      <c r="D2629" s="30" t="s">
        <v>106</v>
      </c>
      <c r="E2629" s="30"/>
      <c r="F2629" s="30" t="s">
        <v>107</v>
      </c>
      <c r="G2629" s="30" t="s">
        <v>106</v>
      </c>
      <c r="H2629" s="30"/>
      <c r="I2629" s="30" t="s">
        <v>192</v>
      </c>
      <c r="J2629" s="30" t="s">
        <v>127</v>
      </c>
      <c r="K2629" s="30"/>
      <c r="L2629" s="30" t="s">
        <v>108</v>
      </c>
      <c r="M2629" s="30" t="s">
        <v>109</v>
      </c>
      <c r="N2629" s="30" t="s">
        <v>114</v>
      </c>
      <c r="O2629" s="30" t="s">
        <v>115</v>
      </c>
      <c r="P2629" s="30" t="s">
        <v>112</v>
      </c>
      <c r="Q2629" s="30" t="s">
        <v>112</v>
      </c>
      <c r="R2629" s="30" t="s">
        <v>185</v>
      </c>
      <c r="S2629" s="81">
        <f>HLOOKUP(L2629,データについて!$J$6:$M$18,13,FALSE)</f>
        <v>1</v>
      </c>
      <c r="T2629" s="81">
        <f>HLOOKUP(M2629,データについて!$J$7:$M$18,12,FALSE)</f>
        <v>2</v>
      </c>
      <c r="U2629" s="81">
        <f>HLOOKUP(N2629,データについて!$J$8:$M$18,11,FALSE)</f>
        <v>1</v>
      </c>
      <c r="V2629" s="81">
        <f>HLOOKUP(O2629,データについて!$J$9:$M$18,10,FALSE)</f>
        <v>1</v>
      </c>
      <c r="W2629" s="81">
        <f>HLOOKUP(P2629,データについて!$J$10:$M$18,9,FALSE)</f>
        <v>1</v>
      </c>
      <c r="X2629" s="81">
        <f>HLOOKUP(Q2629,データについて!$J$11:$M$18,8,FALSE)</f>
        <v>1</v>
      </c>
      <c r="Y2629" s="81">
        <f>HLOOKUP(R2629,データについて!$J$12:$M$18,7,FALSE)</f>
        <v>2</v>
      </c>
      <c r="Z2629" s="81">
        <f>HLOOKUP(I2629,データについて!$J$3:$M$18,16,FALSE)</f>
        <v>1</v>
      </c>
      <c r="AA2629" s="81">
        <f>IFERROR(HLOOKUP(J2629,データについて!$J$4:$AH$19,16,FALSE),"")</f>
        <v>14</v>
      </c>
      <c r="AB2629" s="81" t="str">
        <f>IFERROR(HLOOKUP(K2629,データについて!$J$5:$AH$20,14,FALSE),"")</f>
        <v/>
      </c>
      <c r="AC2629" s="81">
        <f>IF(X2629=1,HLOOKUP(R2629,データについて!$J$12:$M$18,7,FALSE),"*")</f>
        <v>2</v>
      </c>
      <c r="AD2629" s="81" t="str">
        <f>IF(X2629=2,HLOOKUP(R2629,データについて!$J$12:$M$18,7,FALSE),"*")</f>
        <v>*</v>
      </c>
    </row>
    <row r="2630" spans="1:30">
      <c r="A2630" s="30">
        <v>2562</v>
      </c>
      <c r="B2630" s="30" t="s">
        <v>483</v>
      </c>
      <c r="C2630" s="30" t="s">
        <v>484</v>
      </c>
      <c r="D2630" s="30" t="s">
        <v>106</v>
      </c>
      <c r="E2630" s="30"/>
      <c r="F2630" s="30" t="s">
        <v>107</v>
      </c>
      <c r="G2630" s="30" t="s">
        <v>106</v>
      </c>
      <c r="H2630" s="30"/>
      <c r="I2630" s="30" t="s">
        <v>192</v>
      </c>
      <c r="J2630" s="30" t="s">
        <v>127</v>
      </c>
      <c r="K2630" s="30"/>
      <c r="L2630" s="30" t="s">
        <v>117</v>
      </c>
      <c r="M2630" s="30" t="s">
        <v>113</v>
      </c>
      <c r="N2630" s="30" t="s">
        <v>110</v>
      </c>
      <c r="O2630" s="30" t="s">
        <v>111</v>
      </c>
      <c r="P2630" s="30" t="s">
        <v>112</v>
      </c>
      <c r="Q2630" s="30" t="s">
        <v>118</v>
      </c>
      <c r="R2630" s="30" t="s">
        <v>185</v>
      </c>
      <c r="S2630" s="81">
        <f>HLOOKUP(L2630,データについて!$J$6:$M$18,13,FALSE)</f>
        <v>2</v>
      </c>
      <c r="T2630" s="81">
        <f>HLOOKUP(M2630,データについて!$J$7:$M$18,12,FALSE)</f>
        <v>1</v>
      </c>
      <c r="U2630" s="81">
        <f>HLOOKUP(N2630,データについて!$J$8:$M$18,11,FALSE)</f>
        <v>2</v>
      </c>
      <c r="V2630" s="81">
        <f>HLOOKUP(O2630,データについて!$J$9:$M$18,10,FALSE)</f>
        <v>3</v>
      </c>
      <c r="W2630" s="81">
        <f>HLOOKUP(P2630,データについて!$J$10:$M$18,9,FALSE)</f>
        <v>1</v>
      </c>
      <c r="X2630" s="81">
        <f>HLOOKUP(Q2630,データについて!$J$11:$M$18,8,FALSE)</f>
        <v>2</v>
      </c>
      <c r="Y2630" s="81">
        <f>HLOOKUP(R2630,データについて!$J$12:$M$18,7,FALSE)</f>
        <v>2</v>
      </c>
      <c r="Z2630" s="81">
        <f>HLOOKUP(I2630,データについて!$J$3:$M$18,16,FALSE)</f>
        <v>1</v>
      </c>
      <c r="AA2630" s="81">
        <f>IFERROR(HLOOKUP(J2630,データについて!$J$4:$AH$19,16,FALSE),"")</f>
        <v>14</v>
      </c>
      <c r="AB2630" s="81" t="str">
        <f>IFERROR(HLOOKUP(K2630,データについて!$J$5:$AH$20,14,FALSE),"")</f>
        <v/>
      </c>
      <c r="AC2630" s="81" t="str">
        <f>IF(X2630=1,HLOOKUP(R2630,データについて!$J$12:$M$18,7,FALSE),"*")</f>
        <v>*</v>
      </c>
      <c r="AD2630" s="81">
        <f>IF(X2630=2,HLOOKUP(R2630,データについて!$J$12:$M$18,7,FALSE),"*")</f>
        <v>2</v>
      </c>
    </row>
    <row r="2631" spans="1:30">
      <c r="A2631" s="30">
        <v>2561</v>
      </c>
      <c r="B2631" s="30" t="s">
        <v>485</v>
      </c>
      <c r="C2631" s="30" t="s">
        <v>486</v>
      </c>
      <c r="D2631" s="30" t="s">
        <v>106</v>
      </c>
      <c r="E2631" s="30"/>
      <c r="F2631" s="30" t="s">
        <v>107</v>
      </c>
      <c r="G2631" s="30" t="s">
        <v>106</v>
      </c>
      <c r="H2631" s="30"/>
      <c r="I2631" s="30" t="s">
        <v>192</v>
      </c>
      <c r="J2631" s="30" t="s">
        <v>127</v>
      </c>
      <c r="K2631" s="30"/>
      <c r="L2631" s="30" t="s">
        <v>117</v>
      </c>
      <c r="M2631" s="30" t="s">
        <v>113</v>
      </c>
      <c r="N2631" s="30" t="s">
        <v>114</v>
      </c>
      <c r="O2631" s="30" t="s">
        <v>115</v>
      </c>
      <c r="P2631" s="30" t="s">
        <v>112</v>
      </c>
      <c r="Q2631" s="30" t="s">
        <v>112</v>
      </c>
      <c r="R2631" s="30" t="s">
        <v>185</v>
      </c>
      <c r="S2631" s="81">
        <f>HLOOKUP(L2631,データについて!$J$6:$M$18,13,FALSE)</f>
        <v>2</v>
      </c>
      <c r="T2631" s="81">
        <f>HLOOKUP(M2631,データについて!$J$7:$M$18,12,FALSE)</f>
        <v>1</v>
      </c>
      <c r="U2631" s="81">
        <f>HLOOKUP(N2631,データについて!$J$8:$M$18,11,FALSE)</f>
        <v>1</v>
      </c>
      <c r="V2631" s="81">
        <f>HLOOKUP(O2631,データについて!$J$9:$M$18,10,FALSE)</f>
        <v>1</v>
      </c>
      <c r="W2631" s="81">
        <f>HLOOKUP(P2631,データについて!$J$10:$M$18,9,FALSE)</f>
        <v>1</v>
      </c>
      <c r="X2631" s="81">
        <f>HLOOKUP(Q2631,データについて!$J$11:$M$18,8,FALSE)</f>
        <v>1</v>
      </c>
      <c r="Y2631" s="81">
        <f>HLOOKUP(R2631,データについて!$J$12:$M$18,7,FALSE)</f>
        <v>2</v>
      </c>
      <c r="Z2631" s="81">
        <f>HLOOKUP(I2631,データについて!$J$3:$M$18,16,FALSE)</f>
        <v>1</v>
      </c>
      <c r="AA2631" s="81">
        <f>IFERROR(HLOOKUP(J2631,データについて!$J$4:$AH$19,16,FALSE),"")</f>
        <v>14</v>
      </c>
      <c r="AB2631" s="81" t="str">
        <f>IFERROR(HLOOKUP(K2631,データについて!$J$5:$AH$20,14,FALSE),"")</f>
        <v/>
      </c>
      <c r="AC2631" s="81">
        <f>IF(X2631=1,HLOOKUP(R2631,データについて!$J$12:$M$18,7,FALSE),"*")</f>
        <v>2</v>
      </c>
      <c r="AD2631" s="81" t="str">
        <f>IF(X2631=2,HLOOKUP(R2631,データについて!$J$12:$M$18,7,FALSE),"*")</f>
        <v>*</v>
      </c>
    </row>
    <row r="2632" spans="1:30">
      <c r="A2632" s="30">
        <v>2560</v>
      </c>
      <c r="B2632" s="30" t="s">
        <v>487</v>
      </c>
      <c r="C2632" s="30" t="s">
        <v>488</v>
      </c>
      <c r="D2632" s="30" t="s">
        <v>106</v>
      </c>
      <c r="E2632" s="30"/>
      <c r="F2632" s="30" t="s">
        <v>107</v>
      </c>
      <c r="G2632" s="30" t="s">
        <v>106</v>
      </c>
      <c r="H2632" s="30"/>
      <c r="I2632" s="30" t="s">
        <v>192</v>
      </c>
      <c r="J2632" s="30" t="s">
        <v>127</v>
      </c>
      <c r="K2632" s="30"/>
      <c r="L2632" s="30" t="s">
        <v>108</v>
      </c>
      <c r="M2632" s="30" t="s">
        <v>109</v>
      </c>
      <c r="N2632" s="30" t="s">
        <v>114</v>
      </c>
      <c r="O2632" s="30" t="s">
        <v>115</v>
      </c>
      <c r="P2632" s="30" t="s">
        <v>112</v>
      </c>
      <c r="Q2632" s="30" t="s">
        <v>118</v>
      </c>
      <c r="R2632" s="30" t="s">
        <v>187</v>
      </c>
      <c r="S2632" s="81">
        <f>HLOOKUP(L2632,データについて!$J$6:$M$18,13,FALSE)</f>
        <v>1</v>
      </c>
      <c r="T2632" s="81">
        <f>HLOOKUP(M2632,データについて!$J$7:$M$18,12,FALSE)</f>
        <v>2</v>
      </c>
      <c r="U2632" s="81">
        <f>HLOOKUP(N2632,データについて!$J$8:$M$18,11,FALSE)</f>
        <v>1</v>
      </c>
      <c r="V2632" s="81">
        <f>HLOOKUP(O2632,データについて!$J$9:$M$18,10,FALSE)</f>
        <v>1</v>
      </c>
      <c r="W2632" s="81">
        <f>HLOOKUP(P2632,データについて!$J$10:$M$18,9,FALSE)</f>
        <v>1</v>
      </c>
      <c r="X2632" s="81">
        <f>HLOOKUP(Q2632,データについて!$J$11:$M$18,8,FALSE)</f>
        <v>2</v>
      </c>
      <c r="Y2632" s="81">
        <f>HLOOKUP(R2632,データについて!$J$12:$M$18,7,FALSE)</f>
        <v>3</v>
      </c>
      <c r="Z2632" s="81">
        <f>HLOOKUP(I2632,データについて!$J$3:$M$18,16,FALSE)</f>
        <v>1</v>
      </c>
      <c r="AA2632" s="81">
        <f>IFERROR(HLOOKUP(J2632,データについて!$J$4:$AH$19,16,FALSE),"")</f>
        <v>14</v>
      </c>
      <c r="AB2632" s="81" t="str">
        <f>IFERROR(HLOOKUP(K2632,データについて!$J$5:$AH$20,14,FALSE),"")</f>
        <v/>
      </c>
      <c r="AC2632" s="81" t="str">
        <f>IF(X2632=1,HLOOKUP(R2632,データについて!$J$12:$M$18,7,FALSE),"*")</f>
        <v>*</v>
      </c>
      <c r="AD2632" s="81">
        <f>IF(X2632=2,HLOOKUP(R2632,データについて!$J$12:$M$18,7,FALSE),"*")</f>
        <v>3</v>
      </c>
    </row>
    <row r="2633" spans="1:30">
      <c r="A2633" s="30">
        <v>2559</v>
      </c>
      <c r="B2633" s="30" t="s">
        <v>489</v>
      </c>
      <c r="C2633" s="30" t="s">
        <v>490</v>
      </c>
      <c r="D2633" s="30" t="s">
        <v>106</v>
      </c>
      <c r="E2633" s="30"/>
      <c r="F2633" s="30" t="s">
        <v>107</v>
      </c>
      <c r="G2633" s="30" t="s">
        <v>106</v>
      </c>
      <c r="H2633" s="30"/>
      <c r="I2633" s="30" t="s">
        <v>192</v>
      </c>
      <c r="J2633" s="30" t="s">
        <v>127</v>
      </c>
      <c r="K2633" s="30"/>
      <c r="L2633" s="30" t="s">
        <v>108</v>
      </c>
      <c r="M2633" s="30" t="s">
        <v>124</v>
      </c>
      <c r="N2633" s="30" t="s">
        <v>119</v>
      </c>
      <c r="O2633" s="30" t="s">
        <v>115</v>
      </c>
      <c r="P2633" s="30" t="s">
        <v>112</v>
      </c>
      <c r="Q2633" s="30" t="s">
        <v>118</v>
      </c>
      <c r="R2633" s="30" t="s">
        <v>187</v>
      </c>
      <c r="S2633" s="81">
        <f>HLOOKUP(L2633,データについて!$J$6:$M$18,13,FALSE)</f>
        <v>1</v>
      </c>
      <c r="T2633" s="81">
        <f>HLOOKUP(M2633,データについて!$J$7:$M$18,12,FALSE)</f>
        <v>3</v>
      </c>
      <c r="U2633" s="81">
        <f>HLOOKUP(N2633,データについて!$J$8:$M$18,11,FALSE)</f>
        <v>4</v>
      </c>
      <c r="V2633" s="81">
        <f>HLOOKUP(O2633,データについて!$J$9:$M$18,10,FALSE)</f>
        <v>1</v>
      </c>
      <c r="W2633" s="81">
        <f>HLOOKUP(P2633,データについて!$J$10:$M$18,9,FALSE)</f>
        <v>1</v>
      </c>
      <c r="X2633" s="81">
        <f>HLOOKUP(Q2633,データについて!$J$11:$M$18,8,FALSE)</f>
        <v>2</v>
      </c>
      <c r="Y2633" s="81">
        <f>HLOOKUP(R2633,データについて!$J$12:$M$18,7,FALSE)</f>
        <v>3</v>
      </c>
      <c r="Z2633" s="81">
        <f>HLOOKUP(I2633,データについて!$J$3:$M$18,16,FALSE)</f>
        <v>1</v>
      </c>
      <c r="AA2633" s="81">
        <f>IFERROR(HLOOKUP(J2633,データについて!$J$4:$AH$19,16,FALSE),"")</f>
        <v>14</v>
      </c>
      <c r="AB2633" s="81" t="str">
        <f>IFERROR(HLOOKUP(K2633,データについて!$J$5:$AH$20,14,FALSE),"")</f>
        <v/>
      </c>
      <c r="AC2633" s="81" t="str">
        <f>IF(X2633=1,HLOOKUP(R2633,データについて!$J$12:$M$18,7,FALSE),"*")</f>
        <v>*</v>
      </c>
      <c r="AD2633" s="81">
        <f>IF(X2633=2,HLOOKUP(R2633,データについて!$J$12:$M$18,7,FALSE),"*")</f>
        <v>3</v>
      </c>
    </row>
    <row r="2634" spans="1:30">
      <c r="A2634" s="30">
        <v>2558</v>
      </c>
      <c r="B2634" s="30" t="s">
        <v>491</v>
      </c>
      <c r="C2634" s="30" t="s">
        <v>490</v>
      </c>
      <c r="D2634" s="30" t="s">
        <v>106</v>
      </c>
      <c r="E2634" s="30"/>
      <c r="F2634" s="30" t="s">
        <v>107</v>
      </c>
      <c r="G2634" s="30" t="s">
        <v>106</v>
      </c>
      <c r="H2634" s="30"/>
      <c r="I2634" s="30" t="s">
        <v>192</v>
      </c>
      <c r="J2634" s="30" t="s">
        <v>127</v>
      </c>
      <c r="K2634" s="30"/>
      <c r="L2634" s="30" t="s">
        <v>108</v>
      </c>
      <c r="M2634" s="30" t="s">
        <v>113</v>
      </c>
      <c r="N2634" s="30" t="s">
        <v>114</v>
      </c>
      <c r="O2634" s="30" t="s">
        <v>115</v>
      </c>
      <c r="P2634" s="30" t="s">
        <v>112</v>
      </c>
      <c r="Q2634" s="30" t="s">
        <v>112</v>
      </c>
      <c r="R2634" s="30" t="s">
        <v>185</v>
      </c>
      <c r="S2634" s="81">
        <f>HLOOKUP(L2634,データについて!$J$6:$M$18,13,FALSE)</f>
        <v>1</v>
      </c>
      <c r="T2634" s="81">
        <f>HLOOKUP(M2634,データについて!$J$7:$M$18,12,FALSE)</f>
        <v>1</v>
      </c>
      <c r="U2634" s="81">
        <f>HLOOKUP(N2634,データについて!$J$8:$M$18,11,FALSE)</f>
        <v>1</v>
      </c>
      <c r="V2634" s="81">
        <f>HLOOKUP(O2634,データについて!$J$9:$M$18,10,FALSE)</f>
        <v>1</v>
      </c>
      <c r="W2634" s="81">
        <f>HLOOKUP(P2634,データについて!$J$10:$M$18,9,FALSE)</f>
        <v>1</v>
      </c>
      <c r="X2634" s="81">
        <f>HLOOKUP(Q2634,データについて!$J$11:$M$18,8,FALSE)</f>
        <v>1</v>
      </c>
      <c r="Y2634" s="81">
        <f>HLOOKUP(R2634,データについて!$J$12:$M$18,7,FALSE)</f>
        <v>2</v>
      </c>
      <c r="Z2634" s="81">
        <f>HLOOKUP(I2634,データについて!$J$3:$M$18,16,FALSE)</f>
        <v>1</v>
      </c>
      <c r="AA2634" s="81">
        <f>IFERROR(HLOOKUP(J2634,データについて!$J$4:$AH$19,16,FALSE),"")</f>
        <v>14</v>
      </c>
      <c r="AB2634" s="81" t="str">
        <f>IFERROR(HLOOKUP(K2634,データについて!$J$5:$AH$20,14,FALSE),"")</f>
        <v/>
      </c>
      <c r="AC2634" s="81">
        <f>IF(X2634=1,HLOOKUP(R2634,データについて!$J$12:$M$18,7,FALSE),"*")</f>
        <v>2</v>
      </c>
      <c r="AD2634" s="81" t="str">
        <f>IF(X2634=2,HLOOKUP(R2634,データについて!$J$12:$M$18,7,FALSE),"*")</f>
        <v>*</v>
      </c>
    </row>
    <row r="2635" spans="1:30">
      <c r="A2635" s="30">
        <v>2557</v>
      </c>
      <c r="B2635" s="30" t="s">
        <v>492</v>
      </c>
      <c r="C2635" s="30" t="s">
        <v>490</v>
      </c>
      <c r="D2635" s="30" t="s">
        <v>106</v>
      </c>
      <c r="E2635" s="30"/>
      <c r="F2635" s="30" t="s">
        <v>107</v>
      </c>
      <c r="G2635" s="30" t="s">
        <v>106</v>
      </c>
      <c r="H2635" s="30"/>
      <c r="I2635" s="30" t="s">
        <v>192</v>
      </c>
      <c r="J2635" s="30" t="s">
        <v>127</v>
      </c>
      <c r="K2635" s="30"/>
      <c r="L2635" s="30" t="s">
        <v>108</v>
      </c>
      <c r="M2635" s="30" t="s">
        <v>109</v>
      </c>
      <c r="N2635" s="30" t="s">
        <v>114</v>
      </c>
      <c r="O2635" s="30" t="s">
        <v>115</v>
      </c>
      <c r="P2635" s="30" t="s">
        <v>112</v>
      </c>
      <c r="Q2635" s="30" t="s">
        <v>112</v>
      </c>
      <c r="R2635" s="30" t="s">
        <v>183</v>
      </c>
      <c r="S2635" s="81">
        <f>HLOOKUP(L2635,データについて!$J$6:$M$18,13,FALSE)</f>
        <v>1</v>
      </c>
      <c r="T2635" s="81">
        <f>HLOOKUP(M2635,データについて!$J$7:$M$18,12,FALSE)</f>
        <v>2</v>
      </c>
      <c r="U2635" s="81">
        <f>HLOOKUP(N2635,データについて!$J$8:$M$18,11,FALSE)</f>
        <v>1</v>
      </c>
      <c r="V2635" s="81">
        <f>HLOOKUP(O2635,データについて!$J$9:$M$18,10,FALSE)</f>
        <v>1</v>
      </c>
      <c r="W2635" s="81">
        <f>HLOOKUP(P2635,データについて!$J$10:$M$18,9,FALSE)</f>
        <v>1</v>
      </c>
      <c r="X2635" s="81">
        <f>HLOOKUP(Q2635,データについて!$J$11:$M$18,8,FALSE)</f>
        <v>1</v>
      </c>
      <c r="Y2635" s="81">
        <f>HLOOKUP(R2635,データについて!$J$12:$M$18,7,FALSE)</f>
        <v>1</v>
      </c>
      <c r="Z2635" s="81">
        <f>HLOOKUP(I2635,データについて!$J$3:$M$18,16,FALSE)</f>
        <v>1</v>
      </c>
      <c r="AA2635" s="81">
        <f>IFERROR(HLOOKUP(J2635,データについて!$J$4:$AH$19,16,FALSE),"")</f>
        <v>14</v>
      </c>
      <c r="AB2635" s="81" t="str">
        <f>IFERROR(HLOOKUP(K2635,データについて!$J$5:$AH$20,14,FALSE),"")</f>
        <v/>
      </c>
      <c r="AC2635" s="81">
        <f>IF(X2635=1,HLOOKUP(R2635,データについて!$J$12:$M$18,7,FALSE),"*")</f>
        <v>1</v>
      </c>
      <c r="AD2635" s="81" t="str">
        <f>IF(X2635=2,HLOOKUP(R2635,データについて!$J$12:$M$18,7,FALSE),"*")</f>
        <v>*</v>
      </c>
    </row>
    <row r="2636" spans="1:30">
      <c r="A2636" s="30">
        <v>2556</v>
      </c>
      <c r="B2636" s="30" t="s">
        <v>493</v>
      </c>
      <c r="C2636" s="30" t="s">
        <v>494</v>
      </c>
      <c r="D2636" s="30" t="s">
        <v>106</v>
      </c>
      <c r="E2636" s="30"/>
      <c r="F2636" s="30" t="s">
        <v>107</v>
      </c>
      <c r="G2636" s="30" t="s">
        <v>106</v>
      </c>
      <c r="H2636" s="30"/>
      <c r="I2636" s="30" t="s">
        <v>192</v>
      </c>
      <c r="J2636" s="30" t="s">
        <v>127</v>
      </c>
      <c r="K2636" s="30"/>
      <c r="L2636" s="30" t="s">
        <v>117</v>
      </c>
      <c r="M2636" s="30" t="s">
        <v>109</v>
      </c>
      <c r="N2636" s="30" t="s">
        <v>122</v>
      </c>
      <c r="O2636" s="30" t="s">
        <v>123</v>
      </c>
      <c r="P2636" s="30" t="s">
        <v>112</v>
      </c>
      <c r="Q2636" s="30" t="s">
        <v>118</v>
      </c>
      <c r="R2636" s="30" t="s">
        <v>187</v>
      </c>
      <c r="S2636" s="81">
        <f>HLOOKUP(L2636,データについて!$J$6:$M$18,13,FALSE)</f>
        <v>2</v>
      </c>
      <c r="T2636" s="81">
        <f>HLOOKUP(M2636,データについて!$J$7:$M$18,12,FALSE)</f>
        <v>2</v>
      </c>
      <c r="U2636" s="81">
        <f>HLOOKUP(N2636,データについて!$J$8:$M$18,11,FALSE)</f>
        <v>3</v>
      </c>
      <c r="V2636" s="81">
        <f>HLOOKUP(O2636,データについて!$J$9:$M$18,10,FALSE)</f>
        <v>4</v>
      </c>
      <c r="W2636" s="81">
        <f>HLOOKUP(P2636,データについて!$J$10:$M$18,9,FALSE)</f>
        <v>1</v>
      </c>
      <c r="X2636" s="81">
        <f>HLOOKUP(Q2636,データについて!$J$11:$M$18,8,FALSE)</f>
        <v>2</v>
      </c>
      <c r="Y2636" s="81">
        <f>HLOOKUP(R2636,データについて!$J$12:$M$18,7,FALSE)</f>
        <v>3</v>
      </c>
      <c r="Z2636" s="81">
        <f>HLOOKUP(I2636,データについて!$J$3:$M$18,16,FALSE)</f>
        <v>1</v>
      </c>
      <c r="AA2636" s="81">
        <f>IFERROR(HLOOKUP(J2636,データについて!$J$4:$AH$19,16,FALSE),"")</f>
        <v>14</v>
      </c>
      <c r="AB2636" s="81" t="str">
        <f>IFERROR(HLOOKUP(K2636,データについて!$J$5:$AH$20,14,FALSE),"")</f>
        <v/>
      </c>
      <c r="AC2636" s="81" t="str">
        <f>IF(X2636=1,HLOOKUP(R2636,データについて!$J$12:$M$18,7,FALSE),"*")</f>
        <v>*</v>
      </c>
      <c r="AD2636" s="81">
        <f>IF(X2636=2,HLOOKUP(R2636,データについて!$J$12:$M$18,7,FALSE),"*")</f>
        <v>3</v>
      </c>
    </row>
    <row r="2637" spans="1:30">
      <c r="A2637" s="30">
        <v>2555</v>
      </c>
      <c r="B2637" s="30" t="s">
        <v>495</v>
      </c>
      <c r="C2637" s="30" t="s">
        <v>496</v>
      </c>
      <c r="D2637" s="30" t="s">
        <v>106</v>
      </c>
      <c r="E2637" s="30"/>
      <c r="F2637" s="30" t="s">
        <v>107</v>
      </c>
      <c r="G2637" s="30" t="s">
        <v>106</v>
      </c>
      <c r="H2637" s="30"/>
      <c r="I2637" s="30" t="s">
        <v>192</v>
      </c>
      <c r="J2637" s="30" t="s">
        <v>127</v>
      </c>
      <c r="K2637" s="30"/>
      <c r="L2637" s="30" t="s">
        <v>108</v>
      </c>
      <c r="M2637" s="30" t="s">
        <v>113</v>
      </c>
      <c r="N2637" s="30" t="s">
        <v>122</v>
      </c>
      <c r="O2637" s="30" t="s">
        <v>115</v>
      </c>
      <c r="P2637" s="30" t="s">
        <v>112</v>
      </c>
      <c r="Q2637" s="30" t="s">
        <v>118</v>
      </c>
      <c r="R2637" s="30" t="s">
        <v>185</v>
      </c>
      <c r="S2637" s="81">
        <f>HLOOKUP(L2637,データについて!$J$6:$M$18,13,FALSE)</f>
        <v>1</v>
      </c>
      <c r="T2637" s="81">
        <f>HLOOKUP(M2637,データについて!$J$7:$M$18,12,FALSE)</f>
        <v>1</v>
      </c>
      <c r="U2637" s="81">
        <f>HLOOKUP(N2637,データについて!$J$8:$M$18,11,FALSE)</f>
        <v>3</v>
      </c>
      <c r="V2637" s="81">
        <f>HLOOKUP(O2637,データについて!$J$9:$M$18,10,FALSE)</f>
        <v>1</v>
      </c>
      <c r="W2637" s="81">
        <f>HLOOKUP(P2637,データについて!$J$10:$M$18,9,FALSE)</f>
        <v>1</v>
      </c>
      <c r="X2637" s="81">
        <f>HLOOKUP(Q2637,データについて!$J$11:$M$18,8,FALSE)</f>
        <v>2</v>
      </c>
      <c r="Y2637" s="81">
        <f>HLOOKUP(R2637,データについて!$J$12:$M$18,7,FALSE)</f>
        <v>2</v>
      </c>
      <c r="Z2637" s="81">
        <f>HLOOKUP(I2637,データについて!$J$3:$M$18,16,FALSE)</f>
        <v>1</v>
      </c>
      <c r="AA2637" s="81">
        <f>IFERROR(HLOOKUP(J2637,データについて!$J$4:$AH$19,16,FALSE),"")</f>
        <v>14</v>
      </c>
      <c r="AB2637" s="81" t="str">
        <f>IFERROR(HLOOKUP(K2637,データについて!$J$5:$AH$20,14,FALSE),"")</f>
        <v/>
      </c>
      <c r="AC2637" s="81" t="str">
        <f>IF(X2637=1,HLOOKUP(R2637,データについて!$J$12:$M$18,7,FALSE),"*")</f>
        <v>*</v>
      </c>
      <c r="AD2637" s="81">
        <f>IF(X2637=2,HLOOKUP(R2637,データについて!$J$12:$M$18,7,FALSE),"*")</f>
        <v>2</v>
      </c>
    </row>
    <row r="2638" spans="1:30">
      <c r="A2638" s="30">
        <v>2554</v>
      </c>
      <c r="B2638" s="30" t="s">
        <v>497</v>
      </c>
      <c r="C2638" s="30" t="s">
        <v>498</v>
      </c>
      <c r="D2638" s="30" t="s">
        <v>106</v>
      </c>
      <c r="E2638" s="30"/>
      <c r="F2638" s="30" t="s">
        <v>107</v>
      </c>
      <c r="G2638" s="30" t="s">
        <v>106</v>
      </c>
      <c r="H2638" s="30"/>
      <c r="I2638" s="30" t="s">
        <v>192</v>
      </c>
      <c r="J2638" s="30" t="s">
        <v>127</v>
      </c>
      <c r="K2638" s="30"/>
      <c r="L2638" s="30" t="s">
        <v>108</v>
      </c>
      <c r="M2638" s="30" t="s">
        <v>109</v>
      </c>
      <c r="N2638" s="30" t="s">
        <v>114</v>
      </c>
      <c r="O2638" s="30" t="s">
        <v>115</v>
      </c>
      <c r="P2638" s="30" t="s">
        <v>112</v>
      </c>
      <c r="Q2638" s="30" t="s">
        <v>112</v>
      </c>
      <c r="R2638" s="30" t="s">
        <v>187</v>
      </c>
      <c r="S2638" s="81">
        <f>HLOOKUP(L2638,データについて!$J$6:$M$18,13,FALSE)</f>
        <v>1</v>
      </c>
      <c r="T2638" s="81">
        <f>HLOOKUP(M2638,データについて!$J$7:$M$18,12,FALSE)</f>
        <v>2</v>
      </c>
      <c r="U2638" s="81">
        <f>HLOOKUP(N2638,データについて!$J$8:$M$18,11,FALSE)</f>
        <v>1</v>
      </c>
      <c r="V2638" s="81">
        <f>HLOOKUP(O2638,データについて!$J$9:$M$18,10,FALSE)</f>
        <v>1</v>
      </c>
      <c r="W2638" s="81">
        <f>HLOOKUP(P2638,データについて!$J$10:$M$18,9,FALSE)</f>
        <v>1</v>
      </c>
      <c r="X2638" s="81">
        <f>HLOOKUP(Q2638,データについて!$J$11:$M$18,8,FALSE)</f>
        <v>1</v>
      </c>
      <c r="Y2638" s="81">
        <f>HLOOKUP(R2638,データについて!$J$12:$M$18,7,FALSE)</f>
        <v>3</v>
      </c>
      <c r="Z2638" s="81">
        <f>HLOOKUP(I2638,データについて!$J$3:$M$18,16,FALSE)</f>
        <v>1</v>
      </c>
      <c r="AA2638" s="81">
        <f>IFERROR(HLOOKUP(J2638,データについて!$J$4:$AH$19,16,FALSE),"")</f>
        <v>14</v>
      </c>
      <c r="AB2638" s="81" t="str">
        <f>IFERROR(HLOOKUP(K2638,データについて!$J$5:$AH$20,14,FALSE),"")</f>
        <v/>
      </c>
      <c r="AC2638" s="81">
        <f>IF(X2638=1,HLOOKUP(R2638,データについて!$J$12:$M$18,7,FALSE),"*")</f>
        <v>3</v>
      </c>
      <c r="AD2638" s="81" t="str">
        <f>IF(X2638=2,HLOOKUP(R2638,データについて!$J$12:$M$18,7,FALSE),"*")</f>
        <v>*</v>
      </c>
    </row>
    <row r="2639" spans="1:30">
      <c r="A2639" s="30">
        <v>2553</v>
      </c>
      <c r="B2639" s="30" t="s">
        <v>499</v>
      </c>
      <c r="C2639" s="30" t="s">
        <v>500</v>
      </c>
      <c r="D2639" s="30" t="s">
        <v>106</v>
      </c>
      <c r="E2639" s="30"/>
      <c r="F2639" s="30" t="s">
        <v>107</v>
      </c>
      <c r="G2639" s="30" t="s">
        <v>106</v>
      </c>
      <c r="H2639" s="30"/>
      <c r="I2639" s="30" t="s">
        <v>192</v>
      </c>
      <c r="J2639" s="30" t="s">
        <v>127</v>
      </c>
      <c r="K2639" s="30"/>
      <c r="L2639" s="30" t="s">
        <v>108</v>
      </c>
      <c r="M2639" s="30" t="s">
        <v>109</v>
      </c>
      <c r="N2639" s="30" t="s">
        <v>114</v>
      </c>
      <c r="O2639" s="30" t="s">
        <v>115</v>
      </c>
      <c r="P2639" s="30" t="s">
        <v>112</v>
      </c>
      <c r="Q2639" s="30" t="s">
        <v>112</v>
      </c>
      <c r="R2639" s="30" t="s">
        <v>185</v>
      </c>
      <c r="S2639" s="81">
        <f>HLOOKUP(L2639,データについて!$J$6:$M$18,13,FALSE)</f>
        <v>1</v>
      </c>
      <c r="T2639" s="81">
        <f>HLOOKUP(M2639,データについて!$J$7:$M$18,12,FALSE)</f>
        <v>2</v>
      </c>
      <c r="U2639" s="81">
        <f>HLOOKUP(N2639,データについて!$J$8:$M$18,11,FALSE)</f>
        <v>1</v>
      </c>
      <c r="V2639" s="81">
        <f>HLOOKUP(O2639,データについて!$J$9:$M$18,10,FALSE)</f>
        <v>1</v>
      </c>
      <c r="W2639" s="81">
        <f>HLOOKUP(P2639,データについて!$J$10:$M$18,9,FALSE)</f>
        <v>1</v>
      </c>
      <c r="X2639" s="81">
        <f>HLOOKUP(Q2639,データについて!$J$11:$M$18,8,FALSE)</f>
        <v>1</v>
      </c>
      <c r="Y2639" s="81">
        <f>HLOOKUP(R2639,データについて!$J$12:$M$18,7,FALSE)</f>
        <v>2</v>
      </c>
      <c r="Z2639" s="81">
        <f>HLOOKUP(I2639,データについて!$J$3:$M$18,16,FALSE)</f>
        <v>1</v>
      </c>
      <c r="AA2639" s="81">
        <f>IFERROR(HLOOKUP(J2639,データについて!$J$4:$AH$19,16,FALSE),"")</f>
        <v>14</v>
      </c>
      <c r="AB2639" s="81" t="str">
        <f>IFERROR(HLOOKUP(K2639,データについて!$J$5:$AH$20,14,FALSE),"")</f>
        <v/>
      </c>
      <c r="AC2639" s="81">
        <f>IF(X2639=1,HLOOKUP(R2639,データについて!$J$12:$M$18,7,FALSE),"*")</f>
        <v>2</v>
      </c>
      <c r="AD2639" s="81" t="str">
        <f>IF(X2639=2,HLOOKUP(R2639,データについて!$J$12:$M$18,7,FALSE),"*")</f>
        <v>*</v>
      </c>
    </row>
    <row r="2640" spans="1:30">
      <c r="A2640" s="30">
        <v>2552</v>
      </c>
      <c r="B2640" s="30" t="s">
        <v>501</v>
      </c>
      <c r="C2640" s="30" t="s">
        <v>502</v>
      </c>
      <c r="D2640" s="30" t="s">
        <v>106</v>
      </c>
      <c r="E2640" s="30"/>
      <c r="F2640" s="30" t="s">
        <v>107</v>
      </c>
      <c r="G2640" s="30" t="s">
        <v>106</v>
      </c>
      <c r="H2640" s="30"/>
      <c r="I2640" s="30" t="s">
        <v>192</v>
      </c>
      <c r="J2640" s="30" t="s">
        <v>127</v>
      </c>
      <c r="K2640" s="30"/>
      <c r="L2640" s="30" t="s">
        <v>108</v>
      </c>
      <c r="M2640" s="30" t="s">
        <v>109</v>
      </c>
      <c r="N2640" s="30" t="s">
        <v>114</v>
      </c>
      <c r="O2640" s="30" t="s">
        <v>116</v>
      </c>
      <c r="P2640" s="30" t="s">
        <v>112</v>
      </c>
      <c r="Q2640" s="30" t="s">
        <v>118</v>
      </c>
      <c r="R2640" s="30" t="s">
        <v>187</v>
      </c>
      <c r="S2640" s="81">
        <f>HLOOKUP(L2640,データについて!$J$6:$M$18,13,FALSE)</f>
        <v>1</v>
      </c>
      <c r="T2640" s="81">
        <f>HLOOKUP(M2640,データについて!$J$7:$M$18,12,FALSE)</f>
        <v>2</v>
      </c>
      <c r="U2640" s="81">
        <f>HLOOKUP(N2640,データについて!$J$8:$M$18,11,FALSE)</f>
        <v>1</v>
      </c>
      <c r="V2640" s="81">
        <f>HLOOKUP(O2640,データについて!$J$9:$M$18,10,FALSE)</f>
        <v>2</v>
      </c>
      <c r="W2640" s="81">
        <f>HLOOKUP(P2640,データについて!$J$10:$M$18,9,FALSE)</f>
        <v>1</v>
      </c>
      <c r="X2640" s="81">
        <f>HLOOKUP(Q2640,データについて!$J$11:$M$18,8,FALSE)</f>
        <v>2</v>
      </c>
      <c r="Y2640" s="81">
        <f>HLOOKUP(R2640,データについて!$J$12:$M$18,7,FALSE)</f>
        <v>3</v>
      </c>
      <c r="Z2640" s="81">
        <f>HLOOKUP(I2640,データについて!$J$3:$M$18,16,FALSE)</f>
        <v>1</v>
      </c>
      <c r="AA2640" s="81">
        <f>IFERROR(HLOOKUP(J2640,データについて!$J$4:$AH$19,16,FALSE),"")</f>
        <v>14</v>
      </c>
      <c r="AB2640" s="81" t="str">
        <f>IFERROR(HLOOKUP(K2640,データについて!$J$5:$AH$20,14,FALSE),"")</f>
        <v/>
      </c>
      <c r="AC2640" s="81" t="str">
        <f>IF(X2640=1,HLOOKUP(R2640,データについて!$J$12:$M$18,7,FALSE),"*")</f>
        <v>*</v>
      </c>
      <c r="AD2640" s="81">
        <f>IF(X2640=2,HLOOKUP(R2640,データについて!$J$12:$M$18,7,FALSE),"*")</f>
        <v>3</v>
      </c>
    </row>
    <row r="2641" spans="1:30">
      <c r="A2641" s="30">
        <v>2551</v>
      </c>
      <c r="B2641" s="30" t="s">
        <v>503</v>
      </c>
      <c r="C2641" s="30" t="s">
        <v>504</v>
      </c>
      <c r="D2641" s="30" t="s">
        <v>106</v>
      </c>
      <c r="E2641" s="30"/>
      <c r="F2641" s="30" t="s">
        <v>107</v>
      </c>
      <c r="G2641" s="30" t="s">
        <v>106</v>
      </c>
      <c r="H2641" s="30"/>
      <c r="I2641" s="30" t="s">
        <v>192</v>
      </c>
      <c r="J2641" s="30" t="s">
        <v>127</v>
      </c>
      <c r="K2641" s="30"/>
      <c r="L2641" s="30" t="s">
        <v>108</v>
      </c>
      <c r="M2641" s="30" t="s">
        <v>113</v>
      </c>
      <c r="N2641" s="30" t="s">
        <v>114</v>
      </c>
      <c r="O2641" s="30" t="s">
        <v>115</v>
      </c>
      <c r="P2641" s="30" t="s">
        <v>112</v>
      </c>
      <c r="Q2641" s="30" t="s">
        <v>118</v>
      </c>
      <c r="R2641" s="30" t="s">
        <v>185</v>
      </c>
      <c r="S2641" s="81">
        <f>HLOOKUP(L2641,データについて!$J$6:$M$18,13,FALSE)</f>
        <v>1</v>
      </c>
      <c r="T2641" s="81">
        <f>HLOOKUP(M2641,データについて!$J$7:$M$18,12,FALSE)</f>
        <v>1</v>
      </c>
      <c r="U2641" s="81">
        <f>HLOOKUP(N2641,データについて!$J$8:$M$18,11,FALSE)</f>
        <v>1</v>
      </c>
      <c r="V2641" s="81">
        <f>HLOOKUP(O2641,データについて!$J$9:$M$18,10,FALSE)</f>
        <v>1</v>
      </c>
      <c r="W2641" s="81">
        <f>HLOOKUP(P2641,データについて!$J$10:$M$18,9,FALSE)</f>
        <v>1</v>
      </c>
      <c r="X2641" s="81">
        <f>HLOOKUP(Q2641,データについて!$J$11:$M$18,8,FALSE)</f>
        <v>2</v>
      </c>
      <c r="Y2641" s="81">
        <f>HLOOKUP(R2641,データについて!$J$12:$M$18,7,FALSE)</f>
        <v>2</v>
      </c>
      <c r="Z2641" s="81">
        <f>HLOOKUP(I2641,データについて!$J$3:$M$18,16,FALSE)</f>
        <v>1</v>
      </c>
      <c r="AA2641" s="81">
        <f>IFERROR(HLOOKUP(J2641,データについて!$J$4:$AH$19,16,FALSE),"")</f>
        <v>14</v>
      </c>
      <c r="AB2641" s="81" t="str">
        <f>IFERROR(HLOOKUP(K2641,データについて!$J$5:$AH$20,14,FALSE),"")</f>
        <v/>
      </c>
      <c r="AC2641" s="81" t="str">
        <f>IF(X2641=1,HLOOKUP(R2641,データについて!$J$12:$M$18,7,FALSE),"*")</f>
        <v>*</v>
      </c>
      <c r="AD2641" s="81">
        <f>IF(X2641=2,HLOOKUP(R2641,データについて!$J$12:$M$18,7,FALSE),"*")</f>
        <v>2</v>
      </c>
    </row>
    <row r="2642" spans="1:30">
      <c r="A2642" s="30">
        <v>2550</v>
      </c>
      <c r="B2642" s="30" t="s">
        <v>505</v>
      </c>
      <c r="C2642" s="30" t="s">
        <v>506</v>
      </c>
      <c r="D2642" s="30" t="s">
        <v>106</v>
      </c>
      <c r="E2642" s="30"/>
      <c r="F2642" s="30" t="s">
        <v>107</v>
      </c>
      <c r="G2642" s="30" t="s">
        <v>106</v>
      </c>
      <c r="H2642" s="30"/>
      <c r="I2642" s="30" t="s">
        <v>192</v>
      </c>
      <c r="J2642" s="30" t="s">
        <v>127</v>
      </c>
      <c r="K2642" s="30"/>
      <c r="L2642" s="30" t="s">
        <v>108</v>
      </c>
      <c r="M2642" s="30" t="s">
        <v>109</v>
      </c>
      <c r="N2642" s="30" t="s">
        <v>110</v>
      </c>
      <c r="O2642" s="30" t="s">
        <v>115</v>
      </c>
      <c r="P2642" s="30" t="s">
        <v>112</v>
      </c>
      <c r="Q2642" s="30" t="s">
        <v>112</v>
      </c>
      <c r="R2642" s="30" t="s">
        <v>185</v>
      </c>
      <c r="S2642" s="81">
        <f>HLOOKUP(L2642,データについて!$J$6:$M$18,13,FALSE)</f>
        <v>1</v>
      </c>
      <c r="T2642" s="81">
        <f>HLOOKUP(M2642,データについて!$J$7:$M$18,12,FALSE)</f>
        <v>2</v>
      </c>
      <c r="U2642" s="81">
        <f>HLOOKUP(N2642,データについて!$J$8:$M$18,11,FALSE)</f>
        <v>2</v>
      </c>
      <c r="V2642" s="81">
        <f>HLOOKUP(O2642,データについて!$J$9:$M$18,10,FALSE)</f>
        <v>1</v>
      </c>
      <c r="W2642" s="81">
        <f>HLOOKUP(P2642,データについて!$J$10:$M$18,9,FALSE)</f>
        <v>1</v>
      </c>
      <c r="X2642" s="81">
        <f>HLOOKUP(Q2642,データについて!$J$11:$M$18,8,FALSE)</f>
        <v>1</v>
      </c>
      <c r="Y2642" s="81">
        <f>HLOOKUP(R2642,データについて!$J$12:$M$18,7,FALSE)</f>
        <v>2</v>
      </c>
      <c r="Z2642" s="81">
        <f>HLOOKUP(I2642,データについて!$J$3:$M$18,16,FALSE)</f>
        <v>1</v>
      </c>
      <c r="AA2642" s="81">
        <f>IFERROR(HLOOKUP(J2642,データについて!$J$4:$AH$19,16,FALSE),"")</f>
        <v>14</v>
      </c>
      <c r="AB2642" s="81" t="str">
        <f>IFERROR(HLOOKUP(K2642,データについて!$J$5:$AH$20,14,FALSE),"")</f>
        <v/>
      </c>
      <c r="AC2642" s="81">
        <f>IF(X2642=1,HLOOKUP(R2642,データについて!$J$12:$M$18,7,FALSE),"*")</f>
        <v>2</v>
      </c>
      <c r="AD2642" s="81" t="str">
        <f>IF(X2642=2,HLOOKUP(R2642,データについて!$J$12:$M$18,7,FALSE),"*")</f>
        <v>*</v>
      </c>
    </row>
    <row r="2643" spans="1:30">
      <c r="A2643" s="30">
        <v>2549</v>
      </c>
      <c r="B2643" s="30" t="s">
        <v>507</v>
      </c>
      <c r="C2643" s="30" t="s">
        <v>506</v>
      </c>
      <c r="D2643" s="30" t="s">
        <v>106</v>
      </c>
      <c r="E2643" s="30"/>
      <c r="F2643" s="30" t="s">
        <v>107</v>
      </c>
      <c r="G2643" s="30" t="s">
        <v>106</v>
      </c>
      <c r="H2643" s="30"/>
      <c r="I2643" s="30" t="s">
        <v>192</v>
      </c>
      <c r="J2643" s="30" t="s">
        <v>127</v>
      </c>
      <c r="K2643" s="30"/>
      <c r="L2643" s="30" t="s">
        <v>117</v>
      </c>
      <c r="M2643" s="30" t="s">
        <v>109</v>
      </c>
      <c r="N2643" s="30" t="s">
        <v>110</v>
      </c>
      <c r="O2643" s="30" t="s">
        <v>115</v>
      </c>
      <c r="P2643" s="30" t="s">
        <v>112</v>
      </c>
      <c r="Q2643" s="30" t="s">
        <v>112</v>
      </c>
      <c r="R2643" s="30" t="s">
        <v>185</v>
      </c>
      <c r="S2643" s="81">
        <f>HLOOKUP(L2643,データについて!$J$6:$M$18,13,FALSE)</f>
        <v>2</v>
      </c>
      <c r="T2643" s="81">
        <f>HLOOKUP(M2643,データについて!$J$7:$M$18,12,FALSE)</f>
        <v>2</v>
      </c>
      <c r="U2643" s="81">
        <f>HLOOKUP(N2643,データについて!$J$8:$M$18,11,FALSE)</f>
        <v>2</v>
      </c>
      <c r="V2643" s="81">
        <f>HLOOKUP(O2643,データについて!$J$9:$M$18,10,FALSE)</f>
        <v>1</v>
      </c>
      <c r="W2643" s="81">
        <f>HLOOKUP(P2643,データについて!$J$10:$M$18,9,FALSE)</f>
        <v>1</v>
      </c>
      <c r="X2643" s="81">
        <f>HLOOKUP(Q2643,データについて!$J$11:$M$18,8,FALSE)</f>
        <v>1</v>
      </c>
      <c r="Y2643" s="81">
        <f>HLOOKUP(R2643,データについて!$J$12:$M$18,7,FALSE)</f>
        <v>2</v>
      </c>
      <c r="Z2643" s="81">
        <f>HLOOKUP(I2643,データについて!$J$3:$M$18,16,FALSE)</f>
        <v>1</v>
      </c>
      <c r="AA2643" s="81">
        <f>IFERROR(HLOOKUP(J2643,データについて!$J$4:$AH$19,16,FALSE),"")</f>
        <v>14</v>
      </c>
      <c r="AB2643" s="81" t="str">
        <f>IFERROR(HLOOKUP(K2643,データについて!$J$5:$AH$20,14,FALSE),"")</f>
        <v/>
      </c>
      <c r="AC2643" s="81">
        <f>IF(X2643=1,HLOOKUP(R2643,データについて!$J$12:$M$18,7,FALSE),"*")</f>
        <v>2</v>
      </c>
      <c r="AD2643" s="81" t="str">
        <f>IF(X2643=2,HLOOKUP(R2643,データについて!$J$12:$M$18,7,FALSE),"*")</f>
        <v>*</v>
      </c>
    </row>
    <row r="2644" spans="1:30">
      <c r="A2644" s="30">
        <v>2548</v>
      </c>
      <c r="B2644" s="30" t="s">
        <v>508</v>
      </c>
      <c r="C2644" s="30" t="s">
        <v>509</v>
      </c>
      <c r="D2644" s="30" t="s">
        <v>106</v>
      </c>
      <c r="E2644" s="30"/>
      <c r="F2644" s="30" t="s">
        <v>107</v>
      </c>
      <c r="G2644" s="30" t="s">
        <v>106</v>
      </c>
      <c r="H2644" s="30"/>
      <c r="I2644" s="30" t="s">
        <v>192</v>
      </c>
      <c r="J2644" s="30" t="s">
        <v>127</v>
      </c>
      <c r="K2644" s="30"/>
      <c r="L2644" s="30" t="s">
        <v>108</v>
      </c>
      <c r="M2644" s="30" t="s">
        <v>109</v>
      </c>
      <c r="N2644" s="30" t="s">
        <v>110</v>
      </c>
      <c r="O2644" s="30" t="s">
        <v>115</v>
      </c>
      <c r="P2644" s="30" t="s">
        <v>112</v>
      </c>
      <c r="Q2644" s="30" t="s">
        <v>118</v>
      </c>
      <c r="R2644" s="30" t="s">
        <v>187</v>
      </c>
      <c r="S2644" s="81">
        <f>HLOOKUP(L2644,データについて!$J$6:$M$18,13,FALSE)</f>
        <v>1</v>
      </c>
      <c r="T2644" s="81">
        <f>HLOOKUP(M2644,データについて!$J$7:$M$18,12,FALSE)</f>
        <v>2</v>
      </c>
      <c r="U2644" s="81">
        <f>HLOOKUP(N2644,データについて!$J$8:$M$18,11,FALSE)</f>
        <v>2</v>
      </c>
      <c r="V2644" s="81">
        <f>HLOOKUP(O2644,データについて!$J$9:$M$18,10,FALSE)</f>
        <v>1</v>
      </c>
      <c r="W2644" s="81">
        <f>HLOOKUP(P2644,データについて!$J$10:$M$18,9,FALSE)</f>
        <v>1</v>
      </c>
      <c r="X2644" s="81">
        <f>HLOOKUP(Q2644,データについて!$J$11:$M$18,8,FALSE)</f>
        <v>2</v>
      </c>
      <c r="Y2644" s="81">
        <f>HLOOKUP(R2644,データについて!$J$12:$M$18,7,FALSE)</f>
        <v>3</v>
      </c>
      <c r="Z2644" s="81">
        <f>HLOOKUP(I2644,データについて!$J$3:$M$18,16,FALSE)</f>
        <v>1</v>
      </c>
      <c r="AA2644" s="81">
        <f>IFERROR(HLOOKUP(J2644,データについて!$J$4:$AH$19,16,FALSE),"")</f>
        <v>14</v>
      </c>
      <c r="AB2644" s="81" t="str">
        <f>IFERROR(HLOOKUP(K2644,データについて!$J$5:$AH$20,14,FALSE),"")</f>
        <v/>
      </c>
      <c r="AC2644" s="81" t="str">
        <f>IF(X2644=1,HLOOKUP(R2644,データについて!$J$12:$M$18,7,FALSE),"*")</f>
        <v>*</v>
      </c>
      <c r="AD2644" s="81">
        <f>IF(X2644=2,HLOOKUP(R2644,データについて!$J$12:$M$18,7,FALSE),"*")</f>
        <v>3</v>
      </c>
    </row>
    <row r="2645" spans="1:30">
      <c r="A2645" s="30">
        <v>2547</v>
      </c>
      <c r="B2645" s="30" t="s">
        <v>510</v>
      </c>
      <c r="C2645" s="30" t="s">
        <v>511</v>
      </c>
      <c r="D2645" s="30" t="s">
        <v>106</v>
      </c>
      <c r="E2645" s="30"/>
      <c r="F2645" s="30" t="s">
        <v>107</v>
      </c>
      <c r="G2645" s="30" t="s">
        <v>106</v>
      </c>
      <c r="H2645" s="30"/>
      <c r="I2645" s="30" t="s">
        <v>192</v>
      </c>
      <c r="J2645" s="30" t="s">
        <v>127</v>
      </c>
      <c r="K2645" s="30"/>
      <c r="L2645" s="30" t="s">
        <v>108</v>
      </c>
      <c r="M2645" s="30" t="s">
        <v>124</v>
      </c>
      <c r="N2645" s="30" t="s">
        <v>110</v>
      </c>
      <c r="O2645" s="30" t="s">
        <v>115</v>
      </c>
      <c r="P2645" s="30" t="s">
        <v>112</v>
      </c>
      <c r="Q2645" s="30" t="s">
        <v>112</v>
      </c>
      <c r="R2645" s="30" t="s">
        <v>185</v>
      </c>
      <c r="S2645" s="81">
        <f>HLOOKUP(L2645,データについて!$J$6:$M$18,13,FALSE)</f>
        <v>1</v>
      </c>
      <c r="T2645" s="81">
        <f>HLOOKUP(M2645,データについて!$J$7:$M$18,12,FALSE)</f>
        <v>3</v>
      </c>
      <c r="U2645" s="81">
        <f>HLOOKUP(N2645,データについて!$J$8:$M$18,11,FALSE)</f>
        <v>2</v>
      </c>
      <c r="V2645" s="81">
        <f>HLOOKUP(O2645,データについて!$J$9:$M$18,10,FALSE)</f>
        <v>1</v>
      </c>
      <c r="W2645" s="81">
        <f>HLOOKUP(P2645,データについて!$J$10:$M$18,9,FALSE)</f>
        <v>1</v>
      </c>
      <c r="X2645" s="81">
        <f>HLOOKUP(Q2645,データについて!$J$11:$M$18,8,FALSE)</f>
        <v>1</v>
      </c>
      <c r="Y2645" s="81">
        <f>HLOOKUP(R2645,データについて!$J$12:$M$18,7,FALSE)</f>
        <v>2</v>
      </c>
      <c r="Z2645" s="81">
        <f>HLOOKUP(I2645,データについて!$J$3:$M$18,16,FALSE)</f>
        <v>1</v>
      </c>
      <c r="AA2645" s="81">
        <f>IFERROR(HLOOKUP(J2645,データについて!$J$4:$AH$19,16,FALSE),"")</f>
        <v>14</v>
      </c>
      <c r="AB2645" s="81" t="str">
        <f>IFERROR(HLOOKUP(K2645,データについて!$J$5:$AH$20,14,FALSE),"")</f>
        <v/>
      </c>
      <c r="AC2645" s="81">
        <f>IF(X2645=1,HLOOKUP(R2645,データについて!$J$12:$M$18,7,FALSE),"*")</f>
        <v>2</v>
      </c>
      <c r="AD2645" s="81" t="str">
        <f>IF(X2645=2,HLOOKUP(R2645,データについて!$J$12:$M$18,7,FALSE),"*")</f>
        <v>*</v>
      </c>
    </row>
    <row r="2646" spans="1:30">
      <c r="A2646" s="30">
        <v>2546</v>
      </c>
      <c r="B2646" s="30" t="s">
        <v>512</v>
      </c>
      <c r="C2646" s="30" t="s">
        <v>513</v>
      </c>
      <c r="D2646" s="30" t="s">
        <v>106</v>
      </c>
      <c r="E2646" s="30"/>
      <c r="F2646" s="30" t="s">
        <v>107</v>
      </c>
      <c r="G2646" s="30" t="s">
        <v>106</v>
      </c>
      <c r="H2646" s="30"/>
      <c r="I2646" s="30" t="s">
        <v>192</v>
      </c>
      <c r="J2646" s="30" t="s">
        <v>127</v>
      </c>
      <c r="K2646" s="30"/>
      <c r="L2646" s="30" t="s">
        <v>108</v>
      </c>
      <c r="M2646" s="30" t="s">
        <v>109</v>
      </c>
      <c r="N2646" s="30" t="s">
        <v>114</v>
      </c>
      <c r="O2646" s="30" t="s">
        <v>115</v>
      </c>
      <c r="P2646" s="30" t="s">
        <v>112</v>
      </c>
      <c r="Q2646" s="30" t="s">
        <v>112</v>
      </c>
      <c r="R2646" s="30" t="s">
        <v>185</v>
      </c>
      <c r="S2646" s="81">
        <f>HLOOKUP(L2646,データについて!$J$6:$M$18,13,FALSE)</f>
        <v>1</v>
      </c>
      <c r="T2646" s="81">
        <f>HLOOKUP(M2646,データについて!$J$7:$M$18,12,FALSE)</f>
        <v>2</v>
      </c>
      <c r="U2646" s="81">
        <f>HLOOKUP(N2646,データについて!$J$8:$M$18,11,FALSE)</f>
        <v>1</v>
      </c>
      <c r="V2646" s="81">
        <f>HLOOKUP(O2646,データについて!$J$9:$M$18,10,FALSE)</f>
        <v>1</v>
      </c>
      <c r="W2646" s="81">
        <f>HLOOKUP(P2646,データについて!$J$10:$M$18,9,FALSE)</f>
        <v>1</v>
      </c>
      <c r="X2646" s="81">
        <f>HLOOKUP(Q2646,データについて!$J$11:$M$18,8,FALSE)</f>
        <v>1</v>
      </c>
      <c r="Y2646" s="81">
        <f>HLOOKUP(R2646,データについて!$J$12:$M$18,7,FALSE)</f>
        <v>2</v>
      </c>
      <c r="Z2646" s="81">
        <f>HLOOKUP(I2646,データについて!$J$3:$M$18,16,FALSE)</f>
        <v>1</v>
      </c>
      <c r="AA2646" s="81">
        <f>IFERROR(HLOOKUP(J2646,データについて!$J$4:$AH$19,16,FALSE),"")</f>
        <v>14</v>
      </c>
      <c r="AB2646" s="81" t="str">
        <f>IFERROR(HLOOKUP(K2646,データについて!$J$5:$AH$20,14,FALSE),"")</f>
        <v/>
      </c>
      <c r="AC2646" s="81">
        <f>IF(X2646=1,HLOOKUP(R2646,データについて!$J$12:$M$18,7,FALSE),"*")</f>
        <v>2</v>
      </c>
      <c r="AD2646" s="81" t="str">
        <f>IF(X2646=2,HLOOKUP(R2646,データについて!$J$12:$M$18,7,FALSE),"*")</f>
        <v>*</v>
      </c>
    </row>
    <row r="2647" spans="1:30">
      <c r="A2647" s="30">
        <v>2545</v>
      </c>
      <c r="B2647" s="30" t="s">
        <v>514</v>
      </c>
      <c r="C2647" s="30" t="s">
        <v>515</v>
      </c>
      <c r="D2647" s="30" t="s">
        <v>106</v>
      </c>
      <c r="E2647" s="30"/>
      <c r="F2647" s="30" t="s">
        <v>107</v>
      </c>
      <c r="G2647" s="30" t="s">
        <v>106</v>
      </c>
      <c r="H2647" s="30"/>
      <c r="I2647" s="30" t="s">
        <v>192</v>
      </c>
      <c r="J2647" s="30" t="s">
        <v>127</v>
      </c>
      <c r="K2647" s="30"/>
      <c r="L2647" s="30" t="s">
        <v>108</v>
      </c>
      <c r="M2647" s="30" t="s">
        <v>113</v>
      </c>
      <c r="N2647" s="30" t="s">
        <v>114</v>
      </c>
      <c r="O2647" s="30" t="s">
        <v>115</v>
      </c>
      <c r="P2647" s="30" t="s">
        <v>112</v>
      </c>
      <c r="Q2647" s="30" t="s">
        <v>118</v>
      </c>
      <c r="R2647" s="30" t="s">
        <v>185</v>
      </c>
      <c r="S2647" s="81">
        <f>HLOOKUP(L2647,データについて!$J$6:$M$18,13,FALSE)</f>
        <v>1</v>
      </c>
      <c r="T2647" s="81">
        <f>HLOOKUP(M2647,データについて!$J$7:$M$18,12,FALSE)</f>
        <v>1</v>
      </c>
      <c r="U2647" s="81">
        <f>HLOOKUP(N2647,データについて!$J$8:$M$18,11,FALSE)</f>
        <v>1</v>
      </c>
      <c r="V2647" s="81">
        <f>HLOOKUP(O2647,データについて!$J$9:$M$18,10,FALSE)</f>
        <v>1</v>
      </c>
      <c r="W2647" s="81">
        <f>HLOOKUP(P2647,データについて!$J$10:$M$18,9,FALSE)</f>
        <v>1</v>
      </c>
      <c r="X2647" s="81">
        <f>HLOOKUP(Q2647,データについて!$J$11:$M$18,8,FALSE)</f>
        <v>2</v>
      </c>
      <c r="Y2647" s="81">
        <f>HLOOKUP(R2647,データについて!$J$12:$M$18,7,FALSE)</f>
        <v>2</v>
      </c>
      <c r="Z2647" s="81">
        <f>HLOOKUP(I2647,データについて!$J$3:$M$18,16,FALSE)</f>
        <v>1</v>
      </c>
      <c r="AA2647" s="81">
        <f>IFERROR(HLOOKUP(J2647,データについて!$J$4:$AH$19,16,FALSE),"")</f>
        <v>14</v>
      </c>
      <c r="AB2647" s="81" t="str">
        <f>IFERROR(HLOOKUP(K2647,データについて!$J$5:$AH$20,14,FALSE),"")</f>
        <v/>
      </c>
      <c r="AC2647" s="81" t="str">
        <f>IF(X2647=1,HLOOKUP(R2647,データについて!$J$12:$M$18,7,FALSE),"*")</f>
        <v>*</v>
      </c>
      <c r="AD2647" s="81">
        <f>IF(X2647=2,HLOOKUP(R2647,データについて!$J$12:$M$18,7,FALSE),"*")</f>
        <v>2</v>
      </c>
    </row>
    <row r="2648" spans="1:30">
      <c r="A2648" s="30">
        <v>2544</v>
      </c>
      <c r="B2648" s="30" t="s">
        <v>516</v>
      </c>
      <c r="C2648" s="30" t="s">
        <v>517</v>
      </c>
      <c r="D2648" s="30" t="s">
        <v>106</v>
      </c>
      <c r="E2648" s="30"/>
      <c r="F2648" s="30" t="s">
        <v>107</v>
      </c>
      <c r="G2648" s="30" t="s">
        <v>106</v>
      </c>
      <c r="H2648" s="30"/>
      <c r="I2648" s="30" t="s">
        <v>192</v>
      </c>
      <c r="J2648" s="30" t="s">
        <v>127</v>
      </c>
      <c r="K2648" s="30"/>
      <c r="L2648" s="30" t="s">
        <v>108</v>
      </c>
      <c r="M2648" s="30" t="s">
        <v>109</v>
      </c>
      <c r="N2648" s="30" t="s">
        <v>114</v>
      </c>
      <c r="O2648" s="30" t="s">
        <v>115</v>
      </c>
      <c r="P2648" s="30" t="s">
        <v>112</v>
      </c>
      <c r="Q2648" s="30" t="s">
        <v>112</v>
      </c>
      <c r="R2648" s="30" t="s">
        <v>185</v>
      </c>
      <c r="S2648" s="81">
        <f>HLOOKUP(L2648,データについて!$J$6:$M$18,13,FALSE)</f>
        <v>1</v>
      </c>
      <c r="T2648" s="81">
        <f>HLOOKUP(M2648,データについて!$J$7:$M$18,12,FALSE)</f>
        <v>2</v>
      </c>
      <c r="U2648" s="81">
        <f>HLOOKUP(N2648,データについて!$J$8:$M$18,11,FALSE)</f>
        <v>1</v>
      </c>
      <c r="V2648" s="81">
        <f>HLOOKUP(O2648,データについて!$J$9:$M$18,10,FALSE)</f>
        <v>1</v>
      </c>
      <c r="W2648" s="81">
        <f>HLOOKUP(P2648,データについて!$J$10:$M$18,9,FALSE)</f>
        <v>1</v>
      </c>
      <c r="X2648" s="81">
        <f>HLOOKUP(Q2648,データについて!$J$11:$M$18,8,FALSE)</f>
        <v>1</v>
      </c>
      <c r="Y2648" s="81">
        <f>HLOOKUP(R2648,データについて!$J$12:$M$18,7,FALSE)</f>
        <v>2</v>
      </c>
      <c r="Z2648" s="81">
        <f>HLOOKUP(I2648,データについて!$J$3:$M$18,16,FALSE)</f>
        <v>1</v>
      </c>
      <c r="AA2648" s="81">
        <f>IFERROR(HLOOKUP(J2648,データについて!$J$4:$AH$19,16,FALSE),"")</f>
        <v>14</v>
      </c>
      <c r="AB2648" s="81" t="str">
        <f>IFERROR(HLOOKUP(K2648,データについて!$J$5:$AH$20,14,FALSE),"")</f>
        <v/>
      </c>
      <c r="AC2648" s="81">
        <f>IF(X2648=1,HLOOKUP(R2648,データについて!$J$12:$M$18,7,FALSE),"*")</f>
        <v>2</v>
      </c>
      <c r="AD2648" s="81" t="str">
        <f>IF(X2648=2,HLOOKUP(R2648,データについて!$J$12:$M$18,7,FALSE),"*")</f>
        <v>*</v>
      </c>
    </row>
    <row r="2649" spans="1:30">
      <c r="A2649" s="30">
        <v>2543</v>
      </c>
      <c r="B2649" s="30" t="s">
        <v>518</v>
      </c>
      <c r="C2649" s="30" t="s">
        <v>519</v>
      </c>
      <c r="D2649" s="30" t="s">
        <v>106</v>
      </c>
      <c r="E2649" s="30"/>
      <c r="F2649" s="30" t="s">
        <v>107</v>
      </c>
      <c r="G2649" s="30" t="s">
        <v>106</v>
      </c>
      <c r="H2649" s="30"/>
      <c r="I2649" s="30" t="s">
        <v>192</v>
      </c>
      <c r="J2649" s="30" t="s">
        <v>127</v>
      </c>
      <c r="K2649" s="30"/>
      <c r="L2649" s="30" t="s">
        <v>108</v>
      </c>
      <c r="M2649" s="30" t="s">
        <v>109</v>
      </c>
      <c r="N2649" s="30" t="s">
        <v>114</v>
      </c>
      <c r="O2649" s="30" t="s">
        <v>115</v>
      </c>
      <c r="P2649" s="30" t="s">
        <v>112</v>
      </c>
      <c r="Q2649" s="30" t="s">
        <v>112</v>
      </c>
      <c r="R2649" s="30" t="s">
        <v>183</v>
      </c>
      <c r="S2649" s="81">
        <f>HLOOKUP(L2649,データについて!$J$6:$M$18,13,FALSE)</f>
        <v>1</v>
      </c>
      <c r="T2649" s="81">
        <f>HLOOKUP(M2649,データについて!$J$7:$M$18,12,FALSE)</f>
        <v>2</v>
      </c>
      <c r="U2649" s="81">
        <f>HLOOKUP(N2649,データについて!$J$8:$M$18,11,FALSE)</f>
        <v>1</v>
      </c>
      <c r="V2649" s="81">
        <f>HLOOKUP(O2649,データについて!$J$9:$M$18,10,FALSE)</f>
        <v>1</v>
      </c>
      <c r="W2649" s="81">
        <f>HLOOKUP(P2649,データについて!$J$10:$M$18,9,FALSE)</f>
        <v>1</v>
      </c>
      <c r="X2649" s="81">
        <f>HLOOKUP(Q2649,データについて!$J$11:$M$18,8,FALSE)</f>
        <v>1</v>
      </c>
      <c r="Y2649" s="81">
        <f>HLOOKUP(R2649,データについて!$J$12:$M$18,7,FALSE)</f>
        <v>1</v>
      </c>
      <c r="Z2649" s="81">
        <f>HLOOKUP(I2649,データについて!$J$3:$M$18,16,FALSE)</f>
        <v>1</v>
      </c>
      <c r="AA2649" s="81">
        <f>IFERROR(HLOOKUP(J2649,データについて!$J$4:$AH$19,16,FALSE),"")</f>
        <v>14</v>
      </c>
      <c r="AB2649" s="81" t="str">
        <f>IFERROR(HLOOKUP(K2649,データについて!$J$5:$AH$20,14,FALSE),"")</f>
        <v/>
      </c>
      <c r="AC2649" s="81">
        <f>IF(X2649=1,HLOOKUP(R2649,データについて!$J$12:$M$18,7,FALSE),"*")</f>
        <v>1</v>
      </c>
      <c r="AD2649" s="81" t="str">
        <f>IF(X2649=2,HLOOKUP(R2649,データについて!$J$12:$M$18,7,FALSE),"*")</f>
        <v>*</v>
      </c>
    </row>
    <row r="2650" spans="1:30">
      <c r="A2650" s="30">
        <v>2542</v>
      </c>
      <c r="B2650" s="30" t="s">
        <v>520</v>
      </c>
      <c r="C2650" s="30" t="s">
        <v>521</v>
      </c>
      <c r="D2650" s="30" t="s">
        <v>106</v>
      </c>
      <c r="E2650" s="30"/>
      <c r="F2650" s="30" t="s">
        <v>107</v>
      </c>
      <c r="G2650" s="30" t="s">
        <v>106</v>
      </c>
      <c r="H2650" s="30"/>
      <c r="I2650" s="30" t="s">
        <v>192</v>
      </c>
      <c r="J2650" s="30" t="s">
        <v>127</v>
      </c>
      <c r="K2650" s="30"/>
      <c r="L2650" s="30" t="s">
        <v>108</v>
      </c>
      <c r="M2650" s="30" t="s">
        <v>113</v>
      </c>
      <c r="N2650" s="30" t="s">
        <v>122</v>
      </c>
      <c r="O2650" s="30" t="s">
        <v>115</v>
      </c>
      <c r="P2650" s="30" t="s">
        <v>112</v>
      </c>
      <c r="Q2650" s="30" t="s">
        <v>118</v>
      </c>
      <c r="R2650" s="30" t="s">
        <v>185</v>
      </c>
      <c r="S2650" s="81">
        <f>HLOOKUP(L2650,データについて!$J$6:$M$18,13,FALSE)</f>
        <v>1</v>
      </c>
      <c r="T2650" s="81">
        <f>HLOOKUP(M2650,データについて!$J$7:$M$18,12,FALSE)</f>
        <v>1</v>
      </c>
      <c r="U2650" s="81">
        <f>HLOOKUP(N2650,データについて!$J$8:$M$18,11,FALSE)</f>
        <v>3</v>
      </c>
      <c r="V2650" s="81">
        <f>HLOOKUP(O2650,データについて!$J$9:$M$18,10,FALSE)</f>
        <v>1</v>
      </c>
      <c r="W2650" s="81">
        <f>HLOOKUP(P2650,データについて!$J$10:$M$18,9,FALSE)</f>
        <v>1</v>
      </c>
      <c r="X2650" s="81">
        <f>HLOOKUP(Q2650,データについて!$J$11:$M$18,8,FALSE)</f>
        <v>2</v>
      </c>
      <c r="Y2650" s="81">
        <f>HLOOKUP(R2650,データについて!$J$12:$M$18,7,FALSE)</f>
        <v>2</v>
      </c>
      <c r="Z2650" s="81">
        <f>HLOOKUP(I2650,データについて!$J$3:$M$18,16,FALSE)</f>
        <v>1</v>
      </c>
      <c r="AA2650" s="81">
        <f>IFERROR(HLOOKUP(J2650,データについて!$J$4:$AH$19,16,FALSE),"")</f>
        <v>14</v>
      </c>
      <c r="AB2650" s="81" t="str">
        <f>IFERROR(HLOOKUP(K2650,データについて!$J$5:$AH$20,14,FALSE),"")</f>
        <v/>
      </c>
      <c r="AC2650" s="81" t="str">
        <f>IF(X2650=1,HLOOKUP(R2650,データについて!$J$12:$M$18,7,FALSE),"*")</f>
        <v>*</v>
      </c>
      <c r="AD2650" s="81">
        <f>IF(X2650=2,HLOOKUP(R2650,データについて!$J$12:$M$18,7,FALSE),"*")</f>
        <v>2</v>
      </c>
    </row>
    <row r="2651" spans="1:30">
      <c r="A2651" s="30">
        <v>2541</v>
      </c>
      <c r="B2651" s="30" t="s">
        <v>522</v>
      </c>
      <c r="C2651" s="30" t="s">
        <v>523</v>
      </c>
      <c r="D2651" s="30" t="s">
        <v>106</v>
      </c>
      <c r="E2651" s="30"/>
      <c r="F2651" s="30" t="s">
        <v>107</v>
      </c>
      <c r="G2651" s="30" t="s">
        <v>106</v>
      </c>
      <c r="H2651" s="30"/>
      <c r="I2651" s="30" t="s">
        <v>192</v>
      </c>
      <c r="J2651" s="30" t="s">
        <v>127</v>
      </c>
      <c r="K2651" s="30"/>
      <c r="L2651" s="30" t="s">
        <v>108</v>
      </c>
      <c r="M2651" s="30" t="s">
        <v>109</v>
      </c>
      <c r="N2651" s="30" t="s">
        <v>114</v>
      </c>
      <c r="O2651" s="30" t="s">
        <v>115</v>
      </c>
      <c r="P2651" s="30" t="s">
        <v>112</v>
      </c>
      <c r="Q2651" s="30" t="s">
        <v>112</v>
      </c>
      <c r="R2651" s="30" t="s">
        <v>187</v>
      </c>
      <c r="S2651" s="81">
        <f>HLOOKUP(L2651,データについて!$J$6:$M$18,13,FALSE)</f>
        <v>1</v>
      </c>
      <c r="T2651" s="81">
        <f>HLOOKUP(M2651,データについて!$J$7:$M$18,12,FALSE)</f>
        <v>2</v>
      </c>
      <c r="U2651" s="81">
        <f>HLOOKUP(N2651,データについて!$J$8:$M$18,11,FALSE)</f>
        <v>1</v>
      </c>
      <c r="V2651" s="81">
        <f>HLOOKUP(O2651,データについて!$J$9:$M$18,10,FALSE)</f>
        <v>1</v>
      </c>
      <c r="W2651" s="81">
        <f>HLOOKUP(P2651,データについて!$J$10:$M$18,9,FALSE)</f>
        <v>1</v>
      </c>
      <c r="X2651" s="81">
        <f>HLOOKUP(Q2651,データについて!$J$11:$M$18,8,FALSE)</f>
        <v>1</v>
      </c>
      <c r="Y2651" s="81">
        <f>HLOOKUP(R2651,データについて!$J$12:$M$18,7,FALSE)</f>
        <v>3</v>
      </c>
      <c r="Z2651" s="81">
        <f>HLOOKUP(I2651,データについて!$J$3:$M$18,16,FALSE)</f>
        <v>1</v>
      </c>
      <c r="AA2651" s="81">
        <f>IFERROR(HLOOKUP(J2651,データについて!$J$4:$AH$19,16,FALSE),"")</f>
        <v>14</v>
      </c>
      <c r="AB2651" s="81" t="str">
        <f>IFERROR(HLOOKUP(K2651,データについて!$J$5:$AH$20,14,FALSE),"")</f>
        <v/>
      </c>
      <c r="AC2651" s="81">
        <f>IF(X2651=1,HLOOKUP(R2651,データについて!$J$12:$M$18,7,FALSE),"*")</f>
        <v>3</v>
      </c>
      <c r="AD2651" s="81" t="str">
        <f>IF(X2651=2,HLOOKUP(R2651,データについて!$J$12:$M$18,7,FALSE),"*")</f>
        <v>*</v>
      </c>
    </row>
    <row r="2652" spans="1:30">
      <c r="A2652" s="30">
        <v>2540</v>
      </c>
      <c r="B2652" s="30" t="s">
        <v>524</v>
      </c>
      <c r="C2652" s="30" t="s">
        <v>523</v>
      </c>
      <c r="D2652" s="30" t="s">
        <v>106</v>
      </c>
      <c r="E2652" s="30"/>
      <c r="F2652" s="30" t="s">
        <v>107</v>
      </c>
      <c r="G2652" s="30" t="s">
        <v>106</v>
      </c>
      <c r="H2652" s="30"/>
      <c r="I2652" s="30" t="s">
        <v>192</v>
      </c>
      <c r="J2652" s="30" t="s">
        <v>127</v>
      </c>
      <c r="K2652" s="30"/>
      <c r="L2652" s="30" t="s">
        <v>108</v>
      </c>
      <c r="M2652" s="30" t="s">
        <v>113</v>
      </c>
      <c r="N2652" s="30" t="s">
        <v>114</v>
      </c>
      <c r="O2652" s="30" t="s">
        <v>115</v>
      </c>
      <c r="P2652" s="30" t="s">
        <v>112</v>
      </c>
      <c r="Q2652" s="30" t="s">
        <v>118</v>
      </c>
      <c r="R2652" s="30" t="s">
        <v>185</v>
      </c>
      <c r="S2652" s="81">
        <f>HLOOKUP(L2652,データについて!$J$6:$M$18,13,FALSE)</f>
        <v>1</v>
      </c>
      <c r="T2652" s="81">
        <f>HLOOKUP(M2652,データについて!$J$7:$M$18,12,FALSE)</f>
        <v>1</v>
      </c>
      <c r="U2652" s="81">
        <f>HLOOKUP(N2652,データについて!$J$8:$M$18,11,FALSE)</f>
        <v>1</v>
      </c>
      <c r="V2652" s="81">
        <f>HLOOKUP(O2652,データについて!$J$9:$M$18,10,FALSE)</f>
        <v>1</v>
      </c>
      <c r="W2652" s="81">
        <f>HLOOKUP(P2652,データについて!$J$10:$M$18,9,FALSE)</f>
        <v>1</v>
      </c>
      <c r="X2652" s="81">
        <f>HLOOKUP(Q2652,データについて!$J$11:$M$18,8,FALSE)</f>
        <v>2</v>
      </c>
      <c r="Y2652" s="81">
        <f>HLOOKUP(R2652,データについて!$J$12:$M$18,7,FALSE)</f>
        <v>2</v>
      </c>
      <c r="Z2652" s="81">
        <f>HLOOKUP(I2652,データについて!$J$3:$M$18,16,FALSE)</f>
        <v>1</v>
      </c>
      <c r="AA2652" s="81">
        <f>IFERROR(HLOOKUP(J2652,データについて!$J$4:$AH$19,16,FALSE),"")</f>
        <v>14</v>
      </c>
      <c r="AB2652" s="81" t="str">
        <f>IFERROR(HLOOKUP(K2652,データについて!$J$5:$AH$20,14,FALSE),"")</f>
        <v/>
      </c>
      <c r="AC2652" s="81" t="str">
        <f>IF(X2652=1,HLOOKUP(R2652,データについて!$J$12:$M$18,7,FALSE),"*")</f>
        <v>*</v>
      </c>
      <c r="AD2652" s="81">
        <f>IF(X2652=2,HLOOKUP(R2652,データについて!$J$12:$M$18,7,FALSE),"*")</f>
        <v>2</v>
      </c>
    </row>
    <row r="2653" spans="1:30">
      <c r="A2653" s="30">
        <v>2539</v>
      </c>
      <c r="B2653" s="30" t="s">
        <v>525</v>
      </c>
      <c r="C2653" s="30" t="s">
        <v>526</v>
      </c>
      <c r="D2653" s="30" t="s">
        <v>106</v>
      </c>
      <c r="E2653" s="30"/>
      <c r="F2653" s="30" t="s">
        <v>107</v>
      </c>
      <c r="G2653" s="30" t="s">
        <v>106</v>
      </c>
      <c r="H2653" s="30"/>
      <c r="I2653" s="30" t="s">
        <v>192</v>
      </c>
      <c r="J2653" s="30" t="s">
        <v>127</v>
      </c>
      <c r="K2653" s="30"/>
      <c r="L2653" s="30" t="s">
        <v>108</v>
      </c>
      <c r="M2653" s="30" t="s">
        <v>109</v>
      </c>
      <c r="N2653" s="30" t="s">
        <v>110</v>
      </c>
      <c r="O2653" s="30" t="s">
        <v>115</v>
      </c>
      <c r="P2653" s="30" t="s">
        <v>112</v>
      </c>
      <c r="Q2653" s="30" t="s">
        <v>112</v>
      </c>
      <c r="R2653" s="30" t="s">
        <v>185</v>
      </c>
      <c r="S2653" s="81">
        <f>HLOOKUP(L2653,データについて!$J$6:$M$18,13,FALSE)</f>
        <v>1</v>
      </c>
      <c r="T2653" s="81">
        <f>HLOOKUP(M2653,データについて!$J$7:$M$18,12,FALSE)</f>
        <v>2</v>
      </c>
      <c r="U2653" s="81">
        <f>HLOOKUP(N2653,データについて!$J$8:$M$18,11,FALSE)</f>
        <v>2</v>
      </c>
      <c r="V2653" s="81">
        <f>HLOOKUP(O2653,データについて!$J$9:$M$18,10,FALSE)</f>
        <v>1</v>
      </c>
      <c r="W2653" s="81">
        <f>HLOOKUP(P2653,データについて!$J$10:$M$18,9,FALSE)</f>
        <v>1</v>
      </c>
      <c r="X2653" s="81">
        <f>HLOOKUP(Q2653,データについて!$J$11:$M$18,8,FALSE)</f>
        <v>1</v>
      </c>
      <c r="Y2653" s="81">
        <f>HLOOKUP(R2653,データについて!$J$12:$M$18,7,FALSE)</f>
        <v>2</v>
      </c>
      <c r="Z2653" s="81">
        <f>HLOOKUP(I2653,データについて!$J$3:$M$18,16,FALSE)</f>
        <v>1</v>
      </c>
      <c r="AA2653" s="81">
        <f>IFERROR(HLOOKUP(J2653,データについて!$J$4:$AH$19,16,FALSE),"")</f>
        <v>14</v>
      </c>
      <c r="AB2653" s="81" t="str">
        <f>IFERROR(HLOOKUP(K2653,データについて!$J$5:$AH$20,14,FALSE),"")</f>
        <v/>
      </c>
      <c r="AC2653" s="81">
        <f>IF(X2653=1,HLOOKUP(R2653,データについて!$J$12:$M$18,7,FALSE),"*")</f>
        <v>2</v>
      </c>
      <c r="AD2653" s="81" t="str">
        <f>IF(X2653=2,HLOOKUP(R2653,データについて!$J$12:$M$18,7,FALSE),"*")</f>
        <v>*</v>
      </c>
    </row>
    <row r="2654" spans="1:30">
      <c r="A2654" s="30">
        <v>2538</v>
      </c>
      <c r="B2654" s="30" t="s">
        <v>527</v>
      </c>
      <c r="C2654" s="30" t="s">
        <v>528</v>
      </c>
      <c r="D2654" s="30" t="s">
        <v>106</v>
      </c>
      <c r="E2654" s="30"/>
      <c r="F2654" s="30" t="s">
        <v>107</v>
      </c>
      <c r="G2654" s="30" t="s">
        <v>106</v>
      </c>
      <c r="H2654" s="30"/>
      <c r="I2654" s="30" t="s">
        <v>192</v>
      </c>
      <c r="J2654" s="30" t="s">
        <v>127</v>
      </c>
      <c r="K2654" s="30"/>
      <c r="L2654" s="30" t="s">
        <v>108</v>
      </c>
      <c r="M2654" s="30" t="s">
        <v>113</v>
      </c>
      <c r="N2654" s="30" t="s">
        <v>122</v>
      </c>
      <c r="O2654" s="30" t="s">
        <v>115</v>
      </c>
      <c r="P2654" s="30" t="s">
        <v>112</v>
      </c>
      <c r="Q2654" s="30" t="s">
        <v>118</v>
      </c>
      <c r="R2654" s="30" t="s">
        <v>185</v>
      </c>
      <c r="S2654" s="81">
        <f>HLOOKUP(L2654,データについて!$J$6:$M$18,13,FALSE)</f>
        <v>1</v>
      </c>
      <c r="T2654" s="81">
        <f>HLOOKUP(M2654,データについて!$J$7:$M$18,12,FALSE)</f>
        <v>1</v>
      </c>
      <c r="U2654" s="81">
        <f>HLOOKUP(N2654,データについて!$J$8:$M$18,11,FALSE)</f>
        <v>3</v>
      </c>
      <c r="V2654" s="81">
        <f>HLOOKUP(O2654,データについて!$J$9:$M$18,10,FALSE)</f>
        <v>1</v>
      </c>
      <c r="W2654" s="81">
        <f>HLOOKUP(P2654,データについて!$J$10:$M$18,9,FALSE)</f>
        <v>1</v>
      </c>
      <c r="X2654" s="81">
        <f>HLOOKUP(Q2654,データについて!$J$11:$M$18,8,FALSE)</f>
        <v>2</v>
      </c>
      <c r="Y2654" s="81">
        <f>HLOOKUP(R2654,データについて!$J$12:$M$18,7,FALSE)</f>
        <v>2</v>
      </c>
      <c r="Z2654" s="81">
        <f>HLOOKUP(I2654,データについて!$J$3:$M$18,16,FALSE)</f>
        <v>1</v>
      </c>
      <c r="AA2654" s="81">
        <f>IFERROR(HLOOKUP(J2654,データについて!$J$4:$AH$19,16,FALSE),"")</f>
        <v>14</v>
      </c>
      <c r="AB2654" s="81" t="str">
        <f>IFERROR(HLOOKUP(K2654,データについて!$J$5:$AH$20,14,FALSE),"")</f>
        <v/>
      </c>
      <c r="AC2654" s="81" t="str">
        <f>IF(X2654=1,HLOOKUP(R2654,データについて!$J$12:$M$18,7,FALSE),"*")</f>
        <v>*</v>
      </c>
      <c r="AD2654" s="81">
        <f>IF(X2654=2,HLOOKUP(R2654,データについて!$J$12:$M$18,7,FALSE),"*")</f>
        <v>2</v>
      </c>
    </row>
    <row r="2655" spans="1:30">
      <c r="A2655" s="30">
        <v>2537</v>
      </c>
      <c r="B2655" s="30" t="s">
        <v>529</v>
      </c>
      <c r="C2655" s="30" t="s">
        <v>530</v>
      </c>
      <c r="D2655" s="30" t="s">
        <v>106</v>
      </c>
      <c r="E2655" s="30"/>
      <c r="F2655" s="30" t="s">
        <v>107</v>
      </c>
      <c r="G2655" s="30" t="s">
        <v>106</v>
      </c>
      <c r="H2655" s="30"/>
      <c r="I2655" s="30" t="s">
        <v>192</v>
      </c>
      <c r="J2655" s="30" t="s">
        <v>127</v>
      </c>
      <c r="K2655" s="30"/>
      <c r="L2655" s="30" t="s">
        <v>108</v>
      </c>
      <c r="M2655" s="30" t="s">
        <v>113</v>
      </c>
      <c r="N2655" s="30" t="s">
        <v>114</v>
      </c>
      <c r="O2655" s="30" t="s">
        <v>115</v>
      </c>
      <c r="P2655" s="30" t="s">
        <v>112</v>
      </c>
      <c r="Q2655" s="30" t="s">
        <v>112</v>
      </c>
      <c r="R2655" s="30" t="s">
        <v>185</v>
      </c>
      <c r="S2655" s="81">
        <f>HLOOKUP(L2655,データについて!$J$6:$M$18,13,FALSE)</f>
        <v>1</v>
      </c>
      <c r="T2655" s="81">
        <f>HLOOKUP(M2655,データについて!$J$7:$M$18,12,FALSE)</f>
        <v>1</v>
      </c>
      <c r="U2655" s="81">
        <f>HLOOKUP(N2655,データについて!$J$8:$M$18,11,FALSE)</f>
        <v>1</v>
      </c>
      <c r="V2655" s="81">
        <f>HLOOKUP(O2655,データについて!$J$9:$M$18,10,FALSE)</f>
        <v>1</v>
      </c>
      <c r="W2655" s="81">
        <f>HLOOKUP(P2655,データについて!$J$10:$M$18,9,FALSE)</f>
        <v>1</v>
      </c>
      <c r="X2655" s="81">
        <f>HLOOKUP(Q2655,データについて!$J$11:$M$18,8,FALSE)</f>
        <v>1</v>
      </c>
      <c r="Y2655" s="81">
        <f>HLOOKUP(R2655,データについて!$J$12:$M$18,7,FALSE)</f>
        <v>2</v>
      </c>
      <c r="Z2655" s="81">
        <f>HLOOKUP(I2655,データについて!$J$3:$M$18,16,FALSE)</f>
        <v>1</v>
      </c>
      <c r="AA2655" s="81">
        <f>IFERROR(HLOOKUP(J2655,データについて!$J$4:$AH$19,16,FALSE),"")</f>
        <v>14</v>
      </c>
      <c r="AB2655" s="81" t="str">
        <f>IFERROR(HLOOKUP(K2655,データについて!$J$5:$AH$20,14,FALSE),"")</f>
        <v/>
      </c>
      <c r="AC2655" s="81">
        <f>IF(X2655=1,HLOOKUP(R2655,データについて!$J$12:$M$18,7,FALSE),"*")</f>
        <v>2</v>
      </c>
      <c r="AD2655" s="81" t="str">
        <f>IF(X2655=2,HLOOKUP(R2655,データについて!$J$12:$M$18,7,FALSE),"*")</f>
        <v>*</v>
      </c>
    </row>
    <row r="2656" spans="1:30">
      <c r="A2656" s="30">
        <v>2536</v>
      </c>
      <c r="B2656" s="30" t="s">
        <v>531</v>
      </c>
      <c r="C2656" s="30" t="s">
        <v>532</v>
      </c>
      <c r="D2656" s="30" t="s">
        <v>106</v>
      </c>
      <c r="E2656" s="30"/>
      <c r="F2656" s="30" t="s">
        <v>107</v>
      </c>
      <c r="G2656" s="30" t="s">
        <v>106</v>
      </c>
      <c r="H2656" s="30"/>
      <c r="I2656" s="30" t="s">
        <v>192</v>
      </c>
      <c r="J2656" s="30" t="s">
        <v>127</v>
      </c>
      <c r="K2656" s="30"/>
      <c r="L2656" s="30" t="s">
        <v>108</v>
      </c>
      <c r="M2656" s="30" t="s">
        <v>113</v>
      </c>
      <c r="N2656" s="30" t="s">
        <v>114</v>
      </c>
      <c r="O2656" s="30" t="s">
        <v>115</v>
      </c>
      <c r="P2656" s="30" t="s">
        <v>112</v>
      </c>
      <c r="Q2656" s="30" t="s">
        <v>112</v>
      </c>
      <c r="R2656" s="30" t="s">
        <v>185</v>
      </c>
      <c r="S2656" s="81">
        <f>HLOOKUP(L2656,データについて!$J$6:$M$18,13,FALSE)</f>
        <v>1</v>
      </c>
      <c r="T2656" s="81">
        <f>HLOOKUP(M2656,データについて!$J$7:$M$18,12,FALSE)</f>
        <v>1</v>
      </c>
      <c r="U2656" s="81">
        <f>HLOOKUP(N2656,データについて!$J$8:$M$18,11,FALSE)</f>
        <v>1</v>
      </c>
      <c r="V2656" s="81">
        <f>HLOOKUP(O2656,データについて!$J$9:$M$18,10,FALSE)</f>
        <v>1</v>
      </c>
      <c r="W2656" s="81">
        <f>HLOOKUP(P2656,データについて!$J$10:$M$18,9,FALSE)</f>
        <v>1</v>
      </c>
      <c r="X2656" s="81">
        <f>HLOOKUP(Q2656,データについて!$J$11:$M$18,8,FALSE)</f>
        <v>1</v>
      </c>
      <c r="Y2656" s="81">
        <f>HLOOKUP(R2656,データについて!$J$12:$M$18,7,FALSE)</f>
        <v>2</v>
      </c>
      <c r="Z2656" s="81">
        <f>HLOOKUP(I2656,データについて!$J$3:$M$18,16,FALSE)</f>
        <v>1</v>
      </c>
      <c r="AA2656" s="81">
        <f>IFERROR(HLOOKUP(J2656,データについて!$J$4:$AH$19,16,FALSE),"")</f>
        <v>14</v>
      </c>
      <c r="AB2656" s="81" t="str">
        <f>IFERROR(HLOOKUP(K2656,データについて!$J$5:$AH$20,14,FALSE),"")</f>
        <v/>
      </c>
      <c r="AC2656" s="81">
        <f>IF(X2656=1,HLOOKUP(R2656,データについて!$J$12:$M$18,7,FALSE),"*")</f>
        <v>2</v>
      </c>
      <c r="AD2656" s="81" t="str">
        <f>IF(X2656=2,HLOOKUP(R2656,データについて!$J$12:$M$18,7,FALSE),"*")</f>
        <v>*</v>
      </c>
    </row>
    <row r="2657" spans="19:30">
      <c r="S2657" s="81" t="e">
        <f>HLOOKUP(L2657,データについて!$J$6:$M$18,13,FALSE)</f>
        <v>#N/A</v>
      </c>
      <c r="T2657" s="81" t="e">
        <f>HLOOKUP(M2657,データについて!$J$7:$M$18,12,FALSE)</f>
        <v>#N/A</v>
      </c>
      <c r="U2657" s="81" t="e">
        <f>HLOOKUP(N2657,データについて!$J$8:$M$18,11,FALSE)</f>
        <v>#N/A</v>
      </c>
      <c r="V2657" s="81" t="e">
        <f>HLOOKUP(O2657,データについて!$J$9:$M$18,10,FALSE)</f>
        <v>#N/A</v>
      </c>
      <c r="W2657" s="81" t="e">
        <f>HLOOKUP(P2657,データについて!$J$10:$M$18,9,FALSE)</f>
        <v>#N/A</v>
      </c>
      <c r="X2657" s="81" t="e">
        <f>HLOOKUP(Q2657,データについて!$J$11:$M$18,8,FALSE)</f>
        <v>#N/A</v>
      </c>
      <c r="Y2657" s="81" t="e">
        <f>HLOOKUP(R2657,データについて!$J$12:$M$18,7,FALSE)</f>
        <v>#N/A</v>
      </c>
      <c r="Z2657" s="81" t="e">
        <f>HLOOKUP(I2657,データについて!$J$3:$M$18,16,FALSE)</f>
        <v>#N/A</v>
      </c>
      <c r="AA2657" s="81" t="str">
        <f>IFERROR(HLOOKUP(J2657,データについて!$J$4:$AH$19,16,FALSE),"")</f>
        <v/>
      </c>
      <c r="AB2657" s="81" t="str">
        <f>IFERROR(HLOOKUP(K2657,データについて!$J$5:$AH$20,14,FALSE),"")</f>
        <v/>
      </c>
      <c r="AC2657" s="81" t="e">
        <f>IF(X2657=1,HLOOKUP(R2657,データについて!$J$12:$M$18,7,FALSE),"*")</f>
        <v>#N/A</v>
      </c>
      <c r="AD2657" s="81" t="e">
        <f>IF(X2657=2,HLOOKUP(R2657,データについて!$J$12:$M$18,7,FALSE),"*")</f>
        <v>#N/A</v>
      </c>
    </row>
    <row r="2658" spans="19:30">
      <c r="S2658" s="81" t="e">
        <f>HLOOKUP(L2658,データについて!$J$6:$M$18,13,FALSE)</f>
        <v>#N/A</v>
      </c>
      <c r="T2658" s="81" t="e">
        <f>HLOOKUP(M2658,データについて!$J$7:$M$18,12,FALSE)</f>
        <v>#N/A</v>
      </c>
      <c r="U2658" s="81" t="e">
        <f>HLOOKUP(N2658,データについて!$J$8:$M$18,11,FALSE)</f>
        <v>#N/A</v>
      </c>
      <c r="V2658" s="81" t="e">
        <f>HLOOKUP(O2658,データについて!$J$9:$M$18,10,FALSE)</f>
        <v>#N/A</v>
      </c>
      <c r="W2658" s="81" t="e">
        <f>HLOOKUP(P2658,データについて!$J$10:$M$18,9,FALSE)</f>
        <v>#N/A</v>
      </c>
      <c r="X2658" s="81" t="e">
        <f>HLOOKUP(Q2658,データについて!$J$11:$M$18,8,FALSE)</f>
        <v>#N/A</v>
      </c>
      <c r="Y2658" s="81" t="e">
        <f>HLOOKUP(R2658,データについて!$J$12:$M$18,7,FALSE)</f>
        <v>#N/A</v>
      </c>
      <c r="Z2658" s="81" t="e">
        <f>HLOOKUP(I2658,データについて!$J$3:$M$18,16,FALSE)</f>
        <v>#N/A</v>
      </c>
      <c r="AA2658" s="81" t="str">
        <f>IFERROR(HLOOKUP(J2658,データについて!$J$4:$AH$19,16,FALSE),"")</f>
        <v/>
      </c>
      <c r="AB2658" s="81" t="str">
        <f>IFERROR(HLOOKUP(K2658,データについて!$J$5:$AH$20,14,FALSE),"")</f>
        <v/>
      </c>
      <c r="AC2658" s="81" t="e">
        <f>IF(X2658=1,HLOOKUP(R2658,データについて!$J$12:$M$18,7,FALSE),"*")</f>
        <v>#N/A</v>
      </c>
      <c r="AD2658" s="81" t="e">
        <f>IF(X2658=2,HLOOKUP(R2658,データについて!$J$12:$M$18,7,FALSE),"*")</f>
        <v>#N/A</v>
      </c>
    </row>
    <row r="2659" spans="19:30">
      <c r="S2659" s="81" t="e">
        <f>HLOOKUP(L2659,データについて!$J$6:$M$18,13,FALSE)</f>
        <v>#N/A</v>
      </c>
      <c r="T2659" s="81" t="e">
        <f>HLOOKUP(M2659,データについて!$J$7:$M$18,12,FALSE)</f>
        <v>#N/A</v>
      </c>
      <c r="U2659" s="81" t="e">
        <f>HLOOKUP(N2659,データについて!$J$8:$M$18,11,FALSE)</f>
        <v>#N/A</v>
      </c>
      <c r="V2659" s="81" t="e">
        <f>HLOOKUP(O2659,データについて!$J$9:$M$18,10,FALSE)</f>
        <v>#N/A</v>
      </c>
      <c r="W2659" s="81" t="e">
        <f>HLOOKUP(P2659,データについて!$J$10:$M$18,9,FALSE)</f>
        <v>#N/A</v>
      </c>
      <c r="X2659" s="81" t="e">
        <f>HLOOKUP(Q2659,データについて!$J$11:$M$18,8,FALSE)</f>
        <v>#N/A</v>
      </c>
      <c r="Y2659" s="81" t="e">
        <f>HLOOKUP(R2659,データについて!$J$12:$M$18,7,FALSE)</f>
        <v>#N/A</v>
      </c>
      <c r="Z2659" s="81" t="e">
        <f>HLOOKUP(I2659,データについて!$J$3:$M$18,16,FALSE)</f>
        <v>#N/A</v>
      </c>
      <c r="AA2659" s="81" t="str">
        <f>IFERROR(HLOOKUP(J2659,データについて!$J$4:$AH$19,16,FALSE),"")</f>
        <v/>
      </c>
      <c r="AB2659" s="81" t="str">
        <f>IFERROR(HLOOKUP(K2659,データについて!$J$5:$AH$20,14,FALSE),"")</f>
        <v/>
      </c>
      <c r="AC2659" s="81" t="e">
        <f>IF(X2659=1,HLOOKUP(R2659,データについて!$J$12:$M$18,7,FALSE),"*")</f>
        <v>#N/A</v>
      </c>
      <c r="AD2659" s="81" t="e">
        <f>IF(X2659=2,HLOOKUP(R2659,データについて!$J$12:$M$18,7,FALSE),"*")</f>
        <v>#N/A</v>
      </c>
    </row>
    <row r="2660" spans="19:30">
      <c r="S2660" s="81" t="e">
        <f>HLOOKUP(L2660,データについて!$J$6:$M$18,13,FALSE)</f>
        <v>#N/A</v>
      </c>
      <c r="T2660" s="81" t="e">
        <f>HLOOKUP(M2660,データについて!$J$7:$M$18,12,FALSE)</f>
        <v>#N/A</v>
      </c>
      <c r="U2660" s="81" t="e">
        <f>HLOOKUP(N2660,データについて!$J$8:$M$18,11,FALSE)</f>
        <v>#N/A</v>
      </c>
      <c r="V2660" s="81" t="e">
        <f>HLOOKUP(O2660,データについて!$J$9:$M$18,10,FALSE)</f>
        <v>#N/A</v>
      </c>
      <c r="W2660" s="81" t="e">
        <f>HLOOKUP(P2660,データについて!$J$10:$M$18,9,FALSE)</f>
        <v>#N/A</v>
      </c>
      <c r="X2660" s="81" t="e">
        <f>HLOOKUP(Q2660,データについて!$J$11:$M$18,8,FALSE)</f>
        <v>#N/A</v>
      </c>
      <c r="Y2660" s="81" t="e">
        <f>HLOOKUP(R2660,データについて!$J$12:$M$18,7,FALSE)</f>
        <v>#N/A</v>
      </c>
      <c r="Z2660" s="81" t="e">
        <f>HLOOKUP(I2660,データについて!$J$3:$M$18,16,FALSE)</f>
        <v>#N/A</v>
      </c>
      <c r="AA2660" s="81" t="str">
        <f>IFERROR(HLOOKUP(J2660,データについて!$J$4:$AH$19,16,FALSE),"")</f>
        <v/>
      </c>
      <c r="AB2660" s="81" t="str">
        <f>IFERROR(HLOOKUP(K2660,データについて!$J$5:$AH$20,14,FALSE),"")</f>
        <v/>
      </c>
      <c r="AC2660" s="81" t="e">
        <f>IF(X2660=1,HLOOKUP(R2660,データについて!$J$12:$M$18,7,FALSE),"*")</f>
        <v>#N/A</v>
      </c>
      <c r="AD2660" s="81" t="e">
        <f>IF(X2660=2,HLOOKUP(R2660,データについて!$J$12:$M$18,7,FALSE),"*")</f>
        <v>#N/A</v>
      </c>
    </row>
    <row r="2661" spans="19:30">
      <c r="S2661" s="81" t="e">
        <f>HLOOKUP(L2661,データについて!$J$6:$M$18,13,FALSE)</f>
        <v>#N/A</v>
      </c>
      <c r="T2661" s="81" t="e">
        <f>HLOOKUP(M2661,データについて!$J$7:$M$18,12,FALSE)</f>
        <v>#N/A</v>
      </c>
      <c r="U2661" s="81" t="e">
        <f>HLOOKUP(N2661,データについて!$J$8:$M$18,11,FALSE)</f>
        <v>#N/A</v>
      </c>
      <c r="V2661" s="81" t="e">
        <f>HLOOKUP(O2661,データについて!$J$9:$M$18,10,FALSE)</f>
        <v>#N/A</v>
      </c>
      <c r="W2661" s="81" t="e">
        <f>HLOOKUP(P2661,データについて!$J$10:$M$18,9,FALSE)</f>
        <v>#N/A</v>
      </c>
      <c r="X2661" s="81" t="e">
        <f>HLOOKUP(Q2661,データについて!$J$11:$M$18,8,FALSE)</f>
        <v>#N/A</v>
      </c>
      <c r="Y2661" s="81" t="e">
        <f>HLOOKUP(R2661,データについて!$J$12:$M$18,7,FALSE)</f>
        <v>#N/A</v>
      </c>
      <c r="Z2661" s="81" t="e">
        <f>HLOOKUP(I2661,データについて!$J$3:$M$18,16,FALSE)</f>
        <v>#N/A</v>
      </c>
      <c r="AA2661" s="81" t="str">
        <f>IFERROR(HLOOKUP(J2661,データについて!$J$4:$AH$19,16,FALSE),"")</f>
        <v/>
      </c>
      <c r="AB2661" s="81" t="str">
        <f>IFERROR(HLOOKUP(K2661,データについて!$J$5:$AH$20,14,FALSE),"")</f>
        <v/>
      </c>
      <c r="AC2661" s="81" t="e">
        <f>IF(X2661=1,HLOOKUP(R2661,データについて!$J$12:$M$18,7,FALSE),"*")</f>
        <v>#N/A</v>
      </c>
      <c r="AD2661" s="81" t="e">
        <f>IF(X2661=2,HLOOKUP(R2661,データについて!$J$12:$M$18,7,FALSE),"*")</f>
        <v>#N/A</v>
      </c>
    </row>
    <row r="2662" spans="19:30">
      <c r="S2662" s="81" t="e">
        <f>HLOOKUP(L2662,データについて!$J$6:$M$18,13,FALSE)</f>
        <v>#N/A</v>
      </c>
      <c r="T2662" s="81" t="e">
        <f>HLOOKUP(M2662,データについて!$J$7:$M$18,12,FALSE)</f>
        <v>#N/A</v>
      </c>
      <c r="U2662" s="81" t="e">
        <f>HLOOKUP(N2662,データについて!$J$8:$M$18,11,FALSE)</f>
        <v>#N/A</v>
      </c>
      <c r="V2662" s="81" t="e">
        <f>HLOOKUP(O2662,データについて!$J$9:$M$18,10,FALSE)</f>
        <v>#N/A</v>
      </c>
      <c r="W2662" s="81" t="e">
        <f>HLOOKUP(P2662,データについて!$J$10:$M$18,9,FALSE)</f>
        <v>#N/A</v>
      </c>
      <c r="X2662" s="81" t="e">
        <f>HLOOKUP(Q2662,データについて!$J$11:$M$18,8,FALSE)</f>
        <v>#N/A</v>
      </c>
      <c r="Y2662" s="81" t="e">
        <f>HLOOKUP(R2662,データについて!$J$12:$M$18,7,FALSE)</f>
        <v>#N/A</v>
      </c>
      <c r="Z2662" s="81" t="e">
        <f>HLOOKUP(I2662,データについて!$J$3:$M$18,16,FALSE)</f>
        <v>#N/A</v>
      </c>
      <c r="AA2662" s="81" t="str">
        <f>IFERROR(HLOOKUP(J2662,データについて!$J$4:$AH$19,16,FALSE),"")</f>
        <v/>
      </c>
      <c r="AB2662" s="81" t="str">
        <f>IFERROR(HLOOKUP(K2662,データについて!$J$5:$AH$20,14,FALSE),"")</f>
        <v/>
      </c>
      <c r="AC2662" s="81" t="e">
        <f>IF(X2662=1,HLOOKUP(R2662,データについて!$J$12:$M$18,7,FALSE),"*")</f>
        <v>#N/A</v>
      </c>
      <c r="AD2662" s="81" t="e">
        <f>IF(X2662=2,HLOOKUP(R2662,データについて!$J$12:$M$18,7,FALSE),"*")</f>
        <v>#N/A</v>
      </c>
    </row>
    <row r="2663" spans="19:30">
      <c r="S2663" s="81" t="e">
        <f>HLOOKUP(L2663,データについて!$J$6:$M$18,13,FALSE)</f>
        <v>#N/A</v>
      </c>
      <c r="T2663" s="81" t="e">
        <f>HLOOKUP(M2663,データについて!$J$7:$M$18,12,FALSE)</f>
        <v>#N/A</v>
      </c>
      <c r="U2663" s="81" t="e">
        <f>HLOOKUP(N2663,データについて!$J$8:$M$18,11,FALSE)</f>
        <v>#N/A</v>
      </c>
      <c r="V2663" s="81" t="e">
        <f>HLOOKUP(O2663,データについて!$J$9:$M$18,10,FALSE)</f>
        <v>#N/A</v>
      </c>
      <c r="W2663" s="81" t="e">
        <f>HLOOKUP(P2663,データについて!$J$10:$M$18,9,FALSE)</f>
        <v>#N/A</v>
      </c>
      <c r="X2663" s="81" t="e">
        <f>HLOOKUP(Q2663,データについて!$J$11:$M$18,8,FALSE)</f>
        <v>#N/A</v>
      </c>
      <c r="Y2663" s="81" t="e">
        <f>HLOOKUP(R2663,データについて!$J$12:$M$18,7,FALSE)</f>
        <v>#N/A</v>
      </c>
      <c r="Z2663" s="81" t="e">
        <f>HLOOKUP(I2663,データについて!$J$3:$M$18,16,FALSE)</f>
        <v>#N/A</v>
      </c>
      <c r="AA2663" s="81" t="str">
        <f>IFERROR(HLOOKUP(J2663,データについて!$J$4:$AH$19,16,FALSE),"")</f>
        <v/>
      </c>
      <c r="AB2663" s="81" t="str">
        <f>IFERROR(HLOOKUP(K2663,データについて!$J$5:$AH$20,14,FALSE),"")</f>
        <v/>
      </c>
      <c r="AC2663" s="81" t="e">
        <f>IF(X2663=1,HLOOKUP(R2663,データについて!$J$12:$M$18,7,FALSE),"*")</f>
        <v>#N/A</v>
      </c>
      <c r="AD2663" s="81" t="e">
        <f>IF(X2663=2,HLOOKUP(R2663,データについて!$J$12:$M$18,7,FALSE),"*")</f>
        <v>#N/A</v>
      </c>
    </row>
    <row r="2664" spans="19:30">
      <c r="S2664" s="81" t="e">
        <f>HLOOKUP(L2664,データについて!$J$6:$M$18,13,FALSE)</f>
        <v>#N/A</v>
      </c>
      <c r="T2664" s="81" t="e">
        <f>HLOOKUP(M2664,データについて!$J$7:$M$18,12,FALSE)</f>
        <v>#N/A</v>
      </c>
      <c r="U2664" s="81" t="e">
        <f>HLOOKUP(N2664,データについて!$J$8:$M$18,11,FALSE)</f>
        <v>#N/A</v>
      </c>
      <c r="V2664" s="81" t="e">
        <f>HLOOKUP(O2664,データについて!$J$9:$M$18,10,FALSE)</f>
        <v>#N/A</v>
      </c>
      <c r="W2664" s="81" t="e">
        <f>HLOOKUP(P2664,データについて!$J$10:$M$18,9,FALSE)</f>
        <v>#N/A</v>
      </c>
      <c r="X2664" s="81" t="e">
        <f>HLOOKUP(Q2664,データについて!$J$11:$M$18,8,FALSE)</f>
        <v>#N/A</v>
      </c>
      <c r="Y2664" s="81" t="e">
        <f>HLOOKUP(R2664,データについて!$J$12:$M$18,7,FALSE)</f>
        <v>#N/A</v>
      </c>
      <c r="Z2664" s="81" t="e">
        <f>HLOOKUP(I2664,データについて!$J$3:$M$18,16,FALSE)</f>
        <v>#N/A</v>
      </c>
      <c r="AA2664" s="81" t="str">
        <f>IFERROR(HLOOKUP(J2664,データについて!$J$4:$AH$19,16,FALSE),"")</f>
        <v/>
      </c>
      <c r="AB2664" s="81" t="str">
        <f>IFERROR(HLOOKUP(K2664,データについて!$J$5:$AH$20,14,FALSE),"")</f>
        <v/>
      </c>
      <c r="AC2664" s="81" t="e">
        <f>IF(X2664=1,HLOOKUP(R2664,データについて!$J$12:$M$18,7,FALSE),"*")</f>
        <v>#N/A</v>
      </c>
      <c r="AD2664" s="81" t="e">
        <f>IF(X2664=2,HLOOKUP(R2664,データについて!$J$12:$M$18,7,FALSE),"*")</f>
        <v>#N/A</v>
      </c>
    </row>
    <row r="2665" spans="19:30">
      <c r="S2665" s="81" t="e">
        <f>HLOOKUP(L2665,データについて!$J$6:$M$18,13,FALSE)</f>
        <v>#N/A</v>
      </c>
      <c r="T2665" s="81" t="e">
        <f>HLOOKUP(M2665,データについて!$J$7:$M$18,12,FALSE)</f>
        <v>#N/A</v>
      </c>
      <c r="U2665" s="81" t="e">
        <f>HLOOKUP(N2665,データについて!$J$8:$M$18,11,FALSE)</f>
        <v>#N/A</v>
      </c>
      <c r="V2665" s="81" t="e">
        <f>HLOOKUP(O2665,データについて!$J$9:$M$18,10,FALSE)</f>
        <v>#N/A</v>
      </c>
      <c r="W2665" s="81" t="e">
        <f>HLOOKUP(P2665,データについて!$J$10:$M$18,9,FALSE)</f>
        <v>#N/A</v>
      </c>
      <c r="X2665" s="81" t="e">
        <f>HLOOKUP(Q2665,データについて!$J$11:$M$18,8,FALSE)</f>
        <v>#N/A</v>
      </c>
      <c r="Y2665" s="81" t="e">
        <f>HLOOKUP(R2665,データについて!$J$12:$M$18,7,FALSE)</f>
        <v>#N/A</v>
      </c>
      <c r="Z2665" s="81" t="e">
        <f>HLOOKUP(I2665,データについて!$J$3:$M$18,16,FALSE)</f>
        <v>#N/A</v>
      </c>
      <c r="AA2665" s="81" t="str">
        <f>IFERROR(HLOOKUP(J2665,データについて!$J$4:$AH$19,16,FALSE),"")</f>
        <v/>
      </c>
      <c r="AB2665" s="81" t="str">
        <f>IFERROR(HLOOKUP(K2665,データについて!$J$5:$AH$20,14,FALSE),"")</f>
        <v/>
      </c>
      <c r="AC2665" s="81" t="e">
        <f>IF(X2665=1,HLOOKUP(R2665,データについて!$J$12:$M$18,7,FALSE),"*")</f>
        <v>#N/A</v>
      </c>
      <c r="AD2665" s="81" t="e">
        <f>IF(X2665=2,HLOOKUP(R2665,データについて!$J$12:$M$18,7,FALSE),"*")</f>
        <v>#N/A</v>
      </c>
    </row>
    <row r="2666" spans="19:30">
      <c r="S2666" s="81" t="e">
        <f>HLOOKUP(L2666,データについて!$J$6:$M$18,13,FALSE)</f>
        <v>#N/A</v>
      </c>
      <c r="T2666" s="81" t="e">
        <f>HLOOKUP(M2666,データについて!$J$7:$M$18,12,FALSE)</f>
        <v>#N/A</v>
      </c>
      <c r="U2666" s="81" t="e">
        <f>HLOOKUP(N2666,データについて!$J$8:$M$18,11,FALSE)</f>
        <v>#N/A</v>
      </c>
      <c r="V2666" s="81" t="e">
        <f>HLOOKUP(O2666,データについて!$J$9:$M$18,10,FALSE)</f>
        <v>#N/A</v>
      </c>
      <c r="W2666" s="81" t="e">
        <f>HLOOKUP(P2666,データについて!$J$10:$M$18,9,FALSE)</f>
        <v>#N/A</v>
      </c>
      <c r="X2666" s="81" t="e">
        <f>HLOOKUP(Q2666,データについて!$J$11:$M$18,8,FALSE)</f>
        <v>#N/A</v>
      </c>
      <c r="Y2666" s="81" t="e">
        <f>HLOOKUP(R2666,データについて!$J$12:$M$18,7,FALSE)</f>
        <v>#N/A</v>
      </c>
      <c r="Z2666" s="81" t="e">
        <f>HLOOKUP(I2666,データについて!$J$3:$M$18,16,FALSE)</f>
        <v>#N/A</v>
      </c>
      <c r="AA2666" s="81" t="str">
        <f>IFERROR(HLOOKUP(J2666,データについて!$J$4:$AH$19,16,FALSE),"")</f>
        <v/>
      </c>
      <c r="AB2666" s="81" t="str">
        <f>IFERROR(HLOOKUP(K2666,データについて!$J$5:$AH$20,14,FALSE),"")</f>
        <v/>
      </c>
      <c r="AC2666" s="81" t="e">
        <f>IF(X2666=1,HLOOKUP(R2666,データについて!$J$12:$M$18,7,FALSE),"*")</f>
        <v>#N/A</v>
      </c>
      <c r="AD2666" s="81" t="e">
        <f>IF(X2666=2,HLOOKUP(R2666,データについて!$J$12:$M$18,7,FALSE),"*")</f>
        <v>#N/A</v>
      </c>
    </row>
    <row r="2667" spans="19:30">
      <c r="S2667" s="81" t="e">
        <f>HLOOKUP(L2667,データについて!$J$6:$M$18,13,FALSE)</f>
        <v>#N/A</v>
      </c>
      <c r="T2667" s="81" t="e">
        <f>HLOOKUP(M2667,データについて!$J$7:$M$18,12,FALSE)</f>
        <v>#N/A</v>
      </c>
      <c r="U2667" s="81" t="e">
        <f>HLOOKUP(N2667,データについて!$J$8:$M$18,11,FALSE)</f>
        <v>#N/A</v>
      </c>
      <c r="V2667" s="81" t="e">
        <f>HLOOKUP(O2667,データについて!$J$9:$M$18,10,FALSE)</f>
        <v>#N/A</v>
      </c>
      <c r="W2667" s="81" t="e">
        <f>HLOOKUP(P2667,データについて!$J$10:$M$18,9,FALSE)</f>
        <v>#N/A</v>
      </c>
      <c r="X2667" s="81" t="e">
        <f>HLOOKUP(Q2667,データについて!$J$11:$M$18,8,FALSE)</f>
        <v>#N/A</v>
      </c>
      <c r="Y2667" s="81" t="e">
        <f>HLOOKUP(R2667,データについて!$J$12:$M$18,7,FALSE)</f>
        <v>#N/A</v>
      </c>
      <c r="Z2667" s="81" t="e">
        <f>HLOOKUP(I2667,データについて!$J$3:$M$18,16,FALSE)</f>
        <v>#N/A</v>
      </c>
      <c r="AA2667" s="81" t="str">
        <f>IFERROR(HLOOKUP(J2667,データについて!$J$4:$AH$19,16,FALSE),"")</f>
        <v/>
      </c>
      <c r="AB2667" s="81" t="str">
        <f>IFERROR(HLOOKUP(K2667,データについて!$J$5:$AH$20,14,FALSE),"")</f>
        <v/>
      </c>
      <c r="AC2667" s="81" t="e">
        <f>IF(X2667=1,HLOOKUP(R2667,データについて!$J$12:$M$18,7,FALSE),"*")</f>
        <v>#N/A</v>
      </c>
      <c r="AD2667" s="81" t="e">
        <f>IF(X2667=2,HLOOKUP(R2667,データについて!$J$12:$M$18,7,FALSE),"*")</f>
        <v>#N/A</v>
      </c>
    </row>
    <row r="2668" spans="19:30">
      <c r="S2668" s="81" t="e">
        <f>HLOOKUP(L2668,データについて!$J$6:$M$18,13,FALSE)</f>
        <v>#N/A</v>
      </c>
      <c r="T2668" s="81" t="e">
        <f>HLOOKUP(M2668,データについて!$J$7:$M$18,12,FALSE)</f>
        <v>#N/A</v>
      </c>
      <c r="U2668" s="81" t="e">
        <f>HLOOKUP(N2668,データについて!$J$8:$M$18,11,FALSE)</f>
        <v>#N/A</v>
      </c>
      <c r="V2668" s="81" t="e">
        <f>HLOOKUP(O2668,データについて!$J$9:$M$18,10,FALSE)</f>
        <v>#N/A</v>
      </c>
      <c r="W2668" s="81" t="e">
        <f>HLOOKUP(P2668,データについて!$J$10:$M$18,9,FALSE)</f>
        <v>#N/A</v>
      </c>
      <c r="X2668" s="81" t="e">
        <f>HLOOKUP(Q2668,データについて!$J$11:$M$18,8,FALSE)</f>
        <v>#N/A</v>
      </c>
      <c r="Y2668" s="81" t="e">
        <f>HLOOKUP(R2668,データについて!$J$12:$M$18,7,FALSE)</f>
        <v>#N/A</v>
      </c>
      <c r="Z2668" s="81" t="e">
        <f>HLOOKUP(I2668,データについて!$J$3:$M$18,16,FALSE)</f>
        <v>#N/A</v>
      </c>
      <c r="AA2668" s="81" t="str">
        <f>IFERROR(HLOOKUP(J2668,データについて!$J$4:$AH$19,16,FALSE),"")</f>
        <v/>
      </c>
      <c r="AB2668" s="81" t="str">
        <f>IFERROR(HLOOKUP(K2668,データについて!$J$5:$AH$20,14,FALSE),"")</f>
        <v/>
      </c>
      <c r="AC2668" s="81" t="e">
        <f>IF(X2668=1,HLOOKUP(R2668,データについて!$J$12:$M$18,7,FALSE),"*")</f>
        <v>#N/A</v>
      </c>
      <c r="AD2668" s="81" t="e">
        <f>IF(X2668=2,HLOOKUP(R2668,データについて!$J$12:$M$18,7,FALSE),"*")</f>
        <v>#N/A</v>
      </c>
    </row>
    <row r="2669" spans="19:30">
      <c r="S2669" s="81" t="e">
        <f>HLOOKUP(L2669,データについて!$J$6:$M$18,13,FALSE)</f>
        <v>#N/A</v>
      </c>
      <c r="T2669" s="81" t="e">
        <f>HLOOKUP(M2669,データについて!$J$7:$M$18,12,FALSE)</f>
        <v>#N/A</v>
      </c>
      <c r="U2669" s="81" t="e">
        <f>HLOOKUP(N2669,データについて!$J$8:$M$18,11,FALSE)</f>
        <v>#N/A</v>
      </c>
      <c r="V2669" s="81" t="e">
        <f>HLOOKUP(O2669,データについて!$J$9:$M$18,10,FALSE)</f>
        <v>#N/A</v>
      </c>
      <c r="W2669" s="81" t="e">
        <f>HLOOKUP(P2669,データについて!$J$10:$M$18,9,FALSE)</f>
        <v>#N/A</v>
      </c>
      <c r="X2669" s="81" t="e">
        <f>HLOOKUP(Q2669,データについて!$J$11:$M$18,8,FALSE)</f>
        <v>#N/A</v>
      </c>
      <c r="Y2669" s="81" t="e">
        <f>HLOOKUP(R2669,データについて!$J$12:$M$18,7,FALSE)</f>
        <v>#N/A</v>
      </c>
      <c r="Z2669" s="81" t="e">
        <f>HLOOKUP(I2669,データについて!$J$3:$M$18,16,FALSE)</f>
        <v>#N/A</v>
      </c>
      <c r="AA2669" s="81" t="str">
        <f>IFERROR(HLOOKUP(J2669,データについて!$J$4:$AH$19,16,FALSE),"")</f>
        <v/>
      </c>
      <c r="AB2669" s="81" t="str">
        <f>IFERROR(HLOOKUP(K2669,データについて!$J$5:$AH$20,14,FALSE),"")</f>
        <v/>
      </c>
      <c r="AC2669" s="81" t="e">
        <f>IF(X2669=1,HLOOKUP(R2669,データについて!$J$12:$M$18,7,FALSE),"*")</f>
        <v>#N/A</v>
      </c>
      <c r="AD2669" s="81" t="e">
        <f>IF(X2669=2,HLOOKUP(R2669,データについて!$J$12:$M$18,7,FALSE),"*")</f>
        <v>#N/A</v>
      </c>
    </row>
    <row r="2670" spans="19:30">
      <c r="S2670" s="81" t="e">
        <f>HLOOKUP(L2670,データについて!$J$6:$M$18,13,FALSE)</f>
        <v>#N/A</v>
      </c>
      <c r="T2670" s="81" t="e">
        <f>HLOOKUP(M2670,データについて!$J$7:$M$18,12,FALSE)</f>
        <v>#N/A</v>
      </c>
      <c r="U2670" s="81" t="e">
        <f>HLOOKUP(N2670,データについて!$J$8:$M$18,11,FALSE)</f>
        <v>#N/A</v>
      </c>
      <c r="V2670" s="81" t="e">
        <f>HLOOKUP(O2670,データについて!$J$9:$M$18,10,FALSE)</f>
        <v>#N/A</v>
      </c>
      <c r="W2670" s="81" t="e">
        <f>HLOOKUP(P2670,データについて!$J$10:$M$18,9,FALSE)</f>
        <v>#N/A</v>
      </c>
      <c r="X2670" s="81" t="e">
        <f>HLOOKUP(Q2670,データについて!$J$11:$M$18,8,FALSE)</f>
        <v>#N/A</v>
      </c>
      <c r="Y2670" s="81" t="e">
        <f>HLOOKUP(R2670,データについて!$J$12:$M$18,7,FALSE)</f>
        <v>#N/A</v>
      </c>
      <c r="Z2670" s="81" t="e">
        <f>HLOOKUP(I2670,データについて!$J$3:$M$18,16,FALSE)</f>
        <v>#N/A</v>
      </c>
      <c r="AA2670" s="81" t="str">
        <f>IFERROR(HLOOKUP(J2670,データについて!$J$4:$AH$19,16,FALSE),"")</f>
        <v/>
      </c>
      <c r="AB2670" s="81" t="str">
        <f>IFERROR(HLOOKUP(K2670,データについて!$J$5:$AH$20,14,FALSE),"")</f>
        <v/>
      </c>
      <c r="AC2670" s="81" t="e">
        <f>IF(X2670=1,HLOOKUP(R2670,データについて!$J$12:$M$18,7,FALSE),"*")</f>
        <v>#N/A</v>
      </c>
      <c r="AD2670" s="81" t="e">
        <f>IF(X2670=2,HLOOKUP(R2670,データについて!$J$12:$M$18,7,FALSE),"*")</f>
        <v>#N/A</v>
      </c>
    </row>
    <row r="2671" spans="19:30">
      <c r="S2671" s="81" t="e">
        <f>HLOOKUP(L2671,データについて!$J$6:$M$18,13,FALSE)</f>
        <v>#N/A</v>
      </c>
      <c r="T2671" s="81" t="e">
        <f>HLOOKUP(M2671,データについて!$J$7:$M$18,12,FALSE)</f>
        <v>#N/A</v>
      </c>
      <c r="U2671" s="81" t="e">
        <f>HLOOKUP(N2671,データについて!$J$8:$M$18,11,FALSE)</f>
        <v>#N/A</v>
      </c>
      <c r="V2671" s="81" t="e">
        <f>HLOOKUP(O2671,データについて!$J$9:$M$18,10,FALSE)</f>
        <v>#N/A</v>
      </c>
      <c r="W2671" s="81" t="e">
        <f>HLOOKUP(P2671,データについて!$J$10:$M$18,9,FALSE)</f>
        <v>#N/A</v>
      </c>
      <c r="X2671" s="81" t="e">
        <f>HLOOKUP(Q2671,データについて!$J$11:$M$18,8,FALSE)</f>
        <v>#N/A</v>
      </c>
      <c r="Y2671" s="81" t="e">
        <f>HLOOKUP(R2671,データについて!$J$12:$M$18,7,FALSE)</f>
        <v>#N/A</v>
      </c>
      <c r="Z2671" s="81" t="e">
        <f>HLOOKUP(I2671,データについて!$J$3:$M$18,16,FALSE)</f>
        <v>#N/A</v>
      </c>
      <c r="AA2671" s="81" t="str">
        <f>IFERROR(HLOOKUP(J2671,データについて!$J$4:$AH$19,16,FALSE),"")</f>
        <v/>
      </c>
      <c r="AB2671" s="81" t="str">
        <f>IFERROR(HLOOKUP(K2671,データについて!$J$5:$AH$20,14,FALSE),"")</f>
        <v/>
      </c>
      <c r="AC2671" s="81" t="e">
        <f>IF(X2671=1,HLOOKUP(R2671,データについて!$J$12:$M$18,7,FALSE),"*")</f>
        <v>#N/A</v>
      </c>
      <c r="AD2671" s="81" t="e">
        <f>IF(X2671=2,HLOOKUP(R2671,データについて!$J$12:$M$18,7,FALSE),"*")</f>
        <v>#N/A</v>
      </c>
    </row>
    <row r="2672" spans="19:30">
      <c r="S2672" s="81" t="e">
        <f>HLOOKUP(L2672,データについて!$J$6:$M$18,13,FALSE)</f>
        <v>#N/A</v>
      </c>
      <c r="T2672" s="81" t="e">
        <f>HLOOKUP(M2672,データについて!$J$7:$M$18,12,FALSE)</f>
        <v>#N/A</v>
      </c>
      <c r="U2672" s="81" t="e">
        <f>HLOOKUP(N2672,データについて!$J$8:$M$18,11,FALSE)</f>
        <v>#N/A</v>
      </c>
      <c r="V2672" s="81" t="e">
        <f>HLOOKUP(O2672,データについて!$J$9:$M$18,10,FALSE)</f>
        <v>#N/A</v>
      </c>
      <c r="W2672" s="81" t="e">
        <f>HLOOKUP(P2672,データについて!$J$10:$M$18,9,FALSE)</f>
        <v>#N/A</v>
      </c>
      <c r="X2672" s="81" t="e">
        <f>HLOOKUP(Q2672,データについて!$J$11:$M$18,8,FALSE)</f>
        <v>#N/A</v>
      </c>
      <c r="Y2672" s="81" t="e">
        <f>HLOOKUP(R2672,データについて!$J$12:$M$18,7,FALSE)</f>
        <v>#N/A</v>
      </c>
      <c r="Z2672" s="81" t="e">
        <f>HLOOKUP(I2672,データについて!$J$3:$M$18,16,FALSE)</f>
        <v>#N/A</v>
      </c>
      <c r="AA2672" s="81" t="str">
        <f>IFERROR(HLOOKUP(J2672,データについて!$J$4:$AH$19,16,FALSE),"")</f>
        <v/>
      </c>
      <c r="AB2672" s="81" t="str">
        <f>IFERROR(HLOOKUP(K2672,データについて!$J$5:$AH$20,14,FALSE),"")</f>
        <v/>
      </c>
      <c r="AC2672" s="81" t="e">
        <f>IF(X2672=1,HLOOKUP(R2672,データについて!$J$12:$M$18,7,FALSE),"*")</f>
        <v>#N/A</v>
      </c>
      <c r="AD2672" s="81" t="e">
        <f>IF(X2672=2,HLOOKUP(R2672,データについて!$J$12:$M$18,7,FALSE),"*")</f>
        <v>#N/A</v>
      </c>
    </row>
    <row r="2673" spans="19:30">
      <c r="S2673" s="81" t="e">
        <f>HLOOKUP(L2673,データについて!$J$6:$M$18,13,FALSE)</f>
        <v>#N/A</v>
      </c>
      <c r="T2673" s="81" t="e">
        <f>HLOOKUP(M2673,データについて!$J$7:$M$18,12,FALSE)</f>
        <v>#N/A</v>
      </c>
      <c r="U2673" s="81" t="e">
        <f>HLOOKUP(N2673,データについて!$J$8:$M$18,11,FALSE)</f>
        <v>#N/A</v>
      </c>
      <c r="V2673" s="81" t="e">
        <f>HLOOKUP(O2673,データについて!$J$9:$M$18,10,FALSE)</f>
        <v>#N/A</v>
      </c>
      <c r="W2673" s="81" t="e">
        <f>HLOOKUP(P2673,データについて!$J$10:$M$18,9,FALSE)</f>
        <v>#N/A</v>
      </c>
      <c r="X2673" s="81" t="e">
        <f>HLOOKUP(Q2673,データについて!$J$11:$M$18,8,FALSE)</f>
        <v>#N/A</v>
      </c>
      <c r="Y2673" s="81" t="e">
        <f>HLOOKUP(R2673,データについて!$J$12:$M$18,7,FALSE)</f>
        <v>#N/A</v>
      </c>
      <c r="Z2673" s="81" t="e">
        <f>HLOOKUP(I2673,データについて!$J$3:$M$18,16,FALSE)</f>
        <v>#N/A</v>
      </c>
      <c r="AA2673" s="81" t="str">
        <f>IFERROR(HLOOKUP(J2673,データについて!$J$4:$AH$19,16,FALSE),"")</f>
        <v/>
      </c>
      <c r="AB2673" s="81" t="str">
        <f>IFERROR(HLOOKUP(K2673,データについて!$J$5:$AH$20,14,FALSE),"")</f>
        <v/>
      </c>
      <c r="AC2673" s="81" t="e">
        <f>IF(X2673=1,HLOOKUP(R2673,データについて!$J$12:$M$18,7,FALSE),"*")</f>
        <v>#N/A</v>
      </c>
      <c r="AD2673" s="81" t="e">
        <f>IF(X2673=2,HLOOKUP(R2673,データについて!$J$12:$M$18,7,FALSE),"*")</f>
        <v>#N/A</v>
      </c>
    </row>
    <row r="2674" spans="19:30">
      <c r="S2674" s="81" t="e">
        <f>HLOOKUP(L2674,データについて!$J$6:$M$18,13,FALSE)</f>
        <v>#N/A</v>
      </c>
      <c r="T2674" s="81" t="e">
        <f>HLOOKUP(M2674,データについて!$J$7:$M$18,12,FALSE)</f>
        <v>#N/A</v>
      </c>
      <c r="U2674" s="81" t="e">
        <f>HLOOKUP(N2674,データについて!$J$8:$M$18,11,FALSE)</f>
        <v>#N/A</v>
      </c>
      <c r="V2674" s="81" t="e">
        <f>HLOOKUP(O2674,データについて!$J$9:$M$18,10,FALSE)</f>
        <v>#N/A</v>
      </c>
      <c r="W2674" s="81" t="e">
        <f>HLOOKUP(P2674,データについて!$J$10:$M$18,9,FALSE)</f>
        <v>#N/A</v>
      </c>
      <c r="X2674" s="81" t="e">
        <f>HLOOKUP(Q2674,データについて!$J$11:$M$18,8,FALSE)</f>
        <v>#N/A</v>
      </c>
      <c r="Y2674" s="81" t="e">
        <f>HLOOKUP(R2674,データについて!$J$12:$M$18,7,FALSE)</f>
        <v>#N/A</v>
      </c>
      <c r="Z2674" s="81" t="e">
        <f>HLOOKUP(I2674,データについて!$J$3:$M$18,16,FALSE)</f>
        <v>#N/A</v>
      </c>
      <c r="AA2674" s="81" t="str">
        <f>IFERROR(HLOOKUP(J2674,データについて!$J$4:$AH$19,16,FALSE),"")</f>
        <v/>
      </c>
      <c r="AB2674" s="81" t="str">
        <f>IFERROR(HLOOKUP(K2674,データについて!$J$5:$AH$20,14,FALSE),"")</f>
        <v/>
      </c>
      <c r="AC2674" s="81" t="e">
        <f>IF(X2674=1,HLOOKUP(R2674,データについて!$J$12:$M$18,7,FALSE),"*")</f>
        <v>#N/A</v>
      </c>
      <c r="AD2674" s="81" t="e">
        <f>IF(X2674=2,HLOOKUP(R2674,データについて!$J$12:$M$18,7,FALSE),"*")</f>
        <v>#N/A</v>
      </c>
    </row>
    <row r="2675" spans="19:30">
      <c r="S2675" s="81" t="e">
        <f>HLOOKUP(L2675,データについて!$J$6:$M$18,13,FALSE)</f>
        <v>#N/A</v>
      </c>
      <c r="T2675" s="81" t="e">
        <f>HLOOKUP(M2675,データについて!$J$7:$M$18,12,FALSE)</f>
        <v>#N/A</v>
      </c>
      <c r="U2675" s="81" t="e">
        <f>HLOOKUP(N2675,データについて!$J$8:$M$18,11,FALSE)</f>
        <v>#N/A</v>
      </c>
      <c r="V2675" s="81" t="e">
        <f>HLOOKUP(O2675,データについて!$J$9:$M$18,10,FALSE)</f>
        <v>#N/A</v>
      </c>
      <c r="W2675" s="81" t="e">
        <f>HLOOKUP(P2675,データについて!$J$10:$M$18,9,FALSE)</f>
        <v>#N/A</v>
      </c>
      <c r="X2675" s="81" t="e">
        <f>HLOOKUP(Q2675,データについて!$J$11:$M$18,8,FALSE)</f>
        <v>#N/A</v>
      </c>
      <c r="Y2675" s="81" t="e">
        <f>HLOOKUP(R2675,データについて!$J$12:$M$18,7,FALSE)</f>
        <v>#N/A</v>
      </c>
      <c r="Z2675" s="81" t="e">
        <f>HLOOKUP(I2675,データについて!$J$3:$M$18,16,FALSE)</f>
        <v>#N/A</v>
      </c>
      <c r="AA2675" s="81" t="str">
        <f>IFERROR(HLOOKUP(J2675,データについて!$J$4:$AH$19,16,FALSE),"")</f>
        <v/>
      </c>
      <c r="AB2675" s="81" t="str">
        <f>IFERROR(HLOOKUP(K2675,データについて!$J$5:$AH$20,14,FALSE),"")</f>
        <v/>
      </c>
      <c r="AC2675" s="81" t="e">
        <f>IF(X2675=1,HLOOKUP(R2675,データについて!$J$12:$M$18,7,FALSE),"*")</f>
        <v>#N/A</v>
      </c>
      <c r="AD2675" s="81" t="e">
        <f>IF(X2675=2,HLOOKUP(R2675,データについて!$J$12:$M$18,7,FALSE),"*")</f>
        <v>#N/A</v>
      </c>
    </row>
    <row r="2676" spans="19:30">
      <c r="S2676" s="81" t="e">
        <f>HLOOKUP(L2676,データについて!$J$6:$M$18,13,FALSE)</f>
        <v>#N/A</v>
      </c>
      <c r="T2676" s="81" t="e">
        <f>HLOOKUP(M2676,データについて!$J$7:$M$18,12,FALSE)</f>
        <v>#N/A</v>
      </c>
      <c r="U2676" s="81" t="e">
        <f>HLOOKUP(N2676,データについて!$J$8:$M$18,11,FALSE)</f>
        <v>#N/A</v>
      </c>
      <c r="V2676" s="81" t="e">
        <f>HLOOKUP(O2676,データについて!$J$9:$M$18,10,FALSE)</f>
        <v>#N/A</v>
      </c>
      <c r="W2676" s="81" t="e">
        <f>HLOOKUP(P2676,データについて!$J$10:$M$18,9,FALSE)</f>
        <v>#N/A</v>
      </c>
      <c r="X2676" s="81" t="e">
        <f>HLOOKUP(Q2676,データについて!$J$11:$M$18,8,FALSE)</f>
        <v>#N/A</v>
      </c>
      <c r="Y2676" s="81" t="e">
        <f>HLOOKUP(R2676,データについて!$J$12:$M$18,7,FALSE)</f>
        <v>#N/A</v>
      </c>
      <c r="Z2676" s="81" t="e">
        <f>HLOOKUP(I2676,データについて!$J$3:$M$18,16,FALSE)</f>
        <v>#N/A</v>
      </c>
      <c r="AA2676" s="81" t="str">
        <f>IFERROR(HLOOKUP(J2676,データについて!$J$4:$AH$19,16,FALSE),"")</f>
        <v/>
      </c>
      <c r="AB2676" s="81" t="str">
        <f>IFERROR(HLOOKUP(K2676,データについて!$J$5:$AH$20,14,FALSE),"")</f>
        <v/>
      </c>
      <c r="AC2676" s="81" t="e">
        <f>IF(X2676=1,HLOOKUP(R2676,データについて!$J$12:$M$18,7,FALSE),"*")</f>
        <v>#N/A</v>
      </c>
      <c r="AD2676" s="81" t="e">
        <f>IF(X2676=2,HLOOKUP(R2676,データについて!$J$12:$M$18,7,FALSE),"*")</f>
        <v>#N/A</v>
      </c>
    </row>
    <row r="2677" spans="19:30">
      <c r="S2677" s="81" t="e">
        <f>HLOOKUP(L2677,データについて!$J$6:$M$18,13,FALSE)</f>
        <v>#N/A</v>
      </c>
      <c r="T2677" s="81" t="e">
        <f>HLOOKUP(M2677,データについて!$J$7:$M$18,12,FALSE)</f>
        <v>#N/A</v>
      </c>
      <c r="U2677" s="81" t="e">
        <f>HLOOKUP(N2677,データについて!$J$8:$M$18,11,FALSE)</f>
        <v>#N/A</v>
      </c>
      <c r="V2677" s="81" t="e">
        <f>HLOOKUP(O2677,データについて!$J$9:$M$18,10,FALSE)</f>
        <v>#N/A</v>
      </c>
      <c r="W2677" s="81" t="e">
        <f>HLOOKUP(P2677,データについて!$J$10:$M$18,9,FALSE)</f>
        <v>#N/A</v>
      </c>
      <c r="X2677" s="81" t="e">
        <f>HLOOKUP(Q2677,データについて!$J$11:$M$18,8,FALSE)</f>
        <v>#N/A</v>
      </c>
      <c r="Y2677" s="81" t="e">
        <f>HLOOKUP(R2677,データについて!$J$12:$M$18,7,FALSE)</f>
        <v>#N/A</v>
      </c>
      <c r="Z2677" s="81" t="e">
        <f>HLOOKUP(I2677,データについて!$J$3:$M$18,16,FALSE)</f>
        <v>#N/A</v>
      </c>
      <c r="AA2677" s="81" t="str">
        <f>IFERROR(HLOOKUP(J2677,データについて!$J$4:$AH$19,16,FALSE),"")</f>
        <v/>
      </c>
      <c r="AB2677" s="81" t="str">
        <f>IFERROR(HLOOKUP(K2677,データについて!$J$5:$AH$20,14,FALSE),"")</f>
        <v/>
      </c>
      <c r="AC2677" s="81" t="e">
        <f>IF(X2677=1,HLOOKUP(R2677,データについて!$J$12:$M$18,7,FALSE),"*")</f>
        <v>#N/A</v>
      </c>
      <c r="AD2677" s="81" t="e">
        <f>IF(X2677=2,HLOOKUP(R2677,データについて!$J$12:$M$18,7,FALSE),"*")</f>
        <v>#N/A</v>
      </c>
    </row>
    <row r="2678" spans="19:30">
      <c r="S2678" s="81" t="e">
        <f>HLOOKUP(L2678,データについて!$J$6:$M$18,13,FALSE)</f>
        <v>#N/A</v>
      </c>
      <c r="T2678" s="81" t="e">
        <f>HLOOKUP(M2678,データについて!$J$7:$M$18,12,FALSE)</f>
        <v>#N/A</v>
      </c>
      <c r="U2678" s="81" t="e">
        <f>HLOOKUP(N2678,データについて!$J$8:$M$18,11,FALSE)</f>
        <v>#N/A</v>
      </c>
      <c r="V2678" s="81" t="e">
        <f>HLOOKUP(O2678,データについて!$J$9:$M$18,10,FALSE)</f>
        <v>#N/A</v>
      </c>
      <c r="W2678" s="81" t="e">
        <f>HLOOKUP(P2678,データについて!$J$10:$M$18,9,FALSE)</f>
        <v>#N/A</v>
      </c>
      <c r="X2678" s="81" t="e">
        <f>HLOOKUP(Q2678,データについて!$J$11:$M$18,8,FALSE)</f>
        <v>#N/A</v>
      </c>
      <c r="Y2678" s="81" t="e">
        <f>HLOOKUP(R2678,データについて!$J$12:$M$18,7,FALSE)</f>
        <v>#N/A</v>
      </c>
      <c r="Z2678" s="81" t="e">
        <f>HLOOKUP(I2678,データについて!$J$3:$M$18,16,FALSE)</f>
        <v>#N/A</v>
      </c>
      <c r="AA2678" s="81" t="str">
        <f>IFERROR(HLOOKUP(J2678,データについて!$J$4:$AH$19,16,FALSE),"")</f>
        <v/>
      </c>
      <c r="AB2678" s="81" t="str">
        <f>IFERROR(HLOOKUP(K2678,データについて!$J$5:$AH$20,14,FALSE),"")</f>
        <v/>
      </c>
      <c r="AC2678" s="81" t="e">
        <f>IF(X2678=1,HLOOKUP(R2678,データについて!$J$12:$M$18,7,FALSE),"*")</f>
        <v>#N/A</v>
      </c>
      <c r="AD2678" s="81" t="e">
        <f>IF(X2678=2,HLOOKUP(R2678,データについて!$J$12:$M$18,7,FALSE),"*")</f>
        <v>#N/A</v>
      </c>
    </row>
    <row r="2679" spans="19:30">
      <c r="S2679" s="81" t="e">
        <f>HLOOKUP(L2679,データについて!$J$6:$M$18,13,FALSE)</f>
        <v>#N/A</v>
      </c>
      <c r="T2679" s="81" t="e">
        <f>HLOOKUP(M2679,データについて!$J$7:$M$18,12,FALSE)</f>
        <v>#N/A</v>
      </c>
      <c r="U2679" s="81" t="e">
        <f>HLOOKUP(N2679,データについて!$J$8:$M$18,11,FALSE)</f>
        <v>#N/A</v>
      </c>
      <c r="V2679" s="81" t="e">
        <f>HLOOKUP(O2679,データについて!$J$9:$M$18,10,FALSE)</f>
        <v>#N/A</v>
      </c>
      <c r="W2679" s="81" t="e">
        <f>HLOOKUP(P2679,データについて!$J$10:$M$18,9,FALSE)</f>
        <v>#N/A</v>
      </c>
      <c r="X2679" s="81" t="e">
        <f>HLOOKUP(Q2679,データについて!$J$11:$M$18,8,FALSE)</f>
        <v>#N/A</v>
      </c>
      <c r="Y2679" s="81" t="e">
        <f>HLOOKUP(R2679,データについて!$J$12:$M$18,7,FALSE)</f>
        <v>#N/A</v>
      </c>
      <c r="Z2679" s="81" t="e">
        <f>HLOOKUP(I2679,データについて!$J$3:$M$18,16,FALSE)</f>
        <v>#N/A</v>
      </c>
      <c r="AA2679" s="81" t="str">
        <f>IFERROR(HLOOKUP(J2679,データについて!$J$4:$AH$19,16,FALSE),"")</f>
        <v/>
      </c>
      <c r="AB2679" s="81" t="str">
        <f>IFERROR(HLOOKUP(K2679,データについて!$J$5:$AH$20,14,FALSE),"")</f>
        <v/>
      </c>
      <c r="AC2679" s="81" t="e">
        <f>IF(X2679=1,HLOOKUP(R2679,データについて!$J$12:$M$18,7,FALSE),"*")</f>
        <v>#N/A</v>
      </c>
      <c r="AD2679" s="81" t="e">
        <f>IF(X2679=2,HLOOKUP(R2679,データについて!$J$12:$M$18,7,FALSE),"*")</f>
        <v>#N/A</v>
      </c>
    </row>
    <row r="2680" spans="19:30">
      <c r="S2680" s="81" t="e">
        <f>HLOOKUP(L2680,データについて!$J$6:$M$18,13,FALSE)</f>
        <v>#N/A</v>
      </c>
      <c r="T2680" s="81" t="e">
        <f>HLOOKUP(M2680,データについて!$J$7:$M$18,12,FALSE)</f>
        <v>#N/A</v>
      </c>
      <c r="U2680" s="81" t="e">
        <f>HLOOKUP(N2680,データについて!$J$8:$M$18,11,FALSE)</f>
        <v>#N/A</v>
      </c>
      <c r="V2680" s="81" t="e">
        <f>HLOOKUP(O2680,データについて!$J$9:$M$18,10,FALSE)</f>
        <v>#N/A</v>
      </c>
      <c r="W2680" s="81" t="e">
        <f>HLOOKUP(P2680,データについて!$J$10:$M$18,9,FALSE)</f>
        <v>#N/A</v>
      </c>
      <c r="X2680" s="81" t="e">
        <f>HLOOKUP(Q2680,データについて!$J$11:$M$18,8,FALSE)</f>
        <v>#N/A</v>
      </c>
      <c r="Y2680" s="81" t="e">
        <f>HLOOKUP(R2680,データについて!$J$12:$M$18,7,FALSE)</f>
        <v>#N/A</v>
      </c>
      <c r="Z2680" s="81" t="e">
        <f>HLOOKUP(I2680,データについて!$J$3:$M$18,16,FALSE)</f>
        <v>#N/A</v>
      </c>
      <c r="AA2680" s="81" t="str">
        <f>IFERROR(HLOOKUP(J2680,データについて!$J$4:$AH$19,16,FALSE),"")</f>
        <v/>
      </c>
      <c r="AB2680" s="81" t="str">
        <f>IFERROR(HLOOKUP(K2680,データについて!$J$5:$AH$20,14,FALSE),"")</f>
        <v/>
      </c>
      <c r="AC2680" s="81" t="e">
        <f>IF(X2680=1,HLOOKUP(R2680,データについて!$J$12:$M$18,7,FALSE),"*")</f>
        <v>#N/A</v>
      </c>
      <c r="AD2680" s="81" t="e">
        <f>IF(X2680=2,HLOOKUP(R2680,データについて!$J$12:$M$18,7,FALSE),"*")</f>
        <v>#N/A</v>
      </c>
    </row>
    <row r="2681" spans="19:30">
      <c r="S2681" s="81" t="e">
        <f>HLOOKUP(L2681,データについて!$J$6:$M$18,13,FALSE)</f>
        <v>#N/A</v>
      </c>
      <c r="T2681" s="81" t="e">
        <f>HLOOKUP(M2681,データについて!$J$7:$M$18,12,FALSE)</f>
        <v>#N/A</v>
      </c>
      <c r="U2681" s="81" t="e">
        <f>HLOOKUP(N2681,データについて!$J$8:$M$18,11,FALSE)</f>
        <v>#N/A</v>
      </c>
      <c r="V2681" s="81" t="e">
        <f>HLOOKUP(O2681,データについて!$J$9:$M$18,10,FALSE)</f>
        <v>#N/A</v>
      </c>
      <c r="W2681" s="81" t="e">
        <f>HLOOKUP(P2681,データについて!$J$10:$M$18,9,FALSE)</f>
        <v>#N/A</v>
      </c>
      <c r="X2681" s="81" t="e">
        <f>HLOOKUP(Q2681,データについて!$J$11:$M$18,8,FALSE)</f>
        <v>#N/A</v>
      </c>
      <c r="Y2681" s="81" t="e">
        <f>HLOOKUP(R2681,データについて!$J$12:$M$18,7,FALSE)</f>
        <v>#N/A</v>
      </c>
      <c r="Z2681" s="81" t="e">
        <f>HLOOKUP(I2681,データについて!$J$3:$M$18,16,FALSE)</f>
        <v>#N/A</v>
      </c>
      <c r="AA2681" s="81" t="str">
        <f>IFERROR(HLOOKUP(J2681,データについて!$J$4:$AH$19,16,FALSE),"")</f>
        <v/>
      </c>
      <c r="AB2681" s="81" t="str">
        <f>IFERROR(HLOOKUP(K2681,データについて!$J$5:$AH$20,14,FALSE),"")</f>
        <v/>
      </c>
      <c r="AC2681" s="81" t="e">
        <f>IF(X2681=1,HLOOKUP(R2681,データについて!$J$12:$M$18,7,FALSE),"*")</f>
        <v>#N/A</v>
      </c>
      <c r="AD2681" s="81" t="e">
        <f>IF(X2681=2,HLOOKUP(R2681,データについて!$J$12:$M$18,7,FALSE),"*")</f>
        <v>#N/A</v>
      </c>
    </row>
    <row r="2682" spans="19:30">
      <c r="S2682" s="81" t="e">
        <f>HLOOKUP(L2682,データについて!$J$6:$M$18,13,FALSE)</f>
        <v>#N/A</v>
      </c>
      <c r="T2682" s="81" t="e">
        <f>HLOOKUP(M2682,データについて!$J$7:$M$18,12,FALSE)</f>
        <v>#N/A</v>
      </c>
      <c r="U2682" s="81" t="e">
        <f>HLOOKUP(N2682,データについて!$J$8:$M$18,11,FALSE)</f>
        <v>#N/A</v>
      </c>
      <c r="V2682" s="81" t="e">
        <f>HLOOKUP(O2682,データについて!$J$9:$M$18,10,FALSE)</f>
        <v>#N/A</v>
      </c>
      <c r="W2682" s="81" t="e">
        <f>HLOOKUP(P2682,データについて!$J$10:$M$18,9,FALSE)</f>
        <v>#N/A</v>
      </c>
      <c r="X2682" s="81" t="e">
        <f>HLOOKUP(Q2682,データについて!$J$11:$M$18,8,FALSE)</f>
        <v>#N/A</v>
      </c>
      <c r="Y2682" s="81" t="e">
        <f>HLOOKUP(R2682,データについて!$J$12:$M$18,7,FALSE)</f>
        <v>#N/A</v>
      </c>
      <c r="Z2682" s="81" t="e">
        <f>HLOOKUP(I2682,データについて!$J$3:$M$18,16,FALSE)</f>
        <v>#N/A</v>
      </c>
      <c r="AA2682" s="81" t="str">
        <f>IFERROR(HLOOKUP(J2682,データについて!$J$4:$AH$19,16,FALSE),"")</f>
        <v/>
      </c>
      <c r="AB2682" s="81" t="str">
        <f>IFERROR(HLOOKUP(K2682,データについて!$J$5:$AH$20,14,FALSE),"")</f>
        <v/>
      </c>
      <c r="AC2682" s="81" t="e">
        <f>IF(X2682=1,HLOOKUP(R2682,データについて!$J$12:$M$18,7,FALSE),"*")</f>
        <v>#N/A</v>
      </c>
      <c r="AD2682" s="81" t="e">
        <f>IF(X2682=2,HLOOKUP(R2682,データについて!$J$12:$M$18,7,FALSE),"*")</f>
        <v>#N/A</v>
      </c>
    </row>
    <row r="2683" spans="19:30">
      <c r="S2683" s="81" t="e">
        <f>HLOOKUP(L2683,データについて!$J$6:$M$18,13,FALSE)</f>
        <v>#N/A</v>
      </c>
      <c r="T2683" s="81" t="e">
        <f>HLOOKUP(M2683,データについて!$J$7:$M$18,12,FALSE)</f>
        <v>#N/A</v>
      </c>
      <c r="U2683" s="81" t="e">
        <f>HLOOKUP(N2683,データについて!$J$8:$M$18,11,FALSE)</f>
        <v>#N/A</v>
      </c>
      <c r="V2683" s="81" t="e">
        <f>HLOOKUP(O2683,データについて!$J$9:$M$18,10,FALSE)</f>
        <v>#N/A</v>
      </c>
      <c r="W2683" s="81" t="e">
        <f>HLOOKUP(P2683,データについて!$J$10:$M$18,9,FALSE)</f>
        <v>#N/A</v>
      </c>
      <c r="X2683" s="81" t="e">
        <f>HLOOKUP(Q2683,データについて!$J$11:$M$18,8,FALSE)</f>
        <v>#N/A</v>
      </c>
      <c r="Y2683" s="81" t="e">
        <f>HLOOKUP(R2683,データについて!$J$12:$M$18,7,FALSE)</f>
        <v>#N/A</v>
      </c>
      <c r="Z2683" s="81" t="e">
        <f>HLOOKUP(I2683,データについて!$J$3:$M$18,16,FALSE)</f>
        <v>#N/A</v>
      </c>
      <c r="AA2683" s="81" t="str">
        <f>IFERROR(HLOOKUP(J2683,データについて!$J$4:$AH$19,16,FALSE),"")</f>
        <v/>
      </c>
      <c r="AB2683" s="81" t="str">
        <f>IFERROR(HLOOKUP(K2683,データについて!$J$5:$AH$20,14,FALSE),"")</f>
        <v/>
      </c>
      <c r="AC2683" s="81" t="e">
        <f>IF(X2683=1,HLOOKUP(R2683,データについて!$J$12:$M$18,7,FALSE),"*")</f>
        <v>#N/A</v>
      </c>
      <c r="AD2683" s="81" t="e">
        <f>IF(X2683=2,HLOOKUP(R2683,データについて!$J$12:$M$18,7,FALSE),"*")</f>
        <v>#N/A</v>
      </c>
    </row>
    <row r="2684" spans="19:30">
      <c r="S2684" s="81" t="e">
        <f>HLOOKUP(L2684,データについて!$J$6:$M$18,13,FALSE)</f>
        <v>#N/A</v>
      </c>
      <c r="T2684" s="81" t="e">
        <f>HLOOKUP(M2684,データについて!$J$7:$M$18,12,FALSE)</f>
        <v>#N/A</v>
      </c>
      <c r="U2684" s="81" t="e">
        <f>HLOOKUP(N2684,データについて!$J$8:$M$18,11,FALSE)</f>
        <v>#N/A</v>
      </c>
      <c r="V2684" s="81" t="e">
        <f>HLOOKUP(O2684,データについて!$J$9:$M$18,10,FALSE)</f>
        <v>#N/A</v>
      </c>
      <c r="W2684" s="81" t="e">
        <f>HLOOKUP(P2684,データについて!$J$10:$M$18,9,FALSE)</f>
        <v>#N/A</v>
      </c>
      <c r="X2684" s="81" t="e">
        <f>HLOOKUP(Q2684,データについて!$J$11:$M$18,8,FALSE)</f>
        <v>#N/A</v>
      </c>
      <c r="Y2684" s="81" t="e">
        <f>HLOOKUP(R2684,データについて!$J$12:$M$18,7,FALSE)</f>
        <v>#N/A</v>
      </c>
      <c r="Z2684" s="81" t="e">
        <f>HLOOKUP(I2684,データについて!$J$3:$M$18,16,FALSE)</f>
        <v>#N/A</v>
      </c>
      <c r="AA2684" s="81" t="str">
        <f>IFERROR(HLOOKUP(J2684,データについて!$J$4:$AH$19,16,FALSE),"")</f>
        <v/>
      </c>
      <c r="AB2684" s="81" t="str">
        <f>IFERROR(HLOOKUP(K2684,データについて!$J$5:$AH$20,14,FALSE),"")</f>
        <v/>
      </c>
      <c r="AC2684" s="81" t="e">
        <f>IF(X2684=1,HLOOKUP(R2684,データについて!$J$12:$M$18,7,FALSE),"*")</f>
        <v>#N/A</v>
      </c>
      <c r="AD2684" s="81" t="e">
        <f>IF(X2684=2,HLOOKUP(R2684,データについて!$J$12:$M$18,7,FALSE),"*")</f>
        <v>#N/A</v>
      </c>
    </row>
    <row r="2685" spans="19:30">
      <c r="S2685" s="81" t="e">
        <f>HLOOKUP(L2685,データについて!$J$6:$M$18,13,FALSE)</f>
        <v>#N/A</v>
      </c>
      <c r="T2685" s="81" t="e">
        <f>HLOOKUP(M2685,データについて!$J$7:$M$18,12,FALSE)</f>
        <v>#N/A</v>
      </c>
      <c r="U2685" s="81" t="e">
        <f>HLOOKUP(N2685,データについて!$J$8:$M$18,11,FALSE)</f>
        <v>#N/A</v>
      </c>
      <c r="V2685" s="81" t="e">
        <f>HLOOKUP(O2685,データについて!$J$9:$M$18,10,FALSE)</f>
        <v>#N/A</v>
      </c>
      <c r="W2685" s="81" t="e">
        <f>HLOOKUP(P2685,データについて!$J$10:$M$18,9,FALSE)</f>
        <v>#N/A</v>
      </c>
      <c r="X2685" s="81" t="e">
        <f>HLOOKUP(Q2685,データについて!$J$11:$M$18,8,FALSE)</f>
        <v>#N/A</v>
      </c>
      <c r="Y2685" s="81" t="e">
        <f>HLOOKUP(R2685,データについて!$J$12:$M$18,7,FALSE)</f>
        <v>#N/A</v>
      </c>
      <c r="Z2685" s="81" t="e">
        <f>HLOOKUP(I2685,データについて!$J$3:$M$18,16,FALSE)</f>
        <v>#N/A</v>
      </c>
      <c r="AA2685" s="81" t="str">
        <f>IFERROR(HLOOKUP(J2685,データについて!$J$4:$AH$19,16,FALSE),"")</f>
        <v/>
      </c>
      <c r="AB2685" s="81" t="str">
        <f>IFERROR(HLOOKUP(K2685,データについて!$J$5:$AH$20,14,FALSE),"")</f>
        <v/>
      </c>
      <c r="AC2685" s="81" t="e">
        <f>IF(X2685=1,HLOOKUP(R2685,データについて!$J$12:$M$18,7,FALSE),"*")</f>
        <v>#N/A</v>
      </c>
      <c r="AD2685" s="81" t="e">
        <f>IF(X2685=2,HLOOKUP(R2685,データについて!$J$12:$M$18,7,FALSE),"*")</f>
        <v>#N/A</v>
      </c>
    </row>
    <row r="2686" spans="19:30">
      <c r="S2686" s="81" t="e">
        <f>HLOOKUP(L2686,データについて!$J$6:$M$18,13,FALSE)</f>
        <v>#N/A</v>
      </c>
      <c r="T2686" s="81" t="e">
        <f>HLOOKUP(M2686,データについて!$J$7:$M$18,12,FALSE)</f>
        <v>#N/A</v>
      </c>
      <c r="U2686" s="81" t="e">
        <f>HLOOKUP(N2686,データについて!$J$8:$M$18,11,FALSE)</f>
        <v>#N/A</v>
      </c>
      <c r="V2686" s="81" t="e">
        <f>HLOOKUP(O2686,データについて!$J$9:$M$18,10,FALSE)</f>
        <v>#N/A</v>
      </c>
      <c r="W2686" s="81" t="e">
        <f>HLOOKUP(P2686,データについて!$J$10:$M$18,9,FALSE)</f>
        <v>#N/A</v>
      </c>
      <c r="X2686" s="81" t="e">
        <f>HLOOKUP(Q2686,データについて!$J$11:$M$18,8,FALSE)</f>
        <v>#N/A</v>
      </c>
      <c r="Y2686" s="81" t="e">
        <f>HLOOKUP(R2686,データについて!$J$12:$M$18,7,FALSE)</f>
        <v>#N/A</v>
      </c>
      <c r="Z2686" s="81" t="e">
        <f>HLOOKUP(I2686,データについて!$J$3:$M$18,16,FALSE)</f>
        <v>#N/A</v>
      </c>
      <c r="AA2686" s="81" t="str">
        <f>IFERROR(HLOOKUP(J2686,データについて!$J$4:$AH$19,16,FALSE),"")</f>
        <v/>
      </c>
      <c r="AB2686" s="81" t="str">
        <f>IFERROR(HLOOKUP(K2686,データについて!$J$5:$AH$20,14,FALSE),"")</f>
        <v/>
      </c>
      <c r="AC2686" s="81" t="e">
        <f>IF(X2686=1,HLOOKUP(R2686,データについて!$J$12:$M$18,7,FALSE),"*")</f>
        <v>#N/A</v>
      </c>
      <c r="AD2686" s="81" t="e">
        <f>IF(X2686=2,HLOOKUP(R2686,データについて!$J$12:$M$18,7,FALSE),"*")</f>
        <v>#N/A</v>
      </c>
    </row>
    <row r="2687" spans="19:30">
      <c r="S2687" s="81" t="e">
        <f>HLOOKUP(L2687,データについて!$J$6:$M$18,13,FALSE)</f>
        <v>#N/A</v>
      </c>
      <c r="T2687" s="81" t="e">
        <f>HLOOKUP(M2687,データについて!$J$7:$M$18,12,FALSE)</f>
        <v>#N/A</v>
      </c>
      <c r="U2687" s="81" t="e">
        <f>HLOOKUP(N2687,データについて!$J$8:$M$18,11,FALSE)</f>
        <v>#N/A</v>
      </c>
      <c r="V2687" s="81" t="e">
        <f>HLOOKUP(O2687,データについて!$J$9:$M$18,10,FALSE)</f>
        <v>#N/A</v>
      </c>
      <c r="W2687" s="81" t="e">
        <f>HLOOKUP(P2687,データについて!$J$10:$M$18,9,FALSE)</f>
        <v>#N/A</v>
      </c>
      <c r="X2687" s="81" t="e">
        <f>HLOOKUP(Q2687,データについて!$J$11:$M$18,8,FALSE)</f>
        <v>#N/A</v>
      </c>
      <c r="Y2687" s="81" t="e">
        <f>HLOOKUP(R2687,データについて!$J$12:$M$18,7,FALSE)</f>
        <v>#N/A</v>
      </c>
      <c r="Z2687" s="81" t="e">
        <f>HLOOKUP(I2687,データについて!$J$3:$M$18,16,FALSE)</f>
        <v>#N/A</v>
      </c>
      <c r="AA2687" s="81" t="str">
        <f>IFERROR(HLOOKUP(J2687,データについて!$J$4:$AH$19,16,FALSE),"")</f>
        <v/>
      </c>
      <c r="AB2687" s="81" t="str">
        <f>IFERROR(HLOOKUP(K2687,データについて!$J$5:$AH$20,14,FALSE),"")</f>
        <v/>
      </c>
      <c r="AC2687" s="81" t="e">
        <f>IF(X2687=1,HLOOKUP(R2687,データについて!$J$12:$M$18,7,FALSE),"*")</f>
        <v>#N/A</v>
      </c>
      <c r="AD2687" s="81" t="e">
        <f>IF(X2687=2,HLOOKUP(R2687,データについて!$J$12:$M$18,7,FALSE),"*")</f>
        <v>#N/A</v>
      </c>
    </row>
    <row r="2688" spans="19:30">
      <c r="S2688" s="81" t="e">
        <f>HLOOKUP(L2688,データについて!$J$6:$M$18,13,FALSE)</f>
        <v>#N/A</v>
      </c>
      <c r="T2688" s="81" t="e">
        <f>HLOOKUP(M2688,データについて!$J$7:$M$18,12,FALSE)</f>
        <v>#N/A</v>
      </c>
      <c r="U2688" s="81" t="e">
        <f>HLOOKUP(N2688,データについて!$J$8:$M$18,11,FALSE)</f>
        <v>#N/A</v>
      </c>
      <c r="V2688" s="81" t="e">
        <f>HLOOKUP(O2688,データについて!$J$9:$M$18,10,FALSE)</f>
        <v>#N/A</v>
      </c>
      <c r="W2688" s="81" t="e">
        <f>HLOOKUP(P2688,データについて!$J$10:$M$18,9,FALSE)</f>
        <v>#N/A</v>
      </c>
      <c r="X2688" s="81" t="e">
        <f>HLOOKUP(Q2688,データについて!$J$11:$M$18,8,FALSE)</f>
        <v>#N/A</v>
      </c>
      <c r="Y2688" s="81" t="e">
        <f>HLOOKUP(R2688,データについて!$J$12:$M$18,7,FALSE)</f>
        <v>#N/A</v>
      </c>
      <c r="Z2688" s="81" t="e">
        <f>HLOOKUP(I2688,データについて!$J$3:$M$18,16,FALSE)</f>
        <v>#N/A</v>
      </c>
      <c r="AA2688" s="81" t="str">
        <f>IFERROR(HLOOKUP(J2688,データについて!$J$4:$AH$19,16,FALSE),"")</f>
        <v/>
      </c>
      <c r="AB2688" s="81" t="str">
        <f>IFERROR(HLOOKUP(K2688,データについて!$J$5:$AH$20,14,FALSE),"")</f>
        <v/>
      </c>
      <c r="AC2688" s="81" t="e">
        <f>IF(X2688=1,HLOOKUP(R2688,データについて!$J$12:$M$18,7,FALSE),"*")</f>
        <v>#N/A</v>
      </c>
      <c r="AD2688" s="81" t="e">
        <f>IF(X2688=2,HLOOKUP(R2688,データについて!$J$12:$M$18,7,FALSE),"*")</f>
        <v>#N/A</v>
      </c>
    </row>
    <row r="2689" spans="19:30">
      <c r="S2689" s="81" t="e">
        <f>HLOOKUP(L2689,データについて!$J$6:$M$18,13,FALSE)</f>
        <v>#N/A</v>
      </c>
      <c r="T2689" s="81" t="e">
        <f>HLOOKUP(M2689,データについて!$J$7:$M$18,12,FALSE)</f>
        <v>#N/A</v>
      </c>
      <c r="U2689" s="81" t="e">
        <f>HLOOKUP(N2689,データについて!$J$8:$M$18,11,FALSE)</f>
        <v>#N/A</v>
      </c>
      <c r="V2689" s="81" t="e">
        <f>HLOOKUP(O2689,データについて!$J$9:$M$18,10,FALSE)</f>
        <v>#N/A</v>
      </c>
      <c r="W2689" s="81" t="e">
        <f>HLOOKUP(P2689,データについて!$J$10:$M$18,9,FALSE)</f>
        <v>#N/A</v>
      </c>
      <c r="X2689" s="81" t="e">
        <f>HLOOKUP(Q2689,データについて!$J$11:$M$18,8,FALSE)</f>
        <v>#N/A</v>
      </c>
      <c r="Y2689" s="81" t="e">
        <f>HLOOKUP(R2689,データについて!$J$12:$M$18,7,FALSE)</f>
        <v>#N/A</v>
      </c>
      <c r="Z2689" s="81" t="e">
        <f>HLOOKUP(I2689,データについて!$J$3:$M$18,16,FALSE)</f>
        <v>#N/A</v>
      </c>
      <c r="AA2689" s="81" t="str">
        <f>IFERROR(HLOOKUP(J2689,データについて!$J$4:$AH$19,16,FALSE),"")</f>
        <v/>
      </c>
      <c r="AB2689" s="81" t="str">
        <f>IFERROR(HLOOKUP(K2689,データについて!$J$5:$AH$20,14,FALSE),"")</f>
        <v/>
      </c>
      <c r="AC2689" s="81" t="e">
        <f>IF(X2689=1,HLOOKUP(R2689,データについて!$J$12:$M$18,7,FALSE),"*")</f>
        <v>#N/A</v>
      </c>
      <c r="AD2689" s="81" t="e">
        <f>IF(X2689=2,HLOOKUP(R2689,データについて!$J$12:$M$18,7,FALSE),"*")</f>
        <v>#N/A</v>
      </c>
    </row>
    <row r="2690" spans="19:30">
      <c r="S2690" s="81" t="e">
        <f>HLOOKUP(L2690,データについて!$J$6:$M$18,13,FALSE)</f>
        <v>#N/A</v>
      </c>
      <c r="T2690" s="81" t="e">
        <f>HLOOKUP(M2690,データについて!$J$7:$M$18,12,FALSE)</f>
        <v>#N/A</v>
      </c>
      <c r="U2690" s="81" t="e">
        <f>HLOOKUP(N2690,データについて!$J$8:$M$18,11,FALSE)</f>
        <v>#N/A</v>
      </c>
      <c r="V2690" s="81" t="e">
        <f>HLOOKUP(O2690,データについて!$J$9:$M$18,10,FALSE)</f>
        <v>#N/A</v>
      </c>
      <c r="W2690" s="81" t="e">
        <f>HLOOKUP(P2690,データについて!$J$10:$M$18,9,FALSE)</f>
        <v>#N/A</v>
      </c>
      <c r="X2690" s="81" t="e">
        <f>HLOOKUP(Q2690,データについて!$J$11:$M$18,8,FALSE)</f>
        <v>#N/A</v>
      </c>
      <c r="Y2690" s="81" t="e">
        <f>HLOOKUP(R2690,データについて!$J$12:$M$18,7,FALSE)</f>
        <v>#N/A</v>
      </c>
      <c r="Z2690" s="81" t="e">
        <f>HLOOKUP(I2690,データについて!$J$3:$M$18,16,FALSE)</f>
        <v>#N/A</v>
      </c>
      <c r="AA2690" s="81" t="str">
        <f>IFERROR(HLOOKUP(J2690,データについて!$J$4:$AH$19,16,FALSE),"")</f>
        <v/>
      </c>
      <c r="AB2690" s="81" t="str">
        <f>IFERROR(HLOOKUP(K2690,データについて!$J$5:$AH$20,14,FALSE),"")</f>
        <v/>
      </c>
      <c r="AC2690" s="81" t="e">
        <f>IF(X2690=1,HLOOKUP(R2690,データについて!$J$12:$M$18,7,FALSE),"*")</f>
        <v>#N/A</v>
      </c>
      <c r="AD2690" s="81" t="e">
        <f>IF(X2690=2,HLOOKUP(R2690,データについて!$J$12:$M$18,7,FALSE),"*")</f>
        <v>#N/A</v>
      </c>
    </row>
    <row r="2691" spans="19:30">
      <c r="S2691" s="81" t="e">
        <f>HLOOKUP(L2691,データについて!$J$6:$M$18,13,FALSE)</f>
        <v>#N/A</v>
      </c>
      <c r="T2691" s="81" t="e">
        <f>HLOOKUP(M2691,データについて!$J$7:$M$18,12,FALSE)</f>
        <v>#N/A</v>
      </c>
      <c r="U2691" s="81" t="e">
        <f>HLOOKUP(N2691,データについて!$J$8:$M$18,11,FALSE)</f>
        <v>#N/A</v>
      </c>
      <c r="V2691" s="81" t="e">
        <f>HLOOKUP(O2691,データについて!$J$9:$M$18,10,FALSE)</f>
        <v>#N/A</v>
      </c>
      <c r="W2691" s="81" t="e">
        <f>HLOOKUP(P2691,データについて!$J$10:$M$18,9,FALSE)</f>
        <v>#N/A</v>
      </c>
      <c r="X2691" s="81" t="e">
        <f>HLOOKUP(Q2691,データについて!$J$11:$M$18,8,FALSE)</f>
        <v>#N/A</v>
      </c>
      <c r="Y2691" s="81" t="e">
        <f>HLOOKUP(R2691,データについて!$J$12:$M$18,7,FALSE)</f>
        <v>#N/A</v>
      </c>
      <c r="Z2691" s="81" t="e">
        <f>HLOOKUP(I2691,データについて!$J$3:$M$18,16,FALSE)</f>
        <v>#N/A</v>
      </c>
      <c r="AA2691" s="81" t="str">
        <f>IFERROR(HLOOKUP(J2691,データについて!$J$4:$AH$19,16,FALSE),"")</f>
        <v/>
      </c>
      <c r="AB2691" s="81" t="str">
        <f>IFERROR(HLOOKUP(K2691,データについて!$J$5:$AH$20,14,FALSE),"")</f>
        <v/>
      </c>
      <c r="AC2691" s="81" t="e">
        <f>IF(X2691=1,HLOOKUP(R2691,データについて!$J$12:$M$18,7,FALSE),"*")</f>
        <v>#N/A</v>
      </c>
      <c r="AD2691" s="81" t="e">
        <f>IF(X2691=2,HLOOKUP(R2691,データについて!$J$12:$M$18,7,FALSE),"*")</f>
        <v>#N/A</v>
      </c>
    </row>
    <row r="2692" spans="19:30">
      <c r="S2692" s="81" t="e">
        <f>HLOOKUP(L2692,データについて!$J$6:$M$18,13,FALSE)</f>
        <v>#N/A</v>
      </c>
      <c r="T2692" s="81" t="e">
        <f>HLOOKUP(M2692,データについて!$J$7:$M$18,12,FALSE)</f>
        <v>#N/A</v>
      </c>
      <c r="U2692" s="81" t="e">
        <f>HLOOKUP(N2692,データについて!$J$8:$M$18,11,FALSE)</f>
        <v>#N/A</v>
      </c>
      <c r="V2692" s="81" t="e">
        <f>HLOOKUP(O2692,データについて!$J$9:$M$18,10,FALSE)</f>
        <v>#N/A</v>
      </c>
      <c r="W2692" s="81" t="e">
        <f>HLOOKUP(P2692,データについて!$J$10:$M$18,9,FALSE)</f>
        <v>#N/A</v>
      </c>
      <c r="X2692" s="81" t="e">
        <f>HLOOKUP(Q2692,データについて!$J$11:$M$18,8,FALSE)</f>
        <v>#N/A</v>
      </c>
      <c r="Y2692" s="81" t="e">
        <f>HLOOKUP(R2692,データについて!$J$12:$M$18,7,FALSE)</f>
        <v>#N/A</v>
      </c>
      <c r="Z2692" s="81" t="e">
        <f>HLOOKUP(I2692,データについて!$J$3:$M$18,16,FALSE)</f>
        <v>#N/A</v>
      </c>
      <c r="AA2692" s="81" t="str">
        <f>IFERROR(HLOOKUP(J2692,データについて!$J$4:$AH$19,16,FALSE),"")</f>
        <v/>
      </c>
      <c r="AB2692" s="81" t="str">
        <f>IFERROR(HLOOKUP(K2692,データについて!$J$5:$AH$20,14,FALSE),"")</f>
        <v/>
      </c>
      <c r="AC2692" s="81" t="e">
        <f>IF(X2692=1,HLOOKUP(R2692,データについて!$J$12:$M$18,7,FALSE),"*")</f>
        <v>#N/A</v>
      </c>
      <c r="AD2692" s="81" t="e">
        <f>IF(X2692=2,HLOOKUP(R2692,データについて!$J$12:$M$18,7,FALSE),"*")</f>
        <v>#N/A</v>
      </c>
    </row>
    <row r="2693" spans="19:30">
      <c r="S2693" s="81" t="e">
        <f>HLOOKUP(L2693,データについて!$J$6:$M$18,13,FALSE)</f>
        <v>#N/A</v>
      </c>
      <c r="T2693" s="81" t="e">
        <f>HLOOKUP(M2693,データについて!$J$7:$M$18,12,FALSE)</f>
        <v>#N/A</v>
      </c>
      <c r="U2693" s="81" t="e">
        <f>HLOOKUP(N2693,データについて!$J$8:$M$18,11,FALSE)</f>
        <v>#N/A</v>
      </c>
      <c r="V2693" s="81" t="e">
        <f>HLOOKUP(O2693,データについて!$J$9:$M$18,10,FALSE)</f>
        <v>#N/A</v>
      </c>
      <c r="W2693" s="81" t="e">
        <f>HLOOKUP(P2693,データについて!$J$10:$M$18,9,FALSE)</f>
        <v>#N/A</v>
      </c>
      <c r="X2693" s="81" t="e">
        <f>HLOOKUP(Q2693,データについて!$J$11:$M$18,8,FALSE)</f>
        <v>#N/A</v>
      </c>
      <c r="Y2693" s="81" t="e">
        <f>HLOOKUP(R2693,データについて!$J$12:$M$18,7,FALSE)</f>
        <v>#N/A</v>
      </c>
      <c r="Z2693" s="81" t="e">
        <f>HLOOKUP(I2693,データについて!$J$3:$M$18,16,FALSE)</f>
        <v>#N/A</v>
      </c>
      <c r="AA2693" s="81" t="str">
        <f>IFERROR(HLOOKUP(J2693,データについて!$J$4:$AH$19,16,FALSE),"")</f>
        <v/>
      </c>
      <c r="AB2693" s="81" t="str">
        <f>IFERROR(HLOOKUP(K2693,データについて!$J$5:$AH$20,14,FALSE),"")</f>
        <v/>
      </c>
      <c r="AC2693" s="81" t="e">
        <f>IF(X2693=1,HLOOKUP(R2693,データについて!$J$12:$M$18,7,FALSE),"*")</f>
        <v>#N/A</v>
      </c>
      <c r="AD2693" s="81" t="e">
        <f>IF(X2693=2,HLOOKUP(R2693,データについて!$J$12:$M$18,7,FALSE),"*")</f>
        <v>#N/A</v>
      </c>
    </row>
    <row r="2694" spans="19:30">
      <c r="S2694" s="81" t="e">
        <f>HLOOKUP(L2694,データについて!$J$6:$M$18,13,FALSE)</f>
        <v>#N/A</v>
      </c>
      <c r="T2694" s="81" t="e">
        <f>HLOOKUP(M2694,データについて!$J$7:$M$18,12,FALSE)</f>
        <v>#N/A</v>
      </c>
      <c r="U2694" s="81" t="e">
        <f>HLOOKUP(N2694,データについて!$J$8:$M$18,11,FALSE)</f>
        <v>#N/A</v>
      </c>
      <c r="V2694" s="81" t="e">
        <f>HLOOKUP(O2694,データについて!$J$9:$M$18,10,FALSE)</f>
        <v>#N/A</v>
      </c>
      <c r="W2694" s="81" t="e">
        <f>HLOOKUP(P2694,データについて!$J$10:$M$18,9,FALSE)</f>
        <v>#N/A</v>
      </c>
      <c r="X2694" s="81" t="e">
        <f>HLOOKUP(Q2694,データについて!$J$11:$M$18,8,FALSE)</f>
        <v>#N/A</v>
      </c>
      <c r="Y2694" s="81" t="e">
        <f>HLOOKUP(R2694,データについて!$J$12:$M$18,7,FALSE)</f>
        <v>#N/A</v>
      </c>
      <c r="Z2694" s="81" t="e">
        <f>HLOOKUP(I2694,データについて!$J$3:$M$18,16,FALSE)</f>
        <v>#N/A</v>
      </c>
      <c r="AA2694" s="81" t="str">
        <f>IFERROR(HLOOKUP(J2694,データについて!$J$4:$AH$19,16,FALSE),"")</f>
        <v/>
      </c>
      <c r="AB2694" s="81" t="str">
        <f>IFERROR(HLOOKUP(K2694,データについて!$J$5:$AH$20,14,FALSE),"")</f>
        <v/>
      </c>
      <c r="AC2694" s="81" t="e">
        <f>IF(X2694=1,HLOOKUP(R2694,データについて!$J$12:$M$18,7,FALSE),"*")</f>
        <v>#N/A</v>
      </c>
      <c r="AD2694" s="81" t="e">
        <f>IF(X2694=2,HLOOKUP(R2694,データについて!$J$12:$M$18,7,FALSE),"*")</f>
        <v>#N/A</v>
      </c>
    </row>
    <row r="2695" spans="19:30">
      <c r="S2695" s="81" t="e">
        <f>HLOOKUP(L2695,データについて!$J$6:$M$18,13,FALSE)</f>
        <v>#N/A</v>
      </c>
      <c r="T2695" s="81" t="e">
        <f>HLOOKUP(M2695,データについて!$J$7:$M$18,12,FALSE)</f>
        <v>#N/A</v>
      </c>
      <c r="U2695" s="81" t="e">
        <f>HLOOKUP(N2695,データについて!$J$8:$M$18,11,FALSE)</f>
        <v>#N/A</v>
      </c>
      <c r="V2695" s="81" t="e">
        <f>HLOOKUP(O2695,データについて!$J$9:$M$18,10,FALSE)</f>
        <v>#N/A</v>
      </c>
      <c r="W2695" s="81" t="e">
        <f>HLOOKUP(P2695,データについて!$J$10:$M$18,9,FALSE)</f>
        <v>#N/A</v>
      </c>
      <c r="X2695" s="81" t="e">
        <f>HLOOKUP(Q2695,データについて!$J$11:$M$18,8,FALSE)</f>
        <v>#N/A</v>
      </c>
      <c r="Y2695" s="81" t="e">
        <f>HLOOKUP(R2695,データについて!$J$12:$M$18,7,FALSE)</f>
        <v>#N/A</v>
      </c>
      <c r="Z2695" s="81" t="e">
        <f>HLOOKUP(I2695,データについて!$J$3:$M$18,16,FALSE)</f>
        <v>#N/A</v>
      </c>
      <c r="AA2695" s="81" t="str">
        <f>IFERROR(HLOOKUP(J2695,データについて!$J$4:$AH$19,16,FALSE),"")</f>
        <v/>
      </c>
      <c r="AB2695" s="81" t="str">
        <f>IFERROR(HLOOKUP(K2695,データについて!$J$5:$AH$20,14,FALSE),"")</f>
        <v/>
      </c>
      <c r="AC2695" s="81" t="e">
        <f>IF(X2695=1,HLOOKUP(R2695,データについて!$J$12:$M$18,7,FALSE),"*")</f>
        <v>#N/A</v>
      </c>
      <c r="AD2695" s="81" t="e">
        <f>IF(X2695=2,HLOOKUP(R2695,データについて!$J$12:$M$18,7,FALSE),"*")</f>
        <v>#N/A</v>
      </c>
    </row>
    <row r="2696" spans="19:30">
      <c r="S2696" s="81" t="e">
        <f>HLOOKUP(L2696,データについて!$J$6:$M$18,13,FALSE)</f>
        <v>#N/A</v>
      </c>
      <c r="T2696" s="81" t="e">
        <f>HLOOKUP(M2696,データについて!$J$7:$M$18,12,FALSE)</f>
        <v>#N/A</v>
      </c>
      <c r="U2696" s="81" t="e">
        <f>HLOOKUP(N2696,データについて!$J$8:$M$18,11,FALSE)</f>
        <v>#N/A</v>
      </c>
      <c r="V2696" s="81" t="e">
        <f>HLOOKUP(O2696,データについて!$J$9:$M$18,10,FALSE)</f>
        <v>#N/A</v>
      </c>
      <c r="W2696" s="81" t="e">
        <f>HLOOKUP(P2696,データについて!$J$10:$M$18,9,FALSE)</f>
        <v>#N/A</v>
      </c>
      <c r="X2696" s="81" t="e">
        <f>HLOOKUP(Q2696,データについて!$J$11:$M$18,8,FALSE)</f>
        <v>#N/A</v>
      </c>
      <c r="Y2696" s="81" t="e">
        <f>HLOOKUP(R2696,データについて!$J$12:$M$18,7,FALSE)</f>
        <v>#N/A</v>
      </c>
      <c r="Z2696" s="81" t="e">
        <f>HLOOKUP(I2696,データについて!$J$3:$M$18,16,FALSE)</f>
        <v>#N/A</v>
      </c>
      <c r="AA2696" s="81" t="str">
        <f>IFERROR(HLOOKUP(J2696,データについて!$J$4:$AH$19,16,FALSE),"")</f>
        <v/>
      </c>
      <c r="AB2696" s="81" t="str">
        <f>IFERROR(HLOOKUP(K2696,データについて!$J$5:$AH$20,14,FALSE),"")</f>
        <v/>
      </c>
      <c r="AC2696" s="81" t="e">
        <f>IF(X2696=1,HLOOKUP(R2696,データについて!$J$12:$M$18,7,FALSE),"*")</f>
        <v>#N/A</v>
      </c>
      <c r="AD2696" s="81" t="e">
        <f>IF(X2696=2,HLOOKUP(R2696,データについて!$J$12:$M$18,7,FALSE),"*")</f>
        <v>#N/A</v>
      </c>
    </row>
    <row r="2697" spans="19:30">
      <c r="S2697" s="81" t="e">
        <f>HLOOKUP(L2697,データについて!$J$6:$M$18,13,FALSE)</f>
        <v>#N/A</v>
      </c>
      <c r="T2697" s="81" t="e">
        <f>HLOOKUP(M2697,データについて!$J$7:$M$18,12,FALSE)</f>
        <v>#N/A</v>
      </c>
      <c r="U2697" s="81" t="e">
        <f>HLOOKUP(N2697,データについて!$J$8:$M$18,11,FALSE)</f>
        <v>#N/A</v>
      </c>
      <c r="V2697" s="81" t="e">
        <f>HLOOKUP(O2697,データについて!$J$9:$M$18,10,FALSE)</f>
        <v>#N/A</v>
      </c>
      <c r="W2697" s="81" t="e">
        <f>HLOOKUP(P2697,データについて!$J$10:$M$18,9,FALSE)</f>
        <v>#N/A</v>
      </c>
      <c r="X2697" s="81" t="e">
        <f>HLOOKUP(Q2697,データについて!$J$11:$M$18,8,FALSE)</f>
        <v>#N/A</v>
      </c>
      <c r="Y2697" s="81" t="e">
        <f>HLOOKUP(R2697,データについて!$J$12:$M$18,7,FALSE)</f>
        <v>#N/A</v>
      </c>
      <c r="Z2697" s="81" t="e">
        <f>HLOOKUP(I2697,データについて!$J$3:$M$18,16,FALSE)</f>
        <v>#N/A</v>
      </c>
      <c r="AA2697" s="81" t="str">
        <f>IFERROR(HLOOKUP(J2697,データについて!$J$4:$AH$19,16,FALSE),"")</f>
        <v/>
      </c>
      <c r="AB2697" s="81" t="str">
        <f>IFERROR(HLOOKUP(K2697,データについて!$J$5:$AH$20,14,FALSE),"")</f>
        <v/>
      </c>
      <c r="AC2697" s="81" t="e">
        <f>IF(X2697=1,HLOOKUP(R2697,データについて!$J$12:$M$18,7,FALSE),"*")</f>
        <v>#N/A</v>
      </c>
      <c r="AD2697" s="81" t="e">
        <f>IF(X2697=2,HLOOKUP(R2697,データについて!$J$12:$M$18,7,FALSE),"*")</f>
        <v>#N/A</v>
      </c>
    </row>
    <row r="2698" spans="19:30">
      <c r="S2698" s="81" t="e">
        <f>HLOOKUP(L2698,データについて!$J$6:$M$18,13,FALSE)</f>
        <v>#N/A</v>
      </c>
      <c r="T2698" s="81" t="e">
        <f>HLOOKUP(M2698,データについて!$J$7:$M$18,12,FALSE)</f>
        <v>#N/A</v>
      </c>
      <c r="U2698" s="81" t="e">
        <f>HLOOKUP(N2698,データについて!$J$8:$M$18,11,FALSE)</f>
        <v>#N/A</v>
      </c>
      <c r="V2698" s="81" t="e">
        <f>HLOOKUP(O2698,データについて!$J$9:$M$18,10,FALSE)</f>
        <v>#N/A</v>
      </c>
      <c r="W2698" s="81" t="e">
        <f>HLOOKUP(P2698,データについて!$J$10:$M$18,9,FALSE)</f>
        <v>#N/A</v>
      </c>
      <c r="X2698" s="81" t="e">
        <f>HLOOKUP(Q2698,データについて!$J$11:$M$18,8,FALSE)</f>
        <v>#N/A</v>
      </c>
      <c r="Y2698" s="81" t="e">
        <f>HLOOKUP(R2698,データについて!$J$12:$M$18,7,FALSE)</f>
        <v>#N/A</v>
      </c>
      <c r="Z2698" s="81" t="e">
        <f>HLOOKUP(I2698,データについて!$J$3:$M$18,16,FALSE)</f>
        <v>#N/A</v>
      </c>
      <c r="AA2698" s="81" t="str">
        <f>IFERROR(HLOOKUP(J2698,データについて!$J$4:$AH$19,16,FALSE),"")</f>
        <v/>
      </c>
      <c r="AB2698" s="81" t="str">
        <f>IFERROR(HLOOKUP(K2698,データについて!$J$5:$AH$20,14,FALSE),"")</f>
        <v/>
      </c>
      <c r="AC2698" s="81" t="e">
        <f>IF(X2698=1,HLOOKUP(R2698,データについて!$J$12:$M$18,7,FALSE),"*")</f>
        <v>#N/A</v>
      </c>
      <c r="AD2698" s="81" t="e">
        <f>IF(X2698=2,HLOOKUP(R2698,データについて!$J$12:$M$18,7,FALSE),"*")</f>
        <v>#N/A</v>
      </c>
    </row>
    <row r="2699" spans="19:30">
      <c r="S2699" s="81" t="e">
        <f>HLOOKUP(L2699,データについて!$J$6:$M$18,13,FALSE)</f>
        <v>#N/A</v>
      </c>
      <c r="T2699" s="81" t="e">
        <f>HLOOKUP(M2699,データについて!$J$7:$M$18,12,FALSE)</f>
        <v>#N/A</v>
      </c>
      <c r="U2699" s="81" t="e">
        <f>HLOOKUP(N2699,データについて!$J$8:$M$18,11,FALSE)</f>
        <v>#N/A</v>
      </c>
      <c r="V2699" s="81" t="e">
        <f>HLOOKUP(O2699,データについて!$J$9:$M$18,10,FALSE)</f>
        <v>#N/A</v>
      </c>
      <c r="W2699" s="81" t="e">
        <f>HLOOKUP(P2699,データについて!$J$10:$M$18,9,FALSE)</f>
        <v>#N/A</v>
      </c>
      <c r="X2699" s="81" t="e">
        <f>HLOOKUP(Q2699,データについて!$J$11:$M$18,8,FALSE)</f>
        <v>#N/A</v>
      </c>
      <c r="Y2699" s="81" t="e">
        <f>HLOOKUP(R2699,データについて!$J$12:$M$18,7,FALSE)</f>
        <v>#N/A</v>
      </c>
      <c r="Z2699" s="81" t="e">
        <f>HLOOKUP(I2699,データについて!$J$3:$M$18,16,FALSE)</f>
        <v>#N/A</v>
      </c>
      <c r="AA2699" s="81" t="str">
        <f>IFERROR(HLOOKUP(J2699,データについて!$J$4:$AH$19,16,FALSE),"")</f>
        <v/>
      </c>
      <c r="AB2699" s="81" t="str">
        <f>IFERROR(HLOOKUP(K2699,データについて!$J$5:$AH$20,14,FALSE),"")</f>
        <v/>
      </c>
      <c r="AC2699" s="81" t="e">
        <f>IF(X2699=1,HLOOKUP(R2699,データについて!$J$12:$M$18,7,FALSE),"*")</f>
        <v>#N/A</v>
      </c>
      <c r="AD2699" s="81" t="e">
        <f>IF(X2699=2,HLOOKUP(R2699,データについて!$J$12:$M$18,7,FALSE),"*")</f>
        <v>#N/A</v>
      </c>
    </row>
    <row r="2700" spans="19:30">
      <c r="S2700" s="81" t="e">
        <f>HLOOKUP(L2700,データについて!$J$6:$M$18,13,FALSE)</f>
        <v>#N/A</v>
      </c>
      <c r="T2700" s="81" t="e">
        <f>HLOOKUP(M2700,データについて!$J$7:$M$18,12,FALSE)</f>
        <v>#N/A</v>
      </c>
      <c r="U2700" s="81" t="e">
        <f>HLOOKUP(N2700,データについて!$J$8:$M$18,11,FALSE)</f>
        <v>#N/A</v>
      </c>
      <c r="V2700" s="81" t="e">
        <f>HLOOKUP(O2700,データについて!$J$9:$M$18,10,FALSE)</f>
        <v>#N/A</v>
      </c>
      <c r="W2700" s="81" t="e">
        <f>HLOOKUP(P2700,データについて!$J$10:$M$18,9,FALSE)</f>
        <v>#N/A</v>
      </c>
      <c r="X2700" s="81" t="e">
        <f>HLOOKUP(Q2700,データについて!$J$11:$M$18,8,FALSE)</f>
        <v>#N/A</v>
      </c>
      <c r="Y2700" s="81" t="e">
        <f>HLOOKUP(R2700,データについて!$J$12:$M$18,7,FALSE)</f>
        <v>#N/A</v>
      </c>
      <c r="Z2700" s="81" t="e">
        <f>HLOOKUP(I2700,データについて!$J$3:$M$18,16,FALSE)</f>
        <v>#N/A</v>
      </c>
      <c r="AA2700" s="81" t="str">
        <f>IFERROR(HLOOKUP(J2700,データについて!$J$4:$AH$19,16,FALSE),"")</f>
        <v/>
      </c>
      <c r="AB2700" s="81" t="str">
        <f>IFERROR(HLOOKUP(K2700,データについて!$J$5:$AH$20,14,FALSE),"")</f>
        <v/>
      </c>
      <c r="AC2700" s="81" t="e">
        <f>IF(X2700=1,HLOOKUP(R2700,データについて!$J$12:$M$18,7,FALSE),"*")</f>
        <v>#N/A</v>
      </c>
      <c r="AD2700" s="81" t="e">
        <f>IF(X2700=2,HLOOKUP(R2700,データについて!$J$12:$M$18,7,FALSE),"*")</f>
        <v>#N/A</v>
      </c>
    </row>
    <row r="2701" spans="19:30">
      <c r="S2701" s="81" t="e">
        <f>HLOOKUP(L2701,データについて!$J$6:$M$18,13,FALSE)</f>
        <v>#N/A</v>
      </c>
      <c r="T2701" s="81" t="e">
        <f>HLOOKUP(M2701,データについて!$J$7:$M$18,12,FALSE)</f>
        <v>#N/A</v>
      </c>
      <c r="U2701" s="81" t="e">
        <f>HLOOKUP(N2701,データについて!$J$8:$M$18,11,FALSE)</f>
        <v>#N/A</v>
      </c>
      <c r="V2701" s="81" t="e">
        <f>HLOOKUP(O2701,データについて!$J$9:$M$18,10,FALSE)</f>
        <v>#N/A</v>
      </c>
      <c r="W2701" s="81" t="e">
        <f>HLOOKUP(P2701,データについて!$J$10:$M$18,9,FALSE)</f>
        <v>#N/A</v>
      </c>
      <c r="X2701" s="81" t="e">
        <f>HLOOKUP(Q2701,データについて!$J$11:$M$18,8,FALSE)</f>
        <v>#N/A</v>
      </c>
      <c r="Y2701" s="81" t="e">
        <f>HLOOKUP(R2701,データについて!$J$12:$M$18,7,FALSE)</f>
        <v>#N/A</v>
      </c>
      <c r="Z2701" s="81" t="e">
        <f>HLOOKUP(I2701,データについて!$J$3:$M$18,16,FALSE)</f>
        <v>#N/A</v>
      </c>
      <c r="AA2701" s="81" t="str">
        <f>IFERROR(HLOOKUP(J2701,データについて!$J$4:$AH$19,16,FALSE),"")</f>
        <v/>
      </c>
      <c r="AB2701" s="81" t="str">
        <f>IFERROR(HLOOKUP(K2701,データについて!$J$5:$AH$20,14,FALSE),"")</f>
        <v/>
      </c>
      <c r="AC2701" s="81" t="e">
        <f>IF(X2701=1,HLOOKUP(R2701,データについて!$J$12:$M$18,7,FALSE),"*")</f>
        <v>#N/A</v>
      </c>
      <c r="AD2701" s="81" t="e">
        <f>IF(X2701=2,HLOOKUP(R2701,データについて!$J$12:$M$18,7,FALSE),"*")</f>
        <v>#N/A</v>
      </c>
    </row>
    <row r="2702" spans="19:30">
      <c r="S2702" s="81" t="e">
        <f>HLOOKUP(L2702,データについて!$J$6:$M$18,13,FALSE)</f>
        <v>#N/A</v>
      </c>
      <c r="T2702" s="81" t="e">
        <f>HLOOKUP(M2702,データについて!$J$7:$M$18,12,FALSE)</f>
        <v>#N/A</v>
      </c>
      <c r="U2702" s="81" t="e">
        <f>HLOOKUP(N2702,データについて!$J$8:$M$18,11,FALSE)</f>
        <v>#N/A</v>
      </c>
      <c r="V2702" s="81" t="e">
        <f>HLOOKUP(O2702,データについて!$J$9:$M$18,10,FALSE)</f>
        <v>#N/A</v>
      </c>
      <c r="W2702" s="81" t="e">
        <f>HLOOKUP(P2702,データについて!$J$10:$M$18,9,FALSE)</f>
        <v>#N/A</v>
      </c>
      <c r="X2702" s="81" t="e">
        <f>HLOOKUP(Q2702,データについて!$J$11:$M$18,8,FALSE)</f>
        <v>#N/A</v>
      </c>
      <c r="Y2702" s="81" t="e">
        <f>HLOOKUP(R2702,データについて!$J$12:$M$18,7,FALSE)</f>
        <v>#N/A</v>
      </c>
      <c r="Z2702" s="81" t="e">
        <f>HLOOKUP(I2702,データについて!$J$3:$M$18,16,FALSE)</f>
        <v>#N/A</v>
      </c>
      <c r="AA2702" s="81" t="str">
        <f>IFERROR(HLOOKUP(J2702,データについて!$J$4:$AH$19,16,FALSE),"")</f>
        <v/>
      </c>
      <c r="AB2702" s="81" t="str">
        <f>IFERROR(HLOOKUP(K2702,データについて!$J$5:$AH$20,14,FALSE),"")</f>
        <v/>
      </c>
      <c r="AC2702" s="81" t="e">
        <f>IF(X2702=1,HLOOKUP(R2702,データについて!$J$12:$M$18,7,FALSE),"*")</f>
        <v>#N/A</v>
      </c>
      <c r="AD2702" s="81" t="e">
        <f>IF(X2702=2,HLOOKUP(R2702,データについて!$J$12:$M$18,7,FALSE),"*")</f>
        <v>#N/A</v>
      </c>
    </row>
    <row r="2703" spans="19:30">
      <c r="S2703" s="81" t="e">
        <f>HLOOKUP(L2703,データについて!$J$6:$M$18,13,FALSE)</f>
        <v>#N/A</v>
      </c>
      <c r="T2703" s="81" t="e">
        <f>HLOOKUP(M2703,データについて!$J$7:$M$18,12,FALSE)</f>
        <v>#N/A</v>
      </c>
      <c r="U2703" s="81" t="e">
        <f>HLOOKUP(N2703,データについて!$J$8:$M$18,11,FALSE)</f>
        <v>#N/A</v>
      </c>
      <c r="V2703" s="81" t="e">
        <f>HLOOKUP(O2703,データについて!$J$9:$M$18,10,FALSE)</f>
        <v>#N/A</v>
      </c>
      <c r="W2703" s="81" t="e">
        <f>HLOOKUP(P2703,データについて!$J$10:$M$18,9,FALSE)</f>
        <v>#N/A</v>
      </c>
      <c r="X2703" s="81" t="e">
        <f>HLOOKUP(Q2703,データについて!$J$11:$M$18,8,FALSE)</f>
        <v>#N/A</v>
      </c>
      <c r="Y2703" s="81" t="e">
        <f>HLOOKUP(R2703,データについて!$J$12:$M$18,7,FALSE)</f>
        <v>#N/A</v>
      </c>
      <c r="Z2703" s="81" t="e">
        <f>HLOOKUP(I2703,データについて!$J$3:$M$18,16,FALSE)</f>
        <v>#N/A</v>
      </c>
      <c r="AA2703" s="81" t="str">
        <f>IFERROR(HLOOKUP(J2703,データについて!$J$4:$AH$19,16,FALSE),"")</f>
        <v/>
      </c>
      <c r="AB2703" s="81" t="str">
        <f>IFERROR(HLOOKUP(K2703,データについて!$J$5:$AH$20,14,FALSE),"")</f>
        <v/>
      </c>
      <c r="AC2703" s="81" t="e">
        <f>IF(X2703=1,HLOOKUP(R2703,データについて!$J$12:$M$18,7,FALSE),"*")</f>
        <v>#N/A</v>
      </c>
      <c r="AD2703" s="81" t="e">
        <f>IF(X2703=2,HLOOKUP(R2703,データについて!$J$12:$M$18,7,FALSE),"*")</f>
        <v>#N/A</v>
      </c>
    </row>
    <row r="2704" spans="19:30">
      <c r="S2704" s="81" t="e">
        <f>HLOOKUP(L2704,データについて!$J$6:$M$18,13,FALSE)</f>
        <v>#N/A</v>
      </c>
      <c r="T2704" s="81" t="e">
        <f>HLOOKUP(M2704,データについて!$J$7:$M$18,12,FALSE)</f>
        <v>#N/A</v>
      </c>
      <c r="U2704" s="81" t="e">
        <f>HLOOKUP(N2704,データについて!$J$8:$M$18,11,FALSE)</f>
        <v>#N/A</v>
      </c>
      <c r="V2704" s="81" t="e">
        <f>HLOOKUP(O2704,データについて!$J$9:$M$18,10,FALSE)</f>
        <v>#N/A</v>
      </c>
      <c r="W2704" s="81" t="e">
        <f>HLOOKUP(P2704,データについて!$J$10:$M$18,9,FALSE)</f>
        <v>#N/A</v>
      </c>
      <c r="X2704" s="81" t="e">
        <f>HLOOKUP(Q2704,データについて!$J$11:$M$18,8,FALSE)</f>
        <v>#N/A</v>
      </c>
      <c r="Y2704" s="81" t="e">
        <f>HLOOKUP(R2704,データについて!$J$12:$M$18,7,FALSE)</f>
        <v>#N/A</v>
      </c>
      <c r="Z2704" s="81" t="e">
        <f>HLOOKUP(I2704,データについて!$J$3:$M$18,16,FALSE)</f>
        <v>#N/A</v>
      </c>
      <c r="AA2704" s="81" t="str">
        <f>IFERROR(HLOOKUP(J2704,データについて!$J$4:$AH$19,16,FALSE),"")</f>
        <v/>
      </c>
      <c r="AB2704" s="81" t="str">
        <f>IFERROR(HLOOKUP(K2704,データについて!$J$5:$AH$20,14,FALSE),"")</f>
        <v/>
      </c>
      <c r="AC2704" s="81" t="e">
        <f>IF(X2704=1,HLOOKUP(R2704,データについて!$J$12:$M$18,7,FALSE),"*")</f>
        <v>#N/A</v>
      </c>
      <c r="AD2704" s="81" t="e">
        <f>IF(X2704=2,HLOOKUP(R2704,データについて!$J$12:$M$18,7,FALSE),"*")</f>
        <v>#N/A</v>
      </c>
    </row>
    <row r="2705" spans="19:30">
      <c r="S2705" s="81" t="e">
        <f>HLOOKUP(L2705,データについて!$J$6:$M$18,13,FALSE)</f>
        <v>#N/A</v>
      </c>
      <c r="T2705" s="81" t="e">
        <f>HLOOKUP(M2705,データについて!$J$7:$M$18,12,FALSE)</f>
        <v>#N/A</v>
      </c>
      <c r="U2705" s="81" t="e">
        <f>HLOOKUP(N2705,データについて!$J$8:$M$18,11,FALSE)</f>
        <v>#N/A</v>
      </c>
      <c r="V2705" s="81" t="e">
        <f>HLOOKUP(O2705,データについて!$J$9:$M$18,10,FALSE)</f>
        <v>#N/A</v>
      </c>
      <c r="W2705" s="81" t="e">
        <f>HLOOKUP(P2705,データについて!$J$10:$M$18,9,FALSE)</f>
        <v>#N/A</v>
      </c>
      <c r="X2705" s="81" t="e">
        <f>HLOOKUP(Q2705,データについて!$J$11:$M$18,8,FALSE)</f>
        <v>#N/A</v>
      </c>
      <c r="Y2705" s="81" t="e">
        <f>HLOOKUP(R2705,データについて!$J$12:$M$18,7,FALSE)</f>
        <v>#N/A</v>
      </c>
      <c r="Z2705" s="81" t="e">
        <f>HLOOKUP(I2705,データについて!$J$3:$M$18,16,FALSE)</f>
        <v>#N/A</v>
      </c>
      <c r="AA2705" s="81" t="str">
        <f>IFERROR(HLOOKUP(J2705,データについて!$J$4:$AH$19,16,FALSE),"")</f>
        <v/>
      </c>
      <c r="AB2705" s="81" t="str">
        <f>IFERROR(HLOOKUP(K2705,データについて!$J$5:$AH$20,14,FALSE),"")</f>
        <v/>
      </c>
      <c r="AC2705" s="81" t="e">
        <f>IF(X2705=1,HLOOKUP(R2705,データについて!$J$12:$M$18,7,FALSE),"*")</f>
        <v>#N/A</v>
      </c>
      <c r="AD2705" s="81" t="e">
        <f>IF(X2705=2,HLOOKUP(R2705,データについて!$J$12:$M$18,7,FALSE),"*")</f>
        <v>#N/A</v>
      </c>
    </row>
    <row r="2706" spans="19:30">
      <c r="S2706" s="81" t="e">
        <f>HLOOKUP(L2706,データについて!$J$6:$M$18,13,FALSE)</f>
        <v>#N/A</v>
      </c>
      <c r="T2706" s="81" t="e">
        <f>HLOOKUP(M2706,データについて!$J$7:$M$18,12,FALSE)</f>
        <v>#N/A</v>
      </c>
      <c r="U2706" s="81" t="e">
        <f>HLOOKUP(N2706,データについて!$J$8:$M$18,11,FALSE)</f>
        <v>#N/A</v>
      </c>
      <c r="V2706" s="81" t="e">
        <f>HLOOKUP(O2706,データについて!$J$9:$M$18,10,FALSE)</f>
        <v>#N/A</v>
      </c>
      <c r="W2706" s="81" t="e">
        <f>HLOOKUP(P2706,データについて!$J$10:$M$18,9,FALSE)</f>
        <v>#N/A</v>
      </c>
      <c r="X2706" s="81" t="e">
        <f>HLOOKUP(Q2706,データについて!$J$11:$M$18,8,FALSE)</f>
        <v>#N/A</v>
      </c>
      <c r="Y2706" s="81" t="e">
        <f>HLOOKUP(R2706,データについて!$J$12:$M$18,7,FALSE)</f>
        <v>#N/A</v>
      </c>
      <c r="Z2706" s="81" t="e">
        <f>HLOOKUP(I2706,データについて!$J$3:$M$18,16,FALSE)</f>
        <v>#N/A</v>
      </c>
      <c r="AA2706" s="81" t="str">
        <f>IFERROR(HLOOKUP(J2706,データについて!$J$4:$AH$19,16,FALSE),"")</f>
        <v/>
      </c>
      <c r="AB2706" s="81" t="str">
        <f>IFERROR(HLOOKUP(K2706,データについて!$J$5:$AH$20,14,FALSE),"")</f>
        <v/>
      </c>
      <c r="AC2706" s="81" t="e">
        <f>IF(X2706=1,HLOOKUP(R2706,データについて!$J$12:$M$18,7,FALSE),"*")</f>
        <v>#N/A</v>
      </c>
      <c r="AD2706" s="81" t="e">
        <f>IF(X2706=2,HLOOKUP(R2706,データについて!$J$12:$M$18,7,FALSE),"*")</f>
        <v>#N/A</v>
      </c>
    </row>
    <row r="2707" spans="19:30">
      <c r="S2707" s="81" t="e">
        <f>HLOOKUP(L2707,データについて!$J$6:$M$18,13,FALSE)</f>
        <v>#N/A</v>
      </c>
      <c r="T2707" s="81" t="e">
        <f>HLOOKUP(M2707,データについて!$J$7:$M$18,12,FALSE)</f>
        <v>#N/A</v>
      </c>
      <c r="U2707" s="81" t="e">
        <f>HLOOKUP(N2707,データについて!$J$8:$M$18,11,FALSE)</f>
        <v>#N/A</v>
      </c>
      <c r="V2707" s="81" t="e">
        <f>HLOOKUP(O2707,データについて!$J$9:$M$18,10,FALSE)</f>
        <v>#N/A</v>
      </c>
      <c r="W2707" s="81" t="e">
        <f>HLOOKUP(P2707,データについて!$J$10:$M$18,9,FALSE)</f>
        <v>#N/A</v>
      </c>
      <c r="X2707" s="81" t="e">
        <f>HLOOKUP(Q2707,データについて!$J$11:$M$18,8,FALSE)</f>
        <v>#N/A</v>
      </c>
      <c r="Y2707" s="81" t="e">
        <f>HLOOKUP(R2707,データについて!$J$12:$M$18,7,FALSE)</f>
        <v>#N/A</v>
      </c>
      <c r="Z2707" s="81" t="e">
        <f>HLOOKUP(I2707,データについて!$J$3:$M$18,16,FALSE)</f>
        <v>#N/A</v>
      </c>
      <c r="AA2707" s="81" t="str">
        <f>IFERROR(HLOOKUP(J2707,データについて!$J$4:$AH$19,16,FALSE),"")</f>
        <v/>
      </c>
      <c r="AB2707" s="81" t="str">
        <f>IFERROR(HLOOKUP(K2707,データについて!$J$5:$AH$20,14,FALSE),"")</f>
        <v/>
      </c>
      <c r="AC2707" s="81" t="e">
        <f>IF(X2707=1,HLOOKUP(R2707,データについて!$J$12:$M$18,7,FALSE),"*")</f>
        <v>#N/A</v>
      </c>
      <c r="AD2707" s="81" t="e">
        <f>IF(X2707=2,HLOOKUP(R2707,データについて!$J$12:$M$18,7,FALSE),"*")</f>
        <v>#N/A</v>
      </c>
    </row>
    <row r="2708" spans="19:30">
      <c r="S2708" s="81" t="e">
        <f>HLOOKUP(L2708,データについて!$J$6:$M$18,13,FALSE)</f>
        <v>#N/A</v>
      </c>
      <c r="T2708" s="81" t="e">
        <f>HLOOKUP(M2708,データについて!$J$7:$M$18,12,FALSE)</f>
        <v>#N/A</v>
      </c>
      <c r="U2708" s="81" t="e">
        <f>HLOOKUP(N2708,データについて!$J$8:$M$18,11,FALSE)</f>
        <v>#N/A</v>
      </c>
      <c r="V2708" s="81" t="e">
        <f>HLOOKUP(O2708,データについて!$J$9:$M$18,10,FALSE)</f>
        <v>#N/A</v>
      </c>
      <c r="W2708" s="81" t="e">
        <f>HLOOKUP(P2708,データについて!$J$10:$M$18,9,FALSE)</f>
        <v>#N/A</v>
      </c>
      <c r="X2708" s="81" t="e">
        <f>HLOOKUP(Q2708,データについて!$J$11:$M$18,8,FALSE)</f>
        <v>#N/A</v>
      </c>
      <c r="Y2708" s="81" t="e">
        <f>HLOOKUP(R2708,データについて!$J$12:$M$18,7,FALSE)</f>
        <v>#N/A</v>
      </c>
      <c r="Z2708" s="81" t="e">
        <f>HLOOKUP(I2708,データについて!$J$3:$M$18,16,FALSE)</f>
        <v>#N/A</v>
      </c>
      <c r="AA2708" s="81" t="str">
        <f>IFERROR(HLOOKUP(J2708,データについて!$J$4:$AH$19,16,FALSE),"")</f>
        <v/>
      </c>
      <c r="AB2708" s="81" t="str">
        <f>IFERROR(HLOOKUP(K2708,データについて!$J$5:$AH$20,14,FALSE),"")</f>
        <v/>
      </c>
      <c r="AC2708" s="81" t="e">
        <f>IF(X2708=1,HLOOKUP(R2708,データについて!$J$12:$M$18,7,FALSE),"*")</f>
        <v>#N/A</v>
      </c>
      <c r="AD2708" s="81" t="e">
        <f>IF(X2708=2,HLOOKUP(R2708,データについて!$J$12:$M$18,7,FALSE),"*")</f>
        <v>#N/A</v>
      </c>
    </row>
    <row r="2709" spans="19:30">
      <c r="S2709" s="81" t="e">
        <f>HLOOKUP(L2709,データについて!$J$6:$M$18,13,FALSE)</f>
        <v>#N/A</v>
      </c>
      <c r="T2709" s="81" t="e">
        <f>HLOOKUP(M2709,データについて!$J$7:$M$18,12,FALSE)</f>
        <v>#N/A</v>
      </c>
      <c r="U2709" s="81" t="e">
        <f>HLOOKUP(N2709,データについて!$J$8:$M$18,11,FALSE)</f>
        <v>#N/A</v>
      </c>
      <c r="V2709" s="81" t="e">
        <f>HLOOKUP(O2709,データについて!$J$9:$M$18,10,FALSE)</f>
        <v>#N/A</v>
      </c>
      <c r="W2709" s="81" t="e">
        <f>HLOOKUP(P2709,データについて!$J$10:$M$18,9,FALSE)</f>
        <v>#N/A</v>
      </c>
      <c r="X2709" s="81" t="e">
        <f>HLOOKUP(Q2709,データについて!$J$11:$M$18,8,FALSE)</f>
        <v>#N/A</v>
      </c>
      <c r="Y2709" s="81" t="e">
        <f>HLOOKUP(R2709,データについて!$J$12:$M$18,7,FALSE)</f>
        <v>#N/A</v>
      </c>
      <c r="Z2709" s="81" t="e">
        <f>HLOOKUP(I2709,データについて!$J$3:$M$18,16,FALSE)</f>
        <v>#N/A</v>
      </c>
      <c r="AA2709" s="81" t="str">
        <f>IFERROR(HLOOKUP(J2709,データについて!$J$4:$AH$19,16,FALSE),"")</f>
        <v/>
      </c>
      <c r="AB2709" s="81" t="str">
        <f>IFERROR(HLOOKUP(K2709,データについて!$J$5:$AH$20,14,FALSE),"")</f>
        <v/>
      </c>
      <c r="AC2709" s="81" t="e">
        <f>IF(X2709=1,HLOOKUP(R2709,データについて!$J$12:$M$18,7,FALSE),"*")</f>
        <v>#N/A</v>
      </c>
      <c r="AD2709" s="81" t="e">
        <f>IF(X2709=2,HLOOKUP(R2709,データについて!$J$12:$M$18,7,FALSE),"*")</f>
        <v>#N/A</v>
      </c>
    </row>
    <row r="2710" spans="19:30">
      <c r="S2710" s="81" t="e">
        <f>HLOOKUP(L2710,データについて!$J$6:$M$18,13,FALSE)</f>
        <v>#N/A</v>
      </c>
      <c r="T2710" s="81" t="e">
        <f>HLOOKUP(M2710,データについて!$J$7:$M$18,12,FALSE)</f>
        <v>#N/A</v>
      </c>
      <c r="U2710" s="81" t="e">
        <f>HLOOKUP(N2710,データについて!$J$8:$M$18,11,FALSE)</f>
        <v>#N/A</v>
      </c>
      <c r="V2710" s="81" t="e">
        <f>HLOOKUP(O2710,データについて!$J$9:$M$18,10,FALSE)</f>
        <v>#N/A</v>
      </c>
      <c r="W2710" s="81" t="e">
        <f>HLOOKUP(P2710,データについて!$J$10:$M$18,9,FALSE)</f>
        <v>#N/A</v>
      </c>
      <c r="X2710" s="81" t="e">
        <f>HLOOKUP(Q2710,データについて!$J$11:$M$18,8,FALSE)</f>
        <v>#N/A</v>
      </c>
      <c r="Y2710" s="81" t="e">
        <f>HLOOKUP(R2710,データについて!$J$12:$M$18,7,FALSE)</f>
        <v>#N/A</v>
      </c>
      <c r="Z2710" s="81" t="e">
        <f>HLOOKUP(I2710,データについて!$J$3:$M$18,16,FALSE)</f>
        <v>#N/A</v>
      </c>
      <c r="AA2710" s="81" t="str">
        <f>IFERROR(HLOOKUP(J2710,データについて!$J$4:$AH$19,16,FALSE),"")</f>
        <v/>
      </c>
      <c r="AB2710" s="81" t="str">
        <f>IFERROR(HLOOKUP(K2710,データについて!$J$5:$AH$20,14,FALSE),"")</f>
        <v/>
      </c>
      <c r="AC2710" s="81" t="e">
        <f>IF(X2710=1,HLOOKUP(R2710,データについて!$J$12:$M$18,7,FALSE),"*")</f>
        <v>#N/A</v>
      </c>
      <c r="AD2710" s="81" t="e">
        <f>IF(X2710=2,HLOOKUP(R2710,データについて!$J$12:$M$18,7,FALSE),"*")</f>
        <v>#N/A</v>
      </c>
    </row>
    <row r="2711" spans="19:30">
      <c r="S2711" s="81" t="e">
        <f>HLOOKUP(L2711,データについて!$J$6:$M$18,13,FALSE)</f>
        <v>#N/A</v>
      </c>
      <c r="T2711" s="81" t="e">
        <f>HLOOKUP(M2711,データについて!$J$7:$M$18,12,FALSE)</f>
        <v>#N/A</v>
      </c>
      <c r="U2711" s="81" t="e">
        <f>HLOOKUP(N2711,データについて!$J$8:$M$18,11,FALSE)</f>
        <v>#N/A</v>
      </c>
      <c r="V2711" s="81" t="e">
        <f>HLOOKUP(O2711,データについて!$J$9:$M$18,10,FALSE)</f>
        <v>#N/A</v>
      </c>
      <c r="W2711" s="81" t="e">
        <f>HLOOKUP(P2711,データについて!$J$10:$M$18,9,FALSE)</f>
        <v>#N/A</v>
      </c>
      <c r="X2711" s="81" t="e">
        <f>HLOOKUP(Q2711,データについて!$J$11:$M$18,8,FALSE)</f>
        <v>#N/A</v>
      </c>
      <c r="Y2711" s="81" t="e">
        <f>HLOOKUP(R2711,データについて!$J$12:$M$18,7,FALSE)</f>
        <v>#N/A</v>
      </c>
      <c r="Z2711" s="81" t="e">
        <f>HLOOKUP(I2711,データについて!$J$3:$M$18,16,FALSE)</f>
        <v>#N/A</v>
      </c>
      <c r="AA2711" s="81" t="str">
        <f>IFERROR(HLOOKUP(J2711,データについて!$J$4:$AH$19,16,FALSE),"")</f>
        <v/>
      </c>
      <c r="AB2711" s="81" t="str">
        <f>IFERROR(HLOOKUP(K2711,データについて!$J$5:$AH$20,14,FALSE),"")</f>
        <v/>
      </c>
      <c r="AC2711" s="81" t="e">
        <f>IF(X2711=1,HLOOKUP(R2711,データについて!$J$12:$M$18,7,FALSE),"*")</f>
        <v>#N/A</v>
      </c>
      <c r="AD2711" s="81" t="e">
        <f>IF(X2711=2,HLOOKUP(R2711,データについて!$J$12:$M$18,7,FALSE),"*")</f>
        <v>#N/A</v>
      </c>
    </row>
    <row r="2712" spans="19:30">
      <c r="S2712" s="81" t="e">
        <f>HLOOKUP(L2712,データについて!$J$6:$M$18,13,FALSE)</f>
        <v>#N/A</v>
      </c>
      <c r="T2712" s="81" t="e">
        <f>HLOOKUP(M2712,データについて!$J$7:$M$18,12,FALSE)</f>
        <v>#N/A</v>
      </c>
      <c r="U2712" s="81" t="e">
        <f>HLOOKUP(N2712,データについて!$J$8:$M$18,11,FALSE)</f>
        <v>#N/A</v>
      </c>
      <c r="V2712" s="81" t="e">
        <f>HLOOKUP(O2712,データについて!$J$9:$M$18,10,FALSE)</f>
        <v>#N/A</v>
      </c>
      <c r="W2712" s="81" t="e">
        <f>HLOOKUP(P2712,データについて!$J$10:$M$18,9,FALSE)</f>
        <v>#N/A</v>
      </c>
      <c r="X2712" s="81" t="e">
        <f>HLOOKUP(Q2712,データについて!$J$11:$M$18,8,FALSE)</f>
        <v>#N/A</v>
      </c>
      <c r="Y2712" s="81" t="e">
        <f>HLOOKUP(R2712,データについて!$J$12:$M$18,7,FALSE)</f>
        <v>#N/A</v>
      </c>
      <c r="Z2712" s="81" t="e">
        <f>HLOOKUP(I2712,データについて!$J$3:$M$18,16,FALSE)</f>
        <v>#N/A</v>
      </c>
      <c r="AA2712" s="81" t="str">
        <f>IFERROR(HLOOKUP(J2712,データについて!$J$4:$AH$19,16,FALSE),"")</f>
        <v/>
      </c>
      <c r="AB2712" s="81" t="str">
        <f>IFERROR(HLOOKUP(K2712,データについて!$J$5:$AH$20,14,FALSE),"")</f>
        <v/>
      </c>
      <c r="AC2712" s="81" t="e">
        <f>IF(X2712=1,HLOOKUP(R2712,データについて!$J$12:$M$18,7,FALSE),"*")</f>
        <v>#N/A</v>
      </c>
      <c r="AD2712" s="81" t="e">
        <f>IF(X2712=2,HLOOKUP(R2712,データについて!$J$12:$M$18,7,FALSE),"*")</f>
        <v>#N/A</v>
      </c>
    </row>
    <row r="2713" spans="19:30">
      <c r="S2713" s="81" t="e">
        <f>HLOOKUP(L2713,データについて!$J$6:$M$18,13,FALSE)</f>
        <v>#N/A</v>
      </c>
      <c r="T2713" s="81" t="e">
        <f>HLOOKUP(M2713,データについて!$J$7:$M$18,12,FALSE)</f>
        <v>#N/A</v>
      </c>
      <c r="U2713" s="81" t="e">
        <f>HLOOKUP(N2713,データについて!$J$8:$M$18,11,FALSE)</f>
        <v>#N/A</v>
      </c>
      <c r="V2713" s="81" t="e">
        <f>HLOOKUP(O2713,データについて!$J$9:$M$18,10,FALSE)</f>
        <v>#N/A</v>
      </c>
      <c r="W2713" s="81" t="e">
        <f>HLOOKUP(P2713,データについて!$J$10:$M$18,9,FALSE)</f>
        <v>#N/A</v>
      </c>
      <c r="X2713" s="81" t="e">
        <f>HLOOKUP(Q2713,データについて!$J$11:$M$18,8,FALSE)</f>
        <v>#N/A</v>
      </c>
      <c r="Y2713" s="81" t="e">
        <f>HLOOKUP(R2713,データについて!$J$12:$M$18,7,FALSE)</f>
        <v>#N/A</v>
      </c>
      <c r="Z2713" s="81" t="e">
        <f>HLOOKUP(I2713,データについて!$J$3:$M$18,16,FALSE)</f>
        <v>#N/A</v>
      </c>
      <c r="AA2713" s="81" t="str">
        <f>IFERROR(HLOOKUP(J2713,データについて!$J$4:$AH$19,16,FALSE),"")</f>
        <v/>
      </c>
      <c r="AB2713" s="81" t="str">
        <f>IFERROR(HLOOKUP(K2713,データについて!$J$5:$AH$20,14,FALSE),"")</f>
        <v/>
      </c>
      <c r="AC2713" s="81" t="e">
        <f>IF(X2713=1,HLOOKUP(R2713,データについて!$J$12:$M$18,7,FALSE),"*")</f>
        <v>#N/A</v>
      </c>
      <c r="AD2713" s="81" t="e">
        <f>IF(X2713=2,HLOOKUP(R2713,データについて!$J$12:$M$18,7,FALSE),"*")</f>
        <v>#N/A</v>
      </c>
    </row>
    <row r="2714" spans="19:30">
      <c r="S2714" s="81" t="e">
        <f>HLOOKUP(L2714,データについて!$J$6:$M$18,13,FALSE)</f>
        <v>#N/A</v>
      </c>
      <c r="T2714" s="81" t="e">
        <f>HLOOKUP(M2714,データについて!$J$7:$M$18,12,FALSE)</f>
        <v>#N/A</v>
      </c>
      <c r="U2714" s="81" t="e">
        <f>HLOOKUP(N2714,データについて!$J$8:$M$18,11,FALSE)</f>
        <v>#N/A</v>
      </c>
      <c r="V2714" s="81" t="e">
        <f>HLOOKUP(O2714,データについて!$J$9:$M$18,10,FALSE)</f>
        <v>#N/A</v>
      </c>
      <c r="W2714" s="81" t="e">
        <f>HLOOKUP(P2714,データについて!$J$10:$M$18,9,FALSE)</f>
        <v>#N/A</v>
      </c>
      <c r="X2714" s="81" t="e">
        <f>HLOOKUP(Q2714,データについて!$J$11:$M$18,8,FALSE)</f>
        <v>#N/A</v>
      </c>
      <c r="Y2714" s="81" t="e">
        <f>HLOOKUP(R2714,データについて!$J$12:$M$18,7,FALSE)</f>
        <v>#N/A</v>
      </c>
      <c r="Z2714" s="81" t="e">
        <f>HLOOKUP(I2714,データについて!$J$3:$M$18,16,FALSE)</f>
        <v>#N/A</v>
      </c>
      <c r="AA2714" s="81" t="str">
        <f>IFERROR(HLOOKUP(J2714,データについて!$J$4:$AH$19,16,FALSE),"")</f>
        <v/>
      </c>
      <c r="AB2714" s="81" t="str">
        <f>IFERROR(HLOOKUP(K2714,データについて!$J$5:$AH$20,14,FALSE),"")</f>
        <v/>
      </c>
      <c r="AC2714" s="81" t="e">
        <f>IF(X2714=1,HLOOKUP(R2714,データについて!$J$12:$M$18,7,FALSE),"*")</f>
        <v>#N/A</v>
      </c>
      <c r="AD2714" s="81" t="e">
        <f>IF(X2714=2,HLOOKUP(R2714,データについて!$J$12:$M$18,7,FALSE),"*")</f>
        <v>#N/A</v>
      </c>
    </row>
    <row r="2715" spans="19:30">
      <c r="S2715" s="81" t="e">
        <f>HLOOKUP(L2715,データについて!$J$6:$M$18,13,FALSE)</f>
        <v>#N/A</v>
      </c>
      <c r="T2715" s="81" t="e">
        <f>HLOOKUP(M2715,データについて!$J$7:$M$18,12,FALSE)</f>
        <v>#N/A</v>
      </c>
      <c r="U2715" s="81" t="e">
        <f>HLOOKUP(N2715,データについて!$J$8:$M$18,11,FALSE)</f>
        <v>#N/A</v>
      </c>
      <c r="V2715" s="81" t="e">
        <f>HLOOKUP(O2715,データについて!$J$9:$M$18,10,FALSE)</f>
        <v>#N/A</v>
      </c>
      <c r="W2715" s="81" t="e">
        <f>HLOOKUP(P2715,データについて!$J$10:$M$18,9,FALSE)</f>
        <v>#N/A</v>
      </c>
      <c r="X2715" s="81" t="e">
        <f>HLOOKUP(Q2715,データについて!$J$11:$M$18,8,FALSE)</f>
        <v>#N/A</v>
      </c>
      <c r="Y2715" s="81" t="e">
        <f>HLOOKUP(R2715,データについて!$J$12:$M$18,7,FALSE)</f>
        <v>#N/A</v>
      </c>
      <c r="Z2715" s="81" t="e">
        <f>HLOOKUP(I2715,データについて!$J$3:$M$18,16,FALSE)</f>
        <v>#N/A</v>
      </c>
      <c r="AA2715" s="81" t="str">
        <f>IFERROR(HLOOKUP(J2715,データについて!$J$4:$AH$19,16,FALSE),"")</f>
        <v/>
      </c>
      <c r="AB2715" s="81" t="str">
        <f>IFERROR(HLOOKUP(K2715,データについて!$J$5:$AH$20,14,FALSE),"")</f>
        <v/>
      </c>
      <c r="AC2715" s="81" t="e">
        <f>IF(X2715=1,HLOOKUP(R2715,データについて!$J$12:$M$18,7,FALSE),"*")</f>
        <v>#N/A</v>
      </c>
      <c r="AD2715" s="81" t="e">
        <f>IF(X2715=2,HLOOKUP(R2715,データについて!$J$12:$M$18,7,FALSE),"*")</f>
        <v>#N/A</v>
      </c>
    </row>
    <row r="2716" spans="19:30">
      <c r="S2716" s="81" t="e">
        <f>HLOOKUP(L2716,データについて!$J$6:$M$18,13,FALSE)</f>
        <v>#N/A</v>
      </c>
      <c r="T2716" s="81" t="e">
        <f>HLOOKUP(M2716,データについて!$J$7:$M$18,12,FALSE)</f>
        <v>#N/A</v>
      </c>
      <c r="U2716" s="81" t="e">
        <f>HLOOKUP(N2716,データについて!$J$8:$M$18,11,FALSE)</f>
        <v>#N/A</v>
      </c>
      <c r="V2716" s="81" t="e">
        <f>HLOOKUP(O2716,データについて!$J$9:$M$18,10,FALSE)</f>
        <v>#N/A</v>
      </c>
      <c r="W2716" s="81" t="e">
        <f>HLOOKUP(P2716,データについて!$J$10:$M$18,9,FALSE)</f>
        <v>#N/A</v>
      </c>
      <c r="X2716" s="81" t="e">
        <f>HLOOKUP(Q2716,データについて!$J$11:$M$18,8,FALSE)</f>
        <v>#N/A</v>
      </c>
      <c r="Y2716" s="81" t="e">
        <f>HLOOKUP(R2716,データについて!$J$12:$M$18,7,FALSE)</f>
        <v>#N/A</v>
      </c>
      <c r="Z2716" s="81" t="e">
        <f>HLOOKUP(I2716,データについて!$J$3:$M$18,16,FALSE)</f>
        <v>#N/A</v>
      </c>
      <c r="AA2716" s="81" t="str">
        <f>IFERROR(HLOOKUP(J2716,データについて!$J$4:$AH$19,16,FALSE),"")</f>
        <v/>
      </c>
      <c r="AB2716" s="81" t="str">
        <f>IFERROR(HLOOKUP(K2716,データについて!$J$5:$AH$20,14,FALSE),"")</f>
        <v/>
      </c>
      <c r="AC2716" s="81" t="e">
        <f>IF(X2716=1,HLOOKUP(R2716,データについて!$J$12:$M$18,7,FALSE),"*")</f>
        <v>#N/A</v>
      </c>
      <c r="AD2716" s="81" t="e">
        <f>IF(X2716=2,HLOOKUP(R2716,データについて!$J$12:$M$18,7,FALSE),"*")</f>
        <v>#N/A</v>
      </c>
    </row>
    <row r="2717" spans="19:30">
      <c r="S2717" s="81" t="e">
        <f>HLOOKUP(L2717,データについて!$J$6:$M$18,13,FALSE)</f>
        <v>#N/A</v>
      </c>
      <c r="T2717" s="81" t="e">
        <f>HLOOKUP(M2717,データについて!$J$7:$M$18,12,FALSE)</f>
        <v>#N/A</v>
      </c>
      <c r="U2717" s="81" t="e">
        <f>HLOOKUP(N2717,データについて!$J$8:$M$18,11,FALSE)</f>
        <v>#N/A</v>
      </c>
      <c r="V2717" s="81" t="e">
        <f>HLOOKUP(O2717,データについて!$J$9:$M$18,10,FALSE)</f>
        <v>#N/A</v>
      </c>
      <c r="W2717" s="81" t="e">
        <f>HLOOKUP(P2717,データについて!$J$10:$M$18,9,FALSE)</f>
        <v>#N/A</v>
      </c>
      <c r="X2717" s="81" t="e">
        <f>HLOOKUP(Q2717,データについて!$J$11:$M$18,8,FALSE)</f>
        <v>#N/A</v>
      </c>
      <c r="Y2717" s="81" t="e">
        <f>HLOOKUP(R2717,データについて!$J$12:$M$18,7,FALSE)</f>
        <v>#N/A</v>
      </c>
      <c r="Z2717" s="81" t="e">
        <f>HLOOKUP(I2717,データについて!$J$3:$M$18,16,FALSE)</f>
        <v>#N/A</v>
      </c>
      <c r="AA2717" s="81" t="str">
        <f>IFERROR(HLOOKUP(J2717,データについて!$J$4:$AH$19,16,FALSE),"")</f>
        <v/>
      </c>
      <c r="AB2717" s="81" t="str">
        <f>IFERROR(HLOOKUP(K2717,データについて!$J$5:$AH$20,14,FALSE),"")</f>
        <v/>
      </c>
      <c r="AC2717" s="81" t="e">
        <f>IF(X2717=1,HLOOKUP(R2717,データについて!$J$12:$M$18,7,FALSE),"*")</f>
        <v>#N/A</v>
      </c>
      <c r="AD2717" s="81" t="e">
        <f>IF(X2717=2,HLOOKUP(R2717,データについて!$J$12:$M$18,7,FALSE),"*")</f>
        <v>#N/A</v>
      </c>
    </row>
    <row r="2718" spans="19:30">
      <c r="S2718" s="81" t="e">
        <f>HLOOKUP(L2718,データについて!$J$6:$M$18,13,FALSE)</f>
        <v>#N/A</v>
      </c>
      <c r="T2718" s="81" t="e">
        <f>HLOOKUP(M2718,データについて!$J$7:$M$18,12,FALSE)</f>
        <v>#N/A</v>
      </c>
      <c r="U2718" s="81" t="e">
        <f>HLOOKUP(N2718,データについて!$J$8:$M$18,11,FALSE)</f>
        <v>#N/A</v>
      </c>
      <c r="V2718" s="81" t="e">
        <f>HLOOKUP(O2718,データについて!$J$9:$M$18,10,FALSE)</f>
        <v>#N/A</v>
      </c>
      <c r="W2718" s="81" t="e">
        <f>HLOOKUP(P2718,データについて!$J$10:$M$18,9,FALSE)</f>
        <v>#N/A</v>
      </c>
      <c r="X2718" s="81" t="e">
        <f>HLOOKUP(Q2718,データについて!$J$11:$M$18,8,FALSE)</f>
        <v>#N/A</v>
      </c>
      <c r="Y2718" s="81" t="e">
        <f>HLOOKUP(R2718,データについて!$J$12:$M$18,7,FALSE)</f>
        <v>#N/A</v>
      </c>
      <c r="Z2718" s="81" t="e">
        <f>HLOOKUP(I2718,データについて!$J$3:$M$18,16,FALSE)</f>
        <v>#N/A</v>
      </c>
      <c r="AA2718" s="81" t="str">
        <f>IFERROR(HLOOKUP(J2718,データについて!$J$4:$AH$19,16,FALSE),"")</f>
        <v/>
      </c>
      <c r="AB2718" s="81" t="str">
        <f>IFERROR(HLOOKUP(K2718,データについて!$J$5:$AH$20,14,FALSE),"")</f>
        <v/>
      </c>
      <c r="AC2718" s="81" t="e">
        <f>IF(X2718=1,HLOOKUP(R2718,データについて!$J$12:$M$18,7,FALSE),"*")</f>
        <v>#N/A</v>
      </c>
      <c r="AD2718" s="81" t="e">
        <f>IF(X2718=2,HLOOKUP(R2718,データについて!$J$12:$M$18,7,FALSE),"*")</f>
        <v>#N/A</v>
      </c>
    </row>
    <row r="2719" spans="19:30">
      <c r="S2719" s="81" t="e">
        <f>HLOOKUP(L2719,データについて!$J$6:$M$18,13,FALSE)</f>
        <v>#N/A</v>
      </c>
      <c r="T2719" s="81" t="e">
        <f>HLOOKUP(M2719,データについて!$J$7:$M$18,12,FALSE)</f>
        <v>#N/A</v>
      </c>
      <c r="U2719" s="81" t="e">
        <f>HLOOKUP(N2719,データについて!$J$8:$M$18,11,FALSE)</f>
        <v>#N/A</v>
      </c>
      <c r="V2719" s="81" t="e">
        <f>HLOOKUP(O2719,データについて!$J$9:$M$18,10,FALSE)</f>
        <v>#N/A</v>
      </c>
      <c r="W2719" s="81" t="e">
        <f>HLOOKUP(P2719,データについて!$J$10:$M$18,9,FALSE)</f>
        <v>#N/A</v>
      </c>
      <c r="X2719" s="81" t="e">
        <f>HLOOKUP(Q2719,データについて!$J$11:$M$18,8,FALSE)</f>
        <v>#N/A</v>
      </c>
      <c r="Y2719" s="81" t="e">
        <f>HLOOKUP(R2719,データについて!$J$12:$M$18,7,FALSE)</f>
        <v>#N/A</v>
      </c>
      <c r="Z2719" s="81" t="e">
        <f>HLOOKUP(I2719,データについて!$J$3:$M$18,16,FALSE)</f>
        <v>#N/A</v>
      </c>
      <c r="AA2719" s="81" t="str">
        <f>IFERROR(HLOOKUP(J2719,データについて!$J$4:$AH$19,16,FALSE),"")</f>
        <v/>
      </c>
      <c r="AB2719" s="81" t="str">
        <f>IFERROR(HLOOKUP(K2719,データについて!$J$5:$AH$20,14,FALSE),"")</f>
        <v/>
      </c>
      <c r="AC2719" s="81" t="e">
        <f>IF(X2719=1,HLOOKUP(R2719,データについて!$J$12:$M$18,7,FALSE),"*")</f>
        <v>#N/A</v>
      </c>
      <c r="AD2719" s="81" t="e">
        <f>IF(X2719=2,HLOOKUP(R2719,データについて!$J$12:$M$18,7,FALSE),"*")</f>
        <v>#N/A</v>
      </c>
    </row>
    <row r="2720" spans="19:30">
      <c r="S2720" s="81" t="e">
        <f>HLOOKUP(L2720,データについて!$J$6:$M$18,13,FALSE)</f>
        <v>#N/A</v>
      </c>
      <c r="T2720" s="81" t="e">
        <f>HLOOKUP(M2720,データについて!$J$7:$M$18,12,FALSE)</f>
        <v>#N/A</v>
      </c>
      <c r="U2720" s="81" t="e">
        <f>HLOOKUP(N2720,データについて!$J$8:$M$18,11,FALSE)</f>
        <v>#N/A</v>
      </c>
      <c r="V2720" s="81" t="e">
        <f>HLOOKUP(O2720,データについて!$J$9:$M$18,10,FALSE)</f>
        <v>#N/A</v>
      </c>
      <c r="W2720" s="81" t="e">
        <f>HLOOKUP(P2720,データについて!$J$10:$M$18,9,FALSE)</f>
        <v>#N/A</v>
      </c>
      <c r="X2720" s="81" t="e">
        <f>HLOOKUP(Q2720,データについて!$J$11:$M$18,8,FALSE)</f>
        <v>#N/A</v>
      </c>
      <c r="Y2720" s="81" t="e">
        <f>HLOOKUP(R2720,データについて!$J$12:$M$18,7,FALSE)</f>
        <v>#N/A</v>
      </c>
      <c r="Z2720" s="81" t="e">
        <f>HLOOKUP(I2720,データについて!$J$3:$M$18,16,FALSE)</f>
        <v>#N/A</v>
      </c>
      <c r="AA2720" s="81" t="str">
        <f>IFERROR(HLOOKUP(J2720,データについて!$J$4:$AH$19,16,FALSE),"")</f>
        <v/>
      </c>
      <c r="AB2720" s="81" t="str">
        <f>IFERROR(HLOOKUP(K2720,データについて!$J$5:$AH$20,14,FALSE),"")</f>
        <v/>
      </c>
      <c r="AC2720" s="81" t="e">
        <f>IF(X2720=1,HLOOKUP(R2720,データについて!$J$12:$M$18,7,FALSE),"*")</f>
        <v>#N/A</v>
      </c>
      <c r="AD2720" s="81" t="e">
        <f>IF(X2720=2,HLOOKUP(R2720,データについて!$J$12:$M$18,7,FALSE),"*")</f>
        <v>#N/A</v>
      </c>
    </row>
    <row r="2721" spans="19:30">
      <c r="S2721" s="81" t="e">
        <f>HLOOKUP(L2721,データについて!$J$6:$M$18,13,FALSE)</f>
        <v>#N/A</v>
      </c>
      <c r="T2721" s="81" t="e">
        <f>HLOOKUP(M2721,データについて!$J$7:$M$18,12,FALSE)</f>
        <v>#N/A</v>
      </c>
      <c r="U2721" s="81" t="e">
        <f>HLOOKUP(N2721,データについて!$J$8:$M$18,11,FALSE)</f>
        <v>#N/A</v>
      </c>
      <c r="V2721" s="81" t="e">
        <f>HLOOKUP(O2721,データについて!$J$9:$M$18,10,FALSE)</f>
        <v>#N/A</v>
      </c>
      <c r="W2721" s="81" t="e">
        <f>HLOOKUP(P2721,データについて!$J$10:$M$18,9,FALSE)</f>
        <v>#N/A</v>
      </c>
      <c r="X2721" s="81" t="e">
        <f>HLOOKUP(Q2721,データについて!$J$11:$M$18,8,FALSE)</f>
        <v>#N/A</v>
      </c>
      <c r="Y2721" s="81" t="e">
        <f>HLOOKUP(R2721,データについて!$J$12:$M$18,7,FALSE)</f>
        <v>#N/A</v>
      </c>
      <c r="Z2721" s="81" t="e">
        <f>HLOOKUP(I2721,データについて!$J$3:$M$18,16,FALSE)</f>
        <v>#N/A</v>
      </c>
      <c r="AA2721" s="81" t="str">
        <f>IFERROR(HLOOKUP(J2721,データについて!$J$4:$AH$19,16,FALSE),"")</f>
        <v/>
      </c>
      <c r="AB2721" s="81" t="str">
        <f>IFERROR(HLOOKUP(K2721,データについて!$J$5:$AH$20,14,FALSE),"")</f>
        <v/>
      </c>
      <c r="AC2721" s="81" t="e">
        <f>IF(X2721=1,HLOOKUP(R2721,データについて!$J$12:$M$18,7,FALSE),"*")</f>
        <v>#N/A</v>
      </c>
      <c r="AD2721" s="81" t="e">
        <f>IF(X2721=2,HLOOKUP(R2721,データについて!$J$12:$M$18,7,FALSE),"*")</f>
        <v>#N/A</v>
      </c>
    </row>
    <row r="2722" spans="19:30">
      <c r="S2722" s="81" t="e">
        <f>HLOOKUP(L2722,データについて!$J$6:$M$18,13,FALSE)</f>
        <v>#N/A</v>
      </c>
      <c r="T2722" s="81" t="e">
        <f>HLOOKUP(M2722,データについて!$J$7:$M$18,12,FALSE)</f>
        <v>#N/A</v>
      </c>
      <c r="U2722" s="81" t="e">
        <f>HLOOKUP(N2722,データについて!$J$8:$M$18,11,FALSE)</f>
        <v>#N/A</v>
      </c>
      <c r="V2722" s="81" t="e">
        <f>HLOOKUP(O2722,データについて!$J$9:$M$18,10,FALSE)</f>
        <v>#N/A</v>
      </c>
      <c r="W2722" s="81" t="e">
        <f>HLOOKUP(P2722,データについて!$J$10:$M$18,9,FALSE)</f>
        <v>#N/A</v>
      </c>
      <c r="X2722" s="81" t="e">
        <f>HLOOKUP(Q2722,データについて!$J$11:$M$18,8,FALSE)</f>
        <v>#N/A</v>
      </c>
      <c r="Y2722" s="81" t="e">
        <f>HLOOKUP(R2722,データについて!$J$12:$M$18,7,FALSE)</f>
        <v>#N/A</v>
      </c>
      <c r="Z2722" s="81" t="e">
        <f>HLOOKUP(I2722,データについて!$J$3:$M$18,16,FALSE)</f>
        <v>#N/A</v>
      </c>
      <c r="AA2722" s="81" t="str">
        <f>IFERROR(HLOOKUP(J2722,データについて!$J$4:$AH$19,16,FALSE),"")</f>
        <v/>
      </c>
      <c r="AB2722" s="81" t="str">
        <f>IFERROR(HLOOKUP(K2722,データについて!$J$5:$AH$20,14,FALSE),"")</f>
        <v/>
      </c>
      <c r="AC2722" s="81" t="e">
        <f>IF(X2722=1,HLOOKUP(R2722,データについて!$J$12:$M$18,7,FALSE),"*")</f>
        <v>#N/A</v>
      </c>
      <c r="AD2722" s="81" t="e">
        <f>IF(X2722=2,HLOOKUP(R2722,データについて!$J$12:$M$18,7,FALSE),"*")</f>
        <v>#N/A</v>
      </c>
    </row>
    <row r="2723" spans="19:30">
      <c r="S2723" s="81" t="e">
        <f>HLOOKUP(L2723,データについて!$J$6:$M$18,13,FALSE)</f>
        <v>#N/A</v>
      </c>
      <c r="T2723" s="81" t="e">
        <f>HLOOKUP(M2723,データについて!$J$7:$M$18,12,FALSE)</f>
        <v>#N/A</v>
      </c>
      <c r="U2723" s="81" t="e">
        <f>HLOOKUP(N2723,データについて!$J$8:$M$18,11,FALSE)</f>
        <v>#N/A</v>
      </c>
      <c r="V2723" s="81" t="e">
        <f>HLOOKUP(O2723,データについて!$J$9:$M$18,10,FALSE)</f>
        <v>#N/A</v>
      </c>
      <c r="W2723" s="81" t="e">
        <f>HLOOKUP(P2723,データについて!$J$10:$M$18,9,FALSE)</f>
        <v>#N/A</v>
      </c>
      <c r="X2723" s="81" t="e">
        <f>HLOOKUP(Q2723,データについて!$J$11:$M$18,8,FALSE)</f>
        <v>#N/A</v>
      </c>
      <c r="Y2723" s="81" t="e">
        <f>HLOOKUP(R2723,データについて!$J$12:$M$18,7,FALSE)</f>
        <v>#N/A</v>
      </c>
      <c r="Z2723" s="81" t="e">
        <f>HLOOKUP(I2723,データについて!$J$3:$M$18,16,FALSE)</f>
        <v>#N/A</v>
      </c>
      <c r="AA2723" s="81" t="str">
        <f>IFERROR(HLOOKUP(J2723,データについて!$J$4:$AH$19,16,FALSE),"")</f>
        <v/>
      </c>
      <c r="AB2723" s="81" t="str">
        <f>IFERROR(HLOOKUP(K2723,データについて!$J$5:$AH$20,14,FALSE),"")</f>
        <v/>
      </c>
      <c r="AC2723" s="81" t="e">
        <f>IF(X2723=1,HLOOKUP(R2723,データについて!$J$12:$M$18,7,FALSE),"*")</f>
        <v>#N/A</v>
      </c>
      <c r="AD2723" s="81" t="e">
        <f>IF(X2723=2,HLOOKUP(R2723,データについて!$J$12:$M$18,7,FALSE),"*")</f>
        <v>#N/A</v>
      </c>
    </row>
    <row r="2724" spans="19:30">
      <c r="S2724" s="81" t="e">
        <f>HLOOKUP(L2724,データについて!$J$6:$M$18,13,FALSE)</f>
        <v>#N/A</v>
      </c>
      <c r="T2724" s="81" t="e">
        <f>HLOOKUP(M2724,データについて!$J$7:$M$18,12,FALSE)</f>
        <v>#N/A</v>
      </c>
      <c r="U2724" s="81" t="e">
        <f>HLOOKUP(N2724,データについて!$J$8:$M$18,11,FALSE)</f>
        <v>#N/A</v>
      </c>
      <c r="V2724" s="81" t="e">
        <f>HLOOKUP(O2724,データについて!$J$9:$M$18,10,FALSE)</f>
        <v>#N/A</v>
      </c>
      <c r="W2724" s="81" t="e">
        <f>HLOOKUP(P2724,データについて!$J$10:$M$18,9,FALSE)</f>
        <v>#N/A</v>
      </c>
      <c r="X2724" s="81" t="e">
        <f>HLOOKUP(Q2724,データについて!$J$11:$M$18,8,FALSE)</f>
        <v>#N/A</v>
      </c>
      <c r="Y2724" s="81" t="e">
        <f>HLOOKUP(R2724,データについて!$J$12:$M$18,7,FALSE)</f>
        <v>#N/A</v>
      </c>
      <c r="Z2724" s="81" t="e">
        <f>HLOOKUP(I2724,データについて!$J$3:$M$18,16,FALSE)</f>
        <v>#N/A</v>
      </c>
      <c r="AA2724" s="81" t="str">
        <f>IFERROR(HLOOKUP(J2724,データについて!$J$4:$AH$19,16,FALSE),"")</f>
        <v/>
      </c>
      <c r="AB2724" s="81" t="str">
        <f>IFERROR(HLOOKUP(K2724,データについて!$J$5:$AH$20,14,FALSE),"")</f>
        <v/>
      </c>
      <c r="AC2724" s="81" t="e">
        <f>IF(X2724=1,HLOOKUP(R2724,データについて!$J$12:$M$18,7,FALSE),"*")</f>
        <v>#N/A</v>
      </c>
      <c r="AD2724" s="81" t="e">
        <f>IF(X2724=2,HLOOKUP(R2724,データについて!$J$12:$M$18,7,FALSE),"*")</f>
        <v>#N/A</v>
      </c>
    </row>
    <row r="2725" spans="19:30">
      <c r="S2725" s="81" t="e">
        <f>HLOOKUP(L2725,データについて!$J$6:$M$18,13,FALSE)</f>
        <v>#N/A</v>
      </c>
      <c r="T2725" s="81" t="e">
        <f>HLOOKUP(M2725,データについて!$J$7:$M$18,12,FALSE)</f>
        <v>#N/A</v>
      </c>
      <c r="U2725" s="81" t="e">
        <f>HLOOKUP(N2725,データについて!$J$8:$M$18,11,FALSE)</f>
        <v>#N/A</v>
      </c>
      <c r="V2725" s="81" t="e">
        <f>HLOOKUP(O2725,データについて!$J$9:$M$18,10,FALSE)</f>
        <v>#N/A</v>
      </c>
      <c r="W2725" s="81" t="e">
        <f>HLOOKUP(P2725,データについて!$J$10:$M$18,9,FALSE)</f>
        <v>#N/A</v>
      </c>
      <c r="X2725" s="81" t="e">
        <f>HLOOKUP(Q2725,データについて!$J$11:$M$18,8,FALSE)</f>
        <v>#N/A</v>
      </c>
      <c r="Y2725" s="81" t="e">
        <f>HLOOKUP(R2725,データについて!$J$12:$M$18,7,FALSE)</f>
        <v>#N/A</v>
      </c>
      <c r="Z2725" s="81" t="e">
        <f>HLOOKUP(I2725,データについて!$J$3:$M$18,16,FALSE)</f>
        <v>#N/A</v>
      </c>
      <c r="AA2725" s="81" t="str">
        <f>IFERROR(HLOOKUP(J2725,データについて!$J$4:$AH$19,16,FALSE),"")</f>
        <v/>
      </c>
      <c r="AB2725" s="81" t="str">
        <f>IFERROR(HLOOKUP(K2725,データについて!$J$5:$AH$20,14,FALSE),"")</f>
        <v/>
      </c>
      <c r="AC2725" s="81" t="e">
        <f>IF(X2725=1,HLOOKUP(R2725,データについて!$J$12:$M$18,7,FALSE),"*")</f>
        <v>#N/A</v>
      </c>
      <c r="AD2725" s="81" t="e">
        <f>IF(X2725=2,HLOOKUP(R2725,データについて!$J$12:$M$18,7,FALSE),"*")</f>
        <v>#N/A</v>
      </c>
    </row>
    <row r="2726" spans="19:30">
      <c r="S2726" s="81" t="e">
        <f>HLOOKUP(L2726,データについて!$J$6:$M$18,13,FALSE)</f>
        <v>#N/A</v>
      </c>
      <c r="T2726" s="81" t="e">
        <f>HLOOKUP(M2726,データについて!$J$7:$M$18,12,FALSE)</f>
        <v>#N/A</v>
      </c>
      <c r="U2726" s="81" t="e">
        <f>HLOOKUP(N2726,データについて!$J$8:$M$18,11,FALSE)</f>
        <v>#N/A</v>
      </c>
      <c r="V2726" s="81" t="e">
        <f>HLOOKUP(O2726,データについて!$J$9:$M$18,10,FALSE)</f>
        <v>#N/A</v>
      </c>
      <c r="W2726" s="81" t="e">
        <f>HLOOKUP(P2726,データについて!$J$10:$M$18,9,FALSE)</f>
        <v>#N/A</v>
      </c>
      <c r="X2726" s="81" t="e">
        <f>HLOOKUP(Q2726,データについて!$J$11:$M$18,8,FALSE)</f>
        <v>#N/A</v>
      </c>
      <c r="Y2726" s="81" t="e">
        <f>HLOOKUP(R2726,データについて!$J$12:$M$18,7,FALSE)</f>
        <v>#N/A</v>
      </c>
      <c r="Z2726" s="81" t="e">
        <f>HLOOKUP(I2726,データについて!$J$3:$M$18,16,FALSE)</f>
        <v>#N/A</v>
      </c>
      <c r="AA2726" s="81" t="str">
        <f>IFERROR(HLOOKUP(J2726,データについて!$J$4:$AH$19,16,FALSE),"")</f>
        <v/>
      </c>
      <c r="AB2726" s="81" t="str">
        <f>IFERROR(HLOOKUP(K2726,データについて!$J$5:$AH$20,14,FALSE),"")</f>
        <v/>
      </c>
      <c r="AC2726" s="81" t="e">
        <f>IF(X2726=1,HLOOKUP(R2726,データについて!$J$12:$M$18,7,FALSE),"*")</f>
        <v>#N/A</v>
      </c>
      <c r="AD2726" s="81" t="e">
        <f>IF(X2726=2,HLOOKUP(R2726,データについて!$J$12:$M$18,7,FALSE),"*")</f>
        <v>#N/A</v>
      </c>
    </row>
    <row r="2727" spans="19:30">
      <c r="S2727" s="81" t="e">
        <f>HLOOKUP(L2727,データについて!$J$6:$M$18,13,FALSE)</f>
        <v>#N/A</v>
      </c>
      <c r="T2727" s="81" t="e">
        <f>HLOOKUP(M2727,データについて!$J$7:$M$18,12,FALSE)</f>
        <v>#N/A</v>
      </c>
      <c r="U2727" s="81" t="e">
        <f>HLOOKUP(N2727,データについて!$J$8:$M$18,11,FALSE)</f>
        <v>#N/A</v>
      </c>
      <c r="V2727" s="81" t="e">
        <f>HLOOKUP(O2727,データについて!$J$9:$M$18,10,FALSE)</f>
        <v>#N/A</v>
      </c>
      <c r="W2727" s="81" t="e">
        <f>HLOOKUP(P2727,データについて!$J$10:$M$18,9,FALSE)</f>
        <v>#N/A</v>
      </c>
      <c r="X2727" s="81" t="e">
        <f>HLOOKUP(Q2727,データについて!$J$11:$M$18,8,FALSE)</f>
        <v>#N/A</v>
      </c>
      <c r="Y2727" s="81" t="e">
        <f>HLOOKUP(R2727,データについて!$J$12:$M$18,7,FALSE)</f>
        <v>#N/A</v>
      </c>
      <c r="Z2727" s="81" t="e">
        <f>HLOOKUP(I2727,データについて!$J$3:$M$18,16,FALSE)</f>
        <v>#N/A</v>
      </c>
      <c r="AA2727" s="81" t="str">
        <f>IFERROR(HLOOKUP(J2727,データについて!$J$4:$AH$19,16,FALSE),"")</f>
        <v/>
      </c>
      <c r="AB2727" s="81" t="str">
        <f>IFERROR(HLOOKUP(K2727,データについて!$J$5:$AH$20,14,FALSE),"")</f>
        <v/>
      </c>
      <c r="AC2727" s="81" t="e">
        <f>IF(X2727=1,HLOOKUP(R2727,データについて!$J$12:$M$18,7,FALSE),"*")</f>
        <v>#N/A</v>
      </c>
      <c r="AD2727" s="81" t="e">
        <f>IF(X2727=2,HLOOKUP(R2727,データについて!$J$12:$M$18,7,FALSE),"*")</f>
        <v>#N/A</v>
      </c>
    </row>
    <row r="2728" spans="19:30">
      <c r="S2728" s="81" t="e">
        <f>HLOOKUP(L2728,データについて!$J$6:$M$18,13,FALSE)</f>
        <v>#N/A</v>
      </c>
      <c r="T2728" s="81" t="e">
        <f>HLOOKUP(M2728,データについて!$J$7:$M$18,12,FALSE)</f>
        <v>#N/A</v>
      </c>
      <c r="U2728" s="81" t="e">
        <f>HLOOKUP(N2728,データについて!$J$8:$M$18,11,FALSE)</f>
        <v>#N/A</v>
      </c>
      <c r="V2728" s="81" t="e">
        <f>HLOOKUP(O2728,データについて!$J$9:$M$18,10,FALSE)</f>
        <v>#N/A</v>
      </c>
      <c r="W2728" s="81" t="e">
        <f>HLOOKUP(P2728,データについて!$J$10:$M$18,9,FALSE)</f>
        <v>#N/A</v>
      </c>
      <c r="X2728" s="81" t="e">
        <f>HLOOKUP(Q2728,データについて!$J$11:$M$18,8,FALSE)</f>
        <v>#N/A</v>
      </c>
      <c r="Y2728" s="81" t="e">
        <f>HLOOKUP(R2728,データについて!$J$12:$M$18,7,FALSE)</f>
        <v>#N/A</v>
      </c>
      <c r="Z2728" s="81" t="e">
        <f>HLOOKUP(I2728,データについて!$J$3:$M$18,16,FALSE)</f>
        <v>#N/A</v>
      </c>
      <c r="AA2728" s="81" t="str">
        <f>IFERROR(HLOOKUP(J2728,データについて!$J$4:$AH$19,16,FALSE),"")</f>
        <v/>
      </c>
      <c r="AB2728" s="81" t="str">
        <f>IFERROR(HLOOKUP(K2728,データについて!$J$5:$AH$20,14,FALSE),"")</f>
        <v/>
      </c>
      <c r="AC2728" s="81" t="e">
        <f>IF(X2728=1,HLOOKUP(R2728,データについて!$J$12:$M$18,7,FALSE),"*")</f>
        <v>#N/A</v>
      </c>
      <c r="AD2728" s="81" t="e">
        <f>IF(X2728=2,HLOOKUP(R2728,データについて!$J$12:$M$18,7,FALSE),"*")</f>
        <v>#N/A</v>
      </c>
    </row>
    <row r="2729" spans="19:30">
      <c r="S2729" s="81" t="e">
        <f>HLOOKUP(L2729,データについて!$J$6:$M$18,13,FALSE)</f>
        <v>#N/A</v>
      </c>
      <c r="T2729" s="81" t="e">
        <f>HLOOKUP(M2729,データについて!$J$7:$M$18,12,FALSE)</f>
        <v>#N/A</v>
      </c>
      <c r="U2729" s="81" t="e">
        <f>HLOOKUP(N2729,データについて!$J$8:$M$18,11,FALSE)</f>
        <v>#N/A</v>
      </c>
      <c r="V2729" s="81" t="e">
        <f>HLOOKUP(O2729,データについて!$J$9:$M$18,10,FALSE)</f>
        <v>#N/A</v>
      </c>
      <c r="W2729" s="81" t="e">
        <f>HLOOKUP(P2729,データについて!$J$10:$M$18,9,FALSE)</f>
        <v>#N/A</v>
      </c>
      <c r="X2729" s="81" t="e">
        <f>HLOOKUP(Q2729,データについて!$J$11:$M$18,8,FALSE)</f>
        <v>#N/A</v>
      </c>
      <c r="Y2729" s="81" t="e">
        <f>HLOOKUP(R2729,データについて!$J$12:$M$18,7,FALSE)</f>
        <v>#N/A</v>
      </c>
      <c r="Z2729" s="81" t="e">
        <f>HLOOKUP(I2729,データについて!$J$3:$M$18,16,FALSE)</f>
        <v>#N/A</v>
      </c>
      <c r="AA2729" s="81" t="str">
        <f>IFERROR(HLOOKUP(J2729,データについて!$J$4:$AH$19,16,FALSE),"")</f>
        <v/>
      </c>
      <c r="AB2729" s="81" t="str">
        <f>IFERROR(HLOOKUP(K2729,データについて!$J$5:$AH$20,14,FALSE),"")</f>
        <v/>
      </c>
      <c r="AC2729" s="81" t="e">
        <f>IF(X2729=1,HLOOKUP(R2729,データについて!$J$12:$M$18,7,FALSE),"*")</f>
        <v>#N/A</v>
      </c>
      <c r="AD2729" s="81" t="e">
        <f>IF(X2729=2,HLOOKUP(R2729,データについて!$J$12:$M$18,7,FALSE),"*")</f>
        <v>#N/A</v>
      </c>
    </row>
    <row r="2730" spans="19:30">
      <c r="S2730" s="81" t="e">
        <f>HLOOKUP(L2730,データについて!$J$6:$M$18,13,FALSE)</f>
        <v>#N/A</v>
      </c>
      <c r="T2730" s="81" t="e">
        <f>HLOOKUP(M2730,データについて!$J$7:$M$18,12,FALSE)</f>
        <v>#N/A</v>
      </c>
      <c r="U2730" s="81" t="e">
        <f>HLOOKUP(N2730,データについて!$J$8:$M$18,11,FALSE)</f>
        <v>#N/A</v>
      </c>
      <c r="V2730" s="81" t="e">
        <f>HLOOKUP(O2730,データについて!$J$9:$M$18,10,FALSE)</f>
        <v>#N/A</v>
      </c>
      <c r="W2730" s="81" t="e">
        <f>HLOOKUP(P2730,データについて!$J$10:$M$18,9,FALSE)</f>
        <v>#N/A</v>
      </c>
      <c r="X2730" s="81" t="e">
        <f>HLOOKUP(Q2730,データについて!$J$11:$M$18,8,FALSE)</f>
        <v>#N/A</v>
      </c>
      <c r="Y2730" s="81" t="e">
        <f>HLOOKUP(R2730,データについて!$J$12:$M$18,7,FALSE)</f>
        <v>#N/A</v>
      </c>
      <c r="Z2730" s="81" t="e">
        <f>HLOOKUP(I2730,データについて!$J$3:$M$18,16,FALSE)</f>
        <v>#N/A</v>
      </c>
      <c r="AA2730" s="81" t="str">
        <f>IFERROR(HLOOKUP(J2730,データについて!$J$4:$AH$19,16,FALSE),"")</f>
        <v/>
      </c>
      <c r="AB2730" s="81" t="str">
        <f>IFERROR(HLOOKUP(K2730,データについて!$J$5:$AH$20,14,FALSE),"")</f>
        <v/>
      </c>
      <c r="AC2730" s="81" t="e">
        <f>IF(X2730=1,HLOOKUP(R2730,データについて!$J$12:$M$18,7,FALSE),"*")</f>
        <v>#N/A</v>
      </c>
      <c r="AD2730" s="81" t="e">
        <f>IF(X2730=2,HLOOKUP(R2730,データについて!$J$12:$M$18,7,FALSE),"*")</f>
        <v>#N/A</v>
      </c>
    </row>
    <row r="2731" spans="19:30">
      <c r="S2731" s="81" t="e">
        <f>HLOOKUP(L2731,データについて!$J$6:$M$18,13,FALSE)</f>
        <v>#N/A</v>
      </c>
      <c r="T2731" s="81" t="e">
        <f>HLOOKUP(M2731,データについて!$J$7:$M$18,12,FALSE)</f>
        <v>#N/A</v>
      </c>
      <c r="U2731" s="81" t="e">
        <f>HLOOKUP(N2731,データについて!$J$8:$M$18,11,FALSE)</f>
        <v>#N/A</v>
      </c>
      <c r="V2731" s="81" t="e">
        <f>HLOOKUP(O2731,データについて!$J$9:$M$18,10,FALSE)</f>
        <v>#N/A</v>
      </c>
      <c r="W2731" s="81" t="e">
        <f>HLOOKUP(P2731,データについて!$J$10:$M$18,9,FALSE)</f>
        <v>#N/A</v>
      </c>
      <c r="X2731" s="81" t="e">
        <f>HLOOKUP(Q2731,データについて!$J$11:$M$18,8,FALSE)</f>
        <v>#N/A</v>
      </c>
      <c r="Y2731" s="81" t="e">
        <f>HLOOKUP(R2731,データについて!$J$12:$M$18,7,FALSE)</f>
        <v>#N/A</v>
      </c>
      <c r="Z2731" s="81" t="e">
        <f>HLOOKUP(I2731,データについて!$J$3:$M$18,16,FALSE)</f>
        <v>#N/A</v>
      </c>
      <c r="AA2731" s="81" t="str">
        <f>IFERROR(HLOOKUP(J2731,データについて!$J$4:$AH$19,16,FALSE),"")</f>
        <v/>
      </c>
      <c r="AB2731" s="81" t="str">
        <f>IFERROR(HLOOKUP(K2731,データについて!$J$5:$AH$20,14,FALSE),"")</f>
        <v/>
      </c>
      <c r="AC2731" s="81" t="e">
        <f>IF(X2731=1,HLOOKUP(R2731,データについて!$J$12:$M$18,7,FALSE),"*")</f>
        <v>#N/A</v>
      </c>
      <c r="AD2731" s="81" t="e">
        <f>IF(X2731=2,HLOOKUP(R2731,データについて!$J$12:$M$18,7,FALSE),"*")</f>
        <v>#N/A</v>
      </c>
    </row>
    <row r="2732" spans="19:30">
      <c r="S2732" s="81" t="e">
        <f>HLOOKUP(L2732,データについて!$J$6:$M$18,13,FALSE)</f>
        <v>#N/A</v>
      </c>
      <c r="T2732" s="81" t="e">
        <f>HLOOKUP(M2732,データについて!$J$7:$M$18,12,FALSE)</f>
        <v>#N/A</v>
      </c>
      <c r="U2732" s="81" t="e">
        <f>HLOOKUP(N2732,データについて!$J$8:$M$18,11,FALSE)</f>
        <v>#N/A</v>
      </c>
      <c r="V2732" s="81" t="e">
        <f>HLOOKUP(O2732,データについて!$J$9:$M$18,10,FALSE)</f>
        <v>#N/A</v>
      </c>
      <c r="W2732" s="81" t="e">
        <f>HLOOKUP(P2732,データについて!$J$10:$M$18,9,FALSE)</f>
        <v>#N/A</v>
      </c>
      <c r="X2732" s="81" t="e">
        <f>HLOOKUP(Q2732,データについて!$J$11:$M$18,8,FALSE)</f>
        <v>#N/A</v>
      </c>
      <c r="Y2732" s="81" t="e">
        <f>HLOOKUP(R2732,データについて!$J$12:$M$18,7,FALSE)</f>
        <v>#N/A</v>
      </c>
      <c r="Z2732" s="81" t="e">
        <f>HLOOKUP(I2732,データについて!$J$3:$M$18,16,FALSE)</f>
        <v>#N/A</v>
      </c>
      <c r="AA2732" s="81" t="str">
        <f>IFERROR(HLOOKUP(J2732,データについて!$J$4:$AH$19,16,FALSE),"")</f>
        <v/>
      </c>
      <c r="AB2732" s="81" t="str">
        <f>IFERROR(HLOOKUP(K2732,データについて!$J$5:$AH$20,14,FALSE),"")</f>
        <v/>
      </c>
      <c r="AC2732" s="81" t="e">
        <f>IF(X2732=1,HLOOKUP(R2732,データについて!$J$12:$M$18,7,FALSE),"*")</f>
        <v>#N/A</v>
      </c>
      <c r="AD2732" s="81" t="e">
        <f>IF(X2732=2,HLOOKUP(R2732,データについて!$J$12:$M$18,7,FALSE),"*")</f>
        <v>#N/A</v>
      </c>
    </row>
    <row r="2733" spans="19:30">
      <c r="S2733" s="81" t="e">
        <f>HLOOKUP(L2733,データについて!$J$6:$M$18,13,FALSE)</f>
        <v>#N/A</v>
      </c>
      <c r="T2733" s="81" t="e">
        <f>HLOOKUP(M2733,データについて!$J$7:$M$18,12,FALSE)</f>
        <v>#N/A</v>
      </c>
      <c r="U2733" s="81" t="e">
        <f>HLOOKUP(N2733,データについて!$J$8:$M$18,11,FALSE)</f>
        <v>#N/A</v>
      </c>
      <c r="V2733" s="81" t="e">
        <f>HLOOKUP(O2733,データについて!$J$9:$M$18,10,FALSE)</f>
        <v>#N/A</v>
      </c>
      <c r="W2733" s="81" t="e">
        <f>HLOOKUP(P2733,データについて!$J$10:$M$18,9,FALSE)</f>
        <v>#N/A</v>
      </c>
      <c r="X2733" s="81" t="e">
        <f>HLOOKUP(Q2733,データについて!$J$11:$M$18,8,FALSE)</f>
        <v>#N/A</v>
      </c>
      <c r="Y2733" s="81" t="e">
        <f>HLOOKUP(R2733,データについて!$J$12:$M$18,7,FALSE)</f>
        <v>#N/A</v>
      </c>
      <c r="Z2733" s="81" t="e">
        <f>HLOOKUP(I2733,データについて!$J$3:$M$18,16,FALSE)</f>
        <v>#N/A</v>
      </c>
      <c r="AA2733" s="81" t="str">
        <f>IFERROR(HLOOKUP(J2733,データについて!$J$4:$AH$19,16,FALSE),"")</f>
        <v/>
      </c>
      <c r="AB2733" s="81" t="str">
        <f>IFERROR(HLOOKUP(K2733,データについて!$J$5:$AH$20,14,FALSE),"")</f>
        <v/>
      </c>
      <c r="AC2733" s="81" t="e">
        <f>IF(X2733=1,HLOOKUP(R2733,データについて!$J$12:$M$18,7,FALSE),"*")</f>
        <v>#N/A</v>
      </c>
      <c r="AD2733" s="81" t="e">
        <f>IF(X2733=2,HLOOKUP(R2733,データについて!$J$12:$M$18,7,FALSE),"*")</f>
        <v>#N/A</v>
      </c>
    </row>
    <row r="2734" spans="19:30">
      <c r="S2734" s="81" t="e">
        <f>HLOOKUP(L2734,データについて!$J$6:$M$18,13,FALSE)</f>
        <v>#N/A</v>
      </c>
      <c r="T2734" s="81" t="e">
        <f>HLOOKUP(M2734,データについて!$J$7:$M$18,12,FALSE)</f>
        <v>#N/A</v>
      </c>
      <c r="U2734" s="81" t="e">
        <f>HLOOKUP(N2734,データについて!$J$8:$M$18,11,FALSE)</f>
        <v>#N/A</v>
      </c>
      <c r="V2734" s="81" t="e">
        <f>HLOOKUP(O2734,データについて!$J$9:$M$18,10,FALSE)</f>
        <v>#N/A</v>
      </c>
      <c r="W2734" s="81" t="e">
        <f>HLOOKUP(P2734,データについて!$J$10:$M$18,9,FALSE)</f>
        <v>#N/A</v>
      </c>
      <c r="X2734" s="81" t="e">
        <f>HLOOKUP(Q2734,データについて!$J$11:$M$18,8,FALSE)</f>
        <v>#N/A</v>
      </c>
      <c r="Y2734" s="81" t="e">
        <f>HLOOKUP(R2734,データについて!$J$12:$M$18,7,FALSE)</f>
        <v>#N/A</v>
      </c>
      <c r="Z2734" s="81" t="e">
        <f>HLOOKUP(I2734,データについて!$J$3:$M$18,16,FALSE)</f>
        <v>#N/A</v>
      </c>
      <c r="AA2734" s="81" t="str">
        <f>IFERROR(HLOOKUP(J2734,データについて!$J$4:$AH$19,16,FALSE),"")</f>
        <v/>
      </c>
      <c r="AB2734" s="81" t="str">
        <f>IFERROR(HLOOKUP(K2734,データについて!$J$5:$AH$20,14,FALSE),"")</f>
        <v/>
      </c>
      <c r="AC2734" s="81" t="e">
        <f>IF(X2734=1,HLOOKUP(R2734,データについて!$J$12:$M$18,7,FALSE),"*")</f>
        <v>#N/A</v>
      </c>
      <c r="AD2734" s="81" t="e">
        <f>IF(X2734=2,HLOOKUP(R2734,データについて!$J$12:$M$18,7,FALSE),"*")</f>
        <v>#N/A</v>
      </c>
    </row>
    <row r="2735" spans="19:30">
      <c r="S2735" s="81" t="e">
        <f>HLOOKUP(L2735,データについて!$J$6:$M$18,13,FALSE)</f>
        <v>#N/A</v>
      </c>
      <c r="T2735" s="81" t="e">
        <f>HLOOKUP(M2735,データについて!$J$7:$M$18,12,FALSE)</f>
        <v>#N/A</v>
      </c>
      <c r="U2735" s="81" t="e">
        <f>HLOOKUP(N2735,データについて!$J$8:$M$18,11,FALSE)</f>
        <v>#N/A</v>
      </c>
      <c r="V2735" s="81" t="e">
        <f>HLOOKUP(O2735,データについて!$J$9:$M$18,10,FALSE)</f>
        <v>#N/A</v>
      </c>
      <c r="W2735" s="81" t="e">
        <f>HLOOKUP(P2735,データについて!$J$10:$M$18,9,FALSE)</f>
        <v>#N/A</v>
      </c>
      <c r="X2735" s="81" t="e">
        <f>HLOOKUP(Q2735,データについて!$J$11:$M$18,8,FALSE)</f>
        <v>#N/A</v>
      </c>
      <c r="Y2735" s="81" t="e">
        <f>HLOOKUP(R2735,データについて!$J$12:$M$18,7,FALSE)</f>
        <v>#N/A</v>
      </c>
      <c r="Z2735" s="81" t="e">
        <f>HLOOKUP(I2735,データについて!$J$3:$M$18,16,FALSE)</f>
        <v>#N/A</v>
      </c>
      <c r="AA2735" s="81" t="str">
        <f>IFERROR(HLOOKUP(J2735,データについて!$J$4:$AH$19,16,FALSE),"")</f>
        <v/>
      </c>
      <c r="AB2735" s="81" t="str">
        <f>IFERROR(HLOOKUP(K2735,データについて!$J$5:$AH$20,14,FALSE),"")</f>
        <v/>
      </c>
      <c r="AC2735" s="81" t="e">
        <f>IF(X2735=1,HLOOKUP(R2735,データについて!$J$12:$M$18,7,FALSE),"*")</f>
        <v>#N/A</v>
      </c>
      <c r="AD2735" s="81" t="e">
        <f>IF(X2735=2,HLOOKUP(R2735,データについて!$J$12:$M$18,7,FALSE),"*")</f>
        <v>#N/A</v>
      </c>
    </row>
    <row r="2736" spans="19:30">
      <c r="S2736" s="81" t="e">
        <f>HLOOKUP(L2736,データについて!$J$6:$M$18,13,FALSE)</f>
        <v>#N/A</v>
      </c>
      <c r="T2736" s="81" t="e">
        <f>HLOOKUP(M2736,データについて!$J$7:$M$18,12,FALSE)</f>
        <v>#N/A</v>
      </c>
      <c r="U2736" s="81" t="e">
        <f>HLOOKUP(N2736,データについて!$J$8:$M$18,11,FALSE)</f>
        <v>#N/A</v>
      </c>
      <c r="V2736" s="81" t="e">
        <f>HLOOKUP(O2736,データについて!$J$9:$M$18,10,FALSE)</f>
        <v>#N/A</v>
      </c>
      <c r="W2736" s="81" t="e">
        <f>HLOOKUP(P2736,データについて!$J$10:$M$18,9,FALSE)</f>
        <v>#N/A</v>
      </c>
      <c r="X2736" s="81" t="e">
        <f>HLOOKUP(Q2736,データについて!$J$11:$M$18,8,FALSE)</f>
        <v>#N/A</v>
      </c>
      <c r="Y2736" s="81" t="e">
        <f>HLOOKUP(R2736,データについて!$J$12:$M$18,7,FALSE)</f>
        <v>#N/A</v>
      </c>
      <c r="Z2736" s="81" t="e">
        <f>HLOOKUP(I2736,データについて!$J$3:$M$18,16,FALSE)</f>
        <v>#N/A</v>
      </c>
      <c r="AA2736" s="81" t="str">
        <f>IFERROR(HLOOKUP(J2736,データについて!$J$4:$AH$19,16,FALSE),"")</f>
        <v/>
      </c>
      <c r="AB2736" s="81" t="str">
        <f>IFERROR(HLOOKUP(K2736,データについて!$J$5:$AH$20,14,FALSE),"")</f>
        <v/>
      </c>
      <c r="AC2736" s="81" t="e">
        <f>IF(X2736=1,HLOOKUP(R2736,データについて!$J$12:$M$18,7,FALSE),"*")</f>
        <v>#N/A</v>
      </c>
      <c r="AD2736" s="81" t="e">
        <f>IF(X2736=2,HLOOKUP(R2736,データについて!$J$12:$M$18,7,FALSE),"*")</f>
        <v>#N/A</v>
      </c>
    </row>
    <row r="2737" spans="19:30">
      <c r="S2737" s="81" t="e">
        <f>HLOOKUP(L2737,データについて!$J$6:$M$18,13,FALSE)</f>
        <v>#N/A</v>
      </c>
      <c r="T2737" s="81" t="e">
        <f>HLOOKUP(M2737,データについて!$J$7:$M$18,12,FALSE)</f>
        <v>#N/A</v>
      </c>
      <c r="U2737" s="81" t="e">
        <f>HLOOKUP(N2737,データについて!$J$8:$M$18,11,FALSE)</f>
        <v>#N/A</v>
      </c>
      <c r="V2737" s="81" t="e">
        <f>HLOOKUP(O2737,データについて!$J$9:$M$18,10,FALSE)</f>
        <v>#N/A</v>
      </c>
      <c r="W2737" s="81" t="e">
        <f>HLOOKUP(P2737,データについて!$J$10:$M$18,9,FALSE)</f>
        <v>#N/A</v>
      </c>
      <c r="X2737" s="81" t="e">
        <f>HLOOKUP(Q2737,データについて!$J$11:$M$18,8,FALSE)</f>
        <v>#N/A</v>
      </c>
      <c r="Y2737" s="81" t="e">
        <f>HLOOKUP(R2737,データについて!$J$12:$M$18,7,FALSE)</f>
        <v>#N/A</v>
      </c>
      <c r="Z2737" s="81" t="e">
        <f>HLOOKUP(I2737,データについて!$J$3:$M$18,16,FALSE)</f>
        <v>#N/A</v>
      </c>
      <c r="AA2737" s="81" t="str">
        <f>IFERROR(HLOOKUP(J2737,データについて!$J$4:$AH$19,16,FALSE),"")</f>
        <v/>
      </c>
      <c r="AB2737" s="81" t="str">
        <f>IFERROR(HLOOKUP(K2737,データについて!$J$5:$AH$20,14,FALSE),"")</f>
        <v/>
      </c>
      <c r="AC2737" s="81" t="e">
        <f>IF(X2737=1,HLOOKUP(R2737,データについて!$J$12:$M$18,7,FALSE),"*")</f>
        <v>#N/A</v>
      </c>
      <c r="AD2737" s="81" t="e">
        <f>IF(X2737=2,HLOOKUP(R2737,データについて!$J$12:$M$18,7,FALSE),"*")</f>
        <v>#N/A</v>
      </c>
    </row>
    <row r="2738" spans="19:30">
      <c r="S2738" s="81" t="e">
        <f>HLOOKUP(L2738,データについて!$J$6:$M$18,13,FALSE)</f>
        <v>#N/A</v>
      </c>
      <c r="T2738" s="81" t="e">
        <f>HLOOKUP(M2738,データについて!$J$7:$M$18,12,FALSE)</f>
        <v>#N/A</v>
      </c>
      <c r="U2738" s="81" t="e">
        <f>HLOOKUP(N2738,データについて!$J$8:$M$18,11,FALSE)</f>
        <v>#N/A</v>
      </c>
      <c r="V2738" s="81" t="e">
        <f>HLOOKUP(O2738,データについて!$J$9:$M$18,10,FALSE)</f>
        <v>#N/A</v>
      </c>
      <c r="W2738" s="81" t="e">
        <f>HLOOKUP(P2738,データについて!$J$10:$M$18,9,FALSE)</f>
        <v>#N/A</v>
      </c>
      <c r="X2738" s="81" t="e">
        <f>HLOOKUP(Q2738,データについて!$J$11:$M$18,8,FALSE)</f>
        <v>#N/A</v>
      </c>
      <c r="Y2738" s="81" t="e">
        <f>HLOOKUP(R2738,データについて!$J$12:$M$18,7,FALSE)</f>
        <v>#N/A</v>
      </c>
      <c r="Z2738" s="81" t="e">
        <f>HLOOKUP(I2738,データについて!$J$3:$M$18,16,FALSE)</f>
        <v>#N/A</v>
      </c>
      <c r="AA2738" s="81" t="str">
        <f>IFERROR(HLOOKUP(J2738,データについて!$J$4:$AH$19,16,FALSE),"")</f>
        <v/>
      </c>
      <c r="AB2738" s="81" t="str">
        <f>IFERROR(HLOOKUP(K2738,データについて!$J$5:$AH$20,14,FALSE),"")</f>
        <v/>
      </c>
      <c r="AC2738" s="81" t="e">
        <f>IF(X2738=1,HLOOKUP(R2738,データについて!$J$12:$M$18,7,FALSE),"*")</f>
        <v>#N/A</v>
      </c>
      <c r="AD2738" s="81" t="e">
        <f>IF(X2738=2,HLOOKUP(R2738,データについて!$J$12:$M$18,7,FALSE),"*")</f>
        <v>#N/A</v>
      </c>
    </row>
    <row r="2739" spans="19:30">
      <c r="S2739" s="81" t="e">
        <f>HLOOKUP(L2739,データについて!$J$6:$M$18,13,FALSE)</f>
        <v>#N/A</v>
      </c>
      <c r="T2739" s="81" t="e">
        <f>HLOOKUP(M2739,データについて!$J$7:$M$18,12,FALSE)</f>
        <v>#N/A</v>
      </c>
      <c r="U2739" s="81" t="e">
        <f>HLOOKUP(N2739,データについて!$J$8:$M$18,11,FALSE)</f>
        <v>#N/A</v>
      </c>
      <c r="V2739" s="81" t="e">
        <f>HLOOKUP(O2739,データについて!$J$9:$M$18,10,FALSE)</f>
        <v>#N/A</v>
      </c>
      <c r="W2739" s="81" t="e">
        <f>HLOOKUP(P2739,データについて!$J$10:$M$18,9,FALSE)</f>
        <v>#N/A</v>
      </c>
      <c r="X2739" s="81" t="e">
        <f>HLOOKUP(Q2739,データについて!$J$11:$M$18,8,FALSE)</f>
        <v>#N/A</v>
      </c>
      <c r="Y2739" s="81" t="e">
        <f>HLOOKUP(R2739,データについて!$J$12:$M$18,7,FALSE)</f>
        <v>#N/A</v>
      </c>
      <c r="Z2739" s="81" t="e">
        <f>HLOOKUP(I2739,データについて!$J$3:$M$18,16,FALSE)</f>
        <v>#N/A</v>
      </c>
      <c r="AA2739" s="81" t="str">
        <f>IFERROR(HLOOKUP(J2739,データについて!$J$4:$AH$19,16,FALSE),"")</f>
        <v/>
      </c>
      <c r="AB2739" s="81" t="str">
        <f>IFERROR(HLOOKUP(K2739,データについて!$J$5:$AH$20,14,FALSE),"")</f>
        <v/>
      </c>
      <c r="AC2739" s="81" t="e">
        <f>IF(X2739=1,HLOOKUP(R2739,データについて!$J$12:$M$18,7,FALSE),"*")</f>
        <v>#N/A</v>
      </c>
      <c r="AD2739" s="81" t="e">
        <f>IF(X2739=2,HLOOKUP(R2739,データについて!$J$12:$M$18,7,FALSE),"*")</f>
        <v>#N/A</v>
      </c>
    </row>
    <row r="2740" spans="19:30">
      <c r="S2740" s="81" t="e">
        <f>HLOOKUP(L2740,データについて!$J$6:$M$18,13,FALSE)</f>
        <v>#N/A</v>
      </c>
      <c r="T2740" s="81" t="e">
        <f>HLOOKUP(M2740,データについて!$J$7:$M$18,12,FALSE)</f>
        <v>#N/A</v>
      </c>
      <c r="U2740" s="81" t="e">
        <f>HLOOKUP(N2740,データについて!$J$8:$M$18,11,FALSE)</f>
        <v>#N/A</v>
      </c>
      <c r="V2740" s="81" t="e">
        <f>HLOOKUP(O2740,データについて!$J$9:$M$18,10,FALSE)</f>
        <v>#N/A</v>
      </c>
      <c r="W2740" s="81" t="e">
        <f>HLOOKUP(P2740,データについて!$J$10:$M$18,9,FALSE)</f>
        <v>#N/A</v>
      </c>
      <c r="X2740" s="81" t="e">
        <f>HLOOKUP(Q2740,データについて!$J$11:$M$18,8,FALSE)</f>
        <v>#N/A</v>
      </c>
      <c r="Y2740" s="81" t="e">
        <f>HLOOKUP(R2740,データについて!$J$12:$M$18,7,FALSE)</f>
        <v>#N/A</v>
      </c>
      <c r="Z2740" s="81" t="e">
        <f>HLOOKUP(I2740,データについて!$J$3:$M$18,16,FALSE)</f>
        <v>#N/A</v>
      </c>
      <c r="AA2740" s="81" t="str">
        <f>IFERROR(HLOOKUP(J2740,データについて!$J$4:$AH$19,16,FALSE),"")</f>
        <v/>
      </c>
      <c r="AB2740" s="81" t="str">
        <f>IFERROR(HLOOKUP(K2740,データについて!$J$5:$AH$20,14,FALSE),"")</f>
        <v/>
      </c>
      <c r="AC2740" s="81" t="e">
        <f>IF(X2740=1,HLOOKUP(R2740,データについて!$J$12:$M$18,7,FALSE),"*")</f>
        <v>#N/A</v>
      </c>
      <c r="AD2740" s="81" t="e">
        <f>IF(X2740=2,HLOOKUP(R2740,データについて!$J$12:$M$18,7,FALSE),"*")</f>
        <v>#N/A</v>
      </c>
    </row>
    <row r="2741" spans="19:30">
      <c r="S2741" s="81" t="e">
        <f>HLOOKUP(L2741,データについて!$J$6:$M$18,13,FALSE)</f>
        <v>#N/A</v>
      </c>
      <c r="T2741" s="81" t="e">
        <f>HLOOKUP(M2741,データについて!$J$7:$M$18,12,FALSE)</f>
        <v>#N/A</v>
      </c>
      <c r="U2741" s="81" t="e">
        <f>HLOOKUP(N2741,データについて!$J$8:$M$18,11,FALSE)</f>
        <v>#N/A</v>
      </c>
      <c r="V2741" s="81" t="e">
        <f>HLOOKUP(O2741,データについて!$J$9:$M$18,10,FALSE)</f>
        <v>#N/A</v>
      </c>
      <c r="W2741" s="81" t="e">
        <f>HLOOKUP(P2741,データについて!$J$10:$M$18,9,FALSE)</f>
        <v>#N/A</v>
      </c>
      <c r="X2741" s="81" t="e">
        <f>HLOOKUP(Q2741,データについて!$J$11:$M$18,8,FALSE)</f>
        <v>#N/A</v>
      </c>
      <c r="Y2741" s="81" t="e">
        <f>HLOOKUP(R2741,データについて!$J$12:$M$18,7,FALSE)</f>
        <v>#N/A</v>
      </c>
      <c r="Z2741" s="81" t="e">
        <f>HLOOKUP(I2741,データについて!$J$3:$M$18,16,FALSE)</f>
        <v>#N/A</v>
      </c>
      <c r="AA2741" s="81" t="str">
        <f>IFERROR(HLOOKUP(J2741,データについて!$J$4:$AH$19,16,FALSE),"")</f>
        <v/>
      </c>
      <c r="AB2741" s="81" t="str">
        <f>IFERROR(HLOOKUP(K2741,データについて!$J$5:$AH$20,14,FALSE),"")</f>
        <v/>
      </c>
      <c r="AC2741" s="81" t="e">
        <f>IF(X2741=1,HLOOKUP(R2741,データについて!$J$12:$M$18,7,FALSE),"*")</f>
        <v>#N/A</v>
      </c>
      <c r="AD2741" s="81" t="e">
        <f>IF(X2741=2,HLOOKUP(R2741,データについて!$J$12:$M$18,7,FALSE),"*")</f>
        <v>#N/A</v>
      </c>
    </row>
    <row r="2742" spans="19:30">
      <c r="S2742" s="81" t="e">
        <f>HLOOKUP(L2742,データについて!$J$6:$M$18,13,FALSE)</f>
        <v>#N/A</v>
      </c>
      <c r="T2742" s="81" t="e">
        <f>HLOOKUP(M2742,データについて!$J$7:$M$18,12,FALSE)</f>
        <v>#N/A</v>
      </c>
      <c r="U2742" s="81" t="e">
        <f>HLOOKUP(N2742,データについて!$J$8:$M$18,11,FALSE)</f>
        <v>#N/A</v>
      </c>
      <c r="V2742" s="81" t="e">
        <f>HLOOKUP(O2742,データについて!$J$9:$M$18,10,FALSE)</f>
        <v>#N/A</v>
      </c>
      <c r="W2742" s="81" t="e">
        <f>HLOOKUP(P2742,データについて!$J$10:$M$18,9,FALSE)</f>
        <v>#N/A</v>
      </c>
      <c r="X2742" s="81" t="e">
        <f>HLOOKUP(Q2742,データについて!$J$11:$M$18,8,FALSE)</f>
        <v>#N/A</v>
      </c>
      <c r="Y2742" s="81" t="e">
        <f>HLOOKUP(R2742,データについて!$J$12:$M$18,7,FALSE)</f>
        <v>#N/A</v>
      </c>
      <c r="Z2742" s="81" t="e">
        <f>HLOOKUP(I2742,データについて!$J$3:$M$18,16,FALSE)</f>
        <v>#N/A</v>
      </c>
      <c r="AA2742" s="81" t="str">
        <f>IFERROR(HLOOKUP(J2742,データについて!$J$4:$AH$19,16,FALSE),"")</f>
        <v/>
      </c>
      <c r="AB2742" s="81" t="str">
        <f>IFERROR(HLOOKUP(K2742,データについて!$J$5:$AH$20,14,FALSE),"")</f>
        <v/>
      </c>
      <c r="AC2742" s="81" t="e">
        <f>IF(X2742=1,HLOOKUP(R2742,データについて!$J$12:$M$18,7,FALSE),"*")</f>
        <v>#N/A</v>
      </c>
      <c r="AD2742" s="81" t="e">
        <f>IF(X2742=2,HLOOKUP(R2742,データについて!$J$12:$M$18,7,FALSE),"*")</f>
        <v>#N/A</v>
      </c>
    </row>
    <row r="2743" spans="19:30">
      <c r="S2743" s="81" t="e">
        <f>HLOOKUP(L2743,データについて!$J$6:$M$18,13,FALSE)</f>
        <v>#N/A</v>
      </c>
      <c r="T2743" s="81" t="e">
        <f>HLOOKUP(M2743,データについて!$J$7:$M$18,12,FALSE)</f>
        <v>#N/A</v>
      </c>
      <c r="U2743" s="81" t="e">
        <f>HLOOKUP(N2743,データについて!$J$8:$M$18,11,FALSE)</f>
        <v>#N/A</v>
      </c>
      <c r="V2743" s="81" t="e">
        <f>HLOOKUP(O2743,データについて!$J$9:$M$18,10,FALSE)</f>
        <v>#N/A</v>
      </c>
      <c r="W2743" s="81" t="e">
        <f>HLOOKUP(P2743,データについて!$J$10:$M$18,9,FALSE)</f>
        <v>#N/A</v>
      </c>
      <c r="X2743" s="81" t="e">
        <f>HLOOKUP(Q2743,データについて!$J$11:$M$18,8,FALSE)</f>
        <v>#N/A</v>
      </c>
      <c r="Y2743" s="81" t="e">
        <f>HLOOKUP(R2743,データについて!$J$12:$M$18,7,FALSE)</f>
        <v>#N/A</v>
      </c>
      <c r="Z2743" s="81" t="e">
        <f>HLOOKUP(I2743,データについて!$J$3:$M$18,16,FALSE)</f>
        <v>#N/A</v>
      </c>
      <c r="AA2743" s="81" t="str">
        <f>IFERROR(HLOOKUP(J2743,データについて!$J$4:$AH$19,16,FALSE),"")</f>
        <v/>
      </c>
      <c r="AB2743" s="81" t="str">
        <f>IFERROR(HLOOKUP(K2743,データについて!$J$5:$AH$20,14,FALSE),"")</f>
        <v/>
      </c>
      <c r="AC2743" s="81" t="e">
        <f>IF(X2743=1,HLOOKUP(R2743,データについて!$J$12:$M$18,7,FALSE),"*")</f>
        <v>#N/A</v>
      </c>
      <c r="AD2743" s="81" t="e">
        <f>IF(X2743=2,HLOOKUP(R2743,データについて!$J$12:$M$18,7,FALSE),"*")</f>
        <v>#N/A</v>
      </c>
    </row>
    <row r="2744" spans="19:30">
      <c r="S2744" s="81" t="e">
        <f>HLOOKUP(L2744,データについて!$J$6:$M$18,13,FALSE)</f>
        <v>#N/A</v>
      </c>
      <c r="T2744" s="81" t="e">
        <f>HLOOKUP(M2744,データについて!$J$7:$M$18,12,FALSE)</f>
        <v>#N/A</v>
      </c>
      <c r="U2744" s="81" t="e">
        <f>HLOOKUP(N2744,データについて!$J$8:$M$18,11,FALSE)</f>
        <v>#N/A</v>
      </c>
      <c r="V2744" s="81" t="e">
        <f>HLOOKUP(O2744,データについて!$J$9:$M$18,10,FALSE)</f>
        <v>#N/A</v>
      </c>
      <c r="W2744" s="81" t="e">
        <f>HLOOKUP(P2744,データについて!$J$10:$M$18,9,FALSE)</f>
        <v>#N/A</v>
      </c>
      <c r="X2744" s="81" t="e">
        <f>HLOOKUP(Q2744,データについて!$J$11:$M$18,8,FALSE)</f>
        <v>#N/A</v>
      </c>
      <c r="Y2744" s="81" t="e">
        <f>HLOOKUP(R2744,データについて!$J$12:$M$18,7,FALSE)</f>
        <v>#N/A</v>
      </c>
      <c r="Z2744" s="81" t="e">
        <f>HLOOKUP(I2744,データについて!$J$3:$M$18,16,FALSE)</f>
        <v>#N/A</v>
      </c>
      <c r="AA2744" s="81" t="str">
        <f>IFERROR(HLOOKUP(J2744,データについて!$J$4:$AH$19,16,FALSE),"")</f>
        <v/>
      </c>
      <c r="AB2744" s="81" t="str">
        <f>IFERROR(HLOOKUP(K2744,データについて!$J$5:$AH$20,14,FALSE),"")</f>
        <v/>
      </c>
      <c r="AC2744" s="81" t="e">
        <f>IF(X2744=1,HLOOKUP(R2744,データについて!$J$12:$M$18,7,FALSE),"*")</f>
        <v>#N/A</v>
      </c>
      <c r="AD2744" s="81" t="e">
        <f>IF(X2744=2,HLOOKUP(R2744,データについて!$J$12:$M$18,7,FALSE),"*")</f>
        <v>#N/A</v>
      </c>
    </row>
    <row r="2745" spans="19:30">
      <c r="S2745" s="81" t="e">
        <f>HLOOKUP(L2745,データについて!$J$6:$M$18,13,FALSE)</f>
        <v>#N/A</v>
      </c>
      <c r="T2745" s="81" t="e">
        <f>HLOOKUP(M2745,データについて!$J$7:$M$18,12,FALSE)</f>
        <v>#N/A</v>
      </c>
      <c r="U2745" s="81" t="e">
        <f>HLOOKUP(N2745,データについて!$J$8:$M$18,11,FALSE)</f>
        <v>#N/A</v>
      </c>
      <c r="V2745" s="81" t="e">
        <f>HLOOKUP(O2745,データについて!$J$9:$M$18,10,FALSE)</f>
        <v>#N/A</v>
      </c>
      <c r="W2745" s="81" t="e">
        <f>HLOOKUP(P2745,データについて!$J$10:$M$18,9,FALSE)</f>
        <v>#N/A</v>
      </c>
      <c r="X2745" s="81" t="e">
        <f>HLOOKUP(Q2745,データについて!$J$11:$M$18,8,FALSE)</f>
        <v>#N/A</v>
      </c>
      <c r="Y2745" s="81" t="e">
        <f>HLOOKUP(R2745,データについて!$J$12:$M$18,7,FALSE)</f>
        <v>#N/A</v>
      </c>
      <c r="Z2745" s="81" t="e">
        <f>HLOOKUP(I2745,データについて!$J$3:$M$18,16,FALSE)</f>
        <v>#N/A</v>
      </c>
      <c r="AA2745" s="81" t="str">
        <f>IFERROR(HLOOKUP(J2745,データについて!$J$4:$AH$19,16,FALSE),"")</f>
        <v/>
      </c>
      <c r="AB2745" s="81" t="str">
        <f>IFERROR(HLOOKUP(K2745,データについて!$J$5:$AH$20,14,FALSE),"")</f>
        <v/>
      </c>
      <c r="AC2745" s="81" t="e">
        <f>IF(X2745=1,HLOOKUP(R2745,データについて!$J$12:$M$18,7,FALSE),"*")</f>
        <v>#N/A</v>
      </c>
      <c r="AD2745" s="81" t="e">
        <f>IF(X2745=2,HLOOKUP(R2745,データについて!$J$12:$M$18,7,FALSE),"*")</f>
        <v>#N/A</v>
      </c>
    </row>
    <row r="2746" spans="19:30">
      <c r="S2746" s="81" t="e">
        <f>HLOOKUP(L2746,データについて!$J$6:$M$18,13,FALSE)</f>
        <v>#N/A</v>
      </c>
      <c r="T2746" s="81" t="e">
        <f>HLOOKUP(M2746,データについて!$J$7:$M$18,12,FALSE)</f>
        <v>#N/A</v>
      </c>
      <c r="U2746" s="81" t="e">
        <f>HLOOKUP(N2746,データについて!$J$8:$M$18,11,FALSE)</f>
        <v>#N/A</v>
      </c>
      <c r="V2746" s="81" t="e">
        <f>HLOOKUP(O2746,データについて!$J$9:$M$18,10,FALSE)</f>
        <v>#N/A</v>
      </c>
      <c r="W2746" s="81" t="e">
        <f>HLOOKUP(P2746,データについて!$J$10:$M$18,9,FALSE)</f>
        <v>#N/A</v>
      </c>
      <c r="X2746" s="81" t="e">
        <f>HLOOKUP(Q2746,データについて!$J$11:$M$18,8,FALSE)</f>
        <v>#N/A</v>
      </c>
      <c r="Y2746" s="81" t="e">
        <f>HLOOKUP(R2746,データについて!$J$12:$M$18,7,FALSE)</f>
        <v>#N/A</v>
      </c>
      <c r="Z2746" s="81" t="e">
        <f>HLOOKUP(I2746,データについて!$J$3:$M$18,16,FALSE)</f>
        <v>#N/A</v>
      </c>
      <c r="AA2746" s="81" t="str">
        <f>IFERROR(HLOOKUP(J2746,データについて!$J$4:$AH$19,16,FALSE),"")</f>
        <v/>
      </c>
      <c r="AB2746" s="81" t="str">
        <f>IFERROR(HLOOKUP(K2746,データについて!$J$5:$AH$20,14,FALSE),"")</f>
        <v/>
      </c>
      <c r="AC2746" s="81" t="e">
        <f>IF(X2746=1,HLOOKUP(R2746,データについて!$J$12:$M$18,7,FALSE),"*")</f>
        <v>#N/A</v>
      </c>
      <c r="AD2746" s="81" t="e">
        <f>IF(X2746=2,HLOOKUP(R2746,データについて!$J$12:$M$18,7,FALSE),"*")</f>
        <v>#N/A</v>
      </c>
    </row>
    <row r="2747" spans="19:30">
      <c r="S2747" s="81" t="e">
        <f>HLOOKUP(L2747,データについて!$J$6:$M$18,13,FALSE)</f>
        <v>#N/A</v>
      </c>
      <c r="T2747" s="81" t="e">
        <f>HLOOKUP(M2747,データについて!$J$7:$M$18,12,FALSE)</f>
        <v>#N/A</v>
      </c>
      <c r="U2747" s="81" t="e">
        <f>HLOOKUP(N2747,データについて!$J$8:$M$18,11,FALSE)</f>
        <v>#N/A</v>
      </c>
      <c r="V2747" s="81" t="e">
        <f>HLOOKUP(O2747,データについて!$J$9:$M$18,10,FALSE)</f>
        <v>#N/A</v>
      </c>
      <c r="W2747" s="81" t="e">
        <f>HLOOKUP(P2747,データについて!$J$10:$M$18,9,FALSE)</f>
        <v>#N/A</v>
      </c>
      <c r="X2747" s="81" t="e">
        <f>HLOOKUP(Q2747,データについて!$J$11:$M$18,8,FALSE)</f>
        <v>#N/A</v>
      </c>
      <c r="Y2747" s="81" t="e">
        <f>HLOOKUP(R2747,データについて!$J$12:$M$18,7,FALSE)</f>
        <v>#N/A</v>
      </c>
      <c r="Z2747" s="81" t="e">
        <f>HLOOKUP(I2747,データについて!$J$3:$M$18,16,FALSE)</f>
        <v>#N/A</v>
      </c>
      <c r="AA2747" s="81" t="str">
        <f>IFERROR(HLOOKUP(J2747,データについて!$J$4:$AH$19,16,FALSE),"")</f>
        <v/>
      </c>
      <c r="AB2747" s="81" t="str">
        <f>IFERROR(HLOOKUP(K2747,データについて!$J$5:$AH$20,14,FALSE),"")</f>
        <v/>
      </c>
      <c r="AC2747" s="81" t="e">
        <f>IF(X2747=1,HLOOKUP(R2747,データについて!$J$12:$M$18,7,FALSE),"*")</f>
        <v>#N/A</v>
      </c>
      <c r="AD2747" s="81" t="e">
        <f>IF(X2747=2,HLOOKUP(R2747,データについて!$J$12:$M$18,7,FALSE),"*")</f>
        <v>#N/A</v>
      </c>
    </row>
    <row r="2748" spans="19:30">
      <c r="S2748" s="81" t="e">
        <f>HLOOKUP(L2748,データについて!$J$6:$M$18,13,FALSE)</f>
        <v>#N/A</v>
      </c>
      <c r="T2748" s="81" t="e">
        <f>HLOOKUP(M2748,データについて!$J$7:$M$18,12,FALSE)</f>
        <v>#N/A</v>
      </c>
      <c r="U2748" s="81" t="e">
        <f>HLOOKUP(N2748,データについて!$J$8:$M$18,11,FALSE)</f>
        <v>#N/A</v>
      </c>
      <c r="V2748" s="81" t="e">
        <f>HLOOKUP(O2748,データについて!$J$9:$M$18,10,FALSE)</f>
        <v>#N/A</v>
      </c>
      <c r="W2748" s="81" t="e">
        <f>HLOOKUP(P2748,データについて!$J$10:$M$18,9,FALSE)</f>
        <v>#N/A</v>
      </c>
      <c r="X2748" s="81" t="e">
        <f>HLOOKUP(Q2748,データについて!$J$11:$M$18,8,FALSE)</f>
        <v>#N/A</v>
      </c>
      <c r="Y2748" s="81" t="e">
        <f>HLOOKUP(R2748,データについて!$J$12:$M$18,7,FALSE)</f>
        <v>#N/A</v>
      </c>
      <c r="Z2748" s="81" t="e">
        <f>HLOOKUP(I2748,データについて!$J$3:$M$18,16,FALSE)</f>
        <v>#N/A</v>
      </c>
      <c r="AA2748" s="81" t="str">
        <f>IFERROR(HLOOKUP(J2748,データについて!$J$4:$AH$19,16,FALSE),"")</f>
        <v/>
      </c>
      <c r="AB2748" s="81" t="str">
        <f>IFERROR(HLOOKUP(K2748,データについて!$J$5:$AH$20,14,FALSE),"")</f>
        <v/>
      </c>
      <c r="AC2748" s="81" t="e">
        <f>IF(X2748=1,HLOOKUP(R2748,データについて!$J$12:$M$18,7,FALSE),"*")</f>
        <v>#N/A</v>
      </c>
      <c r="AD2748" s="81" t="e">
        <f>IF(X2748=2,HLOOKUP(R2748,データについて!$J$12:$M$18,7,FALSE),"*")</f>
        <v>#N/A</v>
      </c>
    </row>
    <row r="2749" spans="19:30">
      <c r="S2749" s="81" t="e">
        <f>HLOOKUP(L2749,データについて!$J$6:$M$18,13,FALSE)</f>
        <v>#N/A</v>
      </c>
      <c r="T2749" s="81" t="e">
        <f>HLOOKUP(M2749,データについて!$J$7:$M$18,12,FALSE)</f>
        <v>#N/A</v>
      </c>
      <c r="U2749" s="81" t="e">
        <f>HLOOKUP(N2749,データについて!$J$8:$M$18,11,FALSE)</f>
        <v>#N/A</v>
      </c>
      <c r="V2749" s="81" t="e">
        <f>HLOOKUP(O2749,データについて!$J$9:$M$18,10,FALSE)</f>
        <v>#N/A</v>
      </c>
      <c r="W2749" s="81" t="e">
        <f>HLOOKUP(P2749,データについて!$J$10:$M$18,9,FALSE)</f>
        <v>#N/A</v>
      </c>
      <c r="X2749" s="81" t="e">
        <f>HLOOKUP(Q2749,データについて!$J$11:$M$18,8,FALSE)</f>
        <v>#N/A</v>
      </c>
      <c r="Y2749" s="81" t="e">
        <f>HLOOKUP(R2749,データについて!$J$12:$M$18,7,FALSE)</f>
        <v>#N/A</v>
      </c>
      <c r="Z2749" s="81" t="e">
        <f>HLOOKUP(I2749,データについて!$J$3:$M$18,16,FALSE)</f>
        <v>#N/A</v>
      </c>
      <c r="AA2749" s="81" t="str">
        <f>IFERROR(HLOOKUP(J2749,データについて!$J$4:$AH$19,16,FALSE),"")</f>
        <v/>
      </c>
      <c r="AB2749" s="81" t="str">
        <f>IFERROR(HLOOKUP(K2749,データについて!$J$5:$AH$20,14,FALSE),"")</f>
        <v/>
      </c>
      <c r="AC2749" s="81" t="e">
        <f>IF(X2749=1,HLOOKUP(R2749,データについて!$J$12:$M$18,7,FALSE),"*")</f>
        <v>#N/A</v>
      </c>
      <c r="AD2749" s="81" t="e">
        <f>IF(X2749=2,HLOOKUP(R2749,データについて!$J$12:$M$18,7,FALSE),"*")</f>
        <v>#N/A</v>
      </c>
    </row>
    <row r="2750" spans="19:30">
      <c r="S2750" s="81" t="e">
        <f>HLOOKUP(L2750,データについて!$J$6:$M$18,13,FALSE)</f>
        <v>#N/A</v>
      </c>
      <c r="T2750" s="81" t="e">
        <f>HLOOKUP(M2750,データについて!$J$7:$M$18,12,FALSE)</f>
        <v>#N/A</v>
      </c>
      <c r="U2750" s="81" t="e">
        <f>HLOOKUP(N2750,データについて!$J$8:$M$18,11,FALSE)</f>
        <v>#N/A</v>
      </c>
      <c r="V2750" s="81" t="e">
        <f>HLOOKUP(O2750,データについて!$J$9:$M$18,10,FALSE)</f>
        <v>#N/A</v>
      </c>
      <c r="W2750" s="81" t="e">
        <f>HLOOKUP(P2750,データについて!$J$10:$M$18,9,FALSE)</f>
        <v>#N/A</v>
      </c>
      <c r="X2750" s="81" t="e">
        <f>HLOOKUP(Q2750,データについて!$J$11:$M$18,8,FALSE)</f>
        <v>#N/A</v>
      </c>
      <c r="Y2750" s="81" t="e">
        <f>HLOOKUP(R2750,データについて!$J$12:$M$18,7,FALSE)</f>
        <v>#N/A</v>
      </c>
      <c r="Z2750" s="81" t="e">
        <f>HLOOKUP(I2750,データについて!$J$3:$M$18,16,FALSE)</f>
        <v>#N/A</v>
      </c>
      <c r="AA2750" s="81" t="str">
        <f>IFERROR(HLOOKUP(J2750,データについて!$J$4:$AH$19,16,FALSE),"")</f>
        <v/>
      </c>
      <c r="AB2750" s="81" t="str">
        <f>IFERROR(HLOOKUP(K2750,データについて!$J$5:$AH$20,14,FALSE),"")</f>
        <v/>
      </c>
      <c r="AC2750" s="81" t="e">
        <f>IF(X2750=1,HLOOKUP(R2750,データについて!$J$12:$M$18,7,FALSE),"*")</f>
        <v>#N/A</v>
      </c>
      <c r="AD2750" s="81" t="e">
        <f>IF(X2750=2,HLOOKUP(R2750,データについて!$J$12:$M$18,7,FALSE),"*")</f>
        <v>#N/A</v>
      </c>
    </row>
    <row r="2751" spans="19:30">
      <c r="S2751" s="81" t="e">
        <f>HLOOKUP(L2751,データについて!$J$6:$M$18,13,FALSE)</f>
        <v>#N/A</v>
      </c>
      <c r="T2751" s="81" t="e">
        <f>HLOOKUP(M2751,データについて!$J$7:$M$18,12,FALSE)</f>
        <v>#N/A</v>
      </c>
      <c r="U2751" s="81" t="e">
        <f>HLOOKUP(N2751,データについて!$J$8:$M$18,11,FALSE)</f>
        <v>#N/A</v>
      </c>
      <c r="V2751" s="81" t="e">
        <f>HLOOKUP(O2751,データについて!$J$9:$M$18,10,FALSE)</f>
        <v>#N/A</v>
      </c>
      <c r="W2751" s="81" t="e">
        <f>HLOOKUP(P2751,データについて!$J$10:$M$18,9,FALSE)</f>
        <v>#N/A</v>
      </c>
      <c r="X2751" s="81" t="e">
        <f>HLOOKUP(Q2751,データについて!$J$11:$M$18,8,FALSE)</f>
        <v>#N/A</v>
      </c>
      <c r="Y2751" s="81" t="e">
        <f>HLOOKUP(R2751,データについて!$J$12:$M$18,7,FALSE)</f>
        <v>#N/A</v>
      </c>
      <c r="Z2751" s="81" t="e">
        <f>HLOOKUP(I2751,データについて!$J$3:$M$18,16,FALSE)</f>
        <v>#N/A</v>
      </c>
      <c r="AA2751" s="81" t="str">
        <f>IFERROR(HLOOKUP(J2751,データについて!$J$4:$AH$19,16,FALSE),"")</f>
        <v/>
      </c>
      <c r="AB2751" s="81" t="str">
        <f>IFERROR(HLOOKUP(K2751,データについて!$J$5:$AH$20,14,FALSE),"")</f>
        <v/>
      </c>
      <c r="AC2751" s="81" t="e">
        <f>IF(X2751=1,HLOOKUP(R2751,データについて!$J$12:$M$18,7,FALSE),"*")</f>
        <v>#N/A</v>
      </c>
      <c r="AD2751" s="81" t="e">
        <f>IF(X2751=2,HLOOKUP(R2751,データについて!$J$12:$M$18,7,FALSE),"*")</f>
        <v>#N/A</v>
      </c>
    </row>
    <row r="2752" spans="19:30">
      <c r="S2752" s="81" t="e">
        <f>HLOOKUP(L2752,データについて!$J$6:$M$18,13,FALSE)</f>
        <v>#N/A</v>
      </c>
      <c r="T2752" s="81" t="e">
        <f>HLOOKUP(M2752,データについて!$J$7:$M$18,12,FALSE)</f>
        <v>#N/A</v>
      </c>
      <c r="U2752" s="81" t="e">
        <f>HLOOKUP(N2752,データについて!$J$8:$M$18,11,FALSE)</f>
        <v>#N/A</v>
      </c>
      <c r="V2752" s="81" t="e">
        <f>HLOOKUP(O2752,データについて!$J$9:$M$18,10,FALSE)</f>
        <v>#N/A</v>
      </c>
      <c r="W2752" s="81" t="e">
        <f>HLOOKUP(P2752,データについて!$J$10:$M$18,9,FALSE)</f>
        <v>#N/A</v>
      </c>
      <c r="X2752" s="81" t="e">
        <f>HLOOKUP(Q2752,データについて!$J$11:$M$18,8,FALSE)</f>
        <v>#N/A</v>
      </c>
      <c r="Y2752" s="81" t="e">
        <f>HLOOKUP(R2752,データについて!$J$12:$M$18,7,FALSE)</f>
        <v>#N/A</v>
      </c>
      <c r="Z2752" s="81" t="e">
        <f>HLOOKUP(I2752,データについて!$J$3:$M$18,16,FALSE)</f>
        <v>#N/A</v>
      </c>
      <c r="AA2752" s="81" t="str">
        <f>IFERROR(HLOOKUP(J2752,データについて!$J$4:$AH$19,16,FALSE),"")</f>
        <v/>
      </c>
      <c r="AB2752" s="81" t="str">
        <f>IFERROR(HLOOKUP(K2752,データについて!$J$5:$AH$20,14,FALSE),"")</f>
        <v/>
      </c>
      <c r="AC2752" s="81" t="e">
        <f>IF(X2752=1,HLOOKUP(R2752,データについて!$J$12:$M$18,7,FALSE),"*")</f>
        <v>#N/A</v>
      </c>
      <c r="AD2752" s="81" t="e">
        <f>IF(X2752=2,HLOOKUP(R2752,データについて!$J$12:$M$18,7,FALSE),"*")</f>
        <v>#N/A</v>
      </c>
    </row>
    <row r="2753" spans="19:30">
      <c r="S2753" s="81" t="e">
        <f>HLOOKUP(L2753,データについて!$J$6:$M$18,13,FALSE)</f>
        <v>#N/A</v>
      </c>
      <c r="T2753" s="81" t="e">
        <f>HLOOKUP(M2753,データについて!$J$7:$M$18,12,FALSE)</f>
        <v>#N/A</v>
      </c>
      <c r="U2753" s="81" t="e">
        <f>HLOOKUP(N2753,データについて!$J$8:$M$18,11,FALSE)</f>
        <v>#N/A</v>
      </c>
      <c r="V2753" s="81" t="e">
        <f>HLOOKUP(O2753,データについて!$J$9:$M$18,10,FALSE)</f>
        <v>#N/A</v>
      </c>
      <c r="W2753" s="81" t="e">
        <f>HLOOKUP(P2753,データについて!$J$10:$M$18,9,FALSE)</f>
        <v>#N/A</v>
      </c>
      <c r="X2753" s="81" t="e">
        <f>HLOOKUP(Q2753,データについて!$J$11:$M$18,8,FALSE)</f>
        <v>#N/A</v>
      </c>
      <c r="Y2753" s="81" t="e">
        <f>HLOOKUP(R2753,データについて!$J$12:$M$18,7,FALSE)</f>
        <v>#N/A</v>
      </c>
      <c r="Z2753" s="81" t="e">
        <f>HLOOKUP(I2753,データについて!$J$3:$M$18,16,FALSE)</f>
        <v>#N/A</v>
      </c>
      <c r="AA2753" s="81" t="str">
        <f>IFERROR(HLOOKUP(J2753,データについて!$J$4:$AH$19,16,FALSE),"")</f>
        <v/>
      </c>
      <c r="AB2753" s="81" t="str">
        <f>IFERROR(HLOOKUP(K2753,データについて!$J$5:$AH$20,14,FALSE),"")</f>
        <v/>
      </c>
      <c r="AC2753" s="81" t="e">
        <f>IF(X2753=1,HLOOKUP(R2753,データについて!$J$12:$M$18,7,FALSE),"*")</f>
        <v>#N/A</v>
      </c>
      <c r="AD2753" s="81" t="e">
        <f>IF(X2753=2,HLOOKUP(R2753,データについて!$J$12:$M$18,7,FALSE),"*")</f>
        <v>#N/A</v>
      </c>
    </row>
    <row r="2754" spans="19:30">
      <c r="S2754" s="81" t="e">
        <f>HLOOKUP(L2754,データについて!$J$6:$M$18,13,FALSE)</f>
        <v>#N/A</v>
      </c>
      <c r="T2754" s="81" t="e">
        <f>HLOOKUP(M2754,データについて!$J$7:$M$18,12,FALSE)</f>
        <v>#N/A</v>
      </c>
      <c r="U2754" s="81" t="e">
        <f>HLOOKUP(N2754,データについて!$J$8:$M$18,11,FALSE)</f>
        <v>#N/A</v>
      </c>
      <c r="V2754" s="81" t="e">
        <f>HLOOKUP(O2754,データについて!$J$9:$M$18,10,FALSE)</f>
        <v>#N/A</v>
      </c>
      <c r="W2754" s="81" t="e">
        <f>HLOOKUP(P2754,データについて!$J$10:$M$18,9,FALSE)</f>
        <v>#N/A</v>
      </c>
      <c r="X2754" s="81" t="e">
        <f>HLOOKUP(Q2754,データについて!$J$11:$M$18,8,FALSE)</f>
        <v>#N/A</v>
      </c>
      <c r="Y2754" s="81" t="e">
        <f>HLOOKUP(R2754,データについて!$J$12:$M$18,7,FALSE)</f>
        <v>#N/A</v>
      </c>
      <c r="Z2754" s="81" t="e">
        <f>HLOOKUP(I2754,データについて!$J$3:$M$18,16,FALSE)</f>
        <v>#N/A</v>
      </c>
      <c r="AA2754" s="81" t="str">
        <f>IFERROR(HLOOKUP(J2754,データについて!$J$4:$AH$19,16,FALSE),"")</f>
        <v/>
      </c>
      <c r="AB2754" s="81" t="str">
        <f>IFERROR(HLOOKUP(K2754,データについて!$J$5:$AH$20,14,FALSE),"")</f>
        <v/>
      </c>
      <c r="AC2754" s="81" t="e">
        <f>IF(X2754=1,HLOOKUP(R2754,データについて!$J$12:$M$18,7,FALSE),"*")</f>
        <v>#N/A</v>
      </c>
      <c r="AD2754" s="81" t="e">
        <f>IF(X2754=2,HLOOKUP(R2754,データについて!$J$12:$M$18,7,FALSE),"*")</f>
        <v>#N/A</v>
      </c>
    </row>
    <row r="2755" spans="19:30">
      <c r="S2755" s="81" t="e">
        <f>HLOOKUP(L2755,データについて!$J$6:$M$18,13,FALSE)</f>
        <v>#N/A</v>
      </c>
      <c r="T2755" s="81" t="e">
        <f>HLOOKUP(M2755,データについて!$J$7:$M$18,12,FALSE)</f>
        <v>#N/A</v>
      </c>
      <c r="U2755" s="81" t="e">
        <f>HLOOKUP(N2755,データについて!$J$8:$M$18,11,FALSE)</f>
        <v>#N/A</v>
      </c>
      <c r="V2755" s="81" t="e">
        <f>HLOOKUP(O2755,データについて!$J$9:$M$18,10,FALSE)</f>
        <v>#N/A</v>
      </c>
      <c r="W2755" s="81" t="e">
        <f>HLOOKUP(P2755,データについて!$J$10:$M$18,9,FALSE)</f>
        <v>#N/A</v>
      </c>
      <c r="X2755" s="81" t="e">
        <f>HLOOKUP(Q2755,データについて!$J$11:$M$18,8,FALSE)</f>
        <v>#N/A</v>
      </c>
      <c r="Y2755" s="81" t="e">
        <f>HLOOKUP(R2755,データについて!$J$12:$M$18,7,FALSE)</f>
        <v>#N/A</v>
      </c>
      <c r="Z2755" s="81" t="e">
        <f>HLOOKUP(I2755,データについて!$J$3:$M$18,16,FALSE)</f>
        <v>#N/A</v>
      </c>
      <c r="AA2755" s="81" t="str">
        <f>IFERROR(HLOOKUP(J2755,データについて!$J$4:$AH$19,16,FALSE),"")</f>
        <v/>
      </c>
      <c r="AB2755" s="81" t="str">
        <f>IFERROR(HLOOKUP(K2755,データについて!$J$5:$AH$20,14,FALSE),"")</f>
        <v/>
      </c>
      <c r="AC2755" s="81" t="e">
        <f>IF(X2755=1,HLOOKUP(R2755,データについて!$J$12:$M$18,7,FALSE),"*")</f>
        <v>#N/A</v>
      </c>
      <c r="AD2755" s="81" t="e">
        <f>IF(X2755=2,HLOOKUP(R2755,データについて!$J$12:$M$18,7,FALSE),"*")</f>
        <v>#N/A</v>
      </c>
    </row>
    <row r="2756" spans="19:30">
      <c r="S2756" s="81" t="e">
        <f>HLOOKUP(L2756,データについて!$J$6:$M$18,13,FALSE)</f>
        <v>#N/A</v>
      </c>
      <c r="T2756" s="81" t="e">
        <f>HLOOKUP(M2756,データについて!$J$7:$M$18,12,FALSE)</f>
        <v>#N/A</v>
      </c>
      <c r="U2756" s="81" t="e">
        <f>HLOOKUP(N2756,データについて!$J$8:$M$18,11,FALSE)</f>
        <v>#N/A</v>
      </c>
      <c r="V2756" s="81" t="e">
        <f>HLOOKUP(O2756,データについて!$J$9:$M$18,10,FALSE)</f>
        <v>#N/A</v>
      </c>
      <c r="W2756" s="81" t="e">
        <f>HLOOKUP(P2756,データについて!$J$10:$M$18,9,FALSE)</f>
        <v>#N/A</v>
      </c>
      <c r="X2756" s="81" t="e">
        <f>HLOOKUP(Q2756,データについて!$J$11:$M$18,8,FALSE)</f>
        <v>#N/A</v>
      </c>
      <c r="Y2756" s="81" t="e">
        <f>HLOOKUP(R2756,データについて!$J$12:$M$18,7,FALSE)</f>
        <v>#N/A</v>
      </c>
      <c r="Z2756" s="81" t="e">
        <f>HLOOKUP(I2756,データについて!$J$3:$M$18,16,FALSE)</f>
        <v>#N/A</v>
      </c>
      <c r="AA2756" s="81" t="str">
        <f>IFERROR(HLOOKUP(J2756,データについて!$J$4:$AH$19,16,FALSE),"")</f>
        <v/>
      </c>
      <c r="AB2756" s="81" t="str">
        <f>IFERROR(HLOOKUP(K2756,データについて!$J$5:$AH$20,14,FALSE),"")</f>
        <v/>
      </c>
      <c r="AC2756" s="81" t="e">
        <f>IF(X2756=1,HLOOKUP(R2756,データについて!$J$12:$M$18,7,FALSE),"*")</f>
        <v>#N/A</v>
      </c>
      <c r="AD2756" s="81" t="e">
        <f>IF(X2756=2,HLOOKUP(R2756,データについて!$J$12:$M$18,7,FALSE),"*")</f>
        <v>#N/A</v>
      </c>
    </row>
    <row r="2757" spans="19:30">
      <c r="S2757" s="81" t="e">
        <f>HLOOKUP(L2757,データについて!$J$6:$M$18,13,FALSE)</f>
        <v>#N/A</v>
      </c>
      <c r="T2757" s="81" t="e">
        <f>HLOOKUP(M2757,データについて!$J$7:$M$18,12,FALSE)</f>
        <v>#N/A</v>
      </c>
      <c r="U2757" s="81" t="e">
        <f>HLOOKUP(N2757,データについて!$J$8:$M$18,11,FALSE)</f>
        <v>#N/A</v>
      </c>
      <c r="V2757" s="81" t="e">
        <f>HLOOKUP(O2757,データについて!$J$9:$M$18,10,FALSE)</f>
        <v>#N/A</v>
      </c>
      <c r="W2757" s="81" t="e">
        <f>HLOOKUP(P2757,データについて!$J$10:$M$18,9,FALSE)</f>
        <v>#N/A</v>
      </c>
      <c r="X2757" s="81" t="e">
        <f>HLOOKUP(Q2757,データについて!$J$11:$M$18,8,FALSE)</f>
        <v>#N/A</v>
      </c>
      <c r="Y2757" s="81" t="e">
        <f>HLOOKUP(R2757,データについて!$J$12:$M$18,7,FALSE)</f>
        <v>#N/A</v>
      </c>
      <c r="Z2757" s="81" t="e">
        <f>HLOOKUP(I2757,データについて!$J$3:$M$18,16,FALSE)</f>
        <v>#N/A</v>
      </c>
      <c r="AA2757" s="81" t="str">
        <f>IFERROR(HLOOKUP(J2757,データについて!$J$4:$AH$19,16,FALSE),"")</f>
        <v/>
      </c>
      <c r="AB2757" s="81" t="str">
        <f>IFERROR(HLOOKUP(K2757,データについて!$J$5:$AH$20,14,FALSE),"")</f>
        <v/>
      </c>
      <c r="AC2757" s="81" t="e">
        <f>IF(X2757=1,HLOOKUP(R2757,データについて!$J$12:$M$18,7,FALSE),"*")</f>
        <v>#N/A</v>
      </c>
      <c r="AD2757" s="81" t="e">
        <f>IF(X2757=2,HLOOKUP(R2757,データについて!$J$12:$M$18,7,FALSE),"*")</f>
        <v>#N/A</v>
      </c>
    </row>
    <row r="2758" spans="19:30">
      <c r="S2758" s="81" t="e">
        <f>HLOOKUP(L2758,データについて!$J$6:$M$18,13,FALSE)</f>
        <v>#N/A</v>
      </c>
      <c r="T2758" s="81" t="e">
        <f>HLOOKUP(M2758,データについて!$J$7:$M$18,12,FALSE)</f>
        <v>#N/A</v>
      </c>
      <c r="U2758" s="81" t="e">
        <f>HLOOKUP(N2758,データについて!$J$8:$M$18,11,FALSE)</f>
        <v>#N/A</v>
      </c>
      <c r="V2758" s="81" t="e">
        <f>HLOOKUP(O2758,データについて!$J$9:$M$18,10,FALSE)</f>
        <v>#N/A</v>
      </c>
      <c r="W2758" s="81" t="e">
        <f>HLOOKUP(P2758,データについて!$J$10:$M$18,9,FALSE)</f>
        <v>#N/A</v>
      </c>
      <c r="X2758" s="81" t="e">
        <f>HLOOKUP(Q2758,データについて!$J$11:$M$18,8,FALSE)</f>
        <v>#N/A</v>
      </c>
      <c r="Y2758" s="81" t="e">
        <f>HLOOKUP(R2758,データについて!$J$12:$M$18,7,FALSE)</f>
        <v>#N/A</v>
      </c>
      <c r="Z2758" s="81" t="e">
        <f>HLOOKUP(I2758,データについて!$J$3:$M$18,16,FALSE)</f>
        <v>#N/A</v>
      </c>
      <c r="AA2758" s="81" t="str">
        <f>IFERROR(HLOOKUP(J2758,データについて!$J$4:$AH$19,16,FALSE),"")</f>
        <v/>
      </c>
      <c r="AB2758" s="81" t="str">
        <f>IFERROR(HLOOKUP(K2758,データについて!$J$5:$AH$20,14,FALSE),"")</f>
        <v/>
      </c>
      <c r="AC2758" s="81" t="e">
        <f>IF(X2758=1,HLOOKUP(R2758,データについて!$J$12:$M$18,7,FALSE),"*")</f>
        <v>#N/A</v>
      </c>
      <c r="AD2758" s="81" t="e">
        <f>IF(X2758=2,HLOOKUP(R2758,データについて!$J$12:$M$18,7,FALSE),"*")</f>
        <v>#N/A</v>
      </c>
    </row>
    <row r="2759" spans="19:30">
      <c r="S2759" s="81" t="e">
        <f>HLOOKUP(L2759,データについて!$J$6:$M$18,13,FALSE)</f>
        <v>#N/A</v>
      </c>
      <c r="T2759" s="81" t="e">
        <f>HLOOKUP(M2759,データについて!$J$7:$M$18,12,FALSE)</f>
        <v>#N/A</v>
      </c>
      <c r="U2759" s="81" t="e">
        <f>HLOOKUP(N2759,データについて!$J$8:$M$18,11,FALSE)</f>
        <v>#N/A</v>
      </c>
      <c r="V2759" s="81" t="e">
        <f>HLOOKUP(O2759,データについて!$J$9:$M$18,10,FALSE)</f>
        <v>#N/A</v>
      </c>
      <c r="W2759" s="81" t="e">
        <f>HLOOKUP(P2759,データについて!$J$10:$M$18,9,FALSE)</f>
        <v>#N/A</v>
      </c>
      <c r="X2759" s="81" t="e">
        <f>HLOOKUP(Q2759,データについて!$J$11:$M$18,8,FALSE)</f>
        <v>#N/A</v>
      </c>
      <c r="Y2759" s="81" t="e">
        <f>HLOOKUP(R2759,データについて!$J$12:$M$18,7,FALSE)</f>
        <v>#N/A</v>
      </c>
      <c r="Z2759" s="81" t="e">
        <f>HLOOKUP(I2759,データについて!$J$3:$M$18,16,FALSE)</f>
        <v>#N/A</v>
      </c>
      <c r="AA2759" s="81" t="str">
        <f>IFERROR(HLOOKUP(J2759,データについて!$J$4:$AH$19,16,FALSE),"")</f>
        <v/>
      </c>
      <c r="AB2759" s="81" t="str">
        <f>IFERROR(HLOOKUP(K2759,データについて!$J$5:$AH$20,14,FALSE),"")</f>
        <v/>
      </c>
      <c r="AC2759" s="81" t="e">
        <f>IF(X2759=1,HLOOKUP(R2759,データについて!$J$12:$M$18,7,FALSE),"*")</f>
        <v>#N/A</v>
      </c>
      <c r="AD2759" s="81" t="e">
        <f>IF(X2759=2,HLOOKUP(R2759,データについて!$J$12:$M$18,7,FALSE),"*")</f>
        <v>#N/A</v>
      </c>
    </row>
    <row r="2760" spans="19:30">
      <c r="S2760" s="81" t="e">
        <f>HLOOKUP(L2760,データについて!$J$6:$M$18,13,FALSE)</f>
        <v>#N/A</v>
      </c>
      <c r="T2760" s="81" t="e">
        <f>HLOOKUP(M2760,データについて!$J$7:$M$18,12,FALSE)</f>
        <v>#N/A</v>
      </c>
      <c r="U2760" s="81" t="e">
        <f>HLOOKUP(N2760,データについて!$J$8:$M$18,11,FALSE)</f>
        <v>#N/A</v>
      </c>
      <c r="V2760" s="81" t="e">
        <f>HLOOKUP(O2760,データについて!$J$9:$M$18,10,FALSE)</f>
        <v>#N/A</v>
      </c>
      <c r="W2760" s="81" t="e">
        <f>HLOOKUP(P2760,データについて!$J$10:$M$18,9,FALSE)</f>
        <v>#N/A</v>
      </c>
      <c r="X2760" s="81" t="e">
        <f>HLOOKUP(Q2760,データについて!$J$11:$M$18,8,FALSE)</f>
        <v>#N/A</v>
      </c>
      <c r="Y2760" s="81" t="e">
        <f>HLOOKUP(R2760,データについて!$J$12:$M$18,7,FALSE)</f>
        <v>#N/A</v>
      </c>
      <c r="Z2760" s="81" t="e">
        <f>HLOOKUP(I2760,データについて!$J$3:$M$18,16,FALSE)</f>
        <v>#N/A</v>
      </c>
      <c r="AA2760" s="81" t="str">
        <f>IFERROR(HLOOKUP(J2760,データについて!$J$4:$AH$19,16,FALSE),"")</f>
        <v/>
      </c>
      <c r="AB2760" s="81" t="str">
        <f>IFERROR(HLOOKUP(K2760,データについて!$J$5:$AH$20,14,FALSE),"")</f>
        <v/>
      </c>
      <c r="AC2760" s="81" t="e">
        <f>IF(X2760=1,HLOOKUP(R2760,データについて!$J$12:$M$18,7,FALSE),"*")</f>
        <v>#N/A</v>
      </c>
      <c r="AD2760" s="81" t="e">
        <f>IF(X2760=2,HLOOKUP(R2760,データについて!$J$12:$M$18,7,FALSE),"*")</f>
        <v>#N/A</v>
      </c>
    </row>
    <row r="2761" spans="19:30">
      <c r="S2761" s="81" t="e">
        <f>HLOOKUP(L2761,データについて!$J$6:$M$18,13,FALSE)</f>
        <v>#N/A</v>
      </c>
      <c r="T2761" s="81" t="e">
        <f>HLOOKUP(M2761,データについて!$J$7:$M$18,12,FALSE)</f>
        <v>#N/A</v>
      </c>
      <c r="U2761" s="81" t="e">
        <f>HLOOKUP(N2761,データについて!$J$8:$M$18,11,FALSE)</f>
        <v>#N/A</v>
      </c>
      <c r="V2761" s="81" t="e">
        <f>HLOOKUP(O2761,データについて!$J$9:$M$18,10,FALSE)</f>
        <v>#N/A</v>
      </c>
      <c r="W2761" s="81" t="e">
        <f>HLOOKUP(P2761,データについて!$J$10:$M$18,9,FALSE)</f>
        <v>#N/A</v>
      </c>
      <c r="X2761" s="81" t="e">
        <f>HLOOKUP(Q2761,データについて!$J$11:$M$18,8,FALSE)</f>
        <v>#N/A</v>
      </c>
      <c r="Y2761" s="81" t="e">
        <f>HLOOKUP(R2761,データについて!$J$12:$M$18,7,FALSE)</f>
        <v>#N/A</v>
      </c>
      <c r="Z2761" s="81" t="e">
        <f>HLOOKUP(I2761,データについて!$J$3:$M$18,16,FALSE)</f>
        <v>#N/A</v>
      </c>
      <c r="AA2761" s="81" t="str">
        <f>IFERROR(HLOOKUP(J2761,データについて!$J$4:$AH$19,16,FALSE),"")</f>
        <v/>
      </c>
      <c r="AB2761" s="81" t="str">
        <f>IFERROR(HLOOKUP(K2761,データについて!$J$5:$AH$20,14,FALSE),"")</f>
        <v/>
      </c>
      <c r="AC2761" s="81" t="e">
        <f>IF(X2761=1,HLOOKUP(R2761,データについて!$J$12:$M$18,7,FALSE),"*")</f>
        <v>#N/A</v>
      </c>
      <c r="AD2761" s="81" t="e">
        <f>IF(X2761=2,HLOOKUP(R2761,データについて!$J$12:$M$18,7,FALSE),"*")</f>
        <v>#N/A</v>
      </c>
    </row>
    <row r="2762" spans="19:30">
      <c r="S2762" s="81" t="e">
        <f>HLOOKUP(L2762,データについて!$J$6:$M$18,13,FALSE)</f>
        <v>#N/A</v>
      </c>
      <c r="T2762" s="81" t="e">
        <f>HLOOKUP(M2762,データについて!$J$7:$M$18,12,FALSE)</f>
        <v>#N/A</v>
      </c>
      <c r="U2762" s="81" t="e">
        <f>HLOOKUP(N2762,データについて!$J$8:$M$18,11,FALSE)</f>
        <v>#N/A</v>
      </c>
      <c r="V2762" s="81" t="e">
        <f>HLOOKUP(O2762,データについて!$J$9:$M$18,10,FALSE)</f>
        <v>#N/A</v>
      </c>
      <c r="W2762" s="81" t="e">
        <f>HLOOKUP(P2762,データについて!$J$10:$M$18,9,FALSE)</f>
        <v>#N/A</v>
      </c>
      <c r="X2762" s="81" t="e">
        <f>HLOOKUP(Q2762,データについて!$J$11:$M$18,8,FALSE)</f>
        <v>#N/A</v>
      </c>
      <c r="Y2762" s="81" t="e">
        <f>HLOOKUP(R2762,データについて!$J$12:$M$18,7,FALSE)</f>
        <v>#N/A</v>
      </c>
      <c r="Z2762" s="81" t="e">
        <f>HLOOKUP(I2762,データについて!$J$3:$M$18,16,FALSE)</f>
        <v>#N/A</v>
      </c>
      <c r="AA2762" s="81" t="str">
        <f>IFERROR(HLOOKUP(J2762,データについて!$J$4:$AH$19,16,FALSE),"")</f>
        <v/>
      </c>
      <c r="AB2762" s="81" t="str">
        <f>IFERROR(HLOOKUP(K2762,データについて!$J$5:$AH$20,14,FALSE),"")</f>
        <v/>
      </c>
      <c r="AC2762" s="81" t="e">
        <f>IF(X2762=1,HLOOKUP(R2762,データについて!$J$12:$M$18,7,FALSE),"*")</f>
        <v>#N/A</v>
      </c>
      <c r="AD2762" s="81" t="e">
        <f>IF(X2762=2,HLOOKUP(R2762,データについて!$J$12:$M$18,7,FALSE),"*")</f>
        <v>#N/A</v>
      </c>
    </row>
    <row r="2763" spans="19:30">
      <c r="S2763" s="81" t="e">
        <f>HLOOKUP(L2763,データについて!$J$6:$M$18,13,FALSE)</f>
        <v>#N/A</v>
      </c>
      <c r="T2763" s="81" t="e">
        <f>HLOOKUP(M2763,データについて!$J$7:$M$18,12,FALSE)</f>
        <v>#N/A</v>
      </c>
      <c r="U2763" s="81" t="e">
        <f>HLOOKUP(N2763,データについて!$J$8:$M$18,11,FALSE)</f>
        <v>#N/A</v>
      </c>
      <c r="V2763" s="81" t="e">
        <f>HLOOKUP(O2763,データについて!$J$9:$M$18,10,FALSE)</f>
        <v>#N/A</v>
      </c>
      <c r="W2763" s="81" t="e">
        <f>HLOOKUP(P2763,データについて!$J$10:$M$18,9,FALSE)</f>
        <v>#N/A</v>
      </c>
      <c r="X2763" s="81" t="e">
        <f>HLOOKUP(Q2763,データについて!$J$11:$M$18,8,FALSE)</f>
        <v>#N/A</v>
      </c>
      <c r="Y2763" s="81" t="e">
        <f>HLOOKUP(R2763,データについて!$J$12:$M$18,7,FALSE)</f>
        <v>#N/A</v>
      </c>
      <c r="Z2763" s="81" t="e">
        <f>HLOOKUP(I2763,データについて!$J$3:$M$18,16,FALSE)</f>
        <v>#N/A</v>
      </c>
      <c r="AA2763" s="81" t="str">
        <f>IFERROR(HLOOKUP(J2763,データについて!$J$4:$AH$19,16,FALSE),"")</f>
        <v/>
      </c>
      <c r="AB2763" s="81" t="str">
        <f>IFERROR(HLOOKUP(K2763,データについて!$J$5:$AH$20,14,FALSE),"")</f>
        <v/>
      </c>
      <c r="AC2763" s="81" t="e">
        <f>IF(X2763=1,HLOOKUP(R2763,データについて!$J$12:$M$18,7,FALSE),"*")</f>
        <v>#N/A</v>
      </c>
      <c r="AD2763" s="81" t="e">
        <f>IF(X2763=2,HLOOKUP(R2763,データについて!$J$12:$M$18,7,FALSE),"*")</f>
        <v>#N/A</v>
      </c>
    </row>
    <row r="2764" spans="19:30">
      <c r="S2764" s="81" t="e">
        <f>HLOOKUP(L2764,データについて!$J$6:$M$18,13,FALSE)</f>
        <v>#N/A</v>
      </c>
      <c r="T2764" s="81" t="e">
        <f>HLOOKUP(M2764,データについて!$J$7:$M$18,12,FALSE)</f>
        <v>#N/A</v>
      </c>
      <c r="U2764" s="81" t="e">
        <f>HLOOKUP(N2764,データについて!$J$8:$M$18,11,FALSE)</f>
        <v>#N/A</v>
      </c>
      <c r="V2764" s="81" t="e">
        <f>HLOOKUP(O2764,データについて!$J$9:$M$18,10,FALSE)</f>
        <v>#N/A</v>
      </c>
      <c r="W2764" s="81" t="e">
        <f>HLOOKUP(P2764,データについて!$J$10:$M$18,9,FALSE)</f>
        <v>#N/A</v>
      </c>
      <c r="X2764" s="81" t="e">
        <f>HLOOKUP(Q2764,データについて!$J$11:$M$18,8,FALSE)</f>
        <v>#N/A</v>
      </c>
      <c r="Y2764" s="81" t="e">
        <f>HLOOKUP(R2764,データについて!$J$12:$M$18,7,FALSE)</f>
        <v>#N/A</v>
      </c>
      <c r="Z2764" s="81" t="e">
        <f>HLOOKUP(I2764,データについて!$J$3:$M$18,16,FALSE)</f>
        <v>#N/A</v>
      </c>
      <c r="AA2764" s="81" t="str">
        <f>IFERROR(HLOOKUP(J2764,データについて!$J$4:$AH$19,16,FALSE),"")</f>
        <v/>
      </c>
      <c r="AB2764" s="81" t="str">
        <f>IFERROR(HLOOKUP(K2764,データについて!$J$5:$AH$20,14,FALSE),"")</f>
        <v/>
      </c>
      <c r="AC2764" s="81" t="e">
        <f>IF(X2764=1,HLOOKUP(R2764,データについて!$J$12:$M$18,7,FALSE),"*")</f>
        <v>#N/A</v>
      </c>
      <c r="AD2764" s="81" t="e">
        <f>IF(X2764=2,HLOOKUP(R2764,データについて!$J$12:$M$18,7,FALSE),"*")</f>
        <v>#N/A</v>
      </c>
    </row>
    <row r="2765" spans="19:30">
      <c r="S2765" s="81" t="e">
        <f>HLOOKUP(L2765,データについて!$J$6:$M$18,13,FALSE)</f>
        <v>#N/A</v>
      </c>
      <c r="T2765" s="81" t="e">
        <f>HLOOKUP(M2765,データについて!$J$7:$M$18,12,FALSE)</f>
        <v>#N/A</v>
      </c>
      <c r="U2765" s="81" t="e">
        <f>HLOOKUP(N2765,データについて!$J$8:$M$18,11,FALSE)</f>
        <v>#N/A</v>
      </c>
      <c r="V2765" s="81" t="e">
        <f>HLOOKUP(O2765,データについて!$J$9:$M$18,10,FALSE)</f>
        <v>#N/A</v>
      </c>
      <c r="W2765" s="81" t="e">
        <f>HLOOKUP(P2765,データについて!$J$10:$M$18,9,FALSE)</f>
        <v>#N/A</v>
      </c>
      <c r="X2765" s="81" t="e">
        <f>HLOOKUP(Q2765,データについて!$J$11:$M$18,8,FALSE)</f>
        <v>#N/A</v>
      </c>
      <c r="Y2765" s="81" t="e">
        <f>HLOOKUP(R2765,データについて!$J$12:$M$18,7,FALSE)</f>
        <v>#N/A</v>
      </c>
      <c r="Z2765" s="81" t="e">
        <f>HLOOKUP(I2765,データについて!$J$3:$M$18,16,FALSE)</f>
        <v>#N/A</v>
      </c>
      <c r="AA2765" s="81" t="str">
        <f>IFERROR(HLOOKUP(J2765,データについて!$J$4:$AH$19,16,FALSE),"")</f>
        <v/>
      </c>
      <c r="AB2765" s="81" t="str">
        <f>IFERROR(HLOOKUP(K2765,データについて!$J$5:$AH$20,14,FALSE),"")</f>
        <v/>
      </c>
      <c r="AC2765" s="81" t="e">
        <f>IF(X2765=1,HLOOKUP(R2765,データについて!$J$12:$M$18,7,FALSE),"*")</f>
        <v>#N/A</v>
      </c>
      <c r="AD2765" s="81" t="e">
        <f>IF(X2765=2,HLOOKUP(R2765,データについて!$J$12:$M$18,7,FALSE),"*")</f>
        <v>#N/A</v>
      </c>
    </row>
    <row r="2766" spans="19:30">
      <c r="S2766" s="81" t="e">
        <f>HLOOKUP(L2766,データについて!$J$6:$M$18,13,FALSE)</f>
        <v>#N/A</v>
      </c>
      <c r="T2766" s="81" t="e">
        <f>HLOOKUP(M2766,データについて!$J$7:$M$18,12,FALSE)</f>
        <v>#N/A</v>
      </c>
      <c r="U2766" s="81" t="e">
        <f>HLOOKUP(N2766,データについて!$J$8:$M$18,11,FALSE)</f>
        <v>#N/A</v>
      </c>
      <c r="V2766" s="81" t="e">
        <f>HLOOKUP(O2766,データについて!$J$9:$M$18,10,FALSE)</f>
        <v>#N/A</v>
      </c>
      <c r="W2766" s="81" t="e">
        <f>HLOOKUP(P2766,データについて!$J$10:$M$18,9,FALSE)</f>
        <v>#N/A</v>
      </c>
      <c r="X2766" s="81" t="e">
        <f>HLOOKUP(Q2766,データについて!$J$11:$M$18,8,FALSE)</f>
        <v>#N/A</v>
      </c>
      <c r="Y2766" s="81" t="e">
        <f>HLOOKUP(R2766,データについて!$J$12:$M$18,7,FALSE)</f>
        <v>#N/A</v>
      </c>
      <c r="Z2766" s="81" t="e">
        <f>HLOOKUP(I2766,データについて!$J$3:$M$18,16,FALSE)</f>
        <v>#N/A</v>
      </c>
      <c r="AA2766" s="81" t="str">
        <f>IFERROR(HLOOKUP(J2766,データについて!$J$4:$AH$19,16,FALSE),"")</f>
        <v/>
      </c>
      <c r="AB2766" s="81" t="str">
        <f>IFERROR(HLOOKUP(K2766,データについて!$J$5:$AH$20,14,FALSE),"")</f>
        <v/>
      </c>
      <c r="AC2766" s="81" t="e">
        <f>IF(X2766=1,HLOOKUP(R2766,データについて!$J$12:$M$18,7,FALSE),"*")</f>
        <v>#N/A</v>
      </c>
      <c r="AD2766" s="81" t="e">
        <f>IF(X2766=2,HLOOKUP(R2766,データについて!$J$12:$M$18,7,FALSE),"*")</f>
        <v>#N/A</v>
      </c>
    </row>
    <row r="2767" spans="19:30">
      <c r="S2767" s="81" t="e">
        <f>HLOOKUP(L2767,データについて!$J$6:$M$18,13,FALSE)</f>
        <v>#N/A</v>
      </c>
      <c r="T2767" s="81" t="e">
        <f>HLOOKUP(M2767,データについて!$J$7:$M$18,12,FALSE)</f>
        <v>#N/A</v>
      </c>
      <c r="U2767" s="81" t="e">
        <f>HLOOKUP(N2767,データについて!$J$8:$M$18,11,FALSE)</f>
        <v>#N/A</v>
      </c>
      <c r="V2767" s="81" t="e">
        <f>HLOOKUP(O2767,データについて!$J$9:$M$18,10,FALSE)</f>
        <v>#N/A</v>
      </c>
      <c r="W2767" s="81" t="e">
        <f>HLOOKUP(P2767,データについて!$J$10:$M$18,9,FALSE)</f>
        <v>#N/A</v>
      </c>
      <c r="X2767" s="81" t="e">
        <f>HLOOKUP(Q2767,データについて!$J$11:$M$18,8,FALSE)</f>
        <v>#N/A</v>
      </c>
      <c r="Y2767" s="81" t="e">
        <f>HLOOKUP(R2767,データについて!$J$12:$M$18,7,FALSE)</f>
        <v>#N/A</v>
      </c>
      <c r="Z2767" s="81" t="e">
        <f>HLOOKUP(I2767,データについて!$J$3:$M$18,16,FALSE)</f>
        <v>#N/A</v>
      </c>
      <c r="AA2767" s="81" t="str">
        <f>IFERROR(HLOOKUP(J2767,データについて!$J$4:$AH$19,16,FALSE),"")</f>
        <v/>
      </c>
      <c r="AB2767" s="81" t="str">
        <f>IFERROR(HLOOKUP(K2767,データについて!$J$5:$AH$20,14,FALSE),"")</f>
        <v/>
      </c>
      <c r="AC2767" s="81" t="e">
        <f>IF(X2767=1,HLOOKUP(R2767,データについて!$J$12:$M$18,7,FALSE),"*")</f>
        <v>#N/A</v>
      </c>
      <c r="AD2767" s="81" t="e">
        <f>IF(X2767=2,HLOOKUP(R2767,データについて!$J$12:$M$18,7,FALSE),"*")</f>
        <v>#N/A</v>
      </c>
    </row>
    <row r="2768" spans="19:30">
      <c r="S2768" s="81" t="e">
        <f>HLOOKUP(L2768,データについて!$J$6:$M$18,13,FALSE)</f>
        <v>#N/A</v>
      </c>
      <c r="T2768" s="81" t="e">
        <f>HLOOKUP(M2768,データについて!$J$7:$M$18,12,FALSE)</f>
        <v>#N/A</v>
      </c>
      <c r="U2768" s="81" t="e">
        <f>HLOOKUP(N2768,データについて!$J$8:$M$18,11,FALSE)</f>
        <v>#N/A</v>
      </c>
      <c r="V2768" s="81" t="e">
        <f>HLOOKUP(O2768,データについて!$J$9:$M$18,10,FALSE)</f>
        <v>#N/A</v>
      </c>
      <c r="W2768" s="81" t="e">
        <f>HLOOKUP(P2768,データについて!$J$10:$M$18,9,FALSE)</f>
        <v>#N/A</v>
      </c>
      <c r="X2768" s="81" t="e">
        <f>HLOOKUP(Q2768,データについて!$J$11:$M$18,8,FALSE)</f>
        <v>#N/A</v>
      </c>
      <c r="Y2768" s="81" t="e">
        <f>HLOOKUP(R2768,データについて!$J$12:$M$18,7,FALSE)</f>
        <v>#N/A</v>
      </c>
      <c r="Z2768" s="81" t="e">
        <f>HLOOKUP(I2768,データについて!$J$3:$M$18,16,FALSE)</f>
        <v>#N/A</v>
      </c>
      <c r="AA2768" s="81" t="str">
        <f>IFERROR(HLOOKUP(J2768,データについて!$J$4:$AH$19,16,FALSE),"")</f>
        <v/>
      </c>
      <c r="AB2768" s="81" t="str">
        <f>IFERROR(HLOOKUP(K2768,データについて!$J$5:$AH$20,14,FALSE),"")</f>
        <v/>
      </c>
      <c r="AC2768" s="81" t="e">
        <f>IF(X2768=1,HLOOKUP(R2768,データについて!$J$12:$M$18,7,FALSE),"*")</f>
        <v>#N/A</v>
      </c>
      <c r="AD2768" s="81" t="e">
        <f>IF(X2768=2,HLOOKUP(R2768,データについて!$J$12:$M$18,7,FALSE),"*")</f>
        <v>#N/A</v>
      </c>
    </row>
    <row r="2769" spans="19:30">
      <c r="S2769" s="81" t="e">
        <f>HLOOKUP(L2769,データについて!$J$6:$M$18,13,FALSE)</f>
        <v>#N/A</v>
      </c>
      <c r="T2769" s="81" t="e">
        <f>HLOOKUP(M2769,データについて!$J$7:$M$18,12,FALSE)</f>
        <v>#N/A</v>
      </c>
      <c r="U2769" s="81" t="e">
        <f>HLOOKUP(N2769,データについて!$J$8:$M$18,11,FALSE)</f>
        <v>#N/A</v>
      </c>
      <c r="V2769" s="81" t="e">
        <f>HLOOKUP(O2769,データについて!$J$9:$M$18,10,FALSE)</f>
        <v>#N/A</v>
      </c>
      <c r="W2769" s="81" t="e">
        <f>HLOOKUP(P2769,データについて!$J$10:$M$18,9,FALSE)</f>
        <v>#N/A</v>
      </c>
      <c r="X2769" s="81" t="e">
        <f>HLOOKUP(Q2769,データについて!$J$11:$M$18,8,FALSE)</f>
        <v>#N/A</v>
      </c>
      <c r="Y2769" s="81" t="e">
        <f>HLOOKUP(R2769,データについて!$J$12:$M$18,7,FALSE)</f>
        <v>#N/A</v>
      </c>
      <c r="Z2769" s="81" t="e">
        <f>HLOOKUP(I2769,データについて!$J$3:$M$18,16,FALSE)</f>
        <v>#N/A</v>
      </c>
      <c r="AA2769" s="81" t="str">
        <f>IFERROR(HLOOKUP(J2769,データについて!$J$4:$AH$19,16,FALSE),"")</f>
        <v/>
      </c>
      <c r="AB2769" s="81" t="str">
        <f>IFERROR(HLOOKUP(K2769,データについて!$J$5:$AH$20,14,FALSE),"")</f>
        <v/>
      </c>
      <c r="AC2769" s="81" t="e">
        <f>IF(X2769=1,HLOOKUP(R2769,データについて!$J$12:$M$18,7,FALSE),"*")</f>
        <v>#N/A</v>
      </c>
      <c r="AD2769" s="81" t="e">
        <f>IF(X2769=2,HLOOKUP(R2769,データについて!$J$12:$M$18,7,FALSE),"*")</f>
        <v>#N/A</v>
      </c>
    </row>
    <row r="2770" spans="19:30">
      <c r="S2770" s="81" t="e">
        <f>HLOOKUP(L2770,データについて!$J$6:$M$18,13,FALSE)</f>
        <v>#N/A</v>
      </c>
      <c r="T2770" s="81" t="e">
        <f>HLOOKUP(M2770,データについて!$J$7:$M$18,12,FALSE)</f>
        <v>#N/A</v>
      </c>
      <c r="U2770" s="81" t="e">
        <f>HLOOKUP(N2770,データについて!$J$8:$M$18,11,FALSE)</f>
        <v>#N/A</v>
      </c>
      <c r="V2770" s="81" t="e">
        <f>HLOOKUP(O2770,データについて!$J$9:$M$18,10,FALSE)</f>
        <v>#N/A</v>
      </c>
      <c r="W2770" s="81" t="e">
        <f>HLOOKUP(P2770,データについて!$J$10:$M$18,9,FALSE)</f>
        <v>#N/A</v>
      </c>
      <c r="X2770" s="81" t="e">
        <f>HLOOKUP(Q2770,データについて!$J$11:$M$18,8,FALSE)</f>
        <v>#N/A</v>
      </c>
      <c r="Y2770" s="81" t="e">
        <f>HLOOKUP(R2770,データについて!$J$12:$M$18,7,FALSE)</f>
        <v>#N/A</v>
      </c>
      <c r="Z2770" s="81" t="e">
        <f>HLOOKUP(I2770,データについて!$J$3:$M$18,16,FALSE)</f>
        <v>#N/A</v>
      </c>
      <c r="AA2770" s="81" t="str">
        <f>IFERROR(HLOOKUP(J2770,データについて!$J$4:$AH$19,16,FALSE),"")</f>
        <v/>
      </c>
      <c r="AB2770" s="81" t="str">
        <f>IFERROR(HLOOKUP(K2770,データについて!$J$5:$AH$20,14,FALSE),"")</f>
        <v/>
      </c>
      <c r="AC2770" s="81" t="e">
        <f>IF(X2770=1,HLOOKUP(R2770,データについて!$J$12:$M$18,7,FALSE),"*")</f>
        <v>#N/A</v>
      </c>
      <c r="AD2770" s="81" t="e">
        <f>IF(X2770=2,HLOOKUP(R2770,データについて!$J$12:$M$18,7,FALSE),"*")</f>
        <v>#N/A</v>
      </c>
    </row>
    <row r="2771" spans="19:30">
      <c r="S2771" s="81" t="e">
        <f>HLOOKUP(L2771,データについて!$J$6:$M$18,13,FALSE)</f>
        <v>#N/A</v>
      </c>
      <c r="T2771" s="81" t="e">
        <f>HLOOKUP(M2771,データについて!$J$7:$M$18,12,FALSE)</f>
        <v>#N/A</v>
      </c>
      <c r="U2771" s="81" t="e">
        <f>HLOOKUP(N2771,データについて!$J$8:$M$18,11,FALSE)</f>
        <v>#N/A</v>
      </c>
      <c r="V2771" s="81" t="e">
        <f>HLOOKUP(O2771,データについて!$J$9:$M$18,10,FALSE)</f>
        <v>#N/A</v>
      </c>
      <c r="W2771" s="81" t="e">
        <f>HLOOKUP(P2771,データについて!$J$10:$M$18,9,FALSE)</f>
        <v>#N/A</v>
      </c>
      <c r="X2771" s="81" t="e">
        <f>HLOOKUP(Q2771,データについて!$J$11:$M$18,8,FALSE)</f>
        <v>#N/A</v>
      </c>
      <c r="Y2771" s="81" t="e">
        <f>HLOOKUP(R2771,データについて!$J$12:$M$18,7,FALSE)</f>
        <v>#N/A</v>
      </c>
      <c r="Z2771" s="81" t="e">
        <f>HLOOKUP(I2771,データについて!$J$3:$M$18,16,FALSE)</f>
        <v>#N/A</v>
      </c>
      <c r="AA2771" s="81" t="str">
        <f>IFERROR(HLOOKUP(J2771,データについて!$J$4:$AH$19,16,FALSE),"")</f>
        <v/>
      </c>
      <c r="AB2771" s="81" t="str">
        <f>IFERROR(HLOOKUP(K2771,データについて!$J$5:$AH$20,14,FALSE),"")</f>
        <v/>
      </c>
      <c r="AC2771" s="81" t="e">
        <f>IF(X2771=1,HLOOKUP(R2771,データについて!$J$12:$M$18,7,FALSE),"*")</f>
        <v>#N/A</v>
      </c>
      <c r="AD2771" s="81" t="e">
        <f>IF(X2771=2,HLOOKUP(R2771,データについて!$J$12:$M$18,7,FALSE),"*")</f>
        <v>#N/A</v>
      </c>
    </row>
    <row r="2772" spans="19:30">
      <c r="S2772" s="81" t="e">
        <f>HLOOKUP(L2772,データについて!$J$6:$M$18,13,FALSE)</f>
        <v>#N/A</v>
      </c>
      <c r="T2772" s="81" t="e">
        <f>HLOOKUP(M2772,データについて!$J$7:$M$18,12,FALSE)</f>
        <v>#N/A</v>
      </c>
      <c r="U2772" s="81" t="e">
        <f>HLOOKUP(N2772,データについて!$J$8:$M$18,11,FALSE)</f>
        <v>#N/A</v>
      </c>
      <c r="V2772" s="81" t="e">
        <f>HLOOKUP(O2772,データについて!$J$9:$M$18,10,FALSE)</f>
        <v>#N/A</v>
      </c>
      <c r="W2772" s="81" t="e">
        <f>HLOOKUP(P2772,データについて!$J$10:$M$18,9,FALSE)</f>
        <v>#N/A</v>
      </c>
      <c r="X2772" s="81" t="e">
        <f>HLOOKUP(Q2772,データについて!$J$11:$M$18,8,FALSE)</f>
        <v>#N/A</v>
      </c>
      <c r="Y2772" s="81" t="e">
        <f>HLOOKUP(R2772,データについて!$J$12:$M$18,7,FALSE)</f>
        <v>#N/A</v>
      </c>
      <c r="Z2772" s="81" t="e">
        <f>HLOOKUP(I2772,データについて!$J$3:$M$18,16,FALSE)</f>
        <v>#N/A</v>
      </c>
      <c r="AA2772" s="81" t="str">
        <f>IFERROR(HLOOKUP(J2772,データについて!$J$4:$AH$19,16,FALSE),"")</f>
        <v/>
      </c>
      <c r="AB2772" s="81" t="str">
        <f>IFERROR(HLOOKUP(K2772,データについて!$J$5:$AH$20,14,FALSE),"")</f>
        <v/>
      </c>
      <c r="AC2772" s="81" t="e">
        <f>IF(X2772=1,HLOOKUP(R2772,データについて!$J$12:$M$18,7,FALSE),"*")</f>
        <v>#N/A</v>
      </c>
      <c r="AD2772" s="81" t="e">
        <f>IF(X2772=2,HLOOKUP(R2772,データについて!$J$12:$M$18,7,FALSE),"*")</f>
        <v>#N/A</v>
      </c>
    </row>
    <row r="2773" spans="19:30">
      <c r="S2773" s="81" t="e">
        <f>HLOOKUP(L2773,データについて!$J$6:$M$18,13,FALSE)</f>
        <v>#N/A</v>
      </c>
      <c r="T2773" s="81" t="e">
        <f>HLOOKUP(M2773,データについて!$J$7:$M$18,12,FALSE)</f>
        <v>#N/A</v>
      </c>
      <c r="U2773" s="81" t="e">
        <f>HLOOKUP(N2773,データについて!$J$8:$M$18,11,FALSE)</f>
        <v>#N/A</v>
      </c>
      <c r="V2773" s="81" t="e">
        <f>HLOOKUP(O2773,データについて!$J$9:$M$18,10,FALSE)</f>
        <v>#N/A</v>
      </c>
      <c r="W2773" s="81" t="e">
        <f>HLOOKUP(P2773,データについて!$J$10:$M$18,9,FALSE)</f>
        <v>#N/A</v>
      </c>
      <c r="X2773" s="81" t="e">
        <f>HLOOKUP(Q2773,データについて!$J$11:$M$18,8,FALSE)</f>
        <v>#N/A</v>
      </c>
      <c r="Y2773" s="81" t="e">
        <f>HLOOKUP(R2773,データについて!$J$12:$M$18,7,FALSE)</f>
        <v>#N/A</v>
      </c>
      <c r="Z2773" s="81" t="e">
        <f>HLOOKUP(I2773,データについて!$J$3:$M$18,16,FALSE)</f>
        <v>#N/A</v>
      </c>
      <c r="AA2773" s="81" t="str">
        <f>IFERROR(HLOOKUP(J2773,データについて!$J$4:$AH$19,16,FALSE),"")</f>
        <v/>
      </c>
      <c r="AB2773" s="81" t="str">
        <f>IFERROR(HLOOKUP(K2773,データについて!$J$5:$AH$20,14,FALSE),"")</f>
        <v/>
      </c>
      <c r="AC2773" s="81" t="e">
        <f>IF(X2773=1,HLOOKUP(R2773,データについて!$J$12:$M$18,7,FALSE),"*")</f>
        <v>#N/A</v>
      </c>
      <c r="AD2773" s="81" t="e">
        <f>IF(X2773=2,HLOOKUP(R2773,データについて!$J$12:$M$18,7,FALSE),"*")</f>
        <v>#N/A</v>
      </c>
    </row>
    <row r="2774" spans="19:30">
      <c r="S2774" s="81" t="e">
        <f>HLOOKUP(L2774,データについて!$J$6:$M$18,13,FALSE)</f>
        <v>#N/A</v>
      </c>
      <c r="T2774" s="81" t="e">
        <f>HLOOKUP(M2774,データについて!$J$7:$M$18,12,FALSE)</f>
        <v>#N/A</v>
      </c>
      <c r="U2774" s="81" t="e">
        <f>HLOOKUP(N2774,データについて!$J$8:$M$18,11,FALSE)</f>
        <v>#N/A</v>
      </c>
      <c r="V2774" s="81" t="e">
        <f>HLOOKUP(O2774,データについて!$J$9:$M$18,10,FALSE)</f>
        <v>#N/A</v>
      </c>
      <c r="W2774" s="81" t="e">
        <f>HLOOKUP(P2774,データについて!$J$10:$M$18,9,FALSE)</f>
        <v>#N/A</v>
      </c>
      <c r="X2774" s="81" t="e">
        <f>HLOOKUP(Q2774,データについて!$J$11:$M$18,8,FALSE)</f>
        <v>#N/A</v>
      </c>
      <c r="Y2774" s="81" t="e">
        <f>HLOOKUP(R2774,データについて!$J$12:$M$18,7,FALSE)</f>
        <v>#N/A</v>
      </c>
      <c r="Z2774" s="81" t="e">
        <f>HLOOKUP(I2774,データについて!$J$3:$M$18,16,FALSE)</f>
        <v>#N/A</v>
      </c>
      <c r="AA2774" s="81" t="str">
        <f>IFERROR(HLOOKUP(J2774,データについて!$J$4:$AH$19,16,FALSE),"")</f>
        <v/>
      </c>
      <c r="AB2774" s="81" t="str">
        <f>IFERROR(HLOOKUP(K2774,データについて!$J$5:$AH$20,14,FALSE),"")</f>
        <v/>
      </c>
      <c r="AC2774" s="81" t="e">
        <f>IF(X2774=1,HLOOKUP(R2774,データについて!$J$12:$M$18,7,FALSE),"*")</f>
        <v>#N/A</v>
      </c>
      <c r="AD2774" s="81" t="e">
        <f>IF(X2774=2,HLOOKUP(R2774,データについて!$J$12:$M$18,7,FALSE),"*")</f>
        <v>#N/A</v>
      </c>
    </row>
    <row r="2775" spans="19:30">
      <c r="S2775" s="81" t="e">
        <f>HLOOKUP(L2775,データについて!$J$6:$M$18,13,FALSE)</f>
        <v>#N/A</v>
      </c>
      <c r="T2775" s="81" t="e">
        <f>HLOOKUP(M2775,データについて!$J$7:$M$18,12,FALSE)</f>
        <v>#N/A</v>
      </c>
      <c r="U2775" s="81" t="e">
        <f>HLOOKUP(N2775,データについて!$J$8:$M$18,11,FALSE)</f>
        <v>#N/A</v>
      </c>
      <c r="V2775" s="81" t="e">
        <f>HLOOKUP(O2775,データについて!$J$9:$M$18,10,FALSE)</f>
        <v>#N/A</v>
      </c>
      <c r="W2775" s="81" t="e">
        <f>HLOOKUP(P2775,データについて!$J$10:$M$18,9,FALSE)</f>
        <v>#N/A</v>
      </c>
      <c r="X2775" s="81" t="e">
        <f>HLOOKUP(Q2775,データについて!$J$11:$M$18,8,FALSE)</f>
        <v>#N/A</v>
      </c>
      <c r="Y2775" s="81" t="e">
        <f>HLOOKUP(R2775,データについて!$J$12:$M$18,7,FALSE)</f>
        <v>#N/A</v>
      </c>
      <c r="Z2775" s="81" t="e">
        <f>HLOOKUP(I2775,データについて!$J$3:$M$18,16,FALSE)</f>
        <v>#N/A</v>
      </c>
      <c r="AA2775" s="81" t="str">
        <f>IFERROR(HLOOKUP(J2775,データについて!$J$4:$AH$19,16,FALSE),"")</f>
        <v/>
      </c>
      <c r="AB2775" s="81" t="str">
        <f>IFERROR(HLOOKUP(K2775,データについて!$J$5:$AH$20,14,FALSE),"")</f>
        <v/>
      </c>
      <c r="AC2775" s="81" t="e">
        <f>IF(X2775=1,HLOOKUP(R2775,データについて!$J$12:$M$18,7,FALSE),"*")</f>
        <v>#N/A</v>
      </c>
      <c r="AD2775" s="81" t="e">
        <f>IF(X2775=2,HLOOKUP(R2775,データについて!$J$12:$M$18,7,FALSE),"*")</f>
        <v>#N/A</v>
      </c>
    </row>
    <row r="2776" spans="19:30">
      <c r="S2776" s="81" t="e">
        <f>HLOOKUP(L2776,データについて!$J$6:$M$18,13,FALSE)</f>
        <v>#N/A</v>
      </c>
      <c r="T2776" s="81" t="e">
        <f>HLOOKUP(M2776,データについて!$J$7:$M$18,12,FALSE)</f>
        <v>#N/A</v>
      </c>
      <c r="U2776" s="81" t="e">
        <f>HLOOKUP(N2776,データについて!$J$8:$M$18,11,FALSE)</f>
        <v>#N/A</v>
      </c>
      <c r="V2776" s="81" t="e">
        <f>HLOOKUP(O2776,データについて!$J$9:$M$18,10,FALSE)</f>
        <v>#N/A</v>
      </c>
      <c r="W2776" s="81" t="e">
        <f>HLOOKUP(P2776,データについて!$J$10:$M$18,9,FALSE)</f>
        <v>#N/A</v>
      </c>
      <c r="X2776" s="81" t="e">
        <f>HLOOKUP(Q2776,データについて!$J$11:$M$18,8,FALSE)</f>
        <v>#N/A</v>
      </c>
      <c r="Y2776" s="81" t="e">
        <f>HLOOKUP(R2776,データについて!$J$12:$M$18,7,FALSE)</f>
        <v>#N/A</v>
      </c>
      <c r="Z2776" s="81" t="e">
        <f>HLOOKUP(I2776,データについて!$J$3:$M$18,16,FALSE)</f>
        <v>#N/A</v>
      </c>
      <c r="AA2776" s="81" t="str">
        <f>IFERROR(HLOOKUP(J2776,データについて!$J$4:$AH$19,16,FALSE),"")</f>
        <v/>
      </c>
      <c r="AB2776" s="81" t="str">
        <f>IFERROR(HLOOKUP(K2776,データについて!$J$5:$AH$20,14,FALSE),"")</f>
        <v/>
      </c>
      <c r="AC2776" s="81" t="e">
        <f>IF(X2776=1,HLOOKUP(R2776,データについて!$J$12:$M$18,7,FALSE),"*")</f>
        <v>#N/A</v>
      </c>
      <c r="AD2776" s="81" t="e">
        <f>IF(X2776=2,HLOOKUP(R2776,データについて!$J$12:$M$18,7,FALSE),"*")</f>
        <v>#N/A</v>
      </c>
    </row>
    <row r="2777" spans="19:30">
      <c r="S2777" s="81" t="e">
        <f>HLOOKUP(L2777,データについて!$J$6:$M$18,13,FALSE)</f>
        <v>#N/A</v>
      </c>
      <c r="T2777" s="81" t="e">
        <f>HLOOKUP(M2777,データについて!$J$7:$M$18,12,FALSE)</f>
        <v>#N/A</v>
      </c>
      <c r="U2777" s="81" t="e">
        <f>HLOOKUP(N2777,データについて!$J$8:$M$18,11,FALSE)</f>
        <v>#N/A</v>
      </c>
      <c r="V2777" s="81" t="e">
        <f>HLOOKUP(O2777,データについて!$J$9:$M$18,10,FALSE)</f>
        <v>#N/A</v>
      </c>
      <c r="W2777" s="81" t="e">
        <f>HLOOKUP(P2777,データについて!$J$10:$M$18,9,FALSE)</f>
        <v>#N/A</v>
      </c>
      <c r="X2777" s="81" t="e">
        <f>HLOOKUP(Q2777,データについて!$J$11:$M$18,8,FALSE)</f>
        <v>#N/A</v>
      </c>
      <c r="Y2777" s="81" t="e">
        <f>HLOOKUP(R2777,データについて!$J$12:$M$18,7,FALSE)</f>
        <v>#N/A</v>
      </c>
      <c r="Z2777" s="81" t="e">
        <f>HLOOKUP(I2777,データについて!$J$3:$M$18,16,FALSE)</f>
        <v>#N/A</v>
      </c>
      <c r="AA2777" s="81" t="str">
        <f>IFERROR(HLOOKUP(J2777,データについて!$J$4:$AH$19,16,FALSE),"")</f>
        <v/>
      </c>
      <c r="AB2777" s="81" t="str">
        <f>IFERROR(HLOOKUP(K2777,データについて!$J$5:$AH$20,14,FALSE),"")</f>
        <v/>
      </c>
      <c r="AC2777" s="81" t="e">
        <f>IF(X2777=1,HLOOKUP(R2777,データについて!$J$12:$M$18,7,FALSE),"*")</f>
        <v>#N/A</v>
      </c>
      <c r="AD2777" s="81" t="e">
        <f>IF(X2777=2,HLOOKUP(R2777,データについて!$J$12:$M$18,7,FALSE),"*")</f>
        <v>#N/A</v>
      </c>
    </row>
    <row r="2778" spans="19:30">
      <c r="S2778" s="81" t="e">
        <f>HLOOKUP(L2778,データについて!$J$6:$M$18,13,FALSE)</f>
        <v>#N/A</v>
      </c>
      <c r="T2778" s="81" t="e">
        <f>HLOOKUP(M2778,データについて!$J$7:$M$18,12,FALSE)</f>
        <v>#N/A</v>
      </c>
      <c r="U2778" s="81" t="e">
        <f>HLOOKUP(N2778,データについて!$J$8:$M$18,11,FALSE)</f>
        <v>#N/A</v>
      </c>
      <c r="V2778" s="81" t="e">
        <f>HLOOKUP(O2778,データについて!$J$9:$M$18,10,FALSE)</f>
        <v>#N/A</v>
      </c>
      <c r="W2778" s="81" t="e">
        <f>HLOOKUP(P2778,データについて!$J$10:$M$18,9,FALSE)</f>
        <v>#N/A</v>
      </c>
      <c r="X2778" s="81" t="e">
        <f>HLOOKUP(Q2778,データについて!$J$11:$M$18,8,FALSE)</f>
        <v>#N/A</v>
      </c>
      <c r="Y2778" s="81" t="e">
        <f>HLOOKUP(R2778,データについて!$J$12:$M$18,7,FALSE)</f>
        <v>#N/A</v>
      </c>
      <c r="Z2778" s="81" t="e">
        <f>HLOOKUP(I2778,データについて!$J$3:$M$18,16,FALSE)</f>
        <v>#N/A</v>
      </c>
      <c r="AA2778" s="81" t="str">
        <f>IFERROR(HLOOKUP(J2778,データについて!$J$4:$AH$19,16,FALSE),"")</f>
        <v/>
      </c>
      <c r="AB2778" s="81" t="str">
        <f>IFERROR(HLOOKUP(K2778,データについて!$J$5:$AH$20,14,FALSE),"")</f>
        <v/>
      </c>
      <c r="AC2778" s="81" t="e">
        <f>IF(X2778=1,HLOOKUP(R2778,データについて!$J$12:$M$18,7,FALSE),"*")</f>
        <v>#N/A</v>
      </c>
      <c r="AD2778" s="81" t="e">
        <f>IF(X2778=2,HLOOKUP(R2778,データについて!$J$12:$M$18,7,FALSE),"*")</f>
        <v>#N/A</v>
      </c>
    </row>
    <row r="2779" spans="19:30">
      <c r="S2779" s="81" t="e">
        <f>HLOOKUP(L2779,データについて!$J$6:$M$18,13,FALSE)</f>
        <v>#N/A</v>
      </c>
      <c r="T2779" s="81" t="e">
        <f>HLOOKUP(M2779,データについて!$J$7:$M$18,12,FALSE)</f>
        <v>#N/A</v>
      </c>
      <c r="U2779" s="81" t="e">
        <f>HLOOKUP(N2779,データについて!$J$8:$M$18,11,FALSE)</f>
        <v>#N/A</v>
      </c>
      <c r="V2779" s="81" t="e">
        <f>HLOOKUP(O2779,データについて!$J$9:$M$18,10,FALSE)</f>
        <v>#N/A</v>
      </c>
      <c r="W2779" s="81" t="e">
        <f>HLOOKUP(P2779,データについて!$J$10:$M$18,9,FALSE)</f>
        <v>#N/A</v>
      </c>
      <c r="X2779" s="81" t="e">
        <f>HLOOKUP(Q2779,データについて!$J$11:$M$18,8,FALSE)</f>
        <v>#N/A</v>
      </c>
      <c r="Y2779" s="81" t="e">
        <f>HLOOKUP(R2779,データについて!$J$12:$M$18,7,FALSE)</f>
        <v>#N/A</v>
      </c>
      <c r="Z2779" s="81" t="e">
        <f>HLOOKUP(I2779,データについて!$J$3:$M$18,16,FALSE)</f>
        <v>#N/A</v>
      </c>
      <c r="AA2779" s="81" t="str">
        <f>IFERROR(HLOOKUP(J2779,データについて!$J$4:$AH$19,16,FALSE),"")</f>
        <v/>
      </c>
      <c r="AB2779" s="81" t="str">
        <f>IFERROR(HLOOKUP(K2779,データについて!$J$5:$AH$20,14,FALSE),"")</f>
        <v/>
      </c>
      <c r="AC2779" s="81" t="e">
        <f>IF(X2779=1,HLOOKUP(R2779,データについて!$J$12:$M$18,7,FALSE),"*")</f>
        <v>#N/A</v>
      </c>
      <c r="AD2779" s="81" t="e">
        <f>IF(X2779=2,HLOOKUP(R2779,データについて!$J$12:$M$18,7,FALSE),"*")</f>
        <v>#N/A</v>
      </c>
    </row>
    <row r="2780" spans="19:30">
      <c r="S2780" s="81" t="e">
        <f>HLOOKUP(L2780,データについて!$J$6:$M$18,13,FALSE)</f>
        <v>#N/A</v>
      </c>
      <c r="T2780" s="81" t="e">
        <f>HLOOKUP(M2780,データについて!$J$7:$M$18,12,FALSE)</f>
        <v>#N/A</v>
      </c>
      <c r="U2780" s="81" t="e">
        <f>HLOOKUP(N2780,データについて!$J$8:$M$18,11,FALSE)</f>
        <v>#N/A</v>
      </c>
      <c r="V2780" s="81" t="e">
        <f>HLOOKUP(O2780,データについて!$J$9:$M$18,10,FALSE)</f>
        <v>#N/A</v>
      </c>
      <c r="W2780" s="81" t="e">
        <f>HLOOKUP(P2780,データについて!$J$10:$M$18,9,FALSE)</f>
        <v>#N/A</v>
      </c>
      <c r="X2780" s="81" t="e">
        <f>HLOOKUP(Q2780,データについて!$J$11:$M$18,8,FALSE)</f>
        <v>#N/A</v>
      </c>
      <c r="Y2780" s="81" t="e">
        <f>HLOOKUP(R2780,データについて!$J$12:$M$18,7,FALSE)</f>
        <v>#N/A</v>
      </c>
      <c r="Z2780" s="81" t="e">
        <f>HLOOKUP(I2780,データについて!$J$3:$M$18,16,FALSE)</f>
        <v>#N/A</v>
      </c>
      <c r="AA2780" s="81" t="str">
        <f>IFERROR(HLOOKUP(J2780,データについて!$J$4:$AH$19,16,FALSE),"")</f>
        <v/>
      </c>
      <c r="AB2780" s="81" t="str">
        <f>IFERROR(HLOOKUP(K2780,データについて!$J$5:$AH$20,14,FALSE),"")</f>
        <v/>
      </c>
      <c r="AC2780" s="81" t="e">
        <f>IF(X2780=1,HLOOKUP(R2780,データについて!$J$12:$M$18,7,FALSE),"*")</f>
        <v>#N/A</v>
      </c>
      <c r="AD2780" s="81" t="e">
        <f>IF(X2780=2,HLOOKUP(R2780,データについて!$J$12:$M$18,7,FALSE),"*")</f>
        <v>#N/A</v>
      </c>
    </row>
    <row r="2781" spans="19:30">
      <c r="S2781" s="81" t="e">
        <f>HLOOKUP(L2781,データについて!$J$6:$M$18,13,FALSE)</f>
        <v>#N/A</v>
      </c>
      <c r="T2781" s="81" t="e">
        <f>HLOOKUP(M2781,データについて!$J$7:$M$18,12,FALSE)</f>
        <v>#N/A</v>
      </c>
      <c r="U2781" s="81" t="e">
        <f>HLOOKUP(N2781,データについて!$J$8:$M$18,11,FALSE)</f>
        <v>#N/A</v>
      </c>
      <c r="V2781" s="81" t="e">
        <f>HLOOKUP(O2781,データについて!$J$9:$M$18,10,FALSE)</f>
        <v>#N/A</v>
      </c>
      <c r="W2781" s="81" t="e">
        <f>HLOOKUP(P2781,データについて!$J$10:$M$18,9,FALSE)</f>
        <v>#N/A</v>
      </c>
      <c r="X2781" s="81" t="e">
        <f>HLOOKUP(Q2781,データについて!$J$11:$M$18,8,FALSE)</f>
        <v>#N/A</v>
      </c>
      <c r="Y2781" s="81" t="e">
        <f>HLOOKUP(R2781,データについて!$J$12:$M$18,7,FALSE)</f>
        <v>#N/A</v>
      </c>
      <c r="Z2781" s="81" t="e">
        <f>HLOOKUP(I2781,データについて!$J$3:$M$18,16,FALSE)</f>
        <v>#N/A</v>
      </c>
      <c r="AA2781" s="81" t="str">
        <f>IFERROR(HLOOKUP(J2781,データについて!$J$4:$AH$19,16,FALSE),"")</f>
        <v/>
      </c>
      <c r="AB2781" s="81" t="str">
        <f>IFERROR(HLOOKUP(K2781,データについて!$J$5:$AH$20,14,FALSE),"")</f>
        <v/>
      </c>
      <c r="AC2781" s="81" t="e">
        <f>IF(X2781=1,HLOOKUP(R2781,データについて!$J$12:$M$18,7,FALSE),"*")</f>
        <v>#N/A</v>
      </c>
      <c r="AD2781" s="81" t="e">
        <f>IF(X2781=2,HLOOKUP(R2781,データについて!$J$12:$M$18,7,FALSE),"*")</f>
        <v>#N/A</v>
      </c>
    </row>
    <row r="2782" spans="19:30">
      <c r="S2782" s="81" t="e">
        <f>HLOOKUP(L2782,データについて!$J$6:$M$18,13,FALSE)</f>
        <v>#N/A</v>
      </c>
      <c r="T2782" s="81" t="e">
        <f>HLOOKUP(M2782,データについて!$J$7:$M$18,12,FALSE)</f>
        <v>#N/A</v>
      </c>
      <c r="U2782" s="81" t="e">
        <f>HLOOKUP(N2782,データについて!$J$8:$M$18,11,FALSE)</f>
        <v>#N/A</v>
      </c>
      <c r="V2782" s="81" t="e">
        <f>HLOOKUP(O2782,データについて!$J$9:$M$18,10,FALSE)</f>
        <v>#N/A</v>
      </c>
      <c r="W2782" s="81" t="e">
        <f>HLOOKUP(P2782,データについて!$J$10:$M$18,9,FALSE)</f>
        <v>#N/A</v>
      </c>
      <c r="X2782" s="81" t="e">
        <f>HLOOKUP(Q2782,データについて!$J$11:$M$18,8,FALSE)</f>
        <v>#N/A</v>
      </c>
      <c r="Y2782" s="81" t="e">
        <f>HLOOKUP(R2782,データについて!$J$12:$M$18,7,FALSE)</f>
        <v>#N/A</v>
      </c>
      <c r="Z2782" s="81" t="e">
        <f>HLOOKUP(I2782,データについて!$J$3:$M$18,16,FALSE)</f>
        <v>#N/A</v>
      </c>
      <c r="AA2782" s="81" t="str">
        <f>IFERROR(HLOOKUP(J2782,データについて!$J$4:$AH$19,16,FALSE),"")</f>
        <v/>
      </c>
      <c r="AB2782" s="81" t="str">
        <f>IFERROR(HLOOKUP(K2782,データについて!$J$5:$AH$20,14,FALSE),"")</f>
        <v/>
      </c>
      <c r="AC2782" s="81" t="e">
        <f>IF(X2782=1,HLOOKUP(R2782,データについて!$J$12:$M$18,7,FALSE),"*")</f>
        <v>#N/A</v>
      </c>
      <c r="AD2782" s="81" t="e">
        <f>IF(X2782=2,HLOOKUP(R2782,データについて!$J$12:$M$18,7,FALSE),"*")</f>
        <v>#N/A</v>
      </c>
    </row>
    <row r="2783" spans="19:30">
      <c r="S2783" s="81" t="e">
        <f>HLOOKUP(L2783,データについて!$J$6:$M$18,13,FALSE)</f>
        <v>#N/A</v>
      </c>
      <c r="T2783" s="81" t="e">
        <f>HLOOKUP(M2783,データについて!$J$7:$M$18,12,FALSE)</f>
        <v>#N/A</v>
      </c>
      <c r="U2783" s="81" t="e">
        <f>HLOOKUP(N2783,データについて!$J$8:$M$18,11,FALSE)</f>
        <v>#N/A</v>
      </c>
      <c r="V2783" s="81" t="e">
        <f>HLOOKUP(O2783,データについて!$J$9:$M$18,10,FALSE)</f>
        <v>#N/A</v>
      </c>
      <c r="W2783" s="81" t="e">
        <f>HLOOKUP(P2783,データについて!$J$10:$M$18,9,FALSE)</f>
        <v>#N/A</v>
      </c>
      <c r="X2783" s="81" t="e">
        <f>HLOOKUP(Q2783,データについて!$J$11:$M$18,8,FALSE)</f>
        <v>#N/A</v>
      </c>
      <c r="Y2783" s="81" t="e">
        <f>HLOOKUP(R2783,データについて!$J$12:$M$18,7,FALSE)</f>
        <v>#N/A</v>
      </c>
      <c r="Z2783" s="81" t="e">
        <f>HLOOKUP(I2783,データについて!$J$3:$M$18,16,FALSE)</f>
        <v>#N/A</v>
      </c>
      <c r="AA2783" s="81" t="str">
        <f>IFERROR(HLOOKUP(J2783,データについて!$J$4:$AH$19,16,FALSE),"")</f>
        <v/>
      </c>
      <c r="AB2783" s="81" t="str">
        <f>IFERROR(HLOOKUP(K2783,データについて!$J$5:$AH$20,14,FALSE),"")</f>
        <v/>
      </c>
      <c r="AC2783" s="81" t="e">
        <f>IF(X2783=1,HLOOKUP(R2783,データについて!$J$12:$M$18,7,FALSE),"*")</f>
        <v>#N/A</v>
      </c>
      <c r="AD2783" s="81" t="e">
        <f>IF(X2783=2,HLOOKUP(R2783,データについて!$J$12:$M$18,7,FALSE),"*")</f>
        <v>#N/A</v>
      </c>
    </row>
    <row r="2784" spans="19:30">
      <c r="S2784" s="81" t="e">
        <f>HLOOKUP(L2784,データについて!$J$6:$M$18,13,FALSE)</f>
        <v>#N/A</v>
      </c>
      <c r="T2784" s="81" t="e">
        <f>HLOOKUP(M2784,データについて!$J$7:$M$18,12,FALSE)</f>
        <v>#N/A</v>
      </c>
      <c r="U2784" s="81" t="e">
        <f>HLOOKUP(N2784,データについて!$J$8:$M$18,11,FALSE)</f>
        <v>#N/A</v>
      </c>
      <c r="V2784" s="81" t="e">
        <f>HLOOKUP(O2784,データについて!$J$9:$M$18,10,FALSE)</f>
        <v>#N/A</v>
      </c>
      <c r="W2784" s="81" t="e">
        <f>HLOOKUP(P2784,データについて!$J$10:$M$18,9,FALSE)</f>
        <v>#N/A</v>
      </c>
      <c r="X2784" s="81" t="e">
        <f>HLOOKUP(Q2784,データについて!$J$11:$M$18,8,FALSE)</f>
        <v>#N/A</v>
      </c>
      <c r="Y2784" s="81" t="e">
        <f>HLOOKUP(R2784,データについて!$J$12:$M$18,7,FALSE)</f>
        <v>#N/A</v>
      </c>
      <c r="Z2784" s="81" t="e">
        <f>HLOOKUP(I2784,データについて!$J$3:$M$18,16,FALSE)</f>
        <v>#N/A</v>
      </c>
      <c r="AA2784" s="81" t="str">
        <f>IFERROR(HLOOKUP(J2784,データについて!$J$4:$AH$19,16,FALSE),"")</f>
        <v/>
      </c>
      <c r="AB2784" s="81" t="str">
        <f>IFERROR(HLOOKUP(K2784,データについて!$J$5:$AH$20,14,FALSE),"")</f>
        <v/>
      </c>
      <c r="AC2784" s="81" t="e">
        <f>IF(X2784=1,HLOOKUP(R2784,データについて!$J$12:$M$18,7,FALSE),"*")</f>
        <v>#N/A</v>
      </c>
      <c r="AD2784" s="81" t="e">
        <f>IF(X2784=2,HLOOKUP(R2784,データについて!$J$12:$M$18,7,FALSE),"*")</f>
        <v>#N/A</v>
      </c>
    </row>
    <row r="2785" spans="19:30">
      <c r="S2785" s="81" t="e">
        <f>HLOOKUP(L2785,データについて!$J$6:$M$18,13,FALSE)</f>
        <v>#N/A</v>
      </c>
      <c r="T2785" s="81" t="e">
        <f>HLOOKUP(M2785,データについて!$J$7:$M$18,12,FALSE)</f>
        <v>#N/A</v>
      </c>
      <c r="U2785" s="81" t="e">
        <f>HLOOKUP(N2785,データについて!$J$8:$M$18,11,FALSE)</f>
        <v>#N/A</v>
      </c>
      <c r="V2785" s="81" t="e">
        <f>HLOOKUP(O2785,データについて!$J$9:$M$18,10,FALSE)</f>
        <v>#N/A</v>
      </c>
      <c r="W2785" s="81" t="e">
        <f>HLOOKUP(P2785,データについて!$J$10:$M$18,9,FALSE)</f>
        <v>#N/A</v>
      </c>
      <c r="X2785" s="81" t="e">
        <f>HLOOKUP(Q2785,データについて!$J$11:$M$18,8,FALSE)</f>
        <v>#N/A</v>
      </c>
      <c r="Y2785" s="81" t="e">
        <f>HLOOKUP(R2785,データについて!$J$12:$M$18,7,FALSE)</f>
        <v>#N/A</v>
      </c>
      <c r="Z2785" s="81" t="e">
        <f>HLOOKUP(I2785,データについて!$J$3:$M$18,16,FALSE)</f>
        <v>#N/A</v>
      </c>
      <c r="AA2785" s="81" t="str">
        <f>IFERROR(HLOOKUP(J2785,データについて!$J$4:$AH$19,16,FALSE),"")</f>
        <v/>
      </c>
      <c r="AB2785" s="81" t="str">
        <f>IFERROR(HLOOKUP(K2785,データについて!$J$5:$AH$20,14,FALSE),"")</f>
        <v/>
      </c>
      <c r="AC2785" s="81" t="e">
        <f>IF(X2785=1,HLOOKUP(R2785,データについて!$J$12:$M$18,7,FALSE),"*")</f>
        <v>#N/A</v>
      </c>
      <c r="AD2785" s="81" t="e">
        <f>IF(X2785=2,HLOOKUP(R2785,データについて!$J$12:$M$18,7,FALSE),"*")</f>
        <v>#N/A</v>
      </c>
    </row>
    <row r="2786" spans="19:30">
      <c r="S2786" s="81" t="e">
        <f>HLOOKUP(L2786,データについて!$J$6:$M$18,13,FALSE)</f>
        <v>#N/A</v>
      </c>
      <c r="T2786" s="81" t="e">
        <f>HLOOKUP(M2786,データについて!$J$7:$M$18,12,FALSE)</f>
        <v>#N/A</v>
      </c>
      <c r="U2786" s="81" t="e">
        <f>HLOOKUP(N2786,データについて!$J$8:$M$18,11,FALSE)</f>
        <v>#N/A</v>
      </c>
      <c r="V2786" s="81" t="e">
        <f>HLOOKUP(O2786,データについて!$J$9:$M$18,10,FALSE)</f>
        <v>#N/A</v>
      </c>
      <c r="W2786" s="81" t="e">
        <f>HLOOKUP(P2786,データについて!$J$10:$M$18,9,FALSE)</f>
        <v>#N/A</v>
      </c>
      <c r="X2786" s="81" t="e">
        <f>HLOOKUP(Q2786,データについて!$J$11:$M$18,8,FALSE)</f>
        <v>#N/A</v>
      </c>
      <c r="Y2786" s="81" t="e">
        <f>HLOOKUP(R2786,データについて!$J$12:$M$18,7,FALSE)</f>
        <v>#N/A</v>
      </c>
      <c r="Z2786" s="81" t="e">
        <f>HLOOKUP(I2786,データについて!$J$3:$M$18,16,FALSE)</f>
        <v>#N/A</v>
      </c>
      <c r="AA2786" s="81" t="str">
        <f>IFERROR(HLOOKUP(J2786,データについて!$J$4:$AH$19,16,FALSE),"")</f>
        <v/>
      </c>
      <c r="AB2786" s="81" t="str">
        <f>IFERROR(HLOOKUP(K2786,データについて!$J$5:$AH$20,14,FALSE),"")</f>
        <v/>
      </c>
      <c r="AC2786" s="81" t="e">
        <f>IF(X2786=1,HLOOKUP(R2786,データについて!$J$12:$M$18,7,FALSE),"*")</f>
        <v>#N/A</v>
      </c>
      <c r="AD2786" s="81" t="e">
        <f>IF(X2786=2,HLOOKUP(R2786,データについて!$J$12:$M$18,7,FALSE),"*")</f>
        <v>#N/A</v>
      </c>
    </row>
    <row r="2787" spans="19:30">
      <c r="S2787" s="81" t="e">
        <f>HLOOKUP(L2787,データについて!$J$6:$M$18,13,FALSE)</f>
        <v>#N/A</v>
      </c>
      <c r="T2787" s="81" t="e">
        <f>HLOOKUP(M2787,データについて!$J$7:$M$18,12,FALSE)</f>
        <v>#N/A</v>
      </c>
      <c r="U2787" s="81" t="e">
        <f>HLOOKUP(N2787,データについて!$J$8:$M$18,11,FALSE)</f>
        <v>#N/A</v>
      </c>
      <c r="V2787" s="81" t="e">
        <f>HLOOKUP(O2787,データについて!$J$9:$M$18,10,FALSE)</f>
        <v>#N/A</v>
      </c>
      <c r="W2787" s="81" t="e">
        <f>HLOOKUP(P2787,データについて!$J$10:$M$18,9,FALSE)</f>
        <v>#N/A</v>
      </c>
      <c r="X2787" s="81" t="e">
        <f>HLOOKUP(Q2787,データについて!$J$11:$M$18,8,FALSE)</f>
        <v>#N/A</v>
      </c>
      <c r="Y2787" s="81" t="e">
        <f>HLOOKUP(R2787,データについて!$J$12:$M$18,7,FALSE)</f>
        <v>#N/A</v>
      </c>
      <c r="Z2787" s="81" t="e">
        <f>HLOOKUP(I2787,データについて!$J$3:$M$18,16,FALSE)</f>
        <v>#N/A</v>
      </c>
      <c r="AA2787" s="81" t="str">
        <f>IFERROR(HLOOKUP(J2787,データについて!$J$4:$AH$19,16,FALSE),"")</f>
        <v/>
      </c>
      <c r="AB2787" s="81" t="str">
        <f>IFERROR(HLOOKUP(K2787,データについて!$J$5:$AH$20,14,FALSE),"")</f>
        <v/>
      </c>
      <c r="AC2787" s="81" t="e">
        <f>IF(X2787=1,HLOOKUP(R2787,データについて!$J$12:$M$18,7,FALSE),"*")</f>
        <v>#N/A</v>
      </c>
      <c r="AD2787" s="81" t="e">
        <f>IF(X2787=2,HLOOKUP(R2787,データについて!$J$12:$M$18,7,FALSE),"*")</f>
        <v>#N/A</v>
      </c>
    </row>
    <row r="2788" spans="19:30">
      <c r="S2788" s="81" t="e">
        <f>HLOOKUP(L2788,データについて!$J$6:$M$18,13,FALSE)</f>
        <v>#N/A</v>
      </c>
      <c r="T2788" s="81" t="e">
        <f>HLOOKUP(M2788,データについて!$J$7:$M$18,12,FALSE)</f>
        <v>#N/A</v>
      </c>
      <c r="U2788" s="81" t="e">
        <f>HLOOKUP(N2788,データについて!$J$8:$M$18,11,FALSE)</f>
        <v>#N/A</v>
      </c>
      <c r="V2788" s="81" t="e">
        <f>HLOOKUP(O2788,データについて!$J$9:$M$18,10,FALSE)</f>
        <v>#N/A</v>
      </c>
      <c r="W2788" s="81" t="e">
        <f>HLOOKUP(P2788,データについて!$J$10:$M$18,9,FALSE)</f>
        <v>#N/A</v>
      </c>
      <c r="X2788" s="81" t="e">
        <f>HLOOKUP(Q2788,データについて!$J$11:$M$18,8,FALSE)</f>
        <v>#N/A</v>
      </c>
      <c r="Y2788" s="81" t="e">
        <f>HLOOKUP(R2788,データについて!$J$12:$M$18,7,FALSE)</f>
        <v>#N/A</v>
      </c>
      <c r="Z2788" s="81" t="e">
        <f>HLOOKUP(I2788,データについて!$J$3:$M$18,16,FALSE)</f>
        <v>#N/A</v>
      </c>
      <c r="AA2788" s="81" t="str">
        <f>IFERROR(HLOOKUP(J2788,データについて!$J$4:$AH$19,16,FALSE),"")</f>
        <v/>
      </c>
      <c r="AB2788" s="81" t="str">
        <f>IFERROR(HLOOKUP(K2788,データについて!$J$5:$AH$20,14,FALSE),"")</f>
        <v/>
      </c>
      <c r="AC2788" s="81" t="e">
        <f>IF(X2788=1,HLOOKUP(R2788,データについて!$J$12:$M$18,7,FALSE),"*")</f>
        <v>#N/A</v>
      </c>
      <c r="AD2788" s="81" t="e">
        <f>IF(X2788=2,HLOOKUP(R2788,データについて!$J$12:$M$18,7,FALSE),"*")</f>
        <v>#N/A</v>
      </c>
    </row>
    <row r="2789" spans="19:30">
      <c r="S2789" s="81" t="e">
        <f>HLOOKUP(L2789,データについて!$J$6:$M$18,13,FALSE)</f>
        <v>#N/A</v>
      </c>
      <c r="T2789" s="81" t="e">
        <f>HLOOKUP(M2789,データについて!$J$7:$M$18,12,FALSE)</f>
        <v>#N/A</v>
      </c>
      <c r="U2789" s="81" t="e">
        <f>HLOOKUP(N2789,データについて!$J$8:$M$18,11,FALSE)</f>
        <v>#N/A</v>
      </c>
      <c r="V2789" s="81" t="e">
        <f>HLOOKUP(O2789,データについて!$J$9:$M$18,10,FALSE)</f>
        <v>#N/A</v>
      </c>
      <c r="W2789" s="81" t="e">
        <f>HLOOKUP(P2789,データについて!$J$10:$M$18,9,FALSE)</f>
        <v>#N/A</v>
      </c>
      <c r="X2789" s="81" t="e">
        <f>HLOOKUP(Q2789,データについて!$J$11:$M$18,8,FALSE)</f>
        <v>#N/A</v>
      </c>
      <c r="Y2789" s="81" t="e">
        <f>HLOOKUP(R2789,データについて!$J$12:$M$18,7,FALSE)</f>
        <v>#N/A</v>
      </c>
      <c r="Z2789" s="81" t="e">
        <f>HLOOKUP(I2789,データについて!$J$3:$M$18,16,FALSE)</f>
        <v>#N/A</v>
      </c>
      <c r="AA2789" s="81" t="str">
        <f>IFERROR(HLOOKUP(J2789,データについて!$J$4:$AH$19,16,FALSE),"")</f>
        <v/>
      </c>
      <c r="AB2789" s="81" t="str">
        <f>IFERROR(HLOOKUP(K2789,データについて!$J$5:$AH$20,14,FALSE),"")</f>
        <v/>
      </c>
      <c r="AC2789" s="81" t="e">
        <f>IF(X2789=1,HLOOKUP(R2789,データについて!$J$12:$M$18,7,FALSE),"*")</f>
        <v>#N/A</v>
      </c>
      <c r="AD2789" s="81" t="e">
        <f>IF(X2789=2,HLOOKUP(R2789,データについて!$J$12:$M$18,7,FALSE),"*")</f>
        <v>#N/A</v>
      </c>
    </row>
    <row r="2790" spans="19:30">
      <c r="S2790" s="81" t="e">
        <f>HLOOKUP(L2790,データについて!$J$6:$M$18,13,FALSE)</f>
        <v>#N/A</v>
      </c>
      <c r="T2790" s="81" t="e">
        <f>HLOOKUP(M2790,データについて!$J$7:$M$18,12,FALSE)</f>
        <v>#N/A</v>
      </c>
      <c r="U2790" s="81" t="e">
        <f>HLOOKUP(N2790,データについて!$J$8:$M$18,11,FALSE)</f>
        <v>#N/A</v>
      </c>
      <c r="V2790" s="81" t="e">
        <f>HLOOKUP(O2790,データについて!$J$9:$M$18,10,FALSE)</f>
        <v>#N/A</v>
      </c>
      <c r="W2790" s="81" t="e">
        <f>HLOOKUP(P2790,データについて!$J$10:$M$18,9,FALSE)</f>
        <v>#N/A</v>
      </c>
      <c r="X2790" s="81" t="e">
        <f>HLOOKUP(Q2790,データについて!$J$11:$M$18,8,FALSE)</f>
        <v>#N/A</v>
      </c>
      <c r="Y2790" s="81" t="e">
        <f>HLOOKUP(R2790,データについて!$J$12:$M$18,7,FALSE)</f>
        <v>#N/A</v>
      </c>
      <c r="Z2790" s="81" t="e">
        <f>HLOOKUP(I2790,データについて!$J$3:$M$18,16,FALSE)</f>
        <v>#N/A</v>
      </c>
      <c r="AA2790" s="81" t="str">
        <f>IFERROR(HLOOKUP(J2790,データについて!$J$4:$AH$19,16,FALSE),"")</f>
        <v/>
      </c>
      <c r="AB2790" s="81" t="str">
        <f>IFERROR(HLOOKUP(K2790,データについて!$J$5:$AH$20,14,FALSE),"")</f>
        <v/>
      </c>
      <c r="AC2790" s="81" t="e">
        <f>IF(X2790=1,HLOOKUP(R2790,データについて!$J$12:$M$18,7,FALSE),"*")</f>
        <v>#N/A</v>
      </c>
      <c r="AD2790" s="81" t="e">
        <f>IF(X2790=2,HLOOKUP(R2790,データについて!$J$12:$M$18,7,FALSE),"*")</f>
        <v>#N/A</v>
      </c>
    </row>
    <row r="2791" spans="19:30">
      <c r="S2791" s="81" t="e">
        <f>HLOOKUP(L2791,データについて!$J$6:$M$18,13,FALSE)</f>
        <v>#N/A</v>
      </c>
      <c r="T2791" s="81" t="e">
        <f>HLOOKUP(M2791,データについて!$J$7:$M$18,12,FALSE)</f>
        <v>#N/A</v>
      </c>
      <c r="U2791" s="81" t="e">
        <f>HLOOKUP(N2791,データについて!$J$8:$M$18,11,FALSE)</f>
        <v>#N/A</v>
      </c>
      <c r="V2791" s="81" t="e">
        <f>HLOOKUP(O2791,データについて!$J$9:$M$18,10,FALSE)</f>
        <v>#N/A</v>
      </c>
      <c r="W2791" s="81" t="e">
        <f>HLOOKUP(P2791,データについて!$J$10:$M$18,9,FALSE)</f>
        <v>#N/A</v>
      </c>
      <c r="X2791" s="81" t="e">
        <f>HLOOKUP(Q2791,データについて!$J$11:$M$18,8,FALSE)</f>
        <v>#N/A</v>
      </c>
      <c r="Y2791" s="81" t="e">
        <f>HLOOKUP(R2791,データについて!$J$12:$M$18,7,FALSE)</f>
        <v>#N/A</v>
      </c>
      <c r="Z2791" s="81" t="e">
        <f>HLOOKUP(I2791,データについて!$J$3:$M$18,16,FALSE)</f>
        <v>#N/A</v>
      </c>
      <c r="AA2791" s="81" t="str">
        <f>IFERROR(HLOOKUP(J2791,データについて!$J$4:$AH$19,16,FALSE),"")</f>
        <v/>
      </c>
      <c r="AB2791" s="81" t="str">
        <f>IFERROR(HLOOKUP(K2791,データについて!$J$5:$AH$20,14,FALSE),"")</f>
        <v/>
      </c>
      <c r="AC2791" s="81" t="e">
        <f>IF(X2791=1,HLOOKUP(R2791,データについて!$J$12:$M$18,7,FALSE),"*")</f>
        <v>#N/A</v>
      </c>
      <c r="AD2791" s="81" t="e">
        <f>IF(X2791=2,HLOOKUP(R2791,データについて!$J$12:$M$18,7,FALSE),"*")</f>
        <v>#N/A</v>
      </c>
    </row>
    <row r="2792" spans="19:30">
      <c r="S2792" s="81" t="e">
        <f>HLOOKUP(L2792,データについて!$J$6:$M$18,13,FALSE)</f>
        <v>#N/A</v>
      </c>
      <c r="T2792" s="81" t="e">
        <f>HLOOKUP(M2792,データについて!$J$7:$M$18,12,FALSE)</f>
        <v>#N/A</v>
      </c>
      <c r="U2792" s="81" t="e">
        <f>HLOOKUP(N2792,データについて!$J$8:$M$18,11,FALSE)</f>
        <v>#N/A</v>
      </c>
      <c r="V2792" s="81" t="e">
        <f>HLOOKUP(O2792,データについて!$J$9:$M$18,10,FALSE)</f>
        <v>#N/A</v>
      </c>
      <c r="W2792" s="81" t="e">
        <f>HLOOKUP(P2792,データについて!$J$10:$M$18,9,FALSE)</f>
        <v>#N/A</v>
      </c>
      <c r="X2792" s="81" t="e">
        <f>HLOOKUP(Q2792,データについて!$J$11:$M$18,8,FALSE)</f>
        <v>#N/A</v>
      </c>
      <c r="Y2792" s="81" t="e">
        <f>HLOOKUP(R2792,データについて!$J$12:$M$18,7,FALSE)</f>
        <v>#N/A</v>
      </c>
      <c r="Z2792" s="81" t="e">
        <f>HLOOKUP(I2792,データについて!$J$3:$M$18,16,FALSE)</f>
        <v>#N/A</v>
      </c>
      <c r="AA2792" s="81" t="str">
        <f>IFERROR(HLOOKUP(J2792,データについて!$J$4:$AH$19,16,FALSE),"")</f>
        <v/>
      </c>
      <c r="AB2792" s="81" t="str">
        <f>IFERROR(HLOOKUP(K2792,データについて!$J$5:$AH$20,14,FALSE),"")</f>
        <v/>
      </c>
      <c r="AC2792" s="81" t="e">
        <f>IF(X2792=1,HLOOKUP(R2792,データについて!$J$12:$M$18,7,FALSE),"*")</f>
        <v>#N/A</v>
      </c>
      <c r="AD2792" s="81" t="e">
        <f>IF(X2792=2,HLOOKUP(R2792,データについて!$J$12:$M$18,7,FALSE),"*")</f>
        <v>#N/A</v>
      </c>
    </row>
    <row r="2793" spans="19:30">
      <c r="S2793" s="81" t="e">
        <f>HLOOKUP(L2793,データについて!$J$6:$M$18,13,FALSE)</f>
        <v>#N/A</v>
      </c>
      <c r="T2793" s="81" t="e">
        <f>HLOOKUP(M2793,データについて!$J$7:$M$18,12,FALSE)</f>
        <v>#N/A</v>
      </c>
      <c r="U2793" s="81" t="e">
        <f>HLOOKUP(N2793,データについて!$J$8:$M$18,11,FALSE)</f>
        <v>#N/A</v>
      </c>
      <c r="V2793" s="81" t="e">
        <f>HLOOKUP(O2793,データについて!$J$9:$M$18,10,FALSE)</f>
        <v>#N/A</v>
      </c>
      <c r="W2793" s="81" t="e">
        <f>HLOOKUP(P2793,データについて!$J$10:$M$18,9,FALSE)</f>
        <v>#N/A</v>
      </c>
      <c r="X2793" s="81" t="e">
        <f>HLOOKUP(Q2793,データについて!$J$11:$M$18,8,FALSE)</f>
        <v>#N/A</v>
      </c>
      <c r="Y2793" s="81" t="e">
        <f>HLOOKUP(R2793,データについて!$J$12:$M$18,7,FALSE)</f>
        <v>#N/A</v>
      </c>
      <c r="Z2793" s="81" t="e">
        <f>HLOOKUP(I2793,データについて!$J$3:$M$18,16,FALSE)</f>
        <v>#N/A</v>
      </c>
      <c r="AA2793" s="81" t="str">
        <f>IFERROR(HLOOKUP(J2793,データについて!$J$4:$AH$19,16,FALSE),"")</f>
        <v/>
      </c>
      <c r="AB2793" s="81" t="str">
        <f>IFERROR(HLOOKUP(K2793,データについて!$J$5:$AH$20,14,FALSE),"")</f>
        <v/>
      </c>
      <c r="AC2793" s="81" t="e">
        <f>IF(X2793=1,HLOOKUP(R2793,データについて!$J$12:$M$18,7,FALSE),"*")</f>
        <v>#N/A</v>
      </c>
      <c r="AD2793" s="81" t="e">
        <f>IF(X2793=2,HLOOKUP(R2793,データについて!$J$12:$M$18,7,FALSE),"*")</f>
        <v>#N/A</v>
      </c>
    </row>
    <row r="2794" spans="19:30">
      <c r="S2794" s="81" t="e">
        <f>HLOOKUP(L2794,データについて!$J$6:$M$18,13,FALSE)</f>
        <v>#N/A</v>
      </c>
      <c r="T2794" s="81" t="e">
        <f>HLOOKUP(M2794,データについて!$J$7:$M$18,12,FALSE)</f>
        <v>#N/A</v>
      </c>
      <c r="U2794" s="81" t="e">
        <f>HLOOKUP(N2794,データについて!$J$8:$M$18,11,FALSE)</f>
        <v>#N/A</v>
      </c>
      <c r="V2794" s="81" t="e">
        <f>HLOOKUP(O2794,データについて!$J$9:$M$18,10,FALSE)</f>
        <v>#N/A</v>
      </c>
      <c r="W2794" s="81" t="e">
        <f>HLOOKUP(P2794,データについて!$J$10:$M$18,9,FALSE)</f>
        <v>#N/A</v>
      </c>
      <c r="X2794" s="81" t="e">
        <f>HLOOKUP(Q2794,データについて!$J$11:$M$18,8,FALSE)</f>
        <v>#N/A</v>
      </c>
      <c r="Y2794" s="81" t="e">
        <f>HLOOKUP(R2794,データについて!$J$12:$M$18,7,FALSE)</f>
        <v>#N/A</v>
      </c>
      <c r="Z2794" s="81" t="e">
        <f>HLOOKUP(I2794,データについて!$J$3:$M$18,16,FALSE)</f>
        <v>#N/A</v>
      </c>
      <c r="AA2794" s="81" t="str">
        <f>IFERROR(HLOOKUP(J2794,データについて!$J$4:$AH$19,16,FALSE),"")</f>
        <v/>
      </c>
      <c r="AB2794" s="81" t="str">
        <f>IFERROR(HLOOKUP(K2794,データについて!$J$5:$AH$20,14,FALSE),"")</f>
        <v/>
      </c>
      <c r="AC2794" s="81" t="e">
        <f>IF(X2794=1,HLOOKUP(R2794,データについて!$J$12:$M$18,7,FALSE),"*")</f>
        <v>#N/A</v>
      </c>
      <c r="AD2794" s="81" t="e">
        <f>IF(X2794=2,HLOOKUP(R2794,データについて!$J$12:$M$18,7,FALSE),"*")</f>
        <v>#N/A</v>
      </c>
    </row>
    <row r="2795" spans="19:30">
      <c r="S2795" s="81" t="e">
        <f>HLOOKUP(L2795,データについて!$J$6:$M$18,13,FALSE)</f>
        <v>#N/A</v>
      </c>
      <c r="T2795" s="81" t="e">
        <f>HLOOKUP(M2795,データについて!$J$7:$M$18,12,FALSE)</f>
        <v>#N/A</v>
      </c>
      <c r="U2795" s="81" t="e">
        <f>HLOOKUP(N2795,データについて!$J$8:$M$18,11,FALSE)</f>
        <v>#N/A</v>
      </c>
      <c r="V2795" s="81" t="e">
        <f>HLOOKUP(O2795,データについて!$J$9:$M$18,10,FALSE)</f>
        <v>#N/A</v>
      </c>
      <c r="W2795" s="81" t="e">
        <f>HLOOKUP(P2795,データについて!$J$10:$M$18,9,FALSE)</f>
        <v>#N/A</v>
      </c>
      <c r="X2795" s="81" t="e">
        <f>HLOOKUP(Q2795,データについて!$J$11:$M$18,8,FALSE)</f>
        <v>#N/A</v>
      </c>
      <c r="Y2795" s="81" t="e">
        <f>HLOOKUP(R2795,データについて!$J$12:$M$18,7,FALSE)</f>
        <v>#N/A</v>
      </c>
      <c r="Z2795" s="81" t="e">
        <f>HLOOKUP(I2795,データについて!$J$3:$M$18,16,FALSE)</f>
        <v>#N/A</v>
      </c>
      <c r="AA2795" s="81" t="str">
        <f>IFERROR(HLOOKUP(J2795,データについて!$J$4:$AH$19,16,FALSE),"")</f>
        <v/>
      </c>
      <c r="AB2795" s="81" t="str">
        <f>IFERROR(HLOOKUP(K2795,データについて!$J$5:$AH$20,14,FALSE),"")</f>
        <v/>
      </c>
      <c r="AC2795" s="81" t="e">
        <f>IF(X2795=1,HLOOKUP(R2795,データについて!$J$12:$M$18,7,FALSE),"*")</f>
        <v>#N/A</v>
      </c>
      <c r="AD2795" s="81" t="e">
        <f>IF(X2795=2,HLOOKUP(R2795,データについて!$J$12:$M$18,7,FALSE),"*")</f>
        <v>#N/A</v>
      </c>
    </row>
    <row r="2796" spans="19:30">
      <c r="S2796" s="81" t="e">
        <f>HLOOKUP(L2796,データについて!$J$6:$M$18,13,FALSE)</f>
        <v>#N/A</v>
      </c>
      <c r="T2796" s="81" t="e">
        <f>HLOOKUP(M2796,データについて!$J$7:$M$18,12,FALSE)</f>
        <v>#N/A</v>
      </c>
      <c r="U2796" s="81" t="e">
        <f>HLOOKUP(N2796,データについて!$J$8:$M$18,11,FALSE)</f>
        <v>#N/A</v>
      </c>
      <c r="V2796" s="81" t="e">
        <f>HLOOKUP(O2796,データについて!$J$9:$M$18,10,FALSE)</f>
        <v>#N/A</v>
      </c>
      <c r="W2796" s="81" t="e">
        <f>HLOOKUP(P2796,データについて!$J$10:$M$18,9,FALSE)</f>
        <v>#N/A</v>
      </c>
      <c r="X2796" s="81" t="e">
        <f>HLOOKUP(Q2796,データについて!$J$11:$M$18,8,FALSE)</f>
        <v>#N/A</v>
      </c>
      <c r="Y2796" s="81" t="e">
        <f>HLOOKUP(R2796,データについて!$J$12:$M$18,7,FALSE)</f>
        <v>#N/A</v>
      </c>
      <c r="Z2796" s="81" t="e">
        <f>HLOOKUP(I2796,データについて!$J$3:$M$18,16,FALSE)</f>
        <v>#N/A</v>
      </c>
      <c r="AA2796" s="81" t="str">
        <f>IFERROR(HLOOKUP(J2796,データについて!$J$4:$AH$19,16,FALSE),"")</f>
        <v/>
      </c>
      <c r="AB2796" s="81" t="str">
        <f>IFERROR(HLOOKUP(K2796,データについて!$J$5:$AH$20,14,FALSE),"")</f>
        <v/>
      </c>
      <c r="AC2796" s="81" t="e">
        <f>IF(X2796=1,HLOOKUP(R2796,データについて!$J$12:$M$18,7,FALSE),"*")</f>
        <v>#N/A</v>
      </c>
      <c r="AD2796" s="81" t="e">
        <f>IF(X2796=2,HLOOKUP(R2796,データについて!$J$12:$M$18,7,FALSE),"*")</f>
        <v>#N/A</v>
      </c>
    </row>
    <row r="2797" spans="19:30">
      <c r="S2797" s="81" t="e">
        <f>HLOOKUP(L2797,データについて!$J$6:$M$18,13,FALSE)</f>
        <v>#N/A</v>
      </c>
      <c r="T2797" s="81" t="e">
        <f>HLOOKUP(M2797,データについて!$J$7:$M$18,12,FALSE)</f>
        <v>#N/A</v>
      </c>
      <c r="U2797" s="81" t="e">
        <f>HLOOKUP(N2797,データについて!$J$8:$M$18,11,FALSE)</f>
        <v>#N/A</v>
      </c>
      <c r="V2797" s="81" t="e">
        <f>HLOOKUP(O2797,データについて!$J$9:$M$18,10,FALSE)</f>
        <v>#N/A</v>
      </c>
      <c r="W2797" s="81" t="e">
        <f>HLOOKUP(P2797,データについて!$J$10:$M$18,9,FALSE)</f>
        <v>#N/A</v>
      </c>
      <c r="X2797" s="81" t="e">
        <f>HLOOKUP(Q2797,データについて!$J$11:$M$18,8,FALSE)</f>
        <v>#N/A</v>
      </c>
      <c r="Y2797" s="81" t="e">
        <f>HLOOKUP(R2797,データについて!$J$12:$M$18,7,FALSE)</f>
        <v>#N/A</v>
      </c>
      <c r="Z2797" s="81" t="e">
        <f>HLOOKUP(I2797,データについて!$J$3:$M$18,16,FALSE)</f>
        <v>#N/A</v>
      </c>
      <c r="AA2797" s="81" t="str">
        <f>IFERROR(HLOOKUP(J2797,データについて!$J$4:$AH$19,16,FALSE),"")</f>
        <v/>
      </c>
      <c r="AB2797" s="81" t="str">
        <f>IFERROR(HLOOKUP(K2797,データについて!$J$5:$AH$20,14,FALSE),"")</f>
        <v/>
      </c>
      <c r="AC2797" s="81" t="e">
        <f>IF(X2797=1,HLOOKUP(R2797,データについて!$J$12:$M$18,7,FALSE),"*")</f>
        <v>#N/A</v>
      </c>
      <c r="AD2797" s="81" t="e">
        <f>IF(X2797=2,HLOOKUP(R2797,データについて!$J$12:$M$18,7,FALSE),"*")</f>
        <v>#N/A</v>
      </c>
    </row>
    <row r="2798" spans="19:30">
      <c r="S2798" s="81" t="e">
        <f>HLOOKUP(L2798,データについて!$J$6:$M$18,13,FALSE)</f>
        <v>#N/A</v>
      </c>
      <c r="T2798" s="81" t="e">
        <f>HLOOKUP(M2798,データについて!$J$7:$M$18,12,FALSE)</f>
        <v>#N/A</v>
      </c>
      <c r="U2798" s="81" t="e">
        <f>HLOOKUP(N2798,データについて!$J$8:$M$18,11,FALSE)</f>
        <v>#N/A</v>
      </c>
      <c r="V2798" s="81" t="e">
        <f>HLOOKUP(O2798,データについて!$J$9:$M$18,10,FALSE)</f>
        <v>#N/A</v>
      </c>
      <c r="W2798" s="81" t="e">
        <f>HLOOKUP(P2798,データについて!$J$10:$M$18,9,FALSE)</f>
        <v>#N/A</v>
      </c>
      <c r="X2798" s="81" t="e">
        <f>HLOOKUP(Q2798,データについて!$J$11:$M$18,8,FALSE)</f>
        <v>#N/A</v>
      </c>
      <c r="Y2798" s="81" t="e">
        <f>HLOOKUP(R2798,データについて!$J$12:$M$18,7,FALSE)</f>
        <v>#N/A</v>
      </c>
      <c r="Z2798" s="81" t="e">
        <f>HLOOKUP(I2798,データについて!$J$3:$M$18,16,FALSE)</f>
        <v>#N/A</v>
      </c>
      <c r="AA2798" s="81" t="str">
        <f>IFERROR(HLOOKUP(J2798,データについて!$J$4:$AH$19,16,FALSE),"")</f>
        <v/>
      </c>
      <c r="AB2798" s="81" t="str">
        <f>IFERROR(HLOOKUP(K2798,データについて!$J$5:$AH$20,14,FALSE),"")</f>
        <v/>
      </c>
      <c r="AC2798" s="81" t="e">
        <f>IF(X2798=1,HLOOKUP(R2798,データについて!$J$12:$M$18,7,FALSE),"*")</f>
        <v>#N/A</v>
      </c>
      <c r="AD2798" s="81" t="e">
        <f>IF(X2798=2,HLOOKUP(R2798,データについて!$J$12:$M$18,7,FALSE),"*")</f>
        <v>#N/A</v>
      </c>
    </row>
    <row r="2799" spans="19:30">
      <c r="S2799" s="81" t="e">
        <f>HLOOKUP(L2799,データについて!$J$6:$M$18,13,FALSE)</f>
        <v>#N/A</v>
      </c>
      <c r="T2799" s="81" t="e">
        <f>HLOOKUP(M2799,データについて!$J$7:$M$18,12,FALSE)</f>
        <v>#N/A</v>
      </c>
      <c r="U2799" s="81" t="e">
        <f>HLOOKUP(N2799,データについて!$J$8:$M$18,11,FALSE)</f>
        <v>#N/A</v>
      </c>
      <c r="V2799" s="81" t="e">
        <f>HLOOKUP(O2799,データについて!$J$9:$M$18,10,FALSE)</f>
        <v>#N/A</v>
      </c>
      <c r="W2799" s="81" t="e">
        <f>HLOOKUP(P2799,データについて!$J$10:$M$18,9,FALSE)</f>
        <v>#N/A</v>
      </c>
      <c r="X2799" s="81" t="e">
        <f>HLOOKUP(Q2799,データについて!$J$11:$M$18,8,FALSE)</f>
        <v>#N/A</v>
      </c>
      <c r="Y2799" s="81" t="e">
        <f>HLOOKUP(R2799,データについて!$J$12:$M$18,7,FALSE)</f>
        <v>#N/A</v>
      </c>
      <c r="Z2799" s="81" t="e">
        <f>HLOOKUP(I2799,データについて!$J$3:$M$18,16,FALSE)</f>
        <v>#N/A</v>
      </c>
      <c r="AA2799" s="81" t="str">
        <f>IFERROR(HLOOKUP(J2799,データについて!$J$4:$AH$19,16,FALSE),"")</f>
        <v/>
      </c>
      <c r="AB2799" s="81" t="str">
        <f>IFERROR(HLOOKUP(K2799,データについて!$J$5:$AH$20,14,FALSE),"")</f>
        <v/>
      </c>
      <c r="AC2799" s="81" t="e">
        <f>IF(X2799=1,HLOOKUP(R2799,データについて!$J$12:$M$18,7,FALSE),"*")</f>
        <v>#N/A</v>
      </c>
      <c r="AD2799" s="81" t="e">
        <f>IF(X2799=2,HLOOKUP(R2799,データについて!$J$12:$M$18,7,FALSE),"*")</f>
        <v>#N/A</v>
      </c>
    </row>
    <row r="2800" spans="19:30">
      <c r="S2800" s="81" t="e">
        <f>HLOOKUP(L2800,データについて!$J$6:$M$18,13,FALSE)</f>
        <v>#N/A</v>
      </c>
      <c r="T2800" s="81" t="e">
        <f>HLOOKUP(M2800,データについて!$J$7:$M$18,12,FALSE)</f>
        <v>#N/A</v>
      </c>
      <c r="U2800" s="81" t="e">
        <f>HLOOKUP(N2800,データについて!$J$8:$M$18,11,FALSE)</f>
        <v>#N/A</v>
      </c>
      <c r="V2800" s="81" t="e">
        <f>HLOOKUP(O2800,データについて!$J$9:$M$18,10,FALSE)</f>
        <v>#N/A</v>
      </c>
      <c r="W2800" s="81" t="e">
        <f>HLOOKUP(P2800,データについて!$J$10:$M$18,9,FALSE)</f>
        <v>#N/A</v>
      </c>
      <c r="X2800" s="81" t="e">
        <f>HLOOKUP(Q2800,データについて!$J$11:$M$18,8,FALSE)</f>
        <v>#N/A</v>
      </c>
      <c r="Y2800" s="81" t="e">
        <f>HLOOKUP(R2800,データについて!$J$12:$M$18,7,FALSE)</f>
        <v>#N/A</v>
      </c>
      <c r="Z2800" s="81" t="e">
        <f>HLOOKUP(I2800,データについて!$J$3:$M$18,16,FALSE)</f>
        <v>#N/A</v>
      </c>
      <c r="AA2800" s="81" t="str">
        <f>IFERROR(HLOOKUP(J2800,データについて!$J$4:$AH$19,16,FALSE),"")</f>
        <v/>
      </c>
      <c r="AB2800" s="81" t="str">
        <f>IFERROR(HLOOKUP(K2800,データについて!$J$5:$AH$20,14,FALSE),"")</f>
        <v/>
      </c>
      <c r="AC2800" s="81" t="e">
        <f>IF(X2800=1,HLOOKUP(R2800,データについて!$J$12:$M$18,7,FALSE),"*")</f>
        <v>#N/A</v>
      </c>
      <c r="AD2800" s="81" t="e">
        <f>IF(X2800=2,HLOOKUP(R2800,データについて!$J$12:$M$18,7,FALSE),"*")</f>
        <v>#N/A</v>
      </c>
    </row>
    <row r="2801" spans="19:30">
      <c r="S2801" s="81" t="e">
        <f>HLOOKUP(L2801,データについて!$J$6:$M$18,13,FALSE)</f>
        <v>#N/A</v>
      </c>
      <c r="T2801" s="81" t="e">
        <f>HLOOKUP(M2801,データについて!$J$7:$M$18,12,FALSE)</f>
        <v>#N/A</v>
      </c>
      <c r="U2801" s="81" t="e">
        <f>HLOOKUP(N2801,データについて!$J$8:$M$18,11,FALSE)</f>
        <v>#N/A</v>
      </c>
      <c r="V2801" s="81" t="e">
        <f>HLOOKUP(O2801,データについて!$J$9:$M$18,10,FALSE)</f>
        <v>#N/A</v>
      </c>
      <c r="W2801" s="81" t="e">
        <f>HLOOKUP(P2801,データについて!$J$10:$M$18,9,FALSE)</f>
        <v>#N/A</v>
      </c>
      <c r="X2801" s="81" t="e">
        <f>HLOOKUP(Q2801,データについて!$J$11:$M$18,8,FALSE)</f>
        <v>#N/A</v>
      </c>
      <c r="Y2801" s="81" t="e">
        <f>HLOOKUP(R2801,データについて!$J$12:$M$18,7,FALSE)</f>
        <v>#N/A</v>
      </c>
      <c r="Z2801" s="81" t="e">
        <f>HLOOKUP(I2801,データについて!$J$3:$M$18,16,FALSE)</f>
        <v>#N/A</v>
      </c>
      <c r="AA2801" s="81" t="str">
        <f>IFERROR(HLOOKUP(J2801,データについて!$J$4:$AH$19,16,FALSE),"")</f>
        <v/>
      </c>
      <c r="AB2801" s="81" t="str">
        <f>IFERROR(HLOOKUP(K2801,データについて!$J$5:$AH$20,14,FALSE),"")</f>
        <v/>
      </c>
      <c r="AC2801" s="81" t="e">
        <f>IF(X2801=1,HLOOKUP(R2801,データについて!$J$12:$M$18,7,FALSE),"*")</f>
        <v>#N/A</v>
      </c>
      <c r="AD2801" s="81" t="e">
        <f>IF(X2801=2,HLOOKUP(R2801,データについて!$J$12:$M$18,7,FALSE),"*")</f>
        <v>#N/A</v>
      </c>
    </row>
    <row r="2802" spans="19:30">
      <c r="S2802" s="81" t="e">
        <f>HLOOKUP(L2802,データについて!$J$6:$M$18,13,FALSE)</f>
        <v>#N/A</v>
      </c>
      <c r="T2802" s="81" t="e">
        <f>HLOOKUP(M2802,データについて!$J$7:$M$18,12,FALSE)</f>
        <v>#N/A</v>
      </c>
      <c r="U2802" s="81" t="e">
        <f>HLOOKUP(N2802,データについて!$J$8:$M$18,11,FALSE)</f>
        <v>#N/A</v>
      </c>
      <c r="V2802" s="81" t="e">
        <f>HLOOKUP(O2802,データについて!$J$9:$M$18,10,FALSE)</f>
        <v>#N/A</v>
      </c>
      <c r="W2802" s="81" t="e">
        <f>HLOOKUP(P2802,データについて!$J$10:$M$18,9,FALSE)</f>
        <v>#N/A</v>
      </c>
      <c r="X2802" s="81" t="e">
        <f>HLOOKUP(Q2802,データについて!$J$11:$M$18,8,FALSE)</f>
        <v>#N/A</v>
      </c>
      <c r="Y2802" s="81" t="e">
        <f>HLOOKUP(R2802,データについて!$J$12:$M$18,7,FALSE)</f>
        <v>#N/A</v>
      </c>
      <c r="Z2802" s="81" t="e">
        <f>HLOOKUP(I2802,データについて!$J$3:$M$18,16,FALSE)</f>
        <v>#N/A</v>
      </c>
      <c r="AA2802" s="81" t="str">
        <f>IFERROR(HLOOKUP(J2802,データについて!$J$4:$AH$19,16,FALSE),"")</f>
        <v/>
      </c>
      <c r="AB2802" s="81" t="str">
        <f>IFERROR(HLOOKUP(K2802,データについて!$J$5:$AH$20,14,FALSE),"")</f>
        <v/>
      </c>
      <c r="AC2802" s="81" t="e">
        <f>IF(X2802=1,HLOOKUP(R2802,データについて!$J$12:$M$18,7,FALSE),"*")</f>
        <v>#N/A</v>
      </c>
      <c r="AD2802" s="81" t="e">
        <f>IF(X2802=2,HLOOKUP(R2802,データについて!$J$12:$M$18,7,FALSE),"*")</f>
        <v>#N/A</v>
      </c>
    </row>
    <row r="2803" spans="19:30">
      <c r="S2803" s="81" t="e">
        <f>HLOOKUP(L2803,データについて!$J$6:$M$18,13,FALSE)</f>
        <v>#N/A</v>
      </c>
      <c r="T2803" s="81" t="e">
        <f>HLOOKUP(M2803,データについて!$J$7:$M$18,12,FALSE)</f>
        <v>#N/A</v>
      </c>
      <c r="U2803" s="81" t="e">
        <f>HLOOKUP(N2803,データについて!$J$8:$M$18,11,FALSE)</f>
        <v>#N/A</v>
      </c>
      <c r="V2803" s="81" t="e">
        <f>HLOOKUP(O2803,データについて!$J$9:$M$18,10,FALSE)</f>
        <v>#N/A</v>
      </c>
      <c r="W2803" s="81" t="e">
        <f>HLOOKUP(P2803,データについて!$J$10:$M$18,9,FALSE)</f>
        <v>#N/A</v>
      </c>
      <c r="X2803" s="81" t="e">
        <f>HLOOKUP(Q2803,データについて!$J$11:$M$18,8,FALSE)</f>
        <v>#N/A</v>
      </c>
      <c r="Y2803" s="81" t="e">
        <f>HLOOKUP(R2803,データについて!$J$12:$M$18,7,FALSE)</f>
        <v>#N/A</v>
      </c>
      <c r="Z2803" s="81" t="e">
        <f>HLOOKUP(I2803,データについて!$J$3:$M$18,16,FALSE)</f>
        <v>#N/A</v>
      </c>
      <c r="AA2803" s="81" t="str">
        <f>IFERROR(HLOOKUP(J2803,データについて!$J$4:$AH$19,16,FALSE),"")</f>
        <v/>
      </c>
      <c r="AB2803" s="81" t="str">
        <f>IFERROR(HLOOKUP(K2803,データについて!$J$5:$AH$20,14,FALSE),"")</f>
        <v/>
      </c>
      <c r="AC2803" s="81" t="e">
        <f>IF(X2803=1,HLOOKUP(R2803,データについて!$J$12:$M$18,7,FALSE),"*")</f>
        <v>#N/A</v>
      </c>
      <c r="AD2803" s="81" t="e">
        <f>IF(X2803=2,HLOOKUP(R2803,データについて!$J$12:$M$18,7,FALSE),"*")</f>
        <v>#N/A</v>
      </c>
    </row>
    <row r="2804" spans="19:30">
      <c r="S2804" s="81" t="e">
        <f>HLOOKUP(L2804,データについて!$J$6:$M$18,13,FALSE)</f>
        <v>#N/A</v>
      </c>
      <c r="T2804" s="81" t="e">
        <f>HLOOKUP(M2804,データについて!$J$7:$M$18,12,FALSE)</f>
        <v>#N/A</v>
      </c>
      <c r="U2804" s="81" t="e">
        <f>HLOOKUP(N2804,データについて!$J$8:$M$18,11,FALSE)</f>
        <v>#N/A</v>
      </c>
      <c r="V2804" s="81" t="e">
        <f>HLOOKUP(O2804,データについて!$J$9:$M$18,10,FALSE)</f>
        <v>#N/A</v>
      </c>
      <c r="W2804" s="81" t="e">
        <f>HLOOKUP(P2804,データについて!$J$10:$M$18,9,FALSE)</f>
        <v>#N/A</v>
      </c>
      <c r="X2804" s="81" t="e">
        <f>HLOOKUP(Q2804,データについて!$J$11:$M$18,8,FALSE)</f>
        <v>#N/A</v>
      </c>
      <c r="Y2804" s="81" t="e">
        <f>HLOOKUP(R2804,データについて!$J$12:$M$18,7,FALSE)</f>
        <v>#N/A</v>
      </c>
      <c r="Z2804" s="81" t="e">
        <f>HLOOKUP(I2804,データについて!$J$3:$M$18,16,FALSE)</f>
        <v>#N/A</v>
      </c>
      <c r="AA2804" s="81" t="str">
        <f>IFERROR(HLOOKUP(J2804,データについて!$J$4:$AH$19,16,FALSE),"")</f>
        <v/>
      </c>
      <c r="AB2804" s="81" t="str">
        <f>IFERROR(HLOOKUP(K2804,データについて!$J$5:$AH$20,14,FALSE),"")</f>
        <v/>
      </c>
      <c r="AC2804" s="81" t="e">
        <f>IF(X2804=1,HLOOKUP(R2804,データについて!$J$12:$M$18,7,FALSE),"*")</f>
        <v>#N/A</v>
      </c>
      <c r="AD2804" s="81" t="e">
        <f>IF(X2804=2,HLOOKUP(R2804,データについて!$J$12:$M$18,7,FALSE),"*")</f>
        <v>#N/A</v>
      </c>
    </row>
    <row r="2805" spans="19:30">
      <c r="S2805" s="81" t="e">
        <f>HLOOKUP(L2805,データについて!$J$6:$M$18,13,FALSE)</f>
        <v>#N/A</v>
      </c>
      <c r="T2805" s="81" t="e">
        <f>HLOOKUP(M2805,データについて!$J$7:$M$18,12,FALSE)</f>
        <v>#N/A</v>
      </c>
      <c r="U2805" s="81" t="e">
        <f>HLOOKUP(N2805,データについて!$J$8:$M$18,11,FALSE)</f>
        <v>#N/A</v>
      </c>
      <c r="V2805" s="81" t="e">
        <f>HLOOKUP(O2805,データについて!$J$9:$M$18,10,FALSE)</f>
        <v>#N/A</v>
      </c>
      <c r="W2805" s="81" t="e">
        <f>HLOOKUP(P2805,データについて!$J$10:$M$18,9,FALSE)</f>
        <v>#N/A</v>
      </c>
      <c r="X2805" s="81" t="e">
        <f>HLOOKUP(Q2805,データについて!$J$11:$M$18,8,FALSE)</f>
        <v>#N/A</v>
      </c>
      <c r="Y2805" s="81" t="e">
        <f>HLOOKUP(R2805,データについて!$J$12:$M$18,7,FALSE)</f>
        <v>#N/A</v>
      </c>
      <c r="Z2805" s="81" t="e">
        <f>HLOOKUP(I2805,データについて!$J$3:$M$18,16,FALSE)</f>
        <v>#N/A</v>
      </c>
      <c r="AA2805" s="81" t="str">
        <f>IFERROR(HLOOKUP(J2805,データについて!$J$4:$AH$19,16,FALSE),"")</f>
        <v/>
      </c>
      <c r="AB2805" s="81" t="str">
        <f>IFERROR(HLOOKUP(K2805,データについて!$J$5:$AH$20,14,FALSE),"")</f>
        <v/>
      </c>
      <c r="AC2805" s="81" t="e">
        <f>IF(X2805=1,HLOOKUP(R2805,データについて!$J$12:$M$18,7,FALSE),"*")</f>
        <v>#N/A</v>
      </c>
      <c r="AD2805" s="81" t="e">
        <f>IF(X2805=2,HLOOKUP(R2805,データについて!$J$12:$M$18,7,FALSE),"*")</f>
        <v>#N/A</v>
      </c>
    </row>
    <row r="2806" spans="19:30">
      <c r="S2806" s="81" t="e">
        <f>HLOOKUP(L2806,データについて!$J$6:$M$18,13,FALSE)</f>
        <v>#N/A</v>
      </c>
      <c r="T2806" s="81" t="e">
        <f>HLOOKUP(M2806,データについて!$J$7:$M$18,12,FALSE)</f>
        <v>#N/A</v>
      </c>
      <c r="U2806" s="81" t="e">
        <f>HLOOKUP(N2806,データについて!$J$8:$M$18,11,FALSE)</f>
        <v>#N/A</v>
      </c>
      <c r="V2806" s="81" t="e">
        <f>HLOOKUP(O2806,データについて!$J$9:$M$18,10,FALSE)</f>
        <v>#N/A</v>
      </c>
      <c r="W2806" s="81" t="e">
        <f>HLOOKUP(P2806,データについて!$J$10:$M$18,9,FALSE)</f>
        <v>#N/A</v>
      </c>
      <c r="X2806" s="81" t="e">
        <f>HLOOKUP(Q2806,データについて!$J$11:$M$18,8,FALSE)</f>
        <v>#N/A</v>
      </c>
      <c r="Y2806" s="81" t="e">
        <f>HLOOKUP(R2806,データについて!$J$12:$M$18,7,FALSE)</f>
        <v>#N/A</v>
      </c>
      <c r="Z2806" s="81" t="e">
        <f>HLOOKUP(I2806,データについて!$J$3:$M$18,16,FALSE)</f>
        <v>#N/A</v>
      </c>
      <c r="AA2806" s="81" t="str">
        <f>IFERROR(HLOOKUP(J2806,データについて!$J$4:$AH$19,16,FALSE),"")</f>
        <v/>
      </c>
      <c r="AB2806" s="81" t="str">
        <f>IFERROR(HLOOKUP(K2806,データについて!$J$5:$AH$20,14,FALSE),"")</f>
        <v/>
      </c>
      <c r="AC2806" s="81" t="e">
        <f>IF(X2806=1,HLOOKUP(R2806,データについて!$J$12:$M$18,7,FALSE),"*")</f>
        <v>#N/A</v>
      </c>
      <c r="AD2806" s="81" t="e">
        <f>IF(X2806=2,HLOOKUP(R2806,データについて!$J$12:$M$18,7,FALSE),"*")</f>
        <v>#N/A</v>
      </c>
    </row>
    <row r="2807" spans="19:30">
      <c r="S2807" s="81" t="e">
        <f>HLOOKUP(L2807,データについて!$J$6:$M$18,13,FALSE)</f>
        <v>#N/A</v>
      </c>
      <c r="T2807" s="81" t="e">
        <f>HLOOKUP(M2807,データについて!$J$7:$M$18,12,FALSE)</f>
        <v>#N/A</v>
      </c>
      <c r="U2807" s="81" t="e">
        <f>HLOOKUP(N2807,データについて!$J$8:$M$18,11,FALSE)</f>
        <v>#N/A</v>
      </c>
      <c r="V2807" s="81" t="e">
        <f>HLOOKUP(O2807,データについて!$J$9:$M$18,10,FALSE)</f>
        <v>#N/A</v>
      </c>
      <c r="W2807" s="81" t="e">
        <f>HLOOKUP(P2807,データについて!$J$10:$M$18,9,FALSE)</f>
        <v>#N/A</v>
      </c>
      <c r="X2807" s="81" t="e">
        <f>HLOOKUP(Q2807,データについて!$J$11:$M$18,8,FALSE)</f>
        <v>#N/A</v>
      </c>
      <c r="Y2807" s="81" t="e">
        <f>HLOOKUP(R2807,データについて!$J$12:$M$18,7,FALSE)</f>
        <v>#N/A</v>
      </c>
      <c r="Z2807" s="81" t="e">
        <f>HLOOKUP(I2807,データについて!$J$3:$M$18,16,FALSE)</f>
        <v>#N/A</v>
      </c>
      <c r="AA2807" s="81" t="str">
        <f>IFERROR(HLOOKUP(J2807,データについて!$J$4:$AH$19,16,FALSE),"")</f>
        <v/>
      </c>
      <c r="AB2807" s="81" t="str">
        <f>IFERROR(HLOOKUP(K2807,データについて!$J$5:$AH$20,14,FALSE),"")</f>
        <v/>
      </c>
      <c r="AC2807" s="81" t="e">
        <f>IF(X2807=1,HLOOKUP(R2807,データについて!$J$12:$M$18,7,FALSE),"*")</f>
        <v>#N/A</v>
      </c>
      <c r="AD2807" s="81" t="e">
        <f>IF(X2807=2,HLOOKUP(R2807,データについて!$J$12:$M$18,7,FALSE),"*")</f>
        <v>#N/A</v>
      </c>
    </row>
    <row r="2808" spans="19:30">
      <c r="S2808" s="81" t="e">
        <f>HLOOKUP(L2808,データについて!$J$6:$M$18,13,FALSE)</f>
        <v>#N/A</v>
      </c>
      <c r="T2808" s="81" t="e">
        <f>HLOOKUP(M2808,データについて!$J$7:$M$18,12,FALSE)</f>
        <v>#N/A</v>
      </c>
      <c r="U2808" s="81" t="e">
        <f>HLOOKUP(N2808,データについて!$J$8:$M$18,11,FALSE)</f>
        <v>#N/A</v>
      </c>
      <c r="V2808" s="81" t="e">
        <f>HLOOKUP(O2808,データについて!$J$9:$M$18,10,FALSE)</f>
        <v>#N/A</v>
      </c>
      <c r="W2808" s="81" t="e">
        <f>HLOOKUP(P2808,データについて!$J$10:$M$18,9,FALSE)</f>
        <v>#N/A</v>
      </c>
      <c r="X2808" s="81" t="e">
        <f>HLOOKUP(Q2808,データについて!$J$11:$M$18,8,FALSE)</f>
        <v>#N/A</v>
      </c>
      <c r="Y2808" s="81" t="e">
        <f>HLOOKUP(R2808,データについて!$J$12:$M$18,7,FALSE)</f>
        <v>#N/A</v>
      </c>
      <c r="Z2808" s="81" t="e">
        <f>HLOOKUP(I2808,データについて!$J$3:$M$18,16,FALSE)</f>
        <v>#N/A</v>
      </c>
      <c r="AA2808" s="81" t="str">
        <f>IFERROR(HLOOKUP(J2808,データについて!$J$4:$AH$19,16,FALSE),"")</f>
        <v/>
      </c>
      <c r="AB2808" s="81" t="str">
        <f>IFERROR(HLOOKUP(K2808,データについて!$J$5:$AH$20,14,FALSE),"")</f>
        <v/>
      </c>
      <c r="AC2808" s="81" t="e">
        <f>IF(X2808=1,HLOOKUP(R2808,データについて!$J$12:$M$18,7,FALSE),"*")</f>
        <v>#N/A</v>
      </c>
      <c r="AD2808" s="81" t="e">
        <f>IF(X2808=2,HLOOKUP(R2808,データについて!$J$12:$M$18,7,FALSE),"*")</f>
        <v>#N/A</v>
      </c>
    </row>
    <row r="2809" spans="19:30">
      <c r="S2809" s="81" t="e">
        <f>HLOOKUP(L2809,データについて!$J$6:$M$18,13,FALSE)</f>
        <v>#N/A</v>
      </c>
      <c r="T2809" s="81" t="e">
        <f>HLOOKUP(M2809,データについて!$J$7:$M$18,12,FALSE)</f>
        <v>#N/A</v>
      </c>
      <c r="U2809" s="81" t="e">
        <f>HLOOKUP(N2809,データについて!$J$8:$M$18,11,FALSE)</f>
        <v>#N/A</v>
      </c>
      <c r="V2809" s="81" t="e">
        <f>HLOOKUP(O2809,データについて!$J$9:$M$18,10,FALSE)</f>
        <v>#N/A</v>
      </c>
      <c r="W2809" s="81" t="e">
        <f>HLOOKUP(P2809,データについて!$J$10:$M$18,9,FALSE)</f>
        <v>#N/A</v>
      </c>
      <c r="X2809" s="81" t="e">
        <f>HLOOKUP(Q2809,データについて!$J$11:$M$18,8,FALSE)</f>
        <v>#N/A</v>
      </c>
      <c r="Y2809" s="81" t="e">
        <f>HLOOKUP(R2809,データについて!$J$12:$M$18,7,FALSE)</f>
        <v>#N/A</v>
      </c>
      <c r="Z2809" s="81" t="e">
        <f>HLOOKUP(I2809,データについて!$J$3:$M$18,16,FALSE)</f>
        <v>#N/A</v>
      </c>
      <c r="AA2809" s="81" t="str">
        <f>IFERROR(HLOOKUP(J2809,データについて!$J$4:$AH$19,16,FALSE),"")</f>
        <v/>
      </c>
      <c r="AB2809" s="81" t="str">
        <f>IFERROR(HLOOKUP(K2809,データについて!$J$5:$AH$20,14,FALSE),"")</f>
        <v/>
      </c>
      <c r="AC2809" s="81" t="e">
        <f>IF(X2809=1,HLOOKUP(R2809,データについて!$J$12:$M$18,7,FALSE),"*")</f>
        <v>#N/A</v>
      </c>
      <c r="AD2809" s="81" t="e">
        <f>IF(X2809=2,HLOOKUP(R2809,データについて!$J$12:$M$18,7,FALSE),"*")</f>
        <v>#N/A</v>
      </c>
    </row>
    <row r="2810" spans="19:30">
      <c r="S2810" s="81" t="e">
        <f>HLOOKUP(L2810,データについて!$J$6:$M$18,13,FALSE)</f>
        <v>#N/A</v>
      </c>
      <c r="T2810" s="81" t="e">
        <f>HLOOKUP(M2810,データについて!$J$7:$M$18,12,FALSE)</f>
        <v>#N/A</v>
      </c>
      <c r="U2810" s="81" t="e">
        <f>HLOOKUP(N2810,データについて!$J$8:$M$18,11,FALSE)</f>
        <v>#N/A</v>
      </c>
      <c r="V2810" s="81" t="e">
        <f>HLOOKUP(O2810,データについて!$J$9:$M$18,10,FALSE)</f>
        <v>#N/A</v>
      </c>
      <c r="W2810" s="81" t="e">
        <f>HLOOKUP(P2810,データについて!$J$10:$M$18,9,FALSE)</f>
        <v>#N/A</v>
      </c>
      <c r="X2810" s="81" t="e">
        <f>HLOOKUP(Q2810,データについて!$J$11:$M$18,8,FALSE)</f>
        <v>#N/A</v>
      </c>
      <c r="Y2810" s="81" t="e">
        <f>HLOOKUP(R2810,データについて!$J$12:$M$18,7,FALSE)</f>
        <v>#N/A</v>
      </c>
      <c r="Z2810" s="81" t="e">
        <f>HLOOKUP(I2810,データについて!$J$3:$M$18,16,FALSE)</f>
        <v>#N/A</v>
      </c>
      <c r="AA2810" s="81" t="str">
        <f>IFERROR(HLOOKUP(J2810,データについて!$J$4:$AH$19,16,FALSE),"")</f>
        <v/>
      </c>
      <c r="AB2810" s="81" t="str">
        <f>IFERROR(HLOOKUP(K2810,データについて!$J$5:$AH$20,14,FALSE),"")</f>
        <v/>
      </c>
      <c r="AC2810" s="81" t="e">
        <f>IF(X2810=1,HLOOKUP(R2810,データについて!$J$12:$M$18,7,FALSE),"*")</f>
        <v>#N/A</v>
      </c>
      <c r="AD2810" s="81" t="e">
        <f>IF(X2810=2,HLOOKUP(R2810,データについて!$J$12:$M$18,7,FALSE),"*")</f>
        <v>#N/A</v>
      </c>
    </row>
    <row r="2811" spans="19:30">
      <c r="S2811" s="81" t="e">
        <f>HLOOKUP(L2811,データについて!$J$6:$M$18,13,FALSE)</f>
        <v>#N/A</v>
      </c>
      <c r="T2811" s="81" t="e">
        <f>HLOOKUP(M2811,データについて!$J$7:$M$18,12,FALSE)</f>
        <v>#N/A</v>
      </c>
      <c r="U2811" s="81" t="e">
        <f>HLOOKUP(N2811,データについて!$J$8:$M$18,11,FALSE)</f>
        <v>#N/A</v>
      </c>
      <c r="V2811" s="81" t="e">
        <f>HLOOKUP(O2811,データについて!$J$9:$M$18,10,FALSE)</f>
        <v>#N/A</v>
      </c>
      <c r="W2811" s="81" t="e">
        <f>HLOOKUP(P2811,データについて!$J$10:$M$18,9,FALSE)</f>
        <v>#N/A</v>
      </c>
      <c r="X2811" s="81" t="e">
        <f>HLOOKUP(Q2811,データについて!$J$11:$M$18,8,FALSE)</f>
        <v>#N/A</v>
      </c>
      <c r="Y2811" s="81" t="e">
        <f>HLOOKUP(R2811,データについて!$J$12:$M$18,7,FALSE)</f>
        <v>#N/A</v>
      </c>
      <c r="Z2811" s="81" t="e">
        <f>HLOOKUP(I2811,データについて!$J$3:$M$18,16,FALSE)</f>
        <v>#N/A</v>
      </c>
      <c r="AA2811" s="81" t="str">
        <f>IFERROR(HLOOKUP(J2811,データについて!$J$4:$AH$19,16,FALSE),"")</f>
        <v/>
      </c>
      <c r="AB2811" s="81" t="str">
        <f>IFERROR(HLOOKUP(K2811,データについて!$J$5:$AH$20,14,FALSE),"")</f>
        <v/>
      </c>
      <c r="AC2811" s="81" t="e">
        <f>IF(X2811=1,HLOOKUP(R2811,データについて!$J$12:$M$18,7,FALSE),"*")</f>
        <v>#N/A</v>
      </c>
      <c r="AD2811" s="81" t="e">
        <f>IF(X2811=2,HLOOKUP(R2811,データについて!$J$12:$M$18,7,FALSE),"*")</f>
        <v>#N/A</v>
      </c>
    </row>
    <row r="2812" spans="19:30">
      <c r="S2812" s="81" t="e">
        <f>HLOOKUP(L2812,データについて!$J$6:$M$18,13,FALSE)</f>
        <v>#N/A</v>
      </c>
      <c r="T2812" s="81" t="e">
        <f>HLOOKUP(M2812,データについて!$J$7:$M$18,12,FALSE)</f>
        <v>#N/A</v>
      </c>
      <c r="U2812" s="81" t="e">
        <f>HLOOKUP(N2812,データについて!$J$8:$M$18,11,FALSE)</f>
        <v>#N/A</v>
      </c>
      <c r="V2812" s="81" t="e">
        <f>HLOOKUP(O2812,データについて!$J$9:$M$18,10,FALSE)</f>
        <v>#N/A</v>
      </c>
      <c r="W2812" s="81" t="e">
        <f>HLOOKUP(P2812,データについて!$J$10:$M$18,9,FALSE)</f>
        <v>#N/A</v>
      </c>
      <c r="X2812" s="81" t="e">
        <f>HLOOKUP(Q2812,データについて!$J$11:$M$18,8,FALSE)</f>
        <v>#N/A</v>
      </c>
      <c r="Y2812" s="81" t="e">
        <f>HLOOKUP(R2812,データについて!$J$12:$M$18,7,FALSE)</f>
        <v>#N/A</v>
      </c>
      <c r="Z2812" s="81" t="e">
        <f>HLOOKUP(I2812,データについて!$J$3:$M$18,16,FALSE)</f>
        <v>#N/A</v>
      </c>
      <c r="AA2812" s="81" t="str">
        <f>IFERROR(HLOOKUP(J2812,データについて!$J$4:$AH$19,16,FALSE),"")</f>
        <v/>
      </c>
      <c r="AB2812" s="81" t="str">
        <f>IFERROR(HLOOKUP(K2812,データについて!$J$5:$AH$20,14,FALSE),"")</f>
        <v/>
      </c>
      <c r="AC2812" s="81" t="e">
        <f>IF(X2812=1,HLOOKUP(R2812,データについて!$J$12:$M$18,7,FALSE),"*")</f>
        <v>#N/A</v>
      </c>
      <c r="AD2812" s="81" t="e">
        <f>IF(X2812=2,HLOOKUP(R2812,データについて!$J$12:$M$18,7,FALSE),"*")</f>
        <v>#N/A</v>
      </c>
    </row>
    <row r="2813" spans="19:30">
      <c r="S2813" s="81" t="e">
        <f>HLOOKUP(L2813,データについて!$J$6:$M$18,13,FALSE)</f>
        <v>#N/A</v>
      </c>
      <c r="T2813" s="81" t="e">
        <f>HLOOKUP(M2813,データについて!$J$7:$M$18,12,FALSE)</f>
        <v>#N/A</v>
      </c>
      <c r="U2813" s="81" t="e">
        <f>HLOOKUP(N2813,データについて!$J$8:$M$18,11,FALSE)</f>
        <v>#N/A</v>
      </c>
      <c r="V2813" s="81" t="e">
        <f>HLOOKUP(O2813,データについて!$J$9:$M$18,10,FALSE)</f>
        <v>#N/A</v>
      </c>
      <c r="W2813" s="81" t="e">
        <f>HLOOKUP(P2813,データについて!$J$10:$M$18,9,FALSE)</f>
        <v>#N/A</v>
      </c>
      <c r="X2813" s="81" t="e">
        <f>HLOOKUP(Q2813,データについて!$J$11:$M$18,8,FALSE)</f>
        <v>#N/A</v>
      </c>
      <c r="Y2813" s="81" t="e">
        <f>HLOOKUP(R2813,データについて!$J$12:$M$18,7,FALSE)</f>
        <v>#N/A</v>
      </c>
      <c r="Z2813" s="81" t="e">
        <f>HLOOKUP(I2813,データについて!$J$3:$M$18,16,FALSE)</f>
        <v>#N/A</v>
      </c>
      <c r="AA2813" s="81" t="str">
        <f>IFERROR(HLOOKUP(J2813,データについて!$J$4:$AH$19,16,FALSE),"")</f>
        <v/>
      </c>
      <c r="AB2813" s="81" t="str">
        <f>IFERROR(HLOOKUP(K2813,データについて!$J$5:$AH$20,14,FALSE),"")</f>
        <v/>
      </c>
      <c r="AC2813" s="81" t="e">
        <f>IF(X2813=1,HLOOKUP(R2813,データについて!$J$12:$M$18,7,FALSE),"*")</f>
        <v>#N/A</v>
      </c>
      <c r="AD2813" s="81" t="e">
        <f>IF(X2813=2,HLOOKUP(R2813,データについて!$J$12:$M$18,7,FALSE),"*")</f>
        <v>#N/A</v>
      </c>
    </row>
    <row r="2814" spans="19:30">
      <c r="S2814" s="81" t="e">
        <f>HLOOKUP(L2814,データについて!$J$6:$M$18,13,FALSE)</f>
        <v>#N/A</v>
      </c>
      <c r="T2814" s="81" t="e">
        <f>HLOOKUP(M2814,データについて!$J$7:$M$18,12,FALSE)</f>
        <v>#N/A</v>
      </c>
      <c r="U2814" s="81" t="e">
        <f>HLOOKUP(N2814,データについて!$J$8:$M$18,11,FALSE)</f>
        <v>#N/A</v>
      </c>
      <c r="V2814" s="81" t="e">
        <f>HLOOKUP(O2814,データについて!$J$9:$M$18,10,FALSE)</f>
        <v>#N/A</v>
      </c>
      <c r="W2814" s="81" t="e">
        <f>HLOOKUP(P2814,データについて!$J$10:$M$18,9,FALSE)</f>
        <v>#N/A</v>
      </c>
      <c r="X2814" s="81" t="e">
        <f>HLOOKUP(Q2814,データについて!$J$11:$M$18,8,FALSE)</f>
        <v>#N/A</v>
      </c>
      <c r="Y2814" s="81" t="e">
        <f>HLOOKUP(R2814,データについて!$J$12:$M$18,7,FALSE)</f>
        <v>#N/A</v>
      </c>
      <c r="Z2814" s="81" t="e">
        <f>HLOOKUP(I2814,データについて!$J$3:$M$18,16,FALSE)</f>
        <v>#N/A</v>
      </c>
      <c r="AA2814" s="81" t="str">
        <f>IFERROR(HLOOKUP(J2814,データについて!$J$4:$AH$19,16,FALSE),"")</f>
        <v/>
      </c>
      <c r="AB2814" s="81" t="str">
        <f>IFERROR(HLOOKUP(K2814,データについて!$J$5:$AH$20,14,FALSE),"")</f>
        <v/>
      </c>
      <c r="AC2814" s="81" t="e">
        <f>IF(X2814=1,HLOOKUP(R2814,データについて!$J$12:$M$18,7,FALSE),"*")</f>
        <v>#N/A</v>
      </c>
      <c r="AD2814" s="81" t="e">
        <f>IF(X2814=2,HLOOKUP(R2814,データについて!$J$12:$M$18,7,FALSE),"*")</f>
        <v>#N/A</v>
      </c>
    </row>
    <row r="2815" spans="19:30">
      <c r="S2815" s="81" t="e">
        <f>HLOOKUP(L2815,データについて!$J$6:$M$18,13,FALSE)</f>
        <v>#N/A</v>
      </c>
      <c r="T2815" s="81" t="e">
        <f>HLOOKUP(M2815,データについて!$J$7:$M$18,12,FALSE)</f>
        <v>#N/A</v>
      </c>
      <c r="U2815" s="81" t="e">
        <f>HLOOKUP(N2815,データについて!$J$8:$M$18,11,FALSE)</f>
        <v>#N/A</v>
      </c>
      <c r="V2815" s="81" t="e">
        <f>HLOOKUP(O2815,データについて!$J$9:$M$18,10,FALSE)</f>
        <v>#N/A</v>
      </c>
      <c r="W2815" s="81" t="e">
        <f>HLOOKUP(P2815,データについて!$J$10:$M$18,9,FALSE)</f>
        <v>#N/A</v>
      </c>
      <c r="X2815" s="81" t="e">
        <f>HLOOKUP(Q2815,データについて!$J$11:$M$18,8,FALSE)</f>
        <v>#N/A</v>
      </c>
      <c r="Y2815" s="81" t="e">
        <f>HLOOKUP(R2815,データについて!$J$12:$M$18,7,FALSE)</f>
        <v>#N/A</v>
      </c>
      <c r="Z2815" s="81" t="e">
        <f>HLOOKUP(I2815,データについて!$J$3:$M$18,16,FALSE)</f>
        <v>#N/A</v>
      </c>
      <c r="AA2815" s="81" t="str">
        <f>IFERROR(HLOOKUP(J2815,データについて!$J$4:$AH$19,16,FALSE),"")</f>
        <v/>
      </c>
      <c r="AB2815" s="81" t="str">
        <f>IFERROR(HLOOKUP(K2815,データについて!$J$5:$AH$20,14,FALSE),"")</f>
        <v/>
      </c>
      <c r="AC2815" s="81" t="e">
        <f>IF(X2815=1,HLOOKUP(R2815,データについて!$J$12:$M$18,7,FALSE),"*")</f>
        <v>#N/A</v>
      </c>
      <c r="AD2815" s="81" t="e">
        <f>IF(X2815=2,HLOOKUP(R2815,データについて!$J$12:$M$18,7,FALSE),"*")</f>
        <v>#N/A</v>
      </c>
    </row>
    <row r="2816" spans="19:30">
      <c r="S2816" s="81" t="e">
        <f>HLOOKUP(L2816,データについて!$J$6:$M$18,13,FALSE)</f>
        <v>#N/A</v>
      </c>
      <c r="T2816" s="81" t="e">
        <f>HLOOKUP(M2816,データについて!$J$7:$M$18,12,FALSE)</f>
        <v>#N/A</v>
      </c>
      <c r="U2816" s="81" t="e">
        <f>HLOOKUP(N2816,データについて!$J$8:$M$18,11,FALSE)</f>
        <v>#N/A</v>
      </c>
      <c r="V2816" s="81" t="e">
        <f>HLOOKUP(O2816,データについて!$J$9:$M$18,10,FALSE)</f>
        <v>#N/A</v>
      </c>
      <c r="W2816" s="81" t="e">
        <f>HLOOKUP(P2816,データについて!$J$10:$M$18,9,FALSE)</f>
        <v>#N/A</v>
      </c>
      <c r="X2816" s="81" t="e">
        <f>HLOOKUP(Q2816,データについて!$J$11:$M$18,8,FALSE)</f>
        <v>#N/A</v>
      </c>
      <c r="Y2816" s="81" t="e">
        <f>HLOOKUP(R2816,データについて!$J$12:$M$18,7,FALSE)</f>
        <v>#N/A</v>
      </c>
      <c r="Z2816" s="81" t="e">
        <f>HLOOKUP(I2816,データについて!$J$3:$M$18,16,FALSE)</f>
        <v>#N/A</v>
      </c>
      <c r="AA2816" s="81" t="str">
        <f>IFERROR(HLOOKUP(J2816,データについて!$J$4:$AH$19,16,FALSE),"")</f>
        <v/>
      </c>
      <c r="AB2816" s="81" t="str">
        <f>IFERROR(HLOOKUP(K2816,データについて!$J$5:$AH$20,14,FALSE),"")</f>
        <v/>
      </c>
      <c r="AC2816" s="81" t="e">
        <f>IF(X2816=1,HLOOKUP(R2816,データについて!$J$12:$M$18,7,FALSE),"*")</f>
        <v>#N/A</v>
      </c>
      <c r="AD2816" s="81" t="e">
        <f>IF(X2816=2,HLOOKUP(R2816,データについて!$J$12:$M$18,7,FALSE),"*")</f>
        <v>#N/A</v>
      </c>
    </row>
    <row r="2817" spans="19:30">
      <c r="S2817" s="81" t="e">
        <f>HLOOKUP(L2817,データについて!$J$6:$M$18,13,FALSE)</f>
        <v>#N/A</v>
      </c>
      <c r="T2817" s="81" t="e">
        <f>HLOOKUP(M2817,データについて!$J$7:$M$18,12,FALSE)</f>
        <v>#N/A</v>
      </c>
      <c r="U2817" s="81" t="e">
        <f>HLOOKUP(N2817,データについて!$J$8:$M$18,11,FALSE)</f>
        <v>#N/A</v>
      </c>
      <c r="V2817" s="81" t="e">
        <f>HLOOKUP(O2817,データについて!$J$9:$M$18,10,FALSE)</f>
        <v>#N/A</v>
      </c>
      <c r="W2817" s="81" t="e">
        <f>HLOOKUP(P2817,データについて!$J$10:$M$18,9,FALSE)</f>
        <v>#N/A</v>
      </c>
      <c r="X2817" s="81" t="e">
        <f>HLOOKUP(Q2817,データについて!$J$11:$M$18,8,FALSE)</f>
        <v>#N/A</v>
      </c>
      <c r="Y2817" s="81" t="e">
        <f>HLOOKUP(R2817,データについて!$J$12:$M$18,7,FALSE)</f>
        <v>#N/A</v>
      </c>
      <c r="Z2817" s="81" t="e">
        <f>HLOOKUP(I2817,データについて!$J$3:$M$18,16,FALSE)</f>
        <v>#N/A</v>
      </c>
      <c r="AA2817" s="81" t="str">
        <f>IFERROR(HLOOKUP(J2817,データについて!$J$4:$AH$19,16,FALSE),"")</f>
        <v/>
      </c>
      <c r="AB2817" s="81" t="str">
        <f>IFERROR(HLOOKUP(K2817,データについて!$J$5:$AH$20,14,FALSE),"")</f>
        <v/>
      </c>
      <c r="AC2817" s="81" t="e">
        <f>IF(X2817=1,HLOOKUP(R2817,データについて!$J$12:$M$18,7,FALSE),"*")</f>
        <v>#N/A</v>
      </c>
      <c r="AD2817" s="81" t="e">
        <f>IF(X2817=2,HLOOKUP(R2817,データについて!$J$12:$M$18,7,FALSE),"*")</f>
        <v>#N/A</v>
      </c>
    </row>
    <row r="2818" spans="19:30">
      <c r="S2818" s="81" t="e">
        <f>HLOOKUP(L2818,データについて!$J$6:$M$18,13,FALSE)</f>
        <v>#N/A</v>
      </c>
      <c r="T2818" s="81" t="e">
        <f>HLOOKUP(M2818,データについて!$J$7:$M$18,12,FALSE)</f>
        <v>#N/A</v>
      </c>
      <c r="U2818" s="81" t="e">
        <f>HLOOKUP(N2818,データについて!$J$8:$M$18,11,FALSE)</f>
        <v>#N/A</v>
      </c>
      <c r="V2818" s="81" t="e">
        <f>HLOOKUP(O2818,データについて!$J$9:$M$18,10,FALSE)</f>
        <v>#N/A</v>
      </c>
      <c r="W2818" s="81" t="e">
        <f>HLOOKUP(P2818,データについて!$J$10:$M$18,9,FALSE)</f>
        <v>#N/A</v>
      </c>
      <c r="X2818" s="81" t="e">
        <f>HLOOKUP(Q2818,データについて!$J$11:$M$18,8,FALSE)</f>
        <v>#N/A</v>
      </c>
      <c r="Y2818" s="81" t="e">
        <f>HLOOKUP(R2818,データについて!$J$12:$M$18,7,FALSE)</f>
        <v>#N/A</v>
      </c>
      <c r="Z2818" s="81" t="e">
        <f>HLOOKUP(I2818,データについて!$J$3:$M$18,16,FALSE)</f>
        <v>#N/A</v>
      </c>
      <c r="AA2818" s="81" t="str">
        <f>IFERROR(HLOOKUP(J2818,データについて!$J$4:$AH$19,16,FALSE),"")</f>
        <v/>
      </c>
      <c r="AB2818" s="81" t="str">
        <f>IFERROR(HLOOKUP(K2818,データについて!$J$5:$AH$20,14,FALSE),"")</f>
        <v/>
      </c>
      <c r="AC2818" s="81" t="e">
        <f>IF(X2818=1,HLOOKUP(R2818,データについて!$J$12:$M$18,7,FALSE),"*")</f>
        <v>#N/A</v>
      </c>
      <c r="AD2818" s="81" t="e">
        <f>IF(X2818=2,HLOOKUP(R2818,データについて!$J$12:$M$18,7,FALSE),"*")</f>
        <v>#N/A</v>
      </c>
    </row>
    <row r="2819" spans="19:30">
      <c r="S2819" s="81" t="e">
        <f>HLOOKUP(L2819,データについて!$J$6:$M$18,13,FALSE)</f>
        <v>#N/A</v>
      </c>
      <c r="T2819" s="81" t="e">
        <f>HLOOKUP(M2819,データについて!$J$7:$M$18,12,FALSE)</f>
        <v>#N/A</v>
      </c>
      <c r="U2819" s="81" t="e">
        <f>HLOOKUP(N2819,データについて!$J$8:$M$18,11,FALSE)</f>
        <v>#N/A</v>
      </c>
      <c r="V2819" s="81" t="e">
        <f>HLOOKUP(O2819,データについて!$J$9:$M$18,10,FALSE)</f>
        <v>#N/A</v>
      </c>
      <c r="W2819" s="81" t="e">
        <f>HLOOKUP(P2819,データについて!$J$10:$M$18,9,FALSE)</f>
        <v>#N/A</v>
      </c>
      <c r="X2819" s="81" t="e">
        <f>HLOOKUP(Q2819,データについて!$J$11:$M$18,8,FALSE)</f>
        <v>#N/A</v>
      </c>
      <c r="Y2819" s="81" t="e">
        <f>HLOOKUP(R2819,データについて!$J$12:$M$18,7,FALSE)</f>
        <v>#N/A</v>
      </c>
      <c r="Z2819" s="81" t="e">
        <f>HLOOKUP(I2819,データについて!$J$3:$M$18,16,FALSE)</f>
        <v>#N/A</v>
      </c>
      <c r="AA2819" s="81" t="str">
        <f>IFERROR(HLOOKUP(J2819,データについて!$J$4:$AH$19,16,FALSE),"")</f>
        <v/>
      </c>
      <c r="AB2819" s="81" t="str">
        <f>IFERROR(HLOOKUP(K2819,データについて!$J$5:$AH$20,14,FALSE),"")</f>
        <v/>
      </c>
      <c r="AC2819" s="81" t="e">
        <f>IF(X2819=1,HLOOKUP(R2819,データについて!$J$12:$M$18,7,FALSE),"*")</f>
        <v>#N/A</v>
      </c>
      <c r="AD2819" s="81" t="e">
        <f>IF(X2819=2,HLOOKUP(R2819,データについて!$J$12:$M$18,7,FALSE),"*")</f>
        <v>#N/A</v>
      </c>
    </row>
    <row r="2820" spans="19:30">
      <c r="S2820" s="81" t="e">
        <f>HLOOKUP(L2820,データについて!$J$6:$M$18,13,FALSE)</f>
        <v>#N/A</v>
      </c>
      <c r="T2820" s="81" t="e">
        <f>HLOOKUP(M2820,データについて!$J$7:$M$18,12,FALSE)</f>
        <v>#N/A</v>
      </c>
      <c r="U2820" s="81" t="e">
        <f>HLOOKUP(N2820,データについて!$J$8:$M$18,11,FALSE)</f>
        <v>#N/A</v>
      </c>
      <c r="V2820" s="81" t="e">
        <f>HLOOKUP(O2820,データについて!$J$9:$M$18,10,FALSE)</f>
        <v>#N/A</v>
      </c>
      <c r="W2820" s="81" t="e">
        <f>HLOOKUP(P2820,データについて!$J$10:$M$18,9,FALSE)</f>
        <v>#N/A</v>
      </c>
      <c r="X2820" s="81" t="e">
        <f>HLOOKUP(Q2820,データについて!$J$11:$M$18,8,FALSE)</f>
        <v>#N/A</v>
      </c>
      <c r="Y2820" s="81" t="e">
        <f>HLOOKUP(R2820,データについて!$J$12:$M$18,7,FALSE)</f>
        <v>#N/A</v>
      </c>
      <c r="Z2820" s="81" t="e">
        <f>HLOOKUP(I2820,データについて!$J$3:$M$18,16,FALSE)</f>
        <v>#N/A</v>
      </c>
      <c r="AA2820" s="81" t="str">
        <f>IFERROR(HLOOKUP(J2820,データについて!$J$4:$AH$19,16,FALSE),"")</f>
        <v/>
      </c>
      <c r="AB2820" s="81" t="str">
        <f>IFERROR(HLOOKUP(K2820,データについて!$J$5:$AH$20,14,FALSE),"")</f>
        <v/>
      </c>
      <c r="AC2820" s="81" t="e">
        <f>IF(X2820=1,HLOOKUP(R2820,データについて!$J$12:$M$18,7,FALSE),"*")</f>
        <v>#N/A</v>
      </c>
      <c r="AD2820" s="81" t="e">
        <f>IF(X2820=2,HLOOKUP(R2820,データについて!$J$12:$M$18,7,FALSE),"*")</f>
        <v>#N/A</v>
      </c>
    </row>
    <row r="2821" spans="19:30">
      <c r="S2821" s="81" t="e">
        <f>HLOOKUP(L2821,データについて!$J$6:$M$18,13,FALSE)</f>
        <v>#N/A</v>
      </c>
      <c r="T2821" s="81" t="e">
        <f>HLOOKUP(M2821,データについて!$J$7:$M$18,12,FALSE)</f>
        <v>#N/A</v>
      </c>
      <c r="U2821" s="81" t="e">
        <f>HLOOKUP(N2821,データについて!$J$8:$M$18,11,FALSE)</f>
        <v>#N/A</v>
      </c>
      <c r="V2821" s="81" t="e">
        <f>HLOOKUP(O2821,データについて!$J$9:$M$18,10,FALSE)</f>
        <v>#N/A</v>
      </c>
      <c r="W2821" s="81" t="e">
        <f>HLOOKUP(P2821,データについて!$J$10:$M$18,9,FALSE)</f>
        <v>#N/A</v>
      </c>
      <c r="X2821" s="81" t="e">
        <f>HLOOKUP(Q2821,データについて!$J$11:$M$18,8,FALSE)</f>
        <v>#N/A</v>
      </c>
      <c r="Y2821" s="81" t="e">
        <f>HLOOKUP(R2821,データについて!$J$12:$M$18,7,FALSE)</f>
        <v>#N/A</v>
      </c>
      <c r="Z2821" s="81" t="e">
        <f>HLOOKUP(I2821,データについて!$J$3:$M$18,16,FALSE)</f>
        <v>#N/A</v>
      </c>
      <c r="AA2821" s="81" t="str">
        <f>IFERROR(HLOOKUP(J2821,データについて!$J$4:$AH$19,16,FALSE),"")</f>
        <v/>
      </c>
      <c r="AB2821" s="81" t="str">
        <f>IFERROR(HLOOKUP(K2821,データについて!$J$5:$AH$20,14,FALSE),"")</f>
        <v/>
      </c>
      <c r="AC2821" s="81" t="e">
        <f>IF(X2821=1,HLOOKUP(R2821,データについて!$J$12:$M$18,7,FALSE),"*")</f>
        <v>#N/A</v>
      </c>
      <c r="AD2821" s="81" t="e">
        <f>IF(X2821=2,HLOOKUP(R2821,データについて!$J$12:$M$18,7,FALSE),"*")</f>
        <v>#N/A</v>
      </c>
    </row>
    <row r="2822" spans="19:30">
      <c r="S2822" s="81" t="e">
        <f>HLOOKUP(L2822,データについて!$J$6:$M$18,13,FALSE)</f>
        <v>#N/A</v>
      </c>
      <c r="T2822" s="81" t="e">
        <f>HLOOKUP(M2822,データについて!$J$7:$M$18,12,FALSE)</f>
        <v>#N/A</v>
      </c>
      <c r="U2822" s="81" t="e">
        <f>HLOOKUP(N2822,データについて!$J$8:$M$18,11,FALSE)</f>
        <v>#N/A</v>
      </c>
      <c r="V2822" s="81" t="e">
        <f>HLOOKUP(O2822,データについて!$J$9:$M$18,10,FALSE)</f>
        <v>#N/A</v>
      </c>
      <c r="W2822" s="81" t="e">
        <f>HLOOKUP(P2822,データについて!$J$10:$M$18,9,FALSE)</f>
        <v>#N/A</v>
      </c>
      <c r="X2822" s="81" t="e">
        <f>HLOOKUP(Q2822,データについて!$J$11:$M$18,8,FALSE)</f>
        <v>#N/A</v>
      </c>
      <c r="Y2822" s="81" t="e">
        <f>HLOOKUP(R2822,データについて!$J$12:$M$18,7,FALSE)</f>
        <v>#N/A</v>
      </c>
      <c r="Z2822" s="81" t="e">
        <f>HLOOKUP(I2822,データについて!$J$3:$M$18,16,FALSE)</f>
        <v>#N/A</v>
      </c>
      <c r="AA2822" s="81" t="str">
        <f>IFERROR(HLOOKUP(J2822,データについて!$J$4:$AH$19,16,FALSE),"")</f>
        <v/>
      </c>
      <c r="AB2822" s="81" t="str">
        <f>IFERROR(HLOOKUP(K2822,データについて!$J$5:$AH$20,14,FALSE),"")</f>
        <v/>
      </c>
      <c r="AC2822" s="81" t="e">
        <f>IF(X2822=1,HLOOKUP(R2822,データについて!$J$12:$M$18,7,FALSE),"*")</f>
        <v>#N/A</v>
      </c>
      <c r="AD2822" s="81" t="e">
        <f>IF(X2822=2,HLOOKUP(R2822,データについて!$J$12:$M$18,7,FALSE),"*")</f>
        <v>#N/A</v>
      </c>
    </row>
    <row r="2823" spans="19:30">
      <c r="S2823" s="81" t="e">
        <f>HLOOKUP(L2823,データについて!$J$6:$M$18,13,FALSE)</f>
        <v>#N/A</v>
      </c>
      <c r="T2823" s="81" t="e">
        <f>HLOOKUP(M2823,データについて!$J$7:$M$18,12,FALSE)</f>
        <v>#N/A</v>
      </c>
      <c r="U2823" s="81" t="e">
        <f>HLOOKUP(N2823,データについて!$J$8:$M$18,11,FALSE)</f>
        <v>#N/A</v>
      </c>
      <c r="V2823" s="81" t="e">
        <f>HLOOKUP(O2823,データについて!$J$9:$M$18,10,FALSE)</f>
        <v>#N/A</v>
      </c>
      <c r="W2823" s="81" t="e">
        <f>HLOOKUP(P2823,データについて!$J$10:$M$18,9,FALSE)</f>
        <v>#N/A</v>
      </c>
      <c r="X2823" s="81" t="e">
        <f>HLOOKUP(Q2823,データについて!$J$11:$M$18,8,FALSE)</f>
        <v>#N/A</v>
      </c>
      <c r="Y2823" s="81" t="e">
        <f>HLOOKUP(R2823,データについて!$J$12:$M$18,7,FALSE)</f>
        <v>#N/A</v>
      </c>
      <c r="Z2823" s="81" t="e">
        <f>HLOOKUP(I2823,データについて!$J$3:$M$18,16,FALSE)</f>
        <v>#N/A</v>
      </c>
      <c r="AA2823" s="81" t="str">
        <f>IFERROR(HLOOKUP(J2823,データについて!$J$4:$AH$19,16,FALSE),"")</f>
        <v/>
      </c>
      <c r="AB2823" s="81" t="str">
        <f>IFERROR(HLOOKUP(K2823,データについて!$J$5:$AH$20,14,FALSE),"")</f>
        <v/>
      </c>
      <c r="AC2823" s="81" t="e">
        <f>IF(X2823=1,HLOOKUP(R2823,データについて!$J$12:$M$18,7,FALSE),"*")</f>
        <v>#N/A</v>
      </c>
      <c r="AD2823" s="81" t="e">
        <f>IF(X2823=2,HLOOKUP(R2823,データについて!$J$12:$M$18,7,FALSE),"*")</f>
        <v>#N/A</v>
      </c>
    </row>
    <row r="2824" spans="19:30">
      <c r="S2824" s="81" t="e">
        <f>HLOOKUP(L2824,データについて!$J$6:$M$18,13,FALSE)</f>
        <v>#N/A</v>
      </c>
      <c r="T2824" s="81" t="e">
        <f>HLOOKUP(M2824,データについて!$J$7:$M$18,12,FALSE)</f>
        <v>#N/A</v>
      </c>
      <c r="U2824" s="81" t="e">
        <f>HLOOKUP(N2824,データについて!$J$8:$M$18,11,FALSE)</f>
        <v>#N/A</v>
      </c>
      <c r="V2824" s="81" t="e">
        <f>HLOOKUP(O2824,データについて!$J$9:$M$18,10,FALSE)</f>
        <v>#N/A</v>
      </c>
      <c r="W2824" s="81" t="e">
        <f>HLOOKUP(P2824,データについて!$J$10:$M$18,9,FALSE)</f>
        <v>#N/A</v>
      </c>
      <c r="X2824" s="81" t="e">
        <f>HLOOKUP(Q2824,データについて!$J$11:$M$18,8,FALSE)</f>
        <v>#N/A</v>
      </c>
      <c r="Y2824" s="81" t="e">
        <f>HLOOKUP(R2824,データについて!$J$12:$M$18,7,FALSE)</f>
        <v>#N/A</v>
      </c>
      <c r="Z2824" s="81" t="e">
        <f>HLOOKUP(I2824,データについて!$J$3:$M$18,16,FALSE)</f>
        <v>#N/A</v>
      </c>
      <c r="AA2824" s="81" t="str">
        <f>IFERROR(HLOOKUP(J2824,データについて!$J$4:$AH$19,16,FALSE),"")</f>
        <v/>
      </c>
      <c r="AB2824" s="81" t="str">
        <f>IFERROR(HLOOKUP(K2824,データについて!$J$5:$AH$20,14,FALSE),"")</f>
        <v/>
      </c>
      <c r="AC2824" s="81" t="e">
        <f>IF(X2824=1,HLOOKUP(R2824,データについて!$J$12:$M$18,7,FALSE),"*")</f>
        <v>#N/A</v>
      </c>
      <c r="AD2824" s="81" t="e">
        <f>IF(X2824=2,HLOOKUP(R2824,データについて!$J$12:$M$18,7,FALSE),"*")</f>
        <v>#N/A</v>
      </c>
    </row>
    <row r="2825" spans="19:30">
      <c r="S2825" s="81" t="e">
        <f>HLOOKUP(L2825,データについて!$J$6:$M$18,13,FALSE)</f>
        <v>#N/A</v>
      </c>
      <c r="T2825" s="81" t="e">
        <f>HLOOKUP(M2825,データについて!$J$7:$M$18,12,FALSE)</f>
        <v>#N/A</v>
      </c>
      <c r="U2825" s="81" t="e">
        <f>HLOOKUP(N2825,データについて!$J$8:$M$18,11,FALSE)</f>
        <v>#N/A</v>
      </c>
      <c r="V2825" s="81" t="e">
        <f>HLOOKUP(O2825,データについて!$J$9:$M$18,10,FALSE)</f>
        <v>#N/A</v>
      </c>
      <c r="W2825" s="81" t="e">
        <f>HLOOKUP(P2825,データについて!$J$10:$M$18,9,FALSE)</f>
        <v>#N/A</v>
      </c>
      <c r="X2825" s="81" t="e">
        <f>HLOOKUP(Q2825,データについて!$J$11:$M$18,8,FALSE)</f>
        <v>#N/A</v>
      </c>
      <c r="Y2825" s="81" t="e">
        <f>HLOOKUP(R2825,データについて!$J$12:$M$18,7,FALSE)</f>
        <v>#N/A</v>
      </c>
      <c r="Z2825" s="81" t="e">
        <f>HLOOKUP(I2825,データについて!$J$3:$M$18,16,FALSE)</f>
        <v>#N/A</v>
      </c>
      <c r="AA2825" s="81" t="str">
        <f>IFERROR(HLOOKUP(J2825,データについて!$J$4:$AH$19,16,FALSE),"")</f>
        <v/>
      </c>
      <c r="AB2825" s="81" t="str">
        <f>IFERROR(HLOOKUP(K2825,データについて!$J$5:$AH$20,14,FALSE),"")</f>
        <v/>
      </c>
      <c r="AC2825" s="81" t="e">
        <f>IF(X2825=1,HLOOKUP(R2825,データについて!$J$12:$M$18,7,FALSE),"*")</f>
        <v>#N/A</v>
      </c>
      <c r="AD2825" s="81" t="e">
        <f>IF(X2825=2,HLOOKUP(R2825,データについて!$J$12:$M$18,7,FALSE),"*")</f>
        <v>#N/A</v>
      </c>
    </row>
    <row r="2826" spans="19:30">
      <c r="S2826" s="81" t="e">
        <f>HLOOKUP(L2826,データについて!$J$6:$M$18,13,FALSE)</f>
        <v>#N/A</v>
      </c>
      <c r="T2826" s="81" t="e">
        <f>HLOOKUP(M2826,データについて!$J$7:$M$18,12,FALSE)</f>
        <v>#N/A</v>
      </c>
      <c r="U2826" s="81" t="e">
        <f>HLOOKUP(N2826,データについて!$J$8:$M$18,11,FALSE)</f>
        <v>#N/A</v>
      </c>
      <c r="V2826" s="81" t="e">
        <f>HLOOKUP(O2826,データについて!$J$9:$M$18,10,FALSE)</f>
        <v>#N/A</v>
      </c>
      <c r="W2826" s="81" t="e">
        <f>HLOOKUP(P2826,データについて!$J$10:$M$18,9,FALSE)</f>
        <v>#N/A</v>
      </c>
      <c r="X2826" s="81" t="e">
        <f>HLOOKUP(Q2826,データについて!$J$11:$M$18,8,FALSE)</f>
        <v>#N/A</v>
      </c>
      <c r="Y2826" s="81" t="e">
        <f>HLOOKUP(R2826,データについて!$J$12:$M$18,7,FALSE)</f>
        <v>#N/A</v>
      </c>
      <c r="Z2826" s="81" t="e">
        <f>HLOOKUP(I2826,データについて!$J$3:$M$18,16,FALSE)</f>
        <v>#N/A</v>
      </c>
      <c r="AA2826" s="81" t="str">
        <f>IFERROR(HLOOKUP(J2826,データについて!$J$4:$AH$19,16,FALSE),"")</f>
        <v/>
      </c>
      <c r="AB2826" s="81" t="str">
        <f>IFERROR(HLOOKUP(K2826,データについて!$J$5:$AH$20,14,FALSE),"")</f>
        <v/>
      </c>
      <c r="AC2826" s="81" t="e">
        <f>IF(X2826=1,HLOOKUP(R2826,データについて!$J$12:$M$18,7,FALSE),"*")</f>
        <v>#N/A</v>
      </c>
      <c r="AD2826" s="81" t="e">
        <f>IF(X2826=2,HLOOKUP(R2826,データについて!$J$12:$M$18,7,FALSE),"*")</f>
        <v>#N/A</v>
      </c>
    </row>
    <row r="2827" spans="19:30">
      <c r="S2827" s="81" t="e">
        <f>HLOOKUP(L2827,データについて!$J$6:$M$18,13,FALSE)</f>
        <v>#N/A</v>
      </c>
      <c r="T2827" s="81" t="e">
        <f>HLOOKUP(M2827,データについて!$J$7:$M$18,12,FALSE)</f>
        <v>#N/A</v>
      </c>
      <c r="U2827" s="81" t="e">
        <f>HLOOKUP(N2827,データについて!$J$8:$M$18,11,FALSE)</f>
        <v>#N/A</v>
      </c>
      <c r="V2827" s="81" t="e">
        <f>HLOOKUP(O2827,データについて!$J$9:$M$18,10,FALSE)</f>
        <v>#N/A</v>
      </c>
      <c r="W2827" s="81" t="e">
        <f>HLOOKUP(P2827,データについて!$J$10:$M$18,9,FALSE)</f>
        <v>#N/A</v>
      </c>
      <c r="X2827" s="81" t="e">
        <f>HLOOKUP(Q2827,データについて!$J$11:$M$18,8,FALSE)</f>
        <v>#N/A</v>
      </c>
      <c r="Y2827" s="81" t="e">
        <f>HLOOKUP(R2827,データについて!$J$12:$M$18,7,FALSE)</f>
        <v>#N/A</v>
      </c>
      <c r="Z2827" s="81" t="e">
        <f>HLOOKUP(I2827,データについて!$J$3:$M$18,16,FALSE)</f>
        <v>#N/A</v>
      </c>
      <c r="AA2827" s="81" t="str">
        <f>IFERROR(HLOOKUP(J2827,データについて!$J$4:$AH$19,16,FALSE),"")</f>
        <v/>
      </c>
      <c r="AB2827" s="81" t="str">
        <f>IFERROR(HLOOKUP(K2827,データについて!$J$5:$AH$20,14,FALSE),"")</f>
        <v/>
      </c>
      <c r="AC2827" s="81" t="e">
        <f>IF(X2827=1,HLOOKUP(R2827,データについて!$J$12:$M$18,7,FALSE),"*")</f>
        <v>#N/A</v>
      </c>
      <c r="AD2827" s="81" t="e">
        <f>IF(X2827=2,HLOOKUP(R2827,データについて!$J$12:$M$18,7,FALSE),"*")</f>
        <v>#N/A</v>
      </c>
    </row>
    <row r="2828" spans="19:30">
      <c r="S2828" s="81" t="e">
        <f>HLOOKUP(L2828,データについて!$J$6:$M$18,13,FALSE)</f>
        <v>#N/A</v>
      </c>
      <c r="T2828" s="81" t="e">
        <f>HLOOKUP(M2828,データについて!$J$7:$M$18,12,FALSE)</f>
        <v>#N/A</v>
      </c>
      <c r="U2828" s="81" t="e">
        <f>HLOOKUP(N2828,データについて!$J$8:$M$18,11,FALSE)</f>
        <v>#N/A</v>
      </c>
      <c r="V2828" s="81" t="e">
        <f>HLOOKUP(O2828,データについて!$J$9:$M$18,10,FALSE)</f>
        <v>#N/A</v>
      </c>
      <c r="W2828" s="81" t="e">
        <f>HLOOKUP(P2828,データについて!$J$10:$M$18,9,FALSE)</f>
        <v>#N/A</v>
      </c>
      <c r="X2828" s="81" t="e">
        <f>HLOOKUP(Q2828,データについて!$J$11:$M$18,8,FALSE)</f>
        <v>#N/A</v>
      </c>
      <c r="Y2828" s="81" t="e">
        <f>HLOOKUP(R2828,データについて!$J$12:$M$18,7,FALSE)</f>
        <v>#N/A</v>
      </c>
      <c r="Z2828" s="81" t="e">
        <f>HLOOKUP(I2828,データについて!$J$3:$M$18,16,FALSE)</f>
        <v>#N/A</v>
      </c>
      <c r="AA2828" s="81" t="str">
        <f>IFERROR(HLOOKUP(J2828,データについて!$J$4:$AH$19,16,FALSE),"")</f>
        <v/>
      </c>
      <c r="AB2828" s="81" t="str">
        <f>IFERROR(HLOOKUP(K2828,データについて!$J$5:$AH$20,14,FALSE),"")</f>
        <v/>
      </c>
      <c r="AC2828" s="81" t="e">
        <f>IF(X2828=1,HLOOKUP(R2828,データについて!$J$12:$M$18,7,FALSE),"*")</f>
        <v>#N/A</v>
      </c>
      <c r="AD2828" s="81" t="e">
        <f>IF(X2828=2,HLOOKUP(R2828,データについて!$J$12:$M$18,7,FALSE),"*")</f>
        <v>#N/A</v>
      </c>
    </row>
    <row r="2829" spans="19:30">
      <c r="S2829" s="81" t="e">
        <f>HLOOKUP(L2829,データについて!$J$6:$M$18,13,FALSE)</f>
        <v>#N/A</v>
      </c>
      <c r="T2829" s="81" t="e">
        <f>HLOOKUP(M2829,データについて!$J$7:$M$18,12,FALSE)</f>
        <v>#N/A</v>
      </c>
      <c r="U2829" s="81" t="e">
        <f>HLOOKUP(N2829,データについて!$J$8:$M$18,11,FALSE)</f>
        <v>#N/A</v>
      </c>
      <c r="V2829" s="81" t="e">
        <f>HLOOKUP(O2829,データについて!$J$9:$M$18,10,FALSE)</f>
        <v>#N/A</v>
      </c>
      <c r="W2829" s="81" t="e">
        <f>HLOOKUP(P2829,データについて!$J$10:$M$18,9,FALSE)</f>
        <v>#N/A</v>
      </c>
      <c r="X2829" s="81" t="e">
        <f>HLOOKUP(Q2829,データについて!$J$11:$M$18,8,FALSE)</f>
        <v>#N/A</v>
      </c>
      <c r="Y2829" s="81" t="e">
        <f>HLOOKUP(R2829,データについて!$J$12:$M$18,7,FALSE)</f>
        <v>#N/A</v>
      </c>
      <c r="Z2829" s="81" t="e">
        <f>HLOOKUP(I2829,データについて!$J$3:$M$18,16,FALSE)</f>
        <v>#N/A</v>
      </c>
      <c r="AA2829" s="81" t="str">
        <f>IFERROR(HLOOKUP(J2829,データについて!$J$4:$AH$19,16,FALSE),"")</f>
        <v/>
      </c>
      <c r="AB2829" s="81" t="str">
        <f>IFERROR(HLOOKUP(K2829,データについて!$J$5:$AH$20,14,FALSE),"")</f>
        <v/>
      </c>
      <c r="AC2829" s="81" t="e">
        <f>IF(X2829=1,HLOOKUP(R2829,データについて!$J$12:$M$18,7,FALSE),"*")</f>
        <v>#N/A</v>
      </c>
      <c r="AD2829" s="81" t="e">
        <f>IF(X2829=2,HLOOKUP(R2829,データについて!$J$12:$M$18,7,FALSE),"*")</f>
        <v>#N/A</v>
      </c>
    </row>
    <row r="2830" spans="19:30">
      <c r="S2830" s="81" t="e">
        <f>HLOOKUP(L2830,データについて!$J$6:$M$18,13,FALSE)</f>
        <v>#N/A</v>
      </c>
      <c r="T2830" s="81" t="e">
        <f>HLOOKUP(M2830,データについて!$J$7:$M$18,12,FALSE)</f>
        <v>#N/A</v>
      </c>
      <c r="U2830" s="81" t="e">
        <f>HLOOKUP(N2830,データについて!$J$8:$M$18,11,FALSE)</f>
        <v>#N/A</v>
      </c>
      <c r="V2830" s="81" t="e">
        <f>HLOOKUP(O2830,データについて!$J$9:$M$18,10,FALSE)</f>
        <v>#N/A</v>
      </c>
      <c r="W2830" s="81" t="e">
        <f>HLOOKUP(P2830,データについて!$J$10:$M$18,9,FALSE)</f>
        <v>#N/A</v>
      </c>
      <c r="X2830" s="81" t="e">
        <f>HLOOKUP(Q2830,データについて!$J$11:$M$18,8,FALSE)</f>
        <v>#N/A</v>
      </c>
      <c r="Y2830" s="81" t="e">
        <f>HLOOKUP(R2830,データについて!$J$12:$M$18,7,FALSE)</f>
        <v>#N/A</v>
      </c>
      <c r="Z2830" s="81" t="e">
        <f>HLOOKUP(I2830,データについて!$J$3:$M$18,16,FALSE)</f>
        <v>#N/A</v>
      </c>
      <c r="AA2830" s="81" t="str">
        <f>IFERROR(HLOOKUP(J2830,データについて!$J$4:$AH$19,16,FALSE),"")</f>
        <v/>
      </c>
      <c r="AB2830" s="81" t="str">
        <f>IFERROR(HLOOKUP(K2830,データについて!$J$5:$AH$20,14,FALSE),"")</f>
        <v/>
      </c>
      <c r="AC2830" s="81" t="e">
        <f>IF(X2830=1,HLOOKUP(R2830,データについて!$J$12:$M$18,7,FALSE),"*")</f>
        <v>#N/A</v>
      </c>
      <c r="AD2830" s="81" t="e">
        <f>IF(X2830=2,HLOOKUP(R2830,データについて!$J$12:$M$18,7,FALSE),"*")</f>
        <v>#N/A</v>
      </c>
    </row>
    <row r="2831" spans="19:30">
      <c r="S2831" s="81" t="e">
        <f>HLOOKUP(L2831,データについて!$J$6:$M$18,13,FALSE)</f>
        <v>#N/A</v>
      </c>
      <c r="T2831" s="81" t="e">
        <f>HLOOKUP(M2831,データについて!$J$7:$M$18,12,FALSE)</f>
        <v>#N/A</v>
      </c>
      <c r="U2831" s="81" t="e">
        <f>HLOOKUP(N2831,データについて!$J$8:$M$18,11,FALSE)</f>
        <v>#N/A</v>
      </c>
      <c r="V2831" s="81" t="e">
        <f>HLOOKUP(O2831,データについて!$J$9:$M$18,10,FALSE)</f>
        <v>#N/A</v>
      </c>
      <c r="W2831" s="81" t="e">
        <f>HLOOKUP(P2831,データについて!$J$10:$M$18,9,FALSE)</f>
        <v>#N/A</v>
      </c>
      <c r="X2831" s="81" t="e">
        <f>HLOOKUP(Q2831,データについて!$J$11:$M$18,8,FALSE)</f>
        <v>#N/A</v>
      </c>
      <c r="Y2831" s="81" t="e">
        <f>HLOOKUP(R2831,データについて!$J$12:$M$18,7,FALSE)</f>
        <v>#N/A</v>
      </c>
      <c r="Z2831" s="81" t="e">
        <f>HLOOKUP(I2831,データについて!$J$3:$M$18,16,FALSE)</f>
        <v>#N/A</v>
      </c>
      <c r="AA2831" s="81" t="str">
        <f>IFERROR(HLOOKUP(J2831,データについて!$J$4:$AH$19,16,FALSE),"")</f>
        <v/>
      </c>
      <c r="AB2831" s="81" t="str">
        <f>IFERROR(HLOOKUP(K2831,データについて!$J$5:$AH$20,14,FALSE),"")</f>
        <v/>
      </c>
      <c r="AC2831" s="81" t="e">
        <f>IF(X2831=1,HLOOKUP(R2831,データについて!$J$12:$M$18,7,FALSE),"*")</f>
        <v>#N/A</v>
      </c>
      <c r="AD2831" s="81" t="e">
        <f>IF(X2831=2,HLOOKUP(R2831,データについて!$J$12:$M$18,7,FALSE),"*")</f>
        <v>#N/A</v>
      </c>
    </row>
    <row r="2832" spans="19:30">
      <c r="S2832" s="81" t="e">
        <f>HLOOKUP(L2832,データについて!$J$6:$M$18,13,FALSE)</f>
        <v>#N/A</v>
      </c>
      <c r="T2832" s="81" t="e">
        <f>HLOOKUP(M2832,データについて!$J$7:$M$18,12,FALSE)</f>
        <v>#N/A</v>
      </c>
      <c r="U2832" s="81" t="e">
        <f>HLOOKUP(N2832,データについて!$J$8:$M$18,11,FALSE)</f>
        <v>#N/A</v>
      </c>
      <c r="V2832" s="81" t="e">
        <f>HLOOKUP(O2832,データについて!$J$9:$M$18,10,FALSE)</f>
        <v>#N/A</v>
      </c>
      <c r="W2832" s="81" t="e">
        <f>HLOOKUP(P2832,データについて!$J$10:$M$18,9,FALSE)</f>
        <v>#N/A</v>
      </c>
      <c r="X2832" s="81" t="e">
        <f>HLOOKUP(Q2832,データについて!$J$11:$M$18,8,FALSE)</f>
        <v>#N/A</v>
      </c>
      <c r="Y2832" s="81" t="e">
        <f>HLOOKUP(R2832,データについて!$J$12:$M$18,7,FALSE)</f>
        <v>#N/A</v>
      </c>
      <c r="Z2832" s="81" t="e">
        <f>HLOOKUP(I2832,データについて!$J$3:$M$18,16,FALSE)</f>
        <v>#N/A</v>
      </c>
      <c r="AA2832" s="81" t="str">
        <f>IFERROR(HLOOKUP(J2832,データについて!$J$4:$AH$19,16,FALSE),"")</f>
        <v/>
      </c>
      <c r="AB2832" s="81" t="str">
        <f>IFERROR(HLOOKUP(K2832,データについて!$J$5:$AH$20,14,FALSE),"")</f>
        <v/>
      </c>
      <c r="AC2832" s="81" t="e">
        <f>IF(X2832=1,HLOOKUP(R2832,データについて!$J$12:$M$18,7,FALSE),"*")</f>
        <v>#N/A</v>
      </c>
      <c r="AD2832" s="81" t="e">
        <f>IF(X2832=2,HLOOKUP(R2832,データについて!$J$12:$M$18,7,FALSE),"*")</f>
        <v>#N/A</v>
      </c>
    </row>
    <row r="2833" spans="19:30">
      <c r="S2833" s="81" t="e">
        <f>HLOOKUP(L2833,データについて!$J$6:$M$18,13,FALSE)</f>
        <v>#N/A</v>
      </c>
      <c r="T2833" s="81" t="e">
        <f>HLOOKUP(M2833,データについて!$J$7:$M$18,12,FALSE)</f>
        <v>#N/A</v>
      </c>
      <c r="U2833" s="81" t="e">
        <f>HLOOKUP(N2833,データについて!$J$8:$M$18,11,FALSE)</f>
        <v>#N/A</v>
      </c>
      <c r="V2833" s="81" t="e">
        <f>HLOOKUP(O2833,データについて!$J$9:$M$18,10,FALSE)</f>
        <v>#N/A</v>
      </c>
      <c r="W2833" s="81" t="e">
        <f>HLOOKUP(P2833,データについて!$J$10:$M$18,9,FALSE)</f>
        <v>#N/A</v>
      </c>
      <c r="X2833" s="81" t="e">
        <f>HLOOKUP(Q2833,データについて!$J$11:$M$18,8,FALSE)</f>
        <v>#N/A</v>
      </c>
      <c r="Y2833" s="81" t="e">
        <f>HLOOKUP(R2833,データについて!$J$12:$M$18,7,FALSE)</f>
        <v>#N/A</v>
      </c>
      <c r="Z2833" s="81" t="e">
        <f>HLOOKUP(I2833,データについて!$J$3:$M$18,16,FALSE)</f>
        <v>#N/A</v>
      </c>
      <c r="AA2833" s="81" t="str">
        <f>IFERROR(HLOOKUP(J2833,データについて!$J$4:$AH$19,16,FALSE),"")</f>
        <v/>
      </c>
      <c r="AB2833" s="81" t="str">
        <f>IFERROR(HLOOKUP(K2833,データについて!$J$5:$AH$20,14,FALSE),"")</f>
        <v/>
      </c>
      <c r="AC2833" s="81" t="e">
        <f>IF(X2833=1,HLOOKUP(R2833,データについて!$J$12:$M$18,7,FALSE),"*")</f>
        <v>#N/A</v>
      </c>
      <c r="AD2833" s="81" t="e">
        <f>IF(X2833=2,HLOOKUP(R2833,データについて!$J$12:$M$18,7,FALSE),"*")</f>
        <v>#N/A</v>
      </c>
    </row>
    <row r="2834" spans="19:30">
      <c r="S2834" s="81" t="e">
        <f>HLOOKUP(L2834,データについて!$J$6:$M$18,13,FALSE)</f>
        <v>#N/A</v>
      </c>
      <c r="T2834" s="81" t="e">
        <f>HLOOKUP(M2834,データについて!$J$7:$M$18,12,FALSE)</f>
        <v>#N/A</v>
      </c>
      <c r="U2834" s="81" t="e">
        <f>HLOOKUP(N2834,データについて!$J$8:$M$18,11,FALSE)</f>
        <v>#N/A</v>
      </c>
      <c r="V2834" s="81" t="e">
        <f>HLOOKUP(O2834,データについて!$J$9:$M$18,10,FALSE)</f>
        <v>#N/A</v>
      </c>
      <c r="W2834" s="81" t="e">
        <f>HLOOKUP(P2834,データについて!$J$10:$M$18,9,FALSE)</f>
        <v>#N/A</v>
      </c>
      <c r="X2834" s="81" t="e">
        <f>HLOOKUP(Q2834,データについて!$J$11:$M$18,8,FALSE)</f>
        <v>#N/A</v>
      </c>
      <c r="Y2834" s="81" t="e">
        <f>HLOOKUP(R2834,データについて!$J$12:$M$18,7,FALSE)</f>
        <v>#N/A</v>
      </c>
      <c r="Z2834" s="81" t="e">
        <f>HLOOKUP(I2834,データについて!$J$3:$M$18,16,FALSE)</f>
        <v>#N/A</v>
      </c>
      <c r="AA2834" s="81" t="str">
        <f>IFERROR(HLOOKUP(J2834,データについて!$J$4:$AH$19,16,FALSE),"")</f>
        <v/>
      </c>
      <c r="AB2834" s="81" t="str">
        <f>IFERROR(HLOOKUP(K2834,データについて!$J$5:$AH$20,14,FALSE),"")</f>
        <v/>
      </c>
      <c r="AC2834" s="81" t="e">
        <f>IF(X2834=1,HLOOKUP(R2834,データについて!$J$12:$M$18,7,FALSE),"*")</f>
        <v>#N/A</v>
      </c>
      <c r="AD2834" s="81" t="e">
        <f>IF(X2834=2,HLOOKUP(R2834,データについて!$J$12:$M$18,7,FALSE),"*")</f>
        <v>#N/A</v>
      </c>
    </row>
    <row r="2835" spans="19:30">
      <c r="S2835" s="81" t="e">
        <f>HLOOKUP(L2835,データについて!$J$6:$M$18,13,FALSE)</f>
        <v>#N/A</v>
      </c>
      <c r="T2835" s="81" t="e">
        <f>HLOOKUP(M2835,データについて!$J$7:$M$18,12,FALSE)</f>
        <v>#N/A</v>
      </c>
      <c r="U2835" s="81" t="e">
        <f>HLOOKUP(N2835,データについて!$J$8:$M$18,11,FALSE)</f>
        <v>#N/A</v>
      </c>
      <c r="V2835" s="81" t="e">
        <f>HLOOKUP(O2835,データについて!$J$9:$M$18,10,FALSE)</f>
        <v>#N/A</v>
      </c>
      <c r="W2835" s="81" t="e">
        <f>HLOOKUP(P2835,データについて!$J$10:$M$18,9,FALSE)</f>
        <v>#N/A</v>
      </c>
      <c r="X2835" s="81" t="e">
        <f>HLOOKUP(Q2835,データについて!$J$11:$M$18,8,FALSE)</f>
        <v>#N/A</v>
      </c>
      <c r="Y2835" s="81" t="e">
        <f>HLOOKUP(R2835,データについて!$J$12:$M$18,7,FALSE)</f>
        <v>#N/A</v>
      </c>
      <c r="Z2835" s="81" t="e">
        <f>HLOOKUP(I2835,データについて!$J$3:$M$18,16,FALSE)</f>
        <v>#N/A</v>
      </c>
      <c r="AA2835" s="81" t="str">
        <f>IFERROR(HLOOKUP(J2835,データについて!$J$4:$AH$19,16,FALSE),"")</f>
        <v/>
      </c>
      <c r="AB2835" s="81" t="str">
        <f>IFERROR(HLOOKUP(K2835,データについて!$J$5:$AH$20,14,FALSE),"")</f>
        <v/>
      </c>
      <c r="AC2835" s="81" t="e">
        <f>IF(X2835=1,HLOOKUP(R2835,データについて!$J$12:$M$18,7,FALSE),"*")</f>
        <v>#N/A</v>
      </c>
      <c r="AD2835" s="81" t="e">
        <f>IF(X2835=2,HLOOKUP(R2835,データについて!$J$12:$M$18,7,FALSE),"*")</f>
        <v>#N/A</v>
      </c>
    </row>
    <row r="2836" spans="19:30">
      <c r="S2836" s="81" t="e">
        <f>HLOOKUP(L2836,データについて!$J$6:$M$18,13,FALSE)</f>
        <v>#N/A</v>
      </c>
      <c r="T2836" s="81" t="e">
        <f>HLOOKUP(M2836,データについて!$J$7:$M$18,12,FALSE)</f>
        <v>#N/A</v>
      </c>
      <c r="U2836" s="81" t="e">
        <f>HLOOKUP(N2836,データについて!$J$8:$M$18,11,FALSE)</f>
        <v>#N/A</v>
      </c>
      <c r="V2836" s="81" t="e">
        <f>HLOOKUP(O2836,データについて!$J$9:$M$18,10,FALSE)</f>
        <v>#N/A</v>
      </c>
      <c r="W2836" s="81" t="e">
        <f>HLOOKUP(P2836,データについて!$J$10:$M$18,9,FALSE)</f>
        <v>#N/A</v>
      </c>
      <c r="X2836" s="81" t="e">
        <f>HLOOKUP(Q2836,データについて!$J$11:$M$18,8,FALSE)</f>
        <v>#N/A</v>
      </c>
      <c r="Y2836" s="81" t="e">
        <f>HLOOKUP(R2836,データについて!$J$12:$M$18,7,FALSE)</f>
        <v>#N/A</v>
      </c>
      <c r="Z2836" s="81" t="e">
        <f>HLOOKUP(I2836,データについて!$J$3:$M$18,16,FALSE)</f>
        <v>#N/A</v>
      </c>
      <c r="AA2836" s="81" t="str">
        <f>IFERROR(HLOOKUP(J2836,データについて!$J$4:$AH$19,16,FALSE),"")</f>
        <v/>
      </c>
      <c r="AB2836" s="81" t="str">
        <f>IFERROR(HLOOKUP(K2836,データについて!$J$5:$AH$20,14,FALSE),"")</f>
        <v/>
      </c>
      <c r="AC2836" s="81" t="e">
        <f>IF(X2836=1,HLOOKUP(R2836,データについて!$J$12:$M$18,7,FALSE),"*")</f>
        <v>#N/A</v>
      </c>
      <c r="AD2836" s="81" t="e">
        <f>IF(X2836=2,HLOOKUP(R2836,データについて!$J$12:$M$18,7,FALSE),"*")</f>
        <v>#N/A</v>
      </c>
    </row>
    <row r="2837" spans="19:30">
      <c r="S2837" s="81" t="e">
        <f>HLOOKUP(L2837,データについて!$J$6:$M$18,13,FALSE)</f>
        <v>#N/A</v>
      </c>
      <c r="T2837" s="81" t="e">
        <f>HLOOKUP(M2837,データについて!$J$7:$M$18,12,FALSE)</f>
        <v>#N/A</v>
      </c>
      <c r="U2837" s="81" t="e">
        <f>HLOOKUP(N2837,データについて!$J$8:$M$18,11,FALSE)</f>
        <v>#N/A</v>
      </c>
      <c r="V2837" s="81" t="e">
        <f>HLOOKUP(O2837,データについて!$J$9:$M$18,10,FALSE)</f>
        <v>#N/A</v>
      </c>
      <c r="W2837" s="81" t="e">
        <f>HLOOKUP(P2837,データについて!$J$10:$M$18,9,FALSE)</f>
        <v>#N/A</v>
      </c>
      <c r="X2837" s="81" t="e">
        <f>HLOOKUP(Q2837,データについて!$J$11:$M$18,8,FALSE)</f>
        <v>#N/A</v>
      </c>
      <c r="Y2837" s="81" t="e">
        <f>HLOOKUP(R2837,データについて!$J$12:$M$18,7,FALSE)</f>
        <v>#N/A</v>
      </c>
      <c r="Z2837" s="81" t="e">
        <f>HLOOKUP(I2837,データについて!$J$3:$M$18,16,FALSE)</f>
        <v>#N/A</v>
      </c>
      <c r="AA2837" s="81" t="str">
        <f>IFERROR(HLOOKUP(J2837,データについて!$J$4:$AH$19,16,FALSE),"")</f>
        <v/>
      </c>
      <c r="AB2837" s="81" t="str">
        <f>IFERROR(HLOOKUP(K2837,データについて!$J$5:$AH$20,14,FALSE),"")</f>
        <v/>
      </c>
      <c r="AC2837" s="81" t="e">
        <f>IF(X2837=1,HLOOKUP(R2837,データについて!$J$12:$M$18,7,FALSE),"*")</f>
        <v>#N/A</v>
      </c>
      <c r="AD2837" s="81" t="e">
        <f>IF(X2837=2,HLOOKUP(R2837,データについて!$J$12:$M$18,7,FALSE),"*")</f>
        <v>#N/A</v>
      </c>
    </row>
    <row r="2838" spans="19:30">
      <c r="S2838" s="81" t="e">
        <f>HLOOKUP(L2838,データについて!$J$6:$M$18,13,FALSE)</f>
        <v>#N/A</v>
      </c>
      <c r="T2838" s="81" t="e">
        <f>HLOOKUP(M2838,データについて!$J$7:$M$18,12,FALSE)</f>
        <v>#N/A</v>
      </c>
      <c r="U2838" s="81" t="e">
        <f>HLOOKUP(N2838,データについて!$J$8:$M$18,11,FALSE)</f>
        <v>#N/A</v>
      </c>
      <c r="V2838" s="81" t="e">
        <f>HLOOKUP(O2838,データについて!$J$9:$M$18,10,FALSE)</f>
        <v>#N/A</v>
      </c>
      <c r="W2838" s="81" t="e">
        <f>HLOOKUP(P2838,データについて!$J$10:$M$18,9,FALSE)</f>
        <v>#N/A</v>
      </c>
      <c r="X2838" s="81" t="e">
        <f>HLOOKUP(Q2838,データについて!$J$11:$M$18,8,FALSE)</f>
        <v>#N/A</v>
      </c>
      <c r="Y2838" s="81" t="e">
        <f>HLOOKUP(R2838,データについて!$J$12:$M$18,7,FALSE)</f>
        <v>#N/A</v>
      </c>
      <c r="Z2838" s="81" t="e">
        <f>HLOOKUP(I2838,データについて!$J$3:$M$18,16,FALSE)</f>
        <v>#N/A</v>
      </c>
      <c r="AA2838" s="81" t="str">
        <f>IFERROR(HLOOKUP(J2838,データについて!$J$4:$AH$19,16,FALSE),"")</f>
        <v/>
      </c>
      <c r="AB2838" s="81" t="str">
        <f>IFERROR(HLOOKUP(K2838,データについて!$J$5:$AH$20,14,FALSE),"")</f>
        <v/>
      </c>
      <c r="AC2838" s="81" t="e">
        <f>IF(X2838=1,HLOOKUP(R2838,データについて!$J$12:$M$18,7,FALSE),"*")</f>
        <v>#N/A</v>
      </c>
      <c r="AD2838" s="81" t="e">
        <f>IF(X2838=2,HLOOKUP(R2838,データについて!$J$12:$M$18,7,FALSE),"*")</f>
        <v>#N/A</v>
      </c>
    </row>
    <row r="2839" spans="19:30">
      <c r="S2839" s="81" t="e">
        <f>HLOOKUP(L2839,データについて!$J$6:$M$18,13,FALSE)</f>
        <v>#N/A</v>
      </c>
      <c r="T2839" s="81" t="e">
        <f>HLOOKUP(M2839,データについて!$J$7:$M$18,12,FALSE)</f>
        <v>#N/A</v>
      </c>
      <c r="U2839" s="81" t="e">
        <f>HLOOKUP(N2839,データについて!$J$8:$M$18,11,FALSE)</f>
        <v>#N/A</v>
      </c>
      <c r="V2839" s="81" t="e">
        <f>HLOOKUP(O2839,データについて!$J$9:$M$18,10,FALSE)</f>
        <v>#N/A</v>
      </c>
      <c r="W2839" s="81" t="e">
        <f>HLOOKUP(P2839,データについて!$J$10:$M$18,9,FALSE)</f>
        <v>#N/A</v>
      </c>
      <c r="X2839" s="81" t="e">
        <f>HLOOKUP(Q2839,データについて!$J$11:$M$18,8,FALSE)</f>
        <v>#N/A</v>
      </c>
      <c r="Y2839" s="81" t="e">
        <f>HLOOKUP(R2839,データについて!$J$12:$M$18,7,FALSE)</f>
        <v>#N/A</v>
      </c>
      <c r="Z2839" s="81" t="e">
        <f>HLOOKUP(I2839,データについて!$J$3:$M$18,16,FALSE)</f>
        <v>#N/A</v>
      </c>
      <c r="AA2839" s="81" t="str">
        <f>IFERROR(HLOOKUP(J2839,データについて!$J$4:$AH$19,16,FALSE),"")</f>
        <v/>
      </c>
      <c r="AB2839" s="81" t="str">
        <f>IFERROR(HLOOKUP(K2839,データについて!$J$5:$AH$20,14,FALSE),"")</f>
        <v/>
      </c>
      <c r="AC2839" s="81" t="e">
        <f>IF(X2839=1,HLOOKUP(R2839,データについて!$J$12:$M$18,7,FALSE),"*")</f>
        <v>#N/A</v>
      </c>
      <c r="AD2839" s="81" t="e">
        <f>IF(X2839=2,HLOOKUP(R2839,データについて!$J$12:$M$18,7,FALSE),"*")</f>
        <v>#N/A</v>
      </c>
    </row>
    <row r="2840" spans="19:30">
      <c r="S2840" s="81" t="e">
        <f>HLOOKUP(L2840,データについて!$J$6:$M$18,13,FALSE)</f>
        <v>#N/A</v>
      </c>
      <c r="T2840" s="81" t="e">
        <f>HLOOKUP(M2840,データについて!$J$7:$M$18,12,FALSE)</f>
        <v>#N/A</v>
      </c>
      <c r="U2840" s="81" t="e">
        <f>HLOOKUP(N2840,データについて!$J$8:$M$18,11,FALSE)</f>
        <v>#N/A</v>
      </c>
      <c r="V2840" s="81" t="e">
        <f>HLOOKUP(O2840,データについて!$J$9:$M$18,10,FALSE)</f>
        <v>#N/A</v>
      </c>
      <c r="W2840" s="81" t="e">
        <f>HLOOKUP(P2840,データについて!$J$10:$M$18,9,FALSE)</f>
        <v>#N/A</v>
      </c>
      <c r="X2840" s="81" t="e">
        <f>HLOOKUP(Q2840,データについて!$J$11:$M$18,8,FALSE)</f>
        <v>#N/A</v>
      </c>
      <c r="Y2840" s="81" t="e">
        <f>HLOOKUP(R2840,データについて!$J$12:$M$18,7,FALSE)</f>
        <v>#N/A</v>
      </c>
      <c r="Z2840" s="81" t="e">
        <f>HLOOKUP(I2840,データについて!$J$3:$M$18,16,FALSE)</f>
        <v>#N/A</v>
      </c>
      <c r="AA2840" s="81" t="str">
        <f>IFERROR(HLOOKUP(J2840,データについて!$J$4:$AH$19,16,FALSE),"")</f>
        <v/>
      </c>
      <c r="AB2840" s="81" t="str">
        <f>IFERROR(HLOOKUP(K2840,データについて!$J$5:$AH$20,14,FALSE),"")</f>
        <v/>
      </c>
      <c r="AC2840" s="81" t="e">
        <f>IF(X2840=1,HLOOKUP(R2840,データについて!$J$12:$M$18,7,FALSE),"*")</f>
        <v>#N/A</v>
      </c>
      <c r="AD2840" s="81" t="e">
        <f>IF(X2840=2,HLOOKUP(R2840,データについて!$J$12:$M$18,7,FALSE),"*")</f>
        <v>#N/A</v>
      </c>
    </row>
    <row r="2841" spans="19:30">
      <c r="S2841" s="81" t="e">
        <f>HLOOKUP(L2841,データについて!$J$6:$M$18,13,FALSE)</f>
        <v>#N/A</v>
      </c>
      <c r="T2841" s="81" t="e">
        <f>HLOOKUP(M2841,データについて!$J$7:$M$18,12,FALSE)</f>
        <v>#N/A</v>
      </c>
      <c r="U2841" s="81" t="e">
        <f>HLOOKUP(N2841,データについて!$J$8:$M$18,11,FALSE)</f>
        <v>#N/A</v>
      </c>
      <c r="V2841" s="81" t="e">
        <f>HLOOKUP(O2841,データについて!$J$9:$M$18,10,FALSE)</f>
        <v>#N/A</v>
      </c>
      <c r="W2841" s="81" t="e">
        <f>HLOOKUP(P2841,データについて!$J$10:$M$18,9,FALSE)</f>
        <v>#N/A</v>
      </c>
      <c r="X2841" s="81" t="e">
        <f>HLOOKUP(Q2841,データについて!$J$11:$M$18,8,FALSE)</f>
        <v>#N/A</v>
      </c>
      <c r="Y2841" s="81" t="e">
        <f>HLOOKUP(R2841,データについて!$J$12:$M$18,7,FALSE)</f>
        <v>#N/A</v>
      </c>
      <c r="Z2841" s="81" t="e">
        <f>HLOOKUP(I2841,データについて!$J$3:$M$18,16,FALSE)</f>
        <v>#N/A</v>
      </c>
      <c r="AA2841" s="81" t="str">
        <f>IFERROR(HLOOKUP(J2841,データについて!$J$4:$AH$19,16,FALSE),"")</f>
        <v/>
      </c>
      <c r="AB2841" s="81" t="str">
        <f>IFERROR(HLOOKUP(K2841,データについて!$J$5:$AH$20,14,FALSE),"")</f>
        <v/>
      </c>
      <c r="AC2841" s="81" t="e">
        <f>IF(X2841=1,HLOOKUP(R2841,データについて!$J$12:$M$18,7,FALSE),"*")</f>
        <v>#N/A</v>
      </c>
      <c r="AD2841" s="81" t="e">
        <f>IF(X2841=2,HLOOKUP(R2841,データについて!$J$12:$M$18,7,FALSE),"*")</f>
        <v>#N/A</v>
      </c>
    </row>
    <row r="2842" spans="19:30">
      <c r="S2842" s="81" t="e">
        <f>HLOOKUP(L2842,データについて!$J$6:$M$18,13,FALSE)</f>
        <v>#N/A</v>
      </c>
      <c r="T2842" s="81" t="e">
        <f>HLOOKUP(M2842,データについて!$J$7:$M$18,12,FALSE)</f>
        <v>#N/A</v>
      </c>
      <c r="U2842" s="81" t="e">
        <f>HLOOKUP(N2842,データについて!$J$8:$M$18,11,FALSE)</f>
        <v>#N/A</v>
      </c>
      <c r="V2842" s="81" t="e">
        <f>HLOOKUP(O2842,データについて!$J$9:$M$18,10,FALSE)</f>
        <v>#N/A</v>
      </c>
      <c r="W2842" s="81" t="e">
        <f>HLOOKUP(P2842,データについて!$J$10:$M$18,9,FALSE)</f>
        <v>#N/A</v>
      </c>
      <c r="X2842" s="81" t="e">
        <f>HLOOKUP(Q2842,データについて!$J$11:$M$18,8,FALSE)</f>
        <v>#N/A</v>
      </c>
      <c r="Y2842" s="81" t="e">
        <f>HLOOKUP(R2842,データについて!$J$12:$M$18,7,FALSE)</f>
        <v>#N/A</v>
      </c>
      <c r="Z2842" s="81" t="e">
        <f>HLOOKUP(I2842,データについて!$J$3:$M$18,16,FALSE)</f>
        <v>#N/A</v>
      </c>
      <c r="AA2842" s="81" t="str">
        <f>IFERROR(HLOOKUP(J2842,データについて!$J$4:$AH$19,16,FALSE),"")</f>
        <v/>
      </c>
      <c r="AB2842" s="81" t="str">
        <f>IFERROR(HLOOKUP(K2842,データについて!$J$5:$AH$20,14,FALSE),"")</f>
        <v/>
      </c>
      <c r="AC2842" s="81" t="e">
        <f>IF(X2842=1,HLOOKUP(R2842,データについて!$J$12:$M$18,7,FALSE),"*")</f>
        <v>#N/A</v>
      </c>
      <c r="AD2842" s="81" t="e">
        <f>IF(X2842=2,HLOOKUP(R2842,データについて!$J$12:$M$18,7,FALSE),"*")</f>
        <v>#N/A</v>
      </c>
    </row>
    <row r="2843" spans="19:30">
      <c r="S2843" s="81" t="e">
        <f>HLOOKUP(L2843,データについて!$J$6:$M$18,13,FALSE)</f>
        <v>#N/A</v>
      </c>
      <c r="T2843" s="81" t="e">
        <f>HLOOKUP(M2843,データについて!$J$7:$M$18,12,FALSE)</f>
        <v>#N/A</v>
      </c>
      <c r="U2843" s="81" t="e">
        <f>HLOOKUP(N2843,データについて!$J$8:$M$18,11,FALSE)</f>
        <v>#N/A</v>
      </c>
      <c r="V2843" s="81" t="e">
        <f>HLOOKUP(O2843,データについて!$J$9:$M$18,10,FALSE)</f>
        <v>#N/A</v>
      </c>
      <c r="W2843" s="81" t="e">
        <f>HLOOKUP(P2843,データについて!$J$10:$M$18,9,FALSE)</f>
        <v>#N/A</v>
      </c>
      <c r="X2843" s="81" t="e">
        <f>HLOOKUP(Q2843,データについて!$J$11:$M$18,8,FALSE)</f>
        <v>#N/A</v>
      </c>
      <c r="Y2843" s="81" t="e">
        <f>HLOOKUP(R2843,データについて!$J$12:$M$18,7,FALSE)</f>
        <v>#N/A</v>
      </c>
      <c r="Z2843" s="81" t="e">
        <f>HLOOKUP(I2843,データについて!$J$3:$M$18,16,FALSE)</f>
        <v>#N/A</v>
      </c>
      <c r="AA2843" s="81" t="str">
        <f>IFERROR(HLOOKUP(J2843,データについて!$J$4:$AH$19,16,FALSE),"")</f>
        <v/>
      </c>
      <c r="AB2843" s="81" t="str">
        <f>IFERROR(HLOOKUP(K2843,データについて!$J$5:$AH$20,14,FALSE),"")</f>
        <v/>
      </c>
      <c r="AC2843" s="81" t="e">
        <f>IF(X2843=1,HLOOKUP(R2843,データについて!$J$12:$M$18,7,FALSE),"*")</f>
        <v>#N/A</v>
      </c>
      <c r="AD2843" s="81" t="e">
        <f>IF(X2843=2,HLOOKUP(R2843,データについて!$J$12:$M$18,7,FALSE),"*")</f>
        <v>#N/A</v>
      </c>
    </row>
    <row r="2844" spans="19:30">
      <c r="S2844" s="81" t="e">
        <f>HLOOKUP(L2844,データについて!$J$6:$M$18,13,FALSE)</f>
        <v>#N/A</v>
      </c>
      <c r="T2844" s="81" t="e">
        <f>HLOOKUP(M2844,データについて!$J$7:$M$18,12,FALSE)</f>
        <v>#N/A</v>
      </c>
      <c r="U2844" s="81" t="e">
        <f>HLOOKUP(N2844,データについて!$J$8:$M$18,11,FALSE)</f>
        <v>#N/A</v>
      </c>
      <c r="V2844" s="81" t="e">
        <f>HLOOKUP(O2844,データについて!$J$9:$M$18,10,FALSE)</f>
        <v>#N/A</v>
      </c>
      <c r="W2844" s="81" t="e">
        <f>HLOOKUP(P2844,データについて!$J$10:$M$18,9,FALSE)</f>
        <v>#N/A</v>
      </c>
      <c r="X2844" s="81" t="e">
        <f>HLOOKUP(Q2844,データについて!$J$11:$M$18,8,FALSE)</f>
        <v>#N/A</v>
      </c>
      <c r="Y2844" s="81" t="e">
        <f>HLOOKUP(R2844,データについて!$J$12:$M$18,7,FALSE)</f>
        <v>#N/A</v>
      </c>
      <c r="Z2844" s="81" t="e">
        <f>HLOOKUP(I2844,データについて!$J$3:$M$18,16,FALSE)</f>
        <v>#N/A</v>
      </c>
      <c r="AA2844" s="81" t="str">
        <f>IFERROR(HLOOKUP(J2844,データについて!$J$4:$AH$19,16,FALSE),"")</f>
        <v/>
      </c>
      <c r="AB2844" s="81" t="str">
        <f>IFERROR(HLOOKUP(K2844,データについて!$J$5:$AH$20,14,FALSE),"")</f>
        <v/>
      </c>
      <c r="AC2844" s="81" t="e">
        <f>IF(X2844=1,HLOOKUP(R2844,データについて!$J$12:$M$18,7,FALSE),"*")</f>
        <v>#N/A</v>
      </c>
      <c r="AD2844" s="81" t="e">
        <f>IF(X2844=2,HLOOKUP(R2844,データについて!$J$12:$M$18,7,FALSE),"*")</f>
        <v>#N/A</v>
      </c>
    </row>
    <row r="2845" spans="19:30">
      <c r="S2845" s="81" t="e">
        <f>HLOOKUP(L2845,データについて!$J$6:$M$18,13,FALSE)</f>
        <v>#N/A</v>
      </c>
      <c r="T2845" s="81" t="e">
        <f>HLOOKUP(M2845,データについて!$J$7:$M$18,12,FALSE)</f>
        <v>#N/A</v>
      </c>
      <c r="U2845" s="81" t="e">
        <f>HLOOKUP(N2845,データについて!$J$8:$M$18,11,FALSE)</f>
        <v>#N/A</v>
      </c>
      <c r="V2845" s="81" t="e">
        <f>HLOOKUP(O2845,データについて!$J$9:$M$18,10,FALSE)</f>
        <v>#N/A</v>
      </c>
      <c r="W2845" s="81" t="e">
        <f>HLOOKUP(P2845,データについて!$J$10:$M$18,9,FALSE)</f>
        <v>#N/A</v>
      </c>
      <c r="X2845" s="81" t="e">
        <f>HLOOKUP(Q2845,データについて!$J$11:$M$18,8,FALSE)</f>
        <v>#N/A</v>
      </c>
      <c r="Y2845" s="81" t="e">
        <f>HLOOKUP(R2845,データについて!$J$12:$M$18,7,FALSE)</f>
        <v>#N/A</v>
      </c>
      <c r="Z2845" s="81" t="e">
        <f>HLOOKUP(I2845,データについて!$J$3:$M$18,16,FALSE)</f>
        <v>#N/A</v>
      </c>
      <c r="AA2845" s="81" t="str">
        <f>IFERROR(HLOOKUP(J2845,データについて!$J$4:$AH$19,16,FALSE),"")</f>
        <v/>
      </c>
      <c r="AB2845" s="81" t="str">
        <f>IFERROR(HLOOKUP(K2845,データについて!$J$5:$AH$20,14,FALSE),"")</f>
        <v/>
      </c>
      <c r="AC2845" s="81" t="e">
        <f>IF(X2845=1,HLOOKUP(R2845,データについて!$J$12:$M$18,7,FALSE),"*")</f>
        <v>#N/A</v>
      </c>
      <c r="AD2845" s="81" t="e">
        <f>IF(X2845=2,HLOOKUP(R2845,データについて!$J$12:$M$18,7,FALSE),"*")</f>
        <v>#N/A</v>
      </c>
    </row>
    <row r="2846" spans="19:30">
      <c r="S2846" s="81" t="e">
        <f>HLOOKUP(L2846,データについて!$J$6:$M$18,13,FALSE)</f>
        <v>#N/A</v>
      </c>
      <c r="T2846" s="81" t="e">
        <f>HLOOKUP(M2846,データについて!$J$7:$M$18,12,FALSE)</f>
        <v>#N/A</v>
      </c>
      <c r="U2846" s="81" t="e">
        <f>HLOOKUP(N2846,データについて!$J$8:$M$18,11,FALSE)</f>
        <v>#N/A</v>
      </c>
      <c r="V2846" s="81" t="e">
        <f>HLOOKUP(O2846,データについて!$J$9:$M$18,10,FALSE)</f>
        <v>#N/A</v>
      </c>
      <c r="W2846" s="81" t="e">
        <f>HLOOKUP(P2846,データについて!$J$10:$M$18,9,FALSE)</f>
        <v>#N/A</v>
      </c>
      <c r="X2846" s="81" t="e">
        <f>HLOOKUP(Q2846,データについて!$J$11:$M$18,8,FALSE)</f>
        <v>#N/A</v>
      </c>
      <c r="Y2846" s="81" t="e">
        <f>HLOOKUP(R2846,データについて!$J$12:$M$18,7,FALSE)</f>
        <v>#N/A</v>
      </c>
      <c r="Z2846" s="81" t="e">
        <f>HLOOKUP(I2846,データについて!$J$3:$M$18,16,FALSE)</f>
        <v>#N/A</v>
      </c>
      <c r="AA2846" s="81" t="str">
        <f>IFERROR(HLOOKUP(J2846,データについて!$J$4:$AH$19,16,FALSE),"")</f>
        <v/>
      </c>
      <c r="AB2846" s="81" t="str">
        <f>IFERROR(HLOOKUP(K2846,データについて!$J$5:$AH$20,14,FALSE),"")</f>
        <v/>
      </c>
      <c r="AC2846" s="81" t="e">
        <f>IF(X2846=1,HLOOKUP(R2846,データについて!$J$12:$M$18,7,FALSE),"*")</f>
        <v>#N/A</v>
      </c>
      <c r="AD2846" s="81" t="e">
        <f>IF(X2846=2,HLOOKUP(R2846,データについて!$J$12:$M$18,7,FALSE),"*")</f>
        <v>#N/A</v>
      </c>
    </row>
    <row r="2847" spans="19:30">
      <c r="S2847" s="81" t="e">
        <f>HLOOKUP(L2847,データについて!$J$6:$M$18,13,FALSE)</f>
        <v>#N/A</v>
      </c>
      <c r="T2847" s="81" t="e">
        <f>HLOOKUP(M2847,データについて!$J$7:$M$18,12,FALSE)</f>
        <v>#N/A</v>
      </c>
      <c r="U2847" s="81" t="e">
        <f>HLOOKUP(N2847,データについて!$J$8:$M$18,11,FALSE)</f>
        <v>#N/A</v>
      </c>
      <c r="V2847" s="81" t="e">
        <f>HLOOKUP(O2847,データについて!$J$9:$M$18,10,FALSE)</f>
        <v>#N/A</v>
      </c>
      <c r="W2847" s="81" t="e">
        <f>HLOOKUP(P2847,データについて!$J$10:$M$18,9,FALSE)</f>
        <v>#N/A</v>
      </c>
      <c r="X2847" s="81" t="e">
        <f>HLOOKUP(Q2847,データについて!$J$11:$M$18,8,FALSE)</f>
        <v>#N/A</v>
      </c>
      <c r="Y2847" s="81" t="e">
        <f>HLOOKUP(R2847,データについて!$J$12:$M$18,7,FALSE)</f>
        <v>#N/A</v>
      </c>
      <c r="Z2847" s="81" t="e">
        <f>HLOOKUP(I2847,データについて!$J$3:$M$18,16,FALSE)</f>
        <v>#N/A</v>
      </c>
      <c r="AA2847" s="81" t="str">
        <f>IFERROR(HLOOKUP(J2847,データについて!$J$4:$AH$19,16,FALSE),"")</f>
        <v/>
      </c>
      <c r="AB2847" s="81" t="str">
        <f>IFERROR(HLOOKUP(K2847,データについて!$J$5:$AH$20,14,FALSE),"")</f>
        <v/>
      </c>
      <c r="AC2847" s="81" t="e">
        <f>IF(X2847=1,HLOOKUP(R2847,データについて!$J$12:$M$18,7,FALSE),"*")</f>
        <v>#N/A</v>
      </c>
      <c r="AD2847" s="81" t="e">
        <f>IF(X2847=2,HLOOKUP(R2847,データについて!$J$12:$M$18,7,FALSE),"*")</f>
        <v>#N/A</v>
      </c>
    </row>
    <row r="2848" spans="19:30">
      <c r="S2848" s="81" t="e">
        <f>HLOOKUP(L2848,データについて!$J$6:$M$18,13,FALSE)</f>
        <v>#N/A</v>
      </c>
      <c r="T2848" s="81" t="e">
        <f>HLOOKUP(M2848,データについて!$J$7:$M$18,12,FALSE)</f>
        <v>#N/A</v>
      </c>
      <c r="U2848" s="81" t="e">
        <f>HLOOKUP(N2848,データについて!$J$8:$M$18,11,FALSE)</f>
        <v>#N/A</v>
      </c>
      <c r="V2848" s="81" t="e">
        <f>HLOOKUP(O2848,データについて!$J$9:$M$18,10,FALSE)</f>
        <v>#N/A</v>
      </c>
      <c r="W2848" s="81" t="e">
        <f>HLOOKUP(P2848,データについて!$J$10:$M$18,9,FALSE)</f>
        <v>#N/A</v>
      </c>
      <c r="X2848" s="81" t="e">
        <f>HLOOKUP(Q2848,データについて!$J$11:$M$18,8,FALSE)</f>
        <v>#N/A</v>
      </c>
      <c r="Y2848" s="81" t="e">
        <f>HLOOKUP(R2848,データについて!$J$12:$M$18,7,FALSE)</f>
        <v>#N/A</v>
      </c>
      <c r="Z2848" s="81" t="e">
        <f>HLOOKUP(I2848,データについて!$J$3:$M$18,16,FALSE)</f>
        <v>#N/A</v>
      </c>
      <c r="AA2848" s="81" t="str">
        <f>IFERROR(HLOOKUP(J2848,データについて!$J$4:$AH$19,16,FALSE),"")</f>
        <v/>
      </c>
      <c r="AB2848" s="81" t="str">
        <f>IFERROR(HLOOKUP(K2848,データについて!$J$5:$AH$20,14,FALSE),"")</f>
        <v/>
      </c>
      <c r="AC2848" s="81" t="e">
        <f>IF(X2848=1,HLOOKUP(R2848,データについて!$J$12:$M$18,7,FALSE),"*")</f>
        <v>#N/A</v>
      </c>
      <c r="AD2848" s="81" t="e">
        <f>IF(X2848=2,HLOOKUP(R2848,データについて!$J$12:$M$18,7,FALSE),"*")</f>
        <v>#N/A</v>
      </c>
    </row>
    <row r="2849" spans="19:30">
      <c r="S2849" s="81" t="e">
        <f>HLOOKUP(L2849,データについて!$J$6:$M$18,13,FALSE)</f>
        <v>#N/A</v>
      </c>
      <c r="T2849" s="81" t="e">
        <f>HLOOKUP(M2849,データについて!$J$7:$M$18,12,FALSE)</f>
        <v>#N/A</v>
      </c>
      <c r="U2849" s="81" t="e">
        <f>HLOOKUP(N2849,データについて!$J$8:$M$18,11,FALSE)</f>
        <v>#N/A</v>
      </c>
      <c r="V2849" s="81" t="e">
        <f>HLOOKUP(O2849,データについて!$J$9:$M$18,10,FALSE)</f>
        <v>#N/A</v>
      </c>
      <c r="W2849" s="81" t="e">
        <f>HLOOKUP(P2849,データについて!$J$10:$M$18,9,FALSE)</f>
        <v>#N/A</v>
      </c>
      <c r="X2849" s="81" t="e">
        <f>HLOOKUP(Q2849,データについて!$J$11:$M$18,8,FALSE)</f>
        <v>#N/A</v>
      </c>
      <c r="Y2849" s="81" t="e">
        <f>HLOOKUP(R2849,データについて!$J$12:$M$18,7,FALSE)</f>
        <v>#N/A</v>
      </c>
      <c r="Z2849" s="81" t="e">
        <f>HLOOKUP(I2849,データについて!$J$3:$M$18,16,FALSE)</f>
        <v>#N/A</v>
      </c>
      <c r="AA2849" s="81" t="str">
        <f>IFERROR(HLOOKUP(J2849,データについて!$J$4:$AH$19,16,FALSE),"")</f>
        <v/>
      </c>
      <c r="AB2849" s="81" t="str">
        <f>IFERROR(HLOOKUP(K2849,データについて!$J$5:$AH$20,14,FALSE),"")</f>
        <v/>
      </c>
      <c r="AC2849" s="81" t="e">
        <f>IF(X2849=1,HLOOKUP(R2849,データについて!$J$12:$M$18,7,FALSE),"*")</f>
        <v>#N/A</v>
      </c>
      <c r="AD2849" s="81" t="e">
        <f>IF(X2849=2,HLOOKUP(R2849,データについて!$J$12:$M$18,7,FALSE),"*")</f>
        <v>#N/A</v>
      </c>
    </row>
    <row r="2850" spans="19:30">
      <c r="S2850" s="81" t="e">
        <f>HLOOKUP(L2850,データについて!$J$6:$M$18,13,FALSE)</f>
        <v>#N/A</v>
      </c>
      <c r="T2850" s="81" t="e">
        <f>HLOOKUP(M2850,データについて!$J$7:$M$18,12,FALSE)</f>
        <v>#N/A</v>
      </c>
      <c r="U2850" s="81" t="e">
        <f>HLOOKUP(N2850,データについて!$J$8:$M$18,11,FALSE)</f>
        <v>#N/A</v>
      </c>
      <c r="V2850" s="81" t="e">
        <f>HLOOKUP(O2850,データについて!$J$9:$M$18,10,FALSE)</f>
        <v>#N/A</v>
      </c>
      <c r="W2850" s="81" t="e">
        <f>HLOOKUP(P2850,データについて!$J$10:$M$18,9,FALSE)</f>
        <v>#N/A</v>
      </c>
      <c r="X2850" s="81" t="e">
        <f>HLOOKUP(Q2850,データについて!$J$11:$M$18,8,FALSE)</f>
        <v>#N/A</v>
      </c>
      <c r="Y2850" s="81" t="e">
        <f>HLOOKUP(R2850,データについて!$J$12:$M$18,7,FALSE)</f>
        <v>#N/A</v>
      </c>
      <c r="Z2850" s="81" t="e">
        <f>HLOOKUP(I2850,データについて!$J$3:$M$18,16,FALSE)</f>
        <v>#N/A</v>
      </c>
      <c r="AA2850" s="81" t="str">
        <f>IFERROR(HLOOKUP(J2850,データについて!$J$4:$AH$19,16,FALSE),"")</f>
        <v/>
      </c>
      <c r="AB2850" s="81" t="str">
        <f>IFERROR(HLOOKUP(K2850,データについて!$J$5:$AH$20,14,FALSE),"")</f>
        <v/>
      </c>
      <c r="AC2850" s="81" t="e">
        <f>IF(X2850=1,HLOOKUP(R2850,データについて!$J$12:$M$18,7,FALSE),"*")</f>
        <v>#N/A</v>
      </c>
      <c r="AD2850" s="81" t="e">
        <f>IF(X2850=2,HLOOKUP(R2850,データについて!$J$12:$M$18,7,FALSE),"*")</f>
        <v>#N/A</v>
      </c>
    </row>
    <row r="2851" spans="19:30">
      <c r="S2851" s="81" t="e">
        <f>HLOOKUP(L2851,データについて!$J$6:$M$18,13,FALSE)</f>
        <v>#N/A</v>
      </c>
      <c r="T2851" s="81" t="e">
        <f>HLOOKUP(M2851,データについて!$J$7:$M$18,12,FALSE)</f>
        <v>#N/A</v>
      </c>
      <c r="U2851" s="81" t="e">
        <f>HLOOKUP(N2851,データについて!$J$8:$M$18,11,FALSE)</f>
        <v>#N/A</v>
      </c>
      <c r="V2851" s="81" t="e">
        <f>HLOOKUP(O2851,データについて!$J$9:$M$18,10,FALSE)</f>
        <v>#N/A</v>
      </c>
      <c r="W2851" s="81" t="e">
        <f>HLOOKUP(P2851,データについて!$J$10:$M$18,9,FALSE)</f>
        <v>#N/A</v>
      </c>
      <c r="X2851" s="81" t="e">
        <f>HLOOKUP(Q2851,データについて!$J$11:$M$18,8,FALSE)</f>
        <v>#N/A</v>
      </c>
      <c r="Y2851" s="81" t="e">
        <f>HLOOKUP(R2851,データについて!$J$12:$M$18,7,FALSE)</f>
        <v>#N/A</v>
      </c>
      <c r="Z2851" s="81" t="e">
        <f>HLOOKUP(I2851,データについて!$J$3:$M$18,16,FALSE)</f>
        <v>#N/A</v>
      </c>
      <c r="AA2851" s="81" t="str">
        <f>IFERROR(HLOOKUP(J2851,データについて!$J$4:$AH$19,16,FALSE),"")</f>
        <v/>
      </c>
      <c r="AB2851" s="81" t="str">
        <f>IFERROR(HLOOKUP(K2851,データについて!$J$5:$AH$20,14,FALSE),"")</f>
        <v/>
      </c>
      <c r="AC2851" s="81" t="e">
        <f>IF(X2851=1,HLOOKUP(R2851,データについて!$J$12:$M$18,7,FALSE),"*")</f>
        <v>#N/A</v>
      </c>
      <c r="AD2851" s="81" t="e">
        <f>IF(X2851=2,HLOOKUP(R2851,データについて!$J$12:$M$18,7,FALSE),"*")</f>
        <v>#N/A</v>
      </c>
    </row>
    <row r="2852" spans="19:30">
      <c r="S2852" s="81" t="e">
        <f>HLOOKUP(L2852,データについて!$J$6:$M$18,13,FALSE)</f>
        <v>#N/A</v>
      </c>
      <c r="T2852" s="81" t="e">
        <f>HLOOKUP(M2852,データについて!$J$7:$M$18,12,FALSE)</f>
        <v>#N/A</v>
      </c>
      <c r="U2852" s="81" t="e">
        <f>HLOOKUP(N2852,データについて!$J$8:$M$18,11,FALSE)</f>
        <v>#N/A</v>
      </c>
      <c r="V2852" s="81" t="e">
        <f>HLOOKUP(O2852,データについて!$J$9:$M$18,10,FALSE)</f>
        <v>#N/A</v>
      </c>
      <c r="W2852" s="81" t="e">
        <f>HLOOKUP(P2852,データについて!$J$10:$M$18,9,FALSE)</f>
        <v>#N/A</v>
      </c>
      <c r="X2852" s="81" t="e">
        <f>HLOOKUP(Q2852,データについて!$J$11:$M$18,8,FALSE)</f>
        <v>#N/A</v>
      </c>
      <c r="Y2852" s="81" t="e">
        <f>HLOOKUP(R2852,データについて!$J$12:$M$18,7,FALSE)</f>
        <v>#N/A</v>
      </c>
      <c r="Z2852" s="81" t="e">
        <f>HLOOKUP(I2852,データについて!$J$3:$M$18,16,FALSE)</f>
        <v>#N/A</v>
      </c>
      <c r="AA2852" s="81" t="str">
        <f>IFERROR(HLOOKUP(J2852,データについて!$J$4:$AH$19,16,FALSE),"")</f>
        <v/>
      </c>
      <c r="AB2852" s="81" t="str">
        <f>IFERROR(HLOOKUP(K2852,データについて!$J$5:$AH$20,14,FALSE),"")</f>
        <v/>
      </c>
      <c r="AC2852" s="81" t="e">
        <f>IF(X2852=1,HLOOKUP(R2852,データについて!$J$12:$M$18,7,FALSE),"*")</f>
        <v>#N/A</v>
      </c>
      <c r="AD2852" s="81" t="e">
        <f>IF(X2852=2,HLOOKUP(R2852,データについて!$J$12:$M$18,7,FALSE),"*")</f>
        <v>#N/A</v>
      </c>
    </row>
    <row r="2853" spans="19:30">
      <c r="S2853" s="81" t="e">
        <f>HLOOKUP(L2853,データについて!$J$6:$M$18,13,FALSE)</f>
        <v>#N/A</v>
      </c>
      <c r="T2853" s="81" t="e">
        <f>HLOOKUP(M2853,データについて!$J$7:$M$18,12,FALSE)</f>
        <v>#N/A</v>
      </c>
      <c r="U2853" s="81" t="e">
        <f>HLOOKUP(N2853,データについて!$J$8:$M$18,11,FALSE)</f>
        <v>#N/A</v>
      </c>
      <c r="V2853" s="81" t="e">
        <f>HLOOKUP(O2853,データについて!$J$9:$M$18,10,FALSE)</f>
        <v>#N/A</v>
      </c>
      <c r="W2853" s="81" t="e">
        <f>HLOOKUP(P2853,データについて!$J$10:$M$18,9,FALSE)</f>
        <v>#N/A</v>
      </c>
      <c r="X2853" s="81" t="e">
        <f>HLOOKUP(Q2853,データについて!$J$11:$M$18,8,FALSE)</f>
        <v>#N/A</v>
      </c>
      <c r="Y2853" s="81" t="e">
        <f>HLOOKUP(R2853,データについて!$J$12:$M$18,7,FALSE)</f>
        <v>#N/A</v>
      </c>
      <c r="Z2853" s="81" t="e">
        <f>HLOOKUP(I2853,データについて!$J$3:$M$18,16,FALSE)</f>
        <v>#N/A</v>
      </c>
      <c r="AA2853" s="81" t="str">
        <f>IFERROR(HLOOKUP(J2853,データについて!$J$4:$AH$19,16,FALSE),"")</f>
        <v/>
      </c>
      <c r="AB2853" s="81" t="str">
        <f>IFERROR(HLOOKUP(K2853,データについて!$J$5:$AH$20,14,FALSE),"")</f>
        <v/>
      </c>
      <c r="AC2853" s="81" t="e">
        <f>IF(X2853=1,HLOOKUP(R2853,データについて!$J$12:$M$18,7,FALSE),"*")</f>
        <v>#N/A</v>
      </c>
      <c r="AD2853" s="81" t="e">
        <f>IF(X2853=2,HLOOKUP(R2853,データについて!$J$12:$M$18,7,FALSE),"*")</f>
        <v>#N/A</v>
      </c>
    </row>
    <row r="2854" spans="19:30">
      <c r="S2854" s="81" t="e">
        <f>HLOOKUP(L2854,データについて!$J$6:$M$18,13,FALSE)</f>
        <v>#N/A</v>
      </c>
      <c r="T2854" s="81" t="e">
        <f>HLOOKUP(M2854,データについて!$J$7:$M$18,12,FALSE)</f>
        <v>#N/A</v>
      </c>
      <c r="U2854" s="81" t="e">
        <f>HLOOKUP(N2854,データについて!$J$8:$M$18,11,FALSE)</f>
        <v>#N/A</v>
      </c>
      <c r="V2854" s="81" t="e">
        <f>HLOOKUP(O2854,データについて!$J$9:$M$18,10,FALSE)</f>
        <v>#N/A</v>
      </c>
      <c r="W2854" s="81" t="e">
        <f>HLOOKUP(P2854,データについて!$J$10:$M$18,9,FALSE)</f>
        <v>#N/A</v>
      </c>
      <c r="X2854" s="81" t="e">
        <f>HLOOKUP(Q2854,データについて!$J$11:$M$18,8,FALSE)</f>
        <v>#N/A</v>
      </c>
      <c r="Y2854" s="81" t="e">
        <f>HLOOKUP(R2854,データについて!$J$12:$M$18,7,FALSE)</f>
        <v>#N/A</v>
      </c>
      <c r="Z2854" s="81" t="e">
        <f>HLOOKUP(I2854,データについて!$J$3:$M$18,16,FALSE)</f>
        <v>#N/A</v>
      </c>
      <c r="AA2854" s="81" t="str">
        <f>IFERROR(HLOOKUP(J2854,データについて!$J$4:$AH$19,16,FALSE),"")</f>
        <v/>
      </c>
      <c r="AB2854" s="81" t="str">
        <f>IFERROR(HLOOKUP(K2854,データについて!$J$5:$AH$20,14,FALSE),"")</f>
        <v/>
      </c>
      <c r="AC2854" s="81" t="e">
        <f>IF(X2854=1,HLOOKUP(R2854,データについて!$J$12:$M$18,7,FALSE),"*")</f>
        <v>#N/A</v>
      </c>
      <c r="AD2854" s="81" t="e">
        <f>IF(X2854=2,HLOOKUP(R2854,データについて!$J$12:$M$18,7,FALSE),"*")</f>
        <v>#N/A</v>
      </c>
    </row>
    <row r="2855" spans="19:30">
      <c r="S2855" s="81" t="e">
        <f>HLOOKUP(L2855,データについて!$J$6:$M$18,13,FALSE)</f>
        <v>#N/A</v>
      </c>
      <c r="T2855" s="81" t="e">
        <f>HLOOKUP(M2855,データについて!$J$7:$M$18,12,FALSE)</f>
        <v>#N/A</v>
      </c>
      <c r="U2855" s="81" t="e">
        <f>HLOOKUP(N2855,データについて!$J$8:$M$18,11,FALSE)</f>
        <v>#N/A</v>
      </c>
      <c r="V2855" s="81" t="e">
        <f>HLOOKUP(O2855,データについて!$J$9:$M$18,10,FALSE)</f>
        <v>#N/A</v>
      </c>
      <c r="W2855" s="81" t="e">
        <f>HLOOKUP(P2855,データについて!$J$10:$M$18,9,FALSE)</f>
        <v>#N/A</v>
      </c>
      <c r="X2855" s="81" t="e">
        <f>HLOOKUP(Q2855,データについて!$J$11:$M$18,8,FALSE)</f>
        <v>#N/A</v>
      </c>
      <c r="Y2855" s="81" t="e">
        <f>HLOOKUP(R2855,データについて!$J$12:$M$18,7,FALSE)</f>
        <v>#N/A</v>
      </c>
      <c r="Z2855" s="81" t="e">
        <f>HLOOKUP(I2855,データについて!$J$3:$M$18,16,FALSE)</f>
        <v>#N/A</v>
      </c>
      <c r="AA2855" s="81" t="str">
        <f>IFERROR(HLOOKUP(J2855,データについて!$J$4:$AH$19,16,FALSE),"")</f>
        <v/>
      </c>
      <c r="AB2855" s="81" t="str">
        <f>IFERROR(HLOOKUP(K2855,データについて!$J$5:$AH$20,14,FALSE),"")</f>
        <v/>
      </c>
      <c r="AC2855" s="81" t="e">
        <f>IF(X2855=1,HLOOKUP(R2855,データについて!$J$12:$M$18,7,FALSE),"*")</f>
        <v>#N/A</v>
      </c>
      <c r="AD2855" s="81" t="e">
        <f>IF(X2855=2,HLOOKUP(R2855,データについて!$J$12:$M$18,7,FALSE),"*")</f>
        <v>#N/A</v>
      </c>
    </row>
    <row r="2856" spans="19:30">
      <c r="S2856" s="81" t="e">
        <f>HLOOKUP(L2856,データについて!$J$6:$M$18,13,FALSE)</f>
        <v>#N/A</v>
      </c>
      <c r="T2856" s="81" t="e">
        <f>HLOOKUP(M2856,データについて!$J$7:$M$18,12,FALSE)</f>
        <v>#N/A</v>
      </c>
      <c r="U2856" s="81" t="e">
        <f>HLOOKUP(N2856,データについて!$J$8:$M$18,11,FALSE)</f>
        <v>#N/A</v>
      </c>
      <c r="V2856" s="81" t="e">
        <f>HLOOKUP(O2856,データについて!$J$9:$M$18,10,FALSE)</f>
        <v>#N/A</v>
      </c>
      <c r="W2856" s="81" t="e">
        <f>HLOOKUP(P2856,データについて!$J$10:$M$18,9,FALSE)</f>
        <v>#N/A</v>
      </c>
      <c r="X2856" s="81" t="e">
        <f>HLOOKUP(Q2856,データについて!$J$11:$M$18,8,FALSE)</f>
        <v>#N/A</v>
      </c>
      <c r="Y2856" s="81" t="e">
        <f>HLOOKUP(R2856,データについて!$J$12:$M$18,7,FALSE)</f>
        <v>#N/A</v>
      </c>
      <c r="Z2856" s="81" t="e">
        <f>HLOOKUP(I2856,データについて!$J$3:$M$18,16,FALSE)</f>
        <v>#N/A</v>
      </c>
      <c r="AA2856" s="81" t="str">
        <f>IFERROR(HLOOKUP(J2856,データについて!$J$4:$AH$19,16,FALSE),"")</f>
        <v/>
      </c>
      <c r="AB2856" s="81" t="str">
        <f>IFERROR(HLOOKUP(K2856,データについて!$J$5:$AH$20,14,FALSE),"")</f>
        <v/>
      </c>
      <c r="AC2856" s="81" t="e">
        <f>IF(X2856=1,HLOOKUP(R2856,データについて!$J$12:$M$18,7,FALSE),"*")</f>
        <v>#N/A</v>
      </c>
      <c r="AD2856" s="81" t="e">
        <f>IF(X2856=2,HLOOKUP(R2856,データについて!$J$12:$M$18,7,FALSE),"*")</f>
        <v>#N/A</v>
      </c>
    </row>
    <row r="2857" spans="19:30">
      <c r="S2857" s="81" t="e">
        <f>HLOOKUP(L2857,データについて!$J$6:$M$18,13,FALSE)</f>
        <v>#N/A</v>
      </c>
      <c r="T2857" s="81" t="e">
        <f>HLOOKUP(M2857,データについて!$J$7:$M$18,12,FALSE)</f>
        <v>#N/A</v>
      </c>
      <c r="U2857" s="81" t="e">
        <f>HLOOKUP(N2857,データについて!$J$8:$M$18,11,FALSE)</f>
        <v>#N/A</v>
      </c>
      <c r="V2857" s="81" t="e">
        <f>HLOOKUP(O2857,データについて!$J$9:$M$18,10,FALSE)</f>
        <v>#N/A</v>
      </c>
      <c r="W2857" s="81" t="e">
        <f>HLOOKUP(P2857,データについて!$J$10:$M$18,9,FALSE)</f>
        <v>#N/A</v>
      </c>
      <c r="X2857" s="81" t="e">
        <f>HLOOKUP(Q2857,データについて!$J$11:$M$18,8,FALSE)</f>
        <v>#N/A</v>
      </c>
      <c r="Y2857" s="81" t="e">
        <f>HLOOKUP(R2857,データについて!$J$12:$M$18,7,FALSE)</f>
        <v>#N/A</v>
      </c>
      <c r="Z2857" s="81" t="e">
        <f>HLOOKUP(I2857,データについて!$J$3:$M$18,16,FALSE)</f>
        <v>#N/A</v>
      </c>
      <c r="AA2857" s="81" t="str">
        <f>IFERROR(HLOOKUP(J2857,データについて!$J$4:$AH$19,16,FALSE),"")</f>
        <v/>
      </c>
      <c r="AB2857" s="81" t="str">
        <f>IFERROR(HLOOKUP(K2857,データについて!$J$5:$AH$20,14,FALSE),"")</f>
        <v/>
      </c>
      <c r="AC2857" s="81" t="e">
        <f>IF(X2857=1,HLOOKUP(R2857,データについて!$J$12:$M$18,7,FALSE),"*")</f>
        <v>#N/A</v>
      </c>
      <c r="AD2857" s="81" t="e">
        <f>IF(X2857=2,HLOOKUP(R2857,データについて!$J$12:$M$18,7,FALSE),"*")</f>
        <v>#N/A</v>
      </c>
    </row>
    <row r="2858" spans="19:30">
      <c r="S2858" s="81" t="e">
        <f>HLOOKUP(L2858,データについて!$J$6:$M$18,13,FALSE)</f>
        <v>#N/A</v>
      </c>
      <c r="T2858" s="81" t="e">
        <f>HLOOKUP(M2858,データについて!$J$7:$M$18,12,FALSE)</f>
        <v>#N/A</v>
      </c>
      <c r="U2858" s="81" t="e">
        <f>HLOOKUP(N2858,データについて!$J$8:$M$18,11,FALSE)</f>
        <v>#N/A</v>
      </c>
      <c r="V2858" s="81" t="e">
        <f>HLOOKUP(O2858,データについて!$J$9:$M$18,10,FALSE)</f>
        <v>#N/A</v>
      </c>
      <c r="W2858" s="81" t="e">
        <f>HLOOKUP(P2858,データについて!$J$10:$M$18,9,FALSE)</f>
        <v>#N/A</v>
      </c>
      <c r="X2858" s="81" t="e">
        <f>HLOOKUP(Q2858,データについて!$J$11:$M$18,8,FALSE)</f>
        <v>#N/A</v>
      </c>
      <c r="Y2858" s="81" t="e">
        <f>HLOOKUP(R2858,データについて!$J$12:$M$18,7,FALSE)</f>
        <v>#N/A</v>
      </c>
      <c r="Z2858" s="81" t="e">
        <f>HLOOKUP(I2858,データについて!$J$3:$M$18,16,FALSE)</f>
        <v>#N/A</v>
      </c>
      <c r="AA2858" s="81" t="str">
        <f>IFERROR(HLOOKUP(J2858,データについて!$J$4:$AH$19,16,FALSE),"")</f>
        <v/>
      </c>
      <c r="AB2858" s="81" t="str">
        <f>IFERROR(HLOOKUP(K2858,データについて!$J$5:$AH$20,14,FALSE),"")</f>
        <v/>
      </c>
      <c r="AC2858" s="81" t="e">
        <f>IF(X2858=1,HLOOKUP(R2858,データについて!$J$12:$M$18,7,FALSE),"*")</f>
        <v>#N/A</v>
      </c>
      <c r="AD2858" s="81" t="e">
        <f>IF(X2858=2,HLOOKUP(R2858,データについて!$J$12:$M$18,7,FALSE),"*")</f>
        <v>#N/A</v>
      </c>
    </row>
    <row r="2859" spans="19:30">
      <c r="S2859" s="81" t="e">
        <f>HLOOKUP(L2859,データについて!$J$6:$M$18,13,FALSE)</f>
        <v>#N/A</v>
      </c>
      <c r="T2859" s="81" t="e">
        <f>HLOOKUP(M2859,データについて!$J$7:$M$18,12,FALSE)</f>
        <v>#N/A</v>
      </c>
      <c r="U2859" s="81" t="e">
        <f>HLOOKUP(N2859,データについて!$J$8:$M$18,11,FALSE)</f>
        <v>#N/A</v>
      </c>
      <c r="V2859" s="81" t="e">
        <f>HLOOKUP(O2859,データについて!$J$9:$M$18,10,FALSE)</f>
        <v>#N/A</v>
      </c>
      <c r="W2859" s="81" t="e">
        <f>HLOOKUP(P2859,データについて!$J$10:$M$18,9,FALSE)</f>
        <v>#N/A</v>
      </c>
      <c r="X2859" s="81" t="e">
        <f>HLOOKUP(Q2859,データについて!$J$11:$M$18,8,FALSE)</f>
        <v>#N/A</v>
      </c>
      <c r="Y2859" s="81" t="e">
        <f>HLOOKUP(R2859,データについて!$J$12:$M$18,7,FALSE)</f>
        <v>#N/A</v>
      </c>
      <c r="Z2859" s="81" t="e">
        <f>HLOOKUP(I2859,データについて!$J$3:$M$18,16,FALSE)</f>
        <v>#N/A</v>
      </c>
      <c r="AA2859" s="81" t="str">
        <f>IFERROR(HLOOKUP(J2859,データについて!$J$4:$AH$19,16,FALSE),"")</f>
        <v/>
      </c>
      <c r="AB2859" s="81" t="str">
        <f>IFERROR(HLOOKUP(K2859,データについて!$J$5:$AH$20,14,FALSE),"")</f>
        <v/>
      </c>
      <c r="AC2859" s="81" t="e">
        <f>IF(X2859=1,HLOOKUP(R2859,データについて!$J$12:$M$18,7,FALSE),"*")</f>
        <v>#N/A</v>
      </c>
      <c r="AD2859" s="81" t="e">
        <f>IF(X2859=2,HLOOKUP(R2859,データについて!$J$12:$M$18,7,FALSE),"*")</f>
        <v>#N/A</v>
      </c>
    </row>
    <row r="2860" spans="19:30">
      <c r="S2860" s="81" t="e">
        <f>HLOOKUP(L2860,データについて!$J$6:$M$18,13,FALSE)</f>
        <v>#N/A</v>
      </c>
      <c r="T2860" s="81" t="e">
        <f>HLOOKUP(M2860,データについて!$J$7:$M$18,12,FALSE)</f>
        <v>#N/A</v>
      </c>
      <c r="U2860" s="81" t="e">
        <f>HLOOKUP(N2860,データについて!$J$8:$M$18,11,FALSE)</f>
        <v>#N/A</v>
      </c>
      <c r="V2860" s="81" t="e">
        <f>HLOOKUP(O2860,データについて!$J$9:$M$18,10,FALSE)</f>
        <v>#N/A</v>
      </c>
      <c r="W2860" s="81" t="e">
        <f>HLOOKUP(P2860,データについて!$J$10:$M$18,9,FALSE)</f>
        <v>#N/A</v>
      </c>
      <c r="X2860" s="81" t="e">
        <f>HLOOKUP(Q2860,データについて!$J$11:$M$18,8,FALSE)</f>
        <v>#N/A</v>
      </c>
      <c r="Y2860" s="81" t="e">
        <f>HLOOKUP(R2860,データについて!$J$12:$M$18,7,FALSE)</f>
        <v>#N/A</v>
      </c>
      <c r="Z2860" s="81" t="e">
        <f>HLOOKUP(I2860,データについて!$J$3:$M$18,16,FALSE)</f>
        <v>#N/A</v>
      </c>
      <c r="AA2860" s="81" t="str">
        <f>IFERROR(HLOOKUP(J2860,データについて!$J$4:$AH$19,16,FALSE),"")</f>
        <v/>
      </c>
      <c r="AB2860" s="81" t="str">
        <f>IFERROR(HLOOKUP(K2860,データについて!$J$5:$AH$20,14,FALSE),"")</f>
        <v/>
      </c>
      <c r="AC2860" s="81" t="e">
        <f>IF(X2860=1,HLOOKUP(R2860,データについて!$J$12:$M$18,7,FALSE),"*")</f>
        <v>#N/A</v>
      </c>
      <c r="AD2860" s="81" t="e">
        <f>IF(X2860=2,HLOOKUP(R2860,データについて!$J$12:$M$18,7,FALSE),"*")</f>
        <v>#N/A</v>
      </c>
    </row>
    <row r="2861" spans="19:30">
      <c r="S2861" s="81" t="e">
        <f>HLOOKUP(L2861,データについて!$J$6:$M$18,13,FALSE)</f>
        <v>#N/A</v>
      </c>
      <c r="T2861" s="81" t="e">
        <f>HLOOKUP(M2861,データについて!$J$7:$M$18,12,FALSE)</f>
        <v>#N/A</v>
      </c>
      <c r="U2861" s="81" t="e">
        <f>HLOOKUP(N2861,データについて!$J$8:$M$18,11,FALSE)</f>
        <v>#N/A</v>
      </c>
      <c r="V2861" s="81" t="e">
        <f>HLOOKUP(O2861,データについて!$J$9:$M$18,10,FALSE)</f>
        <v>#N/A</v>
      </c>
      <c r="W2861" s="81" t="e">
        <f>HLOOKUP(P2861,データについて!$J$10:$M$18,9,FALSE)</f>
        <v>#N/A</v>
      </c>
      <c r="X2861" s="81" t="e">
        <f>HLOOKUP(Q2861,データについて!$J$11:$M$18,8,FALSE)</f>
        <v>#N/A</v>
      </c>
      <c r="Y2861" s="81" t="e">
        <f>HLOOKUP(R2861,データについて!$J$12:$M$18,7,FALSE)</f>
        <v>#N/A</v>
      </c>
      <c r="Z2861" s="81" t="e">
        <f>HLOOKUP(I2861,データについて!$J$3:$M$18,16,FALSE)</f>
        <v>#N/A</v>
      </c>
      <c r="AA2861" s="81" t="str">
        <f>IFERROR(HLOOKUP(J2861,データについて!$J$4:$AH$19,16,FALSE),"")</f>
        <v/>
      </c>
      <c r="AB2861" s="81" t="str">
        <f>IFERROR(HLOOKUP(K2861,データについて!$J$5:$AH$20,14,FALSE),"")</f>
        <v/>
      </c>
      <c r="AC2861" s="81" t="e">
        <f>IF(X2861=1,HLOOKUP(R2861,データについて!$J$12:$M$18,7,FALSE),"*")</f>
        <v>#N/A</v>
      </c>
      <c r="AD2861" s="81" t="e">
        <f>IF(X2861=2,HLOOKUP(R2861,データについて!$J$12:$M$18,7,FALSE),"*")</f>
        <v>#N/A</v>
      </c>
    </row>
    <row r="2862" spans="19:30">
      <c r="S2862" s="81" t="e">
        <f>HLOOKUP(L2862,データについて!$J$6:$M$18,13,FALSE)</f>
        <v>#N/A</v>
      </c>
      <c r="T2862" s="81" t="e">
        <f>HLOOKUP(M2862,データについて!$J$7:$M$18,12,FALSE)</f>
        <v>#N/A</v>
      </c>
      <c r="U2862" s="81" t="e">
        <f>HLOOKUP(N2862,データについて!$J$8:$M$18,11,FALSE)</f>
        <v>#N/A</v>
      </c>
      <c r="V2862" s="81" t="e">
        <f>HLOOKUP(O2862,データについて!$J$9:$M$18,10,FALSE)</f>
        <v>#N/A</v>
      </c>
      <c r="W2862" s="81" t="e">
        <f>HLOOKUP(P2862,データについて!$J$10:$M$18,9,FALSE)</f>
        <v>#N/A</v>
      </c>
      <c r="X2862" s="81" t="e">
        <f>HLOOKUP(Q2862,データについて!$J$11:$M$18,8,FALSE)</f>
        <v>#N/A</v>
      </c>
      <c r="Y2862" s="81" t="e">
        <f>HLOOKUP(R2862,データについて!$J$12:$M$18,7,FALSE)</f>
        <v>#N/A</v>
      </c>
      <c r="Z2862" s="81" t="e">
        <f>HLOOKUP(I2862,データについて!$J$3:$M$18,16,FALSE)</f>
        <v>#N/A</v>
      </c>
      <c r="AA2862" s="81" t="str">
        <f>IFERROR(HLOOKUP(J2862,データについて!$J$4:$AH$19,16,FALSE),"")</f>
        <v/>
      </c>
      <c r="AB2862" s="81" t="str">
        <f>IFERROR(HLOOKUP(K2862,データについて!$J$5:$AH$20,14,FALSE),"")</f>
        <v/>
      </c>
      <c r="AC2862" s="81" t="e">
        <f>IF(X2862=1,HLOOKUP(R2862,データについて!$J$12:$M$18,7,FALSE),"*")</f>
        <v>#N/A</v>
      </c>
      <c r="AD2862" s="81" t="e">
        <f>IF(X2862=2,HLOOKUP(R2862,データについて!$J$12:$M$18,7,FALSE),"*")</f>
        <v>#N/A</v>
      </c>
    </row>
    <row r="2863" spans="19:30">
      <c r="S2863" s="81" t="e">
        <f>HLOOKUP(L2863,データについて!$J$6:$M$18,13,FALSE)</f>
        <v>#N/A</v>
      </c>
      <c r="T2863" s="81" t="e">
        <f>HLOOKUP(M2863,データについて!$J$7:$M$18,12,FALSE)</f>
        <v>#N/A</v>
      </c>
      <c r="U2863" s="81" t="e">
        <f>HLOOKUP(N2863,データについて!$J$8:$M$18,11,FALSE)</f>
        <v>#N/A</v>
      </c>
      <c r="V2863" s="81" t="e">
        <f>HLOOKUP(O2863,データについて!$J$9:$M$18,10,FALSE)</f>
        <v>#N/A</v>
      </c>
      <c r="W2863" s="81" t="e">
        <f>HLOOKUP(P2863,データについて!$J$10:$M$18,9,FALSE)</f>
        <v>#N/A</v>
      </c>
      <c r="X2863" s="81" t="e">
        <f>HLOOKUP(Q2863,データについて!$J$11:$M$18,8,FALSE)</f>
        <v>#N/A</v>
      </c>
      <c r="Y2863" s="81" t="e">
        <f>HLOOKUP(R2863,データについて!$J$12:$M$18,7,FALSE)</f>
        <v>#N/A</v>
      </c>
      <c r="Z2863" s="81" t="e">
        <f>HLOOKUP(I2863,データについて!$J$3:$M$18,16,FALSE)</f>
        <v>#N/A</v>
      </c>
      <c r="AA2863" s="81" t="str">
        <f>IFERROR(HLOOKUP(J2863,データについて!$J$4:$AH$19,16,FALSE),"")</f>
        <v/>
      </c>
      <c r="AB2863" s="81" t="str">
        <f>IFERROR(HLOOKUP(K2863,データについて!$J$5:$AH$20,14,FALSE),"")</f>
        <v/>
      </c>
      <c r="AC2863" s="81" t="e">
        <f>IF(X2863=1,HLOOKUP(R2863,データについて!$J$12:$M$18,7,FALSE),"*")</f>
        <v>#N/A</v>
      </c>
      <c r="AD2863" s="81" t="e">
        <f>IF(X2863=2,HLOOKUP(R2863,データについて!$J$12:$M$18,7,FALSE),"*")</f>
        <v>#N/A</v>
      </c>
    </row>
    <row r="2864" spans="19:30">
      <c r="S2864" s="81" t="e">
        <f>HLOOKUP(L2864,データについて!$J$6:$M$18,13,FALSE)</f>
        <v>#N/A</v>
      </c>
      <c r="T2864" s="81" t="e">
        <f>HLOOKUP(M2864,データについて!$J$7:$M$18,12,FALSE)</f>
        <v>#N/A</v>
      </c>
      <c r="U2864" s="81" t="e">
        <f>HLOOKUP(N2864,データについて!$J$8:$M$18,11,FALSE)</f>
        <v>#N/A</v>
      </c>
      <c r="V2864" s="81" t="e">
        <f>HLOOKUP(O2864,データについて!$J$9:$M$18,10,FALSE)</f>
        <v>#N/A</v>
      </c>
      <c r="W2864" s="81" t="e">
        <f>HLOOKUP(P2864,データについて!$J$10:$M$18,9,FALSE)</f>
        <v>#N/A</v>
      </c>
      <c r="X2864" s="81" t="e">
        <f>HLOOKUP(Q2864,データについて!$J$11:$M$18,8,FALSE)</f>
        <v>#N/A</v>
      </c>
      <c r="Y2864" s="81" t="e">
        <f>HLOOKUP(R2864,データについて!$J$12:$M$18,7,FALSE)</f>
        <v>#N/A</v>
      </c>
      <c r="Z2864" s="81" t="e">
        <f>HLOOKUP(I2864,データについて!$J$3:$M$18,16,FALSE)</f>
        <v>#N/A</v>
      </c>
      <c r="AA2864" s="81" t="str">
        <f>IFERROR(HLOOKUP(J2864,データについて!$J$4:$AH$19,16,FALSE),"")</f>
        <v/>
      </c>
      <c r="AB2864" s="81" t="str">
        <f>IFERROR(HLOOKUP(K2864,データについて!$J$5:$AH$20,14,FALSE),"")</f>
        <v/>
      </c>
      <c r="AC2864" s="81" t="e">
        <f>IF(X2864=1,HLOOKUP(R2864,データについて!$J$12:$M$18,7,FALSE),"*")</f>
        <v>#N/A</v>
      </c>
      <c r="AD2864" s="81" t="e">
        <f>IF(X2864=2,HLOOKUP(R2864,データについて!$J$12:$M$18,7,FALSE),"*")</f>
        <v>#N/A</v>
      </c>
    </row>
    <row r="2865" spans="19:30">
      <c r="S2865" s="81" t="e">
        <f>HLOOKUP(L2865,データについて!$J$6:$M$18,13,FALSE)</f>
        <v>#N/A</v>
      </c>
      <c r="T2865" s="81" t="e">
        <f>HLOOKUP(M2865,データについて!$J$7:$M$18,12,FALSE)</f>
        <v>#N/A</v>
      </c>
      <c r="U2865" s="81" t="e">
        <f>HLOOKUP(N2865,データについて!$J$8:$M$18,11,FALSE)</f>
        <v>#N/A</v>
      </c>
      <c r="V2865" s="81" t="e">
        <f>HLOOKUP(O2865,データについて!$J$9:$M$18,10,FALSE)</f>
        <v>#N/A</v>
      </c>
      <c r="W2865" s="81" t="e">
        <f>HLOOKUP(P2865,データについて!$J$10:$M$18,9,FALSE)</f>
        <v>#N/A</v>
      </c>
      <c r="X2865" s="81" t="e">
        <f>HLOOKUP(Q2865,データについて!$J$11:$M$18,8,FALSE)</f>
        <v>#N/A</v>
      </c>
      <c r="Y2865" s="81" t="e">
        <f>HLOOKUP(R2865,データについて!$J$12:$M$18,7,FALSE)</f>
        <v>#N/A</v>
      </c>
      <c r="Z2865" s="81" t="e">
        <f>HLOOKUP(I2865,データについて!$J$3:$M$18,16,FALSE)</f>
        <v>#N/A</v>
      </c>
      <c r="AA2865" s="81" t="str">
        <f>IFERROR(HLOOKUP(J2865,データについて!$J$4:$AH$19,16,FALSE),"")</f>
        <v/>
      </c>
      <c r="AB2865" s="81" t="str">
        <f>IFERROR(HLOOKUP(K2865,データについて!$J$5:$AH$20,14,FALSE),"")</f>
        <v/>
      </c>
      <c r="AC2865" s="81" t="e">
        <f>IF(X2865=1,HLOOKUP(R2865,データについて!$J$12:$M$18,7,FALSE),"*")</f>
        <v>#N/A</v>
      </c>
      <c r="AD2865" s="81" t="e">
        <f>IF(X2865=2,HLOOKUP(R2865,データについて!$J$12:$M$18,7,FALSE),"*")</f>
        <v>#N/A</v>
      </c>
    </row>
    <row r="2866" spans="19:30">
      <c r="S2866" s="81" t="e">
        <f>HLOOKUP(L2866,データについて!$J$6:$M$18,13,FALSE)</f>
        <v>#N/A</v>
      </c>
      <c r="T2866" s="81" t="e">
        <f>HLOOKUP(M2866,データについて!$J$7:$M$18,12,FALSE)</f>
        <v>#N/A</v>
      </c>
      <c r="U2866" s="81" t="e">
        <f>HLOOKUP(N2866,データについて!$J$8:$M$18,11,FALSE)</f>
        <v>#N/A</v>
      </c>
      <c r="V2866" s="81" t="e">
        <f>HLOOKUP(O2866,データについて!$J$9:$M$18,10,FALSE)</f>
        <v>#N/A</v>
      </c>
      <c r="W2866" s="81" t="e">
        <f>HLOOKUP(P2866,データについて!$J$10:$M$18,9,FALSE)</f>
        <v>#N/A</v>
      </c>
      <c r="X2866" s="81" t="e">
        <f>HLOOKUP(Q2866,データについて!$J$11:$M$18,8,FALSE)</f>
        <v>#N/A</v>
      </c>
      <c r="Y2866" s="81" t="e">
        <f>HLOOKUP(R2866,データについて!$J$12:$M$18,7,FALSE)</f>
        <v>#N/A</v>
      </c>
      <c r="Z2866" s="81" t="e">
        <f>HLOOKUP(I2866,データについて!$J$3:$M$18,16,FALSE)</f>
        <v>#N/A</v>
      </c>
      <c r="AA2866" s="81" t="str">
        <f>IFERROR(HLOOKUP(J2866,データについて!$J$4:$AH$19,16,FALSE),"")</f>
        <v/>
      </c>
      <c r="AB2866" s="81" t="str">
        <f>IFERROR(HLOOKUP(K2866,データについて!$J$5:$AH$20,14,FALSE),"")</f>
        <v/>
      </c>
      <c r="AC2866" s="81" t="e">
        <f>IF(X2866=1,HLOOKUP(R2866,データについて!$J$12:$M$18,7,FALSE),"*")</f>
        <v>#N/A</v>
      </c>
      <c r="AD2866" s="81" t="e">
        <f>IF(X2866=2,HLOOKUP(R2866,データについて!$J$12:$M$18,7,FALSE),"*")</f>
        <v>#N/A</v>
      </c>
    </row>
    <row r="2867" spans="19:30">
      <c r="S2867" s="81" t="e">
        <f>HLOOKUP(L2867,データについて!$J$6:$M$18,13,FALSE)</f>
        <v>#N/A</v>
      </c>
      <c r="T2867" s="81" t="e">
        <f>HLOOKUP(M2867,データについて!$J$7:$M$18,12,FALSE)</f>
        <v>#N/A</v>
      </c>
      <c r="U2867" s="81" t="e">
        <f>HLOOKUP(N2867,データについて!$J$8:$M$18,11,FALSE)</f>
        <v>#N/A</v>
      </c>
      <c r="V2867" s="81" t="e">
        <f>HLOOKUP(O2867,データについて!$J$9:$M$18,10,FALSE)</f>
        <v>#N/A</v>
      </c>
      <c r="W2867" s="81" t="e">
        <f>HLOOKUP(P2867,データについて!$J$10:$M$18,9,FALSE)</f>
        <v>#N/A</v>
      </c>
      <c r="X2867" s="81" t="e">
        <f>HLOOKUP(Q2867,データについて!$J$11:$M$18,8,FALSE)</f>
        <v>#N/A</v>
      </c>
      <c r="Y2867" s="81" t="e">
        <f>HLOOKUP(R2867,データについて!$J$12:$M$18,7,FALSE)</f>
        <v>#N/A</v>
      </c>
      <c r="Z2867" s="81" t="e">
        <f>HLOOKUP(I2867,データについて!$J$3:$M$18,16,FALSE)</f>
        <v>#N/A</v>
      </c>
      <c r="AA2867" s="81" t="str">
        <f>IFERROR(HLOOKUP(J2867,データについて!$J$4:$AH$19,16,FALSE),"")</f>
        <v/>
      </c>
      <c r="AB2867" s="81" t="str">
        <f>IFERROR(HLOOKUP(K2867,データについて!$J$5:$AH$20,14,FALSE),"")</f>
        <v/>
      </c>
      <c r="AC2867" s="81" t="e">
        <f>IF(X2867=1,HLOOKUP(R2867,データについて!$J$12:$M$18,7,FALSE),"*")</f>
        <v>#N/A</v>
      </c>
      <c r="AD2867" s="81" t="e">
        <f>IF(X2867=2,HLOOKUP(R2867,データについて!$J$12:$M$18,7,FALSE),"*")</f>
        <v>#N/A</v>
      </c>
    </row>
    <row r="2868" spans="19:30">
      <c r="S2868" s="81" t="e">
        <f>HLOOKUP(L2868,データについて!$J$6:$M$18,13,FALSE)</f>
        <v>#N/A</v>
      </c>
      <c r="T2868" s="81" t="e">
        <f>HLOOKUP(M2868,データについて!$J$7:$M$18,12,FALSE)</f>
        <v>#N/A</v>
      </c>
      <c r="U2868" s="81" t="e">
        <f>HLOOKUP(N2868,データについて!$J$8:$M$18,11,FALSE)</f>
        <v>#N/A</v>
      </c>
      <c r="V2868" s="81" t="e">
        <f>HLOOKUP(O2868,データについて!$J$9:$M$18,10,FALSE)</f>
        <v>#N/A</v>
      </c>
      <c r="W2868" s="81" t="e">
        <f>HLOOKUP(P2868,データについて!$J$10:$M$18,9,FALSE)</f>
        <v>#N/A</v>
      </c>
      <c r="X2868" s="81" t="e">
        <f>HLOOKUP(Q2868,データについて!$J$11:$M$18,8,FALSE)</f>
        <v>#N/A</v>
      </c>
      <c r="Y2868" s="81" t="e">
        <f>HLOOKUP(R2868,データについて!$J$12:$M$18,7,FALSE)</f>
        <v>#N/A</v>
      </c>
      <c r="Z2868" s="81" t="e">
        <f>HLOOKUP(I2868,データについて!$J$3:$M$18,16,FALSE)</f>
        <v>#N/A</v>
      </c>
      <c r="AA2868" s="81" t="str">
        <f>IFERROR(HLOOKUP(J2868,データについて!$J$4:$AH$19,16,FALSE),"")</f>
        <v/>
      </c>
      <c r="AB2868" s="81" t="str">
        <f>IFERROR(HLOOKUP(K2868,データについて!$J$5:$AH$20,14,FALSE),"")</f>
        <v/>
      </c>
      <c r="AC2868" s="81" t="e">
        <f>IF(X2868=1,HLOOKUP(R2868,データについて!$J$12:$M$18,7,FALSE),"*")</f>
        <v>#N/A</v>
      </c>
      <c r="AD2868" s="81" t="e">
        <f>IF(X2868=2,HLOOKUP(R2868,データについて!$J$12:$M$18,7,FALSE),"*")</f>
        <v>#N/A</v>
      </c>
    </row>
    <row r="2869" spans="19:30">
      <c r="S2869" s="81" t="e">
        <f>HLOOKUP(L2869,データについて!$J$6:$M$18,13,FALSE)</f>
        <v>#N/A</v>
      </c>
      <c r="T2869" s="81" t="e">
        <f>HLOOKUP(M2869,データについて!$J$7:$M$18,12,FALSE)</f>
        <v>#N/A</v>
      </c>
      <c r="U2869" s="81" t="e">
        <f>HLOOKUP(N2869,データについて!$J$8:$M$18,11,FALSE)</f>
        <v>#N/A</v>
      </c>
      <c r="V2869" s="81" t="e">
        <f>HLOOKUP(O2869,データについて!$J$9:$M$18,10,FALSE)</f>
        <v>#N/A</v>
      </c>
      <c r="W2869" s="81" t="e">
        <f>HLOOKUP(P2869,データについて!$J$10:$M$18,9,FALSE)</f>
        <v>#N/A</v>
      </c>
      <c r="X2869" s="81" t="e">
        <f>HLOOKUP(Q2869,データについて!$J$11:$M$18,8,FALSE)</f>
        <v>#N/A</v>
      </c>
      <c r="Y2869" s="81" t="e">
        <f>HLOOKUP(R2869,データについて!$J$12:$M$18,7,FALSE)</f>
        <v>#N/A</v>
      </c>
      <c r="Z2869" s="81" t="e">
        <f>HLOOKUP(I2869,データについて!$J$3:$M$18,16,FALSE)</f>
        <v>#N/A</v>
      </c>
      <c r="AA2869" s="81" t="str">
        <f>IFERROR(HLOOKUP(J2869,データについて!$J$4:$AH$19,16,FALSE),"")</f>
        <v/>
      </c>
      <c r="AB2869" s="81" t="str">
        <f>IFERROR(HLOOKUP(K2869,データについて!$J$5:$AH$20,14,FALSE),"")</f>
        <v/>
      </c>
      <c r="AC2869" s="81" t="e">
        <f>IF(X2869=1,HLOOKUP(R2869,データについて!$J$12:$M$18,7,FALSE),"*")</f>
        <v>#N/A</v>
      </c>
      <c r="AD2869" s="81" t="e">
        <f>IF(X2869=2,HLOOKUP(R2869,データについて!$J$12:$M$18,7,FALSE),"*")</f>
        <v>#N/A</v>
      </c>
    </row>
    <row r="2870" spans="19:30">
      <c r="S2870" s="81" t="e">
        <f>HLOOKUP(L2870,データについて!$J$6:$M$18,13,FALSE)</f>
        <v>#N/A</v>
      </c>
      <c r="T2870" s="81" t="e">
        <f>HLOOKUP(M2870,データについて!$J$7:$M$18,12,FALSE)</f>
        <v>#N/A</v>
      </c>
      <c r="U2870" s="81" t="e">
        <f>HLOOKUP(N2870,データについて!$J$8:$M$18,11,FALSE)</f>
        <v>#N/A</v>
      </c>
      <c r="V2870" s="81" t="e">
        <f>HLOOKUP(O2870,データについて!$J$9:$M$18,10,FALSE)</f>
        <v>#N/A</v>
      </c>
      <c r="W2870" s="81" t="e">
        <f>HLOOKUP(P2870,データについて!$J$10:$M$18,9,FALSE)</f>
        <v>#N/A</v>
      </c>
      <c r="X2870" s="81" t="e">
        <f>HLOOKUP(Q2870,データについて!$J$11:$M$18,8,FALSE)</f>
        <v>#N/A</v>
      </c>
      <c r="Y2870" s="81" t="e">
        <f>HLOOKUP(R2870,データについて!$J$12:$M$18,7,FALSE)</f>
        <v>#N/A</v>
      </c>
      <c r="Z2870" s="81" t="e">
        <f>HLOOKUP(I2870,データについて!$J$3:$M$18,16,FALSE)</f>
        <v>#N/A</v>
      </c>
      <c r="AA2870" s="81" t="str">
        <f>IFERROR(HLOOKUP(J2870,データについて!$J$4:$AH$19,16,FALSE),"")</f>
        <v/>
      </c>
      <c r="AB2870" s="81" t="str">
        <f>IFERROR(HLOOKUP(K2870,データについて!$J$5:$AH$20,14,FALSE),"")</f>
        <v/>
      </c>
      <c r="AC2870" s="81" t="e">
        <f>IF(X2870=1,HLOOKUP(R2870,データについて!$J$12:$M$18,7,FALSE),"*")</f>
        <v>#N/A</v>
      </c>
      <c r="AD2870" s="81" t="e">
        <f>IF(X2870=2,HLOOKUP(R2870,データについて!$J$12:$M$18,7,FALSE),"*")</f>
        <v>#N/A</v>
      </c>
    </row>
    <row r="2871" spans="19:30">
      <c r="S2871" s="81" t="e">
        <f>HLOOKUP(L2871,データについて!$J$6:$M$18,13,FALSE)</f>
        <v>#N/A</v>
      </c>
      <c r="T2871" s="81" t="e">
        <f>HLOOKUP(M2871,データについて!$J$7:$M$18,12,FALSE)</f>
        <v>#N/A</v>
      </c>
      <c r="U2871" s="81" t="e">
        <f>HLOOKUP(N2871,データについて!$J$8:$M$18,11,FALSE)</f>
        <v>#N/A</v>
      </c>
      <c r="V2871" s="81" t="e">
        <f>HLOOKUP(O2871,データについて!$J$9:$M$18,10,FALSE)</f>
        <v>#N/A</v>
      </c>
      <c r="W2871" s="81" t="e">
        <f>HLOOKUP(P2871,データについて!$J$10:$M$18,9,FALSE)</f>
        <v>#N/A</v>
      </c>
      <c r="X2871" s="81" t="e">
        <f>HLOOKUP(Q2871,データについて!$J$11:$M$18,8,FALSE)</f>
        <v>#N/A</v>
      </c>
      <c r="Y2871" s="81" t="e">
        <f>HLOOKUP(R2871,データについて!$J$12:$M$18,7,FALSE)</f>
        <v>#N/A</v>
      </c>
      <c r="Z2871" s="81" t="e">
        <f>HLOOKUP(I2871,データについて!$J$3:$M$18,16,FALSE)</f>
        <v>#N/A</v>
      </c>
      <c r="AA2871" s="81" t="str">
        <f>IFERROR(HLOOKUP(J2871,データについて!$J$4:$AH$19,16,FALSE),"")</f>
        <v/>
      </c>
      <c r="AB2871" s="81" t="str">
        <f>IFERROR(HLOOKUP(K2871,データについて!$J$5:$AH$20,14,FALSE),"")</f>
        <v/>
      </c>
      <c r="AC2871" s="81" t="e">
        <f>IF(X2871=1,HLOOKUP(R2871,データについて!$J$12:$M$18,7,FALSE),"*")</f>
        <v>#N/A</v>
      </c>
      <c r="AD2871" s="81" t="e">
        <f>IF(X2871=2,HLOOKUP(R2871,データについて!$J$12:$M$18,7,FALSE),"*")</f>
        <v>#N/A</v>
      </c>
    </row>
    <row r="2872" spans="19:30">
      <c r="S2872" s="81" t="e">
        <f>HLOOKUP(L2872,データについて!$J$6:$M$18,13,FALSE)</f>
        <v>#N/A</v>
      </c>
      <c r="T2872" s="81" t="e">
        <f>HLOOKUP(M2872,データについて!$J$7:$M$18,12,FALSE)</f>
        <v>#N/A</v>
      </c>
      <c r="U2872" s="81" t="e">
        <f>HLOOKUP(N2872,データについて!$J$8:$M$18,11,FALSE)</f>
        <v>#N/A</v>
      </c>
      <c r="V2872" s="81" t="e">
        <f>HLOOKUP(O2872,データについて!$J$9:$M$18,10,FALSE)</f>
        <v>#N/A</v>
      </c>
      <c r="W2872" s="81" t="e">
        <f>HLOOKUP(P2872,データについて!$J$10:$M$18,9,FALSE)</f>
        <v>#N/A</v>
      </c>
      <c r="X2872" s="81" t="e">
        <f>HLOOKUP(Q2872,データについて!$J$11:$M$18,8,FALSE)</f>
        <v>#N/A</v>
      </c>
      <c r="Y2872" s="81" t="e">
        <f>HLOOKUP(R2872,データについて!$J$12:$M$18,7,FALSE)</f>
        <v>#N/A</v>
      </c>
      <c r="Z2872" s="81" t="e">
        <f>HLOOKUP(I2872,データについて!$J$3:$M$18,16,FALSE)</f>
        <v>#N/A</v>
      </c>
      <c r="AA2872" s="81" t="str">
        <f>IFERROR(HLOOKUP(J2872,データについて!$J$4:$AH$19,16,FALSE),"")</f>
        <v/>
      </c>
      <c r="AB2872" s="81" t="str">
        <f>IFERROR(HLOOKUP(K2872,データについて!$J$5:$AH$20,14,FALSE),"")</f>
        <v/>
      </c>
      <c r="AC2872" s="81" t="e">
        <f>IF(X2872=1,HLOOKUP(R2872,データについて!$J$12:$M$18,7,FALSE),"*")</f>
        <v>#N/A</v>
      </c>
      <c r="AD2872" s="81" t="e">
        <f>IF(X2872=2,HLOOKUP(R2872,データについて!$J$12:$M$18,7,FALSE),"*")</f>
        <v>#N/A</v>
      </c>
    </row>
    <row r="2873" spans="19:30">
      <c r="S2873" s="81" t="e">
        <f>HLOOKUP(L2873,データについて!$J$6:$M$18,13,FALSE)</f>
        <v>#N/A</v>
      </c>
      <c r="T2873" s="81" t="e">
        <f>HLOOKUP(M2873,データについて!$J$7:$M$18,12,FALSE)</f>
        <v>#N/A</v>
      </c>
      <c r="U2873" s="81" t="e">
        <f>HLOOKUP(N2873,データについて!$J$8:$M$18,11,FALSE)</f>
        <v>#N/A</v>
      </c>
      <c r="V2873" s="81" t="e">
        <f>HLOOKUP(O2873,データについて!$J$9:$M$18,10,FALSE)</f>
        <v>#N/A</v>
      </c>
      <c r="W2873" s="81" t="e">
        <f>HLOOKUP(P2873,データについて!$J$10:$M$18,9,FALSE)</f>
        <v>#N/A</v>
      </c>
      <c r="X2873" s="81" t="e">
        <f>HLOOKUP(Q2873,データについて!$J$11:$M$18,8,FALSE)</f>
        <v>#N/A</v>
      </c>
      <c r="Y2873" s="81" t="e">
        <f>HLOOKUP(R2873,データについて!$J$12:$M$18,7,FALSE)</f>
        <v>#N/A</v>
      </c>
      <c r="Z2873" s="81" t="e">
        <f>HLOOKUP(I2873,データについて!$J$3:$M$18,16,FALSE)</f>
        <v>#N/A</v>
      </c>
      <c r="AA2873" s="81" t="str">
        <f>IFERROR(HLOOKUP(J2873,データについて!$J$4:$AH$19,16,FALSE),"")</f>
        <v/>
      </c>
      <c r="AB2873" s="81" t="str">
        <f>IFERROR(HLOOKUP(K2873,データについて!$J$5:$AH$20,14,FALSE),"")</f>
        <v/>
      </c>
      <c r="AC2873" s="81" t="e">
        <f>IF(X2873=1,HLOOKUP(R2873,データについて!$J$12:$M$18,7,FALSE),"*")</f>
        <v>#N/A</v>
      </c>
      <c r="AD2873" s="81" t="e">
        <f>IF(X2873=2,HLOOKUP(R2873,データについて!$J$12:$M$18,7,FALSE),"*")</f>
        <v>#N/A</v>
      </c>
    </row>
    <row r="2874" spans="19:30">
      <c r="S2874" s="81" t="e">
        <f>HLOOKUP(L2874,データについて!$J$6:$M$18,13,FALSE)</f>
        <v>#N/A</v>
      </c>
      <c r="T2874" s="81" t="e">
        <f>HLOOKUP(M2874,データについて!$J$7:$M$18,12,FALSE)</f>
        <v>#N/A</v>
      </c>
      <c r="U2874" s="81" t="e">
        <f>HLOOKUP(N2874,データについて!$J$8:$M$18,11,FALSE)</f>
        <v>#N/A</v>
      </c>
      <c r="V2874" s="81" t="e">
        <f>HLOOKUP(O2874,データについて!$J$9:$M$18,10,FALSE)</f>
        <v>#N/A</v>
      </c>
      <c r="W2874" s="81" t="e">
        <f>HLOOKUP(P2874,データについて!$J$10:$M$18,9,FALSE)</f>
        <v>#N/A</v>
      </c>
      <c r="X2874" s="81" t="e">
        <f>HLOOKUP(Q2874,データについて!$J$11:$M$18,8,FALSE)</f>
        <v>#N/A</v>
      </c>
      <c r="Y2874" s="81" t="e">
        <f>HLOOKUP(R2874,データについて!$J$12:$M$18,7,FALSE)</f>
        <v>#N/A</v>
      </c>
      <c r="Z2874" s="81" t="e">
        <f>HLOOKUP(I2874,データについて!$J$3:$M$18,16,FALSE)</f>
        <v>#N/A</v>
      </c>
      <c r="AA2874" s="81" t="str">
        <f>IFERROR(HLOOKUP(J2874,データについて!$J$4:$AH$19,16,FALSE),"")</f>
        <v/>
      </c>
      <c r="AB2874" s="81" t="str">
        <f>IFERROR(HLOOKUP(K2874,データについて!$J$5:$AH$20,14,FALSE),"")</f>
        <v/>
      </c>
      <c r="AC2874" s="81" t="e">
        <f>IF(X2874=1,HLOOKUP(R2874,データについて!$J$12:$M$18,7,FALSE),"*")</f>
        <v>#N/A</v>
      </c>
      <c r="AD2874" s="81" t="e">
        <f>IF(X2874=2,HLOOKUP(R2874,データについて!$J$12:$M$18,7,FALSE),"*")</f>
        <v>#N/A</v>
      </c>
    </row>
    <row r="2875" spans="19:30">
      <c r="S2875" s="81" t="e">
        <f>HLOOKUP(L2875,データについて!$J$6:$M$18,13,FALSE)</f>
        <v>#N/A</v>
      </c>
      <c r="T2875" s="81" t="e">
        <f>HLOOKUP(M2875,データについて!$J$7:$M$18,12,FALSE)</f>
        <v>#N/A</v>
      </c>
      <c r="U2875" s="81" t="e">
        <f>HLOOKUP(N2875,データについて!$J$8:$M$18,11,FALSE)</f>
        <v>#N/A</v>
      </c>
      <c r="V2875" s="81" t="e">
        <f>HLOOKUP(O2875,データについて!$J$9:$M$18,10,FALSE)</f>
        <v>#N/A</v>
      </c>
      <c r="W2875" s="81" t="e">
        <f>HLOOKUP(P2875,データについて!$J$10:$M$18,9,FALSE)</f>
        <v>#N/A</v>
      </c>
      <c r="X2875" s="81" t="e">
        <f>HLOOKUP(Q2875,データについて!$J$11:$M$18,8,FALSE)</f>
        <v>#N/A</v>
      </c>
      <c r="Y2875" s="81" t="e">
        <f>HLOOKUP(R2875,データについて!$J$12:$M$18,7,FALSE)</f>
        <v>#N/A</v>
      </c>
      <c r="Z2875" s="81" t="e">
        <f>HLOOKUP(I2875,データについて!$J$3:$M$18,16,FALSE)</f>
        <v>#N/A</v>
      </c>
      <c r="AA2875" s="81" t="str">
        <f>IFERROR(HLOOKUP(J2875,データについて!$J$4:$AH$19,16,FALSE),"")</f>
        <v/>
      </c>
      <c r="AB2875" s="81" t="str">
        <f>IFERROR(HLOOKUP(K2875,データについて!$J$5:$AH$20,14,FALSE),"")</f>
        <v/>
      </c>
      <c r="AC2875" s="81" t="e">
        <f>IF(X2875=1,HLOOKUP(R2875,データについて!$J$12:$M$18,7,FALSE),"*")</f>
        <v>#N/A</v>
      </c>
      <c r="AD2875" s="81" t="e">
        <f>IF(X2875=2,HLOOKUP(R2875,データについて!$J$12:$M$18,7,FALSE),"*")</f>
        <v>#N/A</v>
      </c>
    </row>
    <row r="2876" spans="19:30">
      <c r="S2876" s="81" t="e">
        <f>HLOOKUP(L2876,データについて!$J$6:$M$18,13,FALSE)</f>
        <v>#N/A</v>
      </c>
      <c r="T2876" s="81" t="e">
        <f>HLOOKUP(M2876,データについて!$J$7:$M$18,12,FALSE)</f>
        <v>#N/A</v>
      </c>
      <c r="U2876" s="81" t="e">
        <f>HLOOKUP(N2876,データについて!$J$8:$M$18,11,FALSE)</f>
        <v>#N/A</v>
      </c>
      <c r="V2876" s="81" t="e">
        <f>HLOOKUP(O2876,データについて!$J$9:$M$18,10,FALSE)</f>
        <v>#N/A</v>
      </c>
      <c r="W2876" s="81" t="e">
        <f>HLOOKUP(P2876,データについて!$J$10:$M$18,9,FALSE)</f>
        <v>#N/A</v>
      </c>
      <c r="X2876" s="81" t="e">
        <f>HLOOKUP(Q2876,データについて!$J$11:$M$18,8,FALSE)</f>
        <v>#N/A</v>
      </c>
      <c r="Y2876" s="81" t="e">
        <f>HLOOKUP(R2876,データについて!$J$12:$M$18,7,FALSE)</f>
        <v>#N/A</v>
      </c>
      <c r="Z2876" s="81" t="e">
        <f>HLOOKUP(I2876,データについて!$J$3:$M$18,16,FALSE)</f>
        <v>#N/A</v>
      </c>
      <c r="AA2876" s="81" t="str">
        <f>IFERROR(HLOOKUP(J2876,データについて!$J$4:$AH$19,16,FALSE),"")</f>
        <v/>
      </c>
      <c r="AB2876" s="81" t="str">
        <f>IFERROR(HLOOKUP(K2876,データについて!$J$5:$AH$20,14,FALSE),"")</f>
        <v/>
      </c>
      <c r="AC2876" s="81" t="e">
        <f>IF(X2876=1,HLOOKUP(R2876,データについて!$J$12:$M$18,7,FALSE),"*")</f>
        <v>#N/A</v>
      </c>
      <c r="AD2876" s="81" t="e">
        <f>IF(X2876=2,HLOOKUP(R2876,データについて!$J$12:$M$18,7,FALSE),"*")</f>
        <v>#N/A</v>
      </c>
    </row>
    <row r="2877" spans="19:30">
      <c r="S2877" s="81" t="e">
        <f>HLOOKUP(L2877,データについて!$J$6:$M$18,13,FALSE)</f>
        <v>#N/A</v>
      </c>
      <c r="T2877" s="81" t="e">
        <f>HLOOKUP(M2877,データについて!$J$7:$M$18,12,FALSE)</f>
        <v>#N/A</v>
      </c>
      <c r="U2877" s="81" t="e">
        <f>HLOOKUP(N2877,データについて!$J$8:$M$18,11,FALSE)</f>
        <v>#N/A</v>
      </c>
      <c r="V2877" s="81" t="e">
        <f>HLOOKUP(O2877,データについて!$J$9:$M$18,10,FALSE)</f>
        <v>#N/A</v>
      </c>
      <c r="W2877" s="81" t="e">
        <f>HLOOKUP(P2877,データについて!$J$10:$M$18,9,FALSE)</f>
        <v>#N/A</v>
      </c>
      <c r="X2877" s="81" t="e">
        <f>HLOOKUP(Q2877,データについて!$J$11:$M$18,8,FALSE)</f>
        <v>#N/A</v>
      </c>
      <c r="Y2877" s="81" t="e">
        <f>HLOOKUP(R2877,データについて!$J$12:$M$18,7,FALSE)</f>
        <v>#N/A</v>
      </c>
      <c r="Z2877" s="81" t="e">
        <f>HLOOKUP(I2877,データについて!$J$3:$M$18,16,FALSE)</f>
        <v>#N/A</v>
      </c>
      <c r="AA2877" s="81" t="str">
        <f>IFERROR(HLOOKUP(J2877,データについて!$J$4:$AH$19,16,FALSE),"")</f>
        <v/>
      </c>
      <c r="AB2877" s="81" t="str">
        <f>IFERROR(HLOOKUP(K2877,データについて!$J$5:$AH$20,14,FALSE),"")</f>
        <v/>
      </c>
      <c r="AC2877" s="81" t="e">
        <f>IF(X2877=1,HLOOKUP(R2877,データについて!$J$12:$M$18,7,FALSE),"*")</f>
        <v>#N/A</v>
      </c>
      <c r="AD2877" s="81" t="e">
        <f>IF(X2877=2,HLOOKUP(R2877,データについて!$J$12:$M$18,7,FALSE),"*")</f>
        <v>#N/A</v>
      </c>
    </row>
    <row r="2878" spans="19:30">
      <c r="S2878" s="81" t="e">
        <f>HLOOKUP(L2878,データについて!$J$6:$M$18,13,FALSE)</f>
        <v>#N/A</v>
      </c>
      <c r="T2878" s="81" t="e">
        <f>HLOOKUP(M2878,データについて!$J$7:$M$18,12,FALSE)</f>
        <v>#N/A</v>
      </c>
      <c r="U2878" s="81" t="e">
        <f>HLOOKUP(N2878,データについて!$J$8:$M$18,11,FALSE)</f>
        <v>#N/A</v>
      </c>
      <c r="V2878" s="81" t="e">
        <f>HLOOKUP(O2878,データについて!$J$9:$M$18,10,FALSE)</f>
        <v>#N/A</v>
      </c>
      <c r="W2878" s="81" t="e">
        <f>HLOOKUP(P2878,データについて!$J$10:$M$18,9,FALSE)</f>
        <v>#N/A</v>
      </c>
      <c r="X2878" s="81" t="e">
        <f>HLOOKUP(Q2878,データについて!$J$11:$M$18,8,FALSE)</f>
        <v>#N/A</v>
      </c>
      <c r="Y2878" s="81" t="e">
        <f>HLOOKUP(R2878,データについて!$J$12:$M$18,7,FALSE)</f>
        <v>#N/A</v>
      </c>
      <c r="Z2878" s="81" t="e">
        <f>HLOOKUP(I2878,データについて!$J$3:$M$18,16,FALSE)</f>
        <v>#N/A</v>
      </c>
      <c r="AA2878" s="81" t="str">
        <f>IFERROR(HLOOKUP(J2878,データについて!$J$4:$AH$19,16,FALSE),"")</f>
        <v/>
      </c>
      <c r="AB2878" s="81" t="str">
        <f>IFERROR(HLOOKUP(K2878,データについて!$J$5:$AH$20,14,FALSE),"")</f>
        <v/>
      </c>
      <c r="AC2878" s="81" t="e">
        <f>IF(X2878=1,HLOOKUP(R2878,データについて!$J$12:$M$18,7,FALSE),"*")</f>
        <v>#N/A</v>
      </c>
      <c r="AD2878" s="81" t="e">
        <f>IF(X2878=2,HLOOKUP(R2878,データについて!$J$12:$M$18,7,FALSE),"*")</f>
        <v>#N/A</v>
      </c>
    </row>
    <row r="2879" spans="19:30">
      <c r="S2879" s="81" t="e">
        <f>HLOOKUP(L2879,データについて!$J$6:$M$18,13,FALSE)</f>
        <v>#N/A</v>
      </c>
      <c r="T2879" s="81" t="e">
        <f>HLOOKUP(M2879,データについて!$J$7:$M$18,12,FALSE)</f>
        <v>#N/A</v>
      </c>
      <c r="U2879" s="81" t="e">
        <f>HLOOKUP(N2879,データについて!$J$8:$M$18,11,FALSE)</f>
        <v>#N/A</v>
      </c>
      <c r="V2879" s="81" t="e">
        <f>HLOOKUP(O2879,データについて!$J$9:$M$18,10,FALSE)</f>
        <v>#N/A</v>
      </c>
      <c r="W2879" s="81" t="e">
        <f>HLOOKUP(P2879,データについて!$J$10:$M$18,9,FALSE)</f>
        <v>#N/A</v>
      </c>
      <c r="X2879" s="81" t="e">
        <f>HLOOKUP(Q2879,データについて!$J$11:$M$18,8,FALSE)</f>
        <v>#N/A</v>
      </c>
      <c r="Y2879" s="81" t="e">
        <f>HLOOKUP(R2879,データについて!$J$12:$M$18,7,FALSE)</f>
        <v>#N/A</v>
      </c>
      <c r="Z2879" s="81" t="e">
        <f>HLOOKUP(I2879,データについて!$J$3:$M$18,16,FALSE)</f>
        <v>#N/A</v>
      </c>
      <c r="AA2879" s="81" t="str">
        <f>IFERROR(HLOOKUP(J2879,データについて!$J$4:$AH$19,16,FALSE),"")</f>
        <v/>
      </c>
      <c r="AB2879" s="81" t="str">
        <f>IFERROR(HLOOKUP(K2879,データについて!$J$5:$AH$20,14,FALSE),"")</f>
        <v/>
      </c>
      <c r="AC2879" s="81" t="e">
        <f>IF(X2879=1,HLOOKUP(R2879,データについて!$J$12:$M$18,7,FALSE),"*")</f>
        <v>#N/A</v>
      </c>
      <c r="AD2879" s="81" t="e">
        <f>IF(X2879=2,HLOOKUP(R2879,データについて!$J$12:$M$18,7,FALSE),"*")</f>
        <v>#N/A</v>
      </c>
    </row>
    <row r="2880" spans="19:30">
      <c r="S2880" s="81" t="e">
        <f>HLOOKUP(L2880,データについて!$J$6:$M$18,13,FALSE)</f>
        <v>#N/A</v>
      </c>
      <c r="T2880" s="81" t="e">
        <f>HLOOKUP(M2880,データについて!$J$7:$M$18,12,FALSE)</f>
        <v>#N/A</v>
      </c>
      <c r="U2880" s="81" t="e">
        <f>HLOOKUP(N2880,データについて!$J$8:$M$18,11,FALSE)</f>
        <v>#N/A</v>
      </c>
      <c r="V2880" s="81" t="e">
        <f>HLOOKUP(O2880,データについて!$J$9:$M$18,10,FALSE)</f>
        <v>#N/A</v>
      </c>
      <c r="W2880" s="81" t="e">
        <f>HLOOKUP(P2880,データについて!$J$10:$M$18,9,FALSE)</f>
        <v>#N/A</v>
      </c>
      <c r="X2880" s="81" t="e">
        <f>HLOOKUP(Q2880,データについて!$J$11:$M$18,8,FALSE)</f>
        <v>#N/A</v>
      </c>
      <c r="Y2880" s="81" t="e">
        <f>HLOOKUP(R2880,データについて!$J$12:$M$18,7,FALSE)</f>
        <v>#N/A</v>
      </c>
      <c r="Z2880" s="81" t="e">
        <f>HLOOKUP(I2880,データについて!$J$3:$M$18,16,FALSE)</f>
        <v>#N/A</v>
      </c>
      <c r="AA2880" s="81" t="str">
        <f>IFERROR(HLOOKUP(J2880,データについて!$J$4:$AH$19,16,FALSE),"")</f>
        <v/>
      </c>
      <c r="AB2880" s="81" t="str">
        <f>IFERROR(HLOOKUP(K2880,データについて!$J$5:$AH$20,14,FALSE),"")</f>
        <v/>
      </c>
      <c r="AC2880" s="81" t="e">
        <f>IF(X2880=1,HLOOKUP(R2880,データについて!$J$12:$M$18,7,FALSE),"*")</f>
        <v>#N/A</v>
      </c>
      <c r="AD2880" s="81" t="e">
        <f>IF(X2880=2,HLOOKUP(R2880,データについて!$J$12:$M$18,7,FALSE),"*")</f>
        <v>#N/A</v>
      </c>
    </row>
    <row r="2881" spans="19:30">
      <c r="S2881" s="81" t="e">
        <f>HLOOKUP(L2881,データについて!$J$6:$M$18,13,FALSE)</f>
        <v>#N/A</v>
      </c>
      <c r="T2881" s="81" t="e">
        <f>HLOOKUP(M2881,データについて!$J$7:$M$18,12,FALSE)</f>
        <v>#N/A</v>
      </c>
      <c r="U2881" s="81" t="e">
        <f>HLOOKUP(N2881,データについて!$J$8:$M$18,11,FALSE)</f>
        <v>#N/A</v>
      </c>
      <c r="V2881" s="81" t="e">
        <f>HLOOKUP(O2881,データについて!$J$9:$M$18,10,FALSE)</f>
        <v>#N/A</v>
      </c>
      <c r="W2881" s="81" t="e">
        <f>HLOOKUP(P2881,データについて!$J$10:$M$18,9,FALSE)</f>
        <v>#N/A</v>
      </c>
      <c r="X2881" s="81" t="e">
        <f>HLOOKUP(Q2881,データについて!$J$11:$M$18,8,FALSE)</f>
        <v>#N/A</v>
      </c>
      <c r="Y2881" s="81" t="e">
        <f>HLOOKUP(R2881,データについて!$J$12:$M$18,7,FALSE)</f>
        <v>#N/A</v>
      </c>
      <c r="Z2881" s="81" t="e">
        <f>HLOOKUP(I2881,データについて!$J$3:$M$18,16,FALSE)</f>
        <v>#N/A</v>
      </c>
      <c r="AA2881" s="81" t="str">
        <f>IFERROR(HLOOKUP(J2881,データについて!$J$4:$AH$19,16,FALSE),"")</f>
        <v/>
      </c>
      <c r="AB2881" s="81" t="str">
        <f>IFERROR(HLOOKUP(K2881,データについて!$J$5:$AH$20,14,FALSE),"")</f>
        <v/>
      </c>
      <c r="AC2881" s="81" t="e">
        <f>IF(X2881=1,HLOOKUP(R2881,データについて!$J$12:$M$18,7,FALSE),"*")</f>
        <v>#N/A</v>
      </c>
      <c r="AD2881" s="81" t="e">
        <f>IF(X2881=2,HLOOKUP(R2881,データについて!$J$12:$M$18,7,FALSE),"*")</f>
        <v>#N/A</v>
      </c>
    </row>
    <row r="2882" spans="19:30">
      <c r="S2882" s="81" t="e">
        <f>HLOOKUP(L2882,データについて!$J$6:$M$18,13,FALSE)</f>
        <v>#N/A</v>
      </c>
      <c r="T2882" s="81" t="e">
        <f>HLOOKUP(M2882,データについて!$J$7:$M$18,12,FALSE)</f>
        <v>#N/A</v>
      </c>
      <c r="U2882" s="81" t="e">
        <f>HLOOKUP(N2882,データについて!$J$8:$M$18,11,FALSE)</f>
        <v>#N/A</v>
      </c>
      <c r="V2882" s="81" t="e">
        <f>HLOOKUP(O2882,データについて!$J$9:$M$18,10,FALSE)</f>
        <v>#N/A</v>
      </c>
      <c r="W2882" s="81" t="e">
        <f>HLOOKUP(P2882,データについて!$J$10:$M$18,9,FALSE)</f>
        <v>#N/A</v>
      </c>
      <c r="X2882" s="81" t="e">
        <f>HLOOKUP(Q2882,データについて!$J$11:$M$18,8,FALSE)</f>
        <v>#N/A</v>
      </c>
      <c r="Y2882" s="81" t="e">
        <f>HLOOKUP(R2882,データについて!$J$12:$M$18,7,FALSE)</f>
        <v>#N/A</v>
      </c>
      <c r="Z2882" s="81" t="e">
        <f>HLOOKUP(I2882,データについて!$J$3:$M$18,16,FALSE)</f>
        <v>#N/A</v>
      </c>
      <c r="AA2882" s="81" t="str">
        <f>IFERROR(HLOOKUP(J2882,データについて!$J$4:$AH$19,16,FALSE),"")</f>
        <v/>
      </c>
      <c r="AB2882" s="81" t="str">
        <f>IFERROR(HLOOKUP(K2882,データについて!$J$5:$AH$20,14,FALSE),"")</f>
        <v/>
      </c>
      <c r="AC2882" s="81" t="e">
        <f>IF(X2882=1,HLOOKUP(R2882,データについて!$J$12:$M$18,7,FALSE),"*")</f>
        <v>#N/A</v>
      </c>
      <c r="AD2882" s="81" t="e">
        <f>IF(X2882=2,HLOOKUP(R2882,データについて!$J$12:$M$18,7,FALSE),"*")</f>
        <v>#N/A</v>
      </c>
    </row>
    <row r="2883" spans="19:30">
      <c r="S2883" s="81" t="e">
        <f>HLOOKUP(L2883,データについて!$J$6:$M$18,13,FALSE)</f>
        <v>#N/A</v>
      </c>
      <c r="T2883" s="81" t="e">
        <f>HLOOKUP(M2883,データについて!$J$7:$M$18,12,FALSE)</f>
        <v>#N/A</v>
      </c>
      <c r="U2883" s="81" t="e">
        <f>HLOOKUP(N2883,データについて!$J$8:$M$18,11,FALSE)</f>
        <v>#N/A</v>
      </c>
      <c r="V2883" s="81" t="e">
        <f>HLOOKUP(O2883,データについて!$J$9:$M$18,10,FALSE)</f>
        <v>#N/A</v>
      </c>
      <c r="W2883" s="81" t="e">
        <f>HLOOKUP(P2883,データについて!$J$10:$M$18,9,FALSE)</f>
        <v>#N/A</v>
      </c>
      <c r="X2883" s="81" t="e">
        <f>HLOOKUP(Q2883,データについて!$J$11:$M$18,8,FALSE)</f>
        <v>#N/A</v>
      </c>
      <c r="Y2883" s="81" t="e">
        <f>HLOOKUP(R2883,データについて!$J$12:$M$18,7,FALSE)</f>
        <v>#N/A</v>
      </c>
      <c r="Z2883" s="81" t="e">
        <f>HLOOKUP(I2883,データについて!$J$3:$M$18,16,FALSE)</f>
        <v>#N/A</v>
      </c>
      <c r="AA2883" s="81" t="str">
        <f>IFERROR(HLOOKUP(J2883,データについて!$J$4:$AH$19,16,FALSE),"")</f>
        <v/>
      </c>
      <c r="AB2883" s="81" t="str">
        <f>IFERROR(HLOOKUP(K2883,データについて!$J$5:$AH$20,14,FALSE),"")</f>
        <v/>
      </c>
      <c r="AC2883" s="81" t="e">
        <f>IF(X2883=1,HLOOKUP(R2883,データについて!$J$12:$M$18,7,FALSE),"*")</f>
        <v>#N/A</v>
      </c>
      <c r="AD2883" s="81" t="e">
        <f>IF(X2883=2,HLOOKUP(R2883,データについて!$J$12:$M$18,7,FALSE),"*")</f>
        <v>#N/A</v>
      </c>
    </row>
    <row r="2884" spans="19:30">
      <c r="S2884" s="81" t="e">
        <f>HLOOKUP(L2884,データについて!$J$6:$M$18,13,FALSE)</f>
        <v>#N/A</v>
      </c>
      <c r="T2884" s="81" t="e">
        <f>HLOOKUP(M2884,データについて!$J$7:$M$18,12,FALSE)</f>
        <v>#N/A</v>
      </c>
      <c r="U2884" s="81" t="e">
        <f>HLOOKUP(N2884,データについて!$J$8:$M$18,11,FALSE)</f>
        <v>#N/A</v>
      </c>
      <c r="V2884" s="81" t="e">
        <f>HLOOKUP(O2884,データについて!$J$9:$M$18,10,FALSE)</f>
        <v>#N/A</v>
      </c>
      <c r="W2884" s="81" t="e">
        <f>HLOOKUP(P2884,データについて!$J$10:$M$18,9,FALSE)</f>
        <v>#N/A</v>
      </c>
      <c r="X2884" s="81" t="e">
        <f>HLOOKUP(Q2884,データについて!$J$11:$M$18,8,FALSE)</f>
        <v>#N/A</v>
      </c>
      <c r="Y2884" s="81" t="e">
        <f>HLOOKUP(R2884,データについて!$J$12:$M$18,7,FALSE)</f>
        <v>#N/A</v>
      </c>
      <c r="Z2884" s="81" t="e">
        <f>HLOOKUP(I2884,データについて!$J$3:$M$18,16,FALSE)</f>
        <v>#N/A</v>
      </c>
      <c r="AA2884" s="81" t="str">
        <f>IFERROR(HLOOKUP(J2884,データについて!$J$4:$AH$19,16,FALSE),"")</f>
        <v/>
      </c>
      <c r="AB2884" s="81" t="str">
        <f>IFERROR(HLOOKUP(K2884,データについて!$J$5:$AH$20,14,FALSE),"")</f>
        <v/>
      </c>
      <c r="AC2884" s="81" t="e">
        <f>IF(X2884=1,HLOOKUP(R2884,データについて!$J$12:$M$18,7,FALSE),"*")</f>
        <v>#N/A</v>
      </c>
      <c r="AD2884" s="81" t="e">
        <f>IF(X2884=2,HLOOKUP(R2884,データについて!$J$12:$M$18,7,FALSE),"*")</f>
        <v>#N/A</v>
      </c>
    </row>
    <row r="2885" spans="19:30">
      <c r="S2885" s="81" t="e">
        <f>HLOOKUP(L2885,データについて!$J$6:$M$18,13,FALSE)</f>
        <v>#N/A</v>
      </c>
      <c r="T2885" s="81" t="e">
        <f>HLOOKUP(M2885,データについて!$J$7:$M$18,12,FALSE)</f>
        <v>#N/A</v>
      </c>
      <c r="U2885" s="81" t="e">
        <f>HLOOKUP(N2885,データについて!$J$8:$M$18,11,FALSE)</f>
        <v>#N/A</v>
      </c>
      <c r="V2885" s="81" t="e">
        <f>HLOOKUP(O2885,データについて!$J$9:$M$18,10,FALSE)</f>
        <v>#N/A</v>
      </c>
      <c r="W2885" s="81" t="e">
        <f>HLOOKUP(P2885,データについて!$J$10:$M$18,9,FALSE)</f>
        <v>#N/A</v>
      </c>
      <c r="X2885" s="81" t="e">
        <f>HLOOKUP(Q2885,データについて!$J$11:$M$18,8,FALSE)</f>
        <v>#N/A</v>
      </c>
      <c r="Y2885" s="81" t="e">
        <f>HLOOKUP(R2885,データについて!$J$12:$M$18,7,FALSE)</f>
        <v>#N/A</v>
      </c>
      <c r="Z2885" s="81" t="e">
        <f>HLOOKUP(I2885,データについて!$J$3:$M$18,16,FALSE)</f>
        <v>#N/A</v>
      </c>
      <c r="AA2885" s="81" t="str">
        <f>IFERROR(HLOOKUP(J2885,データについて!$J$4:$AH$19,16,FALSE),"")</f>
        <v/>
      </c>
      <c r="AB2885" s="81" t="str">
        <f>IFERROR(HLOOKUP(K2885,データについて!$J$5:$AH$20,14,FALSE),"")</f>
        <v/>
      </c>
      <c r="AC2885" s="81" t="e">
        <f>IF(X2885=1,HLOOKUP(R2885,データについて!$J$12:$M$18,7,FALSE),"*")</f>
        <v>#N/A</v>
      </c>
      <c r="AD2885" s="81" t="e">
        <f>IF(X2885=2,HLOOKUP(R2885,データについて!$J$12:$M$18,7,FALSE),"*")</f>
        <v>#N/A</v>
      </c>
    </row>
    <row r="2886" spans="19:30">
      <c r="S2886" s="81" t="e">
        <f>HLOOKUP(L2886,データについて!$J$6:$M$18,13,FALSE)</f>
        <v>#N/A</v>
      </c>
      <c r="T2886" s="81" t="e">
        <f>HLOOKUP(M2886,データについて!$J$7:$M$18,12,FALSE)</f>
        <v>#N/A</v>
      </c>
      <c r="U2886" s="81" t="e">
        <f>HLOOKUP(N2886,データについて!$J$8:$M$18,11,FALSE)</f>
        <v>#N/A</v>
      </c>
      <c r="V2886" s="81" t="e">
        <f>HLOOKUP(O2886,データについて!$J$9:$M$18,10,FALSE)</f>
        <v>#N/A</v>
      </c>
      <c r="W2886" s="81" t="e">
        <f>HLOOKUP(P2886,データについて!$J$10:$M$18,9,FALSE)</f>
        <v>#N/A</v>
      </c>
      <c r="X2886" s="81" t="e">
        <f>HLOOKUP(Q2886,データについて!$J$11:$M$18,8,FALSE)</f>
        <v>#N/A</v>
      </c>
      <c r="Y2886" s="81" t="e">
        <f>HLOOKUP(R2886,データについて!$J$12:$M$18,7,FALSE)</f>
        <v>#N/A</v>
      </c>
      <c r="Z2886" s="81" t="e">
        <f>HLOOKUP(I2886,データについて!$J$3:$M$18,16,FALSE)</f>
        <v>#N/A</v>
      </c>
      <c r="AA2886" s="81" t="str">
        <f>IFERROR(HLOOKUP(J2886,データについて!$J$4:$AH$19,16,FALSE),"")</f>
        <v/>
      </c>
      <c r="AB2886" s="81" t="str">
        <f>IFERROR(HLOOKUP(K2886,データについて!$J$5:$AH$20,14,FALSE),"")</f>
        <v/>
      </c>
      <c r="AC2886" s="81" t="e">
        <f>IF(X2886=1,HLOOKUP(R2886,データについて!$J$12:$M$18,7,FALSE),"*")</f>
        <v>#N/A</v>
      </c>
      <c r="AD2886" s="81" t="e">
        <f>IF(X2886=2,HLOOKUP(R2886,データについて!$J$12:$M$18,7,FALSE),"*")</f>
        <v>#N/A</v>
      </c>
    </row>
    <row r="2887" spans="19:30">
      <c r="S2887" s="81" t="e">
        <f>HLOOKUP(L2887,データについて!$J$6:$M$18,13,FALSE)</f>
        <v>#N/A</v>
      </c>
      <c r="T2887" s="81" t="e">
        <f>HLOOKUP(M2887,データについて!$J$7:$M$18,12,FALSE)</f>
        <v>#N/A</v>
      </c>
      <c r="U2887" s="81" t="e">
        <f>HLOOKUP(N2887,データについて!$J$8:$M$18,11,FALSE)</f>
        <v>#N/A</v>
      </c>
      <c r="V2887" s="81" t="e">
        <f>HLOOKUP(O2887,データについて!$J$9:$M$18,10,FALSE)</f>
        <v>#N/A</v>
      </c>
      <c r="W2887" s="81" t="e">
        <f>HLOOKUP(P2887,データについて!$J$10:$M$18,9,FALSE)</f>
        <v>#N/A</v>
      </c>
      <c r="X2887" s="81" t="e">
        <f>HLOOKUP(Q2887,データについて!$J$11:$M$18,8,FALSE)</f>
        <v>#N/A</v>
      </c>
      <c r="Y2887" s="81" t="e">
        <f>HLOOKUP(R2887,データについて!$J$12:$M$18,7,FALSE)</f>
        <v>#N/A</v>
      </c>
      <c r="Z2887" s="81" t="e">
        <f>HLOOKUP(I2887,データについて!$J$3:$M$18,16,FALSE)</f>
        <v>#N/A</v>
      </c>
      <c r="AA2887" s="81" t="str">
        <f>IFERROR(HLOOKUP(J2887,データについて!$J$4:$AH$19,16,FALSE),"")</f>
        <v/>
      </c>
      <c r="AB2887" s="81" t="str">
        <f>IFERROR(HLOOKUP(K2887,データについて!$J$5:$AH$20,14,FALSE),"")</f>
        <v/>
      </c>
      <c r="AC2887" s="81" t="e">
        <f>IF(X2887=1,HLOOKUP(R2887,データについて!$J$12:$M$18,7,FALSE),"*")</f>
        <v>#N/A</v>
      </c>
      <c r="AD2887" s="81" t="e">
        <f>IF(X2887=2,HLOOKUP(R2887,データについて!$J$12:$M$18,7,FALSE),"*")</f>
        <v>#N/A</v>
      </c>
    </row>
    <row r="2888" spans="19:30">
      <c r="S2888" s="81" t="e">
        <f>HLOOKUP(L2888,データについて!$J$6:$M$18,13,FALSE)</f>
        <v>#N/A</v>
      </c>
      <c r="T2888" s="81" t="e">
        <f>HLOOKUP(M2888,データについて!$J$7:$M$18,12,FALSE)</f>
        <v>#N/A</v>
      </c>
      <c r="U2888" s="81" t="e">
        <f>HLOOKUP(N2888,データについて!$J$8:$M$18,11,FALSE)</f>
        <v>#N/A</v>
      </c>
      <c r="V2888" s="81" t="e">
        <f>HLOOKUP(O2888,データについて!$J$9:$M$18,10,FALSE)</f>
        <v>#N/A</v>
      </c>
      <c r="W2888" s="81" t="e">
        <f>HLOOKUP(P2888,データについて!$J$10:$M$18,9,FALSE)</f>
        <v>#N/A</v>
      </c>
      <c r="X2888" s="81" t="e">
        <f>HLOOKUP(Q2888,データについて!$J$11:$M$18,8,FALSE)</f>
        <v>#N/A</v>
      </c>
      <c r="Y2888" s="81" t="e">
        <f>HLOOKUP(R2888,データについて!$J$12:$M$18,7,FALSE)</f>
        <v>#N/A</v>
      </c>
      <c r="Z2888" s="81" t="e">
        <f>HLOOKUP(I2888,データについて!$J$3:$M$18,16,FALSE)</f>
        <v>#N/A</v>
      </c>
      <c r="AA2888" s="81" t="str">
        <f>IFERROR(HLOOKUP(J2888,データについて!$J$4:$AH$19,16,FALSE),"")</f>
        <v/>
      </c>
      <c r="AB2888" s="81" t="str">
        <f>IFERROR(HLOOKUP(K2888,データについて!$J$5:$AH$20,14,FALSE),"")</f>
        <v/>
      </c>
      <c r="AC2888" s="81" t="e">
        <f>IF(X2888=1,HLOOKUP(R2888,データについて!$J$12:$M$18,7,FALSE),"*")</f>
        <v>#N/A</v>
      </c>
      <c r="AD2888" s="81" t="e">
        <f>IF(X2888=2,HLOOKUP(R2888,データについて!$J$12:$M$18,7,FALSE),"*")</f>
        <v>#N/A</v>
      </c>
    </row>
    <row r="2889" spans="19:30">
      <c r="S2889" s="81" t="e">
        <f>HLOOKUP(L2889,データについて!$J$6:$M$18,13,FALSE)</f>
        <v>#N/A</v>
      </c>
      <c r="T2889" s="81" t="e">
        <f>HLOOKUP(M2889,データについて!$J$7:$M$18,12,FALSE)</f>
        <v>#N/A</v>
      </c>
      <c r="U2889" s="81" t="e">
        <f>HLOOKUP(N2889,データについて!$J$8:$M$18,11,FALSE)</f>
        <v>#N/A</v>
      </c>
      <c r="V2889" s="81" t="e">
        <f>HLOOKUP(O2889,データについて!$J$9:$M$18,10,FALSE)</f>
        <v>#N/A</v>
      </c>
      <c r="W2889" s="81" t="e">
        <f>HLOOKUP(P2889,データについて!$J$10:$M$18,9,FALSE)</f>
        <v>#N/A</v>
      </c>
      <c r="X2889" s="81" t="e">
        <f>HLOOKUP(Q2889,データについて!$J$11:$M$18,8,FALSE)</f>
        <v>#N/A</v>
      </c>
      <c r="Y2889" s="81" t="e">
        <f>HLOOKUP(R2889,データについて!$J$12:$M$18,7,FALSE)</f>
        <v>#N/A</v>
      </c>
      <c r="Z2889" s="81" t="e">
        <f>HLOOKUP(I2889,データについて!$J$3:$M$18,16,FALSE)</f>
        <v>#N/A</v>
      </c>
      <c r="AA2889" s="81" t="str">
        <f>IFERROR(HLOOKUP(J2889,データについて!$J$4:$AH$19,16,FALSE),"")</f>
        <v/>
      </c>
      <c r="AB2889" s="81" t="str">
        <f>IFERROR(HLOOKUP(K2889,データについて!$J$5:$AH$20,14,FALSE),"")</f>
        <v/>
      </c>
      <c r="AC2889" s="81" t="e">
        <f>IF(X2889=1,HLOOKUP(R2889,データについて!$J$12:$M$18,7,FALSE),"*")</f>
        <v>#N/A</v>
      </c>
      <c r="AD2889" s="81" t="e">
        <f>IF(X2889=2,HLOOKUP(R2889,データについて!$J$12:$M$18,7,FALSE),"*")</f>
        <v>#N/A</v>
      </c>
    </row>
    <row r="2890" spans="19:30">
      <c r="S2890" s="81" t="e">
        <f>HLOOKUP(L2890,データについて!$J$6:$M$18,13,FALSE)</f>
        <v>#N/A</v>
      </c>
      <c r="T2890" s="81" t="e">
        <f>HLOOKUP(M2890,データについて!$J$7:$M$18,12,FALSE)</f>
        <v>#N/A</v>
      </c>
      <c r="U2890" s="81" t="e">
        <f>HLOOKUP(N2890,データについて!$J$8:$M$18,11,FALSE)</f>
        <v>#N/A</v>
      </c>
      <c r="V2890" s="81" t="e">
        <f>HLOOKUP(O2890,データについて!$J$9:$M$18,10,FALSE)</f>
        <v>#N/A</v>
      </c>
      <c r="W2890" s="81" t="e">
        <f>HLOOKUP(P2890,データについて!$J$10:$M$18,9,FALSE)</f>
        <v>#N/A</v>
      </c>
      <c r="X2890" s="81" t="e">
        <f>HLOOKUP(Q2890,データについて!$J$11:$M$18,8,FALSE)</f>
        <v>#N/A</v>
      </c>
      <c r="Y2890" s="81" t="e">
        <f>HLOOKUP(R2890,データについて!$J$12:$M$18,7,FALSE)</f>
        <v>#N/A</v>
      </c>
      <c r="Z2890" s="81" t="e">
        <f>HLOOKUP(I2890,データについて!$J$3:$M$18,16,FALSE)</f>
        <v>#N/A</v>
      </c>
      <c r="AA2890" s="81" t="str">
        <f>IFERROR(HLOOKUP(J2890,データについて!$J$4:$AH$19,16,FALSE),"")</f>
        <v/>
      </c>
      <c r="AB2890" s="81" t="str">
        <f>IFERROR(HLOOKUP(K2890,データについて!$J$5:$AH$20,14,FALSE),"")</f>
        <v/>
      </c>
      <c r="AC2890" s="81" t="e">
        <f>IF(X2890=1,HLOOKUP(R2890,データについて!$J$12:$M$18,7,FALSE),"*")</f>
        <v>#N/A</v>
      </c>
      <c r="AD2890" s="81" t="e">
        <f>IF(X2890=2,HLOOKUP(R2890,データについて!$J$12:$M$18,7,FALSE),"*")</f>
        <v>#N/A</v>
      </c>
    </row>
    <row r="2891" spans="19:30">
      <c r="S2891" s="81" t="e">
        <f>HLOOKUP(L2891,データについて!$J$6:$M$18,13,FALSE)</f>
        <v>#N/A</v>
      </c>
      <c r="T2891" s="81" t="e">
        <f>HLOOKUP(M2891,データについて!$J$7:$M$18,12,FALSE)</f>
        <v>#N/A</v>
      </c>
      <c r="U2891" s="81" t="e">
        <f>HLOOKUP(N2891,データについて!$J$8:$M$18,11,FALSE)</f>
        <v>#N/A</v>
      </c>
      <c r="V2891" s="81" t="e">
        <f>HLOOKUP(O2891,データについて!$J$9:$M$18,10,FALSE)</f>
        <v>#N/A</v>
      </c>
      <c r="W2891" s="81" t="e">
        <f>HLOOKUP(P2891,データについて!$J$10:$M$18,9,FALSE)</f>
        <v>#N/A</v>
      </c>
      <c r="X2891" s="81" t="e">
        <f>HLOOKUP(Q2891,データについて!$J$11:$M$18,8,FALSE)</f>
        <v>#N/A</v>
      </c>
      <c r="Y2891" s="81" t="e">
        <f>HLOOKUP(R2891,データについて!$J$12:$M$18,7,FALSE)</f>
        <v>#N/A</v>
      </c>
      <c r="Z2891" s="81" t="e">
        <f>HLOOKUP(I2891,データについて!$J$3:$M$18,16,FALSE)</f>
        <v>#N/A</v>
      </c>
      <c r="AA2891" s="81" t="str">
        <f>IFERROR(HLOOKUP(J2891,データについて!$J$4:$AH$19,16,FALSE),"")</f>
        <v/>
      </c>
      <c r="AB2891" s="81" t="str">
        <f>IFERROR(HLOOKUP(K2891,データについて!$J$5:$AH$20,14,FALSE),"")</f>
        <v/>
      </c>
      <c r="AC2891" s="81" t="e">
        <f>IF(X2891=1,HLOOKUP(R2891,データについて!$J$12:$M$18,7,FALSE),"*")</f>
        <v>#N/A</v>
      </c>
      <c r="AD2891" s="81" t="e">
        <f>IF(X2891=2,HLOOKUP(R2891,データについて!$J$12:$M$18,7,FALSE),"*")</f>
        <v>#N/A</v>
      </c>
    </row>
    <row r="2892" spans="19:30">
      <c r="S2892" s="81" t="e">
        <f>HLOOKUP(L2892,データについて!$J$6:$M$18,13,FALSE)</f>
        <v>#N/A</v>
      </c>
      <c r="T2892" s="81" t="e">
        <f>HLOOKUP(M2892,データについて!$J$7:$M$18,12,FALSE)</f>
        <v>#N/A</v>
      </c>
      <c r="U2892" s="81" t="e">
        <f>HLOOKUP(N2892,データについて!$J$8:$M$18,11,FALSE)</f>
        <v>#N/A</v>
      </c>
      <c r="V2892" s="81" t="e">
        <f>HLOOKUP(O2892,データについて!$J$9:$M$18,10,FALSE)</f>
        <v>#N/A</v>
      </c>
      <c r="W2892" s="81" t="e">
        <f>HLOOKUP(P2892,データについて!$J$10:$M$18,9,FALSE)</f>
        <v>#N/A</v>
      </c>
      <c r="X2892" s="81" t="e">
        <f>HLOOKUP(Q2892,データについて!$J$11:$M$18,8,FALSE)</f>
        <v>#N/A</v>
      </c>
      <c r="Y2892" s="81" t="e">
        <f>HLOOKUP(R2892,データについて!$J$12:$M$18,7,FALSE)</f>
        <v>#N/A</v>
      </c>
      <c r="Z2892" s="81" t="e">
        <f>HLOOKUP(I2892,データについて!$J$3:$M$18,16,FALSE)</f>
        <v>#N/A</v>
      </c>
      <c r="AA2892" s="81" t="str">
        <f>IFERROR(HLOOKUP(J2892,データについて!$J$4:$AH$19,16,FALSE),"")</f>
        <v/>
      </c>
      <c r="AB2892" s="81" t="str">
        <f>IFERROR(HLOOKUP(K2892,データについて!$J$5:$AH$20,14,FALSE),"")</f>
        <v/>
      </c>
      <c r="AC2892" s="81" t="e">
        <f>IF(X2892=1,HLOOKUP(R2892,データについて!$J$12:$M$18,7,FALSE),"*")</f>
        <v>#N/A</v>
      </c>
      <c r="AD2892" s="81" t="e">
        <f>IF(X2892=2,HLOOKUP(R2892,データについて!$J$12:$M$18,7,FALSE),"*")</f>
        <v>#N/A</v>
      </c>
    </row>
    <row r="2893" spans="19:30">
      <c r="S2893" s="81" t="e">
        <f>HLOOKUP(L2893,データについて!$J$6:$M$18,13,FALSE)</f>
        <v>#N/A</v>
      </c>
      <c r="T2893" s="81" t="e">
        <f>HLOOKUP(M2893,データについて!$J$7:$M$18,12,FALSE)</f>
        <v>#N/A</v>
      </c>
      <c r="U2893" s="81" t="e">
        <f>HLOOKUP(N2893,データについて!$J$8:$M$18,11,FALSE)</f>
        <v>#N/A</v>
      </c>
      <c r="V2893" s="81" t="e">
        <f>HLOOKUP(O2893,データについて!$J$9:$M$18,10,FALSE)</f>
        <v>#N/A</v>
      </c>
      <c r="W2893" s="81" t="e">
        <f>HLOOKUP(P2893,データについて!$J$10:$M$18,9,FALSE)</f>
        <v>#N/A</v>
      </c>
      <c r="X2893" s="81" t="e">
        <f>HLOOKUP(Q2893,データについて!$J$11:$M$18,8,FALSE)</f>
        <v>#N/A</v>
      </c>
      <c r="Y2893" s="81" t="e">
        <f>HLOOKUP(R2893,データについて!$J$12:$M$18,7,FALSE)</f>
        <v>#N/A</v>
      </c>
      <c r="Z2893" s="81" t="e">
        <f>HLOOKUP(I2893,データについて!$J$3:$M$18,16,FALSE)</f>
        <v>#N/A</v>
      </c>
      <c r="AA2893" s="81" t="str">
        <f>IFERROR(HLOOKUP(J2893,データについて!$J$4:$AH$19,16,FALSE),"")</f>
        <v/>
      </c>
      <c r="AB2893" s="81" t="str">
        <f>IFERROR(HLOOKUP(K2893,データについて!$J$5:$AH$20,14,FALSE),"")</f>
        <v/>
      </c>
      <c r="AC2893" s="81" t="e">
        <f>IF(X2893=1,HLOOKUP(R2893,データについて!$J$12:$M$18,7,FALSE),"*")</f>
        <v>#N/A</v>
      </c>
      <c r="AD2893" s="81" t="e">
        <f>IF(X2893=2,HLOOKUP(R2893,データについて!$J$12:$M$18,7,FALSE),"*")</f>
        <v>#N/A</v>
      </c>
    </row>
    <row r="2894" spans="19:30">
      <c r="S2894" s="81" t="e">
        <f>HLOOKUP(L2894,データについて!$J$6:$M$18,13,FALSE)</f>
        <v>#N/A</v>
      </c>
      <c r="T2894" s="81" t="e">
        <f>HLOOKUP(M2894,データについて!$J$7:$M$18,12,FALSE)</f>
        <v>#N/A</v>
      </c>
      <c r="U2894" s="81" t="e">
        <f>HLOOKUP(N2894,データについて!$J$8:$M$18,11,FALSE)</f>
        <v>#N/A</v>
      </c>
      <c r="V2894" s="81" t="e">
        <f>HLOOKUP(O2894,データについて!$J$9:$M$18,10,FALSE)</f>
        <v>#N/A</v>
      </c>
      <c r="W2894" s="81" t="e">
        <f>HLOOKUP(P2894,データについて!$J$10:$M$18,9,FALSE)</f>
        <v>#N/A</v>
      </c>
      <c r="X2894" s="81" t="e">
        <f>HLOOKUP(Q2894,データについて!$J$11:$M$18,8,FALSE)</f>
        <v>#N/A</v>
      </c>
      <c r="Y2894" s="81" t="e">
        <f>HLOOKUP(R2894,データについて!$J$12:$M$18,7,FALSE)</f>
        <v>#N/A</v>
      </c>
      <c r="Z2894" s="81" t="e">
        <f>HLOOKUP(I2894,データについて!$J$3:$M$18,16,FALSE)</f>
        <v>#N/A</v>
      </c>
      <c r="AA2894" s="81" t="str">
        <f>IFERROR(HLOOKUP(J2894,データについて!$J$4:$AH$19,16,FALSE),"")</f>
        <v/>
      </c>
      <c r="AB2894" s="81" t="str">
        <f>IFERROR(HLOOKUP(K2894,データについて!$J$5:$AH$20,14,FALSE),"")</f>
        <v/>
      </c>
      <c r="AC2894" s="81" t="e">
        <f>IF(X2894=1,HLOOKUP(R2894,データについて!$J$12:$M$18,7,FALSE),"*")</f>
        <v>#N/A</v>
      </c>
      <c r="AD2894" s="81" t="e">
        <f>IF(X2894=2,HLOOKUP(R2894,データについて!$J$12:$M$18,7,FALSE),"*")</f>
        <v>#N/A</v>
      </c>
    </row>
    <row r="2895" spans="19:30">
      <c r="S2895" s="81" t="e">
        <f>HLOOKUP(L2895,データについて!$J$6:$M$18,13,FALSE)</f>
        <v>#N/A</v>
      </c>
      <c r="T2895" s="81" t="e">
        <f>HLOOKUP(M2895,データについて!$J$7:$M$18,12,FALSE)</f>
        <v>#N/A</v>
      </c>
      <c r="U2895" s="81" t="e">
        <f>HLOOKUP(N2895,データについて!$J$8:$M$18,11,FALSE)</f>
        <v>#N/A</v>
      </c>
      <c r="V2895" s="81" t="e">
        <f>HLOOKUP(O2895,データについて!$J$9:$M$18,10,FALSE)</f>
        <v>#N/A</v>
      </c>
      <c r="W2895" s="81" t="e">
        <f>HLOOKUP(P2895,データについて!$J$10:$M$18,9,FALSE)</f>
        <v>#N/A</v>
      </c>
      <c r="X2895" s="81" t="e">
        <f>HLOOKUP(Q2895,データについて!$J$11:$M$18,8,FALSE)</f>
        <v>#N/A</v>
      </c>
      <c r="Y2895" s="81" t="e">
        <f>HLOOKUP(R2895,データについて!$J$12:$M$18,7,FALSE)</f>
        <v>#N/A</v>
      </c>
      <c r="Z2895" s="81" t="e">
        <f>HLOOKUP(I2895,データについて!$J$3:$M$18,16,FALSE)</f>
        <v>#N/A</v>
      </c>
      <c r="AA2895" s="81" t="str">
        <f>IFERROR(HLOOKUP(J2895,データについて!$J$4:$AH$19,16,FALSE),"")</f>
        <v/>
      </c>
      <c r="AB2895" s="81" t="str">
        <f>IFERROR(HLOOKUP(K2895,データについて!$J$5:$AH$20,14,FALSE),"")</f>
        <v/>
      </c>
      <c r="AC2895" s="81" t="e">
        <f>IF(X2895=1,HLOOKUP(R2895,データについて!$J$12:$M$18,7,FALSE),"*")</f>
        <v>#N/A</v>
      </c>
      <c r="AD2895" s="81" t="e">
        <f>IF(X2895=2,HLOOKUP(R2895,データについて!$J$12:$M$18,7,FALSE),"*")</f>
        <v>#N/A</v>
      </c>
    </row>
    <row r="2896" spans="19:30">
      <c r="S2896" s="81" t="e">
        <f>HLOOKUP(L2896,データについて!$J$6:$M$18,13,FALSE)</f>
        <v>#N/A</v>
      </c>
      <c r="T2896" s="81" t="e">
        <f>HLOOKUP(M2896,データについて!$J$7:$M$18,12,FALSE)</f>
        <v>#N/A</v>
      </c>
      <c r="U2896" s="81" t="e">
        <f>HLOOKUP(N2896,データについて!$J$8:$M$18,11,FALSE)</f>
        <v>#N/A</v>
      </c>
      <c r="V2896" s="81" t="e">
        <f>HLOOKUP(O2896,データについて!$J$9:$M$18,10,FALSE)</f>
        <v>#N/A</v>
      </c>
      <c r="W2896" s="81" t="e">
        <f>HLOOKUP(P2896,データについて!$J$10:$M$18,9,FALSE)</f>
        <v>#N/A</v>
      </c>
      <c r="X2896" s="81" t="e">
        <f>HLOOKUP(Q2896,データについて!$J$11:$M$18,8,FALSE)</f>
        <v>#N/A</v>
      </c>
      <c r="Y2896" s="81" t="e">
        <f>HLOOKUP(R2896,データについて!$J$12:$M$18,7,FALSE)</f>
        <v>#N/A</v>
      </c>
      <c r="Z2896" s="81" t="e">
        <f>HLOOKUP(I2896,データについて!$J$3:$M$18,16,FALSE)</f>
        <v>#N/A</v>
      </c>
      <c r="AA2896" s="81" t="str">
        <f>IFERROR(HLOOKUP(J2896,データについて!$J$4:$AH$19,16,FALSE),"")</f>
        <v/>
      </c>
      <c r="AB2896" s="81" t="str">
        <f>IFERROR(HLOOKUP(K2896,データについて!$J$5:$AH$20,14,FALSE),"")</f>
        <v/>
      </c>
      <c r="AC2896" s="81" t="e">
        <f>IF(X2896=1,HLOOKUP(R2896,データについて!$J$12:$M$18,7,FALSE),"*")</f>
        <v>#N/A</v>
      </c>
      <c r="AD2896" s="81" t="e">
        <f>IF(X2896=2,HLOOKUP(R2896,データについて!$J$12:$M$18,7,FALSE),"*")</f>
        <v>#N/A</v>
      </c>
    </row>
    <row r="2897" spans="19:30">
      <c r="S2897" s="81" t="e">
        <f>HLOOKUP(L2897,データについて!$J$6:$M$18,13,FALSE)</f>
        <v>#N/A</v>
      </c>
      <c r="T2897" s="81" t="e">
        <f>HLOOKUP(M2897,データについて!$J$7:$M$18,12,FALSE)</f>
        <v>#N/A</v>
      </c>
      <c r="U2897" s="81" t="e">
        <f>HLOOKUP(N2897,データについて!$J$8:$M$18,11,FALSE)</f>
        <v>#N/A</v>
      </c>
      <c r="V2897" s="81" t="e">
        <f>HLOOKUP(O2897,データについて!$J$9:$M$18,10,FALSE)</f>
        <v>#N/A</v>
      </c>
      <c r="W2897" s="81" t="e">
        <f>HLOOKUP(P2897,データについて!$J$10:$M$18,9,FALSE)</f>
        <v>#N/A</v>
      </c>
      <c r="X2897" s="81" t="e">
        <f>HLOOKUP(Q2897,データについて!$J$11:$M$18,8,FALSE)</f>
        <v>#N/A</v>
      </c>
      <c r="Y2897" s="81" t="e">
        <f>HLOOKUP(R2897,データについて!$J$12:$M$18,7,FALSE)</f>
        <v>#N/A</v>
      </c>
      <c r="Z2897" s="81" t="e">
        <f>HLOOKUP(I2897,データについて!$J$3:$M$18,16,FALSE)</f>
        <v>#N/A</v>
      </c>
      <c r="AA2897" s="81" t="str">
        <f>IFERROR(HLOOKUP(J2897,データについて!$J$4:$AH$19,16,FALSE),"")</f>
        <v/>
      </c>
      <c r="AB2897" s="81" t="str">
        <f>IFERROR(HLOOKUP(K2897,データについて!$J$5:$AH$20,14,FALSE),"")</f>
        <v/>
      </c>
      <c r="AC2897" s="81" t="e">
        <f>IF(X2897=1,HLOOKUP(R2897,データについて!$J$12:$M$18,7,FALSE),"*")</f>
        <v>#N/A</v>
      </c>
      <c r="AD2897" s="81" t="e">
        <f>IF(X2897=2,HLOOKUP(R2897,データについて!$J$12:$M$18,7,FALSE),"*")</f>
        <v>#N/A</v>
      </c>
    </row>
    <row r="2898" spans="19:30">
      <c r="S2898" s="81" t="e">
        <f>HLOOKUP(L2898,データについて!$J$6:$M$18,13,FALSE)</f>
        <v>#N/A</v>
      </c>
      <c r="T2898" s="81" t="e">
        <f>HLOOKUP(M2898,データについて!$J$7:$M$18,12,FALSE)</f>
        <v>#N/A</v>
      </c>
      <c r="U2898" s="81" t="e">
        <f>HLOOKUP(N2898,データについて!$J$8:$M$18,11,FALSE)</f>
        <v>#N/A</v>
      </c>
      <c r="V2898" s="81" t="e">
        <f>HLOOKUP(O2898,データについて!$J$9:$M$18,10,FALSE)</f>
        <v>#N/A</v>
      </c>
      <c r="W2898" s="81" t="e">
        <f>HLOOKUP(P2898,データについて!$J$10:$M$18,9,FALSE)</f>
        <v>#N/A</v>
      </c>
      <c r="X2898" s="81" t="e">
        <f>HLOOKUP(Q2898,データについて!$J$11:$M$18,8,FALSE)</f>
        <v>#N/A</v>
      </c>
      <c r="Y2898" s="81" t="e">
        <f>HLOOKUP(R2898,データについて!$J$12:$M$18,7,FALSE)</f>
        <v>#N/A</v>
      </c>
      <c r="Z2898" s="81" t="e">
        <f>HLOOKUP(I2898,データについて!$J$3:$M$18,16,FALSE)</f>
        <v>#N/A</v>
      </c>
      <c r="AA2898" s="81" t="str">
        <f>IFERROR(HLOOKUP(J2898,データについて!$J$4:$AH$19,16,FALSE),"")</f>
        <v/>
      </c>
      <c r="AB2898" s="81" t="str">
        <f>IFERROR(HLOOKUP(K2898,データについて!$J$5:$AH$20,14,FALSE),"")</f>
        <v/>
      </c>
      <c r="AC2898" s="81" t="e">
        <f>IF(X2898=1,HLOOKUP(R2898,データについて!$J$12:$M$18,7,FALSE),"*")</f>
        <v>#N/A</v>
      </c>
      <c r="AD2898" s="81" t="e">
        <f>IF(X2898=2,HLOOKUP(R2898,データについて!$J$12:$M$18,7,FALSE),"*")</f>
        <v>#N/A</v>
      </c>
    </row>
    <row r="2899" spans="19:30">
      <c r="S2899" s="81" t="e">
        <f>HLOOKUP(L2899,データについて!$J$6:$M$18,13,FALSE)</f>
        <v>#N/A</v>
      </c>
      <c r="T2899" s="81" t="e">
        <f>HLOOKUP(M2899,データについて!$J$7:$M$18,12,FALSE)</f>
        <v>#N/A</v>
      </c>
      <c r="U2899" s="81" t="e">
        <f>HLOOKUP(N2899,データについて!$J$8:$M$18,11,FALSE)</f>
        <v>#N/A</v>
      </c>
      <c r="V2899" s="81" t="e">
        <f>HLOOKUP(O2899,データについて!$J$9:$M$18,10,FALSE)</f>
        <v>#N/A</v>
      </c>
      <c r="W2899" s="81" t="e">
        <f>HLOOKUP(P2899,データについて!$J$10:$M$18,9,FALSE)</f>
        <v>#N/A</v>
      </c>
      <c r="X2899" s="81" t="e">
        <f>HLOOKUP(Q2899,データについて!$J$11:$M$18,8,FALSE)</f>
        <v>#N/A</v>
      </c>
      <c r="Y2899" s="81" t="e">
        <f>HLOOKUP(R2899,データについて!$J$12:$M$18,7,FALSE)</f>
        <v>#N/A</v>
      </c>
      <c r="Z2899" s="81" t="e">
        <f>HLOOKUP(I2899,データについて!$J$3:$M$18,16,FALSE)</f>
        <v>#N/A</v>
      </c>
      <c r="AA2899" s="81" t="str">
        <f>IFERROR(HLOOKUP(J2899,データについて!$J$4:$AH$19,16,FALSE),"")</f>
        <v/>
      </c>
      <c r="AB2899" s="81" t="str">
        <f>IFERROR(HLOOKUP(K2899,データについて!$J$5:$AH$20,14,FALSE),"")</f>
        <v/>
      </c>
      <c r="AC2899" s="81" t="e">
        <f>IF(X2899=1,HLOOKUP(R2899,データについて!$J$12:$M$18,7,FALSE),"*")</f>
        <v>#N/A</v>
      </c>
      <c r="AD2899" s="81" t="e">
        <f>IF(X2899=2,HLOOKUP(R2899,データについて!$J$12:$M$18,7,FALSE),"*")</f>
        <v>#N/A</v>
      </c>
    </row>
    <row r="2900" spans="19:30">
      <c r="S2900" s="81" t="e">
        <f>HLOOKUP(L2900,データについて!$J$6:$M$18,13,FALSE)</f>
        <v>#N/A</v>
      </c>
      <c r="T2900" s="81" t="e">
        <f>HLOOKUP(M2900,データについて!$J$7:$M$18,12,FALSE)</f>
        <v>#N/A</v>
      </c>
      <c r="U2900" s="81" t="e">
        <f>HLOOKUP(N2900,データについて!$J$8:$M$18,11,FALSE)</f>
        <v>#N/A</v>
      </c>
      <c r="V2900" s="81" t="e">
        <f>HLOOKUP(O2900,データについて!$J$9:$M$18,10,FALSE)</f>
        <v>#N/A</v>
      </c>
      <c r="W2900" s="81" t="e">
        <f>HLOOKUP(P2900,データについて!$J$10:$M$18,9,FALSE)</f>
        <v>#N/A</v>
      </c>
      <c r="X2900" s="81" t="e">
        <f>HLOOKUP(Q2900,データについて!$J$11:$M$18,8,FALSE)</f>
        <v>#N/A</v>
      </c>
      <c r="Y2900" s="81" t="e">
        <f>HLOOKUP(R2900,データについて!$J$12:$M$18,7,FALSE)</f>
        <v>#N/A</v>
      </c>
      <c r="Z2900" s="81" t="e">
        <f>HLOOKUP(I2900,データについて!$J$3:$M$18,16,FALSE)</f>
        <v>#N/A</v>
      </c>
      <c r="AA2900" s="81" t="str">
        <f>IFERROR(HLOOKUP(J2900,データについて!$J$4:$AH$19,16,FALSE),"")</f>
        <v/>
      </c>
      <c r="AB2900" s="81" t="str">
        <f>IFERROR(HLOOKUP(K2900,データについて!$J$5:$AH$20,14,FALSE),"")</f>
        <v/>
      </c>
      <c r="AC2900" s="81" t="e">
        <f>IF(X2900=1,HLOOKUP(R2900,データについて!$J$12:$M$18,7,FALSE),"*")</f>
        <v>#N/A</v>
      </c>
      <c r="AD2900" s="81" t="e">
        <f>IF(X2900=2,HLOOKUP(R2900,データについて!$J$12:$M$18,7,FALSE),"*")</f>
        <v>#N/A</v>
      </c>
    </row>
    <row r="2901" spans="19:30">
      <c r="S2901" s="81" t="e">
        <f>HLOOKUP(L2901,データについて!$J$6:$M$18,13,FALSE)</f>
        <v>#N/A</v>
      </c>
      <c r="T2901" s="81" t="e">
        <f>HLOOKUP(M2901,データについて!$J$7:$M$18,12,FALSE)</f>
        <v>#N/A</v>
      </c>
      <c r="U2901" s="81" t="e">
        <f>HLOOKUP(N2901,データについて!$J$8:$M$18,11,FALSE)</f>
        <v>#N/A</v>
      </c>
      <c r="V2901" s="81" t="e">
        <f>HLOOKUP(O2901,データについて!$J$9:$M$18,10,FALSE)</f>
        <v>#N/A</v>
      </c>
      <c r="W2901" s="81" t="e">
        <f>HLOOKUP(P2901,データについて!$J$10:$M$18,9,FALSE)</f>
        <v>#N/A</v>
      </c>
      <c r="X2901" s="81" t="e">
        <f>HLOOKUP(Q2901,データについて!$J$11:$M$18,8,FALSE)</f>
        <v>#N/A</v>
      </c>
      <c r="Y2901" s="81" t="e">
        <f>HLOOKUP(R2901,データについて!$J$12:$M$18,7,FALSE)</f>
        <v>#N/A</v>
      </c>
      <c r="Z2901" s="81" t="e">
        <f>HLOOKUP(I2901,データについて!$J$3:$M$18,16,FALSE)</f>
        <v>#N/A</v>
      </c>
      <c r="AA2901" s="81" t="str">
        <f>IFERROR(HLOOKUP(J2901,データについて!$J$4:$AH$19,16,FALSE),"")</f>
        <v/>
      </c>
      <c r="AB2901" s="81" t="str">
        <f>IFERROR(HLOOKUP(K2901,データについて!$J$5:$AH$20,14,FALSE),"")</f>
        <v/>
      </c>
      <c r="AC2901" s="81" t="e">
        <f>IF(X2901=1,HLOOKUP(R2901,データについて!$J$12:$M$18,7,FALSE),"*")</f>
        <v>#N/A</v>
      </c>
      <c r="AD2901" s="81" t="e">
        <f>IF(X2901=2,HLOOKUP(R2901,データについて!$J$12:$M$18,7,FALSE),"*")</f>
        <v>#N/A</v>
      </c>
    </row>
    <row r="2902" spans="19:30">
      <c r="S2902" s="81" t="e">
        <f>HLOOKUP(L2902,データについて!$J$6:$M$18,13,FALSE)</f>
        <v>#N/A</v>
      </c>
      <c r="T2902" s="81" t="e">
        <f>HLOOKUP(M2902,データについて!$J$7:$M$18,12,FALSE)</f>
        <v>#N/A</v>
      </c>
      <c r="U2902" s="81" t="e">
        <f>HLOOKUP(N2902,データについて!$J$8:$M$18,11,FALSE)</f>
        <v>#N/A</v>
      </c>
      <c r="V2902" s="81" t="e">
        <f>HLOOKUP(O2902,データについて!$J$9:$M$18,10,FALSE)</f>
        <v>#N/A</v>
      </c>
      <c r="W2902" s="81" t="e">
        <f>HLOOKUP(P2902,データについて!$J$10:$M$18,9,FALSE)</f>
        <v>#N/A</v>
      </c>
      <c r="X2902" s="81" t="e">
        <f>HLOOKUP(Q2902,データについて!$J$11:$M$18,8,FALSE)</f>
        <v>#N/A</v>
      </c>
      <c r="Y2902" s="81" t="e">
        <f>HLOOKUP(R2902,データについて!$J$12:$M$18,7,FALSE)</f>
        <v>#N/A</v>
      </c>
      <c r="Z2902" s="81" t="e">
        <f>HLOOKUP(I2902,データについて!$J$3:$M$18,16,FALSE)</f>
        <v>#N/A</v>
      </c>
      <c r="AA2902" s="81" t="str">
        <f>IFERROR(HLOOKUP(J2902,データについて!$J$4:$AH$19,16,FALSE),"")</f>
        <v/>
      </c>
      <c r="AB2902" s="81" t="str">
        <f>IFERROR(HLOOKUP(K2902,データについて!$J$5:$AH$20,14,FALSE),"")</f>
        <v/>
      </c>
      <c r="AC2902" s="81" t="e">
        <f>IF(X2902=1,HLOOKUP(R2902,データについて!$J$12:$M$18,7,FALSE),"*")</f>
        <v>#N/A</v>
      </c>
      <c r="AD2902" s="81" t="e">
        <f>IF(X2902=2,HLOOKUP(R2902,データについて!$J$12:$M$18,7,FALSE),"*")</f>
        <v>#N/A</v>
      </c>
    </row>
    <row r="2903" spans="19:30">
      <c r="S2903" s="81" t="e">
        <f>HLOOKUP(L2903,データについて!$J$6:$M$18,13,FALSE)</f>
        <v>#N/A</v>
      </c>
      <c r="T2903" s="81" t="e">
        <f>HLOOKUP(M2903,データについて!$J$7:$M$18,12,FALSE)</f>
        <v>#N/A</v>
      </c>
      <c r="U2903" s="81" t="e">
        <f>HLOOKUP(N2903,データについて!$J$8:$M$18,11,FALSE)</f>
        <v>#N/A</v>
      </c>
      <c r="V2903" s="81" t="e">
        <f>HLOOKUP(O2903,データについて!$J$9:$M$18,10,FALSE)</f>
        <v>#N/A</v>
      </c>
      <c r="W2903" s="81" t="e">
        <f>HLOOKUP(P2903,データについて!$J$10:$M$18,9,FALSE)</f>
        <v>#N/A</v>
      </c>
      <c r="X2903" s="81" t="e">
        <f>HLOOKUP(Q2903,データについて!$J$11:$M$18,8,FALSE)</f>
        <v>#N/A</v>
      </c>
      <c r="Y2903" s="81" t="e">
        <f>HLOOKUP(R2903,データについて!$J$12:$M$18,7,FALSE)</f>
        <v>#N/A</v>
      </c>
      <c r="Z2903" s="81" t="e">
        <f>HLOOKUP(I2903,データについて!$J$3:$M$18,16,FALSE)</f>
        <v>#N/A</v>
      </c>
      <c r="AA2903" s="81" t="str">
        <f>IFERROR(HLOOKUP(J2903,データについて!$J$4:$AH$19,16,FALSE),"")</f>
        <v/>
      </c>
      <c r="AB2903" s="81" t="str">
        <f>IFERROR(HLOOKUP(K2903,データについて!$J$5:$AH$20,14,FALSE),"")</f>
        <v/>
      </c>
      <c r="AC2903" s="81" t="e">
        <f>IF(X2903=1,HLOOKUP(R2903,データについて!$J$12:$M$18,7,FALSE),"*")</f>
        <v>#N/A</v>
      </c>
      <c r="AD2903" s="81" t="e">
        <f>IF(X2903=2,HLOOKUP(R2903,データについて!$J$12:$M$18,7,FALSE),"*")</f>
        <v>#N/A</v>
      </c>
    </row>
    <row r="2904" spans="19:30">
      <c r="S2904" s="81" t="e">
        <f>HLOOKUP(L2904,データについて!$J$6:$M$18,13,FALSE)</f>
        <v>#N/A</v>
      </c>
      <c r="T2904" s="81" t="e">
        <f>HLOOKUP(M2904,データについて!$J$7:$M$18,12,FALSE)</f>
        <v>#N/A</v>
      </c>
      <c r="U2904" s="81" t="e">
        <f>HLOOKUP(N2904,データについて!$J$8:$M$18,11,FALSE)</f>
        <v>#N/A</v>
      </c>
      <c r="V2904" s="81" t="e">
        <f>HLOOKUP(O2904,データについて!$J$9:$M$18,10,FALSE)</f>
        <v>#N/A</v>
      </c>
      <c r="W2904" s="81" t="e">
        <f>HLOOKUP(P2904,データについて!$J$10:$M$18,9,FALSE)</f>
        <v>#N/A</v>
      </c>
      <c r="X2904" s="81" t="e">
        <f>HLOOKUP(Q2904,データについて!$J$11:$M$18,8,FALSE)</f>
        <v>#N/A</v>
      </c>
      <c r="Y2904" s="81" t="e">
        <f>HLOOKUP(R2904,データについて!$J$12:$M$18,7,FALSE)</f>
        <v>#N/A</v>
      </c>
      <c r="Z2904" s="81" t="e">
        <f>HLOOKUP(I2904,データについて!$J$3:$M$18,16,FALSE)</f>
        <v>#N/A</v>
      </c>
      <c r="AA2904" s="81" t="str">
        <f>IFERROR(HLOOKUP(J2904,データについて!$J$4:$AH$19,16,FALSE),"")</f>
        <v/>
      </c>
      <c r="AB2904" s="81" t="str">
        <f>IFERROR(HLOOKUP(K2904,データについて!$J$5:$AH$20,14,FALSE),"")</f>
        <v/>
      </c>
      <c r="AC2904" s="81" t="e">
        <f>IF(X2904=1,HLOOKUP(R2904,データについて!$J$12:$M$18,7,FALSE),"*")</f>
        <v>#N/A</v>
      </c>
      <c r="AD2904" s="81" t="e">
        <f>IF(X2904=2,HLOOKUP(R2904,データについて!$J$12:$M$18,7,FALSE),"*")</f>
        <v>#N/A</v>
      </c>
    </row>
    <row r="2905" spans="19:30">
      <c r="S2905" s="81" t="e">
        <f>HLOOKUP(L2905,データについて!$J$6:$M$18,13,FALSE)</f>
        <v>#N/A</v>
      </c>
      <c r="T2905" s="81" t="e">
        <f>HLOOKUP(M2905,データについて!$J$7:$M$18,12,FALSE)</f>
        <v>#N/A</v>
      </c>
      <c r="U2905" s="81" t="e">
        <f>HLOOKUP(N2905,データについて!$J$8:$M$18,11,FALSE)</f>
        <v>#N/A</v>
      </c>
      <c r="V2905" s="81" t="e">
        <f>HLOOKUP(O2905,データについて!$J$9:$M$18,10,FALSE)</f>
        <v>#N/A</v>
      </c>
      <c r="W2905" s="81" t="e">
        <f>HLOOKUP(P2905,データについて!$J$10:$M$18,9,FALSE)</f>
        <v>#N/A</v>
      </c>
      <c r="X2905" s="81" t="e">
        <f>HLOOKUP(Q2905,データについて!$J$11:$M$18,8,FALSE)</f>
        <v>#N/A</v>
      </c>
      <c r="Y2905" s="81" t="e">
        <f>HLOOKUP(R2905,データについて!$J$12:$M$18,7,FALSE)</f>
        <v>#N/A</v>
      </c>
      <c r="Z2905" s="81" t="e">
        <f>HLOOKUP(I2905,データについて!$J$3:$M$18,16,FALSE)</f>
        <v>#N/A</v>
      </c>
      <c r="AA2905" s="81" t="str">
        <f>IFERROR(HLOOKUP(J2905,データについて!$J$4:$AH$19,16,FALSE),"")</f>
        <v/>
      </c>
      <c r="AB2905" s="81" t="str">
        <f>IFERROR(HLOOKUP(K2905,データについて!$J$5:$AH$20,14,FALSE),"")</f>
        <v/>
      </c>
      <c r="AC2905" s="81" t="e">
        <f>IF(X2905=1,HLOOKUP(R2905,データについて!$J$12:$M$18,7,FALSE),"*")</f>
        <v>#N/A</v>
      </c>
      <c r="AD2905" s="81" t="e">
        <f>IF(X2905=2,HLOOKUP(R2905,データについて!$J$12:$M$18,7,FALSE),"*")</f>
        <v>#N/A</v>
      </c>
    </row>
    <row r="2906" spans="19:30">
      <c r="S2906" s="81" t="e">
        <f>HLOOKUP(L2906,データについて!$J$6:$M$18,13,FALSE)</f>
        <v>#N/A</v>
      </c>
      <c r="T2906" s="81" t="e">
        <f>HLOOKUP(M2906,データについて!$J$7:$M$18,12,FALSE)</f>
        <v>#N/A</v>
      </c>
      <c r="U2906" s="81" t="e">
        <f>HLOOKUP(N2906,データについて!$J$8:$M$18,11,FALSE)</f>
        <v>#N/A</v>
      </c>
      <c r="V2906" s="81" t="e">
        <f>HLOOKUP(O2906,データについて!$J$9:$M$18,10,FALSE)</f>
        <v>#N/A</v>
      </c>
      <c r="W2906" s="81" t="e">
        <f>HLOOKUP(P2906,データについて!$J$10:$M$18,9,FALSE)</f>
        <v>#N/A</v>
      </c>
      <c r="X2906" s="81" t="e">
        <f>HLOOKUP(Q2906,データについて!$J$11:$M$18,8,FALSE)</f>
        <v>#N/A</v>
      </c>
      <c r="Y2906" s="81" t="e">
        <f>HLOOKUP(R2906,データについて!$J$12:$M$18,7,FALSE)</f>
        <v>#N/A</v>
      </c>
      <c r="Z2906" s="81" t="e">
        <f>HLOOKUP(I2906,データについて!$J$3:$M$18,16,FALSE)</f>
        <v>#N/A</v>
      </c>
      <c r="AA2906" s="81" t="str">
        <f>IFERROR(HLOOKUP(J2906,データについて!$J$4:$AH$19,16,FALSE),"")</f>
        <v/>
      </c>
      <c r="AB2906" s="81" t="str">
        <f>IFERROR(HLOOKUP(K2906,データについて!$J$5:$AH$20,14,FALSE),"")</f>
        <v/>
      </c>
      <c r="AC2906" s="81" t="e">
        <f>IF(X2906=1,HLOOKUP(R2906,データについて!$J$12:$M$18,7,FALSE),"*")</f>
        <v>#N/A</v>
      </c>
      <c r="AD2906" s="81" t="e">
        <f>IF(X2906=2,HLOOKUP(R2906,データについて!$J$12:$M$18,7,FALSE),"*")</f>
        <v>#N/A</v>
      </c>
    </row>
    <row r="2907" spans="19:30">
      <c r="S2907" s="81" t="e">
        <f>HLOOKUP(L2907,データについて!$J$6:$M$18,13,FALSE)</f>
        <v>#N/A</v>
      </c>
      <c r="T2907" s="81" t="e">
        <f>HLOOKUP(M2907,データについて!$J$7:$M$18,12,FALSE)</f>
        <v>#N/A</v>
      </c>
      <c r="U2907" s="81" t="e">
        <f>HLOOKUP(N2907,データについて!$J$8:$M$18,11,FALSE)</f>
        <v>#N/A</v>
      </c>
      <c r="V2907" s="81" t="e">
        <f>HLOOKUP(O2907,データについて!$J$9:$M$18,10,FALSE)</f>
        <v>#N/A</v>
      </c>
      <c r="W2907" s="81" t="e">
        <f>HLOOKUP(P2907,データについて!$J$10:$M$18,9,FALSE)</f>
        <v>#N/A</v>
      </c>
      <c r="X2907" s="81" t="e">
        <f>HLOOKUP(Q2907,データについて!$J$11:$M$18,8,FALSE)</f>
        <v>#N/A</v>
      </c>
      <c r="Y2907" s="81" t="e">
        <f>HLOOKUP(R2907,データについて!$J$12:$M$18,7,FALSE)</f>
        <v>#N/A</v>
      </c>
      <c r="Z2907" s="81" t="e">
        <f>HLOOKUP(I2907,データについて!$J$3:$M$18,16,FALSE)</f>
        <v>#N/A</v>
      </c>
      <c r="AA2907" s="81" t="str">
        <f>IFERROR(HLOOKUP(J2907,データについて!$J$4:$AH$19,16,FALSE),"")</f>
        <v/>
      </c>
      <c r="AB2907" s="81" t="str">
        <f>IFERROR(HLOOKUP(K2907,データについて!$J$5:$AH$20,14,FALSE),"")</f>
        <v/>
      </c>
      <c r="AC2907" s="81" t="e">
        <f>IF(X2907=1,HLOOKUP(R2907,データについて!$J$12:$M$18,7,FALSE),"*")</f>
        <v>#N/A</v>
      </c>
      <c r="AD2907" s="81" t="e">
        <f>IF(X2907=2,HLOOKUP(R2907,データについて!$J$12:$M$18,7,FALSE),"*")</f>
        <v>#N/A</v>
      </c>
    </row>
    <row r="2908" spans="19:30">
      <c r="S2908" s="81" t="e">
        <f>HLOOKUP(L2908,データについて!$J$6:$M$18,13,FALSE)</f>
        <v>#N/A</v>
      </c>
      <c r="T2908" s="81" t="e">
        <f>HLOOKUP(M2908,データについて!$J$7:$M$18,12,FALSE)</f>
        <v>#N/A</v>
      </c>
      <c r="U2908" s="81" t="e">
        <f>HLOOKUP(N2908,データについて!$J$8:$M$18,11,FALSE)</f>
        <v>#N/A</v>
      </c>
      <c r="V2908" s="81" t="e">
        <f>HLOOKUP(O2908,データについて!$J$9:$M$18,10,FALSE)</f>
        <v>#N/A</v>
      </c>
      <c r="W2908" s="81" t="e">
        <f>HLOOKUP(P2908,データについて!$J$10:$M$18,9,FALSE)</f>
        <v>#N/A</v>
      </c>
      <c r="X2908" s="81" t="e">
        <f>HLOOKUP(Q2908,データについて!$J$11:$M$18,8,FALSE)</f>
        <v>#N/A</v>
      </c>
      <c r="Y2908" s="81" t="e">
        <f>HLOOKUP(R2908,データについて!$J$12:$M$18,7,FALSE)</f>
        <v>#N/A</v>
      </c>
      <c r="Z2908" s="81" t="e">
        <f>HLOOKUP(I2908,データについて!$J$3:$M$18,16,FALSE)</f>
        <v>#N/A</v>
      </c>
      <c r="AA2908" s="81" t="str">
        <f>IFERROR(HLOOKUP(J2908,データについて!$J$4:$AH$19,16,FALSE),"")</f>
        <v/>
      </c>
      <c r="AB2908" s="81" t="str">
        <f>IFERROR(HLOOKUP(K2908,データについて!$J$5:$AH$20,14,FALSE),"")</f>
        <v/>
      </c>
      <c r="AC2908" s="81" t="e">
        <f>IF(X2908=1,HLOOKUP(R2908,データについて!$J$12:$M$18,7,FALSE),"*")</f>
        <v>#N/A</v>
      </c>
      <c r="AD2908" s="81" t="e">
        <f>IF(X2908=2,HLOOKUP(R2908,データについて!$J$12:$M$18,7,FALSE),"*")</f>
        <v>#N/A</v>
      </c>
    </row>
    <row r="2909" spans="19:30">
      <c r="S2909" s="81" t="e">
        <f>HLOOKUP(L2909,データについて!$J$6:$M$18,13,FALSE)</f>
        <v>#N/A</v>
      </c>
      <c r="T2909" s="81" t="e">
        <f>HLOOKUP(M2909,データについて!$J$7:$M$18,12,FALSE)</f>
        <v>#N/A</v>
      </c>
      <c r="U2909" s="81" t="e">
        <f>HLOOKUP(N2909,データについて!$J$8:$M$18,11,FALSE)</f>
        <v>#N/A</v>
      </c>
      <c r="V2909" s="81" t="e">
        <f>HLOOKUP(O2909,データについて!$J$9:$M$18,10,FALSE)</f>
        <v>#N/A</v>
      </c>
      <c r="W2909" s="81" t="e">
        <f>HLOOKUP(P2909,データについて!$J$10:$M$18,9,FALSE)</f>
        <v>#N/A</v>
      </c>
      <c r="X2909" s="81" t="e">
        <f>HLOOKUP(Q2909,データについて!$J$11:$M$18,8,FALSE)</f>
        <v>#N/A</v>
      </c>
      <c r="Y2909" s="81" t="e">
        <f>HLOOKUP(R2909,データについて!$J$12:$M$18,7,FALSE)</f>
        <v>#N/A</v>
      </c>
      <c r="Z2909" s="81" t="e">
        <f>HLOOKUP(I2909,データについて!$J$3:$M$18,16,FALSE)</f>
        <v>#N/A</v>
      </c>
      <c r="AA2909" s="81" t="str">
        <f>IFERROR(HLOOKUP(J2909,データについて!$J$4:$AH$19,16,FALSE),"")</f>
        <v/>
      </c>
      <c r="AB2909" s="81" t="str">
        <f>IFERROR(HLOOKUP(K2909,データについて!$J$5:$AH$20,14,FALSE),"")</f>
        <v/>
      </c>
      <c r="AC2909" s="81" t="e">
        <f>IF(X2909=1,HLOOKUP(R2909,データについて!$J$12:$M$18,7,FALSE),"*")</f>
        <v>#N/A</v>
      </c>
      <c r="AD2909" s="81" t="e">
        <f>IF(X2909=2,HLOOKUP(R2909,データについて!$J$12:$M$18,7,FALSE),"*")</f>
        <v>#N/A</v>
      </c>
    </row>
    <row r="2910" spans="19:30">
      <c r="S2910" s="81" t="e">
        <f>HLOOKUP(L2910,データについて!$J$6:$M$18,13,FALSE)</f>
        <v>#N/A</v>
      </c>
      <c r="T2910" s="81" t="e">
        <f>HLOOKUP(M2910,データについて!$J$7:$M$18,12,FALSE)</f>
        <v>#N/A</v>
      </c>
      <c r="U2910" s="81" t="e">
        <f>HLOOKUP(N2910,データについて!$J$8:$M$18,11,FALSE)</f>
        <v>#N/A</v>
      </c>
      <c r="V2910" s="81" t="e">
        <f>HLOOKUP(O2910,データについて!$J$9:$M$18,10,FALSE)</f>
        <v>#N/A</v>
      </c>
      <c r="W2910" s="81" t="e">
        <f>HLOOKUP(P2910,データについて!$J$10:$M$18,9,FALSE)</f>
        <v>#N/A</v>
      </c>
      <c r="X2910" s="81" t="e">
        <f>HLOOKUP(Q2910,データについて!$J$11:$M$18,8,FALSE)</f>
        <v>#N/A</v>
      </c>
      <c r="Y2910" s="81" t="e">
        <f>HLOOKUP(R2910,データについて!$J$12:$M$18,7,FALSE)</f>
        <v>#N/A</v>
      </c>
      <c r="Z2910" s="81" t="e">
        <f>HLOOKUP(I2910,データについて!$J$3:$M$18,16,FALSE)</f>
        <v>#N/A</v>
      </c>
      <c r="AA2910" s="81" t="str">
        <f>IFERROR(HLOOKUP(J2910,データについて!$J$4:$AH$19,16,FALSE),"")</f>
        <v/>
      </c>
      <c r="AB2910" s="81" t="str">
        <f>IFERROR(HLOOKUP(K2910,データについて!$J$5:$AH$20,14,FALSE),"")</f>
        <v/>
      </c>
      <c r="AC2910" s="81" t="e">
        <f>IF(X2910=1,HLOOKUP(R2910,データについて!$J$12:$M$18,7,FALSE),"*")</f>
        <v>#N/A</v>
      </c>
      <c r="AD2910" s="81" t="e">
        <f>IF(X2910=2,HLOOKUP(R2910,データについて!$J$12:$M$18,7,FALSE),"*")</f>
        <v>#N/A</v>
      </c>
    </row>
    <row r="2911" spans="19:30">
      <c r="S2911" s="81" t="e">
        <f>HLOOKUP(L2911,データについて!$J$6:$M$18,13,FALSE)</f>
        <v>#N/A</v>
      </c>
      <c r="T2911" s="81" t="e">
        <f>HLOOKUP(M2911,データについて!$J$7:$M$18,12,FALSE)</f>
        <v>#N/A</v>
      </c>
      <c r="U2911" s="81" t="e">
        <f>HLOOKUP(N2911,データについて!$J$8:$M$18,11,FALSE)</f>
        <v>#N/A</v>
      </c>
      <c r="V2911" s="81" t="e">
        <f>HLOOKUP(O2911,データについて!$J$9:$M$18,10,FALSE)</f>
        <v>#N/A</v>
      </c>
      <c r="W2911" s="81" t="e">
        <f>HLOOKUP(P2911,データについて!$J$10:$M$18,9,FALSE)</f>
        <v>#N/A</v>
      </c>
      <c r="X2911" s="81" t="e">
        <f>HLOOKUP(Q2911,データについて!$J$11:$M$18,8,FALSE)</f>
        <v>#N/A</v>
      </c>
      <c r="Y2911" s="81" t="e">
        <f>HLOOKUP(R2911,データについて!$J$12:$M$18,7,FALSE)</f>
        <v>#N/A</v>
      </c>
      <c r="Z2911" s="81" t="e">
        <f>HLOOKUP(I2911,データについて!$J$3:$M$18,16,FALSE)</f>
        <v>#N/A</v>
      </c>
      <c r="AA2911" s="81" t="str">
        <f>IFERROR(HLOOKUP(J2911,データについて!$J$4:$AH$19,16,FALSE),"")</f>
        <v/>
      </c>
      <c r="AB2911" s="81" t="str">
        <f>IFERROR(HLOOKUP(K2911,データについて!$J$5:$AH$20,14,FALSE),"")</f>
        <v/>
      </c>
      <c r="AC2911" s="81" t="e">
        <f>IF(X2911=1,HLOOKUP(R2911,データについて!$J$12:$M$18,7,FALSE),"*")</f>
        <v>#N/A</v>
      </c>
      <c r="AD2911" s="81" t="e">
        <f>IF(X2911=2,HLOOKUP(R2911,データについて!$J$12:$M$18,7,FALSE),"*")</f>
        <v>#N/A</v>
      </c>
    </row>
    <row r="2912" spans="19:30">
      <c r="S2912" s="81" t="e">
        <f>HLOOKUP(L2912,データについて!$J$6:$M$18,13,FALSE)</f>
        <v>#N/A</v>
      </c>
      <c r="T2912" s="81" t="e">
        <f>HLOOKUP(M2912,データについて!$J$7:$M$18,12,FALSE)</f>
        <v>#N/A</v>
      </c>
      <c r="U2912" s="81" t="e">
        <f>HLOOKUP(N2912,データについて!$J$8:$M$18,11,FALSE)</f>
        <v>#N/A</v>
      </c>
      <c r="V2912" s="81" t="e">
        <f>HLOOKUP(O2912,データについて!$J$9:$M$18,10,FALSE)</f>
        <v>#N/A</v>
      </c>
      <c r="W2912" s="81" t="e">
        <f>HLOOKUP(P2912,データについて!$J$10:$M$18,9,FALSE)</f>
        <v>#N/A</v>
      </c>
      <c r="X2912" s="81" t="e">
        <f>HLOOKUP(Q2912,データについて!$J$11:$M$18,8,FALSE)</f>
        <v>#N/A</v>
      </c>
      <c r="Y2912" s="81" t="e">
        <f>HLOOKUP(R2912,データについて!$J$12:$M$18,7,FALSE)</f>
        <v>#N/A</v>
      </c>
      <c r="Z2912" s="81" t="e">
        <f>HLOOKUP(I2912,データについて!$J$3:$M$18,16,FALSE)</f>
        <v>#N/A</v>
      </c>
      <c r="AA2912" s="81" t="str">
        <f>IFERROR(HLOOKUP(J2912,データについて!$J$4:$AH$19,16,FALSE),"")</f>
        <v/>
      </c>
      <c r="AB2912" s="81" t="str">
        <f>IFERROR(HLOOKUP(K2912,データについて!$J$5:$AH$20,14,FALSE),"")</f>
        <v/>
      </c>
      <c r="AC2912" s="81" t="e">
        <f>IF(X2912=1,HLOOKUP(R2912,データについて!$J$12:$M$18,7,FALSE),"*")</f>
        <v>#N/A</v>
      </c>
      <c r="AD2912" s="81" t="e">
        <f>IF(X2912=2,HLOOKUP(R2912,データについて!$J$12:$M$18,7,FALSE),"*")</f>
        <v>#N/A</v>
      </c>
    </row>
    <row r="2913" spans="19:30">
      <c r="S2913" s="81" t="e">
        <f>HLOOKUP(L2913,データについて!$J$6:$M$18,13,FALSE)</f>
        <v>#N/A</v>
      </c>
      <c r="T2913" s="81" t="e">
        <f>HLOOKUP(M2913,データについて!$J$7:$M$18,12,FALSE)</f>
        <v>#N/A</v>
      </c>
      <c r="U2913" s="81" t="e">
        <f>HLOOKUP(N2913,データについて!$J$8:$M$18,11,FALSE)</f>
        <v>#N/A</v>
      </c>
      <c r="V2913" s="81" t="e">
        <f>HLOOKUP(O2913,データについて!$J$9:$M$18,10,FALSE)</f>
        <v>#N/A</v>
      </c>
      <c r="W2913" s="81" t="e">
        <f>HLOOKUP(P2913,データについて!$J$10:$M$18,9,FALSE)</f>
        <v>#N/A</v>
      </c>
      <c r="X2913" s="81" t="e">
        <f>HLOOKUP(Q2913,データについて!$J$11:$M$18,8,FALSE)</f>
        <v>#N/A</v>
      </c>
      <c r="Y2913" s="81" t="e">
        <f>HLOOKUP(R2913,データについて!$J$12:$M$18,7,FALSE)</f>
        <v>#N/A</v>
      </c>
      <c r="Z2913" s="81" t="e">
        <f>HLOOKUP(I2913,データについて!$J$3:$M$18,16,FALSE)</f>
        <v>#N/A</v>
      </c>
      <c r="AA2913" s="81" t="str">
        <f>IFERROR(HLOOKUP(J2913,データについて!$J$4:$AH$19,16,FALSE),"")</f>
        <v/>
      </c>
      <c r="AB2913" s="81" t="str">
        <f>IFERROR(HLOOKUP(K2913,データについて!$J$5:$AH$20,14,FALSE),"")</f>
        <v/>
      </c>
      <c r="AC2913" s="81" t="e">
        <f>IF(X2913=1,HLOOKUP(R2913,データについて!$J$12:$M$18,7,FALSE),"*")</f>
        <v>#N/A</v>
      </c>
      <c r="AD2913" s="81" t="e">
        <f>IF(X2913=2,HLOOKUP(R2913,データについて!$J$12:$M$18,7,FALSE),"*")</f>
        <v>#N/A</v>
      </c>
    </row>
    <row r="2914" spans="19:30">
      <c r="S2914" s="81" t="e">
        <f>HLOOKUP(L2914,データについて!$J$6:$M$18,13,FALSE)</f>
        <v>#N/A</v>
      </c>
      <c r="T2914" s="81" t="e">
        <f>HLOOKUP(M2914,データについて!$J$7:$M$18,12,FALSE)</f>
        <v>#N/A</v>
      </c>
      <c r="U2914" s="81" t="e">
        <f>HLOOKUP(N2914,データについて!$J$8:$M$18,11,FALSE)</f>
        <v>#N/A</v>
      </c>
      <c r="V2914" s="81" t="e">
        <f>HLOOKUP(O2914,データについて!$J$9:$M$18,10,FALSE)</f>
        <v>#N/A</v>
      </c>
      <c r="W2914" s="81" t="e">
        <f>HLOOKUP(P2914,データについて!$J$10:$M$18,9,FALSE)</f>
        <v>#N/A</v>
      </c>
      <c r="X2914" s="81" t="e">
        <f>HLOOKUP(Q2914,データについて!$J$11:$M$18,8,FALSE)</f>
        <v>#N/A</v>
      </c>
      <c r="Y2914" s="81" t="e">
        <f>HLOOKUP(R2914,データについて!$J$12:$M$18,7,FALSE)</f>
        <v>#N/A</v>
      </c>
      <c r="Z2914" s="81" t="e">
        <f>HLOOKUP(I2914,データについて!$J$3:$M$18,16,FALSE)</f>
        <v>#N/A</v>
      </c>
      <c r="AA2914" s="81" t="str">
        <f>IFERROR(HLOOKUP(J2914,データについて!$J$4:$AH$19,16,FALSE),"")</f>
        <v/>
      </c>
      <c r="AB2914" s="81" t="str">
        <f>IFERROR(HLOOKUP(K2914,データについて!$J$5:$AH$20,14,FALSE),"")</f>
        <v/>
      </c>
      <c r="AC2914" s="81" t="e">
        <f>IF(X2914=1,HLOOKUP(R2914,データについて!$J$12:$M$18,7,FALSE),"*")</f>
        <v>#N/A</v>
      </c>
      <c r="AD2914" s="81" t="e">
        <f>IF(X2914=2,HLOOKUP(R2914,データについて!$J$12:$M$18,7,FALSE),"*")</f>
        <v>#N/A</v>
      </c>
    </row>
    <row r="2915" spans="19:30">
      <c r="S2915" s="81" t="e">
        <f>HLOOKUP(L2915,データについて!$J$6:$M$18,13,FALSE)</f>
        <v>#N/A</v>
      </c>
      <c r="T2915" s="81" t="e">
        <f>HLOOKUP(M2915,データについて!$J$7:$M$18,12,FALSE)</f>
        <v>#N/A</v>
      </c>
      <c r="U2915" s="81" t="e">
        <f>HLOOKUP(N2915,データについて!$J$8:$M$18,11,FALSE)</f>
        <v>#N/A</v>
      </c>
      <c r="V2915" s="81" t="e">
        <f>HLOOKUP(O2915,データについて!$J$9:$M$18,10,FALSE)</f>
        <v>#N/A</v>
      </c>
      <c r="W2915" s="81" t="e">
        <f>HLOOKUP(P2915,データについて!$J$10:$M$18,9,FALSE)</f>
        <v>#N/A</v>
      </c>
      <c r="X2915" s="81" t="e">
        <f>HLOOKUP(Q2915,データについて!$J$11:$M$18,8,FALSE)</f>
        <v>#N/A</v>
      </c>
      <c r="Y2915" s="81" t="e">
        <f>HLOOKUP(R2915,データについて!$J$12:$M$18,7,FALSE)</f>
        <v>#N/A</v>
      </c>
      <c r="Z2915" s="81" t="e">
        <f>HLOOKUP(I2915,データについて!$J$3:$M$18,16,FALSE)</f>
        <v>#N/A</v>
      </c>
      <c r="AA2915" s="81" t="str">
        <f>IFERROR(HLOOKUP(J2915,データについて!$J$4:$AH$19,16,FALSE),"")</f>
        <v/>
      </c>
      <c r="AB2915" s="81" t="str">
        <f>IFERROR(HLOOKUP(K2915,データについて!$J$5:$AH$20,14,FALSE),"")</f>
        <v/>
      </c>
      <c r="AC2915" s="81" t="e">
        <f>IF(X2915=1,HLOOKUP(R2915,データについて!$J$12:$M$18,7,FALSE),"*")</f>
        <v>#N/A</v>
      </c>
      <c r="AD2915" s="81" t="e">
        <f>IF(X2915=2,HLOOKUP(R2915,データについて!$J$12:$M$18,7,FALSE),"*")</f>
        <v>#N/A</v>
      </c>
    </row>
    <row r="2916" spans="19:30">
      <c r="S2916" s="81" t="e">
        <f>HLOOKUP(L2916,データについて!$J$6:$M$18,13,FALSE)</f>
        <v>#N/A</v>
      </c>
      <c r="T2916" s="81" t="e">
        <f>HLOOKUP(M2916,データについて!$J$7:$M$18,12,FALSE)</f>
        <v>#N/A</v>
      </c>
      <c r="U2916" s="81" t="e">
        <f>HLOOKUP(N2916,データについて!$J$8:$M$18,11,FALSE)</f>
        <v>#N/A</v>
      </c>
      <c r="V2916" s="81" t="e">
        <f>HLOOKUP(O2916,データについて!$J$9:$M$18,10,FALSE)</f>
        <v>#N/A</v>
      </c>
      <c r="W2916" s="81" t="e">
        <f>HLOOKUP(P2916,データについて!$J$10:$M$18,9,FALSE)</f>
        <v>#N/A</v>
      </c>
      <c r="X2916" s="81" t="e">
        <f>HLOOKUP(Q2916,データについて!$J$11:$M$18,8,FALSE)</f>
        <v>#N/A</v>
      </c>
      <c r="Y2916" s="81" t="e">
        <f>HLOOKUP(R2916,データについて!$J$12:$M$18,7,FALSE)</f>
        <v>#N/A</v>
      </c>
      <c r="Z2916" s="81" t="e">
        <f>HLOOKUP(I2916,データについて!$J$3:$M$18,16,FALSE)</f>
        <v>#N/A</v>
      </c>
      <c r="AA2916" s="81" t="str">
        <f>IFERROR(HLOOKUP(J2916,データについて!$J$4:$AH$19,16,FALSE),"")</f>
        <v/>
      </c>
      <c r="AB2916" s="81" t="str">
        <f>IFERROR(HLOOKUP(K2916,データについて!$J$5:$AH$20,14,FALSE),"")</f>
        <v/>
      </c>
      <c r="AC2916" s="81" t="e">
        <f>IF(X2916=1,HLOOKUP(R2916,データについて!$J$12:$M$18,7,FALSE),"*")</f>
        <v>#N/A</v>
      </c>
      <c r="AD2916" s="81" t="e">
        <f>IF(X2916=2,HLOOKUP(R2916,データについて!$J$12:$M$18,7,FALSE),"*")</f>
        <v>#N/A</v>
      </c>
    </row>
    <row r="2917" spans="19:30">
      <c r="S2917" s="81" t="e">
        <f>HLOOKUP(L2917,データについて!$J$6:$M$18,13,FALSE)</f>
        <v>#N/A</v>
      </c>
      <c r="T2917" s="81" t="e">
        <f>HLOOKUP(M2917,データについて!$J$7:$M$18,12,FALSE)</f>
        <v>#N/A</v>
      </c>
      <c r="U2917" s="81" t="e">
        <f>HLOOKUP(N2917,データについて!$J$8:$M$18,11,FALSE)</f>
        <v>#N/A</v>
      </c>
      <c r="V2917" s="81" t="e">
        <f>HLOOKUP(O2917,データについて!$J$9:$M$18,10,FALSE)</f>
        <v>#N/A</v>
      </c>
      <c r="W2917" s="81" t="e">
        <f>HLOOKUP(P2917,データについて!$J$10:$M$18,9,FALSE)</f>
        <v>#N/A</v>
      </c>
      <c r="X2917" s="81" t="e">
        <f>HLOOKUP(Q2917,データについて!$J$11:$M$18,8,FALSE)</f>
        <v>#N/A</v>
      </c>
      <c r="Y2917" s="81" t="e">
        <f>HLOOKUP(R2917,データについて!$J$12:$M$18,7,FALSE)</f>
        <v>#N/A</v>
      </c>
      <c r="Z2917" s="81" t="e">
        <f>HLOOKUP(I2917,データについて!$J$3:$M$18,16,FALSE)</f>
        <v>#N/A</v>
      </c>
      <c r="AA2917" s="81" t="str">
        <f>IFERROR(HLOOKUP(J2917,データについて!$J$4:$AH$19,16,FALSE),"")</f>
        <v/>
      </c>
      <c r="AB2917" s="81" t="str">
        <f>IFERROR(HLOOKUP(K2917,データについて!$J$5:$AH$20,14,FALSE),"")</f>
        <v/>
      </c>
      <c r="AC2917" s="81" t="e">
        <f>IF(X2917=1,HLOOKUP(R2917,データについて!$J$12:$M$18,7,FALSE),"*")</f>
        <v>#N/A</v>
      </c>
      <c r="AD2917" s="81" t="e">
        <f>IF(X2917=2,HLOOKUP(R2917,データについて!$J$12:$M$18,7,FALSE),"*")</f>
        <v>#N/A</v>
      </c>
    </row>
    <row r="2918" spans="19:30">
      <c r="S2918" s="81" t="e">
        <f>HLOOKUP(L2918,データについて!$J$6:$M$18,13,FALSE)</f>
        <v>#N/A</v>
      </c>
      <c r="T2918" s="81" t="e">
        <f>HLOOKUP(M2918,データについて!$J$7:$M$18,12,FALSE)</f>
        <v>#N/A</v>
      </c>
      <c r="U2918" s="81" t="e">
        <f>HLOOKUP(N2918,データについて!$J$8:$M$18,11,FALSE)</f>
        <v>#N/A</v>
      </c>
      <c r="V2918" s="81" t="e">
        <f>HLOOKUP(O2918,データについて!$J$9:$M$18,10,FALSE)</f>
        <v>#N/A</v>
      </c>
      <c r="W2918" s="81" t="e">
        <f>HLOOKUP(P2918,データについて!$J$10:$M$18,9,FALSE)</f>
        <v>#N/A</v>
      </c>
      <c r="X2918" s="81" t="e">
        <f>HLOOKUP(Q2918,データについて!$J$11:$M$18,8,FALSE)</f>
        <v>#N/A</v>
      </c>
      <c r="Y2918" s="81" t="e">
        <f>HLOOKUP(R2918,データについて!$J$12:$M$18,7,FALSE)</f>
        <v>#N/A</v>
      </c>
      <c r="Z2918" s="81" t="e">
        <f>HLOOKUP(I2918,データについて!$J$3:$M$18,16,FALSE)</f>
        <v>#N/A</v>
      </c>
      <c r="AA2918" s="81" t="str">
        <f>IFERROR(HLOOKUP(J2918,データについて!$J$4:$AH$19,16,FALSE),"")</f>
        <v/>
      </c>
      <c r="AB2918" s="81" t="str">
        <f>IFERROR(HLOOKUP(K2918,データについて!$J$5:$AH$20,14,FALSE),"")</f>
        <v/>
      </c>
      <c r="AC2918" s="81" t="e">
        <f>IF(X2918=1,HLOOKUP(R2918,データについて!$J$12:$M$18,7,FALSE),"*")</f>
        <v>#N/A</v>
      </c>
      <c r="AD2918" s="81" t="e">
        <f>IF(X2918=2,HLOOKUP(R2918,データについて!$J$12:$M$18,7,FALSE),"*")</f>
        <v>#N/A</v>
      </c>
    </row>
    <row r="2919" spans="19:30">
      <c r="S2919" s="81" t="e">
        <f>HLOOKUP(L2919,データについて!$J$6:$M$18,13,FALSE)</f>
        <v>#N/A</v>
      </c>
      <c r="T2919" s="81" t="e">
        <f>HLOOKUP(M2919,データについて!$J$7:$M$18,12,FALSE)</f>
        <v>#N/A</v>
      </c>
      <c r="U2919" s="81" t="e">
        <f>HLOOKUP(N2919,データについて!$J$8:$M$18,11,FALSE)</f>
        <v>#N/A</v>
      </c>
      <c r="V2919" s="81" t="e">
        <f>HLOOKUP(O2919,データについて!$J$9:$M$18,10,FALSE)</f>
        <v>#N/A</v>
      </c>
      <c r="W2919" s="81" t="e">
        <f>HLOOKUP(P2919,データについて!$J$10:$M$18,9,FALSE)</f>
        <v>#N/A</v>
      </c>
      <c r="X2919" s="81" t="e">
        <f>HLOOKUP(Q2919,データについて!$J$11:$M$18,8,FALSE)</f>
        <v>#N/A</v>
      </c>
      <c r="Y2919" s="81" t="e">
        <f>HLOOKUP(R2919,データについて!$J$12:$M$18,7,FALSE)</f>
        <v>#N/A</v>
      </c>
      <c r="Z2919" s="81" t="e">
        <f>HLOOKUP(I2919,データについて!$J$3:$M$18,16,FALSE)</f>
        <v>#N/A</v>
      </c>
      <c r="AA2919" s="81" t="str">
        <f>IFERROR(HLOOKUP(J2919,データについて!$J$4:$AH$19,16,FALSE),"")</f>
        <v/>
      </c>
      <c r="AB2919" s="81" t="str">
        <f>IFERROR(HLOOKUP(K2919,データについて!$J$5:$AH$20,14,FALSE),"")</f>
        <v/>
      </c>
      <c r="AC2919" s="81" t="e">
        <f>IF(X2919=1,HLOOKUP(R2919,データについて!$J$12:$M$18,7,FALSE),"*")</f>
        <v>#N/A</v>
      </c>
      <c r="AD2919" s="81" t="e">
        <f>IF(X2919=2,HLOOKUP(R2919,データについて!$J$12:$M$18,7,FALSE),"*")</f>
        <v>#N/A</v>
      </c>
    </row>
    <row r="2920" spans="19:30">
      <c r="S2920" s="81" t="e">
        <f>HLOOKUP(L2920,データについて!$J$6:$M$18,13,FALSE)</f>
        <v>#N/A</v>
      </c>
      <c r="T2920" s="81" t="e">
        <f>HLOOKUP(M2920,データについて!$J$7:$M$18,12,FALSE)</f>
        <v>#N/A</v>
      </c>
      <c r="U2920" s="81" t="e">
        <f>HLOOKUP(N2920,データについて!$J$8:$M$18,11,FALSE)</f>
        <v>#N/A</v>
      </c>
      <c r="V2920" s="81" t="e">
        <f>HLOOKUP(O2920,データについて!$J$9:$M$18,10,FALSE)</f>
        <v>#N/A</v>
      </c>
      <c r="W2920" s="81" t="e">
        <f>HLOOKUP(P2920,データについて!$J$10:$M$18,9,FALSE)</f>
        <v>#N/A</v>
      </c>
      <c r="X2920" s="81" t="e">
        <f>HLOOKUP(Q2920,データについて!$J$11:$M$18,8,FALSE)</f>
        <v>#N/A</v>
      </c>
      <c r="Y2920" s="81" t="e">
        <f>HLOOKUP(R2920,データについて!$J$12:$M$18,7,FALSE)</f>
        <v>#N/A</v>
      </c>
      <c r="Z2920" s="81" t="e">
        <f>HLOOKUP(I2920,データについて!$J$3:$M$18,16,FALSE)</f>
        <v>#N/A</v>
      </c>
      <c r="AA2920" s="81" t="str">
        <f>IFERROR(HLOOKUP(J2920,データについて!$J$4:$AH$19,16,FALSE),"")</f>
        <v/>
      </c>
      <c r="AB2920" s="81" t="str">
        <f>IFERROR(HLOOKUP(K2920,データについて!$J$5:$AH$20,14,FALSE),"")</f>
        <v/>
      </c>
      <c r="AC2920" s="81" t="e">
        <f>IF(X2920=1,HLOOKUP(R2920,データについて!$J$12:$M$18,7,FALSE),"*")</f>
        <v>#N/A</v>
      </c>
      <c r="AD2920" s="81" t="e">
        <f>IF(X2920=2,HLOOKUP(R2920,データについて!$J$12:$M$18,7,FALSE),"*")</f>
        <v>#N/A</v>
      </c>
    </row>
    <row r="2921" spans="19:30">
      <c r="S2921" s="81" t="e">
        <f>HLOOKUP(L2921,データについて!$J$6:$M$18,13,FALSE)</f>
        <v>#N/A</v>
      </c>
      <c r="T2921" s="81" t="e">
        <f>HLOOKUP(M2921,データについて!$J$7:$M$18,12,FALSE)</f>
        <v>#N/A</v>
      </c>
      <c r="U2921" s="81" t="e">
        <f>HLOOKUP(N2921,データについて!$J$8:$M$18,11,FALSE)</f>
        <v>#N/A</v>
      </c>
      <c r="V2921" s="81" t="e">
        <f>HLOOKUP(O2921,データについて!$J$9:$M$18,10,FALSE)</f>
        <v>#N/A</v>
      </c>
      <c r="W2921" s="81" t="e">
        <f>HLOOKUP(P2921,データについて!$J$10:$M$18,9,FALSE)</f>
        <v>#N/A</v>
      </c>
      <c r="X2921" s="81" t="e">
        <f>HLOOKUP(Q2921,データについて!$J$11:$M$18,8,FALSE)</f>
        <v>#N/A</v>
      </c>
      <c r="Y2921" s="81" t="e">
        <f>HLOOKUP(R2921,データについて!$J$12:$M$18,7,FALSE)</f>
        <v>#N/A</v>
      </c>
      <c r="Z2921" s="81" t="e">
        <f>HLOOKUP(I2921,データについて!$J$3:$M$18,16,FALSE)</f>
        <v>#N/A</v>
      </c>
      <c r="AA2921" s="81" t="str">
        <f>IFERROR(HLOOKUP(J2921,データについて!$J$4:$AH$19,16,FALSE),"")</f>
        <v/>
      </c>
      <c r="AB2921" s="81" t="str">
        <f>IFERROR(HLOOKUP(K2921,データについて!$J$5:$AH$20,14,FALSE),"")</f>
        <v/>
      </c>
      <c r="AC2921" s="81" t="e">
        <f>IF(X2921=1,HLOOKUP(R2921,データについて!$J$12:$M$18,7,FALSE),"*")</f>
        <v>#N/A</v>
      </c>
      <c r="AD2921" s="81" t="e">
        <f>IF(X2921=2,HLOOKUP(R2921,データについて!$J$12:$M$18,7,FALSE),"*")</f>
        <v>#N/A</v>
      </c>
    </row>
    <row r="2922" spans="19:30">
      <c r="S2922" s="81" t="e">
        <f>HLOOKUP(L2922,データについて!$J$6:$M$18,13,FALSE)</f>
        <v>#N/A</v>
      </c>
      <c r="T2922" s="81" t="e">
        <f>HLOOKUP(M2922,データについて!$J$7:$M$18,12,FALSE)</f>
        <v>#N/A</v>
      </c>
      <c r="U2922" s="81" t="e">
        <f>HLOOKUP(N2922,データについて!$J$8:$M$18,11,FALSE)</f>
        <v>#N/A</v>
      </c>
      <c r="V2922" s="81" t="e">
        <f>HLOOKUP(O2922,データについて!$J$9:$M$18,10,FALSE)</f>
        <v>#N/A</v>
      </c>
      <c r="W2922" s="81" t="e">
        <f>HLOOKUP(P2922,データについて!$J$10:$M$18,9,FALSE)</f>
        <v>#N/A</v>
      </c>
      <c r="X2922" s="81" t="e">
        <f>HLOOKUP(Q2922,データについて!$J$11:$M$18,8,FALSE)</f>
        <v>#N/A</v>
      </c>
      <c r="Y2922" s="81" t="e">
        <f>HLOOKUP(R2922,データについて!$J$12:$M$18,7,FALSE)</f>
        <v>#N/A</v>
      </c>
      <c r="Z2922" s="81" t="e">
        <f>HLOOKUP(I2922,データについて!$J$3:$M$18,16,FALSE)</f>
        <v>#N/A</v>
      </c>
      <c r="AA2922" s="81" t="str">
        <f>IFERROR(HLOOKUP(J2922,データについて!$J$4:$AH$19,16,FALSE),"")</f>
        <v/>
      </c>
      <c r="AB2922" s="81" t="str">
        <f>IFERROR(HLOOKUP(K2922,データについて!$J$5:$AH$20,14,FALSE),"")</f>
        <v/>
      </c>
      <c r="AC2922" s="81" t="e">
        <f>IF(X2922=1,HLOOKUP(R2922,データについて!$J$12:$M$18,7,FALSE),"*")</f>
        <v>#N/A</v>
      </c>
      <c r="AD2922" s="81" t="e">
        <f>IF(X2922=2,HLOOKUP(R2922,データについて!$J$12:$M$18,7,FALSE),"*")</f>
        <v>#N/A</v>
      </c>
    </row>
    <row r="2923" spans="19:30">
      <c r="S2923" s="81" t="e">
        <f>HLOOKUP(L2923,データについて!$J$6:$M$18,13,FALSE)</f>
        <v>#N/A</v>
      </c>
      <c r="T2923" s="81" t="e">
        <f>HLOOKUP(M2923,データについて!$J$7:$M$18,12,FALSE)</f>
        <v>#N/A</v>
      </c>
      <c r="U2923" s="81" t="e">
        <f>HLOOKUP(N2923,データについて!$J$8:$M$18,11,FALSE)</f>
        <v>#N/A</v>
      </c>
      <c r="V2923" s="81" t="e">
        <f>HLOOKUP(O2923,データについて!$J$9:$M$18,10,FALSE)</f>
        <v>#N/A</v>
      </c>
      <c r="W2923" s="81" t="e">
        <f>HLOOKUP(P2923,データについて!$J$10:$M$18,9,FALSE)</f>
        <v>#N/A</v>
      </c>
      <c r="X2923" s="81" t="e">
        <f>HLOOKUP(Q2923,データについて!$J$11:$M$18,8,FALSE)</f>
        <v>#N/A</v>
      </c>
      <c r="Y2923" s="81" t="e">
        <f>HLOOKUP(R2923,データについて!$J$12:$M$18,7,FALSE)</f>
        <v>#N/A</v>
      </c>
      <c r="Z2923" s="81" t="e">
        <f>HLOOKUP(I2923,データについて!$J$3:$M$18,16,FALSE)</f>
        <v>#N/A</v>
      </c>
      <c r="AA2923" s="81" t="str">
        <f>IFERROR(HLOOKUP(J2923,データについて!$J$4:$AH$19,16,FALSE),"")</f>
        <v/>
      </c>
      <c r="AB2923" s="81" t="str">
        <f>IFERROR(HLOOKUP(K2923,データについて!$J$5:$AH$20,14,FALSE),"")</f>
        <v/>
      </c>
      <c r="AC2923" s="81" t="e">
        <f>IF(X2923=1,HLOOKUP(R2923,データについて!$J$12:$M$18,7,FALSE),"*")</f>
        <v>#N/A</v>
      </c>
      <c r="AD2923" s="81" t="e">
        <f>IF(X2923=2,HLOOKUP(R2923,データについて!$J$12:$M$18,7,FALSE),"*")</f>
        <v>#N/A</v>
      </c>
    </row>
    <row r="2924" spans="19:30">
      <c r="S2924" s="81" t="e">
        <f>HLOOKUP(L2924,データについて!$J$6:$M$18,13,FALSE)</f>
        <v>#N/A</v>
      </c>
      <c r="T2924" s="81" t="e">
        <f>HLOOKUP(M2924,データについて!$J$7:$M$18,12,FALSE)</f>
        <v>#N/A</v>
      </c>
      <c r="U2924" s="81" t="e">
        <f>HLOOKUP(N2924,データについて!$J$8:$M$18,11,FALSE)</f>
        <v>#N/A</v>
      </c>
      <c r="V2924" s="81" t="e">
        <f>HLOOKUP(O2924,データについて!$J$9:$M$18,10,FALSE)</f>
        <v>#N/A</v>
      </c>
      <c r="W2924" s="81" t="e">
        <f>HLOOKUP(P2924,データについて!$J$10:$M$18,9,FALSE)</f>
        <v>#N/A</v>
      </c>
      <c r="X2924" s="81" t="e">
        <f>HLOOKUP(Q2924,データについて!$J$11:$M$18,8,FALSE)</f>
        <v>#N/A</v>
      </c>
      <c r="Y2924" s="81" t="e">
        <f>HLOOKUP(R2924,データについて!$J$12:$M$18,7,FALSE)</f>
        <v>#N/A</v>
      </c>
      <c r="Z2924" s="81" t="e">
        <f>HLOOKUP(I2924,データについて!$J$3:$M$18,16,FALSE)</f>
        <v>#N/A</v>
      </c>
      <c r="AA2924" s="81" t="str">
        <f>IFERROR(HLOOKUP(J2924,データについて!$J$4:$AH$19,16,FALSE),"")</f>
        <v/>
      </c>
      <c r="AB2924" s="81" t="str">
        <f>IFERROR(HLOOKUP(K2924,データについて!$J$5:$AH$20,14,FALSE),"")</f>
        <v/>
      </c>
      <c r="AC2924" s="81" t="e">
        <f>IF(X2924=1,HLOOKUP(R2924,データについて!$J$12:$M$18,7,FALSE),"*")</f>
        <v>#N/A</v>
      </c>
      <c r="AD2924" s="81" t="e">
        <f>IF(X2924=2,HLOOKUP(R2924,データについて!$J$12:$M$18,7,FALSE),"*")</f>
        <v>#N/A</v>
      </c>
    </row>
    <row r="2925" spans="19:30">
      <c r="S2925" s="81" t="e">
        <f>HLOOKUP(L2925,データについて!$J$6:$M$18,13,FALSE)</f>
        <v>#N/A</v>
      </c>
      <c r="T2925" s="81" t="e">
        <f>HLOOKUP(M2925,データについて!$J$7:$M$18,12,FALSE)</f>
        <v>#N/A</v>
      </c>
      <c r="U2925" s="81" t="e">
        <f>HLOOKUP(N2925,データについて!$J$8:$M$18,11,FALSE)</f>
        <v>#N/A</v>
      </c>
      <c r="V2925" s="81" t="e">
        <f>HLOOKUP(O2925,データについて!$J$9:$M$18,10,FALSE)</f>
        <v>#N/A</v>
      </c>
      <c r="W2925" s="81" t="e">
        <f>HLOOKUP(P2925,データについて!$J$10:$M$18,9,FALSE)</f>
        <v>#N/A</v>
      </c>
      <c r="X2925" s="81" t="e">
        <f>HLOOKUP(Q2925,データについて!$J$11:$M$18,8,FALSE)</f>
        <v>#N/A</v>
      </c>
      <c r="Y2925" s="81" t="e">
        <f>HLOOKUP(R2925,データについて!$J$12:$M$18,7,FALSE)</f>
        <v>#N/A</v>
      </c>
      <c r="Z2925" s="81" t="e">
        <f>HLOOKUP(I2925,データについて!$J$3:$M$18,16,FALSE)</f>
        <v>#N/A</v>
      </c>
      <c r="AA2925" s="81" t="str">
        <f>IFERROR(HLOOKUP(J2925,データについて!$J$4:$AH$19,16,FALSE),"")</f>
        <v/>
      </c>
      <c r="AB2925" s="81" t="str">
        <f>IFERROR(HLOOKUP(K2925,データについて!$J$5:$AH$20,14,FALSE),"")</f>
        <v/>
      </c>
      <c r="AC2925" s="81" t="e">
        <f>IF(X2925=1,HLOOKUP(R2925,データについて!$J$12:$M$18,7,FALSE),"*")</f>
        <v>#N/A</v>
      </c>
      <c r="AD2925" s="81" t="e">
        <f>IF(X2925=2,HLOOKUP(R2925,データについて!$J$12:$M$18,7,FALSE),"*")</f>
        <v>#N/A</v>
      </c>
    </row>
    <row r="2926" spans="19:30">
      <c r="S2926" s="81" t="e">
        <f>HLOOKUP(L2926,データについて!$J$6:$M$18,13,FALSE)</f>
        <v>#N/A</v>
      </c>
      <c r="T2926" s="81" t="e">
        <f>HLOOKUP(M2926,データについて!$J$7:$M$18,12,FALSE)</f>
        <v>#N/A</v>
      </c>
      <c r="U2926" s="81" t="e">
        <f>HLOOKUP(N2926,データについて!$J$8:$M$18,11,FALSE)</f>
        <v>#N/A</v>
      </c>
      <c r="V2926" s="81" t="e">
        <f>HLOOKUP(O2926,データについて!$J$9:$M$18,10,FALSE)</f>
        <v>#N/A</v>
      </c>
      <c r="W2926" s="81" t="e">
        <f>HLOOKUP(P2926,データについて!$J$10:$M$18,9,FALSE)</f>
        <v>#N/A</v>
      </c>
      <c r="X2926" s="81" t="e">
        <f>HLOOKUP(Q2926,データについて!$J$11:$M$18,8,FALSE)</f>
        <v>#N/A</v>
      </c>
      <c r="Y2926" s="81" t="e">
        <f>HLOOKUP(R2926,データについて!$J$12:$M$18,7,FALSE)</f>
        <v>#N/A</v>
      </c>
      <c r="Z2926" s="81" t="e">
        <f>HLOOKUP(I2926,データについて!$J$3:$M$18,16,FALSE)</f>
        <v>#N/A</v>
      </c>
      <c r="AA2926" s="81" t="str">
        <f>IFERROR(HLOOKUP(J2926,データについて!$J$4:$AH$19,16,FALSE),"")</f>
        <v/>
      </c>
      <c r="AB2926" s="81" t="str">
        <f>IFERROR(HLOOKUP(K2926,データについて!$J$5:$AH$20,14,FALSE),"")</f>
        <v/>
      </c>
      <c r="AC2926" s="81" t="e">
        <f>IF(X2926=1,HLOOKUP(R2926,データについて!$J$12:$M$18,7,FALSE),"*")</f>
        <v>#N/A</v>
      </c>
      <c r="AD2926" s="81" t="e">
        <f>IF(X2926=2,HLOOKUP(R2926,データについて!$J$12:$M$18,7,FALSE),"*")</f>
        <v>#N/A</v>
      </c>
    </row>
    <row r="2927" spans="19:30">
      <c r="S2927" s="81" t="e">
        <f>HLOOKUP(L2927,データについて!$J$6:$M$18,13,FALSE)</f>
        <v>#N/A</v>
      </c>
      <c r="T2927" s="81" t="e">
        <f>HLOOKUP(M2927,データについて!$J$7:$M$18,12,FALSE)</f>
        <v>#N/A</v>
      </c>
      <c r="U2927" s="81" t="e">
        <f>HLOOKUP(N2927,データについて!$J$8:$M$18,11,FALSE)</f>
        <v>#N/A</v>
      </c>
      <c r="V2927" s="81" t="e">
        <f>HLOOKUP(O2927,データについて!$J$9:$M$18,10,FALSE)</f>
        <v>#N/A</v>
      </c>
      <c r="W2927" s="81" t="e">
        <f>HLOOKUP(P2927,データについて!$J$10:$M$18,9,FALSE)</f>
        <v>#N/A</v>
      </c>
      <c r="X2927" s="81" t="e">
        <f>HLOOKUP(Q2927,データについて!$J$11:$M$18,8,FALSE)</f>
        <v>#N/A</v>
      </c>
      <c r="Y2927" s="81" t="e">
        <f>HLOOKUP(R2927,データについて!$J$12:$M$18,7,FALSE)</f>
        <v>#N/A</v>
      </c>
      <c r="Z2927" s="81" t="e">
        <f>HLOOKUP(I2927,データについて!$J$3:$M$18,16,FALSE)</f>
        <v>#N/A</v>
      </c>
      <c r="AA2927" s="81" t="str">
        <f>IFERROR(HLOOKUP(J2927,データについて!$J$4:$AH$19,16,FALSE),"")</f>
        <v/>
      </c>
      <c r="AB2927" s="81" t="str">
        <f>IFERROR(HLOOKUP(K2927,データについて!$J$5:$AH$20,14,FALSE),"")</f>
        <v/>
      </c>
      <c r="AC2927" s="81" t="e">
        <f>IF(X2927=1,HLOOKUP(R2927,データについて!$J$12:$M$18,7,FALSE),"*")</f>
        <v>#N/A</v>
      </c>
      <c r="AD2927" s="81" t="e">
        <f>IF(X2927=2,HLOOKUP(R2927,データについて!$J$12:$M$18,7,FALSE),"*")</f>
        <v>#N/A</v>
      </c>
    </row>
    <row r="2928" spans="19:30">
      <c r="S2928" s="81" t="e">
        <f>HLOOKUP(L2928,データについて!$J$6:$M$18,13,FALSE)</f>
        <v>#N/A</v>
      </c>
      <c r="T2928" s="81" t="e">
        <f>HLOOKUP(M2928,データについて!$J$7:$M$18,12,FALSE)</f>
        <v>#N/A</v>
      </c>
      <c r="U2928" s="81" t="e">
        <f>HLOOKUP(N2928,データについて!$J$8:$M$18,11,FALSE)</f>
        <v>#N/A</v>
      </c>
      <c r="V2928" s="81" t="e">
        <f>HLOOKUP(O2928,データについて!$J$9:$M$18,10,FALSE)</f>
        <v>#N/A</v>
      </c>
      <c r="W2928" s="81" t="e">
        <f>HLOOKUP(P2928,データについて!$J$10:$M$18,9,FALSE)</f>
        <v>#N/A</v>
      </c>
      <c r="X2928" s="81" t="e">
        <f>HLOOKUP(Q2928,データについて!$J$11:$M$18,8,FALSE)</f>
        <v>#N/A</v>
      </c>
      <c r="Y2928" s="81" t="e">
        <f>HLOOKUP(R2928,データについて!$J$12:$M$18,7,FALSE)</f>
        <v>#N/A</v>
      </c>
      <c r="Z2928" s="81" t="e">
        <f>HLOOKUP(I2928,データについて!$J$3:$M$18,16,FALSE)</f>
        <v>#N/A</v>
      </c>
      <c r="AA2928" s="81" t="str">
        <f>IFERROR(HLOOKUP(J2928,データについて!$J$4:$AH$19,16,FALSE),"")</f>
        <v/>
      </c>
      <c r="AB2928" s="81" t="str">
        <f>IFERROR(HLOOKUP(K2928,データについて!$J$5:$AH$20,14,FALSE),"")</f>
        <v/>
      </c>
      <c r="AC2928" s="81" t="e">
        <f>IF(X2928=1,HLOOKUP(R2928,データについて!$J$12:$M$18,7,FALSE),"*")</f>
        <v>#N/A</v>
      </c>
      <c r="AD2928" s="81" t="e">
        <f>IF(X2928=2,HLOOKUP(R2928,データについて!$J$12:$M$18,7,FALSE),"*")</f>
        <v>#N/A</v>
      </c>
    </row>
    <row r="2929" spans="19:30">
      <c r="S2929" s="81" t="e">
        <f>HLOOKUP(L2929,データについて!$J$6:$M$18,13,FALSE)</f>
        <v>#N/A</v>
      </c>
      <c r="T2929" s="81" t="e">
        <f>HLOOKUP(M2929,データについて!$J$7:$M$18,12,FALSE)</f>
        <v>#N/A</v>
      </c>
      <c r="U2929" s="81" t="e">
        <f>HLOOKUP(N2929,データについて!$J$8:$M$18,11,FALSE)</f>
        <v>#N/A</v>
      </c>
      <c r="V2929" s="81" t="e">
        <f>HLOOKUP(O2929,データについて!$J$9:$M$18,10,FALSE)</f>
        <v>#N/A</v>
      </c>
      <c r="W2929" s="81" t="e">
        <f>HLOOKUP(P2929,データについて!$J$10:$M$18,9,FALSE)</f>
        <v>#N/A</v>
      </c>
      <c r="X2929" s="81" t="e">
        <f>HLOOKUP(Q2929,データについて!$J$11:$M$18,8,FALSE)</f>
        <v>#N/A</v>
      </c>
      <c r="Y2929" s="81" t="e">
        <f>HLOOKUP(R2929,データについて!$J$12:$M$18,7,FALSE)</f>
        <v>#N/A</v>
      </c>
      <c r="Z2929" s="81" t="e">
        <f>HLOOKUP(I2929,データについて!$J$3:$M$18,16,FALSE)</f>
        <v>#N/A</v>
      </c>
      <c r="AA2929" s="81" t="str">
        <f>IFERROR(HLOOKUP(J2929,データについて!$J$4:$AH$19,16,FALSE),"")</f>
        <v/>
      </c>
      <c r="AB2929" s="81" t="str">
        <f>IFERROR(HLOOKUP(K2929,データについて!$J$5:$AH$20,14,FALSE),"")</f>
        <v/>
      </c>
      <c r="AC2929" s="81" t="e">
        <f>IF(X2929=1,HLOOKUP(R2929,データについて!$J$12:$M$18,7,FALSE),"*")</f>
        <v>#N/A</v>
      </c>
      <c r="AD2929" s="81" t="e">
        <f>IF(X2929=2,HLOOKUP(R2929,データについて!$J$12:$M$18,7,FALSE),"*")</f>
        <v>#N/A</v>
      </c>
    </row>
    <row r="2930" spans="19:30">
      <c r="S2930" s="81" t="e">
        <f>HLOOKUP(L2930,データについて!$J$6:$M$18,13,FALSE)</f>
        <v>#N/A</v>
      </c>
      <c r="T2930" s="81" t="e">
        <f>HLOOKUP(M2930,データについて!$J$7:$M$18,12,FALSE)</f>
        <v>#N/A</v>
      </c>
      <c r="U2930" s="81" t="e">
        <f>HLOOKUP(N2930,データについて!$J$8:$M$18,11,FALSE)</f>
        <v>#N/A</v>
      </c>
      <c r="V2930" s="81" t="e">
        <f>HLOOKUP(O2930,データについて!$J$9:$M$18,10,FALSE)</f>
        <v>#N/A</v>
      </c>
      <c r="W2930" s="81" t="e">
        <f>HLOOKUP(P2930,データについて!$J$10:$M$18,9,FALSE)</f>
        <v>#N/A</v>
      </c>
      <c r="X2930" s="81" t="e">
        <f>HLOOKUP(Q2930,データについて!$J$11:$M$18,8,FALSE)</f>
        <v>#N/A</v>
      </c>
      <c r="Y2930" s="81" t="e">
        <f>HLOOKUP(R2930,データについて!$J$12:$M$18,7,FALSE)</f>
        <v>#N/A</v>
      </c>
      <c r="Z2930" s="81" t="e">
        <f>HLOOKUP(I2930,データについて!$J$3:$M$18,16,FALSE)</f>
        <v>#N/A</v>
      </c>
      <c r="AA2930" s="81" t="str">
        <f>IFERROR(HLOOKUP(J2930,データについて!$J$4:$AH$19,16,FALSE),"")</f>
        <v/>
      </c>
      <c r="AB2930" s="81" t="str">
        <f>IFERROR(HLOOKUP(K2930,データについて!$J$5:$AH$20,14,FALSE),"")</f>
        <v/>
      </c>
      <c r="AC2930" s="81" t="e">
        <f>IF(X2930=1,HLOOKUP(R2930,データについて!$J$12:$M$18,7,FALSE),"*")</f>
        <v>#N/A</v>
      </c>
      <c r="AD2930" s="81" t="e">
        <f>IF(X2930=2,HLOOKUP(R2930,データについて!$J$12:$M$18,7,FALSE),"*")</f>
        <v>#N/A</v>
      </c>
    </row>
    <row r="2931" spans="19:30">
      <c r="S2931" s="81" t="e">
        <f>HLOOKUP(L2931,データについて!$J$6:$M$18,13,FALSE)</f>
        <v>#N/A</v>
      </c>
      <c r="T2931" s="81" t="e">
        <f>HLOOKUP(M2931,データについて!$J$7:$M$18,12,FALSE)</f>
        <v>#N/A</v>
      </c>
      <c r="U2931" s="81" t="e">
        <f>HLOOKUP(N2931,データについて!$J$8:$M$18,11,FALSE)</f>
        <v>#N/A</v>
      </c>
      <c r="V2931" s="81" t="e">
        <f>HLOOKUP(O2931,データについて!$J$9:$M$18,10,FALSE)</f>
        <v>#N/A</v>
      </c>
      <c r="W2931" s="81" t="e">
        <f>HLOOKUP(P2931,データについて!$J$10:$M$18,9,FALSE)</f>
        <v>#N/A</v>
      </c>
      <c r="X2931" s="81" t="e">
        <f>HLOOKUP(Q2931,データについて!$J$11:$M$18,8,FALSE)</f>
        <v>#N/A</v>
      </c>
      <c r="Y2931" s="81" t="e">
        <f>HLOOKUP(R2931,データについて!$J$12:$M$18,7,FALSE)</f>
        <v>#N/A</v>
      </c>
      <c r="Z2931" s="81" t="e">
        <f>HLOOKUP(I2931,データについて!$J$3:$M$18,16,FALSE)</f>
        <v>#N/A</v>
      </c>
      <c r="AA2931" s="81" t="str">
        <f>IFERROR(HLOOKUP(J2931,データについて!$J$4:$AH$19,16,FALSE),"")</f>
        <v/>
      </c>
      <c r="AB2931" s="81" t="str">
        <f>IFERROR(HLOOKUP(K2931,データについて!$J$5:$AH$20,14,FALSE),"")</f>
        <v/>
      </c>
      <c r="AC2931" s="81" t="e">
        <f>IF(X2931=1,HLOOKUP(R2931,データについて!$J$12:$M$18,7,FALSE),"*")</f>
        <v>#N/A</v>
      </c>
      <c r="AD2931" s="81" t="e">
        <f>IF(X2931=2,HLOOKUP(R2931,データについて!$J$12:$M$18,7,FALSE),"*")</f>
        <v>#N/A</v>
      </c>
    </row>
    <row r="2932" spans="19:30">
      <c r="S2932" s="81" t="e">
        <f>HLOOKUP(L2932,データについて!$J$6:$M$18,13,FALSE)</f>
        <v>#N/A</v>
      </c>
      <c r="T2932" s="81" t="e">
        <f>HLOOKUP(M2932,データについて!$J$7:$M$18,12,FALSE)</f>
        <v>#N/A</v>
      </c>
      <c r="U2932" s="81" t="e">
        <f>HLOOKUP(N2932,データについて!$J$8:$M$18,11,FALSE)</f>
        <v>#N/A</v>
      </c>
      <c r="V2932" s="81" t="e">
        <f>HLOOKUP(O2932,データについて!$J$9:$M$18,10,FALSE)</f>
        <v>#N/A</v>
      </c>
      <c r="W2932" s="81" t="e">
        <f>HLOOKUP(P2932,データについて!$J$10:$M$18,9,FALSE)</f>
        <v>#N/A</v>
      </c>
      <c r="X2932" s="81" t="e">
        <f>HLOOKUP(Q2932,データについて!$J$11:$M$18,8,FALSE)</f>
        <v>#N/A</v>
      </c>
      <c r="Y2932" s="81" t="e">
        <f>HLOOKUP(R2932,データについて!$J$12:$M$18,7,FALSE)</f>
        <v>#N/A</v>
      </c>
      <c r="Z2932" s="81" t="e">
        <f>HLOOKUP(I2932,データについて!$J$3:$M$18,16,FALSE)</f>
        <v>#N/A</v>
      </c>
      <c r="AA2932" s="81" t="str">
        <f>IFERROR(HLOOKUP(J2932,データについて!$J$4:$AH$19,16,FALSE),"")</f>
        <v/>
      </c>
      <c r="AB2932" s="81" t="str">
        <f>IFERROR(HLOOKUP(K2932,データについて!$J$5:$AH$20,14,FALSE),"")</f>
        <v/>
      </c>
      <c r="AC2932" s="81" t="e">
        <f>IF(X2932=1,HLOOKUP(R2932,データについて!$J$12:$M$18,7,FALSE),"*")</f>
        <v>#N/A</v>
      </c>
      <c r="AD2932" s="81" t="e">
        <f>IF(X2932=2,HLOOKUP(R2932,データについて!$J$12:$M$18,7,FALSE),"*")</f>
        <v>#N/A</v>
      </c>
    </row>
    <row r="2933" spans="19:30">
      <c r="S2933" s="81" t="e">
        <f>HLOOKUP(L2933,データについて!$J$6:$M$18,13,FALSE)</f>
        <v>#N/A</v>
      </c>
      <c r="T2933" s="81" t="e">
        <f>HLOOKUP(M2933,データについて!$J$7:$M$18,12,FALSE)</f>
        <v>#N/A</v>
      </c>
      <c r="U2933" s="81" t="e">
        <f>HLOOKUP(N2933,データについて!$J$8:$M$18,11,FALSE)</f>
        <v>#N/A</v>
      </c>
      <c r="V2933" s="81" t="e">
        <f>HLOOKUP(O2933,データについて!$J$9:$M$18,10,FALSE)</f>
        <v>#N/A</v>
      </c>
      <c r="W2933" s="81" t="e">
        <f>HLOOKUP(P2933,データについて!$J$10:$M$18,9,FALSE)</f>
        <v>#N/A</v>
      </c>
      <c r="X2933" s="81" t="e">
        <f>HLOOKUP(Q2933,データについて!$J$11:$M$18,8,FALSE)</f>
        <v>#N/A</v>
      </c>
      <c r="Y2933" s="81" t="e">
        <f>HLOOKUP(R2933,データについて!$J$12:$M$18,7,FALSE)</f>
        <v>#N/A</v>
      </c>
      <c r="Z2933" s="81" t="e">
        <f>HLOOKUP(I2933,データについて!$J$3:$M$18,16,FALSE)</f>
        <v>#N/A</v>
      </c>
      <c r="AA2933" s="81" t="str">
        <f>IFERROR(HLOOKUP(J2933,データについて!$J$4:$AH$19,16,FALSE),"")</f>
        <v/>
      </c>
      <c r="AB2933" s="81" t="str">
        <f>IFERROR(HLOOKUP(K2933,データについて!$J$5:$AH$20,14,FALSE),"")</f>
        <v/>
      </c>
      <c r="AC2933" s="81" t="e">
        <f>IF(X2933=1,HLOOKUP(R2933,データについて!$J$12:$M$18,7,FALSE),"*")</f>
        <v>#N/A</v>
      </c>
      <c r="AD2933" s="81" t="e">
        <f>IF(X2933=2,HLOOKUP(R2933,データについて!$J$12:$M$18,7,FALSE),"*")</f>
        <v>#N/A</v>
      </c>
    </row>
    <row r="2934" spans="19:30">
      <c r="S2934" s="81" t="e">
        <f>HLOOKUP(L2934,データについて!$J$6:$M$18,13,FALSE)</f>
        <v>#N/A</v>
      </c>
      <c r="T2934" s="81" t="e">
        <f>HLOOKUP(M2934,データについて!$J$7:$M$18,12,FALSE)</f>
        <v>#N/A</v>
      </c>
      <c r="U2934" s="81" t="e">
        <f>HLOOKUP(N2934,データについて!$J$8:$M$18,11,FALSE)</f>
        <v>#N/A</v>
      </c>
      <c r="V2934" s="81" t="e">
        <f>HLOOKUP(O2934,データについて!$J$9:$M$18,10,FALSE)</f>
        <v>#N/A</v>
      </c>
      <c r="W2934" s="81" t="e">
        <f>HLOOKUP(P2934,データについて!$J$10:$M$18,9,FALSE)</f>
        <v>#N/A</v>
      </c>
      <c r="X2934" s="81" t="e">
        <f>HLOOKUP(Q2934,データについて!$J$11:$M$18,8,FALSE)</f>
        <v>#N/A</v>
      </c>
      <c r="Y2934" s="81" t="e">
        <f>HLOOKUP(R2934,データについて!$J$12:$M$18,7,FALSE)</f>
        <v>#N/A</v>
      </c>
      <c r="Z2934" s="81" t="e">
        <f>HLOOKUP(I2934,データについて!$J$3:$M$18,16,FALSE)</f>
        <v>#N/A</v>
      </c>
      <c r="AA2934" s="81" t="str">
        <f>IFERROR(HLOOKUP(J2934,データについて!$J$4:$AH$19,16,FALSE),"")</f>
        <v/>
      </c>
      <c r="AB2934" s="81" t="str">
        <f>IFERROR(HLOOKUP(K2934,データについて!$J$5:$AH$20,14,FALSE),"")</f>
        <v/>
      </c>
      <c r="AC2934" s="81" t="e">
        <f>IF(X2934=1,HLOOKUP(R2934,データについて!$J$12:$M$18,7,FALSE),"*")</f>
        <v>#N/A</v>
      </c>
      <c r="AD2934" s="81" t="e">
        <f>IF(X2934=2,HLOOKUP(R2934,データについて!$J$12:$M$18,7,FALSE),"*")</f>
        <v>#N/A</v>
      </c>
    </row>
    <row r="2935" spans="19:30">
      <c r="S2935" s="81" t="e">
        <f>HLOOKUP(L2935,データについて!$J$6:$M$18,13,FALSE)</f>
        <v>#N/A</v>
      </c>
      <c r="T2935" s="81" t="e">
        <f>HLOOKUP(M2935,データについて!$J$7:$M$18,12,FALSE)</f>
        <v>#N/A</v>
      </c>
      <c r="U2935" s="81" t="e">
        <f>HLOOKUP(N2935,データについて!$J$8:$M$18,11,FALSE)</f>
        <v>#N/A</v>
      </c>
      <c r="V2935" s="81" t="e">
        <f>HLOOKUP(O2935,データについて!$J$9:$M$18,10,FALSE)</f>
        <v>#N/A</v>
      </c>
      <c r="W2935" s="81" t="e">
        <f>HLOOKUP(P2935,データについて!$J$10:$M$18,9,FALSE)</f>
        <v>#N/A</v>
      </c>
      <c r="X2935" s="81" t="e">
        <f>HLOOKUP(Q2935,データについて!$J$11:$M$18,8,FALSE)</f>
        <v>#N/A</v>
      </c>
      <c r="Y2935" s="81" t="e">
        <f>HLOOKUP(R2935,データについて!$J$12:$M$18,7,FALSE)</f>
        <v>#N/A</v>
      </c>
      <c r="Z2935" s="81" t="e">
        <f>HLOOKUP(I2935,データについて!$J$3:$M$18,16,FALSE)</f>
        <v>#N/A</v>
      </c>
      <c r="AA2935" s="81" t="str">
        <f>IFERROR(HLOOKUP(J2935,データについて!$J$4:$AH$19,16,FALSE),"")</f>
        <v/>
      </c>
      <c r="AB2935" s="81" t="str">
        <f>IFERROR(HLOOKUP(K2935,データについて!$J$5:$AH$20,14,FALSE),"")</f>
        <v/>
      </c>
      <c r="AC2935" s="81" t="e">
        <f>IF(X2935=1,HLOOKUP(R2935,データについて!$J$12:$M$18,7,FALSE),"*")</f>
        <v>#N/A</v>
      </c>
      <c r="AD2935" s="81" t="e">
        <f>IF(X2935=2,HLOOKUP(R2935,データについて!$J$12:$M$18,7,FALSE),"*")</f>
        <v>#N/A</v>
      </c>
    </row>
    <row r="2936" spans="19:30">
      <c r="S2936" s="81" t="e">
        <f>HLOOKUP(L2936,データについて!$J$6:$M$18,13,FALSE)</f>
        <v>#N/A</v>
      </c>
      <c r="T2936" s="81" t="e">
        <f>HLOOKUP(M2936,データについて!$J$7:$M$18,12,FALSE)</f>
        <v>#N/A</v>
      </c>
      <c r="U2936" s="81" t="e">
        <f>HLOOKUP(N2936,データについて!$J$8:$M$18,11,FALSE)</f>
        <v>#N/A</v>
      </c>
      <c r="V2936" s="81" t="e">
        <f>HLOOKUP(O2936,データについて!$J$9:$M$18,10,FALSE)</f>
        <v>#N/A</v>
      </c>
      <c r="W2936" s="81" t="e">
        <f>HLOOKUP(P2936,データについて!$J$10:$M$18,9,FALSE)</f>
        <v>#N/A</v>
      </c>
      <c r="X2936" s="81" t="e">
        <f>HLOOKUP(Q2936,データについて!$J$11:$M$18,8,FALSE)</f>
        <v>#N/A</v>
      </c>
      <c r="Y2936" s="81" t="e">
        <f>HLOOKUP(R2936,データについて!$J$12:$M$18,7,FALSE)</f>
        <v>#N/A</v>
      </c>
      <c r="Z2936" s="81" t="e">
        <f>HLOOKUP(I2936,データについて!$J$3:$M$18,16,FALSE)</f>
        <v>#N/A</v>
      </c>
      <c r="AA2936" s="81" t="str">
        <f>IFERROR(HLOOKUP(J2936,データについて!$J$4:$AH$19,16,FALSE),"")</f>
        <v/>
      </c>
      <c r="AB2936" s="81" t="str">
        <f>IFERROR(HLOOKUP(K2936,データについて!$J$5:$AH$20,14,FALSE),"")</f>
        <v/>
      </c>
      <c r="AC2936" s="81" t="e">
        <f>IF(X2936=1,HLOOKUP(R2936,データについて!$J$12:$M$18,7,FALSE),"*")</f>
        <v>#N/A</v>
      </c>
      <c r="AD2936" s="81" t="e">
        <f>IF(X2936=2,HLOOKUP(R2936,データについて!$J$12:$M$18,7,FALSE),"*")</f>
        <v>#N/A</v>
      </c>
    </row>
    <row r="2937" spans="19:30">
      <c r="S2937" s="81" t="e">
        <f>HLOOKUP(L2937,データについて!$J$6:$M$18,13,FALSE)</f>
        <v>#N/A</v>
      </c>
      <c r="T2937" s="81" t="e">
        <f>HLOOKUP(M2937,データについて!$J$7:$M$18,12,FALSE)</f>
        <v>#N/A</v>
      </c>
      <c r="U2937" s="81" t="e">
        <f>HLOOKUP(N2937,データについて!$J$8:$M$18,11,FALSE)</f>
        <v>#N/A</v>
      </c>
      <c r="V2937" s="81" t="e">
        <f>HLOOKUP(O2937,データについて!$J$9:$M$18,10,FALSE)</f>
        <v>#N/A</v>
      </c>
      <c r="W2937" s="81" t="e">
        <f>HLOOKUP(P2937,データについて!$J$10:$M$18,9,FALSE)</f>
        <v>#N/A</v>
      </c>
      <c r="X2937" s="81" t="e">
        <f>HLOOKUP(Q2937,データについて!$J$11:$M$18,8,FALSE)</f>
        <v>#N/A</v>
      </c>
      <c r="Y2937" s="81" t="e">
        <f>HLOOKUP(R2937,データについて!$J$12:$M$18,7,FALSE)</f>
        <v>#N/A</v>
      </c>
      <c r="Z2937" s="81" t="e">
        <f>HLOOKUP(I2937,データについて!$J$3:$M$18,16,FALSE)</f>
        <v>#N/A</v>
      </c>
      <c r="AA2937" s="81" t="str">
        <f>IFERROR(HLOOKUP(J2937,データについて!$J$4:$AH$19,16,FALSE),"")</f>
        <v/>
      </c>
      <c r="AB2937" s="81" t="str">
        <f>IFERROR(HLOOKUP(K2937,データについて!$J$5:$AH$20,14,FALSE),"")</f>
        <v/>
      </c>
      <c r="AC2937" s="81" t="e">
        <f>IF(X2937=1,HLOOKUP(R2937,データについて!$J$12:$M$18,7,FALSE),"*")</f>
        <v>#N/A</v>
      </c>
      <c r="AD2937" s="81" t="e">
        <f>IF(X2937=2,HLOOKUP(R2937,データについて!$J$12:$M$18,7,FALSE),"*")</f>
        <v>#N/A</v>
      </c>
    </row>
    <row r="2938" spans="19:30">
      <c r="S2938" s="81" t="e">
        <f>HLOOKUP(L2938,データについて!$J$6:$M$18,13,FALSE)</f>
        <v>#N/A</v>
      </c>
      <c r="T2938" s="81" t="e">
        <f>HLOOKUP(M2938,データについて!$J$7:$M$18,12,FALSE)</f>
        <v>#N/A</v>
      </c>
      <c r="U2938" s="81" t="e">
        <f>HLOOKUP(N2938,データについて!$J$8:$M$18,11,FALSE)</f>
        <v>#N/A</v>
      </c>
      <c r="V2938" s="81" t="e">
        <f>HLOOKUP(O2938,データについて!$J$9:$M$18,10,FALSE)</f>
        <v>#N/A</v>
      </c>
      <c r="W2938" s="81" t="e">
        <f>HLOOKUP(P2938,データについて!$J$10:$M$18,9,FALSE)</f>
        <v>#N/A</v>
      </c>
      <c r="X2938" s="81" t="e">
        <f>HLOOKUP(Q2938,データについて!$J$11:$M$18,8,FALSE)</f>
        <v>#N/A</v>
      </c>
      <c r="Y2938" s="81" t="e">
        <f>HLOOKUP(R2938,データについて!$J$12:$M$18,7,FALSE)</f>
        <v>#N/A</v>
      </c>
      <c r="Z2938" s="81" t="e">
        <f>HLOOKUP(I2938,データについて!$J$3:$M$18,16,FALSE)</f>
        <v>#N/A</v>
      </c>
      <c r="AA2938" s="81" t="str">
        <f>IFERROR(HLOOKUP(J2938,データについて!$J$4:$AH$19,16,FALSE),"")</f>
        <v/>
      </c>
      <c r="AB2938" s="81" t="str">
        <f>IFERROR(HLOOKUP(K2938,データについて!$J$5:$AH$20,14,FALSE),"")</f>
        <v/>
      </c>
      <c r="AC2938" s="81" t="e">
        <f>IF(X2938=1,HLOOKUP(R2938,データについて!$J$12:$M$18,7,FALSE),"*")</f>
        <v>#N/A</v>
      </c>
      <c r="AD2938" s="81" t="e">
        <f>IF(X2938=2,HLOOKUP(R2938,データについて!$J$12:$M$18,7,FALSE),"*")</f>
        <v>#N/A</v>
      </c>
    </row>
    <row r="2939" spans="19:30">
      <c r="S2939" s="81" t="e">
        <f>HLOOKUP(L2939,データについて!$J$6:$M$18,13,FALSE)</f>
        <v>#N/A</v>
      </c>
      <c r="T2939" s="81" t="e">
        <f>HLOOKUP(M2939,データについて!$J$7:$M$18,12,FALSE)</f>
        <v>#N/A</v>
      </c>
      <c r="U2939" s="81" t="e">
        <f>HLOOKUP(N2939,データについて!$J$8:$M$18,11,FALSE)</f>
        <v>#N/A</v>
      </c>
      <c r="V2939" s="81" t="e">
        <f>HLOOKUP(O2939,データについて!$J$9:$M$18,10,FALSE)</f>
        <v>#N/A</v>
      </c>
      <c r="W2939" s="81" t="e">
        <f>HLOOKUP(P2939,データについて!$J$10:$M$18,9,FALSE)</f>
        <v>#N/A</v>
      </c>
      <c r="X2939" s="81" t="e">
        <f>HLOOKUP(Q2939,データについて!$J$11:$M$18,8,FALSE)</f>
        <v>#N/A</v>
      </c>
      <c r="Y2939" s="81" t="e">
        <f>HLOOKUP(R2939,データについて!$J$12:$M$18,7,FALSE)</f>
        <v>#N/A</v>
      </c>
      <c r="Z2939" s="81" t="e">
        <f>HLOOKUP(I2939,データについて!$J$3:$M$18,16,FALSE)</f>
        <v>#N/A</v>
      </c>
      <c r="AA2939" s="81" t="str">
        <f>IFERROR(HLOOKUP(J2939,データについて!$J$4:$AH$19,16,FALSE),"")</f>
        <v/>
      </c>
      <c r="AB2939" s="81" t="str">
        <f>IFERROR(HLOOKUP(K2939,データについて!$J$5:$AH$20,14,FALSE),"")</f>
        <v/>
      </c>
      <c r="AC2939" s="81" t="e">
        <f>IF(X2939=1,HLOOKUP(R2939,データについて!$J$12:$M$18,7,FALSE),"*")</f>
        <v>#N/A</v>
      </c>
      <c r="AD2939" s="81" t="e">
        <f>IF(X2939=2,HLOOKUP(R2939,データについて!$J$12:$M$18,7,FALSE),"*")</f>
        <v>#N/A</v>
      </c>
    </row>
    <row r="2940" spans="19:30">
      <c r="S2940" s="81" t="e">
        <f>HLOOKUP(L2940,データについて!$J$6:$M$18,13,FALSE)</f>
        <v>#N/A</v>
      </c>
      <c r="T2940" s="81" t="e">
        <f>HLOOKUP(M2940,データについて!$J$7:$M$18,12,FALSE)</f>
        <v>#N/A</v>
      </c>
      <c r="U2940" s="81" t="e">
        <f>HLOOKUP(N2940,データについて!$J$8:$M$18,11,FALSE)</f>
        <v>#N/A</v>
      </c>
      <c r="V2940" s="81" t="e">
        <f>HLOOKUP(O2940,データについて!$J$9:$M$18,10,FALSE)</f>
        <v>#N/A</v>
      </c>
      <c r="W2940" s="81" t="e">
        <f>HLOOKUP(P2940,データについて!$J$10:$M$18,9,FALSE)</f>
        <v>#N/A</v>
      </c>
      <c r="X2940" s="81" t="e">
        <f>HLOOKUP(Q2940,データについて!$J$11:$M$18,8,FALSE)</f>
        <v>#N/A</v>
      </c>
      <c r="Y2940" s="81" t="e">
        <f>HLOOKUP(R2940,データについて!$J$12:$M$18,7,FALSE)</f>
        <v>#N/A</v>
      </c>
      <c r="Z2940" s="81" t="e">
        <f>HLOOKUP(I2940,データについて!$J$3:$M$18,16,FALSE)</f>
        <v>#N/A</v>
      </c>
      <c r="AA2940" s="81" t="str">
        <f>IFERROR(HLOOKUP(J2940,データについて!$J$4:$AH$19,16,FALSE),"")</f>
        <v/>
      </c>
      <c r="AB2940" s="81" t="str">
        <f>IFERROR(HLOOKUP(K2940,データについて!$J$5:$AH$20,14,FALSE),"")</f>
        <v/>
      </c>
      <c r="AC2940" s="81" t="e">
        <f>IF(X2940=1,HLOOKUP(R2940,データについて!$J$12:$M$18,7,FALSE),"*")</f>
        <v>#N/A</v>
      </c>
      <c r="AD2940" s="81" t="e">
        <f>IF(X2940=2,HLOOKUP(R2940,データについて!$J$12:$M$18,7,FALSE),"*")</f>
        <v>#N/A</v>
      </c>
    </row>
    <row r="2941" spans="19:30">
      <c r="S2941" s="81" t="e">
        <f>HLOOKUP(L2941,データについて!$J$6:$M$18,13,FALSE)</f>
        <v>#N/A</v>
      </c>
      <c r="T2941" s="81" t="e">
        <f>HLOOKUP(M2941,データについて!$J$7:$M$18,12,FALSE)</f>
        <v>#N/A</v>
      </c>
      <c r="U2941" s="81" t="e">
        <f>HLOOKUP(N2941,データについて!$J$8:$M$18,11,FALSE)</f>
        <v>#N/A</v>
      </c>
      <c r="V2941" s="81" t="e">
        <f>HLOOKUP(O2941,データについて!$J$9:$M$18,10,FALSE)</f>
        <v>#N/A</v>
      </c>
      <c r="W2941" s="81" t="e">
        <f>HLOOKUP(P2941,データについて!$J$10:$M$18,9,FALSE)</f>
        <v>#N/A</v>
      </c>
      <c r="X2941" s="81" t="e">
        <f>HLOOKUP(Q2941,データについて!$J$11:$M$18,8,FALSE)</f>
        <v>#N/A</v>
      </c>
      <c r="Y2941" s="81" t="e">
        <f>HLOOKUP(R2941,データについて!$J$12:$M$18,7,FALSE)</f>
        <v>#N/A</v>
      </c>
      <c r="Z2941" s="81" t="e">
        <f>HLOOKUP(I2941,データについて!$J$3:$M$18,16,FALSE)</f>
        <v>#N/A</v>
      </c>
      <c r="AA2941" s="81" t="str">
        <f>IFERROR(HLOOKUP(J2941,データについて!$J$4:$AH$19,16,FALSE),"")</f>
        <v/>
      </c>
      <c r="AB2941" s="81" t="str">
        <f>IFERROR(HLOOKUP(K2941,データについて!$J$5:$AH$20,14,FALSE),"")</f>
        <v/>
      </c>
      <c r="AC2941" s="81" t="e">
        <f>IF(X2941=1,HLOOKUP(R2941,データについて!$J$12:$M$18,7,FALSE),"*")</f>
        <v>#N/A</v>
      </c>
      <c r="AD2941" s="81" t="e">
        <f>IF(X2941=2,HLOOKUP(R2941,データについて!$J$12:$M$18,7,FALSE),"*")</f>
        <v>#N/A</v>
      </c>
    </row>
    <row r="2942" spans="19:30">
      <c r="S2942" s="81" t="e">
        <f>HLOOKUP(L2942,データについて!$J$6:$M$18,13,FALSE)</f>
        <v>#N/A</v>
      </c>
      <c r="T2942" s="81" t="e">
        <f>HLOOKUP(M2942,データについて!$J$7:$M$18,12,FALSE)</f>
        <v>#N/A</v>
      </c>
      <c r="U2942" s="81" t="e">
        <f>HLOOKUP(N2942,データについて!$J$8:$M$18,11,FALSE)</f>
        <v>#N/A</v>
      </c>
      <c r="V2942" s="81" t="e">
        <f>HLOOKUP(O2942,データについて!$J$9:$M$18,10,FALSE)</f>
        <v>#N/A</v>
      </c>
      <c r="W2942" s="81" t="e">
        <f>HLOOKUP(P2942,データについて!$J$10:$M$18,9,FALSE)</f>
        <v>#N/A</v>
      </c>
      <c r="X2942" s="81" t="e">
        <f>HLOOKUP(Q2942,データについて!$J$11:$M$18,8,FALSE)</f>
        <v>#N/A</v>
      </c>
      <c r="Y2942" s="81" t="e">
        <f>HLOOKUP(R2942,データについて!$J$12:$M$18,7,FALSE)</f>
        <v>#N/A</v>
      </c>
      <c r="Z2942" s="81" t="e">
        <f>HLOOKUP(I2942,データについて!$J$3:$M$18,16,FALSE)</f>
        <v>#N/A</v>
      </c>
      <c r="AA2942" s="81" t="str">
        <f>IFERROR(HLOOKUP(J2942,データについて!$J$4:$AH$19,16,FALSE),"")</f>
        <v/>
      </c>
      <c r="AB2942" s="81" t="str">
        <f>IFERROR(HLOOKUP(K2942,データについて!$J$5:$AH$20,14,FALSE),"")</f>
        <v/>
      </c>
      <c r="AC2942" s="81" t="e">
        <f>IF(X2942=1,HLOOKUP(R2942,データについて!$J$12:$M$18,7,FALSE),"*")</f>
        <v>#N/A</v>
      </c>
      <c r="AD2942" s="81" t="e">
        <f>IF(X2942=2,HLOOKUP(R2942,データについて!$J$12:$M$18,7,FALSE),"*")</f>
        <v>#N/A</v>
      </c>
    </row>
    <row r="2943" spans="19:30">
      <c r="S2943" s="81" t="e">
        <f>HLOOKUP(L2943,データについて!$J$6:$M$18,13,FALSE)</f>
        <v>#N/A</v>
      </c>
      <c r="T2943" s="81" t="e">
        <f>HLOOKUP(M2943,データについて!$J$7:$M$18,12,FALSE)</f>
        <v>#N/A</v>
      </c>
      <c r="U2943" s="81" t="e">
        <f>HLOOKUP(N2943,データについて!$J$8:$M$18,11,FALSE)</f>
        <v>#N/A</v>
      </c>
      <c r="V2943" s="81" t="e">
        <f>HLOOKUP(O2943,データについて!$J$9:$M$18,10,FALSE)</f>
        <v>#N/A</v>
      </c>
      <c r="W2943" s="81" t="e">
        <f>HLOOKUP(P2943,データについて!$J$10:$M$18,9,FALSE)</f>
        <v>#N/A</v>
      </c>
      <c r="X2943" s="81" t="e">
        <f>HLOOKUP(Q2943,データについて!$J$11:$M$18,8,FALSE)</f>
        <v>#N/A</v>
      </c>
      <c r="Y2943" s="81" t="e">
        <f>HLOOKUP(R2943,データについて!$J$12:$M$18,7,FALSE)</f>
        <v>#N/A</v>
      </c>
      <c r="Z2943" s="81" t="e">
        <f>HLOOKUP(I2943,データについて!$J$3:$M$18,16,FALSE)</f>
        <v>#N/A</v>
      </c>
      <c r="AA2943" s="81" t="str">
        <f>IFERROR(HLOOKUP(J2943,データについて!$J$4:$AH$19,16,FALSE),"")</f>
        <v/>
      </c>
      <c r="AB2943" s="81" t="str">
        <f>IFERROR(HLOOKUP(K2943,データについて!$J$5:$AH$20,14,FALSE),"")</f>
        <v/>
      </c>
      <c r="AC2943" s="81" t="e">
        <f>IF(X2943=1,HLOOKUP(R2943,データについて!$J$12:$M$18,7,FALSE),"*")</f>
        <v>#N/A</v>
      </c>
      <c r="AD2943" s="81" t="e">
        <f>IF(X2943=2,HLOOKUP(R2943,データについて!$J$12:$M$18,7,FALSE),"*")</f>
        <v>#N/A</v>
      </c>
    </row>
    <row r="2944" spans="19:30">
      <c r="S2944" s="81" t="e">
        <f>HLOOKUP(L2944,データについて!$J$6:$M$18,13,FALSE)</f>
        <v>#N/A</v>
      </c>
      <c r="T2944" s="81" t="e">
        <f>HLOOKUP(M2944,データについて!$J$7:$M$18,12,FALSE)</f>
        <v>#N/A</v>
      </c>
      <c r="U2944" s="81" t="e">
        <f>HLOOKUP(N2944,データについて!$J$8:$M$18,11,FALSE)</f>
        <v>#N/A</v>
      </c>
      <c r="V2944" s="81" t="e">
        <f>HLOOKUP(O2944,データについて!$J$9:$M$18,10,FALSE)</f>
        <v>#N/A</v>
      </c>
      <c r="W2944" s="81" t="e">
        <f>HLOOKUP(P2944,データについて!$J$10:$M$18,9,FALSE)</f>
        <v>#N/A</v>
      </c>
      <c r="X2944" s="81" t="e">
        <f>HLOOKUP(Q2944,データについて!$J$11:$M$18,8,FALSE)</f>
        <v>#N/A</v>
      </c>
      <c r="Y2944" s="81" t="e">
        <f>HLOOKUP(R2944,データについて!$J$12:$M$18,7,FALSE)</f>
        <v>#N/A</v>
      </c>
      <c r="Z2944" s="81" t="e">
        <f>HLOOKUP(I2944,データについて!$J$3:$M$18,16,FALSE)</f>
        <v>#N/A</v>
      </c>
      <c r="AA2944" s="81" t="str">
        <f>IFERROR(HLOOKUP(J2944,データについて!$J$4:$AH$19,16,FALSE),"")</f>
        <v/>
      </c>
      <c r="AB2944" s="81" t="str">
        <f>IFERROR(HLOOKUP(K2944,データについて!$J$5:$AH$20,14,FALSE),"")</f>
        <v/>
      </c>
      <c r="AC2944" s="81" t="e">
        <f>IF(X2944=1,HLOOKUP(R2944,データについて!$J$12:$M$18,7,FALSE),"*")</f>
        <v>#N/A</v>
      </c>
      <c r="AD2944" s="81" t="e">
        <f>IF(X2944=2,HLOOKUP(R2944,データについて!$J$12:$M$18,7,FALSE),"*")</f>
        <v>#N/A</v>
      </c>
    </row>
    <row r="2945" spans="19:30">
      <c r="S2945" s="81" t="e">
        <f>HLOOKUP(L2945,データについて!$J$6:$M$18,13,FALSE)</f>
        <v>#N/A</v>
      </c>
      <c r="T2945" s="81" t="e">
        <f>HLOOKUP(M2945,データについて!$J$7:$M$18,12,FALSE)</f>
        <v>#N/A</v>
      </c>
      <c r="U2945" s="81" t="e">
        <f>HLOOKUP(N2945,データについて!$J$8:$M$18,11,FALSE)</f>
        <v>#N/A</v>
      </c>
      <c r="V2945" s="81" t="e">
        <f>HLOOKUP(O2945,データについて!$J$9:$M$18,10,FALSE)</f>
        <v>#N/A</v>
      </c>
      <c r="W2945" s="81" t="e">
        <f>HLOOKUP(P2945,データについて!$J$10:$M$18,9,FALSE)</f>
        <v>#N/A</v>
      </c>
      <c r="X2945" s="81" t="e">
        <f>HLOOKUP(Q2945,データについて!$J$11:$M$18,8,FALSE)</f>
        <v>#N/A</v>
      </c>
      <c r="Y2945" s="81" t="e">
        <f>HLOOKUP(R2945,データについて!$J$12:$M$18,7,FALSE)</f>
        <v>#N/A</v>
      </c>
      <c r="Z2945" s="81" t="e">
        <f>HLOOKUP(I2945,データについて!$J$3:$M$18,16,FALSE)</f>
        <v>#N/A</v>
      </c>
      <c r="AA2945" s="81" t="str">
        <f>IFERROR(HLOOKUP(J2945,データについて!$J$4:$AH$19,16,FALSE),"")</f>
        <v/>
      </c>
      <c r="AB2945" s="81" t="str">
        <f>IFERROR(HLOOKUP(K2945,データについて!$J$5:$AH$20,14,FALSE),"")</f>
        <v/>
      </c>
      <c r="AC2945" s="81" t="e">
        <f>IF(X2945=1,HLOOKUP(R2945,データについて!$J$12:$M$18,7,FALSE),"*")</f>
        <v>#N/A</v>
      </c>
      <c r="AD2945" s="81" t="e">
        <f>IF(X2945=2,HLOOKUP(R2945,データについて!$J$12:$M$18,7,FALSE),"*")</f>
        <v>#N/A</v>
      </c>
    </row>
    <row r="2946" spans="19:30">
      <c r="S2946" s="81" t="e">
        <f>HLOOKUP(L2946,データについて!$J$6:$M$18,13,FALSE)</f>
        <v>#N/A</v>
      </c>
      <c r="T2946" s="81" t="e">
        <f>HLOOKUP(M2946,データについて!$J$7:$M$18,12,FALSE)</f>
        <v>#N/A</v>
      </c>
      <c r="U2946" s="81" t="e">
        <f>HLOOKUP(N2946,データについて!$J$8:$M$18,11,FALSE)</f>
        <v>#N/A</v>
      </c>
      <c r="V2946" s="81" t="e">
        <f>HLOOKUP(O2946,データについて!$J$9:$M$18,10,FALSE)</f>
        <v>#N/A</v>
      </c>
      <c r="W2946" s="81" t="e">
        <f>HLOOKUP(P2946,データについて!$J$10:$M$18,9,FALSE)</f>
        <v>#N/A</v>
      </c>
      <c r="X2946" s="81" t="e">
        <f>HLOOKUP(Q2946,データについて!$J$11:$M$18,8,FALSE)</f>
        <v>#N/A</v>
      </c>
      <c r="Y2946" s="81" t="e">
        <f>HLOOKUP(R2946,データについて!$J$12:$M$18,7,FALSE)</f>
        <v>#N/A</v>
      </c>
      <c r="Z2946" s="81" t="e">
        <f>HLOOKUP(I2946,データについて!$J$3:$M$18,16,FALSE)</f>
        <v>#N/A</v>
      </c>
      <c r="AA2946" s="81" t="str">
        <f>IFERROR(HLOOKUP(J2946,データについて!$J$4:$AH$19,16,FALSE),"")</f>
        <v/>
      </c>
      <c r="AB2946" s="81" t="str">
        <f>IFERROR(HLOOKUP(K2946,データについて!$J$5:$AH$20,14,FALSE),"")</f>
        <v/>
      </c>
      <c r="AC2946" s="81" t="e">
        <f>IF(X2946=1,HLOOKUP(R2946,データについて!$J$12:$M$18,7,FALSE),"*")</f>
        <v>#N/A</v>
      </c>
      <c r="AD2946" s="81" t="e">
        <f>IF(X2946=2,HLOOKUP(R2946,データについて!$J$12:$M$18,7,FALSE),"*")</f>
        <v>#N/A</v>
      </c>
    </row>
    <row r="2947" spans="19:30">
      <c r="S2947" s="81" t="e">
        <f>HLOOKUP(L2947,データについて!$J$6:$M$18,13,FALSE)</f>
        <v>#N/A</v>
      </c>
      <c r="T2947" s="81" t="e">
        <f>HLOOKUP(M2947,データについて!$J$7:$M$18,12,FALSE)</f>
        <v>#N/A</v>
      </c>
      <c r="U2947" s="81" t="e">
        <f>HLOOKUP(N2947,データについて!$J$8:$M$18,11,FALSE)</f>
        <v>#N/A</v>
      </c>
      <c r="V2947" s="81" t="e">
        <f>HLOOKUP(O2947,データについて!$J$9:$M$18,10,FALSE)</f>
        <v>#N/A</v>
      </c>
      <c r="W2947" s="81" t="e">
        <f>HLOOKUP(P2947,データについて!$J$10:$M$18,9,FALSE)</f>
        <v>#N/A</v>
      </c>
      <c r="X2947" s="81" t="e">
        <f>HLOOKUP(Q2947,データについて!$J$11:$M$18,8,FALSE)</f>
        <v>#N/A</v>
      </c>
      <c r="Y2947" s="81" t="e">
        <f>HLOOKUP(R2947,データについて!$J$12:$M$18,7,FALSE)</f>
        <v>#N/A</v>
      </c>
      <c r="Z2947" s="81" t="e">
        <f>HLOOKUP(I2947,データについて!$J$3:$M$18,16,FALSE)</f>
        <v>#N/A</v>
      </c>
      <c r="AA2947" s="81" t="str">
        <f>IFERROR(HLOOKUP(J2947,データについて!$J$4:$AH$19,16,FALSE),"")</f>
        <v/>
      </c>
      <c r="AB2947" s="81" t="str">
        <f>IFERROR(HLOOKUP(K2947,データについて!$J$5:$AH$20,14,FALSE),"")</f>
        <v/>
      </c>
      <c r="AC2947" s="81" t="e">
        <f>IF(X2947=1,HLOOKUP(R2947,データについて!$J$12:$M$18,7,FALSE),"*")</f>
        <v>#N/A</v>
      </c>
      <c r="AD2947" s="81" t="e">
        <f>IF(X2947=2,HLOOKUP(R2947,データについて!$J$12:$M$18,7,FALSE),"*")</f>
        <v>#N/A</v>
      </c>
    </row>
    <row r="2948" spans="19:30">
      <c r="S2948" s="81" t="e">
        <f>HLOOKUP(L2948,データについて!$J$6:$M$18,13,FALSE)</f>
        <v>#N/A</v>
      </c>
      <c r="T2948" s="81" t="e">
        <f>HLOOKUP(M2948,データについて!$J$7:$M$18,12,FALSE)</f>
        <v>#N/A</v>
      </c>
      <c r="U2948" s="81" t="e">
        <f>HLOOKUP(N2948,データについて!$J$8:$M$18,11,FALSE)</f>
        <v>#N/A</v>
      </c>
      <c r="V2948" s="81" t="e">
        <f>HLOOKUP(O2948,データについて!$J$9:$M$18,10,FALSE)</f>
        <v>#N/A</v>
      </c>
      <c r="W2948" s="81" t="e">
        <f>HLOOKUP(P2948,データについて!$J$10:$M$18,9,FALSE)</f>
        <v>#N/A</v>
      </c>
      <c r="X2948" s="81" t="e">
        <f>HLOOKUP(Q2948,データについて!$J$11:$M$18,8,FALSE)</f>
        <v>#N/A</v>
      </c>
      <c r="Y2948" s="81" t="e">
        <f>HLOOKUP(R2948,データについて!$J$12:$M$18,7,FALSE)</f>
        <v>#N/A</v>
      </c>
      <c r="Z2948" s="81" t="e">
        <f>HLOOKUP(I2948,データについて!$J$3:$M$18,16,FALSE)</f>
        <v>#N/A</v>
      </c>
      <c r="AA2948" s="81" t="str">
        <f>IFERROR(HLOOKUP(J2948,データについて!$J$4:$AH$19,16,FALSE),"")</f>
        <v/>
      </c>
      <c r="AB2948" s="81" t="str">
        <f>IFERROR(HLOOKUP(K2948,データについて!$J$5:$AH$20,14,FALSE),"")</f>
        <v/>
      </c>
      <c r="AC2948" s="81" t="e">
        <f>IF(X2948=1,HLOOKUP(R2948,データについて!$J$12:$M$18,7,FALSE),"*")</f>
        <v>#N/A</v>
      </c>
      <c r="AD2948" s="81" t="e">
        <f>IF(X2948=2,HLOOKUP(R2948,データについて!$J$12:$M$18,7,FALSE),"*")</f>
        <v>#N/A</v>
      </c>
    </row>
    <row r="2949" spans="19:30">
      <c r="S2949" s="81" t="e">
        <f>HLOOKUP(L2949,データについて!$J$6:$M$18,13,FALSE)</f>
        <v>#N/A</v>
      </c>
      <c r="T2949" s="81" t="e">
        <f>HLOOKUP(M2949,データについて!$J$7:$M$18,12,FALSE)</f>
        <v>#N/A</v>
      </c>
      <c r="U2949" s="81" t="e">
        <f>HLOOKUP(N2949,データについて!$J$8:$M$18,11,FALSE)</f>
        <v>#N/A</v>
      </c>
      <c r="V2949" s="81" t="e">
        <f>HLOOKUP(O2949,データについて!$J$9:$M$18,10,FALSE)</f>
        <v>#N/A</v>
      </c>
      <c r="W2949" s="81" t="e">
        <f>HLOOKUP(P2949,データについて!$J$10:$M$18,9,FALSE)</f>
        <v>#N/A</v>
      </c>
      <c r="X2949" s="81" t="e">
        <f>HLOOKUP(Q2949,データについて!$J$11:$M$18,8,FALSE)</f>
        <v>#N/A</v>
      </c>
      <c r="Y2949" s="81" t="e">
        <f>HLOOKUP(R2949,データについて!$J$12:$M$18,7,FALSE)</f>
        <v>#N/A</v>
      </c>
      <c r="Z2949" s="81" t="e">
        <f>HLOOKUP(I2949,データについて!$J$3:$M$18,16,FALSE)</f>
        <v>#N/A</v>
      </c>
      <c r="AA2949" s="81" t="str">
        <f>IFERROR(HLOOKUP(J2949,データについて!$J$4:$AH$19,16,FALSE),"")</f>
        <v/>
      </c>
      <c r="AB2949" s="81" t="str">
        <f>IFERROR(HLOOKUP(K2949,データについて!$J$5:$AH$20,14,FALSE),"")</f>
        <v/>
      </c>
      <c r="AC2949" s="81" t="e">
        <f>IF(X2949=1,HLOOKUP(R2949,データについて!$J$12:$M$18,7,FALSE),"*")</f>
        <v>#N/A</v>
      </c>
      <c r="AD2949" s="81" t="e">
        <f>IF(X2949=2,HLOOKUP(R2949,データについて!$J$12:$M$18,7,FALSE),"*")</f>
        <v>#N/A</v>
      </c>
    </row>
    <row r="2950" spans="19:30">
      <c r="S2950" s="81" t="e">
        <f>HLOOKUP(L2950,データについて!$J$6:$M$18,13,FALSE)</f>
        <v>#N/A</v>
      </c>
      <c r="T2950" s="81" t="e">
        <f>HLOOKUP(M2950,データについて!$J$7:$M$18,12,FALSE)</f>
        <v>#N/A</v>
      </c>
      <c r="U2950" s="81" t="e">
        <f>HLOOKUP(N2950,データについて!$J$8:$M$18,11,FALSE)</f>
        <v>#N/A</v>
      </c>
      <c r="V2950" s="81" t="e">
        <f>HLOOKUP(O2950,データについて!$J$9:$M$18,10,FALSE)</f>
        <v>#N/A</v>
      </c>
      <c r="W2950" s="81" t="e">
        <f>HLOOKUP(P2950,データについて!$J$10:$M$18,9,FALSE)</f>
        <v>#N/A</v>
      </c>
      <c r="X2950" s="81" t="e">
        <f>HLOOKUP(Q2950,データについて!$J$11:$M$18,8,FALSE)</f>
        <v>#N/A</v>
      </c>
      <c r="Y2950" s="81" t="e">
        <f>HLOOKUP(R2950,データについて!$J$12:$M$18,7,FALSE)</f>
        <v>#N/A</v>
      </c>
      <c r="Z2950" s="81" t="e">
        <f>HLOOKUP(I2950,データについて!$J$3:$M$18,16,FALSE)</f>
        <v>#N/A</v>
      </c>
      <c r="AA2950" s="81" t="str">
        <f>IFERROR(HLOOKUP(J2950,データについて!$J$4:$AH$19,16,FALSE),"")</f>
        <v/>
      </c>
      <c r="AB2950" s="81" t="str">
        <f>IFERROR(HLOOKUP(K2950,データについて!$J$5:$AH$20,14,FALSE),"")</f>
        <v/>
      </c>
      <c r="AC2950" s="81" t="e">
        <f>IF(X2950=1,HLOOKUP(R2950,データについて!$J$12:$M$18,7,FALSE),"*")</f>
        <v>#N/A</v>
      </c>
      <c r="AD2950" s="81" t="e">
        <f>IF(X2950=2,HLOOKUP(R2950,データについて!$J$12:$M$18,7,FALSE),"*")</f>
        <v>#N/A</v>
      </c>
    </row>
    <row r="2951" spans="19:30">
      <c r="S2951" s="81" t="e">
        <f>HLOOKUP(L2951,データについて!$J$6:$M$18,13,FALSE)</f>
        <v>#N/A</v>
      </c>
      <c r="T2951" s="81" t="e">
        <f>HLOOKUP(M2951,データについて!$J$7:$M$18,12,FALSE)</f>
        <v>#N/A</v>
      </c>
      <c r="U2951" s="81" t="e">
        <f>HLOOKUP(N2951,データについて!$J$8:$M$18,11,FALSE)</f>
        <v>#N/A</v>
      </c>
      <c r="V2951" s="81" t="e">
        <f>HLOOKUP(O2951,データについて!$J$9:$M$18,10,FALSE)</f>
        <v>#N/A</v>
      </c>
      <c r="W2951" s="81" t="e">
        <f>HLOOKUP(P2951,データについて!$J$10:$M$18,9,FALSE)</f>
        <v>#N/A</v>
      </c>
      <c r="X2951" s="81" t="e">
        <f>HLOOKUP(Q2951,データについて!$J$11:$M$18,8,FALSE)</f>
        <v>#N/A</v>
      </c>
      <c r="Y2951" s="81" t="e">
        <f>HLOOKUP(R2951,データについて!$J$12:$M$18,7,FALSE)</f>
        <v>#N/A</v>
      </c>
      <c r="Z2951" s="81" t="e">
        <f>HLOOKUP(I2951,データについて!$J$3:$M$18,16,FALSE)</f>
        <v>#N/A</v>
      </c>
      <c r="AA2951" s="81" t="str">
        <f>IFERROR(HLOOKUP(J2951,データについて!$J$4:$AH$19,16,FALSE),"")</f>
        <v/>
      </c>
      <c r="AB2951" s="81" t="str">
        <f>IFERROR(HLOOKUP(K2951,データについて!$J$5:$AH$20,14,FALSE),"")</f>
        <v/>
      </c>
      <c r="AC2951" s="81" t="e">
        <f>IF(X2951=1,HLOOKUP(R2951,データについて!$J$12:$M$18,7,FALSE),"*")</f>
        <v>#N/A</v>
      </c>
      <c r="AD2951" s="81" t="e">
        <f>IF(X2951=2,HLOOKUP(R2951,データについて!$J$12:$M$18,7,FALSE),"*")</f>
        <v>#N/A</v>
      </c>
    </row>
    <row r="2952" spans="19:30">
      <c r="S2952" s="81" t="e">
        <f>HLOOKUP(L2952,データについて!$J$6:$M$18,13,FALSE)</f>
        <v>#N/A</v>
      </c>
      <c r="T2952" s="81" t="e">
        <f>HLOOKUP(M2952,データについて!$J$7:$M$18,12,FALSE)</f>
        <v>#N/A</v>
      </c>
      <c r="U2952" s="81" t="e">
        <f>HLOOKUP(N2952,データについて!$J$8:$M$18,11,FALSE)</f>
        <v>#N/A</v>
      </c>
      <c r="V2952" s="81" t="e">
        <f>HLOOKUP(O2952,データについて!$J$9:$M$18,10,FALSE)</f>
        <v>#N/A</v>
      </c>
      <c r="W2952" s="81" t="e">
        <f>HLOOKUP(P2952,データについて!$J$10:$M$18,9,FALSE)</f>
        <v>#N/A</v>
      </c>
      <c r="X2952" s="81" t="e">
        <f>HLOOKUP(Q2952,データについて!$J$11:$M$18,8,FALSE)</f>
        <v>#N/A</v>
      </c>
      <c r="Y2952" s="81" t="e">
        <f>HLOOKUP(R2952,データについて!$J$12:$M$18,7,FALSE)</f>
        <v>#N/A</v>
      </c>
      <c r="Z2952" s="81" t="e">
        <f>HLOOKUP(I2952,データについて!$J$3:$M$18,16,FALSE)</f>
        <v>#N/A</v>
      </c>
      <c r="AA2952" s="81" t="str">
        <f>IFERROR(HLOOKUP(J2952,データについて!$J$4:$AH$19,16,FALSE),"")</f>
        <v/>
      </c>
      <c r="AB2952" s="81" t="str">
        <f>IFERROR(HLOOKUP(K2952,データについて!$J$5:$AH$20,14,FALSE),"")</f>
        <v/>
      </c>
      <c r="AC2952" s="81" t="e">
        <f>IF(X2952=1,HLOOKUP(R2952,データについて!$J$12:$M$18,7,FALSE),"*")</f>
        <v>#N/A</v>
      </c>
      <c r="AD2952" s="81" t="e">
        <f>IF(X2952=2,HLOOKUP(R2952,データについて!$J$12:$M$18,7,FALSE),"*")</f>
        <v>#N/A</v>
      </c>
    </row>
    <row r="2953" spans="19:30">
      <c r="S2953" s="81" t="e">
        <f>HLOOKUP(L2953,データについて!$J$6:$M$18,13,FALSE)</f>
        <v>#N/A</v>
      </c>
      <c r="T2953" s="81" t="e">
        <f>HLOOKUP(M2953,データについて!$J$7:$M$18,12,FALSE)</f>
        <v>#N/A</v>
      </c>
      <c r="U2953" s="81" t="e">
        <f>HLOOKUP(N2953,データについて!$J$8:$M$18,11,FALSE)</f>
        <v>#N/A</v>
      </c>
      <c r="V2953" s="81" t="e">
        <f>HLOOKUP(O2953,データについて!$J$9:$M$18,10,FALSE)</f>
        <v>#N/A</v>
      </c>
      <c r="W2953" s="81" t="e">
        <f>HLOOKUP(P2953,データについて!$J$10:$M$18,9,FALSE)</f>
        <v>#N/A</v>
      </c>
      <c r="X2953" s="81" t="e">
        <f>HLOOKUP(Q2953,データについて!$J$11:$M$18,8,FALSE)</f>
        <v>#N/A</v>
      </c>
      <c r="Y2953" s="81" t="e">
        <f>HLOOKUP(R2953,データについて!$J$12:$M$18,7,FALSE)</f>
        <v>#N/A</v>
      </c>
      <c r="Z2953" s="81" t="e">
        <f>HLOOKUP(I2953,データについて!$J$3:$M$18,16,FALSE)</f>
        <v>#N/A</v>
      </c>
      <c r="AA2953" s="81" t="str">
        <f>IFERROR(HLOOKUP(J2953,データについて!$J$4:$AH$19,16,FALSE),"")</f>
        <v/>
      </c>
      <c r="AB2953" s="81" t="str">
        <f>IFERROR(HLOOKUP(K2953,データについて!$J$5:$AH$20,14,FALSE),"")</f>
        <v/>
      </c>
      <c r="AC2953" s="81" t="e">
        <f>IF(X2953=1,HLOOKUP(R2953,データについて!$J$12:$M$18,7,FALSE),"*")</f>
        <v>#N/A</v>
      </c>
      <c r="AD2953" s="81" t="e">
        <f>IF(X2953=2,HLOOKUP(R2953,データについて!$J$12:$M$18,7,FALSE),"*")</f>
        <v>#N/A</v>
      </c>
    </row>
    <row r="2954" spans="19:30">
      <c r="S2954" s="81" t="e">
        <f>HLOOKUP(L2954,データについて!$J$6:$M$18,13,FALSE)</f>
        <v>#N/A</v>
      </c>
      <c r="T2954" s="81" t="e">
        <f>HLOOKUP(M2954,データについて!$J$7:$M$18,12,FALSE)</f>
        <v>#N/A</v>
      </c>
      <c r="U2954" s="81" t="e">
        <f>HLOOKUP(N2954,データについて!$J$8:$M$18,11,FALSE)</f>
        <v>#N/A</v>
      </c>
      <c r="V2954" s="81" t="e">
        <f>HLOOKUP(O2954,データについて!$J$9:$M$18,10,FALSE)</f>
        <v>#N/A</v>
      </c>
      <c r="W2954" s="81" t="e">
        <f>HLOOKUP(P2954,データについて!$J$10:$M$18,9,FALSE)</f>
        <v>#N/A</v>
      </c>
      <c r="X2954" s="81" t="e">
        <f>HLOOKUP(Q2954,データについて!$J$11:$M$18,8,FALSE)</f>
        <v>#N/A</v>
      </c>
      <c r="Y2954" s="81" t="e">
        <f>HLOOKUP(R2954,データについて!$J$12:$M$18,7,FALSE)</f>
        <v>#N/A</v>
      </c>
      <c r="Z2954" s="81" t="e">
        <f>HLOOKUP(I2954,データについて!$J$3:$M$18,16,FALSE)</f>
        <v>#N/A</v>
      </c>
      <c r="AA2954" s="81" t="str">
        <f>IFERROR(HLOOKUP(J2954,データについて!$J$4:$AH$19,16,FALSE),"")</f>
        <v/>
      </c>
      <c r="AB2954" s="81" t="str">
        <f>IFERROR(HLOOKUP(K2954,データについて!$J$5:$AH$20,14,FALSE),"")</f>
        <v/>
      </c>
      <c r="AC2954" s="81" t="e">
        <f>IF(X2954=1,HLOOKUP(R2954,データについて!$J$12:$M$18,7,FALSE),"*")</f>
        <v>#N/A</v>
      </c>
      <c r="AD2954" s="81" t="e">
        <f>IF(X2954=2,HLOOKUP(R2954,データについて!$J$12:$M$18,7,FALSE),"*")</f>
        <v>#N/A</v>
      </c>
    </row>
    <row r="2955" spans="19:30">
      <c r="S2955" s="81" t="e">
        <f>HLOOKUP(L2955,データについて!$J$6:$M$18,13,FALSE)</f>
        <v>#N/A</v>
      </c>
      <c r="T2955" s="81" t="e">
        <f>HLOOKUP(M2955,データについて!$J$7:$M$18,12,FALSE)</f>
        <v>#N/A</v>
      </c>
      <c r="U2955" s="81" t="e">
        <f>HLOOKUP(N2955,データについて!$J$8:$M$18,11,FALSE)</f>
        <v>#N/A</v>
      </c>
      <c r="V2955" s="81" t="e">
        <f>HLOOKUP(O2955,データについて!$J$9:$M$18,10,FALSE)</f>
        <v>#N/A</v>
      </c>
      <c r="W2955" s="81" t="e">
        <f>HLOOKUP(P2955,データについて!$J$10:$M$18,9,FALSE)</f>
        <v>#N/A</v>
      </c>
      <c r="X2955" s="81" t="e">
        <f>HLOOKUP(Q2955,データについて!$J$11:$M$18,8,FALSE)</f>
        <v>#N/A</v>
      </c>
      <c r="Y2955" s="81" t="e">
        <f>HLOOKUP(R2955,データについて!$J$12:$M$18,7,FALSE)</f>
        <v>#N/A</v>
      </c>
      <c r="Z2955" s="81" t="e">
        <f>HLOOKUP(I2955,データについて!$J$3:$M$18,16,FALSE)</f>
        <v>#N/A</v>
      </c>
      <c r="AA2955" s="81" t="str">
        <f>IFERROR(HLOOKUP(J2955,データについて!$J$4:$AH$19,16,FALSE),"")</f>
        <v/>
      </c>
      <c r="AB2955" s="81" t="str">
        <f>IFERROR(HLOOKUP(K2955,データについて!$J$5:$AH$20,14,FALSE),"")</f>
        <v/>
      </c>
      <c r="AC2955" s="81" t="e">
        <f>IF(X2955=1,HLOOKUP(R2955,データについて!$J$12:$M$18,7,FALSE),"*")</f>
        <v>#N/A</v>
      </c>
      <c r="AD2955" s="81" t="e">
        <f>IF(X2955=2,HLOOKUP(R2955,データについて!$J$12:$M$18,7,FALSE),"*")</f>
        <v>#N/A</v>
      </c>
    </row>
    <row r="2956" spans="19:30">
      <c r="S2956" s="81" t="e">
        <f>HLOOKUP(L2956,データについて!$J$6:$M$18,13,FALSE)</f>
        <v>#N/A</v>
      </c>
      <c r="T2956" s="81" t="e">
        <f>HLOOKUP(M2956,データについて!$J$7:$M$18,12,FALSE)</f>
        <v>#N/A</v>
      </c>
      <c r="U2956" s="81" t="e">
        <f>HLOOKUP(N2956,データについて!$J$8:$M$18,11,FALSE)</f>
        <v>#N/A</v>
      </c>
      <c r="V2956" s="81" t="e">
        <f>HLOOKUP(O2956,データについて!$J$9:$M$18,10,FALSE)</f>
        <v>#N/A</v>
      </c>
      <c r="W2956" s="81" t="e">
        <f>HLOOKUP(P2956,データについて!$J$10:$M$18,9,FALSE)</f>
        <v>#N/A</v>
      </c>
      <c r="X2956" s="81" t="e">
        <f>HLOOKUP(Q2956,データについて!$J$11:$M$18,8,FALSE)</f>
        <v>#N/A</v>
      </c>
      <c r="Y2956" s="81" t="e">
        <f>HLOOKUP(R2956,データについて!$J$12:$M$18,7,FALSE)</f>
        <v>#N/A</v>
      </c>
      <c r="Z2956" s="81" t="e">
        <f>HLOOKUP(I2956,データについて!$J$3:$M$18,16,FALSE)</f>
        <v>#N/A</v>
      </c>
      <c r="AA2956" s="81" t="str">
        <f>IFERROR(HLOOKUP(J2956,データについて!$J$4:$AH$19,16,FALSE),"")</f>
        <v/>
      </c>
      <c r="AB2956" s="81" t="str">
        <f>IFERROR(HLOOKUP(K2956,データについて!$J$5:$AH$20,14,FALSE),"")</f>
        <v/>
      </c>
      <c r="AC2956" s="81" t="e">
        <f>IF(X2956=1,HLOOKUP(R2956,データについて!$J$12:$M$18,7,FALSE),"*")</f>
        <v>#N/A</v>
      </c>
      <c r="AD2956" s="81" t="e">
        <f>IF(X2956=2,HLOOKUP(R2956,データについて!$J$12:$M$18,7,FALSE),"*")</f>
        <v>#N/A</v>
      </c>
    </row>
    <row r="2957" spans="19:30">
      <c r="S2957" s="81" t="e">
        <f>HLOOKUP(L2957,データについて!$J$6:$M$18,13,FALSE)</f>
        <v>#N/A</v>
      </c>
      <c r="T2957" s="81" t="e">
        <f>HLOOKUP(M2957,データについて!$J$7:$M$18,12,FALSE)</f>
        <v>#N/A</v>
      </c>
      <c r="U2957" s="81" t="e">
        <f>HLOOKUP(N2957,データについて!$J$8:$M$18,11,FALSE)</f>
        <v>#N/A</v>
      </c>
      <c r="V2957" s="81" t="e">
        <f>HLOOKUP(O2957,データについて!$J$9:$M$18,10,FALSE)</f>
        <v>#N/A</v>
      </c>
      <c r="W2957" s="81" t="e">
        <f>HLOOKUP(P2957,データについて!$J$10:$M$18,9,FALSE)</f>
        <v>#N/A</v>
      </c>
      <c r="X2957" s="81" t="e">
        <f>HLOOKUP(Q2957,データについて!$J$11:$M$18,8,FALSE)</f>
        <v>#N/A</v>
      </c>
      <c r="Y2957" s="81" t="e">
        <f>HLOOKUP(R2957,データについて!$J$12:$M$18,7,FALSE)</f>
        <v>#N/A</v>
      </c>
      <c r="Z2957" s="81" t="e">
        <f>HLOOKUP(I2957,データについて!$J$3:$M$18,16,FALSE)</f>
        <v>#N/A</v>
      </c>
      <c r="AA2957" s="81" t="str">
        <f>IFERROR(HLOOKUP(J2957,データについて!$J$4:$AH$19,16,FALSE),"")</f>
        <v/>
      </c>
      <c r="AB2957" s="81" t="str">
        <f>IFERROR(HLOOKUP(K2957,データについて!$J$5:$AH$20,14,FALSE),"")</f>
        <v/>
      </c>
      <c r="AC2957" s="81" t="e">
        <f>IF(X2957=1,HLOOKUP(R2957,データについて!$J$12:$M$18,7,FALSE),"*")</f>
        <v>#N/A</v>
      </c>
      <c r="AD2957" s="81" t="e">
        <f>IF(X2957=2,HLOOKUP(R2957,データについて!$J$12:$M$18,7,FALSE),"*")</f>
        <v>#N/A</v>
      </c>
    </row>
    <row r="2958" spans="19:30">
      <c r="S2958" s="81" t="e">
        <f>HLOOKUP(L2958,データについて!$J$6:$M$18,13,FALSE)</f>
        <v>#N/A</v>
      </c>
      <c r="T2958" s="81" t="e">
        <f>HLOOKUP(M2958,データについて!$J$7:$M$18,12,FALSE)</f>
        <v>#N/A</v>
      </c>
      <c r="U2958" s="81" t="e">
        <f>HLOOKUP(N2958,データについて!$J$8:$M$18,11,FALSE)</f>
        <v>#N/A</v>
      </c>
      <c r="V2958" s="81" t="e">
        <f>HLOOKUP(O2958,データについて!$J$9:$M$18,10,FALSE)</f>
        <v>#N/A</v>
      </c>
      <c r="W2958" s="81" t="e">
        <f>HLOOKUP(P2958,データについて!$J$10:$M$18,9,FALSE)</f>
        <v>#N/A</v>
      </c>
      <c r="X2958" s="81" t="e">
        <f>HLOOKUP(Q2958,データについて!$J$11:$M$18,8,FALSE)</f>
        <v>#N/A</v>
      </c>
      <c r="Y2958" s="81" t="e">
        <f>HLOOKUP(R2958,データについて!$J$12:$M$18,7,FALSE)</f>
        <v>#N/A</v>
      </c>
      <c r="Z2958" s="81" t="e">
        <f>HLOOKUP(I2958,データについて!$J$3:$M$18,16,FALSE)</f>
        <v>#N/A</v>
      </c>
      <c r="AA2958" s="81" t="str">
        <f>IFERROR(HLOOKUP(J2958,データについて!$J$4:$AH$19,16,FALSE),"")</f>
        <v/>
      </c>
      <c r="AB2958" s="81" t="str">
        <f>IFERROR(HLOOKUP(K2958,データについて!$J$5:$AH$20,14,FALSE),"")</f>
        <v/>
      </c>
      <c r="AC2958" s="81" t="e">
        <f>IF(X2958=1,HLOOKUP(R2958,データについて!$J$12:$M$18,7,FALSE),"*")</f>
        <v>#N/A</v>
      </c>
      <c r="AD2958" s="81" t="e">
        <f>IF(X2958=2,HLOOKUP(R2958,データについて!$J$12:$M$18,7,FALSE),"*")</f>
        <v>#N/A</v>
      </c>
    </row>
    <row r="2959" spans="19:30">
      <c r="S2959" s="81" t="e">
        <f>HLOOKUP(L2959,データについて!$J$6:$M$18,13,FALSE)</f>
        <v>#N/A</v>
      </c>
      <c r="T2959" s="81" t="e">
        <f>HLOOKUP(M2959,データについて!$J$7:$M$18,12,FALSE)</f>
        <v>#N/A</v>
      </c>
      <c r="U2959" s="81" t="e">
        <f>HLOOKUP(N2959,データについて!$J$8:$M$18,11,FALSE)</f>
        <v>#N/A</v>
      </c>
      <c r="V2959" s="81" t="e">
        <f>HLOOKUP(O2959,データについて!$J$9:$M$18,10,FALSE)</f>
        <v>#N/A</v>
      </c>
      <c r="W2959" s="81" t="e">
        <f>HLOOKUP(P2959,データについて!$J$10:$M$18,9,FALSE)</f>
        <v>#N/A</v>
      </c>
      <c r="X2959" s="81" t="e">
        <f>HLOOKUP(Q2959,データについて!$J$11:$M$18,8,FALSE)</f>
        <v>#N/A</v>
      </c>
      <c r="Y2959" s="81" t="e">
        <f>HLOOKUP(R2959,データについて!$J$12:$M$18,7,FALSE)</f>
        <v>#N/A</v>
      </c>
      <c r="Z2959" s="81" t="e">
        <f>HLOOKUP(I2959,データについて!$J$3:$M$18,16,FALSE)</f>
        <v>#N/A</v>
      </c>
      <c r="AA2959" s="81" t="str">
        <f>IFERROR(HLOOKUP(J2959,データについて!$J$4:$AH$19,16,FALSE),"")</f>
        <v/>
      </c>
      <c r="AB2959" s="81" t="str">
        <f>IFERROR(HLOOKUP(K2959,データについて!$J$5:$AH$20,14,FALSE),"")</f>
        <v/>
      </c>
      <c r="AC2959" s="81" t="e">
        <f>IF(X2959=1,HLOOKUP(R2959,データについて!$J$12:$M$18,7,FALSE),"*")</f>
        <v>#N/A</v>
      </c>
      <c r="AD2959" s="81" t="e">
        <f>IF(X2959=2,HLOOKUP(R2959,データについて!$J$12:$M$18,7,FALSE),"*")</f>
        <v>#N/A</v>
      </c>
    </row>
    <row r="2960" spans="19:30">
      <c r="S2960" s="81" t="e">
        <f>HLOOKUP(L2960,データについて!$J$6:$M$18,13,FALSE)</f>
        <v>#N/A</v>
      </c>
      <c r="T2960" s="81" t="e">
        <f>HLOOKUP(M2960,データについて!$J$7:$M$18,12,FALSE)</f>
        <v>#N/A</v>
      </c>
      <c r="U2960" s="81" t="e">
        <f>HLOOKUP(N2960,データについて!$J$8:$M$18,11,FALSE)</f>
        <v>#N/A</v>
      </c>
      <c r="V2960" s="81" t="e">
        <f>HLOOKUP(O2960,データについて!$J$9:$M$18,10,FALSE)</f>
        <v>#N/A</v>
      </c>
      <c r="W2960" s="81" t="e">
        <f>HLOOKUP(P2960,データについて!$J$10:$M$18,9,FALSE)</f>
        <v>#N/A</v>
      </c>
      <c r="X2960" s="81" t="e">
        <f>HLOOKUP(Q2960,データについて!$J$11:$M$18,8,FALSE)</f>
        <v>#N/A</v>
      </c>
      <c r="Y2960" s="81" t="e">
        <f>HLOOKUP(R2960,データについて!$J$12:$M$18,7,FALSE)</f>
        <v>#N/A</v>
      </c>
      <c r="Z2960" s="81" t="e">
        <f>HLOOKUP(I2960,データについて!$J$3:$M$18,16,FALSE)</f>
        <v>#N/A</v>
      </c>
      <c r="AA2960" s="81" t="str">
        <f>IFERROR(HLOOKUP(J2960,データについて!$J$4:$AH$19,16,FALSE),"")</f>
        <v/>
      </c>
      <c r="AB2960" s="81" t="str">
        <f>IFERROR(HLOOKUP(K2960,データについて!$J$5:$AH$20,14,FALSE),"")</f>
        <v/>
      </c>
      <c r="AC2960" s="81" t="e">
        <f>IF(X2960=1,HLOOKUP(R2960,データについて!$J$12:$M$18,7,FALSE),"*")</f>
        <v>#N/A</v>
      </c>
      <c r="AD2960" s="81" t="e">
        <f>IF(X2960=2,HLOOKUP(R2960,データについて!$J$12:$M$18,7,FALSE),"*")</f>
        <v>#N/A</v>
      </c>
    </row>
    <row r="2961" spans="19:30">
      <c r="S2961" s="81" t="e">
        <f>HLOOKUP(L2961,データについて!$J$6:$M$18,13,FALSE)</f>
        <v>#N/A</v>
      </c>
      <c r="T2961" s="81" t="e">
        <f>HLOOKUP(M2961,データについて!$J$7:$M$18,12,FALSE)</f>
        <v>#N/A</v>
      </c>
      <c r="U2961" s="81" t="e">
        <f>HLOOKUP(N2961,データについて!$J$8:$M$18,11,FALSE)</f>
        <v>#N/A</v>
      </c>
      <c r="V2961" s="81" t="e">
        <f>HLOOKUP(O2961,データについて!$J$9:$M$18,10,FALSE)</f>
        <v>#N/A</v>
      </c>
      <c r="W2961" s="81" t="e">
        <f>HLOOKUP(P2961,データについて!$J$10:$M$18,9,FALSE)</f>
        <v>#N/A</v>
      </c>
      <c r="X2961" s="81" t="e">
        <f>HLOOKUP(Q2961,データについて!$J$11:$M$18,8,FALSE)</f>
        <v>#N/A</v>
      </c>
      <c r="Y2961" s="81" t="e">
        <f>HLOOKUP(R2961,データについて!$J$12:$M$18,7,FALSE)</f>
        <v>#N/A</v>
      </c>
      <c r="Z2961" s="81" t="e">
        <f>HLOOKUP(I2961,データについて!$J$3:$M$18,16,FALSE)</f>
        <v>#N/A</v>
      </c>
      <c r="AA2961" s="81" t="str">
        <f>IFERROR(HLOOKUP(J2961,データについて!$J$4:$AH$19,16,FALSE),"")</f>
        <v/>
      </c>
      <c r="AB2961" s="81" t="str">
        <f>IFERROR(HLOOKUP(K2961,データについて!$J$5:$AH$20,14,FALSE),"")</f>
        <v/>
      </c>
      <c r="AC2961" s="81" t="e">
        <f>IF(X2961=1,HLOOKUP(R2961,データについて!$J$12:$M$18,7,FALSE),"*")</f>
        <v>#N/A</v>
      </c>
      <c r="AD2961" s="81" t="e">
        <f>IF(X2961=2,HLOOKUP(R2961,データについて!$J$12:$M$18,7,FALSE),"*")</f>
        <v>#N/A</v>
      </c>
    </row>
    <row r="2962" spans="19:30">
      <c r="S2962" s="81" t="e">
        <f>HLOOKUP(L2962,データについて!$J$6:$M$18,13,FALSE)</f>
        <v>#N/A</v>
      </c>
      <c r="T2962" s="81" t="e">
        <f>HLOOKUP(M2962,データについて!$J$7:$M$18,12,FALSE)</f>
        <v>#N/A</v>
      </c>
      <c r="U2962" s="81" t="e">
        <f>HLOOKUP(N2962,データについて!$J$8:$M$18,11,FALSE)</f>
        <v>#N/A</v>
      </c>
      <c r="V2962" s="81" t="e">
        <f>HLOOKUP(O2962,データについて!$J$9:$M$18,10,FALSE)</f>
        <v>#N/A</v>
      </c>
      <c r="W2962" s="81" t="e">
        <f>HLOOKUP(P2962,データについて!$J$10:$M$18,9,FALSE)</f>
        <v>#N/A</v>
      </c>
      <c r="X2962" s="81" t="e">
        <f>HLOOKUP(Q2962,データについて!$J$11:$M$18,8,FALSE)</f>
        <v>#N/A</v>
      </c>
      <c r="Y2962" s="81" t="e">
        <f>HLOOKUP(R2962,データについて!$J$12:$M$18,7,FALSE)</f>
        <v>#N/A</v>
      </c>
      <c r="Z2962" s="81" t="e">
        <f>HLOOKUP(I2962,データについて!$J$3:$M$18,16,FALSE)</f>
        <v>#N/A</v>
      </c>
      <c r="AA2962" s="81" t="str">
        <f>IFERROR(HLOOKUP(J2962,データについて!$J$4:$AH$19,16,FALSE),"")</f>
        <v/>
      </c>
      <c r="AB2962" s="81" t="str">
        <f>IFERROR(HLOOKUP(K2962,データについて!$J$5:$AH$20,14,FALSE),"")</f>
        <v/>
      </c>
      <c r="AC2962" s="81" t="e">
        <f>IF(X2962=1,HLOOKUP(R2962,データについて!$J$12:$M$18,7,FALSE),"*")</f>
        <v>#N/A</v>
      </c>
      <c r="AD2962" s="81" t="e">
        <f>IF(X2962=2,HLOOKUP(R2962,データについて!$J$12:$M$18,7,FALSE),"*")</f>
        <v>#N/A</v>
      </c>
    </row>
    <row r="2963" spans="19:30">
      <c r="S2963" s="81" t="e">
        <f>HLOOKUP(L2963,データについて!$J$6:$M$18,13,FALSE)</f>
        <v>#N/A</v>
      </c>
      <c r="T2963" s="81" t="e">
        <f>HLOOKUP(M2963,データについて!$J$7:$M$18,12,FALSE)</f>
        <v>#N/A</v>
      </c>
      <c r="U2963" s="81" t="e">
        <f>HLOOKUP(N2963,データについて!$J$8:$M$18,11,FALSE)</f>
        <v>#N/A</v>
      </c>
      <c r="V2963" s="81" t="e">
        <f>HLOOKUP(O2963,データについて!$J$9:$M$18,10,FALSE)</f>
        <v>#N/A</v>
      </c>
      <c r="W2963" s="81" t="e">
        <f>HLOOKUP(P2963,データについて!$J$10:$M$18,9,FALSE)</f>
        <v>#N/A</v>
      </c>
      <c r="X2963" s="81" t="e">
        <f>HLOOKUP(Q2963,データについて!$J$11:$M$18,8,FALSE)</f>
        <v>#N/A</v>
      </c>
      <c r="Y2963" s="81" t="e">
        <f>HLOOKUP(R2963,データについて!$J$12:$M$18,7,FALSE)</f>
        <v>#N/A</v>
      </c>
      <c r="Z2963" s="81" t="e">
        <f>HLOOKUP(I2963,データについて!$J$3:$M$18,16,FALSE)</f>
        <v>#N/A</v>
      </c>
      <c r="AA2963" s="81" t="str">
        <f>IFERROR(HLOOKUP(J2963,データについて!$J$4:$AH$19,16,FALSE),"")</f>
        <v/>
      </c>
      <c r="AB2963" s="81" t="str">
        <f>IFERROR(HLOOKUP(K2963,データについて!$J$5:$AH$20,14,FALSE),"")</f>
        <v/>
      </c>
      <c r="AC2963" s="81" t="e">
        <f>IF(X2963=1,HLOOKUP(R2963,データについて!$J$12:$M$18,7,FALSE),"*")</f>
        <v>#N/A</v>
      </c>
      <c r="AD2963" s="81" t="e">
        <f>IF(X2963=2,HLOOKUP(R2963,データについて!$J$12:$M$18,7,FALSE),"*")</f>
        <v>#N/A</v>
      </c>
    </row>
    <row r="2964" spans="19:30">
      <c r="S2964" s="81" t="e">
        <f>HLOOKUP(L2964,データについて!$J$6:$M$18,13,FALSE)</f>
        <v>#N/A</v>
      </c>
      <c r="T2964" s="81" t="e">
        <f>HLOOKUP(M2964,データについて!$J$7:$M$18,12,FALSE)</f>
        <v>#N/A</v>
      </c>
      <c r="U2964" s="81" t="e">
        <f>HLOOKUP(N2964,データについて!$J$8:$M$18,11,FALSE)</f>
        <v>#N/A</v>
      </c>
      <c r="V2964" s="81" t="e">
        <f>HLOOKUP(O2964,データについて!$J$9:$M$18,10,FALSE)</f>
        <v>#N/A</v>
      </c>
      <c r="W2964" s="81" t="e">
        <f>HLOOKUP(P2964,データについて!$J$10:$M$18,9,FALSE)</f>
        <v>#N/A</v>
      </c>
      <c r="X2964" s="81" t="e">
        <f>HLOOKUP(Q2964,データについて!$J$11:$M$18,8,FALSE)</f>
        <v>#N/A</v>
      </c>
      <c r="Y2964" s="81" t="e">
        <f>HLOOKUP(R2964,データについて!$J$12:$M$18,7,FALSE)</f>
        <v>#N/A</v>
      </c>
      <c r="Z2964" s="81" t="e">
        <f>HLOOKUP(I2964,データについて!$J$3:$M$18,16,FALSE)</f>
        <v>#N/A</v>
      </c>
      <c r="AA2964" s="81" t="str">
        <f>IFERROR(HLOOKUP(J2964,データについて!$J$4:$AH$19,16,FALSE),"")</f>
        <v/>
      </c>
      <c r="AB2964" s="81" t="str">
        <f>IFERROR(HLOOKUP(K2964,データについて!$J$5:$AH$20,14,FALSE),"")</f>
        <v/>
      </c>
      <c r="AC2964" s="81" t="e">
        <f>IF(X2964=1,HLOOKUP(R2964,データについて!$J$12:$M$18,7,FALSE),"*")</f>
        <v>#N/A</v>
      </c>
      <c r="AD2964" s="81" t="e">
        <f>IF(X2964=2,HLOOKUP(R2964,データについて!$J$12:$M$18,7,FALSE),"*")</f>
        <v>#N/A</v>
      </c>
    </row>
    <row r="2965" spans="19:30">
      <c r="S2965" s="81" t="e">
        <f>HLOOKUP(L2965,データについて!$J$6:$M$18,13,FALSE)</f>
        <v>#N/A</v>
      </c>
      <c r="T2965" s="81" t="e">
        <f>HLOOKUP(M2965,データについて!$J$7:$M$18,12,FALSE)</f>
        <v>#N/A</v>
      </c>
      <c r="U2965" s="81" t="e">
        <f>HLOOKUP(N2965,データについて!$J$8:$M$18,11,FALSE)</f>
        <v>#N/A</v>
      </c>
      <c r="V2965" s="81" t="e">
        <f>HLOOKUP(O2965,データについて!$J$9:$M$18,10,FALSE)</f>
        <v>#N/A</v>
      </c>
      <c r="W2965" s="81" t="e">
        <f>HLOOKUP(P2965,データについて!$J$10:$M$18,9,FALSE)</f>
        <v>#N/A</v>
      </c>
      <c r="X2965" s="81" t="e">
        <f>HLOOKUP(Q2965,データについて!$J$11:$M$18,8,FALSE)</f>
        <v>#N/A</v>
      </c>
      <c r="Y2965" s="81" t="e">
        <f>HLOOKUP(R2965,データについて!$J$12:$M$18,7,FALSE)</f>
        <v>#N/A</v>
      </c>
      <c r="Z2965" s="81" t="e">
        <f>HLOOKUP(I2965,データについて!$J$3:$M$18,16,FALSE)</f>
        <v>#N/A</v>
      </c>
      <c r="AA2965" s="81" t="str">
        <f>IFERROR(HLOOKUP(J2965,データについて!$J$4:$AH$19,16,FALSE),"")</f>
        <v/>
      </c>
      <c r="AB2965" s="81" t="str">
        <f>IFERROR(HLOOKUP(K2965,データについて!$J$5:$AH$20,14,FALSE),"")</f>
        <v/>
      </c>
      <c r="AC2965" s="81" t="e">
        <f>IF(X2965=1,HLOOKUP(R2965,データについて!$J$12:$M$18,7,FALSE),"*")</f>
        <v>#N/A</v>
      </c>
      <c r="AD2965" s="81" t="e">
        <f>IF(X2965=2,HLOOKUP(R2965,データについて!$J$12:$M$18,7,FALSE),"*")</f>
        <v>#N/A</v>
      </c>
    </row>
    <row r="2966" spans="19:30">
      <c r="S2966" s="81" t="e">
        <f>HLOOKUP(L2966,データについて!$J$6:$M$18,13,FALSE)</f>
        <v>#N/A</v>
      </c>
      <c r="T2966" s="81" t="e">
        <f>HLOOKUP(M2966,データについて!$J$7:$M$18,12,FALSE)</f>
        <v>#N/A</v>
      </c>
      <c r="U2966" s="81" t="e">
        <f>HLOOKUP(N2966,データについて!$J$8:$M$18,11,FALSE)</f>
        <v>#N/A</v>
      </c>
      <c r="V2966" s="81" t="e">
        <f>HLOOKUP(O2966,データについて!$J$9:$M$18,10,FALSE)</f>
        <v>#N/A</v>
      </c>
      <c r="W2966" s="81" t="e">
        <f>HLOOKUP(P2966,データについて!$J$10:$M$18,9,FALSE)</f>
        <v>#N/A</v>
      </c>
      <c r="X2966" s="81" t="e">
        <f>HLOOKUP(Q2966,データについて!$J$11:$M$18,8,FALSE)</f>
        <v>#N/A</v>
      </c>
      <c r="Y2966" s="81" t="e">
        <f>HLOOKUP(R2966,データについて!$J$12:$M$18,7,FALSE)</f>
        <v>#N/A</v>
      </c>
      <c r="Z2966" s="81" t="e">
        <f>HLOOKUP(I2966,データについて!$J$3:$M$18,16,FALSE)</f>
        <v>#N/A</v>
      </c>
      <c r="AA2966" s="81" t="str">
        <f>IFERROR(HLOOKUP(J2966,データについて!$J$4:$AH$19,16,FALSE),"")</f>
        <v/>
      </c>
      <c r="AB2966" s="81" t="str">
        <f>IFERROR(HLOOKUP(K2966,データについて!$J$5:$AH$20,14,FALSE),"")</f>
        <v/>
      </c>
      <c r="AC2966" s="81" t="e">
        <f>IF(X2966=1,HLOOKUP(R2966,データについて!$J$12:$M$18,7,FALSE),"*")</f>
        <v>#N/A</v>
      </c>
      <c r="AD2966" s="81" t="e">
        <f>IF(X2966=2,HLOOKUP(R2966,データについて!$J$12:$M$18,7,FALSE),"*")</f>
        <v>#N/A</v>
      </c>
    </row>
    <row r="2967" spans="19:30">
      <c r="S2967" s="81" t="e">
        <f>HLOOKUP(L2967,データについて!$J$6:$M$18,13,FALSE)</f>
        <v>#N/A</v>
      </c>
      <c r="T2967" s="81" t="e">
        <f>HLOOKUP(M2967,データについて!$J$7:$M$18,12,FALSE)</f>
        <v>#N/A</v>
      </c>
      <c r="U2967" s="81" t="e">
        <f>HLOOKUP(N2967,データについて!$J$8:$M$18,11,FALSE)</f>
        <v>#N/A</v>
      </c>
      <c r="V2967" s="81" t="e">
        <f>HLOOKUP(O2967,データについて!$J$9:$M$18,10,FALSE)</f>
        <v>#N/A</v>
      </c>
      <c r="W2967" s="81" t="e">
        <f>HLOOKUP(P2967,データについて!$J$10:$M$18,9,FALSE)</f>
        <v>#N/A</v>
      </c>
      <c r="X2967" s="81" t="e">
        <f>HLOOKUP(Q2967,データについて!$J$11:$M$18,8,FALSE)</f>
        <v>#N/A</v>
      </c>
      <c r="Y2967" s="81" t="e">
        <f>HLOOKUP(R2967,データについて!$J$12:$M$18,7,FALSE)</f>
        <v>#N/A</v>
      </c>
      <c r="Z2967" s="81" t="e">
        <f>HLOOKUP(I2967,データについて!$J$3:$M$18,16,FALSE)</f>
        <v>#N/A</v>
      </c>
      <c r="AA2967" s="81" t="str">
        <f>IFERROR(HLOOKUP(J2967,データについて!$J$4:$AH$19,16,FALSE),"")</f>
        <v/>
      </c>
      <c r="AB2967" s="81" t="str">
        <f>IFERROR(HLOOKUP(K2967,データについて!$J$5:$AH$20,14,FALSE),"")</f>
        <v/>
      </c>
      <c r="AC2967" s="81" t="e">
        <f>IF(X2967=1,HLOOKUP(R2967,データについて!$J$12:$M$18,7,FALSE),"*")</f>
        <v>#N/A</v>
      </c>
      <c r="AD2967" s="81" t="e">
        <f>IF(X2967=2,HLOOKUP(R2967,データについて!$J$12:$M$18,7,FALSE),"*")</f>
        <v>#N/A</v>
      </c>
    </row>
    <row r="2968" spans="19:30">
      <c r="S2968" s="81" t="e">
        <f>HLOOKUP(L2968,データについて!$J$6:$M$18,13,FALSE)</f>
        <v>#N/A</v>
      </c>
      <c r="T2968" s="81" t="e">
        <f>HLOOKUP(M2968,データについて!$J$7:$M$18,12,FALSE)</f>
        <v>#N/A</v>
      </c>
      <c r="U2968" s="81" t="e">
        <f>HLOOKUP(N2968,データについて!$J$8:$M$18,11,FALSE)</f>
        <v>#N/A</v>
      </c>
      <c r="V2968" s="81" t="e">
        <f>HLOOKUP(O2968,データについて!$J$9:$M$18,10,FALSE)</f>
        <v>#N/A</v>
      </c>
      <c r="W2968" s="81" t="e">
        <f>HLOOKUP(P2968,データについて!$J$10:$M$18,9,FALSE)</f>
        <v>#N/A</v>
      </c>
      <c r="X2968" s="81" t="e">
        <f>HLOOKUP(Q2968,データについて!$J$11:$M$18,8,FALSE)</f>
        <v>#N/A</v>
      </c>
      <c r="Y2968" s="81" t="e">
        <f>HLOOKUP(R2968,データについて!$J$12:$M$18,7,FALSE)</f>
        <v>#N/A</v>
      </c>
      <c r="Z2968" s="81" t="e">
        <f>HLOOKUP(I2968,データについて!$J$3:$M$18,16,FALSE)</f>
        <v>#N/A</v>
      </c>
      <c r="AA2968" s="81" t="str">
        <f>IFERROR(HLOOKUP(J2968,データについて!$J$4:$AH$19,16,FALSE),"")</f>
        <v/>
      </c>
      <c r="AB2968" s="81" t="str">
        <f>IFERROR(HLOOKUP(K2968,データについて!$J$5:$AH$20,14,FALSE),"")</f>
        <v/>
      </c>
      <c r="AC2968" s="81" t="e">
        <f>IF(X2968=1,HLOOKUP(R2968,データについて!$J$12:$M$18,7,FALSE),"*")</f>
        <v>#N/A</v>
      </c>
      <c r="AD2968" s="81" t="e">
        <f>IF(X2968=2,HLOOKUP(R2968,データについて!$J$12:$M$18,7,FALSE),"*")</f>
        <v>#N/A</v>
      </c>
    </row>
    <row r="2969" spans="19:30">
      <c r="S2969" s="81" t="e">
        <f>HLOOKUP(L2969,データについて!$J$6:$M$18,13,FALSE)</f>
        <v>#N/A</v>
      </c>
      <c r="T2969" s="81" t="e">
        <f>HLOOKUP(M2969,データについて!$J$7:$M$18,12,FALSE)</f>
        <v>#N/A</v>
      </c>
      <c r="U2969" s="81" t="e">
        <f>HLOOKUP(N2969,データについて!$J$8:$M$18,11,FALSE)</f>
        <v>#N/A</v>
      </c>
      <c r="V2969" s="81" t="e">
        <f>HLOOKUP(O2969,データについて!$J$9:$M$18,10,FALSE)</f>
        <v>#N/A</v>
      </c>
      <c r="W2969" s="81" t="e">
        <f>HLOOKUP(P2969,データについて!$J$10:$M$18,9,FALSE)</f>
        <v>#N/A</v>
      </c>
      <c r="X2969" s="81" t="e">
        <f>HLOOKUP(Q2969,データについて!$J$11:$M$18,8,FALSE)</f>
        <v>#N/A</v>
      </c>
      <c r="Y2969" s="81" t="e">
        <f>HLOOKUP(R2969,データについて!$J$12:$M$18,7,FALSE)</f>
        <v>#N/A</v>
      </c>
      <c r="Z2969" s="81" t="e">
        <f>HLOOKUP(I2969,データについて!$J$3:$M$18,16,FALSE)</f>
        <v>#N/A</v>
      </c>
      <c r="AA2969" s="81" t="str">
        <f>IFERROR(HLOOKUP(J2969,データについて!$J$4:$AH$19,16,FALSE),"")</f>
        <v/>
      </c>
      <c r="AB2969" s="81" t="str">
        <f>IFERROR(HLOOKUP(K2969,データについて!$J$5:$AH$20,14,FALSE),"")</f>
        <v/>
      </c>
      <c r="AC2969" s="81" t="e">
        <f>IF(X2969=1,HLOOKUP(R2969,データについて!$J$12:$M$18,7,FALSE),"*")</f>
        <v>#N/A</v>
      </c>
      <c r="AD2969" s="81" t="e">
        <f>IF(X2969=2,HLOOKUP(R2969,データについて!$J$12:$M$18,7,FALSE),"*")</f>
        <v>#N/A</v>
      </c>
    </row>
    <row r="2970" spans="19:30">
      <c r="S2970" s="81" t="e">
        <f>HLOOKUP(L2970,データについて!$J$6:$M$18,13,FALSE)</f>
        <v>#N/A</v>
      </c>
      <c r="T2970" s="81" t="e">
        <f>HLOOKUP(M2970,データについて!$J$7:$M$18,12,FALSE)</f>
        <v>#N/A</v>
      </c>
      <c r="U2970" s="81" t="e">
        <f>HLOOKUP(N2970,データについて!$J$8:$M$18,11,FALSE)</f>
        <v>#N/A</v>
      </c>
      <c r="V2970" s="81" t="e">
        <f>HLOOKUP(O2970,データについて!$J$9:$M$18,10,FALSE)</f>
        <v>#N/A</v>
      </c>
      <c r="W2970" s="81" t="e">
        <f>HLOOKUP(P2970,データについて!$J$10:$M$18,9,FALSE)</f>
        <v>#N/A</v>
      </c>
      <c r="X2970" s="81" t="e">
        <f>HLOOKUP(Q2970,データについて!$J$11:$M$18,8,FALSE)</f>
        <v>#N/A</v>
      </c>
      <c r="Y2970" s="81" t="e">
        <f>HLOOKUP(R2970,データについて!$J$12:$M$18,7,FALSE)</f>
        <v>#N/A</v>
      </c>
      <c r="Z2970" s="81" t="e">
        <f>HLOOKUP(I2970,データについて!$J$3:$M$18,16,FALSE)</f>
        <v>#N/A</v>
      </c>
      <c r="AA2970" s="81" t="str">
        <f>IFERROR(HLOOKUP(J2970,データについて!$J$4:$AH$19,16,FALSE),"")</f>
        <v/>
      </c>
      <c r="AB2970" s="81" t="str">
        <f>IFERROR(HLOOKUP(K2970,データについて!$J$5:$AH$20,14,FALSE),"")</f>
        <v/>
      </c>
      <c r="AC2970" s="81" t="e">
        <f>IF(X2970=1,HLOOKUP(R2970,データについて!$J$12:$M$18,7,FALSE),"*")</f>
        <v>#N/A</v>
      </c>
      <c r="AD2970" s="81" t="e">
        <f>IF(X2970=2,HLOOKUP(R2970,データについて!$J$12:$M$18,7,FALSE),"*")</f>
        <v>#N/A</v>
      </c>
    </row>
    <row r="2971" spans="19:30">
      <c r="S2971" s="81" t="e">
        <f>HLOOKUP(L2971,データについて!$J$6:$M$18,13,FALSE)</f>
        <v>#N/A</v>
      </c>
      <c r="T2971" s="81" t="e">
        <f>HLOOKUP(M2971,データについて!$J$7:$M$18,12,FALSE)</f>
        <v>#N/A</v>
      </c>
      <c r="U2971" s="81" t="e">
        <f>HLOOKUP(N2971,データについて!$J$8:$M$18,11,FALSE)</f>
        <v>#N/A</v>
      </c>
      <c r="V2971" s="81" t="e">
        <f>HLOOKUP(O2971,データについて!$J$9:$M$18,10,FALSE)</f>
        <v>#N/A</v>
      </c>
      <c r="W2971" s="81" t="e">
        <f>HLOOKUP(P2971,データについて!$J$10:$M$18,9,FALSE)</f>
        <v>#N/A</v>
      </c>
      <c r="X2971" s="81" t="e">
        <f>HLOOKUP(Q2971,データについて!$J$11:$M$18,8,FALSE)</f>
        <v>#N/A</v>
      </c>
      <c r="Y2971" s="81" t="e">
        <f>HLOOKUP(R2971,データについて!$J$12:$M$18,7,FALSE)</f>
        <v>#N/A</v>
      </c>
      <c r="Z2971" s="81" t="e">
        <f>HLOOKUP(I2971,データについて!$J$3:$M$18,16,FALSE)</f>
        <v>#N/A</v>
      </c>
      <c r="AA2971" s="81" t="str">
        <f>IFERROR(HLOOKUP(J2971,データについて!$J$4:$AH$19,16,FALSE),"")</f>
        <v/>
      </c>
      <c r="AB2971" s="81" t="str">
        <f>IFERROR(HLOOKUP(K2971,データについて!$J$5:$AH$20,14,FALSE),"")</f>
        <v/>
      </c>
      <c r="AC2971" s="81" t="e">
        <f>IF(X2971=1,HLOOKUP(R2971,データについて!$J$12:$M$18,7,FALSE),"*")</f>
        <v>#N/A</v>
      </c>
      <c r="AD2971" s="81" t="e">
        <f>IF(X2971=2,HLOOKUP(R2971,データについて!$J$12:$M$18,7,FALSE),"*")</f>
        <v>#N/A</v>
      </c>
    </row>
    <row r="2972" spans="19:30">
      <c r="S2972" s="81" t="e">
        <f>HLOOKUP(L2972,データについて!$J$6:$M$18,13,FALSE)</f>
        <v>#N/A</v>
      </c>
      <c r="T2972" s="81" t="e">
        <f>HLOOKUP(M2972,データについて!$J$7:$M$18,12,FALSE)</f>
        <v>#N/A</v>
      </c>
      <c r="U2972" s="81" t="e">
        <f>HLOOKUP(N2972,データについて!$J$8:$M$18,11,FALSE)</f>
        <v>#N/A</v>
      </c>
      <c r="V2972" s="81" t="e">
        <f>HLOOKUP(O2972,データについて!$J$9:$M$18,10,FALSE)</f>
        <v>#N/A</v>
      </c>
      <c r="W2972" s="81" t="e">
        <f>HLOOKUP(P2972,データについて!$J$10:$M$18,9,FALSE)</f>
        <v>#N/A</v>
      </c>
      <c r="X2972" s="81" t="e">
        <f>HLOOKUP(Q2972,データについて!$J$11:$M$18,8,FALSE)</f>
        <v>#N/A</v>
      </c>
      <c r="Y2972" s="81" t="e">
        <f>HLOOKUP(R2972,データについて!$J$12:$M$18,7,FALSE)</f>
        <v>#N/A</v>
      </c>
      <c r="Z2972" s="81" t="e">
        <f>HLOOKUP(I2972,データについて!$J$3:$M$18,16,FALSE)</f>
        <v>#N/A</v>
      </c>
      <c r="AA2972" s="81" t="str">
        <f>IFERROR(HLOOKUP(J2972,データについて!$J$4:$AH$19,16,FALSE),"")</f>
        <v/>
      </c>
      <c r="AB2972" s="81" t="str">
        <f>IFERROR(HLOOKUP(K2972,データについて!$J$5:$AH$20,14,FALSE),"")</f>
        <v/>
      </c>
      <c r="AC2972" s="81" t="e">
        <f>IF(X2972=1,HLOOKUP(R2972,データについて!$J$12:$M$18,7,FALSE),"*")</f>
        <v>#N/A</v>
      </c>
      <c r="AD2972" s="81" t="e">
        <f>IF(X2972=2,HLOOKUP(R2972,データについて!$J$12:$M$18,7,FALSE),"*")</f>
        <v>#N/A</v>
      </c>
    </row>
    <row r="2973" spans="19:30">
      <c r="S2973" s="81" t="e">
        <f>HLOOKUP(L2973,データについて!$J$6:$M$18,13,FALSE)</f>
        <v>#N/A</v>
      </c>
      <c r="T2973" s="81" t="e">
        <f>HLOOKUP(M2973,データについて!$J$7:$M$18,12,FALSE)</f>
        <v>#N/A</v>
      </c>
      <c r="U2973" s="81" t="e">
        <f>HLOOKUP(N2973,データについて!$J$8:$M$18,11,FALSE)</f>
        <v>#N/A</v>
      </c>
      <c r="V2973" s="81" t="e">
        <f>HLOOKUP(O2973,データについて!$J$9:$M$18,10,FALSE)</f>
        <v>#N/A</v>
      </c>
      <c r="W2973" s="81" t="e">
        <f>HLOOKUP(P2973,データについて!$J$10:$M$18,9,FALSE)</f>
        <v>#N/A</v>
      </c>
      <c r="X2973" s="81" t="e">
        <f>HLOOKUP(Q2973,データについて!$J$11:$M$18,8,FALSE)</f>
        <v>#N/A</v>
      </c>
      <c r="Y2973" s="81" t="e">
        <f>HLOOKUP(R2973,データについて!$J$12:$M$18,7,FALSE)</f>
        <v>#N/A</v>
      </c>
      <c r="Z2973" s="81" t="e">
        <f>HLOOKUP(I2973,データについて!$J$3:$M$18,16,FALSE)</f>
        <v>#N/A</v>
      </c>
      <c r="AA2973" s="81" t="str">
        <f>IFERROR(HLOOKUP(J2973,データについて!$J$4:$AH$19,16,FALSE),"")</f>
        <v/>
      </c>
      <c r="AB2973" s="81" t="str">
        <f>IFERROR(HLOOKUP(K2973,データについて!$J$5:$AH$20,14,FALSE),"")</f>
        <v/>
      </c>
      <c r="AC2973" s="81" t="e">
        <f>IF(X2973=1,HLOOKUP(R2973,データについて!$J$12:$M$18,7,FALSE),"*")</f>
        <v>#N/A</v>
      </c>
      <c r="AD2973" s="81" t="e">
        <f>IF(X2973=2,HLOOKUP(R2973,データについて!$J$12:$M$18,7,FALSE),"*")</f>
        <v>#N/A</v>
      </c>
    </row>
    <row r="2974" spans="19:30">
      <c r="S2974" s="81" t="e">
        <f>HLOOKUP(L2974,データについて!$J$6:$M$18,13,FALSE)</f>
        <v>#N/A</v>
      </c>
      <c r="T2974" s="81" t="e">
        <f>HLOOKUP(M2974,データについて!$J$7:$M$18,12,FALSE)</f>
        <v>#N/A</v>
      </c>
      <c r="U2974" s="81" t="e">
        <f>HLOOKUP(N2974,データについて!$J$8:$M$18,11,FALSE)</f>
        <v>#N/A</v>
      </c>
      <c r="V2974" s="81" t="e">
        <f>HLOOKUP(O2974,データについて!$J$9:$M$18,10,FALSE)</f>
        <v>#N/A</v>
      </c>
      <c r="W2974" s="81" t="e">
        <f>HLOOKUP(P2974,データについて!$J$10:$M$18,9,FALSE)</f>
        <v>#N/A</v>
      </c>
      <c r="X2974" s="81" t="e">
        <f>HLOOKUP(Q2974,データについて!$J$11:$M$18,8,FALSE)</f>
        <v>#N/A</v>
      </c>
      <c r="Y2974" s="81" t="e">
        <f>HLOOKUP(R2974,データについて!$J$12:$M$18,7,FALSE)</f>
        <v>#N/A</v>
      </c>
      <c r="Z2974" s="81" t="e">
        <f>HLOOKUP(I2974,データについて!$J$3:$M$18,16,FALSE)</f>
        <v>#N/A</v>
      </c>
      <c r="AA2974" s="81" t="str">
        <f>IFERROR(HLOOKUP(J2974,データについて!$J$4:$AH$19,16,FALSE),"")</f>
        <v/>
      </c>
      <c r="AB2974" s="81" t="str">
        <f>IFERROR(HLOOKUP(K2974,データについて!$J$5:$AH$20,14,FALSE),"")</f>
        <v/>
      </c>
      <c r="AC2974" s="81" t="e">
        <f>IF(X2974=1,HLOOKUP(R2974,データについて!$J$12:$M$18,7,FALSE),"*")</f>
        <v>#N/A</v>
      </c>
      <c r="AD2974" s="81" t="e">
        <f>IF(X2974=2,HLOOKUP(R2974,データについて!$J$12:$M$18,7,FALSE),"*")</f>
        <v>#N/A</v>
      </c>
    </row>
    <row r="2975" spans="19:30">
      <c r="S2975" s="81" t="e">
        <f>HLOOKUP(L2975,データについて!$J$6:$M$18,13,FALSE)</f>
        <v>#N/A</v>
      </c>
      <c r="T2975" s="81" t="e">
        <f>HLOOKUP(M2975,データについて!$J$7:$M$18,12,FALSE)</f>
        <v>#N/A</v>
      </c>
      <c r="U2975" s="81" t="e">
        <f>HLOOKUP(N2975,データについて!$J$8:$M$18,11,FALSE)</f>
        <v>#N/A</v>
      </c>
      <c r="V2975" s="81" t="e">
        <f>HLOOKUP(O2975,データについて!$J$9:$M$18,10,FALSE)</f>
        <v>#N/A</v>
      </c>
      <c r="W2975" s="81" t="e">
        <f>HLOOKUP(P2975,データについて!$J$10:$M$18,9,FALSE)</f>
        <v>#N/A</v>
      </c>
      <c r="X2975" s="81" t="e">
        <f>HLOOKUP(Q2975,データについて!$J$11:$M$18,8,FALSE)</f>
        <v>#N/A</v>
      </c>
      <c r="Y2975" s="81" t="e">
        <f>HLOOKUP(R2975,データについて!$J$12:$M$18,7,FALSE)</f>
        <v>#N/A</v>
      </c>
      <c r="Z2975" s="81" t="e">
        <f>HLOOKUP(I2975,データについて!$J$3:$M$18,16,FALSE)</f>
        <v>#N/A</v>
      </c>
      <c r="AA2975" s="81" t="str">
        <f>IFERROR(HLOOKUP(J2975,データについて!$J$4:$AH$19,16,FALSE),"")</f>
        <v/>
      </c>
      <c r="AB2975" s="81" t="str">
        <f>IFERROR(HLOOKUP(K2975,データについて!$J$5:$AH$20,14,FALSE),"")</f>
        <v/>
      </c>
      <c r="AC2975" s="81" t="e">
        <f>IF(X2975=1,HLOOKUP(R2975,データについて!$J$12:$M$18,7,FALSE),"*")</f>
        <v>#N/A</v>
      </c>
      <c r="AD2975" s="81" t="e">
        <f>IF(X2975=2,HLOOKUP(R2975,データについて!$J$12:$M$18,7,FALSE),"*")</f>
        <v>#N/A</v>
      </c>
    </row>
    <row r="2976" spans="19:30">
      <c r="S2976" s="81" t="e">
        <f>HLOOKUP(L2976,データについて!$J$6:$M$18,13,FALSE)</f>
        <v>#N/A</v>
      </c>
      <c r="T2976" s="81" t="e">
        <f>HLOOKUP(M2976,データについて!$J$7:$M$18,12,FALSE)</f>
        <v>#N/A</v>
      </c>
      <c r="U2976" s="81" t="e">
        <f>HLOOKUP(N2976,データについて!$J$8:$M$18,11,FALSE)</f>
        <v>#N/A</v>
      </c>
      <c r="V2976" s="81" t="e">
        <f>HLOOKUP(O2976,データについて!$J$9:$M$18,10,FALSE)</f>
        <v>#N/A</v>
      </c>
      <c r="W2976" s="81" t="e">
        <f>HLOOKUP(P2976,データについて!$J$10:$M$18,9,FALSE)</f>
        <v>#N/A</v>
      </c>
      <c r="X2976" s="81" t="e">
        <f>HLOOKUP(Q2976,データについて!$J$11:$M$18,8,FALSE)</f>
        <v>#N/A</v>
      </c>
      <c r="Y2976" s="81" t="e">
        <f>HLOOKUP(R2976,データについて!$J$12:$M$18,7,FALSE)</f>
        <v>#N/A</v>
      </c>
      <c r="Z2976" s="81" t="e">
        <f>HLOOKUP(I2976,データについて!$J$3:$M$18,16,FALSE)</f>
        <v>#N/A</v>
      </c>
      <c r="AA2976" s="81" t="str">
        <f>IFERROR(HLOOKUP(J2976,データについて!$J$4:$AH$19,16,FALSE),"")</f>
        <v/>
      </c>
      <c r="AB2976" s="81" t="str">
        <f>IFERROR(HLOOKUP(K2976,データについて!$J$5:$AH$20,14,FALSE),"")</f>
        <v/>
      </c>
      <c r="AC2976" s="81" t="e">
        <f>IF(X2976=1,HLOOKUP(R2976,データについて!$J$12:$M$18,7,FALSE),"*")</f>
        <v>#N/A</v>
      </c>
      <c r="AD2976" s="81" t="e">
        <f>IF(X2976=2,HLOOKUP(R2976,データについて!$J$12:$M$18,7,FALSE),"*")</f>
        <v>#N/A</v>
      </c>
    </row>
    <row r="2977" spans="19:30">
      <c r="S2977" s="81" t="e">
        <f>HLOOKUP(L2977,データについて!$J$6:$M$18,13,FALSE)</f>
        <v>#N/A</v>
      </c>
      <c r="T2977" s="81" t="e">
        <f>HLOOKUP(M2977,データについて!$J$7:$M$18,12,FALSE)</f>
        <v>#N/A</v>
      </c>
      <c r="U2977" s="81" t="e">
        <f>HLOOKUP(N2977,データについて!$J$8:$M$18,11,FALSE)</f>
        <v>#N/A</v>
      </c>
      <c r="V2977" s="81" t="e">
        <f>HLOOKUP(O2977,データについて!$J$9:$M$18,10,FALSE)</f>
        <v>#N/A</v>
      </c>
      <c r="W2977" s="81" t="e">
        <f>HLOOKUP(P2977,データについて!$J$10:$M$18,9,FALSE)</f>
        <v>#N/A</v>
      </c>
      <c r="X2977" s="81" t="e">
        <f>HLOOKUP(Q2977,データについて!$J$11:$M$18,8,FALSE)</f>
        <v>#N/A</v>
      </c>
      <c r="Y2977" s="81" t="e">
        <f>HLOOKUP(R2977,データについて!$J$12:$M$18,7,FALSE)</f>
        <v>#N/A</v>
      </c>
      <c r="Z2977" s="81" t="e">
        <f>HLOOKUP(I2977,データについて!$J$3:$M$18,16,FALSE)</f>
        <v>#N/A</v>
      </c>
      <c r="AA2977" s="81" t="str">
        <f>IFERROR(HLOOKUP(J2977,データについて!$J$4:$AH$19,16,FALSE),"")</f>
        <v/>
      </c>
      <c r="AB2977" s="81" t="str">
        <f>IFERROR(HLOOKUP(K2977,データについて!$J$5:$AH$20,14,FALSE),"")</f>
        <v/>
      </c>
      <c r="AC2977" s="81" t="e">
        <f>IF(X2977=1,HLOOKUP(R2977,データについて!$J$12:$M$18,7,FALSE),"*")</f>
        <v>#N/A</v>
      </c>
      <c r="AD2977" s="81" t="e">
        <f>IF(X2977=2,HLOOKUP(R2977,データについて!$J$12:$M$18,7,FALSE),"*")</f>
        <v>#N/A</v>
      </c>
    </row>
    <row r="2978" spans="19:30">
      <c r="S2978" s="81" t="e">
        <f>HLOOKUP(L2978,データについて!$J$6:$M$18,13,FALSE)</f>
        <v>#N/A</v>
      </c>
      <c r="T2978" s="81" t="e">
        <f>HLOOKUP(M2978,データについて!$J$7:$M$18,12,FALSE)</f>
        <v>#N/A</v>
      </c>
      <c r="U2978" s="81" t="e">
        <f>HLOOKUP(N2978,データについて!$J$8:$M$18,11,FALSE)</f>
        <v>#N/A</v>
      </c>
      <c r="V2978" s="81" t="e">
        <f>HLOOKUP(O2978,データについて!$J$9:$M$18,10,FALSE)</f>
        <v>#N/A</v>
      </c>
      <c r="W2978" s="81" t="e">
        <f>HLOOKUP(P2978,データについて!$J$10:$M$18,9,FALSE)</f>
        <v>#N/A</v>
      </c>
      <c r="X2978" s="81" t="e">
        <f>HLOOKUP(Q2978,データについて!$J$11:$M$18,8,FALSE)</f>
        <v>#N/A</v>
      </c>
      <c r="Y2978" s="81" t="e">
        <f>HLOOKUP(R2978,データについて!$J$12:$M$18,7,FALSE)</f>
        <v>#N/A</v>
      </c>
      <c r="Z2978" s="81" t="e">
        <f>HLOOKUP(I2978,データについて!$J$3:$M$18,16,FALSE)</f>
        <v>#N/A</v>
      </c>
      <c r="AA2978" s="81" t="str">
        <f>IFERROR(HLOOKUP(J2978,データについて!$J$4:$AH$19,16,FALSE),"")</f>
        <v/>
      </c>
      <c r="AB2978" s="81" t="str">
        <f>IFERROR(HLOOKUP(K2978,データについて!$J$5:$AH$20,14,FALSE),"")</f>
        <v/>
      </c>
      <c r="AC2978" s="81" t="e">
        <f>IF(X2978=1,HLOOKUP(R2978,データについて!$J$12:$M$18,7,FALSE),"*")</f>
        <v>#N/A</v>
      </c>
      <c r="AD2978" s="81" t="e">
        <f>IF(X2978=2,HLOOKUP(R2978,データについて!$J$12:$M$18,7,FALSE),"*")</f>
        <v>#N/A</v>
      </c>
    </row>
    <row r="2979" spans="19:30">
      <c r="S2979" s="81" t="e">
        <f>HLOOKUP(L2979,データについて!$J$6:$M$18,13,FALSE)</f>
        <v>#N/A</v>
      </c>
      <c r="T2979" s="81" t="e">
        <f>HLOOKUP(M2979,データについて!$J$7:$M$18,12,FALSE)</f>
        <v>#N/A</v>
      </c>
      <c r="U2979" s="81" t="e">
        <f>HLOOKUP(N2979,データについて!$J$8:$M$18,11,FALSE)</f>
        <v>#N/A</v>
      </c>
      <c r="V2979" s="81" t="e">
        <f>HLOOKUP(O2979,データについて!$J$9:$M$18,10,FALSE)</f>
        <v>#N/A</v>
      </c>
      <c r="W2979" s="81" t="e">
        <f>HLOOKUP(P2979,データについて!$J$10:$M$18,9,FALSE)</f>
        <v>#N/A</v>
      </c>
      <c r="X2979" s="81" t="e">
        <f>HLOOKUP(Q2979,データについて!$J$11:$M$18,8,FALSE)</f>
        <v>#N/A</v>
      </c>
      <c r="Y2979" s="81" t="e">
        <f>HLOOKUP(R2979,データについて!$J$12:$M$18,7,FALSE)</f>
        <v>#N/A</v>
      </c>
      <c r="Z2979" s="81" t="e">
        <f>HLOOKUP(I2979,データについて!$J$3:$M$18,16,FALSE)</f>
        <v>#N/A</v>
      </c>
      <c r="AA2979" s="81" t="str">
        <f>IFERROR(HLOOKUP(J2979,データについて!$J$4:$AH$19,16,FALSE),"")</f>
        <v/>
      </c>
      <c r="AB2979" s="81" t="str">
        <f>IFERROR(HLOOKUP(K2979,データについて!$J$5:$AH$20,14,FALSE),"")</f>
        <v/>
      </c>
      <c r="AC2979" s="81" t="e">
        <f>IF(X2979=1,HLOOKUP(R2979,データについて!$J$12:$M$18,7,FALSE),"*")</f>
        <v>#N/A</v>
      </c>
      <c r="AD2979" s="81" t="e">
        <f>IF(X2979=2,HLOOKUP(R2979,データについて!$J$12:$M$18,7,FALSE),"*")</f>
        <v>#N/A</v>
      </c>
    </row>
    <row r="2980" spans="19:30">
      <c r="S2980" s="81" t="e">
        <f>HLOOKUP(L2980,データについて!$J$6:$M$18,13,FALSE)</f>
        <v>#N/A</v>
      </c>
      <c r="T2980" s="81" t="e">
        <f>HLOOKUP(M2980,データについて!$J$7:$M$18,12,FALSE)</f>
        <v>#N/A</v>
      </c>
      <c r="U2980" s="81" t="e">
        <f>HLOOKUP(N2980,データについて!$J$8:$M$18,11,FALSE)</f>
        <v>#N/A</v>
      </c>
      <c r="V2980" s="81" t="e">
        <f>HLOOKUP(O2980,データについて!$J$9:$M$18,10,FALSE)</f>
        <v>#N/A</v>
      </c>
      <c r="W2980" s="81" t="e">
        <f>HLOOKUP(P2980,データについて!$J$10:$M$18,9,FALSE)</f>
        <v>#N/A</v>
      </c>
      <c r="X2980" s="81" t="e">
        <f>HLOOKUP(Q2980,データについて!$J$11:$M$18,8,FALSE)</f>
        <v>#N/A</v>
      </c>
      <c r="Y2980" s="81" t="e">
        <f>HLOOKUP(R2980,データについて!$J$12:$M$18,7,FALSE)</f>
        <v>#N/A</v>
      </c>
      <c r="Z2980" s="81" t="e">
        <f>HLOOKUP(I2980,データについて!$J$3:$M$18,16,FALSE)</f>
        <v>#N/A</v>
      </c>
      <c r="AA2980" s="81" t="str">
        <f>IFERROR(HLOOKUP(J2980,データについて!$J$4:$AH$19,16,FALSE),"")</f>
        <v/>
      </c>
      <c r="AB2980" s="81" t="str">
        <f>IFERROR(HLOOKUP(K2980,データについて!$J$5:$AH$20,14,FALSE),"")</f>
        <v/>
      </c>
      <c r="AC2980" s="81" t="e">
        <f>IF(X2980=1,HLOOKUP(R2980,データについて!$J$12:$M$18,7,FALSE),"*")</f>
        <v>#N/A</v>
      </c>
      <c r="AD2980" s="81" t="e">
        <f>IF(X2980=2,HLOOKUP(R2980,データについて!$J$12:$M$18,7,FALSE),"*")</f>
        <v>#N/A</v>
      </c>
    </row>
    <row r="2981" spans="19:30">
      <c r="S2981" s="81" t="e">
        <f>HLOOKUP(L2981,データについて!$J$6:$M$18,13,FALSE)</f>
        <v>#N/A</v>
      </c>
      <c r="T2981" s="81" t="e">
        <f>HLOOKUP(M2981,データについて!$J$7:$M$18,12,FALSE)</f>
        <v>#N/A</v>
      </c>
      <c r="U2981" s="81" t="e">
        <f>HLOOKUP(N2981,データについて!$J$8:$M$18,11,FALSE)</f>
        <v>#N/A</v>
      </c>
      <c r="V2981" s="81" t="e">
        <f>HLOOKUP(O2981,データについて!$J$9:$M$18,10,FALSE)</f>
        <v>#N/A</v>
      </c>
      <c r="W2981" s="81" t="e">
        <f>HLOOKUP(P2981,データについて!$J$10:$M$18,9,FALSE)</f>
        <v>#N/A</v>
      </c>
      <c r="X2981" s="81" t="e">
        <f>HLOOKUP(Q2981,データについて!$J$11:$M$18,8,FALSE)</f>
        <v>#N/A</v>
      </c>
      <c r="Y2981" s="81" t="e">
        <f>HLOOKUP(R2981,データについて!$J$12:$M$18,7,FALSE)</f>
        <v>#N/A</v>
      </c>
      <c r="Z2981" s="81" t="e">
        <f>HLOOKUP(I2981,データについて!$J$3:$M$18,16,FALSE)</f>
        <v>#N/A</v>
      </c>
      <c r="AA2981" s="81" t="str">
        <f>IFERROR(HLOOKUP(J2981,データについて!$J$4:$AH$19,16,FALSE),"")</f>
        <v/>
      </c>
      <c r="AB2981" s="81" t="str">
        <f>IFERROR(HLOOKUP(K2981,データについて!$J$5:$AH$20,14,FALSE),"")</f>
        <v/>
      </c>
      <c r="AC2981" s="81" t="e">
        <f>IF(X2981=1,HLOOKUP(R2981,データについて!$J$12:$M$18,7,FALSE),"*")</f>
        <v>#N/A</v>
      </c>
      <c r="AD2981" s="81" t="e">
        <f>IF(X2981=2,HLOOKUP(R2981,データについて!$J$12:$M$18,7,FALSE),"*")</f>
        <v>#N/A</v>
      </c>
    </row>
    <row r="2982" spans="19:30">
      <c r="S2982" s="81" t="e">
        <f>HLOOKUP(L2982,データについて!$J$6:$M$18,13,FALSE)</f>
        <v>#N/A</v>
      </c>
      <c r="T2982" s="81" t="e">
        <f>HLOOKUP(M2982,データについて!$J$7:$M$18,12,FALSE)</f>
        <v>#N/A</v>
      </c>
      <c r="U2982" s="81" t="e">
        <f>HLOOKUP(N2982,データについて!$J$8:$M$18,11,FALSE)</f>
        <v>#N/A</v>
      </c>
      <c r="V2982" s="81" t="e">
        <f>HLOOKUP(O2982,データについて!$J$9:$M$18,10,FALSE)</f>
        <v>#N/A</v>
      </c>
      <c r="W2982" s="81" t="e">
        <f>HLOOKUP(P2982,データについて!$J$10:$M$18,9,FALSE)</f>
        <v>#N/A</v>
      </c>
      <c r="X2982" s="81" t="e">
        <f>HLOOKUP(Q2982,データについて!$J$11:$M$18,8,FALSE)</f>
        <v>#N/A</v>
      </c>
      <c r="Y2982" s="81" t="e">
        <f>HLOOKUP(R2982,データについて!$J$12:$M$18,7,FALSE)</f>
        <v>#N/A</v>
      </c>
      <c r="Z2982" s="81" t="e">
        <f>HLOOKUP(I2982,データについて!$J$3:$M$18,16,FALSE)</f>
        <v>#N/A</v>
      </c>
      <c r="AA2982" s="81" t="str">
        <f>IFERROR(HLOOKUP(J2982,データについて!$J$4:$AH$19,16,FALSE),"")</f>
        <v/>
      </c>
      <c r="AB2982" s="81" t="str">
        <f>IFERROR(HLOOKUP(K2982,データについて!$J$5:$AH$20,14,FALSE),"")</f>
        <v/>
      </c>
      <c r="AC2982" s="81" t="e">
        <f>IF(X2982=1,HLOOKUP(R2982,データについて!$J$12:$M$18,7,FALSE),"*")</f>
        <v>#N/A</v>
      </c>
      <c r="AD2982" s="81" t="e">
        <f>IF(X2982=2,HLOOKUP(R2982,データについて!$J$12:$M$18,7,FALSE),"*")</f>
        <v>#N/A</v>
      </c>
    </row>
    <row r="2983" spans="19:30">
      <c r="S2983" s="81" t="e">
        <f>HLOOKUP(L2983,データについて!$J$6:$M$18,13,FALSE)</f>
        <v>#N/A</v>
      </c>
      <c r="T2983" s="81" t="e">
        <f>HLOOKUP(M2983,データについて!$J$7:$M$18,12,FALSE)</f>
        <v>#N/A</v>
      </c>
      <c r="U2983" s="81" t="e">
        <f>HLOOKUP(N2983,データについて!$J$8:$M$18,11,FALSE)</f>
        <v>#N/A</v>
      </c>
      <c r="V2983" s="81" t="e">
        <f>HLOOKUP(O2983,データについて!$J$9:$M$18,10,FALSE)</f>
        <v>#N/A</v>
      </c>
      <c r="W2983" s="81" t="e">
        <f>HLOOKUP(P2983,データについて!$J$10:$M$18,9,FALSE)</f>
        <v>#N/A</v>
      </c>
      <c r="X2983" s="81" t="e">
        <f>HLOOKUP(Q2983,データについて!$J$11:$M$18,8,FALSE)</f>
        <v>#N/A</v>
      </c>
      <c r="Y2983" s="81" t="e">
        <f>HLOOKUP(R2983,データについて!$J$12:$M$18,7,FALSE)</f>
        <v>#N/A</v>
      </c>
      <c r="Z2983" s="81" t="e">
        <f>HLOOKUP(I2983,データについて!$J$3:$M$18,16,FALSE)</f>
        <v>#N/A</v>
      </c>
      <c r="AA2983" s="81" t="str">
        <f>IFERROR(HLOOKUP(J2983,データについて!$J$4:$AH$19,16,FALSE),"")</f>
        <v/>
      </c>
      <c r="AB2983" s="81" t="str">
        <f>IFERROR(HLOOKUP(K2983,データについて!$J$5:$AH$20,14,FALSE),"")</f>
        <v/>
      </c>
      <c r="AC2983" s="81" t="e">
        <f>IF(X2983=1,HLOOKUP(R2983,データについて!$J$12:$M$18,7,FALSE),"*")</f>
        <v>#N/A</v>
      </c>
      <c r="AD2983" s="81" t="e">
        <f>IF(X2983=2,HLOOKUP(R2983,データについて!$J$12:$M$18,7,FALSE),"*")</f>
        <v>#N/A</v>
      </c>
    </row>
    <row r="2984" spans="19:30">
      <c r="S2984" s="81" t="e">
        <f>HLOOKUP(L2984,データについて!$J$6:$M$18,13,FALSE)</f>
        <v>#N/A</v>
      </c>
      <c r="T2984" s="81" t="e">
        <f>HLOOKUP(M2984,データについて!$J$7:$M$18,12,FALSE)</f>
        <v>#N/A</v>
      </c>
      <c r="U2984" s="81" t="e">
        <f>HLOOKUP(N2984,データについて!$J$8:$M$18,11,FALSE)</f>
        <v>#N/A</v>
      </c>
      <c r="V2984" s="81" t="e">
        <f>HLOOKUP(O2984,データについて!$J$9:$M$18,10,FALSE)</f>
        <v>#N/A</v>
      </c>
      <c r="W2984" s="81" t="e">
        <f>HLOOKUP(P2984,データについて!$J$10:$M$18,9,FALSE)</f>
        <v>#N/A</v>
      </c>
      <c r="X2984" s="81" t="e">
        <f>HLOOKUP(Q2984,データについて!$J$11:$M$18,8,FALSE)</f>
        <v>#N/A</v>
      </c>
      <c r="Y2984" s="81" t="e">
        <f>HLOOKUP(R2984,データについて!$J$12:$M$18,7,FALSE)</f>
        <v>#N/A</v>
      </c>
      <c r="Z2984" s="81" t="e">
        <f>HLOOKUP(I2984,データについて!$J$3:$M$18,16,FALSE)</f>
        <v>#N/A</v>
      </c>
      <c r="AA2984" s="81" t="str">
        <f>IFERROR(HLOOKUP(J2984,データについて!$J$4:$AH$19,16,FALSE),"")</f>
        <v/>
      </c>
      <c r="AB2984" s="81" t="str">
        <f>IFERROR(HLOOKUP(K2984,データについて!$J$5:$AH$20,14,FALSE),"")</f>
        <v/>
      </c>
      <c r="AC2984" s="81" t="e">
        <f>IF(X2984=1,HLOOKUP(R2984,データについて!$J$12:$M$18,7,FALSE),"*")</f>
        <v>#N/A</v>
      </c>
      <c r="AD2984" s="81" t="e">
        <f>IF(X2984=2,HLOOKUP(R2984,データについて!$J$12:$M$18,7,FALSE),"*")</f>
        <v>#N/A</v>
      </c>
    </row>
    <row r="2985" spans="19:30">
      <c r="S2985" s="81" t="e">
        <f>HLOOKUP(L2985,データについて!$J$6:$M$18,13,FALSE)</f>
        <v>#N/A</v>
      </c>
      <c r="T2985" s="81" t="e">
        <f>HLOOKUP(M2985,データについて!$J$7:$M$18,12,FALSE)</f>
        <v>#N/A</v>
      </c>
      <c r="U2985" s="81" t="e">
        <f>HLOOKUP(N2985,データについて!$J$8:$M$18,11,FALSE)</f>
        <v>#N/A</v>
      </c>
      <c r="V2985" s="81" t="e">
        <f>HLOOKUP(O2985,データについて!$J$9:$M$18,10,FALSE)</f>
        <v>#N/A</v>
      </c>
      <c r="W2985" s="81" t="e">
        <f>HLOOKUP(P2985,データについて!$J$10:$M$18,9,FALSE)</f>
        <v>#N/A</v>
      </c>
      <c r="X2985" s="81" t="e">
        <f>HLOOKUP(Q2985,データについて!$J$11:$M$18,8,FALSE)</f>
        <v>#N/A</v>
      </c>
      <c r="Y2985" s="81" t="e">
        <f>HLOOKUP(R2985,データについて!$J$12:$M$18,7,FALSE)</f>
        <v>#N/A</v>
      </c>
      <c r="Z2985" s="81" t="e">
        <f>HLOOKUP(I2985,データについて!$J$3:$M$18,16,FALSE)</f>
        <v>#N/A</v>
      </c>
      <c r="AA2985" s="81" t="str">
        <f>IFERROR(HLOOKUP(J2985,データについて!$J$4:$AH$19,16,FALSE),"")</f>
        <v/>
      </c>
      <c r="AB2985" s="81" t="str">
        <f>IFERROR(HLOOKUP(K2985,データについて!$J$5:$AH$20,14,FALSE),"")</f>
        <v/>
      </c>
      <c r="AC2985" s="81" t="e">
        <f>IF(X2985=1,HLOOKUP(R2985,データについて!$J$12:$M$18,7,FALSE),"*")</f>
        <v>#N/A</v>
      </c>
      <c r="AD2985" s="81" t="e">
        <f>IF(X2985=2,HLOOKUP(R2985,データについて!$J$12:$M$18,7,FALSE),"*")</f>
        <v>#N/A</v>
      </c>
    </row>
    <row r="2986" spans="19:30">
      <c r="S2986" s="81" t="e">
        <f>HLOOKUP(L2986,データについて!$J$6:$M$18,13,FALSE)</f>
        <v>#N/A</v>
      </c>
      <c r="T2986" s="81" t="e">
        <f>HLOOKUP(M2986,データについて!$J$7:$M$18,12,FALSE)</f>
        <v>#N/A</v>
      </c>
      <c r="U2986" s="81" t="e">
        <f>HLOOKUP(N2986,データについて!$J$8:$M$18,11,FALSE)</f>
        <v>#N/A</v>
      </c>
      <c r="V2986" s="81" t="e">
        <f>HLOOKUP(O2986,データについて!$J$9:$M$18,10,FALSE)</f>
        <v>#N/A</v>
      </c>
      <c r="W2986" s="81" t="e">
        <f>HLOOKUP(P2986,データについて!$J$10:$M$18,9,FALSE)</f>
        <v>#N/A</v>
      </c>
      <c r="X2986" s="81" t="e">
        <f>HLOOKUP(Q2986,データについて!$J$11:$M$18,8,FALSE)</f>
        <v>#N/A</v>
      </c>
      <c r="Y2986" s="81" t="e">
        <f>HLOOKUP(R2986,データについて!$J$12:$M$18,7,FALSE)</f>
        <v>#N/A</v>
      </c>
      <c r="Z2986" s="81" t="e">
        <f>HLOOKUP(I2986,データについて!$J$3:$M$18,16,FALSE)</f>
        <v>#N/A</v>
      </c>
      <c r="AA2986" s="81" t="str">
        <f>IFERROR(HLOOKUP(J2986,データについて!$J$4:$AH$19,16,FALSE),"")</f>
        <v/>
      </c>
      <c r="AB2986" s="81" t="str">
        <f>IFERROR(HLOOKUP(K2986,データについて!$J$5:$AH$20,14,FALSE),"")</f>
        <v/>
      </c>
      <c r="AC2986" s="81" t="e">
        <f>IF(X2986=1,HLOOKUP(R2986,データについて!$J$12:$M$18,7,FALSE),"*")</f>
        <v>#N/A</v>
      </c>
      <c r="AD2986" s="81" t="e">
        <f>IF(X2986=2,HLOOKUP(R2986,データについて!$J$12:$M$18,7,FALSE),"*")</f>
        <v>#N/A</v>
      </c>
    </row>
    <row r="2987" spans="19:30">
      <c r="S2987" s="81" t="e">
        <f>HLOOKUP(L2987,データについて!$J$6:$M$18,13,FALSE)</f>
        <v>#N/A</v>
      </c>
      <c r="T2987" s="81" t="e">
        <f>HLOOKUP(M2987,データについて!$J$7:$M$18,12,FALSE)</f>
        <v>#N/A</v>
      </c>
      <c r="U2987" s="81" t="e">
        <f>HLOOKUP(N2987,データについて!$J$8:$M$18,11,FALSE)</f>
        <v>#N/A</v>
      </c>
      <c r="V2987" s="81" t="e">
        <f>HLOOKUP(O2987,データについて!$J$9:$M$18,10,FALSE)</f>
        <v>#N/A</v>
      </c>
      <c r="W2987" s="81" t="e">
        <f>HLOOKUP(P2987,データについて!$J$10:$M$18,9,FALSE)</f>
        <v>#N/A</v>
      </c>
      <c r="X2987" s="81" t="e">
        <f>HLOOKUP(Q2987,データについて!$J$11:$M$18,8,FALSE)</f>
        <v>#N/A</v>
      </c>
      <c r="Y2987" s="81" t="e">
        <f>HLOOKUP(R2987,データについて!$J$12:$M$18,7,FALSE)</f>
        <v>#N/A</v>
      </c>
      <c r="Z2987" s="81" t="e">
        <f>HLOOKUP(I2987,データについて!$J$3:$M$18,16,FALSE)</f>
        <v>#N/A</v>
      </c>
      <c r="AA2987" s="81" t="str">
        <f>IFERROR(HLOOKUP(J2987,データについて!$J$4:$AH$19,16,FALSE),"")</f>
        <v/>
      </c>
      <c r="AB2987" s="81" t="str">
        <f>IFERROR(HLOOKUP(K2987,データについて!$J$5:$AH$20,14,FALSE),"")</f>
        <v/>
      </c>
      <c r="AC2987" s="81" t="e">
        <f>IF(X2987=1,HLOOKUP(R2987,データについて!$J$12:$M$18,7,FALSE),"*")</f>
        <v>#N/A</v>
      </c>
      <c r="AD2987" s="81" t="e">
        <f>IF(X2987=2,HLOOKUP(R2987,データについて!$J$12:$M$18,7,FALSE),"*")</f>
        <v>#N/A</v>
      </c>
    </row>
    <row r="2988" spans="19:30">
      <c r="S2988" s="81" t="e">
        <f>HLOOKUP(L2988,データについて!$J$6:$M$18,13,FALSE)</f>
        <v>#N/A</v>
      </c>
      <c r="T2988" s="81" t="e">
        <f>HLOOKUP(M2988,データについて!$J$7:$M$18,12,FALSE)</f>
        <v>#N/A</v>
      </c>
      <c r="U2988" s="81" t="e">
        <f>HLOOKUP(N2988,データについて!$J$8:$M$18,11,FALSE)</f>
        <v>#N/A</v>
      </c>
      <c r="V2988" s="81" t="e">
        <f>HLOOKUP(O2988,データについて!$J$9:$M$18,10,FALSE)</f>
        <v>#N/A</v>
      </c>
      <c r="W2988" s="81" t="e">
        <f>HLOOKUP(P2988,データについて!$J$10:$M$18,9,FALSE)</f>
        <v>#N/A</v>
      </c>
      <c r="X2988" s="81" t="e">
        <f>HLOOKUP(Q2988,データについて!$J$11:$M$18,8,FALSE)</f>
        <v>#N/A</v>
      </c>
      <c r="Y2988" s="81" t="e">
        <f>HLOOKUP(R2988,データについて!$J$12:$M$18,7,FALSE)</f>
        <v>#N/A</v>
      </c>
      <c r="Z2988" s="81" t="e">
        <f>HLOOKUP(I2988,データについて!$J$3:$M$18,16,FALSE)</f>
        <v>#N/A</v>
      </c>
      <c r="AA2988" s="81" t="str">
        <f>IFERROR(HLOOKUP(J2988,データについて!$J$4:$AH$19,16,FALSE),"")</f>
        <v/>
      </c>
      <c r="AB2988" s="81" t="str">
        <f>IFERROR(HLOOKUP(K2988,データについて!$J$5:$AH$20,14,FALSE),"")</f>
        <v/>
      </c>
      <c r="AC2988" s="81" t="e">
        <f>IF(X2988=1,HLOOKUP(R2988,データについて!$J$12:$M$18,7,FALSE),"*")</f>
        <v>#N/A</v>
      </c>
      <c r="AD2988" s="81" t="e">
        <f>IF(X2988=2,HLOOKUP(R2988,データについて!$J$12:$M$18,7,FALSE),"*")</f>
        <v>#N/A</v>
      </c>
    </row>
    <row r="2989" spans="19:30">
      <c r="S2989" s="81" t="e">
        <f>HLOOKUP(L2989,データについて!$J$6:$M$18,13,FALSE)</f>
        <v>#N/A</v>
      </c>
      <c r="T2989" s="81" t="e">
        <f>HLOOKUP(M2989,データについて!$J$7:$M$18,12,FALSE)</f>
        <v>#N/A</v>
      </c>
      <c r="U2989" s="81" t="e">
        <f>HLOOKUP(N2989,データについて!$J$8:$M$18,11,FALSE)</f>
        <v>#N/A</v>
      </c>
      <c r="V2989" s="81" t="e">
        <f>HLOOKUP(O2989,データについて!$J$9:$M$18,10,FALSE)</f>
        <v>#N/A</v>
      </c>
      <c r="W2989" s="81" t="e">
        <f>HLOOKUP(P2989,データについて!$J$10:$M$18,9,FALSE)</f>
        <v>#N/A</v>
      </c>
      <c r="X2989" s="81" t="e">
        <f>HLOOKUP(Q2989,データについて!$J$11:$M$18,8,FALSE)</f>
        <v>#N/A</v>
      </c>
      <c r="Y2989" s="81" t="e">
        <f>HLOOKUP(R2989,データについて!$J$12:$M$18,7,FALSE)</f>
        <v>#N/A</v>
      </c>
      <c r="Z2989" s="81" t="e">
        <f>HLOOKUP(I2989,データについて!$J$3:$M$18,16,FALSE)</f>
        <v>#N/A</v>
      </c>
      <c r="AA2989" s="81" t="str">
        <f>IFERROR(HLOOKUP(J2989,データについて!$J$4:$AH$19,16,FALSE),"")</f>
        <v/>
      </c>
      <c r="AB2989" s="81" t="str">
        <f>IFERROR(HLOOKUP(K2989,データについて!$J$5:$AH$20,14,FALSE),"")</f>
        <v/>
      </c>
      <c r="AC2989" s="81" t="e">
        <f>IF(X2989=1,HLOOKUP(R2989,データについて!$J$12:$M$18,7,FALSE),"*")</f>
        <v>#N/A</v>
      </c>
      <c r="AD2989" s="81" t="e">
        <f>IF(X2989=2,HLOOKUP(R2989,データについて!$J$12:$M$18,7,FALSE),"*")</f>
        <v>#N/A</v>
      </c>
    </row>
    <row r="2990" spans="19:30">
      <c r="S2990" s="81" t="e">
        <f>HLOOKUP(L2990,データについて!$J$6:$M$18,13,FALSE)</f>
        <v>#N/A</v>
      </c>
      <c r="T2990" s="81" t="e">
        <f>HLOOKUP(M2990,データについて!$J$7:$M$18,12,FALSE)</f>
        <v>#N/A</v>
      </c>
      <c r="U2990" s="81" t="e">
        <f>HLOOKUP(N2990,データについて!$J$8:$M$18,11,FALSE)</f>
        <v>#N/A</v>
      </c>
      <c r="V2990" s="81" t="e">
        <f>HLOOKUP(O2990,データについて!$J$9:$M$18,10,FALSE)</f>
        <v>#N/A</v>
      </c>
      <c r="W2990" s="81" t="e">
        <f>HLOOKUP(P2990,データについて!$J$10:$M$18,9,FALSE)</f>
        <v>#N/A</v>
      </c>
      <c r="X2990" s="81" t="e">
        <f>HLOOKUP(Q2990,データについて!$J$11:$M$18,8,FALSE)</f>
        <v>#N/A</v>
      </c>
      <c r="Y2990" s="81" t="e">
        <f>HLOOKUP(R2990,データについて!$J$12:$M$18,7,FALSE)</f>
        <v>#N/A</v>
      </c>
      <c r="Z2990" s="81" t="e">
        <f>HLOOKUP(I2990,データについて!$J$3:$M$18,16,FALSE)</f>
        <v>#N/A</v>
      </c>
      <c r="AA2990" s="81" t="str">
        <f>IFERROR(HLOOKUP(J2990,データについて!$J$4:$AH$19,16,FALSE),"")</f>
        <v/>
      </c>
      <c r="AB2990" s="81" t="str">
        <f>IFERROR(HLOOKUP(K2990,データについて!$J$5:$AH$20,14,FALSE),"")</f>
        <v/>
      </c>
      <c r="AC2990" s="81" t="e">
        <f>IF(X2990=1,HLOOKUP(R2990,データについて!$J$12:$M$18,7,FALSE),"*")</f>
        <v>#N/A</v>
      </c>
      <c r="AD2990" s="81" t="e">
        <f>IF(X2990=2,HLOOKUP(R2990,データについて!$J$12:$M$18,7,FALSE),"*")</f>
        <v>#N/A</v>
      </c>
    </row>
    <row r="2991" spans="19:30">
      <c r="S2991" s="81" t="e">
        <f>HLOOKUP(L2991,データについて!$J$6:$M$18,13,FALSE)</f>
        <v>#N/A</v>
      </c>
      <c r="T2991" s="81" t="e">
        <f>HLOOKUP(M2991,データについて!$J$7:$M$18,12,FALSE)</f>
        <v>#N/A</v>
      </c>
      <c r="U2991" s="81" t="e">
        <f>HLOOKUP(N2991,データについて!$J$8:$M$18,11,FALSE)</f>
        <v>#N/A</v>
      </c>
      <c r="V2991" s="81" t="e">
        <f>HLOOKUP(O2991,データについて!$J$9:$M$18,10,FALSE)</f>
        <v>#N/A</v>
      </c>
      <c r="W2991" s="81" t="e">
        <f>HLOOKUP(P2991,データについて!$J$10:$M$18,9,FALSE)</f>
        <v>#N/A</v>
      </c>
      <c r="X2991" s="81" t="e">
        <f>HLOOKUP(Q2991,データについて!$J$11:$M$18,8,FALSE)</f>
        <v>#N/A</v>
      </c>
      <c r="Y2991" s="81" t="e">
        <f>HLOOKUP(R2991,データについて!$J$12:$M$18,7,FALSE)</f>
        <v>#N/A</v>
      </c>
      <c r="Z2991" s="81" t="e">
        <f>HLOOKUP(I2991,データについて!$J$3:$M$18,16,FALSE)</f>
        <v>#N/A</v>
      </c>
      <c r="AA2991" s="81" t="str">
        <f>IFERROR(HLOOKUP(J2991,データについて!$J$4:$AH$19,16,FALSE),"")</f>
        <v/>
      </c>
      <c r="AB2991" s="81" t="str">
        <f>IFERROR(HLOOKUP(K2991,データについて!$J$5:$AH$20,14,FALSE),"")</f>
        <v/>
      </c>
      <c r="AC2991" s="81" t="e">
        <f>IF(X2991=1,HLOOKUP(R2991,データについて!$J$12:$M$18,7,FALSE),"*")</f>
        <v>#N/A</v>
      </c>
      <c r="AD2991" s="81" t="e">
        <f>IF(X2991=2,HLOOKUP(R2991,データについて!$J$12:$M$18,7,FALSE),"*")</f>
        <v>#N/A</v>
      </c>
    </row>
    <row r="2992" spans="19:30">
      <c r="S2992" s="81" t="e">
        <f>HLOOKUP(L2992,データについて!$J$6:$M$18,13,FALSE)</f>
        <v>#N/A</v>
      </c>
      <c r="T2992" s="81" t="e">
        <f>HLOOKUP(M2992,データについて!$J$7:$M$18,12,FALSE)</f>
        <v>#N/A</v>
      </c>
      <c r="U2992" s="81" t="e">
        <f>HLOOKUP(N2992,データについて!$J$8:$M$18,11,FALSE)</f>
        <v>#N/A</v>
      </c>
      <c r="V2992" s="81" t="e">
        <f>HLOOKUP(O2992,データについて!$J$9:$M$18,10,FALSE)</f>
        <v>#N/A</v>
      </c>
      <c r="W2992" s="81" t="e">
        <f>HLOOKUP(P2992,データについて!$J$10:$M$18,9,FALSE)</f>
        <v>#N/A</v>
      </c>
      <c r="X2992" s="81" t="e">
        <f>HLOOKUP(Q2992,データについて!$J$11:$M$18,8,FALSE)</f>
        <v>#N/A</v>
      </c>
      <c r="Y2992" s="81" t="e">
        <f>HLOOKUP(R2992,データについて!$J$12:$M$18,7,FALSE)</f>
        <v>#N/A</v>
      </c>
      <c r="Z2992" s="81" t="e">
        <f>HLOOKUP(I2992,データについて!$J$3:$M$18,16,FALSE)</f>
        <v>#N/A</v>
      </c>
      <c r="AA2992" s="81" t="str">
        <f>IFERROR(HLOOKUP(J2992,データについて!$J$4:$AH$19,16,FALSE),"")</f>
        <v/>
      </c>
      <c r="AB2992" s="81" t="str">
        <f>IFERROR(HLOOKUP(K2992,データについて!$J$5:$AH$20,14,FALSE),"")</f>
        <v/>
      </c>
      <c r="AC2992" s="81" t="e">
        <f>IF(X2992=1,HLOOKUP(R2992,データについて!$J$12:$M$18,7,FALSE),"*")</f>
        <v>#N/A</v>
      </c>
      <c r="AD2992" s="81" t="e">
        <f>IF(X2992=2,HLOOKUP(R2992,データについて!$J$12:$M$18,7,FALSE),"*")</f>
        <v>#N/A</v>
      </c>
    </row>
    <row r="2993" spans="19:30">
      <c r="S2993" s="81" t="e">
        <f>HLOOKUP(L2993,データについて!$J$6:$M$18,13,FALSE)</f>
        <v>#N/A</v>
      </c>
      <c r="T2993" s="81" t="e">
        <f>HLOOKUP(M2993,データについて!$J$7:$M$18,12,FALSE)</f>
        <v>#N/A</v>
      </c>
      <c r="U2993" s="81" t="e">
        <f>HLOOKUP(N2993,データについて!$J$8:$M$18,11,FALSE)</f>
        <v>#N/A</v>
      </c>
      <c r="V2993" s="81" t="e">
        <f>HLOOKUP(O2993,データについて!$J$9:$M$18,10,FALSE)</f>
        <v>#N/A</v>
      </c>
      <c r="W2993" s="81" t="e">
        <f>HLOOKUP(P2993,データについて!$J$10:$M$18,9,FALSE)</f>
        <v>#N/A</v>
      </c>
      <c r="X2993" s="81" t="e">
        <f>HLOOKUP(Q2993,データについて!$J$11:$M$18,8,FALSE)</f>
        <v>#N/A</v>
      </c>
      <c r="Y2993" s="81" t="e">
        <f>HLOOKUP(R2993,データについて!$J$12:$M$18,7,FALSE)</f>
        <v>#N/A</v>
      </c>
      <c r="Z2993" s="81" t="e">
        <f>HLOOKUP(I2993,データについて!$J$3:$M$18,16,FALSE)</f>
        <v>#N/A</v>
      </c>
      <c r="AA2993" s="81" t="str">
        <f>IFERROR(HLOOKUP(J2993,データについて!$J$4:$AH$19,16,FALSE),"")</f>
        <v/>
      </c>
      <c r="AB2993" s="81" t="str">
        <f>IFERROR(HLOOKUP(K2993,データについて!$J$5:$AH$20,14,FALSE),"")</f>
        <v/>
      </c>
      <c r="AC2993" s="81" t="e">
        <f>IF(X2993=1,HLOOKUP(R2993,データについて!$J$12:$M$18,7,FALSE),"*")</f>
        <v>#N/A</v>
      </c>
      <c r="AD2993" s="81" t="e">
        <f>IF(X2993=2,HLOOKUP(R2993,データについて!$J$12:$M$18,7,FALSE),"*")</f>
        <v>#N/A</v>
      </c>
    </row>
    <row r="2994" spans="19:30">
      <c r="S2994" s="81" t="e">
        <f>HLOOKUP(L2994,データについて!$J$6:$M$18,13,FALSE)</f>
        <v>#N/A</v>
      </c>
      <c r="T2994" s="81" t="e">
        <f>HLOOKUP(M2994,データについて!$J$7:$M$18,12,FALSE)</f>
        <v>#N/A</v>
      </c>
      <c r="U2994" s="81" t="e">
        <f>HLOOKUP(N2994,データについて!$J$8:$M$18,11,FALSE)</f>
        <v>#N/A</v>
      </c>
      <c r="V2994" s="81" t="e">
        <f>HLOOKUP(O2994,データについて!$J$9:$M$18,10,FALSE)</f>
        <v>#N/A</v>
      </c>
      <c r="W2994" s="81" t="e">
        <f>HLOOKUP(P2994,データについて!$J$10:$M$18,9,FALSE)</f>
        <v>#N/A</v>
      </c>
      <c r="X2994" s="81" t="e">
        <f>HLOOKUP(Q2994,データについて!$J$11:$M$18,8,FALSE)</f>
        <v>#N/A</v>
      </c>
      <c r="Y2994" s="81" t="e">
        <f>HLOOKUP(R2994,データについて!$J$12:$M$18,7,FALSE)</f>
        <v>#N/A</v>
      </c>
      <c r="Z2994" s="81" t="e">
        <f>HLOOKUP(I2994,データについて!$J$3:$M$18,16,FALSE)</f>
        <v>#N/A</v>
      </c>
      <c r="AA2994" s="81" t="str">
        <f>IFERROR(HLOOKUP(J2994,データについて!$J$4:$AH$19,16,FALSE),"")</f>
        <v/>
      </c>
      <c r="AB2994" s="81" t="str">
        <f>IFERROR(HLOOKUP(K2994,データについて!$J$5:$AH$20,14,FALSE),"")</f>
        <v/>
      </c>
      <c r="AC2994" s="81" t="e">
        <f>IF(X2994=1,HLOOKUP(R2994,データについて!$J$12:$M$18,7,FALSE),"*")</f>
        <v>#N/A</v>
      </c>
      <c r="AD2994" s="81" t="e">
        <f>IF(X2994=2,HLOOKUP(R2994,データについて!$J$12:$M$18,7,FALSE),"*")</f>
        <v>#N/A</v>
      </c>
    </row>
    <row r="2995" spans="19:30">
      <c r="S2995" s="81" t="e">
        <f>HLOOKUP(L2995,データについて!$J$6:$M$18,13,FALSE)</f>
        <v>#N/A</v>
      </c>
      <c r="T2995" s="81" t="e">
        <f>HLOOKUP(M2995,データについて!$J$7:$M$18,12,FALSE)</f>
        <v>#N/A</v>
      </c>
      <c r="U2995" s="81" t="e">
        <f>HLOOKUP(N2995,データについて!$J$8:$M$18,11,FALSE)</f>
        <v>#N/A</v>
      </c>
      <c r="V2995" s="81" t="e">
        <f>HLOOKUP(O2995,データについて!$J$9:$M$18,10,FALSE)</f>
        <v>#N/A</v>
      </c>
      <c r="W2995" s="81" t="e">
        <f>HLOOKUP(P2995,データについて!$J$10:$M$18,9,FALSE)</f>
        <v>#N/A</v>
      </c>
      <c r="X2995" s="81" t="e">
        <f>HLOOKUP(Q2995,データについて!$J$11:$M$18,8,FALSE)</f>
        <v>#N/A</v>
      </c>
      <c r="Y2995" s="81" t="e">
        <f>HLOOKUP(R2995,データについて!$J$12:$M$18,7,FALSE)</f>
        <v>#N/A</v>
      </c>
      <c r="Z2995" s="81" t="e">
        <f>HLOOKUP(I2995,データについて!$J$3:$M$18,16,FALSE)</f>
        <v>#N/A</v>
      </c>
      <c r="AA2995" s="81" t="str">
        <f>IFERROR(HLOOKUP(J2995,データについて!$J$4:$AH$19,16,FALSE),"")</f>
        <v/>
      </c>
      <c r="AB2995" s="81" t="str">
        <f>IFERROR(HLOOKUP(K2995,データについて!$J$5:$AH$20,14,FALSE),"")</f>
        <v/>
      </c>
      <c r="AC2995" s="81" t="e">
        <f>IF(X2995=1,HLOOKUP(R2995,データについて!$J$12:$M$18,7,FALSE),"*")</f>
        <v>#N/A</v>
      </c>
      <c r="AD2995" s="81" t="e">
        <f>IF(X2995=2,HLOOKUP(R2995,データについて!$J$12:$M$18,7,FALSE),"*")</f>
        <v>#N/A</v>
      </c>
    </row>
    <row r="2996" spans="19:30">
      <c r="S2996" s="81" t="e">
        <f>HLOOKUP(L2996,データについて!$J$6:$M$18,13,FALSE)</f>
        <v>#N/A</v>
      </c>
      <c r="T2996" s="81" t="e">
        <f>HLOOKUP(M2996,データについて!$J$7:$M$18,12,FALSE)</f>
        <v>#N/A</v>
      </c>
      <c r="U2996" s="81" t="e">
        <f>HLOOKUP(N2996,データについて!$J$8:$M$18,11,FALSE)</f>
        <v>#N/A</v>
      </c>
      <c r="V2996" s="81" t="e">
        <f>HLOOKUP(O2996,データについて!$J$9:$M$18,10,FALSE)</f>
        <v>#N/A</v>
      </c>
      <c r="W2996" s="81" t="e">
        <f>HLOOKUP(P2996,データについて!$J$10:$M$18,9,FALSE)</f>
        <v>#N/A</v>
      </c>
      <c r="X2996" s="81" t="e">
        <f>HLOOKUP(Q2996,データについて!$J$11:$M$18,8,FALSE)</f>
        <v>#N/A</v>
      </c>
      <c r="Y2996" s="81" t="e">
        <f>HLOOKUP(R2996,データについて!$J$12:$M$18,7,FALSE)</f>
        <v>#N/A</v>
      </c>
      <c r="Z2996" s="81" t="e">
        <f>HLOOKUP(I2996,データについて!$J$3:$M$18,16,FALSE)</f>
        <v>#N/A</v>
      </c>
      <c r="AA2996" s="81" t="str">
        <f>IFERROR(HLOOKUP(J2996,データについて!$J$4:$AH$19,16,FALSE),"")</f>
        <v/>
      </c>
      <c r="AB2996" s="81" t="str">
        <f>IFERROR(HLOOKUP(K2996,データについて!$J$5:$AH$20,14,FALSE),"")</f>
        <v/>
      </c>
      <c r="AC2996" s="81" t="e">
        <f>IF(X2996=1,HLOOKUP(R2996,データについて!$J$12:$M$18,7,FALSE),"*")</f>
        <v>#N/A</v>
      </c>
      <c r="AD2996" s="81" t="e">
        <f>IF(X2996=2,HLOOKUP(R2996,データについて!$J$12:$M$18,7,FALSE),"*")</f>
        <v>#N/A</v>
      </c>
    </row>
    <row r="2997" spans="19:30">
      <c r="S2997" s="81" t="e">
        <f>HLOOKUP(L2997,データについて!$J$6:$M$18,13,FALSE)</f>
        <v>#N/A</v>
      </c>
      <c r="T2997" s="81" t="e">
        <f>HLOOKUP(M2997,データについて!$J$7:$M$18,12,FALSE)</f>
        <v>#N/A</v>
      </c>
      <c r="U2997" s="81" t="e">
        <f>HLOOKUP(N2997,データについて!$J$8:$M$18,11,FALSE)</f>
        <v>#N/A</v>
      </c>
      <c r="V2997" s="81" t="e">
        <f>HLOOKUP(O2997,データについて!$J$9:$M$18,10,FALSE)</f>
        <v>#N/A</v>
      </c>
      <c r="W2997" s="81" t="e">
        <f>HLOOKUP(P2997,データについて!$J$10:$M$18,9,FALSE)</f>
        <v>#N/A</v>
      </c>
      <c r="X2997" s="81" t="e">
        <f>HLOOKUP(Q2997,データについて!$J$11:$M$18,8,FALSE)</f>
        <v>#N/A</v>
      </c>
      <c r="Y2997" s="81" t="e">
        <f>HLOOKUP(R2997,データについて!$J$12:$M$18,7,FALSE)</f>
        <v>#N/A</v>
      </c>
      <c r="Z2997" s="81" t="e">
        <f>HLOOKUP(I2997,データについて!$J$3:$M$18,16,FALSE)</f>
        <v>#N/A</v>
      </c>
      <c r="AA2997" s="81" t="str">
        <f>IFERROR(HLOOKUP(J2997,データについて!$J$4:$AH$19,16,FALSE),"")</f>
        <v/>
      </c>
      <c r="AB2997" s="81" t="str">
        <f>IFERROR(HLOOKUP(K2997,データについて!$J$5:$AH$20,14,FALSE),"")</f>
        <v/>
      </c>
      <c r="AC2997" s="81" t="e">
        <f>IF(X2997=1,HLOOKUP(R2997,データについて!$J$12:$M$18,7,FALSE),"*")</f>
        <v>#N/A</v>
      </c>
      <c r="AD2997" s="81" t="e">
        <f>IF(X2997=2,HLOOKUP(R2997,データについて!$J$12:$M$18,7,FALSE),"*")</f>
        <v>#N/A</v>
      </c>
    </row>
    <row r="2998" spans="19:30">
      <c r="S2998" s="81" t="e">
        <f>HLOOKUP(L2998,データについて!$J$6:$M$18,13,FALSE)</f>
        <v>#N/A</v>
      </c>
      <c r="T2998" s="81" t="e">
        <f>HLOOKUP(M2998,データについて!$J$7:$M$18,12,FALSE)</f>
        <v>#N/A</v>
      </c>
      <c r="U2998" s="81" t="e">
        <f>HLOOKUP(N2998,データについて!$J$8:$M$18,11,FALSE)</f>
        <v>#N/A</v>
      </c>
      <c r="V2998" s="81" t="e">
        <f>HLOOKUP(O2998,データについて!$J$9:$M$18,10,FALSE)</f>
        <v>#N/A</v>
      </c>
      <c r="W2998" s="81" t="e">
        <f>HLOOKUP(P2998,データについて!$J$10:$M$18,9,FALSE)</f>
        <v>#N/A</v>
      </c>
      <c r="X2998" s="81" t="e">
        <f>HLOOKUP(Q2998,データについて!$J$11:$M$18,8,FALSE)</f>
        <v>#N/A</v>
      </c>
      <c r="Y2998" s="81" t="e">
        <f>HLOOKUP(R2998,データについて!$J$12:$M$18,7,FALSE)</f>
        <v>#N/A</v>
      </c>
      <c r="Z2998" s="81" t="e">
        <f>HLOOKUP(I2998,データについて!$J$3:$M$18,16,FALSE)</f>
        <v>#N/A</v>
      </c>
      <c r="AA2998" s="81" t="str">
        <f>IFERROR(HLOOKUP(J2998,データについて!$J$4:$AH$19,16,FALSE),"")</f>
        <v/>
      </c>
      <c r="AB2998" s="81" t="str">
        <f>IFERROR(HLOOKUP(K2998,データについて!$J$5:$AH$20,14,FALSE),"")</f>
        <v/>
      </c>
      <c r="AC2998" s="81" t="e">
        <f>IF(X2998=1,HLOOKUP(R2998,データについて!$J$12:$M$18,7,FALSE),"*")</f>
        <v>#N/A</v>
      </c>
      <c r="AD2998" s="81" t="e">
        <f>IF(X2998=2,HLOOKUP(R2998,データについて!$J$12:$M$18,7,FALSE),"*")</f>
        <v>#N/A</v>
      </c>
    </row>
    <row r="2999" spans="19:30">
      <c r="S2999" s="81" t="e">
        <f>HLOOKUP(L2999,データについて!$J$6:$M$18,13,FALSE)</f>
        <v>#N/A</v>
      </c>
      <c r="T2999" s="81" t="e">
        <f>HLOOKUP(M2999,データについて!$J$7:$M$18,12,FALSE)</f>
        <v>#N/A</v>
      </c>
      <c r="U2999" s="81" t="e">
        <f>HLOOKUP(N2999,データについて!$J$8:$M$18,11,FALSE)</f>
        <v>#N/A</v>
      </c>
      <c r="V2999" s="81" t="e">
        <f>HLOOKUP(O2999,データについて!$J$9:$M$18,10,FALSE)</f>
        <v>#N/A</v>
      </c>
      <c r="W2999" s="81" t="e">
        <f>HLOOKUP(P2999,データについて!$J$10:$M$18,9,FALSE)</f>
        <v>#N/A</v>
      </c>
      <c r="X2999" s="81" t="e">
        <f>HLOOKUP(Q2999,データについて!$J$11:$M$18,8,FALSE)</f>
        <v>#N/A</v>
      </c>
      <c r="Y2999" s="81" t="e">
        <f>HLOOKUP(R2999,データについて!$J$12:$M$18,7,FALSE)</f>
        <v>#N/A</v>
      </c>
      <c r="Z2999" s="81" t="e">
        <f>HLOOKUP(I2999,データについて!$J$3:$M$18,16,FALSE)</f>
        <v>#N/A</v>
      </c>
      <c r="AA2999" s="81" t="str">
        <f>IFERROR(HLOOKUP(J2999,データについて!$J$4:$AH$19,16,FALSE),"")</f>
        <v/>
      </c>
      <c r="AB2999" s="81" t="str">
        <f>IFERROR(HLOOKUP(K2999,データについて!$J$5:$AH$20,14,FALSE),"")</f>
        <v/>
      </c>
      <c r="AC2999" s="81" t="e">
        <f>IF(X2999=1,HLOOKUP(R2999,データについて!$J$12:$M$18,7,FALSE),"*")</f>
        <v>#N/A</v>
      </c>
      <c r="AD2999" s="81" t="e">
        <f>IF(X2999=2,HLOOKUP(R2999,データについて!$J$12:$M$18,7,FALSE),"*")</f>
        <v>#N/A</v>
      </c>
    </row>
    <row r="3000" spans="19:30">
      <c r="S3000" s="81" t="e">
        <f>HLOOKUP(L3000,データについて!$J$6:$M$18,13,FALSE)</f>
        <v>#N/A</v>
      </c>
      <c r="T3000" s="81" t="e">
        <f>HLOOKUP(M3000,データについて!$J$7:$M$18,12,FALSE)</f>
        <v>#N/A</v>
      </c>
      <c r="U3000" s="81" t="e">
        <f>HLOOKUP(N3000,データについて!$J$8:$M$18,11,FALSE)</f>
        <v>#N/A</v>
      </c>
      <c r="V3000" s="81" t="e">
        <f>HLOOKUP(O3000,データについて!$J$9:$M$18,10,FALSE)</f>
        <v>#N/A</v>
      </c>
      <c r="W3000" s="81" t="e">
        <f>HLOOKUP(P3000,データについて!$J$10:$M$18,9,FALSE)</f>
        <v>#N/A</v>
      </c>
      <c r="X3000" s="81" t="e">
        <f>HLOOKUP(Q3000,データについて!$J$11:$M$18,8,FALSE)</f>
        <v>#N/A</v>
      </c>
      <c r="Y3000" s="81" t="e">
        <f>HLOOKUP(R3000,データについて!$J$12:$M$18,7,FALSE)</f>
        <v>#N/A</v>
      </c>
      <c r="Z3000" s="81" t="e">
        <f>HLOOKUP(I3000,データについて!$J$3:$M$18,16,FALSE)</f>
        <v>#N/A</v>
      </c>
      <c r="AA3000" s="81" t="str">
        <f>IFERROR(HLOOKUP(J3000,データについて!$J$4:$AH$19,16,FALSE),"")</f>
        <v/>
      </c>
      <c r="AB3000" s="81" t="str">
        <f>IFERROR(HLOOKUP(K3000,データについて!$J$5:$AH$20,14,FALSE),"")</f>
        <v/>
      </c>
      <c r="AC3000" s="81" t="e">
        <f>IF(X3000=1,HLOOKUP(R3000,データについて!$J$12:$M$18,7,FALSE),"*")</f>
        <v>#N/A</v>
      </c>
      <c r="AD3000" s="81" t="e">
        <f>IF(X3000=2,HLOOKUP(R3000,データについて!$J$12:$M$18,7,FALSE),"*")</f>
        <v>#N/A</v>
      </c>
    </row>
    <row r="3001" spans="19:30">
      <c r="S3001" s="81" t="e">
        <f>HLOOKUP(L3001,データについて!$J$6:$M$18,13,FALSE)</f>
        <v>#N/A</v>
      </c>
      <c r="T3001" s="81" t="e">
        <f>HLOOKUP(M3001,データについて!$J$7:$M$18,12,FALSE)</f>
        <v>#N/A</v>
      </c>
      <c r="U3001" s="81" t="e">
        <f>HLOOKUP(N3001,データについて!$J$8:$M$18,11,FALSE)</f>
        <v>#N/A</v>
      </c>
      <c r="V3001" s="81" t="e">
        <f>HLOOKUP(O3001,データについて!$J$9:$M$18,10,FALSE)</f>
        <v>#N/A</v>
      </c>
      <c r="W3001" s="81" t="e">
        <f>HLOOKUP(P3001,データについて!$J$10:$M$18,9,FALSE)</f>
        <v>#N/A</v>
      </c>
      <c r="X3001" s="81" t="e">
        <f>HLOOKUP(Q3001,データについて!$J$11:$M$18,8,FALSE)</f>
        <v>#N/A</v>
      </c>
      <c r="Y3001" s="81" t="e">
        <f>HLOOKUP(R3001,データについて!$J$12:$M$18,7,FALSE)</f>
        <v>#N/A</v>
      </c>
      <c r="Z3001" s="81" t="e">
        <f>HLOOKUP(I3001,データについて!$J$3:$M$18,16,FALSE)</f>
        <v>#N/A</v>
      </c>
      <c r="AA3001" s="81" t="str">
        <f>IFERROR(HLOOKUP(J3001,データについて!$J$4:$AH$19,16,FALSE),"")</f>
        <v/>
      </c>
      <c r="AB3001" s="81" t="str">
        <f>IFERROR(HLOOKUP(K3001,データについて!$J$5:$AH$20,14,FALSE),"")</f>
        <v/>
      </c>
      <c r="AC3001" s="81" t="e">
        <f>IF(X3001=1,HLOOKUP(R3001,データについて!$J$12:$M$18,7,FALSE),"*")</f>
        <v>#N/A</v>
      </c>
      <c r="AD3001" s="81" t="e">
        <f>IF(X3001=2,HLOOKUP(R3001,データについて!$J$12:$M$18,7,FALSE),"*")</f>
        <v>#N/A</v>
      </c>
    </row>
    <row r="3002" spans="19:30">
      <c r="S3002" s="81" t="e">
        <f>HLOOKUP(L3002,データについて!$J$6:$M$18,13,FALSE)</f>
        <v>#N/A</v>
      </c>
      <c r="T3002" s="81" t="e">
        <f>HLOOKUP(M3002,データについて!$J$7:$M$18,12,FALSE)</f>
        <v>#N/A</v>
      </c>
      <c r="U3002" s="81" t="e">
        <f>HLOOKUP(N3002,データについて!$J$8:$M$18,11,FALSE)</f>
        <v>#N/A</v>
      </c>
      <c r="V3002" s="81" t="e">
        <f>HLOOKUP(O3002,データについて!$J$9:$M$18,10,FALSE)</f>
        <v>#N/A</v>
      </c>
      <c r="W3002" s="81" t="e">
        <f>HLOOKUP(P3002,データについて!$J$10:$M$18,9,FALSE)</f>
        <v>#N/A</v>
      </c>
      <c r="X3002" s="81" t="e">
        <f>HLOOKUP(Q3002,データについて!$J$11:$M$18,8,FALSE)</f>
        <v>#N/A</v>
      </c>
      <c r="Y3002" s="81" t="e">
        <f>HLOOKUP(R3002,データについて!$J$12:$M$18,7,FALSE)</f>
        <v>#N/A</v>
      </c>
      <c r="Z3002" s="81" t="e">
        <f>HLOOKUP(I3002,データについて!$J$3:$M$18,16,FALSE)</f>
        <v>#N/A</v>
      </c>
      <c r="AA3002" s="81" t="str">
        <f>IFERROR(HLOOKUP(J3002,データについて!$J$4:$AH$19,16,FALSE),"")</f>
        <v/>
      </c>
      <c r="AB3002" s="81" t="str">
        <f>IFERROR(HLOOKUP(K3002,データについて!$J$5:$AH$20,14,FALSE),"")</f>
        <v/>
      </c>
      <c r="AC3002" s="81" t="e">
        <f>IF(X3002=1,HLOOKUP(R3002,データについて!$J$12:$M$18,7,FALSE),"*")</f>
        <v>#N/A</v>
      </c>
      <c r="AD3002" s="81" t="e">
        <f>IF(X3002=2,HLOOKUP(R3002,データについて!$J$12:$M$18,7,FALSE),"*")</f>
        <v>#N/A</v>
      </c>
    </row>
    <row r="3003" spans="19:30">
      <c r="S3003" s="81" t="e">
        <f>HLOOKUP(L3003,データについて!$J$6:$M$18,13,FALSE)</f>
        <v>#N/A</v>
      </c>
      <c r="T3003" s="81" t="e">
        <f>HLOOKUP(M3003,データについて!$J$7:$M$18,12,FALSE)</f>
        <v>#N/A</v>
      </c>
      <c r="U3003" s="81" t="e">
        <f>HLOOKUP(N3003,データについて!$J$8:$M$18,11,FALSE)</f>
        <v>#N/A</v>
      </c>
      <c r="V3003" s="81" t="e">
        <f>HLOOKUP(O3003,データについて!$J$9:$M$18,10,FALSE)</f>
        <v>#N/A</v>
      </c>
      <c r="W3003" s="81" t="e">
        <f>HLOOKUP(P3003,データについて!$J$10:$M$18,9,FALSE)</f>
        <v>#N/A</v>
      </c>
      <c r="X3003" s="81" t="e">
        <f>HLOOKUP(Q3003,データについて!$J$11:$M$18,8,FALSE)</f>
        <v>#N/A</v>
      </c>
      <c r="Y3003" s="81" t="e">
        <f>HLOOKUP(R3003,データについて!$J$12:$M$18,7,FALSE)</f>
        <v>#N/A</v>
      </c>
      <c r="Z3003" s="81" t="e">
        <f>HLOOKUP(I3003,データについて!$J$3:$M$18,16,FALSE)</f>
        <v>#N/A</v>
      </c>
      <c r="AA3003" s="81" t="str">
        <f>IFERROR(HLOOKUP(J3003,データについて!$J$4:$AH$19,16,FALSE),"")</f>
        <v/>
      </c>
      <c r="AB3003" s="81" t="str">
        <f>IFERROR(HLOOKUP(K3003,データについて!$J$5:$AH$20,14,FALSE),"")</f>
        <v/>
      </c>
      <c r="AC3003" s="81" t="e">
        <f>IF(X3003=1,HLOOKUP(R3003,データについて!$J$12:$M$18,7,FALSE),"*")</f>
        <v>#N/A</v>
      </c>
      <c r="AD3003" s="81" t="e">
        <f>IF(X3003=2,HLOOKUP(R3003,データについて!$J$12:$M$18,7,FALSE),"*")</f>
        <v>#N/A</v>
      </c>
    </row>
    <row r="3004" spans="19:30">
      <c r="S3004" s="81" t="e">
        <f>HLOOKUP(L3004,データについて!$J$6:$M$18,13,FALSE)</f>
        <v>#N/A</v>
      </c>
      <c r="T3004" s="81" t="e">
        <f>HLOOKUP(M3004,データについて!$J$7:$M$18,12,FALSE)</f>
        <v>#N/A</v>
      </c>
      <c r="U3004" s="81" t="e">
        <f>HLOOKUP(N3004,データについて!$J$8:$M$18,11,FALSE)</f>
        <v>#N/A</v>
      </c>
      <c r="V3004" s="81" t="e">
        <f>HLOOKUP(O3004,データについて!$J$9:$M$18,10,FALSE)</f>
        <v>#N/A</v>
      </c>
      <c r="W3004" s="81" t="e">
        <f>HLOOKUP(P3004,データについて!$J$10:$M$18,9,FALSE)</f>
        <v>#N/A</v>
      </c>
      <c r="X3004" s="81" t="e">
        <f>HLOOKUP(Q3004,データについて!$J$11:$M$18,8,FALSE)</f>
        <v>#N/A</v>
      </c>
      <c r="Y3004" s="81" t="e">
        <f>HLOOKUP(R3004,データについて!$J$12:$M$18,7,FALSE)</f>
        <v>#N/A</v>
      </c>
      <c r="Z3004" s="81" t="e">
        <f>HLOOKUP(I3004,データについて!$J$3:$M$18,16,FALSE)</f>
        <v>#N/A</v>
      </c>
      <c r="AA3004" s="81" t="str">
        <f>IFERROR(HLOOKUP(J3004,データについて!$J$4:$AH$19,16,FALSE),"")</f>
        <v/>
      </c>
      <c r="AB3004" s="81" t="str">
        <f>IFERROR(HLOOKUP(K3004,データについて!$J$5:$AH$20,14,FALSE),"")</f>
        <v/>
      </c>
      <c r="AC3004" s="81" t="e">
        <f>IF(X3004=1,HLOOKUP(R3004,データについて!$J$12:$M$18,7,FALSE),"*")</f>
        <v>#N/A</v>
      </c>
      <c r="AD3004" s="81" t="e">
        <f>IF(X3004=2,HLOOKUP(R3004,データについて!$J$12:$M$18,7,FALSE),"*")</f>
        <v>#N/A</v>
      </c>
    </row>
    <row r="3005" spans="19:30">
      <c r="S3005" s="81" t="e">
        <f>HLOOKUP(L3005,データについて!$J$6:$M$18,13,FALSE)</f>
        <v>#N/A</v>
      </c>
      <c r="T3005" s="81" t="e">
        <f>HLOOKUP(M3005,データについて!$J$7:$M$18,12,FALSE)</f>
        <v>#N/A</v>
      </c>
      <c r="U3005" s="81" t="e">
        <f>HLOOKUP(N3005,データについて!$J$8:$M$18,11,FALSE)</f>
        <v>#N/A</v>
      </c>
      <c r="V3005" s="81" t="e">
        <f>HLOOKUP(O3005,データについて!$J$9:$M$18,10,FALSE)</f>
        <v>#N/A</v>
      </c>
      <c r="W3005" s="81" t="e">
        <f>HLOOKUP(P3005,データについて!$J$10:$M$18,9,FALSE)</f>
        <v>#N/A</v>
      </c>
      <c r="X3005" s="81" t="e">
        <f>HLOOKUP(Q3005,データについて!$J$11:$M$18,8,FALSE)</f>
        <v>#N/A</v>
      </c>
      <c r="Y3005" s="81" t="e">
        <f>HLOOKUP(R3005,データについて!$J$12:$M$18,7,FALSE)</f>
        <v>#N/A</v>
      </c>
      <c r="Z3005" s="81" t="e">
        <f>HLOOKUP(I3005,データについて!$J$3:$M$18,16,FALSE)</f>
        <v>#N/A</v>
      </c>
      <c r="AA3005" s="81" t="str">
        <f>IFERROR(HLOOKUP(J3005,データについて!$J$4:$AH$19,16,FALSE),"")</f>
        <v/>
      </c>
      <c r="AB3005" s="81" t="str">
        <f>IFERROR(HLOOKUP(K3005,データについて!$J$5:$AH$20,14,FALSE),"")</f>
        <v/>
      </c>
      <c r="AC3005" s="81" t="e">
        <f>IF(X3005=1,HLOOKUP(R3005,データについて!$J$12:$M$18,7,FALSE),"*")</f>
        <v>#N/A</v>
      </c>
      <c r="AD3005" s="81" t="e">
        <f>IF(X3005=2,HLOOKUP(R3005,データについて!$J$12:$M$18,7,FALSE),"*")</f>
        <v>#N/A</v>
      </c>
    </row>
    <row r="3006" spans="19:30">
      <c r="S3006" s="81" t="e">
        <f>HLOOKUP(L3006,データについて!$J$6:$M$18,13,FALSE)</f>
        <v>#N/A</v>
      </c>
      <c r="T3006" s="81" t="e">
        <f>HLOOKUP(M3006,データについて!$J$7:$M$18,12,FALSE)</f>
        <v>#N/A</v>
      </c>
      <c r="U3006" s="81" t="e">
        <f>HLOOKUP(N3006,データについて!$J$8:$M$18,11,FALSE)</f>
        <v>#N/A</v>
      </c>
      <c r="V3006" s="81" t="e">
        <f>HLOOKUP(O3006,データについて!$J$9:$M$18,10,FALSE)</f>
        <v>#N/A</v>
      </c>
      <c r="W3006" s="81" t="e">
        <f>HLOOKUP(P3006,データについて!$J$10:$M$18,9,FALSE)</f>
        <v>#N/A</v>
      </c>
      <c r="X3006" s="81" t="e">
        <f>HLOOKUP(Q3006,データについて!$J$11:$M$18,8,FALSE)</f>
        <v>#N/A</v>
      </c>
      <c r="Y3006" s="81" t="e">
        <f>HLOOKUP(R3006,データについて!$J$12:$M$18,7,FALSE)</f>
        <v>#N/A</v>
      </c>
      <c r="Z3006" s="81" t="e">
        <f>HLOOKUP(I3006,データについて!$J$3:$M$18,16,FALSE)</f>
        <v>#N/A</v>
      </c>
      <c r="AA3006" s="81" t="str">
        <f>IFERROR(HLOOKUP(J3006,データについて!$J$4:$AH$19,16,FALSE),"")</f>
        <v/>
      </c>
      <c r="AB3006" s="81" t="str">
        <f>IFERROR(HLOOKUP(K3006,データについて!$J$5:$AH$20,14,FALSE),"")</f>
        <v/>
      </c>
      <c r="AC3006" s="81" t="e">
        <f>IF(X3006=1,HLOOKUP(R3006,データについて!$J$12:$M$18,7,FALSE),"*")</f>
        <v>#N/A</v>
      </c>
      <c r="AD3006" s="81" t="e">
        <f>IF(X3006=2,HLOOKUP(R3006,データについて!$J$12:$M$18,7,FALSE),"*")</f>
        <v>#N/A</v>
      </c>
    </row>
    <row r="3007" spans="19:30">
      <c r="S3007" s="81" t="e">
        <f>HLOOKUP(L3007,データについて!$J$6:$M$18,13,FALSE)</f>
        <v>#N/A</v>
      </c>
      <c r="T3007" s="81" t="e">
        <f>HLOOKUP(M3007,データについて!$J$7:$M$18,12,FALSE)</f>
        <v>#N/A</v>
      </c>
      <c r="U3007" s="81" t="e">
        <f>HLOOKUP(N3007,データについて!$J$8:$M$18,11,FALSE)</f>
        <v>#N/A</v>
      </c>
      <c r="V3007" s="81" t="e">
        <f>HLOOKUP(O3007,データについて!$J$9:$M$18,10,FALSE)</f>
        <v>#N/A</v>
      </c>
      <c r="W3007" s="81" t="e">
        <f>HLOOKUP(P3007,データについて!$J$10:$M$18,9,FALSE)</f>
        <v>#N/A</v>
      </c>
      <c r="X3007" s="81" t="e">
        <f>HLOOKUP(Q3007,データについて!$J$11:$M$18,8,FALSE)</f>
        <v>#N/A</v>
      </c>
      <c r="Y3007" s="81" t="e">
        <f>HLOOKUP(R3007,データについて!$J$12:$M$18,7,FALSE)</f>
        <v>#N/A</v>
      </c>
      <c r="Z3007" s="81" t="e">
        <f>HLOOKUP(I3007,データについて!$J$3:$M$18,16,FALSE)</f>
        <v>#N/A</v>
      </c>
      <c r="AA3007" s="81" t="str">
        <f>IFERROR(HLOOKUP(J3007,データについて!$J$4:$AH$19,16,FALSE),"")</f>
        <v/>
      </c>
      <c r="AB3007" s="81" t="str">
        <f>IFERROR(HLOOKUP(K3007,データについて!$J$5:$AH$20,14,FALSE),"")</f>
        <v/>
      </c>
      <c r="AC3007" s="81" t="e">
        <f>IF(X3007=1,HLOOKUP(R3007,データについて!$J$12:$M$18,7,FALSE),"*")</f>
        <v>#N/A</v>
      </c>
      <c r="AD3007" s="81" t="e">
        <f>IF(X3007=2,HLOOKUP(R3007,データについて!$J$12:$M$18,7,FALSE),"*")</f>
        <v>#N/A</v>
      </c>
    </row>
    <row r="3008" spans="19:30">
      <c r="S3008" s="81" t="e">
        <f>HLOOKUP(L3008,データについて!$J$6:$M$18,13,FALSE)</f>
        <v>#N/A</v>
      </c>
      <c r="T3008" s="81" t="e">
        <f>HLOOKUP(M3008,データについて!$J$7:$M$18,12,FALSE)</f>
        <v>#N/A</v>
      </c>
      <c r="U3008" s="81" t="e">
        <f>HLOOKUP(N3008,データについて!$J$8:$M$18,11,FALSE)</f>
        <v>#N/A</v>
      </c>
      <c r="V3008" s="81" t="e">
        <f>HLOOKUP(O3008,データについて!$J$9:$M$18,10,FALSE)</f>
        <v>#N/A</v>
      </c>
      <c r="W3008" s="81" t="e">
        <f>HLOOKUP(P3008,データについて!$J$10:$M$18,9,FALSE)</f>
        <v>#N/A</v>
      </c>
      <c r="X3008" s="81" t="e">
        <f>HLOOKUP(Q3008,データについて!$J$11:$M$18,8,FALSE)</f>
        <v>#N/A</v>
      </c>
      <c r="Y3008" s="81" t="e">
        <f>HLOOKUP(R3008,データについて!$J$12:$M$18,7,FALSE)</f>
        <v>#N/A</v>
      </c>
      <c r="Z3008" s="81" t="e">
        <f>HLOOKUP(I3008,データについて!$J$3:$M$18,16,FALSE)</f>
        <v>#N/A</v>
      </c>
      <c r="AA3008" s="81" t="str">
        <f>IFERROR(HLOOKUP(J3008,データについて!$J$4:$AH$19,16,FALSE),"")</f>
        <v/>
      </c>
      <c r="AB3008" s="81" t="str">
        <f>IFERROR(HLOOKUP(K3008,データについて!$J$5:$AH$20,14,FALSE),"")</f>
        <v/>
      </c>
      <c r="AC3008" s="81" t="e">
        <f>IF(X3008=1,HLOOKUP(R3008,データについて!$J$12:$M$18,7,FALSE),"*")</f>
        <v>#N/A</v>
      </c>
      <c r="AD3008" s="81" t="e">
        <f>IF(X3008=2,HLOOKUP(R3008,データについて!$J$12:$M$18,7,FALSE),"*")</f>
        <v>#N/A</v>
      </c>
    </row>
    <row r="3009" spans="19:30">
      <c r="S3009" s="81" t="e">
        <f>HLOOKUP(L3009,データについて!$J$6:$M$18,13,FALSE)</f>
        <v>#N/A</v>
      </c>
      <c r="T3009" s="81" t="e">
        <f>HLOOKUP(M3009,データについて!$J$7:$M$18,12,FALSE)</f>
        <v>#N/A</v>
      </c>
      <c r="U3009" s="81" t="e">
        <f>HLOOKUP(N3009,データについて!$J$8:$M$18,11,FALSE)</f>
        <v>#N/A</v>
      </c>
      <c r="V3009" s="81" t="e">
        <f>HLOOKUP(O3009,データについて!$J$9:$M$18,10,FALSE)</f>
        <v>#N/A</v>
      </c>
      <c r="W3009" s="81" t="e">
        <f>HLOOKUP(P3009,データについて!$J$10:$M$18,9,FALSE)</f>
        <v>#N/A</v>
      </c>
      <c r="X3009" s="81" t="e">
        <f>HLOOKUP(Q3009,データについて!$J$11:$M$18,8,FALSE)</f>
        <v>#N/A</v>
      </c>
      <c r="Y3009" s="81" t="e">
        <f>HLOOKUP(R3009,データについて!$J$12:$M$18,7,FALSE)</f>
        <v>#N/A</v>
      </c>
      <c r="Z3009" s="81" t="e">
        <f>HLOOKUP(I3009,データについて!$J$3:$M$18,16,FALSE)</f>
        <v>#N/A</v>
      </c>
      <c r="AA3009" s="81" t="str">
        <f>IFERROR(HLOOKUP(J3009,データについて!$J$4:$AH$19,16,FALSE),"")</f>
        <v/>
      </c>
      <c r="AB3009" s="81" t="str">
        <f>IFERROR(HLOOKUP(K3009,データについて!$J$5:$AH$20,14,FALSE),"")</f>
        <v/>
      </c>
      <c r="AC3009" s="81" t="e">
        <f>IF(X3009=1,HLOOKUP(R3009,データについて!$J$12:$M$18,7,FALSE),"*")</f>
        <v>#N/A</v>
      </c>
      <c r="AD3009" s="81" t="e">
        <f>IF(X3009=2,HLOOKUP(R3009,データについて!$J$12:$M$18,7,FALSE),"*")</f>
        <v>#N/A</v>
      </c>
    </row>
    <row r="3010" spans="19:30">
      <c r="S3010" s="81" t="e">
        <f>HLOOKUP(L3010,データについて!$J$6:$M$18,13,FALSE)</f>
        <v>#N/A</v>
      </c>
      <c r="T3010" s="81" t="e">
        <f>HLOOKUP(M3010,データについて!$J$7:$M$18,12,FALSE)</f>
        <v>#N/A</v>
      </c>
      <c r="U3010" s="81" t="e">
        <f>HLOOKUP(N3010,データについて!$J$8:$M$18,11,FALSE)</f>
        <v>#N/A</v>
      </c>
      <c r="V3010" s="81" t="e">
        <f>HLOOKUP(O3010,データについて!$J$9:$M$18,10,FALSE)</f>
        <v>#N/A</v>
      </c>
      <c r="W3010" s="81" t="e">
        <f>HLOOKUP(P3010,データについて!$J$10:$M$18,9,FALSE)</f>
        <v>#N/A</v>
      </c>
      <c r="X3010" s="81" t="e">
        <f>HLOOKUP(Q3010,データについて!$J$11:$M$18,8,FALSE)</f>
        <v>#N/A</v>
      </c>
      <c r="Y3010" s="81" t="e">
        <f>HLOOKUP(R3010,データについて!$J$12:$M$18,7,FALSE)</f>
        <v>#N/A</v>
      </c>
      <c r="Z3010" s="81" t="e">
        <f>HLOOKUP(I3010,データについて!$J$3:$M$18,16,FALSE)</f>
        <v>#N/A</v>
      </c>
      <c r="AA3010" s="81" t="str">
        <f>IFERROR(HLOOKUP(J3010,データについて!$J$4:$AH$19,16,FALSE),"")</f>
        <v/>
      </c>
      <c r="AB3010" s="81" t="str">
        <f>IFERROR(HLOOKUP(K3010,データについて!$J$5:$AH$20,14,FALSE),"")</f>
        <v/>
      </c>
      <c r="AC3010" s="81" t="e">
        <f>IF(X3010=1,HLOOKUP(R3010,データについて!$J$12:$M$18,7,FALSE),"*")</f>
        <v>#N/A</v>
      </c>
      <c r="AD3010" s="81" t="e">
        <f>IF(X3010=2,HLOOKUP(R3010,データについて!$J$12:$M$18,7,FALSE),"*")</f>
        <v>#N/A</v>
      </c>
    </row>
    <row r="3011" spans="19:30">
      <c r="S3011" s="81" t="e">
        <f>HLOOKUP(L3011,データについて!$J$6:$M$18,13,FALSE)</f>
        <v>#N/A</v>
      </c>
      <c r="T3011" s="81" t="e">
        <f>HLOOKUP(M3011,データについて!$J$7:$M$18,12,FALSE)</f>
        <v>#N/A</v>
      </c>
      <c r="U3011" s="81" t="e">
        <f>HLOOKUP(N3011,データについて!$J$8:$M$18,11,FALSE)</f>
        <v>#N/A</v>
      </c>
      <c r="V3011" s="81" t="e">
        <f>HLOOKUP(O3011,データについて!$J$9:$M$18,10,FALSE)</f>
        <v>#N/A</v>
      </c>
      <c r="W3011" s="81" t="e">
        <f>HLOOKUP(P3011,データについて!$J$10:$M$18,9,FALSE)</f>
        <v>#N/A</v>
      </c>
      <c r="X3011" s="81" t="e">
        <f>HLOOKUP(Q3011,データについて!$J$11:$M$18,8,FALSE)</f>
        <v>#N/A</v>
      </c>
      <c r="Y3011" s="81" t="e">
        <f>HLOOKUP(R3011,データについて!$J$12:$M$18,7,FALSE)</f>
        <v>#N/A</v>
      </c>
      <c r="Z3011" s="81" t="e">
        <f>HLOOKUP(I3011,データについて!$J$3:$M$18,16,FALSE)</f>
        <v>#N/A</v>
      </c>
      <c r="AA3011" s="81" t="str">
        <f>IFERROR(HLOOKUP(J3011,データについて!$J$4:$AH$19,16,FALSE),"")</f>
        <v/>
      </c>
      <c r="AB3011" s="81" t="str">
        <f>IFERROR(HLOOKUP(K3011,データについて!$J$5:$AH$20,14,FALSE),"")</f>
        <v/>
      </c>
      <c r="AC3011" s="81" t="e">
        <f>IF(X3011=1,HLOOKUP(R3011,データについて!$J$12:$M$18,7,FALSE),"*")</f>
        <v>#N/A</v>
      </c>
      <c r="AD3011" s="81" t="e">
        <f>IF(X3011=2,HLOOKUP(R3011,データについて!$J$12:$M$18,7,FALSE),"*")</f>
        <v>#N/A</v>
      </c>
    </row>
    <row r="3012" spans="19:30">
      <c r="S3012" s="81" t="e">
        <f>HLOOKUP(L3012,データについて!$J$6:$M$18,13,FALSE)</f>
        <v>#N/A</v>
      </c>
      <c r="T3012" s="81" t="e">
        <f>HLOOKUP(M3012,データについて!$J$7:$M$18,12,FALSE)</f>
        <v>#N/A</v>
      </c>
      <c r="U3012" s="81" t="e">
        <f>HLOOKUP(N3012,データについて!$J$8:$M$18,11,FALSE)</f>
        <v>#N/A</v>
      </c>
      <c r="V3012" s="81" t="e">
        <f>HLOOKUP(O3012,データについて!$J$9:$M$18,10,FALSE)</f>
        <v>#N/A</v>
      </c>
      <c r="W3012" s="81" t="e">
        <f>HLOOKUP(P3012,データについて!$J$10:$M$18,9,FALSE)</f>
        <v>#N/A</v>
      </c>
      <c r="X3012" s="81" t="e">
        <f>HLOOKUP(Q3012,データについて!$J$11:$M$18,8,FALSE)</f>
        <v>#N/A</v>
      </c>
      <c r="Y3012" s="81" t="e">
        <f>HLOOKUP(R3012,データについて!$J$12:$M$18,7,FALSE)</f>
        <v>#N/A</v>
      </c>
      <c r="Z3012" s="81" t="e">
        <f>HLOOKUP(I3012,データについて!$J$3:$M$18,16,FALSE)</f>
        <v>#N/A</v>
      </c>
      <c r="AA3012" s="81" t="str">
        <f>IFERROR(HLOOKUP(J3012,データについて!$J$4:$AH$19,16,FALSE),"")</f>
        <v/>
      </c>
      <c r="AB3012" s="81" t="str">
        <f>IFERROR(HLOOKUP(K3012,データについて!$J$5:$AH$20,14,FALSE),"")</f>
        <v/>
      </c>
      <c r="AC3012" s="81" t="e">
        <f>IF(X3012=1,HLOOKUP(R3012,データについて!$J$12:$M$18,7,FALSE),"*")</f>
        <v>#N/A</v>
      </c>
      <c r="AD3012" s="81" t="e">
        <f>IF(X3012=2,HLOOKUP(R3012,データについて!$J$12:$M$18,7,FALSE),"*")</f>
        <v>#N/A</v>
      </c>
    </row>
    <row r="3013" spans="19:30">
      <c r="S3013" s="81" t="e">
        <f>HLOOKUP(L3013,データについて!$J$6:$M$18,13,FALSE)</f>
        <v>#N/A</v>
      </c>
      <c r="T3013" s="81" t="e">
        <f>HLOOKUP(M3013,データについて!$J$7:$M$18,12,FALSE)</f>
        <v>#N/A</v>
      </c>
      <c r="U3013" s="81" t="e">
        <f>HLOOKUP(N3013,データについて!$J$8:$M$18,11,FALSE)</f>
        <v>#N/A</v>
      </c>
      <c r="V3013" s="81" t="e">
        <f>HLOOKUP(O3013,データについて!$J$9:$M$18,10,FALSE)</f>
        <v>#N/A</v>
      </c>
      <c r="W3013" s="81" t="e">
        <f>HLOOKUP(P3013,データについて!$J$10:$M$18,9,FALSE)</f>
        <v>#N/A</v>
      </c>
      <c r="X3013" s="81" t="e">
        <f>HLOOKUP(Q3013,データについて!$J$11:$M$18,8,FALSE)</f>
        <v>#N/A</v>
      </c>
      <c r="Y3013" s="81" t="e">
        <f>HLOOKUP(R3013,データについて!$J$12:$M$18,7,FALSE)</f>
        <v>#N/A</v>
      </c>
      <c r="Z3013" s="81" t="e">
        <f>HLOOKUP(I3013,データについて!$J$3:$M$18,16,FALSE)</f>
        <v>#N/A</v>
      </c>
      <c r="AA3013" s="81" t="str">
        <f>IFERROR(HLOOKUP(J3013,データについて!$J$4:$AH$19,16,FALSE),"")</f>
        <v/>
      </c>
      <c r="AB3013" s="81" t="str">
        <f>IFERROR(HLOOKUP(K3013,データについて!$J$5:$AH$20,14,FALSE),"")</f>
        <v/>
      </c>
      <c r="AC3013" s="81" t="e">
        <f>IF(X3013=1,HLOOKUP(R3013,データについて!$J$12:$M$18,7,FALSE),"*")</f>
        <v>#N/A</v>
      </c>
      <c r="AD3013" s="81" t="e">
        <f>IF(X3013=2,HLOOKUP(R3013,データについて!$J$12:$M$18,7,FALSE),"*")</f>
        <v>#N/A</v>
      </c>
    </row>
    <row r="3014" spans="19:30">
      <c r="S3014" s="81" t="e">
        <f>HLOOKUP(L3014,データについて!$J$6:$M$18,13,FALSE)</f>
        <v>#N/A</v>
      </c>
      <c r="T3014" s="81" t="e">
        <f>HLOOKUP(M3014,データについて!$J$7:$M$18,12,FALSE)</f>
        <v>#N/A</v>
      </c>
      <c r="U3014" s="81" t="e">
        <f>HLOOKUP(N3014,データについて!$J$8:$M$18,11,FALSE)</f>
        <v>#N/A</v>
      </c>
      <c r="V3014" s="81" t="e">
        <f>HLOOKUP(O3014,データについて!$J$9:$M$18,10,FALSE)</f>
        <v>#N/A</v>
      </c>
      <c r="W3014" s="81" t="e">
        <f>HLOOKUP(P3014,データについて!$J$10:$M$18,9,FALSE)</f>
        <v>#N/A</v>
      </c>
      <c r="X3014" s="81" t="e">
        <f>HLOOKUP(Q3014,データについて!$J$11:$M$18,8,FALSE)</f>
        <v>#N/A</v>
      </c>
      <c r="Y3014" s="81" t="e">
        <f>HLOOKUP(R3014,データについて!$J$12:$M$18,7,FALSE)</f>
        <v>#N/A</v>
      </c>
      <c r="Z3014" s="81" t="e">
        <f>HLOOKUP(I3014,データについて!$J$3:$M$18,16,FALSE)</f>
        <v>#N/A</v>
      </c>
      <c r="AA3014" s="81" t="str">
        <f>IFERROR(HLOOKUP(J3014,データについて!$J$4:$AH$19,16,FALSE),"")</f>
        <v/>
      </c>
      <c r="AB3014" s="81" t="str">
        <f>IFERROR(HLOOKUP(K3014,データについて!$J$5:$AH$20,14,FALSE),"")</f>
        <v/>
      </c>
      <c r="AC3014" s="81" t="e">
        <f>IF(X3014=1,HLOOKUP(R3014,データについて!$J$12:$M$18,7,FALSE),"*")</f>
        <v>#N/A</v>
      </c>
      <c r="AD3014" s="81" t="e">
        <f>IF(X3014=2,HLOOKUP(R3014,データについて!$J$12:$M$18,7,FALSE),"*")</f>
        <v>#N/A</v>
      </c>
    </row>
    <row r="3015" spans="19:30">
      <c r="S3015" s="81" t="e">
        <f>HLOOKUP(L3015,データについて!$J$6:$M$18,13,FALSE)</f>
        <v>#N/A</v>
      </c>
      <c r="T3015" s="81" t="e">
        <f>HLOOKUP(M3015,データについて!$J$7:$M$18,12,FALSE)</f>
        <v>#N/A</v>
      </c>
      <c r="U3015" s="81" t="e">
        <f>HLOOKUP(N3015,データについて!$J$8:$M$18,11,FALSE)</f>
        <v>#N/A</v>
      </c>
      <c r="V3015" s="81" t="e">
        <f>HLOOKUP(O3015,データについて!$J$9:$M$18,10,FALSE)</f>
        <v>#N/A</v>
      </c>
      <c r="W3015" s="81" t="e">
        <f>HLOOKUP(P3015,データについて!$J$10:$M$18,9,FALSE)</f>
        <v>#N/A</v>
      </c>
      <c r="X3015" s="81" t="e">
        <f>HLOOKUP(Q3015,データについて!$J$11:$M$18,8,FALSE)</f>
        <v>#N/A</v>
      </c>
      <c r="Y3015" s="81" t="e">
        <f>HLOOKUP(R3015,データについて!$J$12:$M$18,7,FALSE)</f>
        <v>#N/A</v>
      </c>
      <c r="Z3015" s="81" t="e">
        <f>HLOOKUP(I3015,データについて!$J$3:$M$18,16,FALSE)</f>
        <v>#N/A</v>
      </c>
      <c r="AA3015" s="81" t="str">
        <f>IFERROR(HLOOKUP(J3015,データについて!$J$4:$AH$19,16,FALSE),"")</f>
        <v/>
      </c>
      <c r="AB3015" s="81" t="str">
        <f>IFERROR(HLOOKUP(K3015,データについて!$J$5:$AH$20,14,FALSE),"")</f>
        <v/>
      </c>
      <c r="AC3015" s="81" t="e">
        <f>IF(X3015=1,HLOOKUP(R3015,データについて!$J$12:$M$18,7,FALSE),"*")</f>
        <v>#N/A</v>
      </c>
      <c r="AD3015" s="81" t="e">
        <f>IF(X3015=2,HLOOKUP(R3015,データについて!$J$12:$M$18,7,FALSE),"*")</f>
        <v>#N/A</v>
      </c>
    </row>
    <row r="3016" spans="19:30">
      <c r="S3016" s="81" t="e">
        <f>HLOOKUP(L3016,データについて!$J$6:$M$18,13,FALSE)</f>
        <v>#N/A</v>
      </c>
      <c r="T3016" s="81" t="e">
        <f>HLOOKUP(M3016,データについて!$J$7:$M$18,12,FALSE)</f>
        <v>#N/A</v>
      </c>
      <c r="U3016" s="81" t="e">
        <f>HLOOKUP(N3016,データについて!$J$8:$M$18,11,FALSE)</f>
        <v>#N/A</v>
      </c>
      <c r="V3016" s="81" t="e">
        <f>HLOOKUP(O3016,データについて!$J$9:$M$18,10,FALSE)</f>
        <v>#N/A</v>
      </c>
      <c r="W3016" s="81" t="e">
        <f>HLOOKUP(P3016,データについて!$J$10:$M$18,9,FALSE)</f>
        <v>#N/A</v>
      </c>
      <c r="X3016" s="81" t="e">
        <f>HLOOKUP(Q3016,データについて!$J$11:$M$18,8,FALSE)</f>
        <v>#N/A</v>
      </c>
      <c r="Y3016" s="81" t="e">
        <f>HLOOKUP(R3016,データについて!$J$12:$M$18,7,FALSE)</f>
        <v>#N/A</v>
      </c>
      <c r="Z3016" s="81" t="e">
        <f>HLOOKUP(I3016,データについて!$J$3:$M$18,16,FALSE)</f>
        <v>#N/A</v>
      </c>
      <c r="AA3016" s="81" t="str">
        <f>IFERROR(HLOOKUP(J3016,データについて!$J$4:$AH$19,16,FALSE),"")</f>
        <v/>
      </c>
      <c r="AB3016" s="81" t="str">
        <f>IFERROR(HLOOKUP(K3016,データについて!$J$5:$AH$20,14,FALSE),"")</f>
        <v/>
      </c>
      <c r="AC3016" s="81" t="e">
        <f>IF(X3016=1,HLOOKUP(R3016,データについて!$J$12:$M$18,7,FALSE),"*")</f>
        <v>#N/A</v>
      </c>
      <c r="AD3016" s="81" t="e">
        <f>IF(X3016=2,HLOOKUP(R3016,データについて!$J$12:$M$18,7,FALSE),"*")</f>
        <v>#N/A</v>
      </c>
    </row>
    <row r="3017" spans="19:30">
      <c r="S3017" s="81" t="e">
        <f>HLOOKUP(L3017,データについて!$J$6:$M$18,13,FALSE)</f>
        <v>#N/A</v>
      </c>
      <c r="T3017" s="81" t="e">
        <f>HLOOKUP(M3017,データについて!$J$7:$M$18,12,FALSE)</f>
        <v>#N/A</v>
      </c>
      <c r="U3017" s="81" t="e">
        <f>HLOOKUP(N3017,データについて!$J$8:$M$18,11,FALSE)</f>
        <v>#N/A</v>
      </c>
      <c r="V3017" s="81" t="e">
        <f>HLOOKUP(O3017,データについて!$J$9:$M$18,10,FALSE)</f>
        <v>#N/A</v>
      </c>
      <c r="W3017" s="81" t="e">
        <f>HLOOKUP(P3017,データについて!$J$10:$M$18,9,FALSE)</f>
        <v>#N/A</v>
      </c>
      <c r="X3017" s="81" t="e">
        <f>HLOOKUP(Q3017,データについて!$J$11:$M$18,8,FALSE)</f>
        <v>#N/A</v>
      </c>
      <c r="Y3017" s="81" t="e">
        <f>HLOOKUP(R3017,データについて!$J$12:$M$18,7,FALSE)</f>
        <v>#N/A</v>
      </c>
      <c r="Z3017" s="81" t="e">
        <f>HLOOKUP(I3017,データについて!$J$3:$M$18,16,FALSE)</f>
        <v>#N/A</v>
      </c>
      <c r="AA3017" s="81" t="str">
        <f>IFERROR(HLOOKUP(J3017,データについて!$J$4:$AH$19,16,FALSE),"")</f>
        <v/>
      </c>
      <c r="AB3017" s="81" t="str">
        <f>IFERROR(HLOOKUP(K3017,データについて!$J$5:$AH$20,14,FALSE),"")</f>
        <v/>
      </c>
      <c r="AC3017" s="81" t="e">
        <f>IF(X3017=1,HLOOKUP(R3017,データについて!$J$12:$M$18,7,FALSE),"*")</f>
        <v>#N/A</v>
      </c>
      <c r="AD3017" s="81" t="e">
        <f>IF(X3017=2,HLOOKUP(R3017,データについて!$J$12:$M$18,7,FALSE),"*")</f>
        <v>#N/A</v>
      </c>
    </row>
    <row r="3018" spans="19:30">
      <c r="S3018" s="81" t="e">
        <f>HLOOKUP(L3018,データについて!$J$6:$M$18,13,FALSE)</f>
        <v>#N/A</v>
      </c>
      <c r="T3018" s="81" t="e">
        <f>HLOOKUP(M3018,データについて!$J$7:$M$18,12,FALSE)</f>
        <v>#N/A</v>
      </c>
      <c r="U3018" s="81" t="e">
        <f>HLOOKUP(N3018,データについて!$J$8:$M$18,11,FALSE)</f>
        <v>#N/A</v>
      </c>
      <c r="V3018" s="81" t="e">
        <f>HLOOKUP(O3018,データについて!$J$9:$M$18,10,FALSE)</f>
        <v>#N/A</v>
      </c>
      <c r="W3018" s="81" t="e">
        <f>HLOOKUP(P3018,データについて!$J$10:$M$18,9,FALSE)</f>
        <v>#N/A</v>
      </c>
      <c r="X3018" s="81" t="e">
        <f>HLOOKUP(Q3018,データについて!$J$11:$M$18,8,FALSE)</f>
        <v>#N/A</v>
      </c>
      <c r="Y3018" s="81" t="e">
        <f>HLOOKUP(R3018,データについて!$J$12:$M$18,7,FALSE)</f>
        <v>#N/A</v>
      </c>
      <c r="Z3018" s="81" t="e">
        <f>HLOOKUP(I3018,データについて!$J$3:$M$18,16,FALSE)</f>
        <v>#N/A</v>
      </c>
      <c r="AA3018" s="81" t="str">
        <f>IFERROR(HLOOKUP(J3018,データについて!$J$4:$AH$19,16,FALSE),"")</f>
        <v/>
      </c>
      <c r="AB3018" s="81" t="str">
        <f>IFERROR(HLOOKUP(K3018,データについて!$J$5:$AH$20,14,FALSE),"")</f>
        <v/>
      </c>
      <c r="AC3018" s="81" t="e">
        <f>IF(X3018=1,HLOOKUP(R3018,データについて!$J$12:$M$18,7,FALSE),"*")</f>
        <v>#N/A</v>
      </c>
      <c r="AD3018" s="81" t="e">
        <f>IF(X3018=2,HLOOKUP(R3018,データについて!$J$12:$M$18,7,FALSE),"*")</f>
        <v>#N/A</v>
      </c>
    </row>
    <row r="3019" spans="19:30">
      <c r="S3019" s="81" t="e">
        <f>HLOOKUP(L3019,データについて!$J$6:$M$18,13,FALSE)</f>
        <v>#N/A</v>
      </c>
      <c r="T3019" s="81" t="e">
        <f>HLOOKUP(M3019,データについて!$J$7:$M$18,12,FALSE)</f>
        <v>#N/A</v>
      </c>
      <c r="U3019" s="81" t="e">
        <f>HLOOKUP(N3019,データについて!$J$8:$M$18,11,FALSE)</f>
        <v>#N/A</v>
      </c>
      <c r="V3019" s="81" t="e">
        <f>HLOOKUP(O3019,データについて!$J$9:$M$18,10,FALSE)</f>
        <v>#N/A</v>
      </c>
      <c r="W3019" s="81" t="e">
        <f>HLOOKUP(P3019,データについて!$J$10:$M$18,9,FALSE)</f>
        <v>#N/A</v>
      </c>
      <c r="X3019" s="81" t="e">
        <f>HLOOKUP(Q3019,データについて!$J$11:$M$18,8,FALSE)</f>
        <v>#N/A</v>
      </c>
      <c r="Y3019" s="81" t="e">
        <f>HLOOKUP(R3019,データについて!$J$12:$M$18,7,FALSE)</f>
        <v>#N/A</v>
      </c>
      <c r="Z3019" s="81" t="e">
        <f>HLOOKUP(I3019,データについて!$J$3:$M$18,16,FALSE)</f>
        <v>#N/A</v>
      </c>
      <c r="AA3019" s="81" t="str">
        <f>IFERROR(HLOOKUP(J3019,データについて!$J$4:$AH$19,16,FALSE),"")</f>
        <v/>
      </c>
      <c r="AB3019" s="81" t="str">
        <f>IFERROR(HLOOKUP(K3019,データについて!$J$5:$AH$20,14,FALSE),"")</f>
        <v/>
      </c>
      <c r="AC3019" s="81" t="e">
        <f>IF(X3019=1,HLOOKUP(R3019,データについて!$J$12:$M$18,7,FALSE),"*")</f>
        <v>#N/A</v>
      </c>
      <c r="AD3019" s="81" t="e">
        <f>IF(X3019=2,HLOOKUP(R3019,データについて!$J$12:$M$18,7,FALSE),"*")</f>
        <v>#N/A</v>
      </c>
    </row>
    <row r="3020" spans="19:30">
      <c r="S3020" s="81" t="e">
        <f>HLOOKUP(L3020,データについて!$J$6:$M$18,13,FALSE)</f>
        <v>#N/A</v>
      </c>
      <c r="T3020" s="81" t="e">
        <f>HLOOKUP(M3020,データについて!$J$7:$M$18,12,FALSE)</f>
        <v>#N/A</v>
      </c>
      <c r="U3020" s="81" t="e">
        <f>HLOOKUP(N3020,データについて!$J$8:$M$18,11,FALSE)</f>
        <v>#N/A</v>
      </c>
      <c r="V3020" s="81" t="e">
        <f>HLOOKUP(O3020,データについて!$J$9:$M$18,10,FALSE)</f>
        <v>#N/A</v>
      </c>
      <c r="W3020" s="81" t="e">
        <f>HLOOKUP(P3020,データについて!$J$10:$M$18,9,FALSE)</f>
        <v>#N/A</v>
      </c>
      <c r="X3020" s="81" t="e">
        <f>HLOOKUP(Q3020,データについて!$J$11:$M$18,8,FALSE)</f>
        <v>#N/A</v>
      </c>
      <c r="Y3020" s="81" t="e">
        <f>HLOOKUP(R3020,データについて!$J$12:$M$18,7,FALSE)</f>
        <v>#N/A</v>
      </c>
      <c r="Z3020" s="81" t="e">
        <f>HLOOKUP(I3020,データについて!$J$3:$M$18,16,FALSE)</f>
        <v>#N/A</v>
      </c>
      <c r="AA3020" s="81" t="str">
        <f>IFERROR(HLOOKUP(J3020,データについて!$J$4:$AH$19,16,FALSE),"")</f>
        <v/>
      </c>
      <c r="AB3020" s="81" t="str">
        <f>IFERROR(HLOOKUP(K3020,データについて!$J$5:$AH$20,14,FALSE),"")</f>
        <v/>
      </c>
      <c r="AC3020" s="81" t="e">
        <f>IF(X3020=1,HLOOKUP(R3020,データについて!$J$12:$M$18,7,FALSE),"*")</f>
        <v>#N/A</v>
      </c>
      <c r="AD3020" s="81" t="e">
        <f>IF(X3020=2,HLOOKUP(R3020,データについて!$J$12:$M$18,7,FALSE),"*")</f>
        <v>#N/A</v>
      </c>
    </row>
    <row r="3021" spans="19:30">
      <c r="S3021" s="81" t="e">
        <f>HLOOKUP(L3021,データについて!$J$6:$M$18,13,FALSE)</f>
        <v>#N/A</v>
      </c>
      <c r="T3021" s="81" t="e">
        <f>HLOOKUP(M3021,データについて!$J$7:$M$18,12,FALSE)</f>
        <v>#N/A</v>
      </c>
      <c r="U3021" s="81" t="e">
        <f>HLOOKUP(N3021,データについて!$J$8:$M$18,11,FALSE)</f>
        <v>#N/A</v>
      </c>
      <c r="V3021" s="81" t="e">
        <f>HLOOKUP(O3021,データについて!$J$9:$M$18,10,FALSE)</f>
        <v>#N/A</v>
      </c>
      <c r="W3021" s="81" t="e">
        <f>HLOOKUP(P3021,データについて!$J$10:$M$18,9,FALSE)</f>
        <v>#N/A</v>
      </c>
      <c r="X3021" s="81" t="e">
        <f>HLOOKUP(Q3021,データについて!$J$11:$M$18,8,FALSE)</f>
        <v>#N/A</v>
      </c>
      <c r="Y3021" s="81" t="e">
        <f>HLOOKUP(R3021,データについて!$J$12:$M$18,7,FALSE)</f>
        <v>#N/A</v>
      </c>
      <c r="Z3021" s="81" t="e">
        <f>HLOOKUP(I3021,データについて!$J$3:$M$18,16,FALSE)</f>
        <v>#N/A</v>
      </c>
      <c r="AA3021" s="81" t="str">
        <f>IFERROR(HLOOKUP(J3021,データについて!$J$4:$AH$19,16,FALSE),"")</f>
        <v/>
      </c>
      <c r="AB3021" s="81" t="str">
        <f>IFERROR(HLOOKUP(K3021,データについて!$J$5:$AH$20,14,FALSE),"")</f>
        <v/>
      </c>
      <c r="AC3021" s="81" t="e">
        <f>IF(X3021=1,HLOOKUP(R3021,データについて!$J$12:$M$18,7,FALSE),"*")</f>
        <v>#N/A</v>
      </c>
      <c r="AD3021" s="81" t="e">
        <f>IF(X3021=2,HLOOKUP(R3021,データについて!$J$12:$M$18,7,FALSE),"*")</f>
        <v>#N/A</v>
      </c>
    </row>
    <row r="3022" spans="19:30">
      <c r="S3022" s="81" t="e">
        <f>HLOOKUP(L3022,データについて!$J$6:$M$18,13,FALSE)</f>
        <v>#N/A</v>
      </c>
      <c r="T3022" s="81" t="e">
        <f>HLOOKUP(M3022,データについて!$J$7:$M$18,12,FALSE)</f>
        <v>#N/A</v>
      </c>
      <c r="U3022" s="81" t="e">
        <f>HLOOKUP(N3022,データについて!$J$8:$M$18,11,FALSE)</f>
        <v>#N/A</v>
      </c>
      <c r="V3022" s="81" t="e">
        <f>HLOOKUP(O3022,データについて!$J$9:$M$18,10,FALSE)</f>
        <v>#N/A</v>
      </c>
      <c r="W3022" s="81" t="e">
        <f>HLOOKUP(P3022,データについて!$J$10:$M$18,9,FALSE)</f>
        <v>#N/A</v>
      </c>
      <c r="X3022" s="81" t="e">
        <f>HLOOKUP(Q3022,データについて!$J$11:$M$18,8,FALSE)</f>
        <v>#N/A</v>
      </c>
      <c r="Y3022" s="81" t="e">
        <f>HLOOKUP(R3022,データについて!$J$12:$M$18,7,FALSE)</f>
        <v>#N/A</v>
      </c>
      <c r="Z3022" s="81" t="e">
        <f>HLOOKUP(I3022,データについて!$J$3:$M$18,16,FALSE)</f>
        <v>#N/A</v>
      </c>
      <c r="AA3022" s="81" t="str">
        <f>IFERROR(HLOOKUP(J3022,データについて!$J$4:$AH$19,16,FALSE),"")</f>
        <v/>
      </c>
      <c r="AB3022" s="81" t="str">
        <f>IFERROR(HLOOKUP(K3022,データについて!$J$5:$AH$20,14,FALSE),"")</f>
        <v/>
      </c>
      <c r="AC3022" s="81" t="e">
        <f>IF(X3022=1,HLOOKUP(R3022,データについて!$J$12:$M$18,7,FALSE),"*")</f>
        <v>#N/A</v>
      </c>
      <c r="AD3022" s="81" t="e">
        <f>IF(X3022=2,HLOOKUP(R3022,データについて!$J$12:$M$18,7,FALSE),"*")</f>
        <v>#N/A</v>
      </c>
    </row>
    <row r="3023" spans="19:30">
      <c r="S3023" s="81" t="e">
        <f>HLOOKUP(L3023,データについて!$J$6:$M$18,13,FALSE)</f>
        <v>#N/A</v>
      </c>
      <c r="T3023" s="81" t="e">
        <f>HLOOKUP(M3023,データについて!$J$7:$M$18,12,FALSE)</f>
        <v>#N/A</v>
      </c>
      <c r="U3023" s="81" t="e">
        <f>HLOOKUP(N3023,データについて!$J$8:$M$18,11,FALSE)</f>
        <v>#N/A</v>
      </c>
      <c r="V3023" s="81" t="e">
        <f>HLOOKUP(O3023,データについて!$J$9:$M$18,10,FALSE)</f>
        <v>#N/A</v>
      </c>
      <c r="W3023" s="81" t="e">
        <f>HLOOKUP(P3023,データについて!$J$10:$M$18,9,FALSE)</f>
        <v>#N/A</v>
      </c>
      <c r="X3023" s="81" t="e">
        <f>HLOOKUP(Q3023,データについて!$J$11:$M$18,8,FALSE)</f>
        <v>#N/A</v>
      </c>
      <c r="Y3023" s="81" t="e">
        <f>HLOOKUP(R3023,データについて!$J$12:$M$18,7,FALSE)</f>
        <v>#N/A</v>
      </c>
      <c r="Z3023" s="81" t="e">
        <f>HLOOKUP(I3023,データについて!$J$3:$M$18,16,FALSE)</f>
        <v>#N/A</v>
      </c>
      <c r="AA3023" s="81" t="str">
        <f>IFERROR(HLOOKUP(J3023,データについて!$J$4:$AH$19,16,FALSE),"")</f>
        <v/>
      </c>
      <c r="AB3023" s="81" t="str">
        <f>IFERROR(HLOOKUP(K3023,データについて!$J$5:$AH$20,14,FALSE),"")</f>
        <v/>
      </c>
      <c r="AC3023" s="81" t="e">
        <f>IF(X3023=1,HLOOKUP(R3023,データについて!$J$12:$M$18,7,FALSE),"*")</f>
        <v>#N/A</v>
      </c>
      <c r="AD3023" s="81" t="e">
        <f>IF(X3023=2,HLOOKUP(R3023,データについて!$J$12:$M$18,7,FALSE),"*")</f>
        <v>#N/A</v>
      </c>
    </row>
    <row r="3024" spans="19:30">
      <c r="S3024" s="81" t="e">
        <f>HLOOKUP(L3024,データについて!$J$6:$M$18,13,FALSE)</f>
        <v>#N/A</v>
      </c>
      <c r="T3024" s="81" t="e">
        <f>HLOOKUP(M3024,データについて!$J$7:$M$18,12,FALSE)</f>
        <v>#N/A</v>
      </c>
      <c r="U3024" s="81" t="e">
        <f>HLOOKUP(N3024,データについて!$J$8:$M$18,11,FALSE)</f>
        <v>#N/A</v>
      </c>
      <c r="V3024" s="81" t="e">
        <f>HLOOKUP(O3024,データについて!$J$9:$M$18,10,FALSE)</f>
        <v>#N/A</v>
      </c>
      <c r="W3024" s="81" t="e">
        <f>HLOOKUP(P3024,データについて!$J$10:$M$18,9,FALSE)</f>
        <v>#N/A</v>
      </c>
      <c r="X3024" s="81" t="e">
        <f>HLOOKUP(Q3024,データについて!$J$11:$M$18,8,FALSE)</f>
        <v>#N/A</v>
      </c>
      <c r="Y3024" s="81" t="e">
        <f>HLOOKUP(R3024,データについて!$J$12:$M$18,7,FALSE)</f>
        <v>#N/A</v>
      </c>
      <c r="Z3024" s="81" t="e">
        <f>HLOOKUP(I3024,データについて!$J$3:$M$18,16,FALSE)</f>
        <v>#N/A</v>
      </c>
      <c r="AA3024" s="81" t="str">
        <f>IFERROR(HLOOKUP(J3024,データについて!$J$4:$AH$19,16,FALSE),"")</f>
        <v/>
      </c>
      <c r="AB3024" s="81" t="str">
        <f>IFERROR(HLOOKUP(K3024,データについて!$J$5:$AH$20,14,FALSE),"")</f>
        <v/>
      </c>
      <c r="AC3024" s="81" t="e">
        <f>IF(X3024=1,HLOOKUP(R3024,データについて!$J$12:$M$18,7,FALSE),"*")</f>
        <v>#N/A</v>
      </c>
      <c r="AD3024" s="81" t="e">
        <f>IF(X3024=2,HLOOKUP(R3024,データについて!$J$12:$M$18,7,FALSE),"*")</f>
        <v>#N/A</v>
      </c>
    </row>
    <row r="3025" spans="19:30">
      <c r="S3025" s="81" t="e">
        <f>HLOOKUP(L3025,データについて!$J$6:$M$18,13,FALSE)</f>
        <v>#N/A</v>
      </c>
      <c r="T3025" s="81" t="e">
        <f>HLOOKUP(M3025,データについて!$J$7:$M$18,12,FALSE)</f>
        <v>#N/A</v>
      </c>
      <c r="U3025" s="81" t="e">
        <f>HLOOKUP(N3025,データについて!$J$8:$M$18,11,FALSE)</f>
        <v>#N/A</v>
      </c>
      <c r="V3025" s="81" t="e">
        <f>HLOOKUP(O3025,データについて!$J$9:$M$18,10,FALSE)</f>
        <v>#N/A</v>
      </c>
      <c r="W3025" s="81" t="e">
        <f>HLOOKUP(P3025,データについて!$J$10:$M$18,9,FALSE)</f>
        <v>#N/A</v>
      </c>
      <c r="X3025" s="81" t="e">
        <f>HLOOKUP(Q3025,データについて!$J$11:$M$18,8,FALSE)</f>
        <v>#N/A</v>
      </c>
      <c r="Y3025" s="81" t="e">
        <f>HLOOKUP(R3025,データについて!$J$12:$M$18,7,FALSE)</f>
        <v>#N/A</v>
      </c>
      <c r="Z3025" s="81" t="e">
        <f>HLOOKUP(I3025,データについて!$J$3:$M$18,16,FALSE)</f>
        <v>#N/A</v>
      </c>
      <c r="AA3025" s="81" t="str">
        <f>IFERROR(HLOOKUP(J3025,データについて!$J$4:$AH$19,16,FALSE),"")</f>
        <v/>
      </c>
      <c r="AB3025" s="81" t="str">
        <f>IFERROR(HLOOKUP(K3025,データについて!$J$5:$AH$20,14,FALSE),"")</f>
        <v/>
      </c>
      <c r="AC3025" s="81" t="e">
        <f>IF(X3025=1,HLOOKUP(R3025,データについて!$J$12:$M$18,7,FALSE),"*")</f>
        <v>#N/A</v>
      </c>
      <c r="AD3025" s="81" t="e">
        <f>IF(X3025=2,HLOOKUP(R3025,データについて!$J$12:$M$18,7,FALSE),"*")</f>
        <v>#N/A</v>
      </c>
    </row>
    <row r="3026" spans="19:30">
      <c r="S3026" s="81" t="e">
        <f>HLOOKUP(L3026,データについて!$J$6:$M$18,13,FALSE)</f>
        <v>#N/A</v>
      </c>
      <c r="T3026" s="81" t="e">
        <f>HLOOKUP(M3026,データについて!$J$7:$M$18,12,FALSE)</f>
        <v>#N/A</v>
      </c>
      <c r="U3026" s="81" t="e">
        <f>HLOOKUP(N3026,データについて!$J$8:$M$18,11,FALSE)</f>
        <v>#N/A</v>
      </c>
      <c r="V3026" s="81" t="e">
        <f>HLOOKUP(O3026,データについて!$J$9:$M$18,10,FALSE)</f>
        <v>#N/A</v>
      </c>
      <c r="W3026" s="81" t="e">
        <f>HLOOKUP(P3026,データについて!$J$10:$M$18,9,FALSE)</f>
        <v>#N/A</v>
      </c>
      <c r="X3026" s="81" t="e">
        <f>HLOOKUP(Q3026,データについて!$J$11:$M$18,8,FALSE)</f>
        <v>#N/A</v>
      </c>
      <c r="Y3026" s="81" t="e">
        <f>HLOOKUP(R3026,データについて!$J$12:$M$18,7,FALSE)</f>
        <v>#N/A</v>
      </c>
      <c r="Z3026" s="81" t="e">
        <f>HLOOKUP(I3026,データについて!$J$3:$M$18,16,FALSE)</f>
        <v>#N/A</v>
      </c>
      <c r="AA3026" s="81" t="str">
        <f>IFERROR(HLOOKUP(J3026,データについて!$J$4:$AH$19,16,FALSE),"")</f>
        <v/>
      </c>
      <c r="AB3026" s="81" t="str">
        <f>IFERROR(HLOOKUP(K3026,データについて!$J$5:$AH$20,14,FALSE),"")</f>
        <v/>
      </c>
      <c r="AC3026" s="81" t="e">
        <f>IF(X3026=1,HLOOKUP(R3026,データについて!$J$12:$M$18,7,FALSE),"*")</f>
        <v>#N/A</v>
      </c>
      <c r="AD3026" s="81" t="e">
        <f>IF(X3026=2,HLOOKUP(R3026,データについて!$J$12:$M$18,7,FALSE),"*")</f>
        <v>#N/A</v>
      </c>
    </row>
    <row r="3027" spans="19:30">
      <c r="S3027" s="81" t="e">
        <f>HLOOKUP(L3027,データについて!$J$6:$M$18,13,FALSE)</f>
        <v>#N/A</v>
      </c>
      <c r="T3027" s="81" t="e">
        <f>HLOOKUP(M3027,データについて!$J$7:$M$18,12,FALSE)</f>
        <v>#N/A</v>
      </c>
      <c r="U3027" s="81" t="e">
        <f>HLOOKUP(N3027,データについて!$J$8:$M$18,11,FALSE)</f>
        <v>#N/A</v>
      </c>
      <c r="V3027" s="81" t="e">
        <f>HLOOKUP(O3027,データについて!$J$9:$M$18,10,FALSE)</f>
        <v>#N/A</v>
      </c>
      <c r="W3027" s="81" t="e">
        <f>HLOOKUP(P3027,データについて!$J$10:$M$18,9,FALSE)</f>
        <v>#N/A</v>
      </c>
      <c r="X3027" s="81" t="e">
        <f>HLOOKUP(Q3027,データについて!$J$11:$M$18,8,FALSE)</f>
        <v>#N/A</v>
      </c>
      <c r="Y3027" s="81" t="e">
        <f>HLOOKUP(R3027,データについて!$J$12:$M$18,7,FALSE)</f>
        <v>#N/A</v>
      </c>
      <c r="Z3027" s="81" t="e">
        <f>HLOOKUP(I3027,データについて!$J$3:$M$18,16,FALSE)</f>
        <v>#N/A</v>
      </c>
      <c r="AA3027" s="81" t="str">
        <f>IFERROR(HLOOKUP(J3027,データについて!$J$4:$AH$19,16,FALSE),"")</f>
        <v/>
      </c>
      <c r="AB3027" s="81" t="str">
        <f>IFERROR(HLOOKUP(K3027,データについて!$J$5:$AH$20,14,FALSE),"")</f>
        <v/>
      </c>
      <c r="AC3027" s="81" t="e">
        <f>IF(X3027=1,HLOOKUP(R3027,データについて!$J$12:$M$18,7,FALSE),"*")</f>
        <v>#N/A</v>
      </c>
      <c r="AD3027" s="81" t="e">
        <f>IF(X3027=2,HLOOKUP(R3027,データについて!$J$12:$M$18,7,FALSE),"*")</f>
        <v>#N/A</v>
      </c>
    </row>
    <row r="3028" spans="19:30">
      <c r="S3028" s="81" t="e">
        <f>HLOOKUP(L3028,データについて!$J$6:$M$18,13,FALSE)</f>
        <v>#N/A</v>
      </c>
      <c r="T3028" s="81" t="e">
        <f>HLOOKUP(M3028,データについて!$J$7:$M$18,12,FALSE)</f>
        <v>#N/A</v>
      </c>
      <c r="U3028" s="81" t="e">
        <f>HLOOKUP(N3028,データについて!$J$8:$M$18,11,FALSE)</f>
        <v>#N/A</v>
      </c>
      <c r="V3028" s="81" t="e">
        <f>HLOOKUP(O3028,データについて!$J$9:$M$18,10,FALSE)</f>
        <v>#N/A</v>
      </c>
      <c r="W3028" s="81" t="e">
        <f>HLOOKUP(P3028,データについて!$J$10:$M$18,9,FALSE)</f>
        <v>#N/A</v>
      </c>
      <c r="X3028" s="81" t="e">
        <f>HLOOKUP(Q3028,データについて!$J$11:$M$18,8,FALSE)</f>
        <v>#N/A</v>
      </c>
      <c r="Y3028" s="81" t="e">
        <f>HLOOKUP(R3028,データについて!$J$12:$M$18,7,FALSE)</f>
        <v>#N/A</v>
      </c>
      <c r="Z3028" s="81" t="e">
        <f>HLOOKUP(I3028,データについて!$J$3:$M$18,16,FALSE)</f>
        <v>#N/A</v>
      </c>
      <c r="AA3028" s="81" t="str">
        <f>IFERROR(HLOOKUP(J3028,データについて!$J$4:$AH$19,16,FALSE),"")</f>
        <v/>
      </c>
      <c r="AB3028" s="81" t="str">
        <f>IFERROR(HLOOKUP(K3028,データについて!$J$5:$AH$20,14,FALSE),"")</f>
        <v/>
      </c>
      <c r="AC3028" s="81" t="e">
        <f>IF(X3028=1,HLOOKUP(R3028,データについて!$J$12:$M$18,7,FALSE),"*")</f>
        <v>#N/A</v>
      </c>
      <c r="AD3028" s="81" t="e">
        <f>IF(X3028=2,HLOOKUP(R3028,データについて!$J$12:$M$18,7,FALSE),"*")</f>
        <v>#N/A</v>
      </c>
    </row>
    <row r="3029" spans="19:30">
      <c r="S3029" s="81" t="e">
        <f>HLOOKUP(L3029,データについて!$J$6:$M$18,13,FALSE)</f>
        <v>#N/A</v>
      </c>
      <c r="T3029" s="81" t="e">
        <f>HLOOKUP(M3029,データについて!$J$7:$M$18,12,FALSE)</f>
        <v>#N/A</v>
      </c>
      <c r="U3029" s="81" t="e">
        <f>HLOOKUP(N3029,データについて!$J$8:$M$18,11,FALSE)</f>
        <v>#N/A</v>
      </c>
      <c r="V3029" s="81" t="e">
        <f>HLOOKUP(O3029,データについて!$J$9:$M$18,10,FALSE)</f>
        <v>#N/A</v>
      </c>
      <c r="W3029" s="81" t="e">
        <f>HLOOKUP(P3029,データについて!$J$10:$M$18,9,FALSE)</f>
        <v>#N/A</v>
      </c>
      <c r="X3029" s="81" t="e">
        <f>HLOOKUP(Q3029,データについて!$J$11:$M$18,8,FALSE)</f>
        <v>#N/A</v>
      </c>
      <c r="Y3029" s="81" t="e">
        <f>HLOOKUP(R3029,データについて!$J$12:$M$18,7,FALSE)</f>
        <v>#N/A</v>
      </c>
      <c r="Z3029" s="81" t="e">
        <f>HLOOKUP(I3029,データについて!$J$3:$M$18,16,FALSE)</f>
        <v>#N/A</v>
      </c>
      <c r="AA3029" s="81" t="str">
        <f>IFERROR(HLOOKUP(J3029,データについて!$J$4:$AH$19,16,FALSE),"")</f>
        <v/>
      </c>
      <c r="AB3029" s="81" t="str">
        <f>IFERROR(HLOOKUP(K3029,データについて!$J$5:$AH$20,14,FALSE),"")</f>
        <v/>
      </c>
      <c r="AC3029" s="81" t="e">
        <f>IF(X3029=1,HLOOKUP(R3029,データについて!$J$12:$M$18,7,FALSE),"*")</f>
        <v>#N/A</v>
      </c>
      <c r="AD3029" s="81" t="e">
        <f>IF(X3029=2,HLOOKUP(R3029,データについて!$J$12:$M$18,7,FALSE),"*")</f>
        <v>#N/A</v>
      </c>
    </row>
    <row r="3030" spans="19:30">
      <c r="S3030" s="81" t="e">
        <f>HLOOKUP(L3030,データについて!$J$6:$M$18,13,FALSE)</f>
        <v>#N/A</v>
      </c>
      <c r="T3030" s="81" t="e">
        <f>HLOOKUP(M3030,データについて!$J$7:$M$18,12,FALSE)</f>
        <v>#N/A</v>
      </c>
      <c r="U3030" s="81" t="e">
        <f>HLOOKUP(N3030,データについて!$J$8:$M$18,11,FALSE)</f>
        <v>#N/A</v>
      </c>
      <c r="V3030" s="81" t="e">
        <f>HLOOKUP(O3030,データについて!$J$9:$M$18,10,FALSE)</f>
        <v>#N/A</v>
      </c>
      <c r="W3030" s="81" t="e">
        <f>HLOOKUP(P3030,データについて!$J$10:$M$18,9,FALSE)</f>
        <v>#N/A</v>
      </c>
      <c r="X3030" s="81" t="e">
        <f>HLOOKUP(Q3030,データについて!$J$11:$M$18,8,FALSE)</f>
        <v>#N/A</v>
      </c>
      <c r="Y3030" s="81" t="e">
        <f>HLOOKUP(R3030,データについて!$J$12:$M$18,7,FALSE)</f>
        <v>#N/A</v>
      </c>
      <c r="Z3030" s="81" t="e">
        <f>HLOOKUP(I3030,データについて!$J$3:$M$18,16,FALSE)</f>
        <v>#N/A</v>
      </c>
      <c r="AA3030" s="81" t="str">
        <f>IFERROR(HLOOKUP(J3030,データについて!$J$4:$AH$19,16,FALSE),"")</f>
        <v/>
      </c>
      <c r="AB3030" s="81" t="str">
        <f>IFERROR(HLOOKUP(K3030,データについて!$J$5:$AH$20,14,FALSE),"")</f>
        <v/>
      </c>
      <c r="AC3030" s="81" t="e">
        <f>IF(X3030=1,HLOOKUP(R3030,データについて!$J$12:$M$18,7,FALSE),"*")</f>
        <v>#N/A</v>
      </c>
      <c r="AD3030" s="81" t="e">
        <f>IF(X3030=2,HLOOKUP(R3030,データについて!$J$12:$M$18,7,FALSE),"*")</f>
        <v>#N/A</v>
      </c>
    </row>
    <row r="3031" spans="19:30">
      <c r="S3031" s="81" t="e">
        <f>HLOOKUP(L3031,データについて!$J$6:$M$18,13,FALSE)</f>
        <v>#N/A</v>
      </c>
      <c r="T3031" s="81" t="e">
        <f>HLOOKUP(M3031,データについて!$J$7:$M$18,12,FALSE)</f>
        <v>#N/A</v>
      </c>
      <c r="U3031" s="81" t="e">
        <f>HLOOKUP(N3031,データについて!$J$8:$M$18,11,FALSE)</f>
        <v>#N/A</v>
      </c>
      <c r="V3031" s="81" t="e">
        <f>HLOOKUP(O3031,データについて!$J$9:$M$18,10,FALSE)</f>
        <v>#N/A</v>
      </c>
      <c r="W3031" s="81" t="e">
        <f>HLOOKUP(P3031,データについて!$J$10:$M$18,9,FALSE)</f>
        <v>#N/A</v>
      </c>
      <c r="X3031" s="81" t="e">
        <f>HLOOKUP(Q3031,データについて!$J$11:$M$18,8,FALSE)</f>
        <v>#N/A</v>
      </c>
      <c r="Y3031" s="81" t="e">
        <f>HLOOKUP(R3031,データについて!$J$12:$M$18,7,FALSE)</f>
        <v>#N/A</v>
      </c>
      <c r="Z3031" s="81" t="e">
        <f>HLOOKUP(I3031,データについて!$J$3:$M$18,16,FALSE)</f>
        <v>#N/A</v>
      </c>
      <c r="AA3031" s="81" t="str">
        <f>IFERROR(HLOOKUP(J3031,データについて!$J$4:$AH$19,16,FALSE),"")</f>
        <v/>
      </c>
      <c r="AB3031" s="81" t="str">
        <f>IFERROR(HLOOKUP(K3031,データについて!$J$5:$AH$20,14,FALSE),"")</f>
        <v/>
      </c>
      <c r="AC3031" s="81" t="e">
        <f>IF(X3031=1,HLOOKUP(R3031,データについて!$J$12:$M$18,7,FALSE),"*")</f>
        <v>#N/A</v>
      </c>
      <c r="AD3031" s="81" t="e">
        <f>IF(X3031=2,HLOOKUP(R3031,データについて!$J$12:$M$18,7,FALSE),"*")</f>
        <v>#N/A</v>
      </c>
    </row>
    <row r="3032" spans="19:30">
      <c r="S3032" s="81" t="e">
        <f>HLOOKUP(L3032,データについて!$J$6:$M$18,13,FALSE)</f>
        <v>#N/A</v>
      </c>
      <c r="T3032" s="81" t="e">
        <f>HLOOKUP(M3032,データについて!$J$7:$M$18,12,FALSE)</f>
        <v>#N/A</v>
      </c>
      <c r="U3032" s="81" t="e">
        <f>HLOOKUP(N3032,データについて!$J$8:$M$18,11,FALSE)</f>
        <v>#N/A</v>
      </c>
      <c r="V3032" s="81" t="e">
        <f>HLOOKUP(O3032,データについて!$J$9:$M$18,10,FALSE)</f>
        <v>#N/A</v>
      </c>
      <c r="W3032" s="81" t="e">
        <f>HLOOKUP(P3032,データについて!$J$10:$M$18,9,FALSE)</f>
        <v>#N/A</v>
      </c>
      <c r="X3032" s="81" t="e">
        <f>HLOOKUP(Q3032,データについて!$J$11:$M$18,8,FALSE)</f>
        <v>#N/A</v>
      </c>
      <c r="Y3032" s="81" t="e">
        <f>HLOOKUP(R3032,データについて!$J$12:$M$18,7,FALSE)</f>
        <v>#N/A</v>
      </c>
      <c r="Z3032" s="81" t="e">
        <f>HLOOKUP(I3032,データについて!$J$3:$M$18,16,FALSE)</f>
        <v>#N/A</v>
      </c>
      <c r="AA3032" s="81" t="str">
        <f>IFERROR(HLOOKUP(J3032,データについて!$J$4:$AH$19,16,FALSE),"")</f>
        <v/>
      </c>
      <c r="AB3032" s="81" t="str">
        <f>IFERROR(HLOOKUP(K3032,データについて!$J$5:$AH$20,14,FALSE),"")</f>
        <v/>
      </c>
      <c r="AC3032" s="81" t="e">
        <f>IF(X3032=1,HLOOKUP(R3032,データについて!$J$12:$M$18,7,FALSE),"*")</f>
        <v>#N/A</v>
      </c>
      <c r="AD3032" s="81" t="e">
        <f>IF(X3032=2,HLOOKUP(R3032,データについて!$J$12:$M$18,7,FALSE),"*")</f>
        <v>#N/A</v>
      </c>
    </row>
    <row r="3033" spans="19:30">
      <c r="S3033" s="81" t="e">
        <f>HLOOKUP(L3033,データについて!$J$6:$M$18,13,FALSE)</f>
        <v>#N/A</v>
      </c>
      <c r="T3033" s="81" t="e">
        <f>HLOOKUP(M3033,データについて!$J$7:$M$18,12,FALSE)</f>
        <v>#N/A</v>
      </c>
      <c r="U3033" s="81" t="e">
        <f>HLOOKUP(N3033,データについて!$J$8:$M$18,11,FALSE)</f>
        <v>#N/A</v>
      </c>
      <c r="V3033" s="81" t="e">
        <f>HLOOKUP(O3033,データについて!$J$9:$M$18,10,FALSE)</f>
        <v>#N/A</v>
      </c>
      <c r="W3033" s="81" t="e">
        <f>HLOOKUP(P3033,データについて!$J$10:$M$18,9,FALSE)</f>
        <v>#N/A</v>
      </c>
      <c r="X3033" s="81" t="e">
        <f>HLOOKUP(Q3033,データについて!$J$11:$M$18,8,FALSE)</f>
        <v>#N/A</v>
      </c>
      <c r="Y3033" s="81" t="e">
        <f>HLOOKUP(R3033,データについて!$J$12:$M$18,7,FALSE)</f>
        <v>#N/A</v>
      </c>
      <c r="Z3033" s="81" t="e">
        <f>HLOOKUP(I3033,データについて!$J$3:$M$18,16,FALSE)</f>
        <v>#N/A</v>
      </c>
      <c r="AA3033" s="81" t="str">
        <f>IFERROR(HLOOKUP(J3033,データについて!$J$4:$AH$19,16,FALSE),"")</f>
        <v/>
      </c>
      <c r="AB3033" s="81" t="str">
        <f>IFERROR(HLOOKUP(K3033,データについて!$J$5:$AH$20,14,FALSE),"")</f>
        <v/>
      </c>
      <c r="AC3033" s="81" t="e">
        <f>IF(X3033=1,HLOOKUP(R3033,データについて!$J$12:$M$18,7,FALSE),"*")</f>
        <v>#N/A</v>
      </c>
      <c r="AD3033" s="81" t="e">
        <f>IF(X3033=2,HLOOKUP(R3033,データについて!$J$12:$M$18,7,FALSE),"*")</f>
        <v>#N/A</v>
      </c>
    </row>
    <row r="3034" spans="19:30">
      <c r="S3034" s="81" t="e">
        <f>HLOOKUP(L3034,データについて!$J$6:$M$18,13,FALSE)</f>
        <v>#N/A</v>
      </c>
      <c r="T3034" s="81" t="e">
        <f>HLOOKUP(M3034,データについて!$J$7:$M$18,12,FALSE)</f>
        <v>#N/A</v>
      </c>
      <c r="U3034" s="81" t="e">
        <f>HLOOKUP(N3034,データについて!$J$8:$M$18,11,FALSE)</f>
        <v>#N/A</v>
      </c>
      <c r="V3034" s="81" t="e">
        <f>HLOOKUP(O3034,データについて!$J$9:$M$18,10,FALSE)</f>
        <v>#N/A</v>
      </c>
      <c r="W3034" s="81" t="e">
        <f>HLOOKUP(P3034,データについて!$J$10:$M$18,9,FALSE)</f>
        <v>#N/A</v>
      </c>
      <c r="X3034" s="81" t="e">
        <f>HLOOKUP(Q3034,データについて!$J$11:$M$18,8,FALSE)</f>
        <v>#N/A</v>
      </c>
      <c r="Y3034" s="81" t="e">
        <f>HLOOKUP(R3034,データについて!$J$12:$M$18,7,FALSE)</f>
        <v>#N/A</v>
      </c>
      <c r="Z3034" s="81" t="e">
        <f>HLOOKUP(I3034,データについて!$J$3:$M$18,16,FALSE)</f>
        <v>#N/A</v>
      </c>
      <c r="AA3034" s="81" t="str">
        <f>IFERROR(HLOOKUP(J3034,データについて!$J$4:$AH$19,16,FALSE),"")</f>
        <v/>
      </c>
      <c r="AB3034" s="81" t="str">
        <f>IFERROR(HLOOKUP(K3034,データについて!$J$5:$AH$20,14,FALSE),"")</f>
        <v/>
      </c>
      <c r="AC3034" s="81" t="e">
        <f>IF(X3034=1,HLOOKUP(R3034,データについて!$J$12:$M$18,7,FALSE),"*")</f>
        <v>#N/A</v>
      </c>
      <c r="AD3034" s="81" t="e">
        <f>IF(X3034=2,HLOOKUP(R3034,データについて!$J$12:$M$18,7,FALSE),"*")</f>
        <v>#N/A</v>
      </c>
    </row>
    <row r="3035" spans="19:30">
      <c r="S3035" s="81" t="e">
        <f>HLOOKUP(L3035,データについて!$J$6:$M$18,13,FALSE)</f>
        <v>#N/A</v>
      </c>
      <c r="T3035" s="81" t="e">
        <f>HLOOKUP(M3035,データについて!$J$7:$M$18,12,FALSE)</f>
        <v>#N/A</v>
      </c>
      <c r="U3035" s="81" t="e">
        <f>HLOOKUP(N3035,データについて!$J$8:$M$18,11,FALSE)</f>
        <v>#N/A</v>
      </c>
      <c r="V3035" s="81" t="e">
        <f>HLOOKUP(O3035,データについて!$J$9:$M$18,10,FALSE)</f>
        <v>#N/A</v>
      </c>
      <c r="W3035" s="81" t="e">
        <f>HLOOKUP(P3035,データについて!$J$10:$M$18,9,FALSE)</f>
        <v>#N/A</v>
      </c>
      <c r="X3035" s="81" t="e">
        <f>HLOOKUP(Q3035,データについて!$J$11:$M$18,8,FALSE)</f>
        <v>#N/A</v>
      </c>
      <c r="Y3035" s="81" t="e">
        <f>HLOOKUP(R3035,データについて!$J$12:$M$18,7,FALSE)</f>
        <v>#N/A</v>
      </c>
      <c r="Z3035" s="81" t="e">
        <f>HLOOKUP(I3035,データについて!$J$3:$M$18,16,FALSE)</f>
        <v>#N/A</v>
      </c>
      <c r="AA3035" s="81" t="str">
        <f>IFERROR(HLOOKUP(J3035,データについて!$J$4:$AH$19,16,FALSE),"")</f>
        <v/>
      </c>
      <c r="AB3035" s="81" t="str">
        <f>IFERROR(HLOOKUP(K3035,データについて!$J$5:$AH$20,14,FALSE),"")</f>
        <v/>
      </c>
      <c r="AC3035" s="81" t="e">
        <f>IF(X3035=1,HLOOKUP(R3035,データについて!$J$12:$M$18,7,FALSE),"*")</f>
        <v>#N/A</v>
      </c>
      <c r="AD3035" s="81" t="e">
        <f>IF(X3035=2,HLOOKUP(R3035,データについて!$J$12:$M$18,7,FALSE),"*")</f>
        <v>#N/A</v>
      </c>
    </row>
    <row r="3036" spans="19:30">
      <c r="S3036" s="81" t="e">
        <f>HLOOKUP(L3036,データについて!$J$6:$M$18,13,FALSE)</f>
        <v>#N/A</v>
      </c>
      <c r="T3036" s="81" t="e">
        <f>HLOOKUP(M3036,データについて!$J$7:$M$18,12,FALSE)</f>
        <v>#N/A</v>
      </c>
      <c r="U3036" s="81" t="e">
        <f>HLOOKUP(N3036,データについて!$J$8:$M$18,11,FALSE)</f>
        <v>#N/A</v>
      </c>
      <c r="V3036" s="81" t="e">
        <f>HLOOKUP(O3036,データについて!$J$9:$M$18,10,FALSE)</f>
        <v>#N/A</v>
      </c>
      <c r="W3036" s="81" t="e">
        <f>HLOOKUP(P3036,データについて!$J$10:$M$18,9,FALSE)</f>
        <v>#N/A</v>
      </c>
      <c r="X3036" s="81" t="e">
        <f>HLOOKUP(Q3036,データについて!$J$11:$M$18,8,FALSE)</f>
        <v>#N/A</v>
      </c>
      <c r="Y3036" s="81" t="e">
        <f>HLOOKUP(R3036,データについて!$J$12:$M$18,7,FALSE)</f>
        <v>#N/A</v>
      </c>
      <c r="Z3036" s="81" t="e">
        <f>HLOOKUP(I3036,データについて!$J$3:$M$18,16,FALSE)</f>
        <v>#N/A</v>
      </c>
      <c r="AA3036" s="81" t="str">
        <f>IFERROR(HLOOKUP(J3036,データについて!$J$4:$AH$19,16,FALSE),"")</f>
        <v/>
      </c>
      <c r="AB3036" s="81" t="str">
        <f>IFERROR(HLOOKUP(K3036,データについて!$J$5:$AH$20,14,FALSE),"")</f>
        <v/>
      </c>
      <c r="AC3036" s="81" t="e">
        <f>IF(X3036=1,HLOOKUP(R3036,データについて!$J$12:$M$18,7,FALSE),"*")</f>
        <v>#N/A</v>
      </c>
      <c r="AD3036" s="81" t="e">
        <f>IF(X3036=2,HLOOKUP(R3036,データについて!$J$12:$M$18,7,FALSE),"*")</f>
        <v>#N/A</v>
      </c>
    </row>
    <row r="3037" spans="19:30">
      <c r="S3037" s="81" t="e">
        <f>HLOOKUP(L3037,データについて!$J$6:$M$18,13,FALSE)</f>
        <v>#N/A</v>
      </c>
      <c r="T3037" s="81" t="e">
        <f>HLOOKUP(M3037,データについて!$J$7:$M$18,12,FALSE)</f>
        <v>#N/A</v>
      </c>
      <c r="U3037" s="81" t="e">
        <f>HLOOKUP(N3037,データについて!$J$8:$M$18,11,FALSE)</f>
        <v>#N/A</v>
      </c>
      <c r="V3037" s="81" t="e">
        <f>HLOOKUP(O3037,データについて!$J$9:$M$18,10,FALSE)</f>
        <v>#N/A</v>
      </c>
      <c r="W3037" s="81" t="e">
        <f>HLOOKUP(P3037,データについて!$J$10:$M$18,9,FALSE)</f>
        <v>#N/A</v>
      </c>
      <c r="X3037" s="81" t="e">
        <f>HLOOKUP(Q3037,データについて!$J$11:$M$18,8,FALSE)</f>
        <v>#N/A</v>
      </c>
      <c r="Y3037" s="81" t="e">
        <f>HLOOKUP(R3037,データについて!$J$12:$M$18,7,FALSE)</f>
        <v>#N/A</v>
      </c>
      <c r="Z3037" s="81" t="e">
        <f>HLOOKUP(I3037,データについて!$J$3:$M$18,16,FALSE)</f>
        <v>#N/A</v>
      </c>
      <c r="AA3037" s="81" t="str">
        <f>IFERROR(HLOOKUP(J3037,データについて!$J$4:$AH$19,16,FALSE),"")</f>
        <v/>
      </c>
      <c r="AB3037" s="81" t="str">
        <f>IFERROR(HLOOKUP(K3037,データについて!$J$5:$AH$20,14,FALSE),"")</f>
        <v/>
      </c>
      <c r="AC3037" s="81" t="e">
        <f>IF(X3037=1,HLOOKUP(R3037,データについて!$J$12:$M$18,7,FALSE),"*")</f>
        <v>#N/A</v>
      </c>
      <c r="AD3037" s="81" t="e">
        <f>IF(X3037=2,HLOOKUP(R3037,データについて!$J$12:$M$18,7,FALSE),"*")</f>
        <v>#N/A</v>
      </c>
    </row>
    <row r="3038" spans="19:30">
      <c r="S3038" s="81" t="e">
        <f>HLOOKUP(L3038,データについて!$J$6:$M$18,13,FALSE)</f>
        <v>#N/A</v>
      </c>
      <c r="T3038" s="81" t="e">
        <f>HLOOKUP(M3038,データについて!$J$7:$M$18,12,FALSE)</f>
        <v>#N/A</v>
      </c>
      <c r="U3038" s="81" t="e">
        <f>HLOOKUP(N3038,データについて!$J$8:$M$18,11,FALSE)</f>
        <v>#N/A</v>
      </c>
      <c r="V3038" s="81" t="e">
        <f>HLOOKUP(O3038,データについて!$J$9:$M$18,10,FALSE)</f>
        <v>#N/A</v>
      </c>
      <c r="W3038" s="81" t="e">
        <f>HLOOKUP(P3038,データについて!$J$10:$M$18,9,FALSE)</f>
        <v>#N/A</v>
      </c>
      <c r="X3038" s="81" t="e">
        <f>HLOOKUP(Q3038,データについて!$J$11:$M$18,8,FALSE)</f>
        <v>#N/A</v>
      </c>
      <c r="Y3038" s="81" t="e">
        <f>HLOOKUP(R3038,データについて!$J$12:$M$18,7,FALSE)</f>
        <v>#N/A</v>
      </c>
      <c r="Z3038" s="81" t="e">
        <f>HLOOKUP(I3038,データについて!$J$3:$M$18,16,FALSE)</f>
        <v>#N/A</v>
      </c>
      <c r="AA3038" s="81" t="str">
        <f>IFERROR(HLOOKUP(J3038,データについて!$J$4:$AH$19,16,FALSE),"")</f>
        <v/>
      </c>
      <c r="AB3038" s="81" t="str">
        <f>IFERROR(HLOOKUP(K3038,データについて!$J$5:$AH$20,14,FALSE),"")</f>
        <v/>
      </c>
      <c r="AC3038" s="81" t="e">
        <f>IF(X3038=1,HLOOKUP(R3038,データについて!$J$12:$M$18,7,FALSE),"*")</f>
        <v>#N/A</v>
      </c>
      <c r="AD3038" s="81" t="e">
        <f>IF(X3038=2,HLOOKUP(R3038,データについて!$J$12:$M$18,7,FALSE),"*")</f>
        <v>#N/A</v>
      </c>
    </row>
    <row r="3039" spans="19:30">
      <c r="S3039" s="81" t="e">
        <f>HLOOKUP(L3039,データについて!$J$6:$M$18,13,FALSE)</f>
        <v>#N/A</v>
      </c>
      <c r="T3039" s="81" t="e">
        <f>HLOOKUP(M3039,データについて!$J$7:$M$18,12,FALSE)</f>
        <v>#N/A</v>
      </c>
      <c r="U3039" s="81" t="e">
        <f>HLOOKUP(N3039,データについて!$J$8:$M$18,11,FALSE)</f>
        <v>#N/A</v>
      </c>
      <c r="V3039" s="81" t="e">
        <f>HLOOKUP(O3039,データについて!$J$9:$M$18,10,FALSE)</f>
        <v>#N/A</v>
      </c>
      <c r="W3039" s="81" t="e">
        <f>HLOOKUP(P3039,データについて!$J$10:$M$18,9,FALSE)</f>
        <v>#N/A</v>
      </c>
      <c r="X3039" s="81" t="e">
        <f>HLOOKUP(Q3039,データについて!$J$11:$M$18,8,FALSE)</f>
        <v>#N/A</v>
      </c>
      <c r="Y3039" s="81" t="e">
        <f>HLOOKUP(R3039,データについて!$J$12:$M$18,7,FALSE)</f>
        <v>#N/A</v>
      </c>
      <c r="Z3039" s="81" t="e">
        <f>HLOOKUP(I3039,データについて!$J$3:$M$18,16,FALSE)</f>
        <v>#N/A</v>
      </c>
      <c r="AA3039" s="81" t="str">
        <f>IFERROR(HLOOKUP(J3039,データについて!$J$4:$AH$19,16,FALSE),"")</f>
        <v/>
      </c>
      <c r="AB3039" s="81" t="str">
        <f>IFERROR(HLOOKUP(K3039,データについて!$J$5:$AH$20,14,FALSE),"")</f>
        <v/>
      </c>
      <c r="AC3039" s="81" t="e">
        <f>IF(X3039=1,HLOOKUP(R3039,データについて!$J$12:$M$18,7,FALSE),"*")</f>
        <v>#N/A</v>
      </c>
      <c r="AD3039" s="81" t="e">
        <f>IF(X3039=2,HLOOKUP(R3039,データについて!$J$12:$M$18,7,FALSE),"*")</f>
        <v>#N/A</v>
      </c>
    </row>
    <row r="3040" spans="19:30">
      <c r="S3040" s="81" t="e">
        <f>HLOOKUP(L3040,データについて!$J$6:$M$18,13,FALSE)</f>
        <v>#N/A</v>
      </c>
      <c r="T3040" s="81" t="e">
        <f>HLOOKUP(M3040,データについて!$J$7:$M$18,12,FALSE)</f>
        <v>#N/A</v>
      </c>
      <c r="U3040" s="81" t="e">
        <f>HLOOKUP(N3040,データについて!$J$8:$M$18,11,FALSE)</f>
        <v>#N/A</v>
      </c>
      <c r="V3040" s="81" t="e">
        <f>HLOOKUP(O3040,データについて!$J$9:$M$18,10,FALSE)</f>
        <v>#N/A</v>
      </c>
      <c r="W3040" s="81" t="e">
        <f>HLOOKUP(P3040,データについて!$J$10:$M$18,9,FALSE)</f>
        <v>#N/A</v>
      </c>
      <c r="X3040" s="81" t="e">
        <f>HLOOKUP(Q3040,データについて!$J$11:$M$18,8,FALSE)</f>
        <v>#N/A</v>
      </c>
      <c r="Y3040" s="81" t="e">
        <f>HLOOKUP(R3040,データについて!$J$12:$M$18,7,FALSE)</f>
        <v>#N/A</v>
      </c>
      <c r="Z3040" s="81" t="e">
        <f>HLOOKUP(I3040,データについて!$J$3:$M$18,16,FALSE)</f>
        <v>#N/A</v>
      </c>
      <c r="AA3040" s="81" t="str">
        <f>IFERROR(HLOOKUP(J3040,データについて!$J$4:$AH$19,16,FALSE),"")</f>
        <v/>
      </c>
      <c r="AB3040" s="81" t="str">
        <f>IFERROR(HLOOKUP(K3040,データについて!$J$5:$AH$20,14,FALSE),"")</f>
        <v/>
      </c>
      <c r="AC3040" s="81" t="e">
        <f>IF(X3040=1,HLOOKUP(R3040,データについて!$J$12:$M$18,7,FALSE),"*")</f>
        <v>#N/A</v>
      </c>
      <c r="AD3040" s="81" t="e">
        <f>IF(X3040=2,HLOOKUP(R3040,データについて!$J$12:$M$18,7,FALSE),"*")</f>
        <v>#N/A</v>
      </c>
    </row>
    <row r="3041" spans="19:30">
      <c r="S3041" s="81" t="e">
        <f>HLOOKUP(L3041,データについて!$J$6:$M$18,13,FALSE)</f>
        <v>#N/A</v>
      </c>
      <c r="T3041" s="81" t="e">
        <f>HLOOKUP(M3041,データについて!$J$7:$M$18,12,FALSE)</f>
        <v>#N/A</v>
      </c>
      <c r="U3041" s="81" t="e">
        <f>HLOOKUP(N3041,データについて!$J$8:$M$18,11,FALSE)</f>
        <v>#N/A</v>
      </c>
      <c r="V3041" s="81" t="e">
        <f>HLOOKUP(O3041,データについて!$J$9:$M$18,10,FALSE)</f>
        <v>#N/A</v>
      </c>
      <c r="W3041" s="81" t="e">
        <f>HLOOKUP(P3041,データについて!$J$10:$M$18,9,FALSE)</f>
        <v>#N/A</v>
      </c>
      <c r="X3041" s="81" t="e">
        <f>HLOOKUP(Q3041,データについて!$J$11:$M$18,8,FALSE)</f>
        <v>#N/A</v>
      </c>
      <c r="Y3041" s="81" t="e">
        <f>HLOOKUP(R3041,データについて!$J$12:$M$18,7,FALSE)</f>
        <v>#N/A</v>
      </c>
      <c r="Z3041" s="81" t="e">
        <f>HLOOKUP(I3041,データについて!$J$3:$M$18,16,FALSE)</f>
        <v>#N/A</v>
      </c>
      <c r="AA3041" s="81" t="str">
        <f>IFERROR(HLOOKUP(J3041,データについて!$J$4:$AH$19,16,FALSE),"")</f>
        <v/>
      </c>
      <c r="AB3041" s="81" t="str">
        <f>IFERROR(HLOOKUP(K3041,データについて!$J$5:$AH$20,14,FALSE),"")</f>
        <v/>
      </c>
      <c r="AC3041" s="81" t="e">
        <f>IF(X3041=1,HLOOKUP(R3041,データについて!$J$12:$M$18,7,FALSE),"*")</f>
        <v>#N/A</v>
      </c>
      <c r="AD3041" s="81" t="e">
        <f>IF(X3041=2,HLOOKUP(R3041,データについて!$J$12:$M$18,7,FALSE),"*")</f>
        <v>#N/A</v>
      </c>
    </row>
    <row r="3042" spans="19:30">
      <c r="S3042" s="81" t="e">
        <f>HLOOKUP(L3042,データについて!$J$6:$M$18,13,FALSE)</f>
        <v>#N/A</v>
      </c>
      <c r="T3042" s="81" t="e">
        <f>HLOOKUP(M3042,データについて!$J$7:$M$18,12,FALSE)</f>
        <v>#N/A</v>
      </c>
      <c r="U3042" s="81" t="e">
        <f>HLOOKUP(N3042,データについて!$J$8:$M$18,11,FALSE)</f>
        <v>#N/A</v>
      </c>
      <c r="V3042" s="81" t="e">
        <f>HLOOKUP(O3042,データについて!$J$9:$M$18,10,FALSE)</f>
        <v>#N/A</v>
      </c>
      <c r="W3042" s="81" t="e">
        <f>HLOOKUP(P3042,データについて!$J$10:$M$18,9,FALSE)</f>
        <v>#N/A</v>
      </c>
      <c r="X3042" s="81" t="e">
        <f>HLOOKUP(Q3042,データについて!$J$11:$M$18,8,FALSE)</f>
        <v>#N/A</v>
      </c>
      <c r="Y3042" s="81" t="e">
        <f>HLOOKUP(R3042,データについて!$J$12:$M$18,7,FALSE)</f>
        <v>#N/A</v>
      </c>
      <c r="Z3042" s="81" t="e">
        <f>HLOOKUP(I3042,データについて!$J$3:$M$18,16,FALSE)</f>
        <v>#N/A</v>
      </c>
      <c r="AA3042" s="81" t="str">
        <f>IFERROR(HLOOKUP(J3042,データについて!$J$4:$AH$19,16,FALSE),"")</f>
        <v/>
      </c>
      <c r="AB3042" s="81" t="str">
        <f>IFERROR(HLOOKUP(K3042,データについて!$J$5:$AH$20,14,FALSE),"")</f>
        <v/>
      </c>
      <c r="AC3042" s="81" t="e">
        <f>IF(X3042=1,HLOOKUP(R3042,データについて!$J$12:$M$18,7,FALSE),"*")</f>
        <v>#N/A</v>
      </c>
      <c r="AD3042" s="81" t="e">
        <f>IF(X3042=2,HLOOKUP(R3042,データについて!$J$12:$M$18,7,FALSE),"*")</f>
        <v>#N/A</v>
      </c>
    </row>
    <row r="3043" spans="19:30">
      <c r="S3043" s="81" t="e">
        <f>HLOOKUP(L3043,データについて!$J$6:$M$18,13,FALSE)</f>
        <v>#N/A</v>
      </c>
      <c r="T3043" s="81" t="e">
        <f>HLOOKUP(M3043,データについて!$J$7:$M$18,12,FALSE)</f>
        <v>#N/A</v>
      </c>
      <c r="U3043" s="81" t="e">
        <f>HLOOKUP(N3043,データについて!$J$8:$M$18,11,FALSE)</f>
        <v>#N/A</v>
      </c>
      <c r="V3043" s="81" t="e">
        <f>HLOOKUP(O3043,データについて!$J$9:$M$18,10,FALSE)</f>
        <v>#N/A</v>
      </c>
      <c r="W3043" s="81" t="e">
        <f>HLOOKUP(P3043,データについて!$J$10:$M$18,9,FALSE)</f>
        <v>#N/A</v>
      </c>
      <c r="X3043" s="81" t="e">
        <f>HLOOKUP(Q3043,データについて!$J$11:$M$18,8,FALSE)</f>
        <v>#N/A</v>
      </c>
      <c r="Y3043" s="81" t="e">
        <f>HLOOKUP(R3043,データについて!$J$12:$M$18,7,FALSE)</f>
        <v>#N/A</v>
      </c>
      <c r="Z3043" s="81" t="e">
        <f>HLOOKUP(I3043,データについて!$J$3:$M$18,16,FALSE)</f>
        <v>#N/A</v>
      </c>
      <c r="AA3043" s="81" t="str">
        <f>IFERROR(HLOOKUP(J3043,データについて!$J$4:$AH$19,16,FALSE),"")</f>
        <v/>
      </c>
      <c r="AB3043" s="81" t="str">
        <f>IFERROR(HLOOKUP(K3043,データについて!$J$5:$AH$20,14,FALSE),"")</f>
        <v/>
      </c>
      <c r="AC3043" s="81" t="e">
        <f>IF(X3043=1,HLOOKUP(R3043,データについて!$J$12:$M$18,7,FALSE),"*")</f>
        <v>#N/A</v>
      </c>
      <c r="AD3043" s="81" t="e">
        <f>IF(X3043=2,HLOOKUP(R3043,データについて!$J$12:$M$18,7,FALSE),"*")</f>
        <v>#N/A</v>
      </c>
    </row>
    <row r="3044" spans="19:30">
      <c r="S3044" s="81" t="e">
        <f>HLOOKUP(L3044,データについて!$J$6:$M$18,13,FALSE)</f>
        <v>#N/A</v>
      </c>
      <c r="T3044" s="81" t="e">
        <f>HLOOKUP(M3044,データについて!$J$7:$M$18,12,FALSE)</f>
        <v>#N/A</v>
      </c>
      <c r="U3044" s="81" t="e">
        <f>HLOOKUP(N3044,データについて!$J$8:$M$18,11,FALSE)</f>
        <v>#N/A</v>
      </c>
      <c r="V3044" s="81" t="e">
        <f>HLOOKUP(O3044,データについて!$J$9:$M$18,10,FALSE)</f>
        <v>#N/A</v>
      </c>
      <c r="W3044" s="81" t="e">
        <f>HLOOKUP(P3044,データについて!$J$10:$M$18,9,FALSE)</f>
        <v>#N/A</v>
      </c>
      <c r="X3044" s="81" t="e">
        <f>HLOOKUP(Q3044,データについて!$J$11:$M$18,8,FALSE)</f>
        <v>#N/A</v>
      </c>
      <c r="Y3044" s="81" t="e">
        <f>HLOOKUP(R3044,データについて!$J$12:$M$18,7,FALSE)</f>
        <v>#N/A</v>
      </c>
      <c r="Z3044" s="81" t="e">
        <f>HLOOKUP(I3044,データについて!$J$3:$M$18,16,FALSE)</f>
        <v>#N/A</v>
      </c>
      <c r="AA3044" s="81" t="str">
        <f>IFERROR(HLOOKUP(J3044,データについて!$J$4:$AH$19,16,FALSE),"")</f>
        <v/>
      </c>
      <c r="AB3044" s="81" t="str">
        <f>IFERROR(HLOOKUP(K3044,データについて!$J$5:$AH$20,14,FALSE),"")</f>
        <v/>
      </c>
      <c r="AC3044" s="81" t="e">
        <f>IF(X3044=1,HLOOKUP(R3044,データについて!$J$12:$M$18,7,FALSE),"*")</f>
        <v>#N/A</v>
      </c>
      <c r="AD3044" s="81" t="e">
        <f>IF(X3044=2,HLOOKUP(R3044,データについて!$J$12:$M$18,7,FALSE),"*")</f>
        <v>#N/A</v>
      </c>
    </row>
    <row r="3045" spans="19:30">
      <c r="S3045" s="81" t="e">
        <f>HLOOKUP(L3045,データについて!$J$6:$M$18,13,FALSE)</f>
        <v>#N/A</v>
      </c>
      <c r="T3045" s="81" t="e">
        <f>HLOOKUP(M3045,データについて!$J$7:$M$18,12,FALSE)</f>
        <v>#N/A</v>
      </c>
      <c r="U3045" s="81" t="e">
        <f>HLOOKUP(N3045,データについて!$J$8:$M$18,11,FALSE)</f>
        <v>#N/A</v>
      </c>
      <c r="V3045" s="81" t="e">
        <f>HLOOKUP(O3045,データについて!$J$9:$M$18,10,FALSE)</f>
        <v>#N/A</v>
      </c>
      <c r="W3045" s="81" t="e">
        <f>HLOOKUP(P3045,データについて!$J$10:$M$18,9,FALSE)</f>
        <v>#N/A</v>
      </c>
      <c r="X3045" s="81" t="e">
        <f>HLOOKUP(Q3045,データについて!$J$11:$M$18,8,FALSE)</f>
        <v>#N/A</v>
      </c>
      <c r="Y3045" s="81" t="e">
        <f>HLOOKUP(R3045,データについて!$J$12:$M$18,7,FALSE)</f>
        <v>#N/A</v>
      </c>
      <c r="Z3045" s="81" t="e">
        <f>HLOOKUP(I3045,データについて!$J$3:$M$18,16,FALSE)</f>
        <v>#N/A</v>
      </c>
      <c r="AA3045" s="81" t="str">
        <f>IFERROR(HLOOKUP(J3045,データについて!$J$4:$AH$19,16,FALSE),"")</f>
        <v/>
      </c>
      <c r="AB3045" s="81" t="str">
        <f>IFERROR(HLOOKUP(K3045,データについて!$J$5:$AH$20,14,FALSE),"")</f>
        <v/>
      </c>
      <c r="AC3045" s="81" t="e">
        <f>IF(X3045=1,HLOOKUP(R3045,データについて!$J$12:$M$18,7,FALSE),"*")</f>
        <v>#N/A</v>
      </c>
      <c r="AD3045" s="81" t="e">
        <f>IF(X3045=2,HLOOKUP(R3045,データについて!$J$12:$M$18,7,FALSE),"*")</f>
        <v>#N/A</v>
      </c>
    </row>
    <row r="3046" spans="19:30">
      <c r="S3046" s="81" t="e">
        <f>HLOOKUP(L3046,データについて!$J$6:$M$18,13,FALSE)</f>
        <v>#N/A</v>
      </c>
      <c r="T3046" s="81" t="e">
        <f>HLOOKUP(M3046,データについて!$J$7:$M$18,12,FALSE)</f>
        <v>#N/A</v>
      </c>
      <c r="U3046" s="81" t="e">
        <f>HLOOKUP(N3046,データについて!$J$8:$M$18,11,FALSE)</f>
        <v>#N/A</v>
      </c>
      <c r="V3046" s="81" t="e">
        <f>HLOOKUP(O3046,データについて!$J$9:$M$18,10,FALSE)</f>
        <v>#N/A</v>
      </c>
      <c r="W3046" s="81" t="e">
        <f>HLOOKUP(P3046,データについて!$J$10:$M$18,9,FALSE)</f>
        <v>#N/A</v>
      </c>
      <c r="X3046" s="81" t="e">
        <f>HLOOKUP(Q3046,データについて!$J$11:$M$18,8,FALSE)</f>
        <v>#N/A</v>
      </c>
      <c r="Y3046" s="81" t="e">
        <f>HLOOKUP(R3046,データについて!$J$12:$M$18,7,FALSE)</f>
        <v>#N/A</v>
      </c>
      <c r="Z3046" s="81" t="e">
        <f>HLOOKUP(I3046,データについて!$J$3:$M$18,16,FALSE)</f>
        <v>#N/A</v>
      </c>
      <c r="AA3046" s="81" t="str">
        <f>IFERROR(HLOOKUP(J3046,データについて!$J$4:$AH$19,16,FALSE),"")</f>
        <v/>
      </c>
      <c r="AB3046" s="81" t="str">
        <f>IFERROR(HLOOKUP(K3046,データについて!$J$5:$AH$20,14,FALSE),"")</f>
        <v/>
      </c>
      <c r="AC3046" s="81" t="e">
        <f>IF(X3046=1,HLOOKUP(R3046,データについて!$J$12:$M$18,7,FALSE),"*")</f>
        <v>#N/A</v>
      </c>
      <c r="AD3046" s="81" t="e">
        <f>IF(X3046=2,HLOOKUP(R3046,データについて!$J$12:$M$18,7,FALSE),"*")</f>
        <v>#N/A</v>
      </c>
    </row>
    <row r="3047" spans="19:30">
      <c r="S3047" s="81" t="e">
        <f>HLOOKUP(L3047,データについて!$J$6:$M$18,13,FALSE)</f>
        <v>#N/A</v>
      </c>
      <c r="T3047" s="81" t="e">
        <f>HLOOKUP(M3047,データについて!$J$7:$M$18,12,FALSE)</f>
        <v>#N/A</v>
      </c>
      <c r="U3047" s="81" t="e">
        <f>HLOOKUP(N3047,データについて!$J$8:$M$18,11,FALSE)</f>
        <v>#N/A</v>
      </c>
      <c r="V3047" s="81" t="e">
        <f>HLOOKUP(O3047,データについて!$J$9:$M$18,10,FALSE)</f>
        <v>#N/A</v>
      </c>
      <c r="W3047" s="81" t="e">
        <f>HLOOKUP(P3047,データについて!$J$10:$M$18,9,FALSE)</f>
        <v>#N/A</v>
      </c>
      <c r="X3047" s="81" t="e">
        <f>HLOOKUP(Q3047,データについて!$J$11:$M$18,8,FALSE)</f>
        <v>#N/A</v>
      </c>
      <c r="Y3047" s="81" t="e">
        <f>HLOOKUP(R3047,データについて!$J$12:$M$18,7,FALSE)</f>
        <v>#N/A</v>
      </c>
      <c r="Z3047" s="81" t="e">
        <f>HLOOKUP(I3047,データについて!$J$3:$M$18,16,FALSE)</f>
        <v>#N/A</v>
      </c>
      <c r="AA3047" s="81" t="str">
        <f>IFERROR(HLOOKUP(J3047,データについて!$J$4:$AH$19,16,FALSE),"")</f>
        <v/>
      </c>
      <c r="AB3047" s="81" t="str">
        <f>IFERROR(HLOOKUP(K3047,データについて!$J$5:$AH$20,14,FALSE),"")</f>
        <v/>
      </c>
      <c r="AC3047" s="81" t="e">
        <f>IF(X3047=1,HLOOKUP(R3047,データについて!$J$12:$M$18,7,FALSE),"*")</f>
        <v>#N/A</v>
      </c>
      <c r="AD3047" s="81" t="e">
        <f>IF(X3047=2,HLOOKUP(R3047,データについて!$J$12:$M$18,7,FALSE),"*")</f>
        <v>#N/A</v>
      </c>
    </row>
    <row r="3048" spans="19:30">
      <c r="S3048" s="81" t="e">
        <f>HLOOKUP(L3048,データについて!$J$6:$M$18,13,FALSE)</f>
        <v>#N/A</v>
      </c>
      <c r="T3048" s="81" t="e">
        <f>HLOOKUP(M3048,データについて!$J$7:$M$18,12,FALSE)</f>
        <v>#N/A</v>
      </c>
      <c r="U3048" s="81" t="e">
        <f>HLOOKUP(N3048,データについて!$J$8:$M$18,11,FALSE)</f>
        <v>#N/A</v>
      </c>
      <c r="V3048" s="81" t="e">
        <f>HLOOKUP(O3048,データについて!$J$9:$M$18,10,FALSE)</f>
        <v>#N/A</v>
      </c>
      <c r="W3048" s="81" t="e">
        <f>HLOOKUP(P3048,データについて!$J$10:$M$18,9,FALSE)</f>
        <v>#N/A</v>
      </c>
      <c r="X3048" s="81" t="e">
        <f>HLOOKUP(Q3048,データについて!$J$11:$M$18,8,FALSE)</f>
        <v>#N/A</v>
      </c>
      <c r="Y3048" s="81" t="e">
        <f>HLOOKUP(R3048,データについて!$J$12:$M$18,7,FALSE)</f>
        <v>#N/A</v>
      </c>
      <c r="Z3048" s="81" t="e">
        <f>HLOOKUP(I3048,データについて!$J$3:$M$18,16,FALSE)</f>
        <v>#N/A</v>
      </c>
      <c r="AA3048" s="81" t="str">
        <f>IFERROR(HLOOKUP(J3048,データについて!$J$4:$AH$19,16,FALSE),"")</f>
        <v/>
      </c>
      <c r="AB3048" s="81" t="str">
        <f>IFERROR(HLOOKUP(K3048,データについて!$J$5:$AH$20,14,FALSE),"")</f>
        <v/>
      </c>
      <c r="AC3048" s="81" t="e">
        <f>IF(X3048=1,HLOOKUP(R3048,データについて!$J$12:$M$18,7,FALSE),"*")</f>
        <v>#N/A</v>
      </c>
      <c r="AD3048" s="81" t="e">
        <f>IF(X3048=2,HLOOKUP(R3048,データについて!$J$12:$M$18,7,FALSE),"*")</f>
        <v>#N/A</v>
      </c>
    </row>
    <row r="3049" spans="19:30">
      <c r="S3049" s="81" t="e">
        <f>HLOOKUP(L3049,データについて!$J$6:$M$18,13,FALSE)</f>
        <v>#N/A</v>
      </c>
      <c r="T3049" s="81" t="e">
        <f>HLOOKUP(M3049,データについて!$J$7:$M$18,12,FALSE)</f>
        <v>#N/A</v>
      </c>
      <c r="U3049" s="81" t="e">
        <f>HLOOKUP(N3049,データについて!$J$8:$M$18,11,FALSE)</f>
        <v>#N/A</v>
      </c>
      <c r="V3049" s="81" t="e">
        <f>HLOOKUP(O3049,データについて!$J$9:$M$18,10,FALSE)</f>
        <v>#N/A</v>
      </c>
      <c r="W3049" s="81" t="e">
        <f>HLOOKUP(P3049,データについて!$J$10:$M$18,9,FALSE)</f>
        <v>#N/A</v>
      </c>
      <c r="X3049" s="81" t="e">
        <f>HLOOKUP(Q3049,データについて!$J$11:$M$18,8,FALSE)</f>
        <v>#N/A</v>
      </c>
      <c r="Y3049" s="81" t="e">
        <f>HLOOKUP(R3049,データについて!$J$12:$M$18,7,FALSE)</f>
        <v>#N/A</v>
      </c>
      <c r="Z3049" s="81" t="e">
        <f>HLOOKUP(I3049,データについて!$J$3:$M$18,16,FALSE)</f>
        <v>#N/A</v>
      </c>
      <c r="AA3049" s="81" t="str">
        <f>IFERROR(HLOOKUP(J3049,データについて!$J$4:$AH$19,16,FALSE),"")</f>
        <v/>
      </c>
      <c r="AB3049" s="81" t="str">
        <f>IFERROR(HLOOKUP(K3049,データについて!$J$5:$AH$20,14,FALSE),"")</f>
        <v/>
      </c>
      <c r="AC3049" s="81" t="e">
        <f>IF(X3049=1,HLOOKUP(R3049,データについて!$J$12:$M$18,7,FALSE),"*")</f>
        <v>#N/A</v>
      </c>
      <c r="AD3049" s="81" t="e">
        <f>IF(X3049=2,HLOOKUP(R3049,データについて!$J$12:$M$18,7,FALSE),"*")</f>
        <v>#N/A</v>
      </c>
    </row>
    <row r="3050" spans="19:30">
      <c r="S3050" s="81" t="e">
        <f>HLOOKUP(L3050,データについて!$J$6:$M$18,13,FALSE)</f>
        <v>#N/A</v>
      </c>
      <c r="T3050" s="81" t="e">
        <f>HLOOKUP(M3050,データについて!$J$7:$M$18,12,FALSE)</f>
        <v>#N/A</v>
      </c>
      <c r="U3050" s="81" t="e">
        <f>HLOOKUP(N3050,データについて!$J$8:$M$18,11,FALSE)</f>
        <v>#N/A</v>
      </c>
      <c r="V3050" s="81" t="e">
        <f>HLOOKUP(O3050,データについて!$J$9:$M$18,10,FALSE)</f>
        <v>#N/A</v>
      </c>
      <c r="W3050" s="81" t="e">
        <f>HLOOKUP(P3050,データについて!$J$10:$M$18,9,FALSE)</f>
        <v>#N/A</v>
      </c>
      <c r="X3050" s="81" t="e">
        <f>HLOOKUP(Q3050,データについて!$J$11:$M$18,8,FALSE)</f>
        <v>#N/A</v>
      </c>
      <c r="Y3050" s="81" t="e">
        <f>HLOOKUP(R3050,データについて!$J$12:$M$18,7,FALSE)</f>
        <v>#N/A</v>
      </c>
      <c r="Z3050" s="81" t="e">
        <f>HLOOKUP(I3050,データについて!$J$3:$M$18,16,FALSE)</f>
        <v>#N/A</v>
      </c>
      <c r="AA3050" s="81" t="str">
        <f>IFERROR(HLOOKUP(J3050,データについて!$J$4:$AH$19,16,FALSE),"")</f>
        <v/>
      </c>
      <c r="AB3050" s="81" t="str">
        <f>IFERROR(HLOOKUP(K3050,データについて!$J$5:$AH$20,14,FALSE),"")</f>
        <v/>
      </c>
      <c r="AC3050" s="81" t="e">
        <f>IF(X3050=1,HLOOKUP(R3050,データについて!$J$12:$M$18,7,FALSE),"*")</f>
        <v>#N/A</v>
      </c>
      <c r="AD3050" s="81" t="e">
        <f>IF(X3050=2,HLOOKUP(R3050,データについて!$J$12:$M$18,7,FALSE),"*")</f>
        <v>#N/A</v>
      </c>
    </row>
    <row r="3051" spans="19:30">
      <c r="S3051" s="81" t="e">
        <f>HLOOKUP(L3051,データについて!$J$6:$M$18,13,FALSE)</f>
        <v>#N/A</v>
      </c>
      <c r="T3051" s="81" t="e">
        <f>HLOOKUP(M3051,データについて!$J$7:$M$18,12,FALSE)</f>
        <v>#N/A</v>
      </c>
      <c r="U3051" s="81" t="e">
        <f>HLOOKUP(N3051,データについて!$J$8:$M$18,11,FALSE)</f>
        <v>#N/A</v>
      </c>
      <c r="V3051" s="81" t="e">
        <f>HLOOKUP(O3051,データについて!$J$9:$M$18,10,FALSE)</f>
        <v>#N/A</v>
      </c>
      <c r="W3051" s="81" t="e">
        <f>HLOOKUP(P3051,データについて!$J$10:$M$18,9,FALSE)</f>
        <v>#N/A</v>
      </c>
      <c r="X3051" s="81" t="e">
        <f>HLOOKUP(Q3051,データについて!$J$11:$M$18,8,FALSE)</f>
        <v>#N/A</v>
      </c>
      <c r="Y3051" s="81" t="e">
        <f>HLOOKUP(R3051,データについて!$J$12:$M$18,7,FALSE)</f>
        <v>#N/A</v>
      </c>
      <c r="Z3051" s="81" t="e">
        <f>HLOOKUP(I3051,データについて!$J$3:$M$18,16,FALSE)</f>
        <v>#N/A</v>
      </c>
      <c r="AA3051" s="81" t="str">
        <f>IFERROR(HLOOKUP(J3051,データについて!$J$4:$AH$19,16,FALSE),"")</f>
        <v/>
      </c>
      <c r="AB3051" s="81" t="str">
        <f>IFERROR(HLOOKUP(K3051,データについて!$J$5:$AH$20,14,FALSE),"")</f>
        <v/>
      </c>
      <c r="AC3051" s="81" t="e">
        <f>IF(X3051=1,HLOOKUP(R3051,データについて!$J$12:$M$18,7,FALSE),"*")</f>
        <v>#N/A</v>
      </c>
      <c r="AD3051" s="81" t="e">
        <f>IF(X3051=2,HLOOKUP(R3051,データについて!$J$12:$M$18,7,FALSE),"*")</f>
        <v>#N/A</v>
      </c>
    </row>
    <row r="3052" spans="19:30">
      <c r="S3052" s="81" t="e">
        <f>HLOOKUP(L3052,データについて!$J$6:$M$18,13,FALSE)</f>
        <v>#N/A</v>
      </c>
      <c r="T3052" s="81" t="e">
        <f>HLOOKUP(M3052,データについて!$J$7:$M$18,12,FALSE)</f>
        <v>#N/A</v>
      </c>
      <c r="U3052" s="81" t="e">
        <f>HLOOKUP(N3052,データについて!$J$8:$M$18,11,FALSE)</f>
        <v>#N/A</v>
      </c>
      <c r="V3052" s="81" t="e">
        <f>HLOOKUP(O3052,データについて!$J$9:$M$18,10,FALSE)</f>
        <v>#N/A</v>
      </c>
      <c r="W3052" s="81" t="e">
        <f>HLOOKUP(P3052,データについて!$J$10:$M$18,9,FALSE)</f>
        <v>#N/A</v>
      </c>
      <c r="X3052" s="81" t="e">
        <f>HLOOKUP(Q3052,データについて!$J$11:$M$18,8,FALSE)</f>
        <v>#N/A</v>
      </c>
      <c r="Y3052" s="81" t="e">
        <f>HLOOKUP(R3052,データについて!$J$12:$M$18,7,FALSE)</f>
        <v>#N/A</v>
      </c>
      <c r="Z3052" s="81" t="e">
        <f>HLOOKUP(I3052,データについて!$J$3:$M$18,16,FALSE)</f>
        <v>#N/A</v>
      </c>
      <c r="AA3052" s="81" t="str">
        <f>IFERROR(HLOOKUP(J3052,データについて!$J$4:$AH$19,16,FALSE),"")</f>
        <v/>
      </c>
      <c r="AB3052" s="81" t="str">
        <f>IFERROR(HLOOKUP(K3052,データについて!$J$5:$AH$20,14,FALSE),"")</f>
        <v/>
      </c>
      <c r="AC3052" s="81" t="e">
        <f>IF(X3052=1,HLOOKUP(R3052,データについて!$J$12:$M$18,7,FALSE),"*")</f>
        <v>#N/A</v>
      </c>
      <c r="AD3052" s="81" t="e">
        <f>IF(X3052=2,HLOOKUP(R3052,データについて!$J$12:$M$18,7,FALSE),"*")</f>
        <v>#N/A</v>
      </c>
    </row>
    <row r="3053" spans="19:30">
      <c r="S3053" s="81" t="e">
        <f>HLOOKUP(L3053,データについて!$J$6:$M$18,13,FALSE)</f>
        <v>#N/A</v>
      </c>
      <c r="T3053" s="81" t="e">
        <f>HLOOKUP(M3053,データについて!$J$7:$M$18,12,FALSE)</f>
        <v>#N/A</v>
      </c>
      <c r="U3053" s="81" t="e">
        <f>HLOOKUP(N3053,データについて!$J$8:$M$18,11,FALSE)</f>
        <v>#N/A</v>
      </c>
      <c r="V3053" s="81" t="e">
        <f>HLOOKUP(O3053,データについて!$J$9:$M$18,10,FALSE)</f>
        <v>#N/A</v>
      </c>
      <c r="W3053" s="81" t="e">
        <f>HLOOKUP(P3053,データについて!$J$10:$M$18,9,FALSE)</f>
        <v>#N/A</v>
      </c>
      <c r="X3053" s="81" t="e">
        <f>HLOOKUP(Q3053,データについて!$J$11:$M$18,8,FALSE)</f>
        <v>#N/A</v>
      </c>
      <c r="Y3053" s="81" t="e">
        <f>HLOOKUP(R3053,データについて!$J$12:$M$18,7,FALSE)</f>
        <v>#N/A</v>
      </c>
      <c r="Z3053" s="81" t="e">
        <f>HLOOKUP(I3053,データについて!$J$3:$M$18,16,FALSE)</f>
        <v>#N/A</v>
      </c>
      <c r="AA3053" s="81" t="str">
        <f>IFERROR(HLOOKUP(J3053,データについて!$J$4:$AH$19,16,FALSE),"")</f>
        <v/>
      </c>
      <c r="AB3053" s="81" t="str">
        <f>IFERROR(HLOOKUP(K3053,データについて!$J$5:$AH$20,14,FALSE),"")</f>
        <v/>
      </c>
      <c r="AC3053" s="81" t="e">
        <f>IF(X3053=1,HLOOKUP(R3053,データについて!$J$12:$M$18,7,FALSE),"*")</f>
        <v>#N/A</v>
      </c>
      <c r="AD3053" s="81" t="e">
        <f>IF(X3053=2,HLOOKUP(R3053,データについて!$J$12:$M$18,7,FALSE),"*")</f>
        <v>#N/A</v>
      </c>
    </row>
    <row r="3054" spans="19:30">
      <c r="S3054" s="81" t="e">
        <f>HLOOKUP(L3054,データについて!$J$6:$M$18,13,FALSE)</f>
        <v>#N/A</v>
      </c>
      <c r="T3054" s="81" t="e">
        <f>HLOOKUP(M3054,データについて!$J$7:$M$18,12,FALSE)</f>
        <v>#N/A</v>
      </c>
      <c r="U3054" s="81" t="e">
        <f>HLOOKUP(N3054,データについて!$J$8:$M$18,11,FALSE)</f>
        <v>#N/A</v>
      </c>
      <c r="V3054" s="81" t="e">
        <f>HLOOKUP(O3054,データについて!$J$9:$M$18,10,FALSE)</f>
        <v>#N/A</v>
      </c>
      <c r="W3054" s="81" t="e">
        <f>HLOOKUP(P3054,データについて!$J$10:$M$18,9,FALSE)</f>
        <v>#N/A</v>
      </c>
      <c r="X3054" s="81" t="e">
        <f>HLOOKUP(Q3054,データについて!$J$11:$M$18,8,FALSE)</f>
        <v>#N/A</v>
      </c>
      <c r="Y3054" s="81" t="e">
        <f>HLOOKUP(R3054,データについて!$J$12:$M$18,7,FALSE)</f>
        <v>#N/A</v>
      </c>
      <c r="Z3054" s="81" t="e">
        <f>HLOOKUP(I3054,データについて!$J$3:$M$18,16,FALSE)</f>
        <v>#N/A</v>
      </c>
      <c r="AA3054" s="81" t="str">
        <f>IFERROR(HLOOKUP(J3054,データについて!$J$4:$AH$19,16,FALSE),"")</f>
        <v/>
      </c>
      <c r="AB3054" s="81" t="str">
        <f>IFERROR(HLOOKUP(K3054,データについて!$J$5:$AH$20,14,FALSE),"")</f>
        <v/>
      </c>
      <c r="AC3054" s="81" t="e">
        <f>IF(X3054=1,HLOOKUP(R3054,データについて!$J$12:$M$18,7,FALSE),"*")</f>
        <v>#N/A</v>
      </c>
      <c r="AD3054" s="81" t="e">
        <f>IF(X3054=2,HLOOKUP(R3054,データについて!$J$12:$M$18,7,FALSE),"*")</f>
        <v>#N/A</v>
      </c>
    </row>
    <row r="3055" spans="19:30">
      <c r="S3055" s="81" t="e">
        <f>HLOOKUP(L3055,データについて!$J$6:$M$18,13,FALSE)</f>
        <v>#N/A</v>
      </c>
      <c r="T3055" s="81" t="e">
        <f>HLOOKUP(M3055,データについて!$J$7:$M$18,12,FALSE)</f>
        <v>#N/A</v>
      </c>
      <c r="U3055" s="81" t="e">
        <f>HLOOKUP(N3055,データについて!$J$8:$M$18,11,FALSE)</f>
        <v>#N/A</v>
      </c>
      <c r="V3055" s="81" t="e">
        <f>HLOOKUP(O3055,データについて!$J$9:$M$18,10,FALSE)</f>
        <v>#N/A</v>
      </c>
      <c r="W3055" s="81" t="e">
        <f>HLOOKUP(P3055,データについて!$J$10:$M$18,9,FALSE)</f>
        <v>#N/A</v>
      </c>
      <c r="X3055" s="81" t="e">
        <f>HLOOKUP(Q3055,データについて!$J$11:$M$18,8,FALSE)</f>
        <v>#N/A</v>
      </c>
      <c r="Y3055" s="81" t="e">
        <f>HLOOKUP(R3055,データについて!$J$12:$M$18,7,FALSE)</f>
        <v>#N/A</v>
      </c>
      <c r="Z3055" s="81" t="e">
        <f>HLOOKUP(I3055,データについて!$J$3:$M$18,16,FALSE)</f>
        <v>#N/A</v>
      </c>
      <c r="AA3055" s="81" t="str">
        <f>IFERROR(HLOOKUP(J3055,データについて!$J$4:$AH$19,16,FALSE),"")</f>
        <v/>
      </c>
      <c r="AB3055" s="81" t="str">
        <f>IFERROR(HLOOKUP(K3055,データについて!$J$5:$AH$20,14,FALSE),"")</f>
        <v/>
      </c>
      <c r="AC3055" s="81" t="e">
        <f>IF(X3055=1,HLOOKUP(R3055,データについて!$J$12:$M$18,7,FALSE),"*")</f>
        <v>#N/A</v>
      </c>
      <c r="AD3055" s="81" t="e">
        <f>IF(X3055=2,HLOOKUP(R3055,データについて!$J$12:$M$18,7,FALSE),"*")</f>
        <v>#N/A</v>
      </c>
    </row>
    <row r="3056" spans="19:30">
      <c r="S3056" s="81" t="e">
        <f>HLOOKUP(L3056,データについて!$J$6:$M$18,13,FALSE)</f>
        <v>#N/A</v>
      </c>
      <c r="T3056" s="81" t="e">
        <f>HLOOKUP(M3056,データについて!$J$7:$M$18,12,FALSE)</f>
        <v>#N/A</v>
      </c>
      <c r="U3056" s="81" t="e">
        <f>HLOOKUP(N3056,データについて!$J$8:$M$18,11,FALSE)</f>
        <v>#N/A</v>
      </c>
      <c r="V3056" s="81" t="e">
        <f>HLOOKUP(O3056,データについて!$J$9:$M$18,10,FALSE)</f>
        <v>#N/A</v>
      </c>
      <c r="W3056" s="81" t="e">
        <f>HLOOKUP(P3056,データについて!$J$10:$M$18,9,FALSE)</f>
        <v>#N/A</v>
      </c>
      <c r="X3056" s="81" t="e">
        <f>HLOOKUP(Q3056,データについて!$J$11:$M$18,8,FALSE)</f>
        <v>#N/A</v>
      </c>
      <c r="Y3056" s="81" t="e">
        <f>HLOOKUP(R3056,データについて!$J$12:$M$18,7,FALSE)</f>
        <v>#N/A</v>
      </c>
      <c r="Z3056" s="81" t="e">
        <f>HLOOKUP(I3056,データについて!$J$3:$M$18,16,FALSE)</f>
        <v>#N/A</v>
      </c>
      <c r="AA3056" s="81" t="str">
        <f>IFERROR(HLOOKUP(J3056,データについて!$J$4:$AH$19,16,FALSE),"")</f>
        <v/>
      </c>
      <c r="AB3056" s="81" t="str">
        <f>IFERROR(HLOOKUP(K3056,データについて!$J$5:$AH$20,14,FALSE),"")</f>
        <v/>
      </c>
      <c r="AC3056" s="81" t="e">
        <f>IF(X3056=1,HLOOKUP(R3056,データについて!$J$12:$M$18,7,FALSE),"*")</f>
        <v>#N/A</v>
      </c>
      <c r="AD3056" s="81" t="e">
        <f>IF(X3056=2,HLOOKUP(R3056,データについて!$J$12:$M$18,7,FALSE),"*")</f>
        <v>#N/A</v>
      </c>
    </row>
    <row r="3057" spans="19:30">
      <c r="S3057" s="81" t="e">
        <f>HLOOKUP(L3057,データについて!$J$6:$M$18,13,FALSE)</f>
        <v>#N/A</v>
      </c>
      <c r="T3057" s="81" t="e">
        <f>HLOOKUP(M3057,データについて!$J$7:$M$18,12,FALSE)</f>
        <v>#N/A</v>
      </c>
      <c r="U3057" s="81" t="e">
        <f>HLOOKUP(N3057,データについて!$J$8:$M$18,11,FALSE)</f>
        <v>#N/A</v>
      </c>
      <c r="V3057" s="81" t="e">
        <f>HLOOKUP(O3057,データについて!$J$9:$M$18,10,FALSE)</f>
        <v>#N/A</v>
      </c>
      <c r="W3057" s="81" t="e">
        <f>HLOOKUP(P3057,データについて!$J$10:$M$18,9,FALSE)</f>
        <v>#N/A</v>
      </c>
      <c r="X3057" s="81" t="e">
        <f>HLOOKUP(Q3057,データについて!$J$11:$M$18,8,FALSE)</f>
        <v>#N/A</v>
      </c>
      <c r="Y3057" s="81" t="e">
        <f>HLOOKUP(R3057,データについて!$J$12:$M$18,7,FALSE)</f>
        <v>#N/A</v>
      </c>
      <c r="Z3057" s="81" t="e">
        <f>HLOOKUP(I3057,データについて!$J$3:$M$18,16,FALSE)</f>
        <v>#N/A</v>
      </c>
      <c r="AA3057" s="81" t="str">
        <f>IFERROR(HLOOKUP(J3057,データについて!$J$4:$AH$19,16,FALSE),"")</f>
        <v/>
      </c>
      <c r="AB3057" s="81" t="str">
        <f>IFERROR(HLOOKUP(K3057,データについて!$J$5:$AH$20,14,FALSE),"")</f>
        <v/>
      </c>
      <c r="AC3057" s="81" t="e">
        <f>IF(X3057=1,HLOOKUP(R3057,データについて!$J$12:$M$18,7,FALSE),"*")</f>
        <v>#N/A</v>
      </c>
      <c r="AD3057" s="81" t="e">
        <f>IF(X3057=2,HLOOKUP(R3057,データについて!$J$12:$M$18,7,FALSE),"*")</f>
        <v>#N/A</v>
      </c>
    </row>
    <row r="3058" spans="19:30">
      <c r="S3058" s="81" t="e">
        <f>HLOOKUP(L3058,データについて!$J$6:$M$18,13,FALSE)</f>
        <v>#N/A</v>
      </c>
      <c r="T3058" s="81" t="e">
        <f>HLOOKUP(M3058,データについて!$J$7:$M$18,12,FALSE)</f>
        <v>#N/A</v>
      </c>
      <c r="U3058" s="81" t="e">
        <f>HLOOKUP(N3058,データについて!$J$8:$M$18,11,FALSE)</f>
        <v>#N/A</v>
      </c>
      <c r="V3058" s="81" t="e">
        <f>HLOOKUP(O3058,データについて!$J$9:$M$18,10,FALSE)</f>
        <v>#N/A</v>
      </c>
      <c r="W3058" s="81" t="e">
        <f>HLOOKUP(P3058,データについて!$J$10:$M$18,9,FALSE)</f>
        <v>#N/A</v>
      </c>
      <c r="X3058" s="81" t="e">
        <f>HLOOKUP(Q3058,データについて!$J$11:$M$18,8,FALSE)</f>
        <v>#N/A</v>
      </c>
      <c r="Y3058" s="81" t="e">
        <f>HLOOKUP(R3058,データについて!$J$12:$M$18,7,FALSE)</f>
        <v>#N/A</v>
      </c>
      <c r="Z3058" s="81" t="e">
        <f>HLOOKUP(I3058,データについて!$J$3:$M$18,16,FALSE)</f>
        <v>#N/A</v>
      </c>
      <c r="AA3058" s="81" t="str">
        <f>IFERROR(HLOOKUP(J3058,データについて!$J$4:$AH$19,16,FALSE),"")</f>
        <v/>
      </c>
      <c r="AB3058" s="81" t="str">
        <f>IFERROR(HLOOKUP(K3058,データについて!$J$5:$AH$20,14,FALSE),"")</f>
        <v/>
      </c>
      <c r="AC3058" s="81" t="e">
        <f>IF(X3058=1,HLOOKUP(R3058,データについて!$J$12:$M$18,7,FALSE),"*")</f>
        <v>#N/A</v>
      </c>
      <c r="AD3058" s="81" t="e">
        <f>IF(X3058=2,HLOOKUP(R3058,データについて!$J$12:$M$18,7,FALSE),"*")</f>
        <v>#N/A</v>
      </c>
    </row>
    <row r="3059" spans="19:30">
      <c r="S3059" s="81" t="e">
        <f>HLOOKUP(L3059,データについて!$J$6:$M$18,13,FALSE)</f>
        <v>#N/A</v>
      </c>
      <c r="T3059" s="81" t="e">
        <f>HLOOKUP(M3059,データについて!$J$7:$M$18,12,FALSE)</f>
        <v>#N/A</v>
      </c>
      <c r="U3059" s="81" t="e">
        <f>HLOOKUP(N3059,データについて!$J$8:$M$18,11,FALSE)</f>
        <v>#N/A</v>
      </c>
      <c r="V3059" s="81" t="e">
        <f>HLOOKUP(O3059,データについて!$J$9:$M$18,10,FALSE)</f>
        <v>#N/A</v>
      </c>
      <c r="W3059" s="81" t="e">
        <f>HLOOKUP(P3059,データについて!$J$10:$M$18,9,FALSE)</f>
        <v>#N/A</v>
      </c>
      <c r="X3059" s="81" t="e">
        <f>HLOOKUP(Q3059,データについて!$J$11:$M$18,8,FALSE)</f>
        <v>#N/A</v>
      </c>
      <c r="Y3059" s="81" t="e">
        <f>HLOOKUP(R3059,データについて!$J$12:$M$18,7,FALSE)</f>
        <v>#N/A</v>
      </c>
      <c r="Z3059" s="81" t="e">
        <f>HLOOKUP(I3059,データについて!$J$3:$M$18,16,FALSE)</f>
        <v>#N/A</v>
      </c>
      <c r="AA3059" s="81" t="str">
        <f>IFERROR(HLOOKUP(J3059,データについて!$J$4:$AH$19,16,FALSE),"")</f>
        <v/>
      </c>
      <c r="AB3059" s="81" t="str">
        <f>IFERROR(HLOOKUP(K3059,データについて!$J$5:$AH$20,14,FALSE),"")</f>
        <v/>
      </c>
      <c r="AC3059" s="81" t="e">
        <f>IF(X3059=1,HLOOKUP(R3059,データについて!$J$12:$M$18,7,FALSE),"*")</f>
        <v>#N/A</v>
      </c>
      <c r="AD3059" s="81" t="e">
        <f>IF(X3059=2,HLOOKUP(R3059,データについて!$J$12:$M$18,7,FALSE),"*")</f>
        <v>#N/A</v>
      </c>
    </row>
    <row r="3060" spans="19:30">
      <c r="S3060" s="81" t="e">
        <f>HLOOKUP(L3060,データについて!$J$6:$M$18,13,FALSE)</f>
        <v>#N/A</v>
      </c>
      <c r="T3060" s="81" t="e">
        <f>HLOOKUP(M3060,データについて!$J$7:$M$18,12,FALSE)</f>
        <v>#N/A</v>
      </c>
      <c r="U3060" s="81" t="e">
        <f>HLOOKUP(N3060,データについて!$J$8:$M$18,11,FALSE)</f>
        <v>#N/A</v>
      </c>
      <c r="V3060" s="81" t="e">
        <f>HLOOKUP(O3060,データについて!$J$9:$M$18,10,FALSE)</f>
        <v>#N/A</v>
      </c>
      <c r="W3060" s="81" t="e">
        <f>HLOOKUP(P3060,データについて!$J$10:$M$18,9,FALSE)</f>
        <v>#N/A</v>
      </c>
      <c r="X3060" s="81" t="e">
        <f>HLOOKUP(Q3060,データについて!$J$11:$M$18,8,FALSE)</f>
        <v>#N/A</v>
      </c>
      <c r="Y3060" s="81" t="e">
        <f>HLOOKUP(R3060,データについて!$J$12:$M$18,7,FALSE)</f>
        <v>#N/A</v>
      </c>
      <c r="Z3060" s="81" t="e">
        <f>HLOOKUP(I3060,データについて!$J$3:$M$18,16,FALSE)</f>
        <v>#N/A</v>
      </c>
      <c r="AA3060" s="81" t="str">
        <f>IFERROR(HLOOKUP(J3060,データについて!$J$4:$AH$19,16,FALSE),"")</f>
        <v/>
      </c>
      <c r="AB3060" s="81" t="str">
        <f>IFERROR(HLOOKUP(K3060,データについて!$J$5:$AH$20,14,FALSE),"")</f>
        <v/>
      </c>
      <c r="AC3060" s="81" t="e">
        <f>IF(X3060=1,HLOOKUP(R3060,データについて!$J$12:$M$18,7,FALSE),"*")</f>
        <v>#N/A</v>
      </c>
      <c r="AD3060" s="81" t="e">
        <f>IF(X3060=2,HLOOKUP(R3060,データについて!$J$12:$M$18,7,FALSE),"*")</f>
        <v>#N/A</v>
      </c>
    </row>
    <row r="3061" spans="19:30">
      <c r="S3061" s="81" t="e">
        <f>HLOOKUP(L3061,データについて!$J$6:$M$18,13,FALSE)</f>
        <v>#N/A</v>
      </c>
      <c r="T3061" s="81" t="e">
        <f>HLOOKUP(M3061,データについて!$J$7:$M$18,12,FALSE)</f>
        <v>#N/A</v>
      </c>
      <c r="U3061" s="81" t="e">
        <f>HLOOKUP(N3061,データについて!$J$8:$M$18,11,FALSE)</f>
        <v>#N/A</v>
      </c>
      <c r="V3061" s="81" t="e">
        <f>HLOOKUP(O3061,データについて!$J$9:$M$18,10,FALSE)</f>
        <v>#N/A</v>
      </c>
      <c r="W3061" s="81" t="e">
        <f>HLOOKUP(P3061,データについて!$J$10:$M$18,9,FALSE)</f>
        <v>#N/A</v>
      </c>
      <c r="X3061" s="81" t="e">
        <f>HLOOKUP(Q3061,データについて!$J$11:$M$18,8,FALSE)</f>
        <v>#N/A</v>
      </c>
      <c r="Y3061" s="81" t="e">
        <f>HLOOKUP(R3061,データについて!$J$12:$M$18,7,FALSE)</f>
        <v>#N/A</v>
      </c>
      <c r="Z3061" s="81" t="e">
        <f>HLOOKUP(I3061,データについて!$J$3:$M$18,16,FALSE)</f>
        <v>#N/A</v>
      </c>
      <c r="AA3061" s="81" t="str">
        <f>IFERROR(HLOOKUP(J3061,データについて!$J$4:$AH$19,16,FALSE),"")</f>
        <v/>
      </c>
      <c r="AB3061" s="81" t="str">
        <f>IFERROR(HLOOKUP(K3061,データについて!$J$5:$AH$20,14,FALSE),"")</f>
        <v/>
      </c>
      <c r="AC3061" s="81" t="e">
        <f>IF(X3061=1,HLOOKUP(R3061,データについて!$J$12:$M$18,7,FALSE),"*")</f>
        <v>#N/A</v>
      </c>
      <c r="AD3061" s="81" t="e">
        <f>IF(X3061=2,HLOOKUP(R3061,データについて!$J$12:$M$18,7,FALSE),"*")</f>
        <v>#N/A</v>
      </c>
    </row>
    <row r="3062" spans="19:30">
      <c r="S3062" s="81" t="e">
        <f>HLOOKUP(L3062,データについて!$J$6:$M$18,13,FALSE)</f>
        <v>#N/A</v>
      </c>
      <c r="T3062" s="81" t="e">
        <f>HLOOKUP(M3062,データについて!$J$7:$M$18,12,FALSE)</f>
        <v>#N/A</v>
      </c>
      <c r="U3062" s="81" t="e">
        <f>HLOOKUP(N3062,データについて!$J$8:$M$18,11,FALSE)</f>
        <v>#N/A</v>
      </c>
      <c r="V3062" s="81" t="e">
        <f>HLOOKUP(O3062,データについて!$J$9:$M$18,10,FALSE)</f>
        <v>#N/A</v>
      </c>
      <c r="W3062" s="81" t="e">
        <f>HLOOKUP(P3062,データについて!$J$10:$M$18,9,FALSE)</f>
        <v>#N/A</v>
      </c>
      <c r="X3062" s="81" t="e">
        <f>HLOOKUP(Q3062,データについて!$J$11:$M$18,8,FALSE)</f>
        <v>#N/A</v>
      </c>
      <c r="Y3062" s="81" t="e">
        <f>HLOOKUP(R3062,データについて!$J$12:$M$18,7,FALSE)</f>
        <v>#N/A</v>
      </c>
      <c r="Z3062" s="81" t="e">
        <f>HLOOKUP(I3062,データについて!$J$3:$M$18,16,FALSE)</f>
        <v>#N/A</v>
      </c>
      <c r="AA3062" s="81" t="str">
        <f>IFERROR(HLOOKUP(J3062,データについて!$J$4:$AH$19,16,FALSE),"")</f>
        <v/>
      </c>
      <c r="AB3062" s="81" t="str">
        <f>IFERROR(HLOOKUP(K3062,データについて!$J$5:$AH$20,14,FALSE),"")</f>
        <v/>
      </c>
      <c r="AC3062" s="81" t="e">
        <f>IF(X3062=1,HLOOKUP(R3062,データについて!$J$12:$M$18,7,FALSE),"*")</f>
        <v>#N/A</v>
      </c>
      <c r="AD3062" s="81" t="e">
        <f>IF(X3062=2,HLOOKUP(R3062,データについて!$J$12:$M$18,7,FALSE),"*")</f>
        <v>#N/A</v>
      </c>
    </row>
    <row r="3063" spans="19:30">
      <c r="S3063" s="81" t="e">
        <f>HLOOKUP(L3063,データについて!$J$6:$M$18,13,FALSE)</f>
        <v>#N/A</v>
      </c>
      <c r="T3063" s="81" t="e">
        <f>HLOOKUP(M3063,データについて!$J$7:$M$18,12,FALSE)</f>
        <v>#N/A</v>
      </c>
      <c r="U3063" s="81" t="e">
        <f>HLOOKUP(N3063,データについて!$J$8:$M$18,11,FALSE)</f>
        <v>#N/A</v>
      </c>
      <c r="V3063" s="81" t="e">
        <f>HLOOKUP(O3063,データについて!$J$9:$M$18,10,FALSE)</f>
        <v>#N/A</v>
      </c>
      <c r="W3063" s="81" t="e">
        <f>HLOOKUP(P3063,データについて!$J$10:$M$18,9,FALSE)</f>
        <v>#N/A</v>
      </c>
      <c r="X3063" s="81" t="e">
        <f>HLOOKUP(Q3063,データについて!$J$11:$M$18,8,FALSE)</f>
        <v>#N/A</v>
      </c>
      <c r="Y3063" s="81" t="e">
        <f>HLOOKUP(R3063,データについて!$J$12:$M$18,7,FALSE)</f>
        <v>#N/A</v>
      </c>
      <c r="Z3063" s="81" t="e">
        <f>HLOOKUP(I3063,データについて!$J$3:$M$18,16,FALSE)</f>
        <v>#N/A</v>
      </c>
      <c r="AA3063" s="81" t="str">
        <f>IFERROR(HLOOKUP(J3063,データについて!$J$4:$AH$19,16,FALSE),"")</f>
        <v/>
      </c>
      <c r="AB3063" s="81" t="str">
        <f>IFERROR(HLOOKUP(K3063,データについて!$J$5:$AH$20,14,FALSE),"")</f>
        <v/>
      </c>
      <c r="AC3063" s="81" t="e">
        <f>IF(X3063=1,HLOOKUP(R3063,データについて!$J$12:$M$18,7,FALSE),"*")</f>
        <v>#N/A</v>
      </c>
      <c r="AD3063" s="81" t="e">
        <f>IF(X3063=2,HLOOKUP(R3063,データについて!$J$12:$M$18,7,FALSE),"*")</f>
        <v>#N/A</v>
      </c>
    </row>
    <row r="3064" spans="19:30">
      <c r="S3064" s="81" t="e">
        <f>HLOOKUP(L3064,データについて!$J$6:$M$18,13,FALSE)</f>
        <v>#N/A</v>
      </c>
      <c r="T3064" s="81" t="e">
        <f>HLOOKUP(M3064,データについて!$J$7:$M$18,12,FALSE)</f>
        <v>#N/A</v>
      </c>
      <c r="U3064" s="81" t="e">
        <f>HLOOKUP(N3064,データについて!$J$8:$M$18,11,FALSE)</f>
        <v>#N/A</v>
      </c>
      <c r="V3064" s="81" t="e">
        <f>HLOOKUP(O3064,データについて!$J$9:$M$18,10,FALSE)</f>
        <v>#N/A</v>
      </c>
      <c r="W3064" s="81" t="e">
        <f>HLOOKUP(P3064,データについて!$J$10:$M$18,9,FALSE)</f>
        <v>#N/A</v>
      </c>
      <c r="X3064" s="81" t="e">
        <f>HLOOKUP(Q3064,データについて!$J$11:$M$18,8,FALSE)</f>
        <v>#N/A</v>
      </c>
      <c r="Y3064" s="81" t="e">
        <f>HLOOKUP(R3064,データについて!$J$12:$M$18,7,FALSE)</f>
        <v>#N/A</v>
      </c>
      <c r="Z3064" s="81" t="e">
        <f>HLOOKUP(I3064,データについて!$J$3:$M$18,16,FALSE)</f>
        <v>#N/A</v>
      </c>
      <c r="AA3064" s="81" t="str">
        <f>IFERROR(HLOOKUP(J3064,データについて!$J$4:$AH$19,16,FALSE),"")</f>
        <v/>
      </c>
      <c r="AB3064" s="81" t="str">
        <f>IFERROR(HLOOKUP(K3064,データについて!$J$5:$AH$20,14,FALSE),"")</f>
        <v/>
      </c>
      <c r="AC3064" s="81" t="e">
        <f>IF(X3064=1,HLOOKUP(R3064,データについて!$J$12:$M$18,7,FALSE),"*")</f>
        <v>#N/A</v>
      </c>
      <c r="AD3064" s="81" t="e">
        <f>IF(X3064=2,HLOOKUP(R3064,データについて!$J$12:$M$18,7,FALSE),"*")</f>
        <v>#N/A</v>
      </c>
    </row>
    <row r="3065" spans="19:30">
      <c r="S3065" s="81" t="e">
        <f>HLOOKUP(L3065,データについて!$J$6:$M$18,13,FALSE)</f>
        <v>#N/A</v>
      </c>
      <c r="T3065" s="81" t="e">
        <f>HLOOKUP(M3065,データについて!$J$7:$M$18,12,FALSE)</f>
        <v>#N/A</v>
      </c>
      <c r="U3065" s="81" t="e">
        <f>HLOOKUP(N3065,データについて!$J$8:$M$18,11,FALSE)</f>
        <v>#N/A</v>
      </c>
      <c r="V3065" s="81" t="e">
        <f>HLOOKUP(O3065,データについて!$J$9:$M$18,10,FALSE)</f>
        <v>#N/A</v>
      </c>
      <c r="W3065" s="81" t="e">
        <f>HLOOKUP(P3065,データについて!$J$10:$M$18,9,FALSE)</f>
        <v>#N/A</v>
      </c>
      <c r="X3065" s="81" t="e">
        <f>HLOOKUP(Q3065,データについて!$J$11:$M$18,8,FALSE)</f>
        <v>#N/A</v>
      </c>
      <c r="Y3065" s="81" t="e">
        <f>HLOOKUP(R3065,データについて!$J$12:$M$18,7,FALSE)</f>
        <v>#N/A</v>
      </c>
      <c r="Z3065" s="81" t="e">
        <f>HLOOKUP(I3065,データについて!$J$3:$M$18,16,FALSE)</f>
        <v>#N/A</v>
      </c>
      <c r="AA3065" s="81" t="str">
        <f>IFERROR(HLOOKUP(J3065,データについて!$J$4:$AH$19,16,FALSE),"")</f>
        <v/>
      </c>
      <c r="AB3065" s="81" t="str">
        <f>IFERROR(HLOOKUP(K3065,データについて!$J$5:$AH$20,14,FALSE),"")</f>
        <v/>
      </c>
      <c r="AC3065" s="81" t="e">
        <f>IF(X3065=1,HLOOKUP(R3065,データについて!$J$12:$M$18,7,FALSE),"*")</f>
        <v>#N/A</v>
      </c>
      <c r="AD3065" s="81" t="e">
        <f>IF(X3065=2,HLOOKUP(R3065,データについて!$J$12:$M$18,7,FALSE),"*")</f>
        <v>#N/A</v>
      </c>
    </row>
    <row r="3066" spans="19:30">
      <c r="S3066" s="81" t="e">
        <f>HLOOKUP(L3066,データについて!$J$6:$M$18,13,FALSE)</f>
        <v>#N/A</v>
      </c>
      <c r="T3066" s="81" t="e">
        <f>HLOOKUP(M3066,データについて!$J$7:$M$18,12,FALSE)</f>
        <v>#N/A</v>
      </c>
      <c r="U3066" s="81" t="e">
        <f>HLOOKUP(N3066,データについて!$J$8:$M$18,11,FALSE)</f>
        <v>#N/A</v>
      </c>
      <c r="V3066" s="81" t="e">
        <f>HLOOKUP(O3066,データについて!$J$9:$M$18,10,FALSE)</f>
        <v>#N/A</v>
      </c>
      <c r="W3066" s="81" t="e">
        <f>HLOOKUP(P3066,データについて!$J$10:$M$18,9,FALSE)</f>
        <v>#N/A</v>
      </c>
      <c r="X3066" s="81" t="e">
        <f>HLOOKUP(Q3066,データについて!$J$11:$M$18,8,FALSE)</f>
        <v>#N/A</v>
      </c>
      <c r="Y3066" s="81" t="e">
        <f>HLOOKUP(R3066,データについて!$J$12:$M$18,7,FALSE)</f>
        <v>#N/A</v>
      </c>
      <c r="Z3066" s="81" t="e">
        <f>HLOOKUP(I3066,データについて!$J$3:$M$18,16,FALSE)</f>
        <v>#N/A</v>
      </c>
      <c r="AA3066" s="81" t="str">
        <f>IFERROR(HLOOKUP(J3066,データについて!$J$4:$AH$19,16,FALSE),"")</f>
        <v/>
      </c>
      <c r="AB3066" s="81" t="str">
        <f>IFERROR(HLOOKUP(K3066,データについて!$J$5:$AH$20,14,FALSE),"")</f>
        <v/>
      </c>
      <c r="AC3066" s="81" t="e">
        <f>IF(X3066=1,HLOOKUP(R3066,データについて!$J$12:$M$18,7,FALSE),"*")</f>
        <v>#N/A</v>
      </c>
      <c r="AD3066" s="81" t="e">
        <f>IF(X3066=2,HLOOKUP(R3066,データについて!$J$12:$M$18,7,FALSE),"*")</f>
        <v>#N/A</v>
      </c>
    </row>
    <row r="3067" spans="19:30">
      <c r="S3067" s="81" t="e">
        <f>HLOOKUP(L3067,データについて!$J$6:$M$18,13,FALSE)</f>
        <v>#N/A</v>
      </c>
      <c r="T3067" s="81" t="e">
        <f>HLOOKUP(M3067,データについて!$J$7:$M$18,12,FALSE)</f>
        <v>#N/A</v>
      </c>
      <c r="U3067" s="81" t="e">
        <f>HLOOKUP(N3067,データについて!$J$8:$M$18,11,FALSE)</f>
        <v>#N/A</v>
      </c>
      <c r="V3067" s="81" t="e">
        <f>HLOOKUP(O3067,データについて!$J$9:$M$18,10,FALSE)</f>
        <v>#N/A</v>
      </c>
      <c r="W3067" s="81" t="e">
        <f>HLOOKUP(P3067,データについて!$J$10:$M$18,9,FALSE)</f>
        <v>#N/A</v>
      </c>
      <c r="X3067" s="81" t="e">
        <f>HLOOKUP(Q3067,データについて!$J$11:$M$18,8,FALSE)</f>
        <v>#N/A</v>
      </c>
      <c r="Y3067" s="81" t="e">
        <f>HLOOKUP(R3067,データについて!$J$12:$M$18,7,FALSE)</f>
        <v>#N/A</v>
      </c>
      <c r="Z3067" s="81" t="e">
        <f>HLOOKUP(I3067,データについて!$J$3:$M$18,16,FALSE)</f>
        <v>#N/A</v>
      </c>
      <c r="AA3067" s="81" t="str">
        <f>IFERROR(HLOOKUP(J3067,データについて!$J$4:$AH$19,16,FALSE),"")</f>
        <v/>
      </c>
      <c r="AB3067" s="81" t="str">
        <f>IFERROR(HLOOKUP(K3067,データについて!$J$5:$AH$20,14,FALSE),"")</f>
        <v/>
      </c>
      <c r="AC3067" s="81" t="e">
        <f>IF(X3067=1,HLOOKUP(R3067,データについて!$J$12:$M$18,7,FALSE),"*")</f>
        <v>#N/A</v>
      </c>
      <c r="AD3067" s="81" t="e">
        <f>IF(X3067=2,HLOOKUP(R3067,データについて!$J$12:$M$18,7,FALSE),"*")</f>
        <v>#N/A</v>
      </c>
    </row>
    <row r="3068" spans="19:30">
      <c r="S3068" s="81" t="e">
        <f>HLOOKUP(L3068,データについて!$J$6:$M$18,13,FALSE)</f>
        <v>#N/A</v>
      </c>
      <c r="T3068" s="81" t="e">
        <f>HLOOKUP(M3068,データについて!$J$7:$M$18,12,FALSE)</f>
        <v>#N/A</v>
      </c>
      <c r="U3068" s="81" t="e">
        <f>HLOOKUP(N3068,データについて!$J$8:$M$18,11,FALSE)</f>
        <v>#N/A</v>
      </c>
      <c r="V3068" s="81" t="e">
        <f>HLOOKUP(O3068,データについて!$J$9:$M$18,10,FALSE)</f>
        <v>#N/A</v>
      </c>
      <c r="W3068" s="81" t="e">
        <f>HLOOKUP(P3068,データについて!$J$10:$M$18,9,FALSE)</f>
        <v>#N/A</v>
      </c>
      <c r="X3068" s="81" t="e">
        <f>HLOOKUP(Q3068,データについて!$J$11:$M$18,8,FALSE)</f>
        <v>#N/A</v>
      </c>
      <c r="Y3068" s="81" t="e">
        <f>HLOOKUP(R3068,データについて!$J$12:$M$18,7,FALSE)</f>
        <v>#N/A</v>
      </c>
      <c r="Z3068" s="81" t="e">
        <f>HLOOKUP(I3068,データについて!$J$3:$M$18,16,FALSE)</f>
        <v>#N/A</v>
      </c>
      <c r="AA3068" s="81" t="str">
        <f>IFERROR(HLOOKUP(J3068,データについて!$J$4:$AH$19,16,FALSE),"")</f>
        <v/>
      </c>
      <c r="AB3068" s="81" t="str">
        <f>IFERROR(HLOOKUP(K3068,データについて!$J$5:$AH$20,14,FALSE),"")</f>
        <v/>
      </c>
      <c r="AC3068" s="81" t="e">
        <f>IF(X3068=1,HLOOKUP(R3068,データについて!$J$12:$M$18,7,FALSE),"*")</f>
        <v>#N/A</v>
      </c>
      <c r="AD3068" s="81" t="e">
        <f>IF(X3068=2,HLOOKUP(R3068,データについて!$J$12:$M$18,7,FALSE),"*")</f>
        <v>#N/A</v>
      </c>
    </row>
    <row r="3069" spans="19:30">
      <c r="S3069" s="81" t="e">
        <f>HLOOKUP(L3069,データについて!$J$6:$M$18,13,FALSE)</f>
        <v>#N/A</v>
      </c>
      <c r="T3069" s="81" t="e">
        <f>HLOOKUP(M3069,データについて!$J$7:$M$18,12,FALSE)</f>
        <v>#N/A</v>
      </c>
      <c r="U3069" s="81" t="e">
        <f>HLOOKUP(N3069,データについて!$J$8:$M$18,11,FALSE)</f>
        <v>#N/A</v>
      </c>
      <c r="V3069" s="81" t="e">
        <f>HLOOKUP(O3069,データについて!$J$9:$M$18,10,FALSE)</f>
        <v>#N/A</v>
      </c>
      <c r="W3069" s="81" t="e">
        <f>HLOOKUP(P3069,データについて!$J$10:$M$18,9,FALSE)</f>
        <v>#N/A</v>
      </c>
      <c r="X3069" s="81" t="e">
        <f>HLOOKUP(Q3069,データについて!$J$11:$M$18,8,FALSE)</f>
        <v>#N/A</v>
      </c>
      <c r="Y3069" s="81" t="e">
        <f>HLOOKUP(R3069,データについて!$J$12:$M$18,7,FALSE)</f>
        <v>#N/A</v>
      </c>
      <c r="Z3069" s="81" t="e">
        <f>HLOOKUP(I3069,データについて!$J$3:$M$18,16,FALSE)</f>
        <v>#N/A</v>
      </c>
      <c r="AA3069" s="81" t="str">
        <f>IFERROR(HLOOKUP(J3069,データについて!$J$4:$AH$19,16,FALSE),"")</f>
        <v/>
      </c>
      <c r="AB3069" s="81" t="str">
        <f>IFERROR(HLOOKUP(K3069,データについて!$J$5:$AH$20,14,FALSE),"")</f>
        <v/>
      </c>
      <c r="AC3069" s="81" t="e">
        <f>IF(X3069=1,HLOOKUP(R3069,データについて!$J$12:$M$18,7,FALSE),"*")</f>
        <v>#N/A</v>
      </c>
      <c r="AD3069" s="81" t="e">
        <f>IF(X3069=2,HLOOKUP(R3069,データについて!$J$12:$M$18,7,FALSE),"*")</f>
        <v>#N/A</v>
      </c>
    </row>
    <row r="3070" spans="19:30">
      <c r="S3070" s="81" t="e">
        <f>HLOOKUP(L3070,データについて!$J$6:$M$18,13,FALSE)</f>
        <v>#N/A</v>
      </c>
      <c r="T3070" s="81" t="e">
        <f>HLOOKUP(M3070,データについて!$J$7:$M$18,12,FALSE)</f>
        <v>#N/A</v>
      </c>
      <c r="U3070" s="81" t="e">
        <f>HLOOKUP(N3070,データについて!$J$8:$M$18,11,FALSE)</f>
        <v>#N/A</v>
      </c>
      <c r="V3070" s="81" t="e">
        <f>HLOOKUP(O3070,データについて!$J$9:$M$18,10,FALSE)</f>
        <v>#N/A</v>
      </c>
      <c r="W3070" s="81" t="e">
        <f>HLOOKUP(P3070,データについて!$J$10:$M$18,9,FALSE)</f>
        <v>#N/A</v>
      </c>
      <c r="X3070" s="81" t="e">
        <f>HLOOKUP(Q3070,データについて!$J$11:$M$18,8,FALSE)</f>
        <v>#N/A</v>
      </c>
      <c r="Y3070" s="81" t="e">
        <f>HLOOKUP(R3070,データについて!$J$12:$M$18,7,FALSE)</f>
        <v>#N/A</v>
      </c>
      <c r="Z3070" s="81" t="e">
        <f>HLOOKUP(I3070,データについて!$J$3:$M$18,16,FALSE)</f>
        <v>#N/A</v>
      </c>
      <c r="AA3070" s="81" t="str">
        <f>IFERROR(HLOOKUP(J3070,データについて!$J$4:$AH$19,16,FALSE),"")</f>
        <v/>
      </c>
      <c r="AB3070" s="81" t="str">
        <f>IFERROR(HLOOKUP(K3070,データについて!$J$5:$AH$20,14,FALSE),"")</f>
        <v/>
      </c>
      <c r="AC3070" s="81" t="e">
        <f>IF(X3070=1,HLOOKUP(R3070,データについて!$J$12:$M$18,7,FALSE),"*")</f>
        <v>#N/A</v>
      </c>
      <c r="AD3070" s="81" t="e">
        <f>IF(X3070=2,HLOOKUP(R3070,データについて!$J$12:$M$18,7,FALSE),"*")</f>
        <v>#N/A</v>
      </c>
    </row>
    <row r="3071" spans="19:30">
      <c r="S3071" s="81" t="e">
        <f>HLOOKUP(L3071,データについて!$J$6:$M$18,13,FALSE)</f>
        <v>#N/A</v>
      </c>
      <c r="T3071" s="81" t="e">
        <f>HLOOKUP(M3071,データについて!$J$7:$M$18,12,FALSE)</f>
        <v>#N/A</v>
      </c>
      <c r="U3071" s="81" t="e">
        <f>HLOOKUP(N3071,データについて!$J$8:$M$18,11,FALSE)</f>
        <v>#N/A</v>
      </c>
      <c r="V3071" s="81" t="e">
        <f>HLOOKUP(O3071,データについて!$J$9:$M$18,10,FALSE)</f>
        <v>#N/A</v>
      </c>
      <c r="W3071" s="81" t="e">
        <f>HLOOKUP(P3071,データについて!$J$10:$M$18,9,FALSE)</f>
        <v>#N/A</v>
      </c>
      <c r="X3071" s="81" t="e">
        <f>HLOOKUP(Q3071,データについて!$J$11:$M$18,8,FALSE)</f>
        <v>#N/A</v>
      </c>
      <c r="Y3071" s="81" t="e">
        <f>HLOOKUP(R3071,データについて!$J$12:$M$18,7,FALSE)</f>
        <v>#N/A</v>
      </c>
      <c r="Z3071" s="81" t="e">
        <f>HLOOKUP(I3071,データについて!$J$3:$M$18,16,FALSE)</f>
        <v>#N/A</v>
      </c>
      <c r="AA3071" s="81" t="str">
        <f>IFERROR(HLOOKUP(J3071,データについて!$J$4:$AH$19,16,FALSE),"")</f>
        <v/>
      </c>
      <c r="AB3071" s="81" t="str">
        <f>IFERROR(HLOOKUP(K3071,データについて!$J$5:$AH$20,14,FALSE),"")</f>
        <v/>
      </c>
      <c r="AC3071" s="81" t="e">
        <f>IF(X3071=1,HLOOKUP(R3071,データについて!$J$12:$M$18,7,FALSE),"*")</f>
        <v>#N/A</v>
      </c>
      <c r="AD3071" s="81" t="e">
        <f>IF(X3071=2,HLOOKUP(R3071,データについて!$J$12:$M$18,7,FALSE),"*")</f>
        <v>#N/A</v>
      </c>
    </row>
    <row r="3072" spans="19:30">
      <c r="S3072" s="81" t="e">
        <f>HLOOKUP(L3072,データについて!$J$6:$M$18,13,FALSE)</f>
        <v>#N/A</v>
      </c>
      <c r="T3072" s="81" t="e">
        <f>HLOOKUP(M3072,データについて!$J$7:$M$18,12,FALSE)</f>
        <v>#N/A</v>
      </c>
      <c r="U3072" s="81" t="e">
        <f>HLOOKUP(N3072,データについて!$J$8:$M$18,11,FALSE)</f>
        <v>#N/A</v>
      </c>
      <c r="V3072" s="81" t="e">
        <f>HLOOKUP(O3072,データについて!$J$9:$M$18,10,FALSE)</f>
        <v>#N/A</v>
      </c>
      <c r="W3072" s="81" t="e">
        <f>HLOOKUP(P3072,データについて!$J$10:$M$18,9,FALSE)</f>
        <v>#N/A</v>
      </c>
      <c r="X3072" s="81" t="e">
        <f>HLOOKUP(Q3072,データについて!$J$11:$M$18,8,FALSE)</f>
        <v>#N/A</v>
      </c>
      <c r="Y3072" s="81" t="e">
        <f>HLOOKUP(R3072,データについて!$J$12:$M$18,7,FALSE)</f>
        <v>#N/A</v>
      </c>
      <c r="Z3072" s="81" t="e">
        <f>HLOOKUP(I3072,データについて!$J$3:$M$18,16,FALSE)</f>
        <v>#N/A</v>
      </c>
      <c r="AA3072" s="81" t="str">
        <f>IFERROR(HLOOKUP(J3072,データについて!$J$4:$AH$19,16,FALSE),"")</f>
        <v/>
      </c>
      <c r="AB3072" s="81" t="str">
        <f>IFERROR(HLOOKUP(K3072,データについて!$J$5:$AH$20,14,FALSE),"")</f>
        <v/>
      </c>
      <c r="AC3072" s="81" t="e">
        <f>IF(X3072=1,HLOOKUP(R3072,データについて!$J$12:$M$18,7,FALSE),"*")</f>
        <v>#N/A</v>
      </c>
      <c r="AD3072" s="81" t="e">
        <f>IF(X3072=2,HLOOKUP(R3072,データについて!$J$12:$M$18,7,FALSE),"*")</f>
        <v>#N/A</v>
      </c>
    </row>
    <row r="3073" spans="19:30">
      <c r="S3073" s="81" t="e">
        <f>HLOOKUP(L3073,データについて!$J$6:$M$18,13,FALSE)</f>
        <v>#N/A</v>
      </c>
      <c r="T3073" s="81" t="e">
        <f>HLOOKUP(M3073,データについて!$J$7:$M$18,12,FALSE)</f>
        <v>#N/A</v>
      </c>
      <c r="U3073" s="81" t="e">
        <f>HLOOKUP(N3073,データについて!$J$8:$M$18,11,FALSE)</f>
        <v>#N/A</v>
      </c>
      <c r="V3073" s="81" t="e">
        <f>HLOOKUP(O3073,データについて!$J$9:$M$18,10,FALSE)</f>
        <v>#N/A</v>
      </c>
      <c r="W3073" s="81" t="e">
        <f>HLOOKUP(P3073,データについて!$J$10:$M$18,9,FALSE)</f>
        <v>#N/A</v>
      </c>
      <c r="X3073" s="81" t="e">
        <f>HLOOKUP(Q3073,データについて!$J$11:$M$18,8,FALSE)</f>
        <v>#N/A</v>
      </c>
      <c r="Y3073" s="81" t="e">
        <f>HLOOKUP(R3073,データについて!$J$12:$M$18,7,FALSE)</f>
        <v>#N/A</v>
      </c>
      <c r="Z3073" s="81" t="e">
        <f>HLOOKUP(I3073,データについて!$J$3:$M$18,16,FALSE)</f>
        <v>#N/A</v>
      </c>
      <c r="AA3073" s="81" t="str">
        <f>IFERROR(HLOOKUP(J3073,データについて!$J$4:$AH$19,16,FALSE),"")</f>
        <v/>
      </c>
      <c r="AB3073" s="81" t="str">
        <f>IFERROR(HLOOKUP(K3073,データについて!$J$5:$AH$20,14,FALSE),"")</f>
        <v/>
      </c>
      <c r="AC3073" s="81" t="e">
        <f>IF(X3073=1,HLOOKUP(R3073,データについて!$J$12:$M$18,7,FALSE),"*")</f>
        <v>#N/A</v>
      </c>
      <c r="AD3073" s="81" t="e">
        <f>IF(X3073=2,HLOOKUP(R3073,データについて!$J$12:$M$18,7,FALSE),"*")</f>
        <v>#N/A</v>
      </c>
    </row>
    <row r="3074" spans="19:30">
      <c r="S3074" s="81" t="e">
        <f>HLOOKUP(L3074,データについて!$J$6:$M$18,13,FALSE)</f>
        <v>#N/A</v>
      </c>
      <c r="T3074" s="81" t="e">
        <f>HLOOKUP(M3074,データについて!$J$7:$M$18,12,FALSE)</f>
        <v>#N/A</v>
      </c>
      <c r="U3074" s="81" t="e">
        <f>HLOOKUP(N3074,データについて!$J$8:$M$18,11,FALSE)</f>
        <v>#N/A</v>
      </c>
      <c r="V3074" s="81" t="e">
        <f>HLOOKUP(O3074,データについて!$J$9:$M$18,10,FALSE)</f>
        <v>#N/A</v>
      </c>
      <c r="W3074" s="81" t="e">
        <f>HLOOKUP(P3074,データについて!$J$10:$M$18,9,FALSE)</f>
        <v>#N/A</v>
      </c>
      <c r="X3074" s="81" t="e">
        <f>HLOOKUP(Q3074,データについて!$J$11:$M$18,8,FALSE)</f>
        <v>#N/A</v>
      </c>
      <c r="Y3074" s="81" t="e">
        <f>HLOOKUP(R3074,データについて!$J$12:$M$18,7,FALSE)</f>
        <v>#N/A</v>
      </c>
      <c r="Z3074" s="81" t="e">
        <f>HLOOKUP(I3074,データについて!$J$3:$M$18,16,FALSE)</f>
        <v>#N/A</v>
      </c>
      <c r="AA3074" s="81" t="str">
        <f>IFERROR(HLOOKUP(J3074,データについて!$J$4:$AH$19,16,FALSE),"")</f>
        <v/>
      </c>
      <c r="AB3074" s="81" t="str">
        <f>IFERROR(HLOOKUP(K3074,データについて!$J$5:$AH$20,14,FALSE),"")</f>
        <v/>
      </c>
      <c r="AC3074" s="81" t="e">
        <f>IF(X3074=1,HLOOKUP(R3074,データについて!$J$12:$M$18,7,FALSE),"*")</f>
        <v>#N/A</v>
      </c>
      <c r="AD3074" s="81" t="e">
        <f>IF(X3074=2,HLOOKUP(R3074,データについて!$J$12:$M$18,7,FALSE),"*")</f>
        <v>#N/A</v>
      </c>
    </row>
    <row r="3075" spans="19:30">
      <c r="S3075" s="81" t="e">
        <f>HLOOKUP(L3075,データについて!$J$6:$M$18,13,FALSE)</f>
        <v>#N/A</v>
      </c>
      <c r="T3075" s="81" t="e">
        <f>HLOOKUP(M3075,データについて!$J$7:$M$18,12,FALSE)</f>
        <v>#N/A</v>
      </c>
      <c r="U3075" s="81" t="e">
        <f>HLOOKUP(N3075,データについて!$J$8:$M$18,11,FALSE)</f>
        <v>#N/A</v>
      </c>
      <c r="V3075" s="81" t="e">
        <f>HLOOKUP(O3075,データについて!$J$9:$M$18,10,FALSE)</f>
        <v>#N/A</v>
      </c>
      <c r="W3075" s="81" t="e">
        <f>HLOOKUP(P3075,データについて!$J$10:$M$18,9,FALSE)</f>
        <v>#N/A</v>
      </c>
      <c r="X3075" s="81" t="e">
        <f>HLOOKUP(Q3075,データについて!$J$11:$M$18,8,FALSE)</f>
        <v>#N/A</v>
      </c>
      <c r="Y3075" s="81" t="e">
        <f>HLOOKUP(R3075,データについて!$J$12:$M$18,7,FALSE)</f>
        <v>#N/A</v>
      </c>
      <c r="Z3075" s="81" t="e">
        <f>HLOOKUP(I3075,データについて!$J$3:$M$18,16,FALSE)</f>
        <v>#N/A</v>
      </c>
      <c r="AA3075" s="81" t="str">
        <f>IFERROR(HLOOKUP(J3075,データについて!$J$4:$AH$19,16,FALSE),"")</f>
        <v/>
      </c>
      <c r="AB3075" s="81" t="str">
        <f>IFERROR(HLOOKUP(K3075,データについて!$J$5:$AH$20,14,FALSE),"")</f>
        <v/>
      </c>
      <c r="AC3075" s="81" t="e">
        <f>IF(X3075=1,HLOOKUP(R3075,データについて!$J$12:$M$18,7,FALSE),"*")</f>
        <v>#N/A</v>
      </c>
      <c r="AD3075" s="81" t="e">
        <f>IF(X3075=2,HLOOKUP(R3075,データについて!$J$12:$M$18,7,FALSE),"*")</f>
        <v>#N/A</v>
      </c>
    </row>
    <row r="3076" spans="19:30">
      <c r="S3076" s="81" t="e">
        <f>HLOOKUP(L3076,データについて!$J$6:$M$18,13,FALSE)</f>
        <v>#N/A</v>
      </c>
      <c r="T3076" s="81" t="e">
        <f>HLOOKUP(M3076,データについて!$J$7:$M$18,12,FALSE)</f>
        <v>#N/A</v>
      </c>
      <c r="U3076" s="81" t="e">
        <f>HLOOKUP(N3076,データについて!$J$8:$M$18,11,FALSE)</f>
        <v>#N/A</v>
      </c>
      <c r="V3076" s="81" t="e">
        <f>HLOOKUP(O3076,データについて!$J$9:$M$18,10,FALSE)</f>
        <v>#N/A</v>
      </c>
      <c r="W3076" s="81" t="e">
        <f>HLOOKUP(P3076,データについて!$J$10:$M$18,9,FALSE)</f>
        <v>#N/A</v>
      </c>
      <c r="X3076" s="81" t="e">
        <f>HLOOKUP(Q3076,データについて!$J$11:$M$18,8,FALSE)</f>
        <v>#N/A</v>
      </c>
      <c r="Y3076" s="81" t="e">
        <f>HLOOKUP(R3076,データについて!$J$12:$M$18,7,FALSE)</f>
        <v>#N/A</v>
      </c>
      <c r="Z3076" s="81" t="e">
        <f>HLOOKUP(I3076,データについて!$J$3:$M$18,16,FALSE)</f>
        <v>#N/A</v>
      </c>
      <c r="AA3076" s="81" t="str">
        <f>IFERROR(HLOOKUP(J3076,データについて!$J$4:$AH$19,16,FALSE),"")</f>
        <v/>
      </c>
      <c r="AB3076" s="81" t="str">
        <f>IFERROR(HLOOKUP(K3076,データについて!$J$5:$AH$20,14,FALSE),"")</f>
        <v/>
      </c>
      <c r="AC3076" s="81" t="e">
        <f>IF(X3076=1,HLOOKUP(R3076,データについて!$J$12:$M$18,7,FALSE),"*")</f>
        <v>#N/A</v>
      </c>
      <c r="AD3076" s="81" t="e">
        <f>IF(X3076=2,HLOOKUP(R3076,データについて!$J$12:$M$18,7,FALSE),"*")</f>
        <v>#N/A</v>
      </c>
    </row>
    <row r="3077" spans="19:30">
      <c r="S3077" s="81" t="e">
        <f>HLOOKUP(L3077,データについて!$J$6:$M$18,13,FALSE)</f>
        <v>#N/A</v>
      </c>
      <c r="T3077" s="81" t="e">
        <f>HLOOKUP(M3077,データについて!$J$7:$M$18,12,FALSE)</f>
        <v>#N/A</v>
      </c>
      <c r="U3077" s="81" t="e">
        <f>HLOOKUP(N3077,データについて!$J$8:$M$18,11,FALSE)</f>
        <v>#N/A</v>
      </c>
      <c r="V3077" s="81" t="e">
        <f>HLOOKUP(O3077,データについて!$J$9:$M$18,10,FALSE)</f>
        <v>#N/A</v>
      </c>
      <c r="W3077" s="81" t="e">
        <f>HLOOKUP(P3077,データについて!$J$10:$M$18,9,FALSE)</f>
        <v>#N/A</v>
      </c>
      <c r="X3077" s="81" t="e">
        <f>HLOOKUP(Q3077,データについて!$J$11:$M$18,8,FALSE)</f>
        <v>#N/A</v>
      </c>
      <c r="Y3077" s="81" t="e">
        <f>HLOOKUP(R3077,データについて!$J$12:$M$18,7,FALSE)</f>
        <v>#N/A</v>
      </c>
      <c r="Z3077" s="81" t="e">
        <f>HLOOKUP(I3077,データについて!$J$3:$M$18,16,FALSE)</f>
        <v>#N/A</v>
      </c>
      <c r="AA3077" s="81" t="str">
        <f>IFERROR(HLOOKUP(J3077,データについて!$J$4:$AH$19,16,FALSE),"")</f>
        <v/>
      </c>
      <c r="AB3077" s="81" t="str">
        <f>IFERROR(HLOOKUP(K3077,データについて!$J$5:$AH$20,14,FALSE),"")</f>
        <v/>
      </c>
      <c r="AC3077" s="81" t="e">
        <f>IF(X3077=1,HLOOKUP(R3077,データについて!$J$12:$M$18,7,FALSE),"*")</f>
        <v>#N/A</v>
      </c>
      <c r="AD3077" s="81" t="e">
        <f>IF(X3077=2,HLOOKUP(R3077,データについて!$J$12:$M$18,7,FALSE),"*")</f>
        <v>#N/A</v>
      </c>
    </row>
    <row r="3078" spans="19:30">
      <c r="S3078" s="81" t="e">
        <f>HLOOKUP(L3078,データについて!$J$6:$M$18,13,FALSE)</f>
        <v>#N/A</v>
      </c>
      <c r="T3078" s="81" t="e">
        <f>HLOOKUP(M3078,データについて!$J$7:$M$18,12,FALSE)</f>
        <v>#N/A</v>
      </c>
      <c r="U3078" s="81" t="e">
        <f>HLOOKUP(N3078,データについて!$J$8:$M$18,11,FALSE)</f>
        <v>#N/A</v>
      </c>
      <c r="V3078" s="81" t="e">
        <f>HLOOKUP(O3078,データについて!$J$9:$M$18,10,FALSE)</f>
        <v>#N/A</v>
      </c>
      <c r="W3078" s="81" t="e">
        <f>HLOOKUP(P3078,データについて!$J$10:$M$18,9,FALSE)</f>
        <v>#N/A</v>
      </c>
      <c r="X3078" s="81" t="e">
        <f>HLOOKUP(Q3078,データについて!$J$11:$M$18,8,FALSE)</f>
        <v>#N/A</v>
      </c>
      <c r="Y3078" s="81" t="e">
        <f>HLOOKUP(R3078,データについて!$J$12:$M$18,7,FALSE)</f>
        <v>#N/A</v>
      </c>
      <c r="Z3078" s="81" t="e">
        <f>HLOOKUP(I3078,データについて!$J$3:$M$18,16,FALSE)</f>
        <v>#N/A</v>
      </c>
      <c r="AA3078" s="81" t="str">
        <f>IFERROR(HLOOKUP(J3078,データについて!$J$4:$AH$19,16,FALSE),"")</f>
        <v/>
      </c>
      <c r="AB3078" s="81" t="str">
        <f>IFERROR(HLOOKUP(K3078,データについて!$J$5:$AH$20,14,FALSE),"")</f>
        <v/>
      </c>
      <c r="AC3078" s="81" t="e">
        <f>IF(X3078=1,HLOOKUP(R3078,データについて!$J$12:$M$18,7,FALSE),"*")</f>
        <v>#N/A</v>
      </c>
      <c r="AD3078" s="81" t="e">
        <f>IF(X3078=2,HLOOKUP(R3078,データについて!$J$12:$M$18,7,FALSE),"*")</f>
        <v>#N/A</v>
      </c>
    </row>
    <row r="3079" spans="19:30">
      <c r="S3079" s="81" t="e">
        <f>HLOOKUP(L3079,データについて!$J$6:$M$18,13,FALSE)</f>
        <v>#N/A</v>
      </c>
      <c r="T3079" s="81" t="e">
        <f>HLOOKUP(M3079,データについて!$J$7:$M$18,12,FALSE)</f>
        <v>#N/A</v>
      </c>
      <c r="U3079" s="81" t="e">
        <f>HLOOKUP(N3079,データについて!$J$8:$M$18,11,FALSE)</f>
        <v>#N/A</v>
      </c>
      <c r="V3079" s="81" t="e">
        <f>HLOOKUP(O3079,データについて!$J$9:$M$18,10,FALSE)</f>
        <v>#N/A</v>
      </c>
      <c r="W3079" s="81" t="e">
        <f>HLOOKUP(P3079,データについて!$J$10:$M$18,9,FALSE)</f>
        <v>#N/A</v>
      </c>
      <c r="X3079" s="81" t="e">
        <f>HLOOKUP(Q3079,データについて!$J$11:$M$18,8,FALSE)</f>
        <v>#N/A</v>
      </c>
      <c r="Y3079" s="81" t="e">
        <f>HLOOKUP(R3079,データについて!$J$12:$M$18,7,FALSE)</f>
        <v>#N/A</v>
      </c>
      <c r="Z3079" s="81" t="e">
        <f>HLOOKUP(I3079,データについて!$J$3:$M$18,16,FALSE)</f>
        <v>#N/A</v>
      </c>
      <c r="AA3079" s="81" t="str">
        <f>IFERROR(HLOOKUP(J3079,データについて!$J$4:$AH$19,16,FALSE),"")</f>
        <v/>
      </c>
      <c r="AB3079" s="81" t="str">
        <f>IFERROR(HLOOKUP(K3079,データについて!$J$5:$AH$20,14,FALSE),"")</f>
        <v/>
      </c>
      <c r="AC3079" s="81" t="e">
        <f>IF(X3079=1,HLOOKUP(R3079,データについて!$J$12:$M$18,7,FALSE),"*")</f>
        <v>#N/A</v>
      </c>
      <c r="AD3079" s="81" t="e">
        <f>IF(X3079=2,HLOOKUP(R3079,データについて!$J$12:$M$18,7,FALSE),"*")</f>
        <v>#N/A</v>
      </c>
    </row>
    <row r="3080" spans="19:30">
      <c r="S3080" s="81" t="e">
        <f>HLOOKUP(L3080,データについて!$J$6:$M$18,13,FALSE)</f>
        <v>#N/A</v>
      </c>
      <c r="T3080" s="81" t="e">
        <f>HLOOKUP(M3080,データについて!$J$7:$M$18,12,FALSE)</f>
        <v>#N/A</v>
      </c>
      <c r="U3080" s="81" t="e">
        <f>HLOOKUP(N3080,データについて!$J$8:$M$18,11,FALSE)</f>
        <v>#N/A</v>
      </c>
      <c r="V3080" s="81" t="e">
        <f>HLOOKUP(O3080,データについて!$J$9:$M$18,10,FALSE)</f>
        <v>#N/A</v>
      </c>
      <c r="W3080" s="81" t="e">
        <f>HLOOKUP(P3080,データについて!$J$10:$M$18,9,FALSE)</f>
        <v>#N/A</v>
      </c>
      <c r="X3080" s="81" t="e">
        <f>HLOOKUP(Q3080,データについて!$J$11:$M$18,8,FALSE)</f>
        <v>#N/A</v>
      </c>
      <c r="Y3080" s="81" t="e">
        <f>HLOOKUP(R3080,データについて!$J$12:$M$18,7,FALSE)</f>
        <v>#N/A</v>
      </c>
      <c r="Z3080" s="81" t="e">
        <f>HLOOKUP(I3080,データについて!$J$3:$M$18,16,FALSE)</f>
        <v>#N/A</v>
      </c>
      <c r="AA3080" s="81" t="str">
        <f>IFERROR(HLOOKUP(J3080,データについて!$J$4:$AH$19,16,FALSE),"")</f>
        <v/>
      </c>
      <c r="AB3080" s="81" t="str">
        <f>IFERROR(HLOOKUP(K3080,データについて!$J$5:$AH$20,14,FALSE),"")</f>
        <v/>
      </c>
      <c r="AC3080" s="81" t="e">
        <f>IF(X3080=1,HLOOKUP(R3080,データについて!$J$12:$M$18,7,FALSE),"*")</f>
        <v>#N/A</v>
      </c>
      <c r="AD3080" s="81" t="e">
        <f>IF(X3080=2,HLOOKUP(R3080,データについて!$J$12:$M$18,7,FALSE),"*")</f>
        <v>#N/A</v>
      </c>
    </row>
    <row r="3081" spans="19:30">
      <c r="S3081" s="81" t="e">
        <f>HLOOKUP(L3081,データについて!$J$6:$M$18,13,FALSE)</f>
        <v>#N/A</v>
      </c>
      <c r="T3081" s="81" t="e">
        <f>HLOOKUP(M3081,データについて!$J$7:$M$18,12,FALSE)</f>
        <v>#N/A</v>
      </c>
      <c r="U3081" s="81" t="e">
        <f>HLOOKUP(N3081,データについて!$J$8:$M$18,11,FALSE)</f>
        <v>#N/A</v>
      </c>
      <c r="V3081" s="81" t="e">
        <f>HLOOKUP(O3081,データについて!$J$9:$M$18,10,FALSE)</f>
        <v>#N/A</v>
      </c>
      <c r="W3081" s="81" t="e">
        <f>HLOOKUP(P3081,データについて!$J$10:$M$18,9,FALSE)</f>
        <v>#N/A</v>
      </c>
      <c r="X3081" s="81" t="e">
        <f>HLOOKUP(Q3081,データについて!$J$11:$M$18,8,FALSE)</f>
        <v>#N/A</v>
      </c>
      <c r="Y3081" s="81" t="e">
        <f>HLOOKUP(R3081,データについて!$J$12:$M$18,7,FALSE)</f>
        <v>#N/A</v>
      </c>
      <c r="Z3081" s="81" t="e">
        <f>HLOOKUP(I3081,データについて!$J$3:$M$18,16,FALSE)</f>
        <v>#N/A</v>
      </c>
      <c r="AA3081" s="81" t="str">
        <f>IFERROR(HLOOKUP(J3081,データについて!$J$4:$AH$19,16,FALSE),"")</f>
        <v/>
      </c>
      <c r="AB3081" s="81" t="str">
        <f>IFERROR(HLOOKUP(K3081,データについて!$J$5:$AH$20,14,FALSE),"")</f>
        <v/>
      </c>
      <c r="AC3081" s="81" t="e">
        <f>IF(X3081=1,HLOOKUP(R3081,データについて!$J$12:$M$18,7,FALSE),"*")</f>
        <v>#N/A</v>
      </c>
      <c r="AD3081" s="81" t="e">
        <f>IF(X3081=2,HLOOKUP(R3081,データについて!$J$12:$M$18,7,FALSE),"*")</f>
        <v>#N/A</v>
      </c>
    </row>
    <row r="3082" spans="19:30">
      <c r="S3082" s="81" t="e">
        <f>HLOOKUP(L3082,データについて!$J$6:$M$18,13,FALSE)</f>
        <v>#N/A</v>
      </c>
      <c r="T3082" s="81" t="e">
        <f>HLOOKUP(M3082,データについて!$J$7:$M$18,12,FALSE)</f>
        <v>#N/A</v>
      </c>
      <c r="U3082" s="81" t="e">
        <f>HLOOKUP(N3082,データについて!$J$8:$M$18,11,FALSE)</f>
        <v>#N/A</v>
      </c>
      <c r="V3082" s="81" t="e">
        <f>HLOOKUP(O3082,データについて!$J$9:$M$18,10,FALSE)</f>
        <v>#N/A</v>
      </c>
      <c r="W3082" s="81" t="e">
        <f>HLOOKUP(P3082,データについて!$J$10:$M$18,9,FALSE)</f>
        <v>#N/A</v>
      </c>
      <c r="X3082" s="81" t="e">
        <f>HLOOKUP(Q3082,データについて!$J$11:$M$18,8,FALSE)</f>
        <v>#N/A</v>
      </c>
      <c r="Y3082" s="81" t="e">
        <f>HLOOKUP(R3082,データについて!$J$12:$M$18,7,FALSE)</f>
        <v>#N/A</v>
      </c>
      <c r="Z3082" s="81" t="e">
        <f>HLOOKUP(I3082,データについて!$J$3:$M$18,16,FALSE)</f>
        <v>#N/A</v>
      </c>
      <c r="AA3082" s="81" t="str">
        <f>IFERROR(HLOOKUP(J3082,データについて!$J$4:$AH$19,16,FALSE),"")</f>
        <v/>
      </c>
      <c r="AB3082" s="81" t="str">
        <f>IFERROR(HLOOKUP(K3082,データについて!$J$5:$AH$20,14,FALSE),"")</f>
        <v/>
      </c>
      <c r="AC3082" s="81" t="e">
        <f>IF(X3082=1,HLOOKUP(R3082,データについて!$J$12:$M$18,7,FALSE),"*")</f>
        <v>#N/A</v>
      </c>
      <c r="AD3082" s="81" t="e">
        <f>IF(X3082=2,HLOOKUP(R3082,データについて!$J$12:$M$18,7,FALSE),"*")</f>
        <v>#N/A</v>
      </c>
    </row>
    <row r="3083" spans="19:30">
      <c r="S3083" s="81" t="e">
        <f>HLOOKUP(L3083,データについて!$J$6:$M$18,13,FALSE)</f>
        <v>#N/A</v>
      </c>
      <c r="T3083" s="81" t="e">
        <f>HLOOKUP(M3083,データについて!$J$7:$M$18,12,FALSE)</f>
        <v>#N/A</v>
      </c>
      <c r="U3083" s="81" t="e">
        <f>HLOOKUP(N3083,データについて!$J$8:$M$18,11,FALSE)</f>
        <v>#N/A</v>
      </c>
      <c r="V3083" s="81" t="e">
        <f>HLOOKUP(O3083,データについて!$J$9:$M$18,10,FALSE)</f>
        <v>#N/A</v>
      </c>
      <c r="W3083" s="81" t="e">
        <f>HLOOKUP(P3083,データについて!$J$10:$M$18,9,FALSE)</f>
        <v>#N/A</v>
      </c>
      <c r="X3083" s="81" t="e">
        <f>HLOOKUP(Q3083,データについて!$J$11:$M$18,8,FALSE)</f>
        <v>#N/A</v>
      </c>
      <c r="Y3083" s="81" t="e">
        <f>HLOOKUP(R3083,データについて!$J$12:$M$18,7,FALSE)</f>
        <v>#N/A</v>
      </c>
      <c r="Z3083" s="81" t="e">
        <f>HLOOKUP(I3083,データについて!$J$3:$M$18,16,FALSE)</f>
        <v>#N/A</v>
      </c>
      <c r="AA3083" s="81" t="str">
        <f>IFERROR(HLOOKUP(J3083,データについて!$J$4:$AH$19,16,FALSE),"")</f>
        <v/>
      </c>
      <c r="AB3083" s="81" t="str">
        <f>IFERROR(HLOOKUP(K3083,データについて!$J$5:$AH$20,14,FALSE),"")</f>
        <v/>
      </c>
      <c r="AC3083" s="81" t="e">
        <f>IF(X3083=1,HLOOKUP(R3083,データについて!$J$12:$M$18,7,FALSE),"*")</f>
        <v>#N/A</v>
      </c>
      <c r="AD3083" s="81" t="e">
        <f>IF(X3083=2,HLOOKUP(R3083,データについて!$J$12:$M$18,7,FALSE),"*")</f>
        <v>#N/A</v>
      </c>
    </row>
    <row r="3084" spans="19:30">
      <c r="S3084" s="81" t="e">
        <f>HLOOKUP(L3084,データについて!$J$6:$M$18,13,FALSE)</f>
        <v>#N/A</v>
      </c>
      <c r="T3084" s="81" t="e">
        <f>HLOOKUP(M3084,データについて!$J$7:$M$18,12,FALSE)</f>
        <v>#N/A</v>
      </c>
      <c r="U3084" s="81" t="e">
        <f>HLOOKUP(N3084,データについて!$J$8:$M$18,11,FALSE)</f>
        <v>#N/A</v>
      </c>
      <c r="V3084" s="81" t="e">
        <f>HLOOKUP(O3084,データについて!$J$9:$M$18,10,FALSE)</f>
        <v>#N/A</v>
      </c>
      <c r="W3084" s="81" t="e">
        <f>HLOOKUP(P3084,データについて!$J$10:$M$18,9,FALSE)</f>
        <v>#N/A</v>
      </c>
      <c r="X3084" s="81" t="e">
        <f>HLOOKUP(Q3084,データについて!$J$11:$M$18,8,FALSE)</f>
        <v>#N/A</v>
      </c>
      <c r="Y3084" s="81" t="e">
        <f>HLOOKUP(R3084,データについて!$J$12:$M$18,7,FALSE)</f>
        <v>#N/A</v>
      </c>
      <c r="Z3084" s="81" t="e">
        <f>HLOOKUP(I3084,データについて!$J$3:$M$18,16,FALSE)</f>
        <v>#N/A</v>
      </c>
      <c r="AA3084" s="81" t="str">
        <f>IFERROR(HLOOKUP(J3084,データについて!$J$4:$AH$19,16,FALSE),"")</f>
        <v/>
      </c>
      <c r="AB3084" s="81" t="str">
        <f>IFERROR(HLOOKUP(K3084,データについて!$J$5:$AH$20,14,FALSE),"")</f>
        <v/>
      </c>
      <c r="AC3084" s="81" t="e">
        <f>IF(X3084=1,HLOOKUP(R3084,データについて!$J$12:$M$18,7,FALSE),"*")</f>
        <v>#N/A</v>
      </c>
      <c r="AD3084" s="81" t="e">
        <f>IF(X3084=2,HLOOKUP(R3084,データについて!$J$12:$M$18,7,FALSE),"*")</f>
        <v>#N/A</v>
      </c>
    </row>
    <row r="3085" spans="19:30">
      <c r="S3085" s="81" t="e">
        <f>HLOOKUP(L3085,データについて!$J$6:$M$18,13,FALSE)</f>
        <v>#N/A</v>
      </c>
      <c r="T3085" s="81" t="e">
        <f>HLOOKUP(M3085,データについて!$J$7:$M$18,12,FALSE)</f>
        <v>#N/A</v>
      </c>
      <c r="U3085" s="81" t="e">
        <f>HLOOKUP(N3085,データについて!$J$8:$M$18,11,FALSE)</f>
        <v>#N/A</v>
      </c>
      <c r="V3085" s="81" t="e">
        <f>HLOOKUP(O3085,データについて!$J$9:$M$18,10,FALSE)</f>
        <v>#N/A</v>
      </c>
      <c r="W3085" s="81" t="e">
        <f>HLOOKUP(P3085,データについて!$J$10:$M$18,9,FALSE)</f>
        <v>#N/A</v>
      </c>
      <c r="X3085" s="81" t="e">
        <f>HLOOKUP(Q3085,データについて!$J$11:$M$18,8,FALSE)</f>
        <v>#N/A</v>
      </c>
      <c r="Y3085" s="81" t="e">
        <f>HLOOKUP(R3085,データについて!$J$12:$M$18,7,FALSE)</f>
        <v>#N/A</v>
      </c>
      <c r="Z3085" s="81" t="e">
        <f>HLOOKUP(I3085,データについて!$J$3:$M$18,16,FALSE)</f>
        <v>#N/A</v>
      </c>
      <c r="AA3085" s="81" t="str">
        <f>IFERROR(HLOOKUP(J3085,データについて!$J$4:$AH$19,16,FALSE),"")</f>
        <v/>
      </c>
      <c r="AB3085" s="81" t="str">
        <f>IFERROR(HLOOKUP(K3085,データについて!$J$5:$AH$20,14,FALSE),"")</f>
        <v/>
      </c>
      <c r="AC3085" s="81" t="e">
        <f>IF(X3085=1,HLOOKUP(R3085,データについて!$J$12:$M$18,7,FALSE),"*")</f>
        <v>#N/A</v>
      </c>
      <c r="AD3085" s="81" t="e">
        <f>IF(X3085=2,HLOOKUP(R3085,データについて!$J$12:$M$18,7,FALSE),"*")</f>
        <v>#N/A</v>
      </c>
    </row>
    <row r="3086" spans="19:30">
      <c r="S3086" s="81" t="e">
        <f>HLOOKUP(L3086,データについて!$J$6:$M$18,13,FALSE)</f>
        <v>#N/A</v>
      </c>
      <c r="T3086" s="81" t="e">
        <f>HLOOKUP(M3086,データについて!$J$7:$M$18,12,FALSE)</f>
        <v>#N/A</v>
      </c>
      <c r="U3086" s="81" t="e">
        <f>HLOOKUP(N3086,データについて!$J$8:$M$18,11,FALSE)</f>
        <v>#N/A</v>
      </c>
      <c r="V3086" s="81" t="e">
        <f>HLOOKUP(O3086,データについて!$J$9:$M$18,10,FALSE)</f>
        <v>#N/A</v>
      </c>
      <c r="W3086" s="81" t="e">
        <f>HLOOKUP(P3086,データについて!$J$10:$M$18,9,FALSE)</f>
        <v>#N/A</v>
      </c>
      <c r="X3086" s="81" t="e">
        <f>HLOOKUP(Q3086,データについて!$J$11:$M$18,8,FALSE)</f>
        <v>#N/A</v>
      </c>
      <c r="Y3086" s="81" t="e">
        <f>HLOOKUP(R3086,データについて!$J$12:$M$18,7,FALSE)</f>
        <v>#N/A</v>
      </c>
      <c r="Z3086" s="81" t="e">
        <f>HLOOKUP(I3086,データについて!$J$3:$M$18,16,FALSE)</f>
        <v>#N/A</v>
      </c>
      <c r="AA3086" s="81" t="str">
        <f>IFERROR(HLOOKUP(J3086,データについて!$J$4:$AH$19,16,FALSE),"")</f>
        <v/>
      </c>
      <c r="AB3086" s="81" t="str">
        <f>IFERROR(HLOOKUP(K3086,データについて!$J$5:$AH$20,14,FALSE),"")</f>
        <v/>
      </c>
      <c r="AC3086" s="81" t="e">
        <f>IF(X3086=1,HLOOKUP(R3086,データについて!$J$12:$M$18,7,FALSE),"*")</f>
        <v>#N/A</v>
      </c>
      <c r="AD3086" s="81" t="e">
        <f>IF(X3086=2,HLOOKUP(R3086,データについて!$J$12:$M$18,7,FALSE),"*")</f>
        <v>#N/A</v>
      </c>
    </row>
    <row r="3087" spans="19:30">
      <c r="S3087" s="81" t="e">
        <f>HLOOKUP(L3087,データについて!$J$6:$M$18,13,FALSE)</f>
        <v>#N/A</v>
      </c>
      <c r="T3087" s="81" t="e">
        <f>HLOOKUP(M3087,データについて!$J$7:$M$18,12,FALSE)</f>
        <v>#N/A</v>
      </c>
      <c r="U3087" s="81" t="e">
        <f>HLOOKUP(N3087,データについて!$J$8:$M$18,11,FALSE)</f>
        <v>#N/A</v>
      </c>
      <c r="V3087" s="81" t="e">
        <f>HLOOKUP(O3087,データについて!$J$9:$M$18,10,FALSE)</f>
        <v>#N/A</v>
      </c>
      <c r="W3087" s="81" t="e">
        <f>HLOOKUP(P3087,データについて!$J$10:$M$18,9,FALSE)</f>
        <v>#N/A</v>
      </c>
      <c r="X3087" s="81" t="e">
        <f>HLOOKUP(Q3087,データについて!$J$11:$M$18,8,FALSE)</f>
        <v>#N/A</v>
      </c>
      <c r="Y3087" s="81" t="e">
        <f>HLOOKUP(R3087,データについて!$J$12:$M$18,7,FALSE)</f>
        <v>#N/A</v>
      </c>
      <c r="Z3087" s="81" t="e">
        <f>HLOOKUP(I3087,データについて!$J$3:$M$18,16,FALSE)</f>
        <v>#N/A</v>
      </c>
      <c r="AA3087" s="81" t="str">
        <f>IFERROR(HLOOKUP(J3087,データについて!$J$4:$AH$19,16,FALSE),"")</f>
        <v/>
      </c>
      <c r="AB3087" s="81" t="str">
        <f>IFERROR(HLOOKUP(K3087,データについて!$J$5:$AH$20,14,FALSE),"")</f>
        <v/>
      </c>
      <c r="AC3087" s="81" t="e">
        <f>IF(X3087=1,HLOOKUP(R3087,データについて!$J$12:$M$18,7,FALSE),"*")</f>
        <v>#N/A</v>
      </c>
      <c r="AD3087" s="81" t="e">
        <f>IF(X3087=2,HLOOKUP(R3087,データについて!$J$12:$M$18,7,FALSE),"*")</f>
        <v>#N/A</v>
      </c>
    </row>
    <row r="3088" spans="19:30">
      <c r="S3088" s="81" t="e">
        <f>HLOOKUP(L3088,データについて!$J$6:$M$18,13,FALSE)</f>
        <v>#N/A</v>
      </c>
      <c r="T3088" s="81" t="e">
        <f>HLOOKUP(M3088,データについて!$J$7:$M$18,12,FALSE)</f>
        <v>#N/A</v>
      </c>
      <c r="U3088" s="81" t="e">
        <f>HLOOKUP(N3088,データについて!$J$8:$M$18,11,FALSE)</f>
        <v>#N/A</v>
      </c>
      <c r="V3088" s="81" t="e">
        <f>HLOOKUP(O3088,データについて!$J$9:$M$18,10,FALSE)</f>
        <v>#N/A</v>
      </c>
      <c r="W3088" s="81" t="e">
        <f>HLOOKUP(P3088,データについて!$J$10:$M$18,9,FALSE)</f>
        <v>#N/A</v>
      </c>
      <c r="X3088" s="81" t="e">
        <f>HLOOKUP(Q3088,データについて!$J$11:$M$18,8,FALSE)</f>
        <v>#N/A</v>
      </c>
      <c r="Y3088" s="81" t="e">
        <f>HLOOKUP(R3088,データについて!$J$12:$M$18,7,FALSE)</f>
        <v>#N/A</v>
      </c>
      <c r="Z3088" s="81" t="e">
        <f>HLOOKUP(I3088,データについて!$J$3:$M$18,16,FALSE)</f>
        <v>#N/A</v>
      </c>
      <c r="AA3088" s="81" t="str">
        <f>IFERROR(HLOOKUP(J3088,データについて!$J$4:$AH$19,16,FALSE),"")</f>
        <v/>
      </c>
      <c r="AB3088" s="81" t="str">
        <f>IFERROR(HLOOKUP(K3088,データについて!$J$5:$AH$20,14,FALSE),"")</f>
        <v/>
      </c>
      <c r="AC3088" s="81" t="e">
        <f>IF(X3088=1,HLOOKUP(R3088,データについて!$J$12:$M$18,7,FALSE),"*")</f>
        <v>#N/A</v>
      </c>
      <c r="AD3088" s="81" t="e">
        <f>IF(X3088=2,HLOOKUP(R3088,データについて!$J$12:$M$18,7,FALSE),"*")</f>
        <v>#N/A</v>
      </c>
    </row>
    <row r="3089" spans="19:30">
      <c r="S3089" s="81" t="e">
        <f>HLOOKUP(L3089,データについて!$J$6:$M$18,13,FALSE)</f>
        <v>#N/A</v>
      </c>
      <c r="T3089" s="81" t="e">
        <f>HLOOKUP(M3089,データについて!$J$7:$M$18,12,FALSE)</f>
        <v>#N/A</v>
      </c>
      <c r="U3089" s="81" t="e">
        <f>HLOOKUP(N3089,データについて!$J$8:$M$18,11,FALSE)</f>
        <v>#N/A</v>
      </c>
      <c r="V3089" s="81" t="e">
        <f>HLOOKUP(O3089,データについて!$J$9:$M$18,10,FALSE)</f>
        <v>#N/A</v>
      </c>
      <c r="W3089" s="81" t="e">
        <f>HLOOKUP(P3089,データについて!$J$10:$M$18,9,FALSE)</f>
        <v>#N/A</v>
      </c>
      <c r="X3089" s="81" t="e">
        <f>HLOOKUP(Q3089,データについて!$J$11:$M$18,8,FALSE)</f>
        <v>#N/A</v>
      </c>
      <c r="Y3089" s="81" t="e">
        <f>HLOOKUP(R3089,データについて!$J$12:$M$18,7,FALSE)</f>
        <v>#N/A</v>
      </c>
      <c r="Z3089" s="81" t="e">
        <f>HLOOKUP(I3089,データについて!$J$3:$M$18,16,FALSE)</f>
        <v>#N/A</v>
      </c>
      <c r="AA3089" s="81" t="str">
        <f>IFERROR(HLOOKUP(J3089,データについて!$J$4:$AH$19,16,FALSE),"")</f>
        <v/>
      </c>
      <c r="AB3089" s="81" t="str">
        <f>IFERROR(HLOOKUP(K3089,データについて!$J$5:$AH$20,14,FALSE),"")</f>
        <v/>
      </c>
      <c r="AC3089" s="81" t="e">
        <f>IF(X3089=1,HLOOKUP(R3089,データについて!$J$12:$M$18,7,FALSE),"*")</f>
        <v>#N/A</v>
      </c>
      <c r="AD3089" s="81" t="e">
        <f>IF(X3089=2,HLOOKUP(R3089,データについて!$J$12:$M$18,7,FALSE),"*")</f>
        <v>#N/A</v>
      </c>
    </row>
    <row r="3090" spans="19:30">
      <c r="S3090" s="81" t="e">
        <f>HLOOKUP(L3090,データについて!$J$6:$M$18,13,FALSE)</f>
        <v>#N/A</v>
      </c>
      <c r="T3090" s="81" t="e">
        <f>HLOOKUP(M3090,データについて!$J$7:$M$18,12,FALSE)</f>
        <v>#N/A</v>
      </c>
      <c r="U3090" s="81" t="e">
        <f>HLOOKUP(N3090,データについて!$J$8:$M$18,11,FALSE)</f>
        <v>#N/A</v>
      </c>
      <c r="V3090" s="81" t="e">
        <f>HLOOKUP(O3090,データについて!$J$9:$M$18,10,FALSE)</f>
        <v>#N/A</v>
      </c>
      <c r="W3090" s="81" t="e">
        <f>HLOOKUP(P3090,データについて!$J$10:$M$18,9,FALSE)</f>
        <v>#N/A</v>
      </c>
      <c r="X3090" s="81" t="e">
        <f>HLOOKUP(Q3090,データについて!$J$11:$M$18,8,FALSE)</f>
        <v>#N/A</v>
      </c>
      <c r="Y3090" s="81" t="e">
        <f>HLOOKUP(R3090,データについて!$J$12:$M$18,7,FALSE)</f>
        <v>#N/A</v>
      </c>
      <c r="Z3090" s="81" t="e">
        <f>HLOOKUP(I3090,データについて!$J$3:$M$18,16,FALSE)</f>
        <v>#N/A</v>
      </c>
      <c r="AA3090" s="81" t="str">
        <f>IFERROR(HLOOKUP(J3090,データについて!$J$4:$AH$19,16,FALSE),"")</f>
        <v/>
      </c>
      <c r="AB3090" s="81" t="str">
        <f>IFERROR(HLOOKUP(K3090,データについて!$J$5:$AH$20,14,FALSE),"")</f>
        <v/>
      </c>
      <c r="AC3090" s="81" t="e">
        <f>IF(X3090=1,HLOOKUP(R3090,データについて!$J$12:$M$18,7,FALSE),"*")</f>
        <v>#N/A</v>
      </c>
      <c r="AD3090" s="81" t="e">
        <f>IF(X3090=2,HLOOKUP(R3090,データについて!$J$12:$M$18,7,FALSE),"*")</f>
        <v>#N/A</v>
      </c>
    </row>
    <row r="3091" spans="19:30">
      <c r="S3091" s="81" t="e">
        <f>HLOOKUP(L3091,データについて!$J$6:$M$18,13,FALSE)</f>
        <v>#N/A</v>
      </c>
      <c r="T3091" s="81" t="e">
        <f>HLOOKUP(M3091,データについて!$J$7:$M$18,12,FALSE)</f>
        <v>#N/A</v>
      </c>
      <c r="U3091" s="81" t="e">
        <f>HLOOKUP(N3091,データについて!$J$8:$M$18,11,FALSE)</f>
        <v>#N/A</v>
      </c>
      <c r="V3091" s="81" t="e">
        <f>HLOOKUP(O3091,データについて!$J$9:$M$18,10,FALSE)</f>
        <v>#N/A</v>
      </c>
      <c r="W3091" s="81" t="e">
        <f>HLOOKUP(P3091,データについて!$J$10:$M$18,9,FALSE)</f>
        <v>#N/A</v>
      </c>
      <c r="X3091" s="81" t="e">
        <f>HLOOKUP(Q3091,データについて!$J$11:$M$18,8,FALSE)</f>
        <v>#N/A</v>
      </c>
      <c r="Y3091" s="81" t="e">
        <f>HLOOKUP(R3091,データについて!$J$12:$M$18,7,FALSE)</f>
        <v>#N/A</v>
      </c>
      <c r="Z3091" s="81" t="e">
        <f>HLOOKUP(I3091,データについて!$J$3:$M$18,16,FALSE)</f>
        <v>#N/A</v>
      </c>
      <c r="AA3091" s="81" t="str">
        <f>IFERROR(HLOOKUP(J3091,データについて!$J$4:$AH$19,16,FALSE),"")</f>
        <v/>
      </c>
      <c r="AB3091" s="81" t="str">
        <f>IFERROR(HLOOKUP(K3091,データについて!$J$5:$AH$20,14,FALSE),"")</f>
        <v/>
      </c>
      <c r="AC3091" s="81" t="e">
        <f>IF(X3091=1,HLOOKUP(R3091,データについて!$J$12:$M$18,7,FALSE),"*")</f>
        <v>#N/A</v>
      </c>
      <c r="AD3091" s="81" t="e">
        <f>IF(X3091=2,HLOOKUP(R3091,データについて!$J$12:$M$18,7,FALSE),"*")</f>
        <v>#N/A</v>
      </c>
    </row>
    <row r="3092" spans="19:30">
      <c r="S3092" s="81" t="e">
        <f>HLOOKUP(L3092,データについて!$J$6:$M$18,13,FALSE)</f>
        <v>#N/A</v>
      </c>
      <c r="T3092" s="81" t="e">
        <f>HLOOKUP(M3092,データについて!$J$7:$M$18,12,FALSE)</f>
        <v>#N/A</v>
      </c>
      <c r="U3092" s="81" t="e">
        <f>HLOOKUP(N3092,データについて!$J$8:$M$18,11,FALSE)</f>
        <v>#N/A</v>
      </c>
      <c r="V3092" s="81" t="e">
        <f>HLOOKUP(O3092,データについて!$J$9:$M$18,10,FALSE)</f>
        <v>#N/A</v>
      </c>
      <c r="W3092" s="81" t="e">
        <f>HLOOKUP(P3092,データについて!$J$10:$M$18,9,FALSE)</f>
        <v>#N/A</v>
      </c>
      <c r="X3092" s="81" t="e">
        <f>HLOOKUP(Q3092,データについて!$J$11:$M$18,8,FALSE)</f>
        <v>#N/A</v>
      </c>
      <c r="Y3092" s="81" t="e">
        <f>HLOOKUP(R3092,データについて!$J$12:$M$18,7,FALSE)</f>
        <v>#N/A</v>
      </c>
      <c r="Z3092" s="81" t="e">
        <f>HLOOKUP(I3092,データについて!$J$3:$M$18,16,FALSE)</f>
        <v>#N/A</v>
      </c>
      <c r="AA3092" s="81" t="str">
        <f>IFERROR(HLOOKUP(J3092,データについて!$J$4:$AH$19,16,FALSE),"")</f>
        <v/>
      </c>
      <c r="AB3092" s="81" t="str">
        <f>IFERROR(HLOOKUP(K3092,データについて!$J$5:$AH$20,14,FALSE),"")</f>
        <v/>
      </c>
      <c r="AC3092" s="81" t="e">
        <f>IF(X3092=1,HLOOKUP(R3092,データについて!$J$12:$M$18,7,FALSE),"*")</f>
        <v>#N/A</v>
      </c>
      <c r="AD3092" s="81" t="e">
        <f>IF(X3092=2,HLOOKUP(R3092,データについて!$J$12:$M$18,7,FALSE),"*")</f>
        <v>#N/A</v>
      </c>
    </row>
    <row r="3093" spans="19:30">
      <c r="S3093" s="81" t="e">
        <f>HLOOKUP(L3093,データについて!$J$6:$M$18,13,FALSE)</f>
        <v>#N/A</v>
      </c>
      <c r="T3093" s="81" t="e">
        <f>HLOOKUP(M3093,データについて!$J$7:$M$18,12,FALSE)</f>
        <v>#N/A</v>
      </c>
      <c r="U3093" s="81" t="e">
        <f>HLOOKUP(N3093,データについて!$J$8:$M$18,11,FALSE)</f>
        <v>#N/A</v>
      </c>
      <c r="V3093" s="81" t="e">
        <f>HLOOKUP(O3093,データについて!$J$9:$M$18,10,FALSE)</f>
        <v>#N/A</v>
      </c>
      <c r="W3093" s="81" t="e">
        <f>HLOOKUP(P3093,データについて!$J$10:$M$18,9,FALSE)</f>
        <v>#N/A</v>
      </c>
      <c r="X3093" s="81" t="e">
        <f>HLOOKUP(Q3093,データについて!$J$11:$M$18,8,FALSE)</f>
        <v>#N/A</v>
      </c>
      <c r="Y3093" s="81" t="e">
        <f>HLOOKUP(R3093,データについて!$J$12:$M$18,7,FALSE)</f>
        <v>#N/A</v>
      </c>
      <c r="Z3093" s="81" t="e">
        <f>HLOOKUP(I3093,データについて!$J$3:$M$18,16,FALSE)</f>
        <v>#N/A</v>
      </c>
      <c r="AA3093" s="81" t="str">
        <f>IFERROR(HLOOKUP(J3093,データについて!$J$4:$AH$19,16,FALSE),"")</f>
        <v/>
      </c>
      <c r="AB3093" s="81" t="str">
        <f>IFERROR(HLOOKUP(K3093,データについて!$J$5:$AH$20,14,FALSE),"")</f>
        <v/>
      </c>
      <c r="AC3093" s="81" t="e">
        <f>IF(X3093=1,HLOOKUP(R3093,データについて!$J$12:$M$18,7,FALSE),"*")</f>
        <v>#N/A</v>
      </c>
      <c r="AD3093" s="81" t="e">
        <f>IF(X3093=2,HLOOKUP(R3093,データについて!$J$12:$M$18,7,FALSE),"*")</f>
        <v>#N/A</v>
      </c>
    </row>
    <row r="3094" spans="19:30">
      <c r="S3094" s="81" t="e">
        <f>HLOOKUP(L3094,データについて!$J$6:$M$18,13,FALSE)</f>
        <v>#N/A</v>
      </c>
      <c r="T3094" s="81" t="e">
        <f>HLOOKUP(M3094,データについて!$J$7:$M$18,12,FALSE)</f>
        <v>#N/A</v>
      </c>
      <c r="U3094" s="81" t="e">
        <f>HLOOKUP(N3094,データについて!$J$8:$M$18,11,FALSE)</f>
        <v>#N/A</v>
      </c>
      <c r="V3094" s="81" t="e">
        <f>HLOOKUP(O3094,データについて!$J$9:$M$18,10,FALSE)</f>
        <v>#N/A</v>
      </c>
      <c r="W3094" s="81" t="e">
        <f>HLOOKUP(P3094,データについて!$J$10:$M$18,9,FALSE)</f>
        <v>#N/A</v>
      </c>
      <c r="X3094" s="81" t="e">
        <f>HLOOKUP(Q3094,データについて!$J$11:$M$18,8,FALSE)</f>
        <v>#N/A</v>
      </c>
      <c r="Y3094" s="81" t="e">
        <f>HLOOKUP(R3094,データについて!$J$12:$M$18,7,FALSE)</f>
        <v>#N/A</v>
      </c>
      <c r="Z3094" s="81" t="e">
        <f>HLOOKUP(I3094,データについて!$J$3:$M$18,16,FALSE)</f>
        <v>#N/A</v>
      </c>
      <c r="AA3094" s="81" t="str">
        <f>IFERROR(HLOOKUP(J3094,データについて!$J$4:$AH$19,16,FALSE),"")</f>
        <v/>
      </c>
      <c r="AB3094" s="81" t="str">
        <f>IFERROR(HLOOKUP(K3094,データについて!$J$5:$AH$20,14,FALSE),"")</f>
        <v/>
      </c>
      <c r="AC3094" s="81" t="e">
        <f>IF(X3094=1,HLOOKUP(R3094,データについて!$J$12:$M$18,7,FALSE),"*")</f>
        <v>#N/A</v>
      </c>
      <c r="AD3094" s="81" t="e">
        <f>IF(X3094=2,HLOOKUP(R3094,データについて!$J$12:$M$18,7,FALSE),"*")</f>
        <v>#N/A</v>
      </c>
    </row>
    <row r="3095" spans="19:30">
      <c r="S3095" s="81" t="e">
        <f>HLOOKUP(L3095,データについて!$J$6:$M$18,13,FALSE)</f>
        <v>#N/A</v>
      </c>
      <c r="T3095" s="81" t="e">
        <f>HLOOKUP(M3095,データについて!$J$7:$M$18,12,FALSE)</f>
        <v>#N/A</v>
      </c>
      <c r="U3095" s="81" t="e">
        <f>HLOOKUP(N3095,データについて!$J$8:$M$18,11,FALSE)</f>
        <v>#N/A</v>
      </c>
      <c r="V3095" s="81" t="e">
        <f>HLOOKUP(O3095,データについて!$J$9:$M$18,10,FALSE)</f>
        <v>#N/A</v>
      </c>
      <c r="W3095" s="81" t="e">
        <f>HLOOKUP(P3095,データについて!$J$10:$M$18,9,FALSE)</f>
        <v>#N/A</v>
      </c>
      <c r="X3095" s="81" t="e">
        <f>HLOOKUP(Q3095,データについて!$J$11:$M$18,8,FALSE)</f>
        <v>#N/A</v>
      </c>
      <c r="Y3095" s="81" t="e">
        <f>HLOOKUP(R3095,データについて!$J$12:$M$18,7,FALSE)</f>
        <v>#N/A</v>
      </c>
      <c r="Z3095" s="81" t="e">
        <f>HLOOKUP(I3095,データについて!$J$3:$M$18,16,FALSE)</f>
        <v>#N/A</v>
      </c>
      <c r="AA3095" s="81" t="str">
        <f>IFERROR(HLOOKUP(J3095,データについて!$J$4:$AH$19,16,FALSE),"")</f>
        <v/>
      </c>
      <c r="AB3095" s="81" t="str">
        <f>IFERROR(HLOOKUP(K3095,データについて!$J$5:$AH$20,14,FALSE),"")</f>
        <v/>
      </c>
      <c r="AC3095" s="81" t="e">
        <f>IF(X3095=1,HLOOKUP(R3095,データについて!$J$12:$M$18,7,FALSE),"*")</f>
        <v>#N/A</v>
      </c>
      <c r="AD3095" s="81" t="e">
        <f>IF(X3095=2,HLOOKUP(R3095,データについて!$J$12:$M$18,7,FALSE),"*")</f>
        <v>#N/A</v>
      </c>
    </row>
    <row r="3096" spans="19:30">
      <c r="S3096" s="81" t="e">
        <f>HLOOKUP(L3096,データについて!$J$6:$M$18,13,FALSE)</f>
        <v>#N/A</v>
      </c>
      <c r="T3096" s="81" t="e">
        <f>HLOOKUP(M3096,データについて!$J$7:$M$18,12,FALSE)</f>
        <v>#N/A</v>
      </c>
      <c r="U3096" s="81" t="e">
        <f>HLOOKUP(N3096,データについて!$J$8:$M$18,11,FALSE)</f>
        <v>#N/A</v>
      </c>
      <c r="V3096" s="81" t="e">
        <f>HLOOKUP(O3096,データについて!$J$9:$M$18,10,FALSE)</f>
        <v>#N/A</v>
      </c>
      <c r="W3096" s="81" t="e">
        <f>HLOOKUP(P3096,データについて!$J$10:$M$18,9,FALSE)</f>
        <v>#N/A</v>
      </c>
      <c r="X3096" s="81" t="e">
        <f>HLOOKUP(Q3096,データについて!$J$11:$M$18,8,FALSE)</f>
        <v>#N/A</v>
      </c>
      <c r="Y3096" s="81" t="e">
        <f>HLOOKUP(R3096,データについて!$J$12:$M$18,7,FALSE)</f>
        <v>#N/A</v>
      </c>
      <c r="Z3096" s="81" t="e">
        <f>HLOOKUP(I3096,データについて!$J$3:$M$18,16,FALSE)</f>
        <v>#N/A</v>
      </c>
      <c r="AA3096" s="81" t="str">
        <f>IFERROR(HLOOKUP(J3096,データについて!$J$4:$AH$19,16,FALSE),"")</f>
        <v/>
      </c>
      <c r="AB3096" s="81" t="str">
        <f>IFERROR(HLOOKUP(K3096,データについて!$J$5:$AH$20,14,FALSE),"")</f>
        <v/>
      </c>
      <c r="AC3096" s="81" t="e">
        <f>IF(X3096=1,HLOOKUP(R3096,データについて!$J$12:$M$18,7,FALSE),"*")</f>
        <v>#N/A</v>
      </c>
      <c r="AD3096" s="81" t="e">
        <f>IF(X3096=2,HLOOKUP(R3096,データについて!$J$12:$M$18,7,FALSE),"*")</f>
        <v>#N/A</v>
      </c>
    </row>
    <row r="3097" spans="19:30">
      <c r="S3097" s="81" t="e">
        <f>HLOOKUP(L3097,データについて!$J$6:$M$18,13,FALSE)</f>
        <v>#N/A</v>
      </c>
      <c r="T3097" s="81" t="e">
        <f>HLOOKUP(M3097,データについて!$J$7:$M$18,12,FALSE)</f>
        <v>#N/A</v>
      </c>
      <c r="U3097" s="81" t="e">
        <f>HLOOKUP(N3097,データについて!$J$8:$M$18,11,FALSE)</f>
        <v>#N/A</v>
      </c>
      <c r="V3097" s="81" t="e">
        <f>HLOOKUP(O3097,データについて!$J$9:$M$18,10,FALSE)</f>
        <v>#N/A</v>
      </c>
      <c r="W3097" s="81" t="e">
        <f>HLOOKUP(P3097,データについて!$J$10:$M$18,9,FALSE)</f>
        <v>#N/A</v>
      </c>
      <c r="X3097" s="81" t="e">
        <f>HLOOKUP(Q3097,データについて!$J$11:$M$18,8,FALSE)</f>
        <v>#N/A</v>
      </c>
      <c r="Y3097" s="81" t="e">
        <f>HLOOKUP(R3097,データについて!$J$12:$M$18,7,FALSE)</f>
        <v>#N/A</v>
      </c>
      <c r="Z3097" s="81" t="e">
        <f>HLOOKUP(I3097,データについて!$J$3:$M$18,16,FALSE)</f>
        <v>#N/A</v>
      </c>
      <c r="AA3097" s="81" t="str">
        <f>IFERROR(HLOOKUP(J3097,データについて!$J$4:$AH$19,16,FALSE),"")</f>
        <v/>
      </c>
      <c r="AB3097" s="81" t="str">
        <f>IFERROR(HLOOKUP(K3097,データについて!$J$5:$AH$20,14,FALSE),"")</f>
        <v/>
      </c>
      <c r="AC3097" s="81" t="e">
        <f>IF(X3097=1,HLOOKUP(R3097,データについて!$J$12:$M$18,7,FALSE),"*")</f>
        <v>#N/A</v>
      </c>
      <c r="AD3097" s="81" t="e">
        <f>IF(X3097=2,HLOOKUP(R3097,データについて!$J$12:$M$18,7,FALSE),"*")</f>
        <v>#N/A</v>
      </c>
    </row>
    <row r="3098" spans="19:30">
      <c r="S3098" s="81" t="e">
        <f>HLOOKUP(L3098,データについて!$J$6:$M$18,13,FALSE)</f>
        <v>#N/A</v>
      </c>
      <c r="T3098" s="81" t="e">
        <f>HLOOKUP(M3098,データについて!$J$7:$M$18,12,FALSE)</f>
        <v>#N/A</v>
      </c>
      <c r="U3098" s="81" t="e">
        <f>HLOOKUP(N3098,データについて!$J$8:$M$18,11,FALSE)</f>
        <v>#N/A</v>
      </c>
      <c r="V3098" s="81" t="e">
        <f>HLOOKUP(O3098,データについて!$J$9:$M$18,10,FALSE)</f>
        <v>#N/A</v>
      </c>
      <c r="W3098" s="81" t="e">
        <f>HLOOKUP(P3098,データについて!$J$10:$M$18,9,FALSE)</f>
        <v>#N/A</v>
      </c>
      <c r="X3098" s="81" t="e">
        <f>HLOOKUP(Q3098,データについて!$J$11:$M$18,8,FALSE)</f>
        <v>#N/A</v>
      </c>
      <c r="Y3098" s="81" t="e">
        <f>HLOOKUP(R3098,データについて!$J$12:$M$18,7,FALSE)</f>
        <v>#N/A</v>
      </c>
      <c r="Z3098" s="81" t="e">
        <f>HLOOKUP(I3098,データについて!$J$3:$M$18,16,FALSE)</f>
        <v>#N/A</v>
      </c>
      <c r="AA3098" s="81" t="str">
        <f>IFERROR(HLOOKUP(J3098,データについて!$J$4:$AH$19,16,FALSE),"")</f>
        <v/>
      </c>
      <c r="AB3098" s="81" t="str">
        <f>IFERROR(HLOOKUP(K3098,データについて!$J$5:$AH$20,14,FALSE),"")</f>
        <v/>
      </c>
      <c r="AC3098" s="81" t="e">
        <f>IF(X3098=1,HLOOKUP(R3098,データについて!$J$12:$M$18,7,FALSE),"*")</f>
        <v>#N/A</v>
      </c>
      <c r="AD3098" s="81" t="e">
        <f>IF(X3098=2,HLOOKUP(R3098,データについて!$J$12:$M$18,7,FALSE),"*")</f>
        <v>#N/A</v>
      </c>
    </row>
    <row r="3099" spans="19:30">
      <c r="S3099" s="81" t="e">
        <f>HLOOKUP(L3099,データについて!$J$6:$M$18,13,FALSE)</f>
        <v>#N/A</v>
      </c>
      <c r="T3099" s="81" t="e">
        <f>HLOOKUP(M3099,データについて!$J$7:$M$18,12,FALSE)</f>
        <v>#N/A</v>
      </c>
      <c r="U3099" s="81" t="e">
        <f>HLOOKUP(N3099,データについて!$J$8:$M$18,11,FALSE)</f>
        <v>#N/A</v>
      </c>
      <c r="V3099" s="81" t="e">
        <f>HLOOKUP(O3099,データについて!$J$9:$M$18,10,FALSE)</f>
        <v>#N/A</v>
      </c>
      <c r="W3099" s="81" t="e">
        <f>HLOOKUP(P3099,データについて!$J$10:$M$18,9,FALSE)</f>
        <v>#N/A</v>
      </c>
      <c r="X3099" s="81" t="e">
        <f>HLOOKUP(Q3099,データについて!$J$11:$M$18,8,FALSE)</f>
        <v>#N/A</v>
      </c>
      <c r="Y3099" s="81" t="e">
        <f>HLOOKUP(R3099,データについて!$J$12:$M$18,7,FALSE)</f>
        <v>#N/A</v>
      </c>
      <c r="Z3099" s="81" t="e">
        <f>HLOOKUP(I3099,データについて!$J$3:$M$18,16,FALSE)</f>
        <v>#N/A</v>
      </c>
      <c r="AA3099" s="81" t="str">
        <f>IFERROR(HLOOKUP(J3099,データについて!$J$4:$AH$19,16,FALSE),"")</f>
        <v/>
      </c>
      <c r="AB3099" s="81" t="str">
        <f>IFERROR(HLOOKUP(K3099,データについて!$J$5:$AH$20,14,FALSE),"")</f>
        <v/>
      </c>
      <c r="AC3099" s="81" t="e">
        <f>IF(X3099=1,HLOOKUP(R3099,データについて!$J$12:$M$18,7,FALSE),"*")</f>
        <v>#N/A</v>
      </c>
      <c r="AD3099" s="81" t="e">
        <f>IF(X3099=2,HLOOKUP(R3099,データについて!$J$12:$M$18,7,FALSE),"*")</f>
        <v>#N/A</v>
      </c>
    </row>
    <row r="3100" spans="19:30">
      <c r="S3100" s="81" t="e">
        <f>HLOOKUP(L3100,データについて!$J$6:$M$18,13,FALSE)</f>
        <v>#N/A</v>
      </c>
      <c r="T3100" s="81" t="e">
        <f>HLOOKUP(M3100,データについて!$J$7:$M$18,12,FALSE)</f>
        <v>#N/A</v>
      </c>
      <c r="U3100" s="81" t="e">
        <f>HLOOKUP(N3100,データについて!$J$8:$M$18,11,FALSE)</f>
        <v>#N/A</v>
      </c>
      <c r="V3100" s="81" t="e">
        <f>HLOOKUP(O3100,データについて!$J$9:$M$18,10,FALSE)</f>
        <v>#N/A</v>
      </c>
      <c r="W3100" s="81" t="e">
        <f>HLOOKUP(P3100,データについて!$J$10:$M$18,9,FALSE)</f>
        <v>#N/A</v>
      </c>
      <c r="X3100" s="81" t="e">
        <f>HLOOKUP(Q3100,データについて!$J$11:$M$18,8,FALSE)</f>
        <v>#N/A</v>
      </c>
      <c r="Y3100" s="81" t="e">
        <f>HLOOKUP(R3100,データについて!$J$12:$M$18,7,FALSE)</f>
        <v>#N/A</v>
      </c>
      <c r="Z3100" s="81" t="e">
        <f>HLOOKUP(I3100,データについて!$J$3:$M$18,16,FALSE)</f>
        <v>#N/A</v>
      </c>
      <c r="AA3100" s="81" t="str">
        <f>IFERROR(HLOOKUP(J3100,データについて!$J$4:$AH$19,16,FALSE),"")</f>
        <v/>
      </c>
      <c r="AB3100" s="81" t="str">
        <f>IFERROR(HLOOKUP(K3100,データについて!$J$5:$AH$20,14,FALSE),"")</f>
        <v/>
      </c>
      <c r="AC3100" s="81" t="e">
        <f>IF(X3100=1,HLOOKUP(R3100,データについて!$J$12:$M$18,7,FALSE),"*")</f>
        <v>#N/A</v>
      </c>
      <c r="AD3100" s="81" t="e">
        <f>IF(X3100=2,HLOOKUP(R3100,データについて!$J$12:$M$18,7,FALSE),"*")</f>
        <v>#N/A</v>
      </c>
    </row>
    <row r="3101" spans="19:30">
      <c r="S3101" s="81" t="e">
        <f>HLOOKUP(L3101,データについて!$J$6:$M$18,13,FALSE)</f>
        <v>#N/A</v>
      </c>
      <c r="T3101" s="81" t="e">
        <f>HLOOKUP(M3101,データについて!$J$7:$M$18,12,FALSE)</f>
        <v>#N/A</v>
      </c>
      <c r="U3101" s="81" t="e">
        <f>HLOOKUP(N3101,データについて!$J$8:$M$18,11,FALSE)</f>
        <v>#N/A</v>
      </c>
      <c r="V3101" s="81" t="e">
        <f>HLOOKUP(O3101,データについて!$J$9:$M$18,10,FALSE)</f>
        <v>#N/A</v>
      </c>
      <c r="W3101" s="81" t="e">
        <f>HLOOKUP(P3101,データについて!$J$10:$M$18,9,FALSE)</f>
        <v>#N/A</v>
      </c>
      <c r="X3101" s="81" t="e">
        <f>HLOOKUP(Q3101,データについて!$J$11:$M$18,8,FALSE)</f>
        <v>#N/A</v>
      </c>
      <c r="Y3101" s="81" t="e">
        <f>HLOOKUP(R3101,データについて!$J$12:$M$18,7,FALSE)</f>
        <v>#N/A</v>
      </c>
      <c r="Z3101" s="81" t="e">
        <f>HLOOKUP(I3101,データについて!$J$3:$M$18,16,FALSE)</f>
        <v>#N/A</v>
      </c>
      <c r="AA3101" s="81" t="str">
        <f>IFERROR(HLOOKUP(J3101,データについて!$J$4:$AH$19,16,FALSE),"")</f>
        <v/>
      </c>
      <c r="AB3101" s="81" t="str">
        <f>IFERROR(HLOOKUP(K3101,データについて!$J$5:$AH$20,14,FALSE),"")</f>
        <v/>
      </c>
      <c r="AC3101" s="81" t="e">
        <f>IF(X3101=1,HLOOKUP(R3101,データについて!$J$12:$M$18,7,FALSE),"*")</f>
        <v>#N/A</v>
      </c>
      <c r="AD3101" s="81" t="e">
        <f>IF(X3101=2,HLOOKUP(R3101,データについて!$J$12:$M$18,7,FALSE),"*")</f>
        <v>#N/A</v>
      </c>
    </row>
    <row r="3102" spans="19:30">
      <c r="S3102" s="81" t="e">
        <f>HLOOKUP(L3102,データについて!$J$6:$M$18,13,FALSE)</f>
        <v>#N/A</v>
      </c>
      <c r="T3102" s="81" t="e">
        <f>HLOOKUP(M3102,データについて!$J$7:$M$18,12,FALSE)</f>
        <v>#N/A</v>
      </c>
      <c r="U3102" s="81" t="e">
        <f>HLOOKUP(N3102,データについて!$J$8:$M$18,11,FALSE)</f>
        <v>#N/A</v>
      </c>
      <c r="V3102" s="81" t="e">
        <f>HLOOKUP(O3102,データについて!$J$9:$M$18,10,FALSE)</f>
        <v>#N/A</v>
      </c>
      <c r="W3102" s="81" t="e">
        <f>HLOOKUP(P3102,データについて!$J$10:$M$18,9,FALSE)</f>
        <v>#N/A</v>
      </c>
      <c r="X3102" s="81" t="e">
        <f>HLOOKUP(Q3102,データについて!$J$11:$M$18,8,FALSE)</f>
        <v>#N/A</v>
      </c>
      <c r="Y3102" s="81" t="e">
        <f>HLOOKUP(R3102,データについて!$J$12:$M$18,7,FALSE)</f>
        <v>#N/A</v>
      </c>
      <c r="Z3102" s="81" t="e">
        <f>HLOOKUP(I3102,データについて!$J$3:$M$18,16,FALSE)</f>
        <v>#N/A</v>
      </c>
      <c r="AA3102" s="81" t="str">
        <f>IFERROR(HLOOKUP(J3102,データについて!$J$4:$AH$19,16,FALSE),"")</f>
        <v/>
      </c>
      <c r="AB3102" s="81" t="str">
        <f>IFERROR(HLOOKUP(K3102,データについて!$J$5:$AH$20,14,FALSE),"")</f>
        <v/>
      </c>
      <c r="AC3102" s="81" t="e">
        <f>IF(X3102=1,HLOOKUP(R3102,データについて!$J$12:$M$18,7,FALSE),"*")</f>
        <v>#N/A</v>
      </c>
      <c r="AD3102" s="81" t="e">
        <f>IF(X3102=2,HLOOKUP(R3102,データについて!$J$12:$M$18,7,FALSE),"*")</f>
        <v>#N/A</v>
      </c>
    </row>
    <row r="3103" spans="19:30">
      <c r="S3103" s="81" t="e">
        <f>HLOOKUP(L3103,データについて!$J$6:$M$18,13,FALSE)</f>
        <v>#N/A</v>
      </c>
      <c r="T3103" s="81" t="e">
        <f>HLOOKUP(M3103,データについて!$J$7:$M$18,12,FALSE)</f>
        <v>#N/A</v>
      </c>
      <c r="U3103" s="81" t="e">
        <f>HLOOKUP(N3103,データについて!$J$8:$M$18,11,FALSE)</f>
        <v>#N/A</v>
      </c>
      <c r="V3103" s="81" t="e">
        <f>HLOOKUP(O3103,データについて!$J$9:$M$18,10,FALSE)</f>
        <v>#N/A</v>
      </c>
      <c r="W3103" s="81" t="e">
        <f>HLOOKUP(P3103,データについて!$J$10:$M$18,9,FALSE)</f>
        <v>#N/A</v>
      </c>
      <c r="X3103" s="81" t="e">
        <f>HLOOKUP(Q3103,データについて!$J$11:$M$18,8,FALSE)</f>
        <v>#N/A</v>
      </c>
      <c r="Y3103" s="81" t="e">
        <f>HLOOKUP(R3103,データについて!$J$12:$M$18,7,FALSE)</f>
        <v>#N/A</v>
      </c>
      <c r="Z3103" s="81" t="e">
        <f>HLOOKUP(I3103,データについて!$J$3:$M$18,16,FALSE)</f>
        <v>#N/A</v>
      </c>
      <c r="AA3103" s="81" t="str">
        <f>IFERROR(HLOOKUP(J3103,データについて!$J$4:$AH$19,16,FALSE),"")</f>
        <v/>
      </c>
      <c r="AB3103" s="81" t="str">
        <f>IFERROR(HLOOKUP(K3103,データについて!$J$5:$AH$20,14,FALSE),"")</f>
        <v/>
      </c>
      <c r="AC3103" s="81" t="e">
        <f>IF(X3103=1,HLOOKUP(R3103,データについて!$J$12:$M$18,7,FALSE),"*")</f>
        <v>#N/A</v>
      </c>
      <c r="AD3103" s="81" t="e">
        <f>IF(X3103=2,HLOOKUP(R3103,データについて!$J$12:$M$18,7,FALSE),"*")</f>
        <v>#N/A</v>
      </c>
    </row>
    <row r="3104" spans="19:30">
      <c r="S3104" s="81" t="e">
        <f>HLOOKUP(L3104,データについて!$J$6:$M$18,13,FALSE)</f>
        <v>#N/A</v>
      </c>
      <c r="T3104" s="81" t="e">
        <f>HLOOKUP(M3104,データについて!$J$7:$M$18,12,FALSE)</f>
        <v>#N/A</v>
      </c>
      <c r="U3104" s="81" t="e">
        <f>HLOOKUP(N3104,データについて!$J$8:$M$18,11,FALSE)</f>
        <v>#N/A</v>
      </c>
      <c r="V3104" s="81" t="e">
        <f>HLOOKUP(O3104,データについて!$J$9:$M$18,10,FALSE)</f>
        <v>#N/A</v>
      </c>
      <c r="W3104" s="81" t="e">
        <f>HLOOKUP(P3104,データについて!$J$10:$M$18,9,FALSE)</f>
        <v>#N/A</v>
      </c>
      <c r="X3104" s="81" t="e">
        <f>HLOOKUP(Q3104,データについて!$J$11:$M$18,8,FALSE)</f>
        <v>#N/A</v>
      </c>
      <c r="Y3104" s="81" t="e">
        <f>HLOOKUP(R3104,データについて!$J$12:$M$18,7,FALSE)</f>
        <v>#N/A</v>
      </c>
      <c r="Z3104" s="81" t="e">
        <f>HLOOKUP(I3104,データについて!$J$3:$M$18,16,FALSE)</f>
        <v>#N/A</v>
      </c>
      <c r="AA3104" s="81" t="str">
        <f>IFERROR(HLOOKUP(J3104,データについて!$J$4:$AH$19,16,FALSE),"")</f>
        <v/>
      </c>
      <c r="AB3104" s="81" t="str">
        <f>IFERROR(HLOOKUP(K3104,データについて!$J$5:$AH$20,14,FALSE),"")</f>
        <v/>
      </c>
      <c r="AC3104" s="81" t="e">
        <f>IF(X3104=1,HLOOKUP(R3104,データについて!$J$12:$M$18,7,FALSE),"*")</f>
        <v>#N/A</v>
      </c>
      <c r="AD3104" s="81" t="e">
        <f>IF(X3104=2,HLOOKUP(R3104,データについて!$J$12:$M$18,7,FALSE),"*")</f>
        <v>#N/A</v>
      </c>
    </row>
    <row r="3105" spans="19:30">
      <c r="S3105" s="81" t="e">
        <f>HLOOKUP(L3105,データについて!$J$6:$M$18,13,FALSE)</f>
        <v>#N/A</v>
      </c>
      <c r="T3105" s="81" t="e">
        <f>HLOOKUP(M3105,データについて!$J$7:$M$18,12,FALSE)</f>
        <v>#N/A</v>
      </c>
      <c r="U3105" s="81" t="e">
        <f>HLOOKUP(N3105,データについて!$J$8:$M$18,11,FALSE)</f>
        <v>#N/A</v>
      </c>
      <c r="V3105" s="81" t="e">
        <f>HLOOKUP(O3105,データについて!$J$9:$M$18,10,FALSE)</f>
        <v>#N/A</v>
      </c>
      <c r="W3105" s="81" t="e">
        <f>HLOOKUP(P3105,データについて!$J$10:$M$18,9,FALSE)</f>
        <v>#N/A</v>
      </c>
      <c r="X3105" s="81" t="e">
        <f>HLOOKUP(Q3105,データについて!$J$11:$M$18,8,FALSE)</f>
        <v>#N/A</v>
      </c>
      <c r="Y3105" s="81" t="e">
        <f>HLOOKUP(R3105,データについて!$J$12:$M$18,7,FALSE)</f>
        <v>#N/A</v>
      </c>
      <c r="Z3105" s="81" t="e">
        <f>HLOOKUP(I3105,データについて!$J$3:$M$18,16,FALSE)</f>
        <v>#N/A</v>
      </c>
      <c r="AA3105" s="81" t="str">
        <f>IFERROR(HLOOKUP(J3105,データについて!$J$4:$AH$19,16,FALSE),"")</f>
        <v/>
      </c>
      <c r="AB3105" s="81" t="str">
        <f>IFERROR(HLOOKUP(K3105,データについて!$J$5:$AH$20,14,FALSE),"")</f>
        <v/>
      </c>
      <c r="AC3105" s="81" t="e">
        <f>IF(X3105=1,HLOOKUP(R3105,データについて!$J$12:$M$18,7,FALSE),"*")</f>
        <v>#N/A</v>
      </c>
      <c r="AD3105" s="81" t="e">
        <f>IF(X3105=2,HLOOKUP(R3105,データについて!$J$12:$M$18,7,FALSE),"*")</f>
        <v>#N/A</v>
      </c>
    </row>
    <row r="3106" spans="19:30">
      <c r="S3106" s="81" t="e">
        <f>HLOOKUP(L3106,データについて!$J$6:$M$18,13,FALSE)</f>
        <v>#N/A</v>
      </c>
      <c r="T3106" s="81" t="e">
        <f>HLOOKUP(M3106,データについて!$J$7:$M$18,12,FALSE)</f>
        <v>#N/A</v>
      </c>
      <c r="U3106" s="81" t="e">
        <f>HLOOKUP(N3106,データについて!$J$8:$M$18,11,FALSE)</f>
        <v>#N/A</v>
      </c>
      <c r="V3106" s="81" t="e">
        <f>HLOOKUP(O3106,データについて!$J$9:$M$18,10,FALSE)</f>
        <v>#N/A</v>
      </c>
      <c r="W3106" s="81" t="e">
        <f>HLOOKUP(P3106,データについて!$J$10:$M$18,9,FALSE)</f>
        <v>#N/A</v>
      </c>
      <c r="X3106" s="81" t="e">
        <f>HLOOKUP(Q3106,データについて!$J$11:$M$18,8,FALSE)</f>
        <v>#N/A</v>
      </c>
      <c r="Y3106" s="81" t="e">
        <f>HLOOKUP(R3106,データについて!$J$12:$M$18,7,FALSE)</f>
        <v>#N/A</v>
      </c>
      <c r="Z3106" s="81" t="e">
        <f>HLOOKUP(I3106,データについて!$J$3:$M$18,16,FALSE)</f>
        <v>#N/A</v>
      </c>
      <c r="AA3106" s="81" t="str">
        <f>IFERROR(HLOOKUP(J3106,データについて!$J$4:$AH$19,16,FALSE),"")</f>
        <v/>
      </c>
      <c r="AB3106" s="81" t="str">
        <f>IFERROR(HLOOKUP(K3106,データについて!$J$5:$AH$20,14,FALSE),"")</f>
        <v/>
      </c>
      <c r="AC3106" s="81" t="e">
        <f>IF(X3106=1,HLOOKUP(R3106,データについて!$J$12:$M$18,7,FALSE),"*")</f>
        <v>#N/A</v>
      </c>
      <c r="AD3106" s="81" t="e">
        <f>IF(X3106=2,HLOOKUP(R3106,データについて!$J$12:$M$18,7,FALSE),"*")</f>
        <v>#N/A</v>
      </c>
    </row>
    <row r="3107" spans="19:30">
      <c r="S3107" s="81" t="e">
        <f>HLOOKUP(L3107,データについて!$J$6:$M$18,13,FALSE)</f>
        <v>#N/A</v>
      </c>
      <c r="T3107" s="81" t="e">
        <f>HLOOKUP(M3107,データについて!$J$7:$M$18,12,FALSE)</f>
        <v>#N/A</v>
      </c>
      <c r="U3107" s="81" t="e">
        <f>HLOOKUP(N3107,データについて!$J$8:$M$18,11,FALSE)</f>
        <v>#N/A</v>
      </c>
      <c r="V3107" s="81" t="e">
        <f>HLOOKUP(O3107,データについて!$J$9:$M$18,10,FALSE)</f>
        <v>#N/A</v>
      </c>
      <c r="W3107" s="81" t="e">
        <f>HLOOKUP(P3107,データについて!$J$10:$M$18,9,FALSE)</f>
        <v>#N/A</v>
      </c>
      <c r="X3107" s="81" t="e">
        <f>HLOOKUP(Q3107,データについて!$J$11:$M$18,8,FALSE)</f>
        <v>#N/A</v>
      </c>
      <c r="Y3107" s="81" t="e">
        <f>HLOOKUP(R3107,データについて!$J$12:$M$18,7,FALSE)</f>
        <v>#N/A</v>
      </c>
      <c r="Z3107" s="81" t="e">
        <f>HLOOKUP(I3107,データについて!$J$3:$M$18,16,FALSE)</f>
        <v>#N/A</v>
      </c>
      <c r="AA3107" s="81" t="str">
        <f>IFERROR(HLOOKUP(J3107,データについて!$J$4:$AH$19,16,FALSE),"")</f>
        <v/>
      </c>
      <c r="AB3107" s="81" t="str">
        <f>IFERROR(HLOOKUP(K3107,データについて!$J$5:$AH$20,14,FALSE),"")</f>
        <v/>
      </c>
      <c r="AC3107" s="81" t="e">
        <f>IF(X3107=1,HLOOKUP(R3107,データについて!$J$12:$M$18,7,FALSE),"*")</f>
        <v>#N/A</v>
      </c>
      <c r="AD3107" s="81" t="e">
        <f>IF(X3107=2,HLOOKUP(R3107,データについて!$J$12:$M$18,7,FALSE),"*")</f>
        <v>#N/A</v>
      </c>
    </row>
    <row r="3108" spans="19:30">
      <c r="S3108" s="81" t="e">
        <f>HLOOKUP(L3108,データについて!$J$6:$M$18,13,FALSE)</f>
        <v>#N/A</v>
      </c>
      <c r="T3108" s="81" t="e">
        <f>HLOOKUP(M3108,データについて!$J$7:$M$18,12,FALSE)</f>
        <v>#N/A</v>
      </c>
      <c r="U3108" s="81" t="e">
        <f>HLOOKUP(N3108,データについて!$J$8:$M$18,11,FALSE)</f>
        <v>#N/A</v>
      </c>
      <c r="V3108" s="81" t="e">
        <f>HLOOKUP(O3108,データについて!$J$9:$M$18,10,FALSE)</f>
        <v>#N/A</v>
      </c>
      <c r="W3108" s="81" t="e">
        <f>HLOOKUP(P3108,データについて!$J$10:$M$18,9,FALSE)</f>
        <v>#N/A</v>
      </c>
      <c r="X3108" s="81" t="e">
        <f>HLOOKUP(Q3108,データについて!$J$11:$M$18,8,FALSE)</f>
        <v>#N/A</v>
      </c>
      <c r="Y3108" s="81" t="e">
        <f>HLOOKUP(R3108,データについて!$J$12:$M$18,7,FALSE)</f>
        <v>#N/A</v>
      </c>
      <c r="Z3108" s="81" t="e">
        <f>HLOOKUP(I3108,データについて!$J$3:$M$18,16,FALSE)</f>
        <v>#N/A</v>
      </c>
      <c r="AA3108" s="81" t="str">
        <f>IFERROR(HLOOKUP(J3108,データについて!$J$4:$AH$19,16,FALSE),"")</f>
        <v/>
      </c>
      <c r="AB3108" s="81" t="str">
        <f>IFERROR(HLOOKUP(K3108,データについて!$J$5:$AH$20,14,FALSE),"")</f>
        <v/>
      </c>
      <c r="AC3108" s="81" t="e">
        <f>IF(X3108=1,HLOOKUP(R3108,データについて!$J$12:$M$18,7,FALSE),"*")</f>
        <v>#N/A</v>
      </c>
      <c r="AD3108" s="81" t="e">
        <f>IF(X3108=2,HLOOKUP(R3108,データについて!$J$12:$M$18,7,FALSE),"*")</f>
        <v>#N/A</v>
      </c>
    </row>
    <row r="3109" spans="19:30">
      <c r="S3109" s="81" t="e">
        <f>HLOOKUP(L3109,データについて!$J$6:$M$18,13,FALSE)</f>
        <v>#N/A</v>
      </c>
      <c r="T3109" s="81" t="e">
        <f>HLOOKUP(M3109,データについて!$J$7:$M$18,12,FALSE)</f>
        <v>#N/A</v>
      </c>
      <c r="U3109" s="81" t="e">
        <f>HLOOKUP(N3109,データについて!$J$8:$M$18,11,FALSE)</f>
        <v>#N/A</v>
      </c>
      <c r="V3109" s="81" t="e">
        <f>HLOOKUP(O3109,データについて!$J$9:$M$18,10,FALSE)</f>
        <v>#N/A</v>
      </c>
      <c r="W3109" s="81" t="e">
        <f>HLOOKUP(P3109,データについて!$J$10:$M$18,9,FALSE)</f>
        <v>#N/A</v>
      </c>
      <c r="X3109" s="81" t="e">
        <f>HLOOKUP(Q3109,データについて!$J$11:$M$18,8,FALSE)</f>
        <v>#N/A</v>
      </c>
      <c r="Y3109" s="81" t="e">
        <f>HLOOKUP(R3109,データについて!$J$12:$M$18,7,FALSE)</f>
        <v>#N/A</v>
      </c>
      <c r="Z3109" s="81" t="e">
        <f>HLOOKUP(I3109,データについて!$J$3:$M$18,16,FALSE)</f>
        <v>#N/A</v>
      </c>
      <c r="AA3109" s="81" t="str">
        <f>IFERROR(HLOOKUP(J3109,データについて!$J$4:$AH$19,16,FALSE),"")</f>
        <v/>
      </c>
      <c r="AB3109" s="81" t="str">
        <f>IFERROR(HLOOKUP(K3109,データについて!$J$5:$AH$20,14,FALSE),"")</f>
        <v/>
      </c>
      <c r="AC3109" s="81" t="e">
        <f>IF(X3109=1,HLOOKUP(R3109,データについて!$J$12:$M$18,7,FALSE),"*")</f>
        <v>#N/A</v>
      </c>
      <c r="AD3109" s="81" t="e">
        <f>IF(X3109=2,HLOOKUP(R3109,データについて!$J$12:$M$18,7,FALSE),"*")</f>
        <v>#N/A</v>
      </c>
    </row>
    <row r="3110" spans="19:30">
      <c r="S3110" s="81" t="e">
        <f>HLOOKUP(L3110,データについて!$J$6:$M$18,13,FALSE)</f>
        <v>#N/A</v>
      </c>
      <c r="T3110" s="81" t="e">
        <f>HLOOKUP(M3110,データについて!$J$7:$M$18,12,FALSE)</f>
        <v>#N/A</v>
      </c>
      <c r="U3110" s="81" t="e">
        <f>HLOOKUP(N3110,データについて!$J$8:$M$18,11,FALSE)</f>
        <v>#N/A</v>
      </c>
      <c r="V3110" s="81" t="e">
        <f>HLOOKUP(O3110,データについて!$J$9:$M$18,10,FALSE)</f>
        <v>#N/A</v>
      </c>
      <c r="W3110" s="81" t="e">
        <f>HLOOKUP(P3110,データについて!$J$10:$M$18,9,FALSE)</f>
        <v>#N/A</v>
      </c>
      <c r="X3110" s="81" t="e">
        <f>HLOOKUP(Q3110,データについて!$J$11:$M$18,8,FALSE)</f>
        <v>#N/A</v>
      </c>
      <c r="Y3110" s="81" t="e">
        <f>HLOOKUP(R3110,データについて!$J$12:$M$18,7,FALSE)</f>
        <v>#N/A</v>
      </c>
      <c r="Z3110" s="81" t="e">
        <f>HLOOKUP(I3110,データについて!$J$3:$M$18,16,FALSE)</f>
        <v>#N/A</v>
      </c>
      <c r="AA3110" s="81" t="str">
        <f>IFERROR(HLOOKUP(J3110,データについて!$J$4:$AH$19,16,FALSE),"")</f>
        <v/>
      </c>
      <c r="AB3110" s="81" t="str">
        <f>IFERROR(HLOOKUP(K3110,データについて!$J$5:$AH$20,14,FALSE),"")</f>
        <v/>
      </c>
      <c r="AC3110" s="81" t="e">
        <f>IF(X3110=1,HLOOKUP(R3110,データについて!$J$12:$M$18,7,FALSE),"*")</f>
        <v>#N/A</v>
      </c>
      <c r="AD3110" s="81" t="e">
        <f>IF(X3110=2,HLOOKUP(R3110,データについて!$J$12:$M$18,7,FALSE),"*")</f>
        <v>#N/A</v>
      </c>
    </row>
    <row r="3111" spans="19:30">
      <c r="S3111" s="81" t="e">
        <f>HLOOKUP(L3111,データについて!$J$6:$M$18,13,FALSE)</f>
        <v>#N/A</v>
      </c>
      <c r="T3111" s="81" t="e">
        <f>HLOOKUP(M3111,データについて!$J$7:$M$18,12,FALSE)</f>
        <v>#N/A</v>
      </c>
      <c r="U3111" s="81" t="e">
        <f>HLOOKUP(N3111,データについて!$J$8:$M$18,11,FALSE)</f>
        <v>#N/A</v>
      </c>
      <c r="V3111" s="81" t="e">
        <f>HLOOKUP(O3111,データについて!$J$9:$M$18,10,FALSE)</f>
        <v>#N/A</v>
      </c>
      <c r="W3111" s="81" t="e">
        <f>HLOOKUP(P3111,データについて!$J$10:$M$18,9,FALSE)</f>
        <v>#N/A</v>
      </c>
      <c r="X3111" s="81" t="e">
        <f>HLOOKUP(Q3111,データについて!$J$11:$M$18,8,FALSE)</f>
        <v>#N/A</v>
      </c>
      <c r="Y3111" s="81" t="e">
        <f>HLOOKUP(R3111,データについて!$J$12:$M$18,7,FALSE)</f>
        <v>#N/A</v>
      </c>
      <c r="Z3111" s="81" t="e">
        <f>HLOOKUP(I3111,データについて!$J$3:$M$18,16,FALSE)</f>
        <v>#N/A</v>
      </c>
      <c r="AA3111" s="81" t="str">
        <f>IFERROR(HLOOKUP(J3111,データについて!$J$4:$AH$19,16,FALSE),"")</f>
        <v/>
      </c>
      <c r="AB3111" s="81" t="str">
        <f>IFERROR(HLOOKUP(K3111,データについて!$J$5:$AH$20,14,FALSE),"")</f>
        <v/>
      </c>
      <c r="AC3111" s="81" t="e">
        <f>IF(X3111=1,HLOOKUP(R3111,データについて!$J$12:$M$18,7,FALSE),"*")</f>
        <v>#N/A</v>
      </c>
      <c r="AD3111" s="81" t="e">
        <f>IF(X3111=2,HLOOKUP(R3111,データについて!$J$12:$M$18,7,FALSE),"*")</f>
        <v>#N/A</v>
      </c>
    </row>
    <row r="3112" spans="19:30">
      <c r="S3112" s="81" t="e">
        <f>HLOOKUP(L3112,データについて!$J$6:$M$18,13,FALSE)</f>
        <v>#N/A</v>
      </c>
      <c r="T3112" s="81" t="e">
        <f>HLOOKUP(M3112,データについて!$J$7:$M$18,12,FALSE)</f>
        <v>#N/A</v>
      </c>
      <c r="U3112" s="81" t="e">
        <f>HLOOKUP(N3112,データについて!$J$8:$M$18,11,FALSE)</f>
        <v>#N/A</v>
      </c>
      <c r="V3112" s="81" t="e">
        <f>HLOOKUP(O3112,データについて!$J$9:$M$18,10,FALSE)</f>
        <v>#N/A</v>
      </c>
      <c r="W3112" s="81" t="e">
        <f>HLOOKUP(P3112,データについて!$J$10:$M$18,9,FALSE)</f>
        <v>#N/A</v>
      </c>
      <c r="X3112" s="81" t="e">
        <f>HLOOKUP(Q3112,データについて!$J$11:$M$18,8,FALSE)</f>
        <v>#N/A</v>
      </c>
      <c r="Y3112" s="81" t="e">
        <f>HLOOKUP(R3112,データについて!$J$12:$M$18,7,FALSE)</f>
        <v>#N/A</v>
      </c>
      <c r="Z3112" s="81" t="e">
        <f>HLOOKUP(I3112,データについて!$J$3:$M$18,16,FALSE)</f>
        <v>#N/A</v>
      </c>
      <c r="AA3112" s="81" t="str">
        <f>IFERROR(HLOOKUP(J3112,データについて!$J$4:$AH$19,16,FALSE),"")</f>
        <v/>
      </c>
      <c r="AB3112" s="81" t="str">
        <f>IFERROR(HLOOKUP(K3112,データについて!$J$5:$AH$20,14,FALSE),"")</f>
        <v/>
      </c>
      <c r="AC3112" s="81" t="e">
        <f>IF(X3112=1,HLOOKUP(R3112,データについて!$J$12:$M$18,7,FALSE),"*")</f>
        <v>#N/A</v>
      </c>
      <c r="AD3112" s="81" t="e">
        <f>IF(X3112=2,HLOOKUP(R3112,データについて!$J$12:$M$18,7,FALSE),"*")</f>
        <v>#N/A</v>
      </c>
    </row>
    <row r="3113" spans="19:30">
      <c r="S3113" s="81" t="e">
        <f>HLOOKUP(L3113,データについて!$J$6:$M$18,13,FALSE)</f>
        <v>#N/A</v>
      </c>
      <c r="T3113" s="81" t="e">
        <f>HLOOKUP(M3113,データについて!$J$7:$M$18,12,FALSE)</f>
        <v>#N/A</v>
      </c>
      <c r="U3113" s="81" t="e">
        <f>HLOOKUP(N3113,データについて!$J$8:$M$18,11,FALSE)</f>
        <v>#N/A</v>
      </c>
      <c r="V3113" s="81" t="e">
        <f>HLOOKUP(O3113,データについて!$J$9:$M$18,10,FALSE)</f>
        <v>#N/A</v>
      </c>
      <c r="W3113" s="81" t="e">
        <f>HLOOKUP(P3113,データについて!$J$10:$M$18,9,FALSE)</f>
        <v>#N/A</v>
      </c>
      <c r="X3113" s="81" t="e">
        <f>HLOOKUP(Q3113,データについて!$J$11:$M$18,8,FALSE)</f>
        <v>#N/A</v>
      </c>
      <c r="Y3113" s="81" t="e">
        <f>HLOOKUP(R3113,データについて!$J$12:$M$18,7,FALSE)</f>
        <v>#N/A</v>
      </c>
      <c r="Z3113" s="81" t="e">
        <f>HLOOKUP(I3113,データについて!$J$3:$M$18,16,FALSE)</f>
        <v>#N/A</v>
      </c>
      <c r="AA3113" s="81" t="str">
        <f>IFERROR(HLOOKUP(J3113,データについて!$J$4:$AH$19,16,FALSE),"")</f>
        <v/>
      </c>
      <c r="AB3113" s="81" t="str">
        <f>IFERROR(HLOOKUP(K3113,データについて!$J$5:$AH$20,14,FALSE),"")</f>
        <v/>
      </c>
      <c r="AC3113" s="81" t="e">
        <f>IF(X3113=1,HLOOKUP(R3113,データについて!$J$12:$M$18,7,FALSE),"*")</f>
        <v>#N/A</v>
      </c>
      <c r="AD3113" s="81" t="e">
        <f>IF(X3113=2,HLOOKUP(R3113,データについて!$J$12:$M$18,7,FALSE),"*")</f>
        <v>#N/A</v>
      </c>
    </row>
    <row r="3114" spans="19:30">
      <c r="S3114" s="81" t="e">
        <f>HLOOKUP(L3114,データについて!$J$6:$M$18,13,FALSE)</f>
        <v>#N/A</v>
      </c>
      <c r="T3114" s="81" t="e">
        <f>HLOOKUP(M3114,データについて!$J$7:$M$18,12,FALSE)</f>
        <v>#N/A</v>
      </c>
      <c r="U3114" s="81" t="e">
        <f>HLOOKUP(N3114,データについて!$J$8:$M$18,11,FALSE)</f>
        <v>#N/A</v>
      </c>
      <c r="V3114" s="81" t="e">
        <f>HLOOKUP(O3114,データについて!$J$9:$M$18,10,FALSE)</f>
        <v>#N/A</v>
      </c>
      <c r="W3114" s="81" t="e">
        <f>HLOOKUP(P3114,データについて!$J$10:$M$18,9,FALSE)</f>
        <v>#N/A</v>
      </c>
      <c r="X3114" s="81" t="e">
        <f>HLOOKUP(Q3114,データについて!$J$11:$M$18,8,FALSE)</f>
        <v>#N/A</v>
      </c>
      <c r="Y3114" s="81" t="e">
        <f>HLOOKUP(R3114,データについて!$J$12:$M$18,7,FALSE)</f>
        <v>#N/A</v>
      </c>
      <c r="Z3114" s="81" t="e">
        <f>HLOOKUP(I3114,データについて!$J$3:$M$18,16,FALSE)</f>
        <v>#N/A</v>
      </c>
      <c r="AA3114" s="81" t="str">
        <f>IFERROR(HLOOKUP(J3114,データについて!$J$4:$AH$19,16,FALSE),"")</f>
        <v/>
      </c>
      <c r="AB3114" s="81" t="str">
        <f>IFERROR(HLOOKUP(K3114,データについて!$J$5:$AH$20,14,FALSE),"")</f>
        <v/>
      </c>
      <c r="AC3114" s="81" t="e">
        <f>IF(X3114=1,HLOOKUP(R3114,データについて!$J$12:$M$18,7,FALSE),"*")</f>
        <v>#N/A</v>
      </c>
      <c r="AD3114" s="81" t="e">
        <f>IF(X3114=2,HLOOKUP(R3114,データについて!$J$12:$M$18,7,FALSE),"*")</f>
        <v>#N/A</v>
      </c>
    </row>
    <row r="3115" spans="19:30">
      <c r="S3115" s="81" t="e">
        <f>HLOOKUP(L3115,データについて!$J$6:$M$18,13,FALSE)</f>
        <v>#N/A</v>
      </c>
      <c r="T3115" s="81" t="e">
        <f>HLOOKUP(M3115,データについて!$J$7:$M$18,12,FALSE)</f>
        <v>#N/A</v>
      </c>
      <c r="U3115" s="81" t="e">
        <f>HLOOKUP(N3115,データについて!$J$8:$M$18,11,FALSE)</f>
        <v>#N/A</v>
      </c>
      <c r="V3115" s="81" t="e">
        <f>HLOOKUP(O3115,データについて!$J$9:$M$18,10,FALSE)</f>
        <v>#N/A</v>
      </c>
      <c r="W3115" s="81" t="e">
        <f>HLOOKUP(P3115,データについて!$J$10:$M$18,9,FALSE)</f>
        <v>#N/A</v>
      </c>
      <c r="X3115" s="81" t="e">
        <f>HLOOKUP(Q3115,データについて!$J$11:$M$18,8,FALSE)</f>
        <v>#N/A</v>
      </c>
      <c r="Y3115" s="81" t="e">
        <f>HLOOKUP(R3115,データについて!$J$12:$M$18,7,FALSE)</f>
        <v>#N/A</v>
      </c>
      <c r="Z3115" s="81" t="e">
        <f>HLOOKUP(I3115,データについて!$J$3:$M$18,16,FALSE)</f>
        <v>#N/A</v>
      </c>
      <c r="AA3115" s="81" t="str">
        <f>IFERROR(HLOOKUP(J3115,データについて!$J$4:$AH$19,16,FALSE),"")</f>
        <v/>
      </c>
      <c r="AB3115" s="81" t="str">
        <f>IFERROR(HLOOKUP(K3115,データについて!$J$5:$AH$20,14,FALSE),"")</f>
        <v/>
      </c>
      <c r="AC3115" s="81" t="e">
        <f>IF(X3115=1,HLOOKUP(R3115,データについて!$J$12:$M$18,7,FALSE),"*")</f>
        <v>#N/A</v>
      </c>
      <c r="AD3115" s="81" t="e">
        <f>IF(X3115=2,HLOOKUP(R3115,データについて!$J$12:$M$18,7,FALSE),"*")</f>
        <v>#N/A</v>
      </c>
    </row>
    <row r="3116" spans="19:30">
      <c r="S3116" s="81" t="e">
        <f>HLOOKUP(L3116,データについて!$J$6:$M$18,13,FALSE)</f>
        <v>#N/A</v>
      </c>
      <c r="T3116" s="81" t="e">
        <f>HLOOKUP(M3116,データについて!$J$7:$M$18,12,FALSE)</f>
        <v>#N/A</v>
      </c>
      <c r="U3116" s="81" t="e">
        <f>HLOOKUP(N3116,データについて!$J$8:$M$18,11,FALSE)</f>
        <v>#N/A</v>
      </c>
      <c r="V3116" s="81" t="e">
        <f>HLOOKUP(O3116,データについて!$J$9:$M$18,10,FALSE)</f>
        <v>#N/A</v>
      </c>
      <c r="W3116" s="81" t="e">
        <f>HLOOKUP(P3116,データについて!$J$10:$M$18,9,FALSE)</f>
        <v>#N/A</v>
      </c>
      <c r="X3116" s="81" t="e">
        <f>HLOOKUP(Q3116,データについて!$J$11:$M$18,8,FALSE)</f>
        <v>#N/A</v>
      </c>
      <c r="Y3116" s="81" t="e">
        <f>HLOOKUP(R3116,データについて!$J$12:$M$18,7,FALSE)</f>
        <v>#N/A</v>
      </c>
      <c r="Z3116" s="81" t="e">
        <f>HLOOKUP(I3116,データについて!$J$3:$M$18,16,FALSE)</f>
        <v>#N/A</v>
      </c>
      <c r="AA3116" s="81" t="str">
        <f>IFERROR(HLOOKUP(J3116,データについて!$J$4:$AH$19,16,FALSE),"")</f>
        <v/>
      </c>
      <c r="AB3116" s="81" t="str">
        <f>IFERROR(HLOOKUP(K3116,データについて!$J$5:$AH$20,14,FALSE),"")</f>
        <v/>
      </c>
      <c r="AC3116" s="81" t="e">
        <f>IF(X3116=1,HLOOKUP(R3116,データについて!$J$12:$M$18,7,FALSE),"*")</f>
        <v>#N/A</v>
      </c>
      <c r="AD3116" s="81" t="e">
        <f>IF(X3116=2,HLOOKUP(R3116,データについて!$J$12:$M$18,7,FALSE),"*")</f>
        <v>#N/A</v>
      </c>
    </row>
    <row r="3117" spans="19:30">
      <c r="S3117" s="81" t="e">
        <f>HLOOKUP(L3117,データについて!$J$6:$M$18,13,FALSE)</f>
        <v>#N/A</v>
      </c>
      <c r="T3117" s="81" t="e">
        <f>HLOOKUP(M3117,データについて!$J$7:$M$18,12,FALSE)</f>
        <v>#N/A</v>
      </c>
      <c r="U3117" s="81" t="e">
        <f>HLOOKUP(N3117,データについて!$J$8:$M$18,11,FALSE)</f>
        <v>#N/A</v>
      </c>
      <c r="V3117" s="81" t="e">
        <f>HLOOKUP(O3117,データについて!$J$9:$M$18,10,FALSE)</f>
        <v>#N/A</v>
      </c>
      <c r="W3117" s="81" t="e">
        <f>HLOOKUP(P3117,データについて!$J$10:$M$18,9,FALSE)</f>
        <v>#N/A</v>
      </c>
      <c r="X3117" s="81" t="e">
        <f>HLOOKUP(Q3117,データについて!$J$11:$M$18,8,FALSE)</f>
        <v>#N/A</v>
      </c>
      <c r="Y3117" s="81" t="e">
        <f>HLOOKUP(R3117,データについて!$J$12:$M$18,7,FALSE)</f>
        <v>#N/A</v>
      </c>
      <c r="Z3117" s="81" t="e">
        <f>HLOOKUP(I3117,データについて!$J$3:$M$18,16,FALSE)</f>
        <v>#N/A</v>
      </c>
      <c r="AA3117" s="81" t="str">
        <f>IFERROR(HLOOKUP(J3117,データについて!$J$4:$AH$19,16,FALSE),"")</f>
        <v/>
      </c>
      <c r="AB3117" s="81" t="str">
        <f>IFERROR(HLOOKUP(K3117,データについて!$J$5:$AH$20,14,FALSE),"")</f>
        <v/>
      </c>
      <c r="AC3117" s="81" t="e">
        <f>IF(X3117=1,HLOOKUP(R3117,データについて!$J$12:$M$18,7,FALSE),"*")</f>
        <v>#N/A</v>
      </c>
      <c r="AD3117" s="81" t="e">
        <f>IF(X3117=2,HLOOKUP(R3117,データについて!$J$12:$M$18,7,FALSE),"*")</f>
        <v>#N/A</v>
      </c>
    </row>
    <row r="3118" spans="19:30">
      <c r="S3118" s="81" t="e">
        <f>HLOOKUP(L3118,データについて!$J$6:$M$18,13,FALSE)</f>
        <v>#N/A</v>
      </c>
      <c r="T3118" s="81" t="e">
        <f>HLOOKUP(M3118,データについて!$J$7:$M$18,12,FALSE)</f>
        <v>#N/A</v>
      </c>
      <c r="U3118" s="81" t="e">
        <f>HLOOKUP(N3118,データについて!$J$8:$M$18,11,FALSE)</f>
        <v>#N/A</v>
      </c>
      <c r="V3118" s="81" t="e">
        <f>HLOOKUP(O3118,データについて!$J$9:$M$18,10,FALSE)</f>
        <v>#N/A</v>
      </c>
      <c r="W3118" s="81" t="e">
        <f>HLOOKUP(P3118,データについて!$J$10:$M$18,9,FALSE)</f>
        <v>#N/A</v>
      </c>
      <c r="X3118" s="81" t="e">
        <f>HLOOKUP(Q3118,データについて!$J$11:$M$18,8,FALSE)</f>
        <v>#N/A</v>
      </c>
      <c r="Y3118" s="81" t="e">
        <f>HLOOKUP(R3118,データについて!$J$12:$M$18,7,FALSE)</f>
        <v>#N/A</v>
      </c>
      <c r="Z3118" s="81" t="e">
        <f>HLOOKUP(I3118,データについて!$J$3:$M$18,16,FALSE)</f>
        <v>#N/A</v>
      </c>
      <c r="AA3118" s="81" t="str">
        <f>IFERROR(HLOOKUP(J3118,データについて!$J$4:$AH$19,16,FALSE),"")</f>
        <v/>
      </c>
      <c r="AB3118" s="81" t="str">
        <f>IFERROR(HLOOKUP(K3118,データについて!$J$5:$AH$20,14,FALSE),"")</f>
        <v/>
      </c>
      <c r="AC3118" s="81" t="e">
        <f>IF(X3118=1,HLOOKUP(R3118,データについて!$J$12:$M$18,7,FALSE),"*")</f>
        <v>#N/A</v>
      </c>
      <c r="AD3118" s="81" t="e">
        <f>IF(X3118=2,HLOOKUP(R3118,データについて!$J$12:$M$18,7,FALSE),"*")</f>
        <v>#N/A</v>
      </c>
    </row>
    <row r="3119" spans="19:30">
      <c r="S3119" s="81" t="e">
        <f>HLOOKUP(L3119,データについて!$J$6:$M$18,13,FALSE)</f>
        <v>#N/A</v>
      </c>
      <c r="T3119" s="81" t="e">
        <f>HLOOKUP(M3119,データについて!$J$7:$M$18,12,FALSE)</f>
        <v>#N/A</v>
      </c>
      <c r="U3119" s="81" t="e">
        <f>HLOOKUP(N3119,データについて!$J$8:$M$18,11,FALSE)</f>
        <v>#N/A</v>
      </c>
      <c r="V3119" s="81" t="e">
        <f>HLOOKUP(O3119,データについて!$J$9:$M$18,10,FALSE)</f>
        <v>#N/A</v>
      </c>
      <c r="W3119" s="81" t="e">
        <f>HLOOKUP(P3119,データについて!$J$10:$M$18,9,FALSE)</f>
        <v>#N/A</v>
      </c>
      <c r="X3119" s="81" t="e">
        <f>HLOOKUP(Q3119,データについて!$J$11:$M$18,8,FALSE)</f>
        <v>#N/A</v>
      </c>
      <c r="Y3119" s="81" t="e">
        <f>HLOOKUP(R3119,データについて!$J$12:$M$18,7,FALSE)</f>
        <v>#N/A</v>
      </c>
      <c r="Z3119" s="81" t="e">
        <f>HLOOKUP(I3119,データについて!$J$3:$M$18,16,FALSE)</f>
        <v>#N/A</v>
      </c>
      <c r="AA3119" s="81" t="str">
        <f>IFERROR(HLOOKUP(J3119,データについて!$J$4:$AH$19,16,FALSE),"")</f>
        <v/>
      </c>
      <c r="AB3119" s="81" t="str">
        <f>IFERROR(HLOOKUP(K3119,データについて!$J$5:$AH$20,14,FALSE),"")</f>
        <v/>
      </c>
      <c r="AC3119" s="81" t="e">
        <f>IF(X3119=1,HLOOKUP(R3119,データについて!$J$12:$M$18,7,FALSE),"*")</f>
        <v>#N/A</v>
      </c>
      <c r="AD3119" s="81" t="e">
        <f>IF(X3119=2,HLOOKUP(R3119,データについて!$J$12:$M$18,7,FALSE),"*")</f>
        <v>#N/A</v>
      </c>
    </row>
    <row r="3120" spans="19:30">
      <c r="S3120" s="81" t="e">
        <f>HLOOKUP(L3120,データについて!$J$6:$M$18,13,FALSE)</f>
        <v>#N/A</v>
      </c>
      <c r="T3120" s="81" t="e">
        <f>HLOOKUP(M3120,データについて!$J$7:$M$18,12,FALSE)</f>
        <v>#N/A</v>
      </c>
      <c r="U3120" s="81" t="e">
        <f>HLOOKUP(N3120,データについて!$J$8:$M$18,11,FALSE)</f>
        <v>#N/A</v>
      </c>
      <c r="V3120" s="81" t="e">
        <f>HLOOKUP(O3120,データについて!$J$9:$M$18,10,FALSE)</f>
        <v>#N/A</v>
      </c>
      <c r="W3120" s="81" t="e">
        <f>HLOOKUP(P3120,データについて!$J$10:$M$18,9,FALSE)</f>
        <v>#N/A</v>
      </c>
      <c r="X3120" s="81" t="e">
        <f>HLOOKUP(Q3120,データについて!$J$11:$M$18,8,FALSE)</f>
        <v>#N/A</v>
      </c>
      <c r="Y3120" s="81" t="e">
        <f>HLOOKUP(R3120,データについて!$J$12:$M$18,7,FALSE)</f>
        <v>#N/A</v>
      </c>
      <c r="Z3120" s="81" t="e">
        <f>HLOOKUP(I3120,データについて!$J$3:$M$18,16,FALSE)</f>
        <v>#N/A</v>
      </c>
      <c r="AA3120" s="81" t="str">
        <f>IFERROR(HLOOKUP(J3120,データについて!$J$4:$AH$19,16,FALSE),"")</f>
        <v/>
      </c>
      <c r="AB3120" s="81" t="str">
        <f>IFERROR(HLOOKUP(K3120,データについて!$J$5:$AH$20,14,FALSE),"")</f>
        <v/>
      </c>
      <c r="AC3120" s="81" t="e">
        <f>IF(X3120=1,HLOOKUP(R3120,データについて!$J$12:$M$18,7,FALSE),"*")</f>
        <v>#N/A</v>
      </c>
      <c r="AD3120" s="81" t="e">
        <f>IF(X3120=2,HLOOKUP(R3120,データについて!$J$12:$M$18,7,FALSE),"*")</f>
        <v>#N/A</v>
      </c>
    </row>
    <row r="3121" spans="19:30">
      <c r="S3121" s="81" t="e">
        <f>HLOOKUP(L3121,データについて!$J$6:$M$18,13,FALSE)</f>
        <v>#N/A</v>
      </c>
      <c r="T3121" s="81" t="e">
        <f>HLOOKUP(M3121,データについて!$J$7:$M$18,12,FALSE)</f>
        <v>#N/A</v>
      </c>
      <c r="U3121" s="81" t="e">
        <f>HLOOKUP(N3121,データについて!$J$8:$M$18,11,FALSE)</f>
        <v>#N/A</v>
      </c>
      <c r="V3121" s="81" t="e">
        <f>HLOOKUP(O3121,データについて!$J$9:$M$18,10,FALSE)</f>
        <v>#N/A</v>
      </c>
      <c r="W3121" s="81" t="e">
        <f>HLOOKUP(P3121,データについて!$J$10:$M$18,9,FALSE)</f>
        <v>#N/A</v>
      </c>
      <c r="X3121" s="81" t="e">
        <f>HLOOKUP(Q3121,データについて!$J$11:$M$18,8,FALSE)</f>
        <v>#N/A</v>
      </c>
      <c r="Y3121" s="81" t="e">
        <f>HLOOKUP(R3121,データについて!$J$12:$M$18,7,FALSE)</f>
        <v>#N/A</v>
      </c>
      <c r="Z3121" s="81" t="e">
        <f>HLOOKUP(I3121,データについて!$J$3:$M$18,16,FALSE)</f>
        <v>#N/A</v>
      </c>
      <c r="AA3121" s="81" t="str">
        <f>IFERROR(HLOOKUP(J3121,データについて!$J$4:$AH$19,16,FALSE),"")</f>
        <v/>
      </c>
      <c r="AB3121" s="81" t="str">
        <f>IFERROR(HLOOKUP(K3121,データについて!$J$5:$AH$20,14,FALSE),"")</f>
        <v/>
      </c>
      <c r="AC3121" s="81" t="e">
        <f>IF(X3121=1,HLOOKUP(R3121,データについて!$J$12:$M$18,7,FALSE),"*")</f>
        <v>#N/A</v>
      </c>
      <c r="AD3121" s="81" t="e">
        <f>IF(X3121=2,HLOOKUP(R3121,データについて!$J$12:$M$18,7,FALSE),"*")</f>
        <v>#N/A</v>
      </c>
    </row>
    <row r="3122" spans="19:30">
      <c r="S3122" s="81" t="e">
        <f>HLOOKUP(L3122,データについて!$J$6:$M$18,13,FALSE)</f>
        <v>#N/A</v>
      </c>
      <c r="T3122" s="81" t="e">
        <f>HLOOKUP(M3122,データについて!$J$7:$M$18,12,FALSE)</f>
        <v>#N/A</v>
      </c>
      <c r="U3122" s="81" t="e">
        <f>HLOOKUP(N3122,データについて!$J$8:$M$18,11,FALSE)</f>
        <v>#N/A</v>
      </c>
      <c r="V3122" s="81" t="e">
        <f>HLOOKUP(O3122,データについて!$J$9:$M$18,10,FALSE)</f>
        <v>#N/A</v>
      </c>
      <c r="W3122" s="81" t="e">
        <f>HLOOKUP(P3122,データについて!$J$10:$M$18,9,FALSE)</f>
        <v>#N/A</v>
      </c>
      <c r="X3122" s="81" t="e">
        <f>HLOOKUP(Q3122,データについて!$J$11:$M$18,8,FALSE)</f>
        <v>#N/A</v>
      </c>
      <c r="Y3122" s="81" t="e">
        <f>HLOOKUP(R3122,データについて!$J$12:$M$18,7,FALSE)</f>
        <v>#N/A</v>
      </c>
      <c r="Z3122" s="81" t="e">
        <f>HLOOKUP(I3122,データについて!$J$3:$M$18,16,FALSE)</f>
        <v>#N/A</v>
      </c>
      <c r="AA3122" s="81" t="str">
        <f>IFERROR(HLOOKUP(J3122,データについて!$J$4:$AH$19,16,FALSE),"")</f>
        <v/>
      </c>
      <c r="AB3122" s="81" t="str">
        <f>IFERROR(HLOOKUP(K3122,データについて!$J$5:$AH$20,14,FALSE),"")</f>
        <v/>
      </c>
      <c r="AC3122" s="81" t="e">
        <f>IF(X3122=1,HLOOKUP(R3122,データについて!$J$12:$M$18,7,FALSE),"*")</f>
        <v>#N/A</v>
      </c>
      <c r="AD3122" s="81" t="e">
        <f>IF(X3122=2,HLOOKUP(R3122,データについて!$J$12:$M$18,7,FALSE),"*")</f>
        <v>#N/A</v>
      </c>
    </row>
    <row r="3123" spans="19:30">
      <c r="S3123" s="81" t="e">
        <f>HLOOKUP(L3123,データについて!$J$6:$M$18,13,FALSE)</f>
        <v>#N/A</v>
      </c>
      <c r="T3123" s="81" t="e">
        <f>HLOOKUP(M3123,データについて!$J$7:$M$18,12,FALSE)</f>
        <v>#N/A</v>
      </c>
      <c r="U3123" s="81" t="e">
        <f>HLOOKUP(N3123,データについて!$J$8:$M$18,11,FALSE)</f>
        <v>#N/A</v>
      </c>
      <c r="V3123" s="81" t="e">
        <f>HLOOKUP(O3123,データについて!$J$9:$M$18,10,FALSE)</f>
        <v>#N/A</v>
      </c>
      <c r="W3123" s="81" t="e">
        <f>HLOOKUP(P3123,データについて!$J$10:$M$18,9,FALSE)</f>
        <v>#N/A</v>
      </c>
      <c r="X3123" s="81" t="e">
        <f>HLOOKUP(Q3123,データについて!$J$11:$M$18,8,FALSE)</f>
        <v>#N/A</v>
      </c>
      <c r="Y3123" s="81" t="e">
        <f>HLOOKUP(R3123,データについて!$J$12:$M$18,7,FALSE)</f>
        <v>#N/A</v>
      </c>
      <c r="Z3123" s="81" t="e">
        <f>HLOOKUP(I3123,データについて!$J$3:$M$18,16,FALSE)</f>
        <v>#N/A</v>
      </c>
      <c r="AA3123" s="81" t="str">
        <f>IFERROR(HLOOKUP(J3123,データについて!$J$4:$AH$19,16,FALSE),"")</f>
        <v/>
      </c>
      <c r="AB3123" s="81" t="str">
        <f>IFERROR(HLOOKUP(K3123,データについて!$J$5:$AH$20,14,FALSE),"")</f>
        <v/>
      </c>
      <c r="AC3123" s="81" t="e">
        <f>IF(X3123=1,HLOOKUP(R3123,データについて!$J$12:$M$18,7,FALSE),"*")</f>
        <v>#N/A</v>
      </c>
      <c r="AD3123" s="81" t="e">
        <f>IF(X3123=2,HLOOKUP(R3123,データについて!$J$12:$M$18,7,FALSE),"*")</f>
        <v>#N/A</v>
      </c>
    </row>
    <row r="3124" spans="19:30">
      <c r="S3124" s="81" t="e">
        <f>HLOOKUP(L3124,データについて!$J$6:$M$18,13,FALSE)</f>
        <v>#N/A</v>
      </c>
      <c r="T3124" s="81" t="e">
        <f>HLOOKUP(M3124,データについて!$J$7:$M$18,12,FALSE)</f>
        <v>#N/A</v>
      </c>
      <c r="U3124" s="81" t="e">
        <f>HLOOKUP(N3124,データについて!$J$8:$M$18,11,FALSE)</f>
        <v>#N/A</v>
      </c>
      <c r="V3124" s="81" t="e">
        <f>HLOOKUP(O3124,データについて!$J$9:$M$18,10,FALSE)</f>
        <v>#N/A</v>
      </c>
      <c r="W3124" s="81" t="e">
        <f>HLOOKUP(P3124,データについて!$J$10:$M$18,9,FALSE)</f>
        <v>#N/A</v>
      </c>
      <c r="X3124" s="81" t="e">
        <f>HLOOKUP(Q3124,データについて!$J$11:$M$18,8,FALSE)</f>
        <v>#N/A</v>
      </c>
      <c r="Y3124" s="81" t="e">
        <f>HLOOKUP(R3124,データについて!$J$12:$M$18,7,FALSE)</f>
        <v>#N/A</v>
      </c>
      <c r="Z3124" s="81" t="e">
        <f>HLOOKUP(I3124,データについて!$J$3:$M$18,16,FALSE)</f>
        <v>#N/A</v>
      </c>
      <c r="AA3124" s="81" t="str">
        <f>IFERROR(HLOOKUP(J3124,データについて!$J$4:$AH$19,16,FALSE),"")</f>
        <v/>
      </c>
      <c r="AB3124" s="81" t="str">
        <f>IFERROR(HLOOKUP(K3124,データについて!$J$5:$AH$20,14,FALSE),"")</f>
        <v/>
      </c>
      <c r="AC3124" s="81" t="e">
        <f>IF(X3124=1,HLOOKUP(R3124,データについて!$J$12:$M$18,7,FALSE),"*")</f>
        <v>#N/A</v>
      </c>
      <c r="AD3124" s="81" t="e">
        <f>IF(X3124=2,HLOOKUP(R3124,データについて!$J$12:$M$18,7,FALSE),"*")</f>
        <v>#N/A</v>
      </c>
    </row>
    <row r="3125" spans="19:30">
      <c r="S3125" s="81" t="e">
        <f>HLOOKUP(L3125,データについて!$J$6:$M$18,13,FALSE)</f>
        <v>#N/A</v>
      </c>
      <c r="T3125" s="81" t="e">
        <f>HLOOKUP(M3125,データについて!$J$7:$M$18,12,FALSE)</f>
        <v>#N/A</v>
      </c>
      <c r="U3125" s="81" t="e">
        <f>HLOOKUP(N3125,データについて!$J$8:$M$18,11,FALSE)</f>
        <v>#N/A</v>
      </c>
      <c r="V3125" s="81" t="e">
        <f>HLOOKUP(O3125,データについて!$J$9:$M$18,10,FALSE)</f>
        <v>#N/A</v>
      </c>
      <c r="W3125" s="81" t="e">
        <f>HLOOKUP(P3125,データについて!$J$10:$M$18,9,FALSE)</f>
        <v>#N/A</v>
      </c>
      <c r="X3125" s="81" t="e">
        <f>HLOOKUP(Q3125,データについて!$J$11:$M$18,8,FALSE)</f>
        <v>#N/A</v>
      </c>
      <c r="Y3125" s="81" t="e">
        <f>HLOOKUP(R3125,データについて!$J$12:$M$18,7,FALSE)</f>
        <v>#N/A</v>
      </c>
      <c r="Z3125" s="81" t="e">
        <f>HLOOKUP(I3125,データについて!$J$3:$M$18,16,FALSE)</f>
        <v>#N/A</v>
      </c>
      <c r="AA3125" s="81" t="str">
        <f>IFERROR(HLOOKUP(J3125,データについて!$J$4:$AH$19,16,FALSE),"")</f>
        <v/>
      </c>
      <c r="AB3125" s="81" t="str">
        <f>IFERROR(HLOOKUP(K3125,データについて!$J$5:$AH$20,14,FALSE),"")</f>
        <v/>
      </c>
      <c r="AC3125" s="81" t="e">
        <f>IF(X3125=1,HLOOKUP(R3125,データについて!$J$12:$M$18,7,FALSE),"*")</f>
        <v>#N/A</v>
      </c>
      <c r="AD3125" s="81" t="e">
        <f>IF(X3125=2,HLOOKUP(R3125,データについて!$J$12:$M$18,7,FALSE),"*")</f>
        <v>#N/A</v>
      </c>
    </row>
    <row r="3126" spans="19:30">
      <c r="S3126" s="81" t="e">
        <f>HLOOKUP(L3126,データについて!$J$6:$M$18,13,FALSE)</f>
        <v>#N/A</v>
      </c>
      <c r="T3126" s="81" t="e">
        <f>HLOOKUP(M3126,データについて!$J$7:$M$18,12,FALSE)</f>
        <v>#N/A</v>
      </c>
      <c r="U3126" s="81" t="e">
        <f>HLOOKUP(N3126,データについて!$J$8:$M$18,11,FALSE)</f>
        <v>#N/A</v>
      </c>
      <c r="V3126" s="81" t="e">
        <f>HLOOKUP(O3126,データについて!$J$9:$M$18,10,FALSE)</f>
        <v>#N/A</v>
      </c>
      <c r="W3126" s="81" t="e">
        <f>HLOOKUP(P3126,データについて!$J$10:$M$18,9,FALSE)</f>
        <v>#N/A</v>
      </c>
      <c r="X3126" s="81" t="e">
        <f>HLOOKUP(Q3126,データについて!$J$11:$M$18,8,FALSE)</f>
        <v>#N/A</v>
      </c>
      <c r="Y3126" s="81" t="e">
        <f>HLOOKUP(R3126,データについて!$J$12:$M$18,7,FALSE)</f>
        <v>#N/A</v>
      </c>
      <c r="Z3126" s="81" t="e">
        <f>HLOOKUP(I3126,データについて!$J$3:$M$18,16,FALSE)</f>
        <v>#N/A</v>
      </c>
      <c r="AA3126" s="81" t="str">
        <f>IFERROR(HLOOKUP(J3126,データについて!$J$4:$AH$19,16,FALSE),"")</f>
        <v/>
      </c>
      <c r="AB3126" s="81" t="str">
        <f>IFERROR(HLOOKUP(K3126,データについて!$J$5:$AH$20,14,FALSE),"")</f>
        <v/>
      </c>
      <c r="AC3126" s="81" t="e">
        <f>IF(X3126=1,HLOOKUP(R3126,データについて!$J$12:$M$18,7,FALSE),"*")</f>
        <v>#N/A</v>
      </c>
      <c r="AD3126" s="81" t="e">
        <f>IF(X3126=2,HLOOKUP(R3126,データについて!$J$12:$M$18,7,FALSE),"*")</f>
        <v>#N/A</v>
      </c>
    </row>
    <row r="3127" spans="19:30">
      <c r="S3127" s="81" t="e">
        <f>HLOOKUP(L3127,データについて!$J$6:$M$18,13,FALSE)</f>
        <v>#N/A</v>
      </c>
      <c r="T3127" s="81" t="e">
        <f>HLOOKUP(M3127,データについて!$J$7:$M$18,12,FALSE)</f>
        <v>#N/A</v>
      </c>
      <c r="U3127" s="81" t="e">
        <f>HLOOKUP(N3127,データについて!$J$8:$M$18,11,FALSE)</f>
        <v>#N/A</v>
      </c>
      <c r="V3127" s="81" t="e">
        <f>HLOOKUP(O3127,データについて!$J$9:$M$18,10,FALSE)</f>
        <v>#N/A</v>
      </c>
      <c r="W3127" s="81" t="e">
        <f>HLOOKUP(P3127,データについて!$J$10:$M$18,9,FALSE)</f>
        <v>#N/A</v>
      </c>
      <c r="X3127" s="81" t="e">
        <f>HLOOKUP(Q3127,データについて!$J$11:$M$18,8,FALSE)</f>
        <v>#N/A</v>
      </c>
      <c r="Y3127" s="81" t="e">
        <f>HLOOKUP(R3127,データについて!$J$12:$M$18,7,FALSE)</f>
        <v>#N/A</v>
      </c>
      <c r="Z3127" s="81" t="e">
        <f>HLOOKUP(I3127,データについて!$J$3:$M$18,16,FALSE)</f>
        <v>#N/A</v>
      </c>
      <c r="AA3127" s="81" t="str">
        <f>IFERROR(HLOOKUP(J3127,データについて!$J$4:$AH$19,16,FALSE),"")</f>
        <v/>
      </c>
      <c r="AB3127" s="81" t="str">
        <f>IFERROR(HLOOKUP(K3127,データについて!$J$5:$AH$20,14,FALSE),"")</f>
        <v/>
      </c>
      <c r="AC3127" s="81" t="e">
        <f>IF(X3127=1,HLOOKUP(R3127,データについて!$J$12:$M$18,7,FALSE),"*")</f>
        <v>#N/A</v>
      </c>
      <c r="AD3127" s="81" t="e">
        <f>IF(X3127=2,HLOOKUP(R3127,データについて!$J$12:$M$18,7,FALSE),"*")</f>
        <v>#N/A</v>
      </c>
    </row>
    <row r="3128" spans="19:30">
      <c r="S3128" s="81" t="e">
        <f>HLOOKUP(L3128,データについて!$J$6:$M$18,13,FALSE)</f>
        <v>#N/A</v>
      </c>
      <c r="T3128" s="81" t="e">
        <f>HLOOKUP(M3128,データについて!$J$7:$M$18,12,FALSE)</f>
        <v>#N/A</v>
      </c>
      <c r="U3128" s="81" t="e">
        <f>HLOOKUP(N3128,データについて!$J$8:$M$18,11,FALSE)</f>
        <v>#N/A</v>
      </c>
      <c r="V3128" s="81" t="e">
        <f>HLOOKUP(O3128,データについて!$J$9:$M$18,10,FALSE)</f>
        <v>#N/A</v>
      </c>
      <c r="W3128" s="81" t="e">
        <f>HLOOKUP(P3128,データについて!$J$10:$M$18,9,FALSE)</f>
        <v>#N/A</v>
      </c>
      <c r="X3128" s="81" t="e">
        <f>HLOOKUP(Q3128,データについて!$J$11:$M$18,8,FALSE)</f>
        <v>#N/A</v>
      </c>
      <c r="Y3128" s="81" t="e">
        <f>HLOOKUP(R3128,データについて!$J$12:$M$18,7,FALSE)</f>
        <v>#N/A</v>
      </c>
      <c r="Z3128" s="81" t="e">
        <f>HLOOKUP(I3128,データについて!$J$3:$M$18,16,FALSE)</f>
        <v>#N/A</v>
      </c>
      <c r="AA3128" s="81" t="str">
        <f>IFERROR(HLOOKUP(J3128,データについて!$J$4:$AH$19,16,FALSE),"")</f>
        <v/>
      </c>
      <c r="AB3128" s="81" t="str">
        <f>IFERROR(HLOOKUP(K3128,データについて!$J$5:$AH$20,14,FALSE),"")</f>
        <v/>
      </c>
      <c r="AC3128" s="81" t="e">
        <f>IF(X3128=1,HLOOKUP(R3128,データについて!$J$12:$M$18,7,FALSE),"*")</f>
        <v>#N/A</v>
      </c>
      <c r="AD3128" s="81" t="e">
        <f>IF(X3128=2,HLOOKUP(R3128,データについて!$J$12:$M$18,7,FALSE),"*")</f>
        <v>#N/A</v>
      </c>
    </row>
    <row r="3129" spans="19:30">
      <c r="S3129" s="81" t="e">
        <f>HLOOKUP(L3129,データについて!$J$6:$M$18,13,FALSE)</f>
        <v>#N/A</v>
      </c>
      <c r="T3129" s="81" t="e">
        <f>HLOOKUP(M3129,データについて!$J$7:$M$18,12,FALSE)</f>
        <v>#N/A</v>
      </c>
      <c r="U3129" s="81" t="e">
        <f>HLOOKUP(N3129,データについて!$J$8:$M$18,11,FALSE)</f>
        <v>#N/A</v>
      </c>
      <c r="V3129" s="81" t="e">
        <f>HLOOKUP(O3129,データについて!$J$9:$M$18,10,FALSE)</f>
        <v>#N/A</v>
      </c>
      <c r="W3129" s="81" t="e">
        <f>HLOOKUP(P3129,データについて!$J$10:$M$18,9,FALSE)</f>
        <v>#N/A</v>
      </c>
      <c r="X3129" s="81" t="e">
        <f>HLOOKUP(Q3129,データについて!$J$11:$M$18,8,FALSE)</f>
        <v>#N/A</v>
      </c>
      <c r="Y3129" s="81" t="e">
        <f>HLOOKUP(R3129,データについて!$J$12:$M$18,7,FALSE)</f>
        <v>#N/A</v>
      </c>
      <c r="Z3129" s="81" t="e">
        <f>HLOOKUP(I3129,データについて!$J$3:$M$18,16,FALSE)</f>
        <v>#N/A</v>
      </c>
      <c r="AA3129" s="81" t="str">
        <f>IFERROR(HLOOKUP(J3129,データについて!$J$4:$AH$19,16,FALSE),"")</f>
        <v/>
      </c>
      <c r="AB3129" s="81" t="str">
        <f>IFERROR(HLOOKUP(K3129,データについて!$J$5:$AH$20,14,FALSE),"")</f>
        <v/>
      </c>
      <c r="AC3129" s="81" t="e">
        <f>IF(X3129=1,HLOOKUP(R3129,データについて!$J$12:$M$18,7,FALSE),"*")</f>
        <v>#N/A</v>
      </c>
      <c r="AD3129" s="81" t="e">
        <f>IF(X3129=2,HLOOKUP(R3129,データについて!$J$12:$M$18,7,FALSE),"*")</f>
        <v>#N/A</v>
      </c>
    </row>
    <row r="3130" spans="19:30">
      <c r="S3130" s="81" t="e">
        <f>HLOOKUP(L3130,データについて!$J$6:$M$18,13,FALSE)</f>
        <v>#N/A</v>
      </c>
      <c r="T3130" s="81" t="e">
        <f>HLOOKUP(M3130,データについて!$J$7:$M$18,12,FALSE)</f>
        <v>#N/A</v>
      </c>
      <c r="U3130" s="81" t="e">
        <f>HLOOKUP(N3130,データについて!$J$8:$M$18,11,FALSE)</f>
        <v>#N/A</v>
      </c>
      <c r="V3130" s="81" t="e">
        <f>HLOOKUP(O3130,データについて!$J$9:$M$18,10,FALSE)</f>
        <v>#N/A</v>
      </c>
      <c r="W3130" s="81" t="e">
        <f>HLOOKUP(P3130,データについて!$J$10:$M$18,9,FALSE)</f>
        <v>#N/A</v>
      </c>
      <c r="X3130" s="81" t="e">
        <f>HLOOKUP(Q3130,データについて!$J$11:$M$18,8,FALSE)</f>
        <v>#N/A</v>
      </c>
      <c r="Y3130" s="81" t="e">
        <f>HLOOKUP(R3130,データについて!$J$12:$M$18,7,FALSE)</f>
        <v>#N/A</v>
      </c>
      <c r="Z3130" s="81" t="e">
        <f>HLOOKUP(I3130,データについて!$J$3:$M$18,16,FALSE)</f>
        <v>#N/A</v>
      </c>
      <c r="AA3130" s="81" t="str">
        <f>IFERROR(HLOOKUP(J3130,データについて!$J$4:$AH$19,16,FALSE),"")</f>
        <v/>
      </c>
      <c r="AB3130" s="81" t="str">
        <f>IFERROR(HLOOKUP(K3130,データについて!$J$5:$AH$20,14,FALSE),"")</f>
        <v/>
      </c>
      <c r="AC3130" s="81" t="e">
        <f>IF(X3130=1,HLOOKUP(R3130,データについて!$J$12:$M$18,7,FALSE),"*")</f>
        <v>#N/A</v>
      </c>
      <c r="AD3130" s="81" t="e">
        <f>IF(X3130=2,HLOOKUP(R3130,データについて!$J$12:$M$18,7,FALSE),"*")</f>
        <v>#N/A</v>
      </c>
    </row>
    <row r="3131" spans="19:30">
      <c r="S3131" s="81" t="e">
        <f>HLOOKUP(L3131,データについて!$J$6:$M$18,13,FALSE)</f>
        <v>#N/A</v>
      </c>
      <c r="T3131" s="81" t="e">
        <f>HLOOKUP(M3131,データについて!$J$7:$M$18,12,FALSE)</f>
        <v>#N/A</v>
      </c>
      <c r="U3131" s="81" t="e">
        <f>HLOOKUP(N3131,データについて!$J$8:$M$18,11,FALSE)</f>
        <v>#N/A</v>
      </c>
      <c r="V3131" s="81" t="e">
        <f>HLOOKUP(O3131,データについて!$J$9:$M$18,10,FALSE)</f>
        <v>#N/A</v>
      </c>
      <c r="W3131" s="81" t="e">
        <f>HLOOKUP(P3131,データについて!$J$10:$M$18,9,FALSE)</f>
        <v>#N/A</v>
      </c>
      <c r="X3131" s="81" t="e">
        <f>HLOOKUP(Q3131,データについて!$J$11:$M$18,8,FALSE)</f>
        <v>#N/A</v>
      </c>
      <c r="Y3131" s="81" t="e">
        <f>HLOOKUP(R3131,データについて!$J$12:$M$18,7,FALSE)</f>
        <v>#N/A</v>
      </c>
      <c r="Z3131" s="81" t="e">
        <f>HLOOKUP(I3131,データについて!$J$3:$M$18,16,FALSE)</f>
        <v>#N/A</v>
      </c>
      <c r="AA3131" s="81" t="str">
        <f>IFERROR(HLOOKUP(J3131,データについて!$J$4:$AH$19,16,FALSE),"")</f>
        <v/>
      </c>
      <c r="AB3131" s="81" t="str">
        <f>IFERROR(HLOOKUP(K3131,データについて!$J$5:$AH$20,14,FALSE),"")</f>
        <v/>
      </c>
      <c r="AC3131" s="81" t="e">
        <f>IF(X3131=1,HLOOKUP(R3131,データについて!$J$12:$M$18,7,FALSE),"*")</f>
        <v>#N/A</v>
      </c>
      <c r="AD3131" s="81" t="e">
        <f>IF(X3131=2,HLOOKUP(R3131,データについて!$J$12:$M$18,7,FALSE),"*")</f>
        <v>#N/A</v>
      </c>
    </row>
    <row r="3132" spans="19:30">
      <c r="S3132" s="81" t="e">
        <f>HLOOKUP(L3132,データについて!$J$6:$M$18,13,FALSE)</f>
        <v>#N/A</v>
      </c>
      <c r="T3132" s="81" t="e">
        <f>HLOOKUP(M3132,データについて!$J$7:$M$18,12,FALSE)</f>
        <v>#N/A</v>
      </c>
      <c r="U3132" s="81" t="e">
        <f>HLOOKUP(N3132,データについて!$J$8:$M$18,11,FALSE)</f>
        <v>#N/A</v>
      </c>
      <c r="V3132" s="81" t="e">
        <f>HLOOKUP(O3132,データについて!$J$9:$M$18,10,FALSE)</f>
        <v>#N/A</v>
      </c>
      <c r="W3132" s="81" t="e">
        <f>HLOOKUP(P3132,データについて!$J$10:$M$18,9,FALSE)</f>
        <v>#N/A</v>
      </c>
      <c r="X3132" s="81" t="e">
        <f>HLOOKUP(Q3132,データについて!$J$11:$M$18,8,FALSE)</f>
        <v>#N/A</v>
      </c>
      <c r="Y3132" s="81" t="e">
        <f>HLOOKUP(R3132,データについて!$J$12:$M$18,7,FALSE)</f>
        <v>#N/A</v>
      </c>
      <c r="Z3132" s="81" t="e">
        <f>HLOOKUP(I3132,データについて!$J$3:$M$18,16,FALSE)</f>
        <v>#N/A</v>
      </c>
      <c r="AA3132" s="81" t="str">
        <f>IFERROR(HLOOKUP(J3132,データについて!$J$4:$AH$19,16,FALSE),"")</f>
        <v/>
      </c>
      <c r="AB3132" s="81" t="str">
        <f>IFERROR(HLOOKUP(K3132,データについて!$J$5:$AH$20,14,FALSE),"")</f>
        <v/>
      </c>
      <c r="AC3132" s="81" t="e">
        <f>IF(X3132=1,HLOOKUP(R3132,データについて!$J$12:$M$18,7,FALSE),"*")</f>
        <v>#N/A</v>
      </c>
      <c r="AD3132" s="81" t="e">
        <f>IF(X3132=2,HLOOKUP(R3132,データについて!$J$12:$M$18,7,FALSE),"*")</f>
        <v>#N/A</v>
      </c>
    </row>
    <row r="3133" spans="19:30">
      <c r="S3133" s="81" t="e">
        <f>HLOOKUP(L3133,データについて!$J$6:$M$18,13,FALSE)</f>
        <v>#N/A</v>
      </c>
      <c r="T3133" s="81" t="e">
        <f>HLOOKUP(M3133,データについて!$J$7:$M$18,12,FALSE)</f>
        <v>#N/A</v>
      </c>
      <c r="U3133" s="81" t="e">
        <f>HLOOKUP(N3133,データについて!$J$8:$M$18,11,FALSE)</f>
        <v>#N/A</v>
      </c>
      <c r="V3133" s="81" t="e">
        <f>HLOOKUP(O3133,データについて!$J$9:$M$18,10,FALSE)</f>
        <v>#N/A</v>
      </c>
      <c r="W3133" s="81" t="e">
        <f>HLOOKUP(P3133,データについて!$J$10:$M$18,9,FALSE)</f>
        <v>#N/A</v>
      </c>
      <c r="X3133" s="81" t="e">
        <f>HLOOKUP(Q3133,データについて!$J$11:$M$18,8,FALSE)</f>
        <v>#N/A</v>
      </c>
      <c r="Y3133" s="81" t="e">
        <f>HLOOKUP(R3133,データについて!$J$12:$M$18,7,FALSE)</f>
        <v>#N/A</v>
      </c>
      <c r="Z3133" s="81" t="e">
        <f>HLOOKUP(I3133,データについて!$J$3:$M$18,16,FALSE)</f>
        <v>#N/A</v>
      </c>
      <c r="AA3133" s="81" t="str">
        <f>IFERROR(HLOOKUP(J3133,データについて!$J$4:$AH$19,16,FALSE),"")</f>
        <v/>
      </c>
      <c r="AB3133" s="81" t="str">
        <f>IFERROR(HLOOKUP(K3133,データについて!$J$5:$AH$20,14,FALSE),"")</f>
        <v/>
      </c>
      <c r="AC3133" s="81" t="e">
        <f>IF(X3133=1,HLOOKUP(R3133,データについて!$J$12:$M$18,7,FALSE),"*")</f>
        <v>#N/A</v>
      </c>
      <c r="AD3133" s="81" t="e">
        <f>IF(X3133=2,HLOOKUP(R3133,データについて!$J$12:$M$18,7,FALSE),"*")</f>
        <v>#N/A</v>
      </c>
    </row>
    <row r="3134" spans="19:30">
      <c r="S3134" s="81" t="e">
        <f>HLOOKUP(L3134,データについて!$J$6:$M$18,13,FALSE)</f>
        <v>#N/A</v>
      </c>
      <c r="T3134" s="81" t="e">
        <f>HLOOKUP(M3134,データについて!$J$7:$M$18,12,FALSE)</f>
        <v>#N/A</v>
      </c>
      <c r="U3134" s="81" t="e">
        <f>HLOOKUP(N3134,データについて!$J$8:$M$18,11,FALSE)</f>
        <v>#N/A</v>
      </c>
      <c r="V3134" s="81" t="e">
        <f>HLOOKUP(O3134,データについて!$J$9:$M$18,10,FALSE)</f>
        <v>#N/A</v>
      </c>
      <c r="W3134" s="81" t="e">
        <f>HLOOKUP(P3134,データについて!$J$10:$M$18,9,FALSE)</f>
        <v>#N/A</v>
      </c>
      <c r="X3134" s="81" t="e">
        <f>HLOOKUP(Q3134,データについて!$J$11:$M$18,8,FALSE)</f>
        <v>#N/A</v>
      </c>
      <c r="Y3134" s="81" t="e">
        <f>HLOOKUP(R3134,データについて!$J$12:$M$18,7,FALSE)</f>
        <v>#N/A</v>
      </c>
      <c r="Z3134" s="81" t="e">
        <f>HLOOKUP(I3134,データについて!$J$3:$M$18,16,FALSE)</f>
        <v>#N/A</v>
      </c>
      <c r="AA3134" s="81" t="str">
        <f>IFERROR(HLOOKUP(J3134,データについて!$J$4:$AH$19,16,FALSE),"")</f>
        <v/>
      </c>
      <c r="AB3134" s="81" t="str">
        <f>IFERROR(HLOOKUP(K3134,データについて!$J$5:$AH$20,14,FALSE),"")</f>
        <v/>
      </c>
      <c r="AC3134" s="81" t="e">
        <f>IF(X3134=1,HLOOKUP(R3134,データについて!$J$12:$M$18,7,FALSE),"*")</f>
        <v>#N/A</v>
      </c>
      <c r="AD3134" s="81" t="e">
        <f>IF(X3134=2,HLOOKUP(R3134,データについて!$J$12:$M$18,7,FALSE),"*")</f>
        <v>#N/A</v>
      </c>
    </row>
    <row r="3135" spans="19:30">
      <c r="S3135" s="81" t="e">
        <f>HLOOKUP(L3135,データについて!$J$6:$M$18,13,FALSE)</f>
        <v>#N/A</v>
      </c>
      <c r="T3135" s="81" t="e">
        <f>HLOOKUP(M3135,データについて!$J$7:$M$18,12,FALSE)</f>
        <v>#N/A</v>
      </c>
      <c r="U3135" s="81" t="e">
        <f>HLOOKUP(N3135,データについて!$J$8:$M$18,11,FALSE)</f>
        <v>#N/A</v>
      </c>
      <c r="V3135" s="81" t="e">
        <f>HLOOKUP(O3135,データについて!$J$9:$M$18,10,FALSE)</f>
        <v>#N/A</v>
      </c>
      <c r="W3135" s="81" t="e">
        <f>HLOOKUP(P3135,データについて!$J$10:$M$18,9,FALSE)</f>
        <v>#N/A</v>
      </c>
      <c r="X3135" s="81" t="e">
        <f>HLOOKUP(Q3135,データについて!$J$11:$M$18,8,FALSE)</f>
        <v>#N/A</v>
      </c>
      <c r="Y3135" s="81" t="e">
        <f>HLOOKUP(R3135,データについて!$J$12:$M$18,7,FALSE)</f>
        <v>#N/A</v>
      </c>
      <c r="Z3135" s="81" t="e">
        <f>HLOOKUP(I3135,データについて!$J$3:$M$18,16,FALSE)</f>
        <v>#N/A</v>
      </c>
      <c r="AA3135" s="81" t="str">
        <f>IFERROR(HLOOKUP(J3135,データについて!$J$4:$AH$19,16,FALSE),"")</f>
        <v/>
      </c>
      <c r="AB3135" s="81" t="str">
        <f>IFERROR(HLOOKUP(K3135,データについて!$J$5:$AH$20,14,FALSE),"")</f>
        <v/>
      </c>
      <c r="AC3135" s="81" t="e">
        <f>IF(X3135=1,HLOOKUP(R3135,データについて!$J$12:$M$18,7,FALSE),"*")</f>
        <v>#N/A</v>
      </c>
      <c r="AD3135" s="81" t="e">
        <f>IF(X3135=2,HLOOKUP(R3135,データについて!$J$12:$M$18,7,FALSE),"*")</f>
        <v>#N/A</v>
      </c>
    </row>
    <row r="3136" spans="19:30">
      <c r="S3136" s="81" t="e">
        <f>HLOOKUP(L3136,データについて!$J$6:$M$18,13,FALSE)</f>
        <v>#N/A</v>
      </c>
      <c r="T3136" s="81" t="e">
        <f>HLOOKUP(M3136,データについて!$J$7:$M$18,12,FALSE)</f>
        <v>#N/A</v>
      </c>
      <c r="U3136" s="81" t="e">
        <f>HLOOKUP(N3136,データについて!$J$8:$M$18,11,FALSE)</f>
        <v>#N/A</v>
      </c>
      <c r="V3136" s="81" t="e">
        <f>HLOOKUP(O3136,データについて!$J$9:$M$18,10,FALSE)</f>
        <v>#N/A</v>
      </c>
      <c r="W3136" s="81" t="e">
        <f>HLOOKUP(P3136,データについて!$J$10:$M$18,9,FALSE)</f>
        <v>#N/A</v>
      </c>
      <c r="X3136" s="81" t="e">
        <f>HLOOKUP(Q3136,データについて!$J$11:$M$18,8,FALSE)</f>
        <v>#N/A</v>
      </c>
      <c r="Y3136" s="81" t="e">
        <f>HLOOKUP(R3136,データについて!$J$12:$M$18,7,FALSE)</f>
        <v>#N/A</v>
      </c>
      <c r="Z3136" s="81" t="e">
        <f>HLOOKUP(I3136,データについて!$J$3:$M$18,16,FALSE)</f>
        <v>#N/A</v>
      </c>
      <c r="AA3136" s="81" t="str">
        <f>IFERROR(HLOOKUP(J3136,データについて!$J$4:$AH$19,16,FALSE),"")</f>
        <v/>
      </c>
      <c r="AB3136" s="81" t="str">
        <f>IFERROR(HLOOKUP(K3136,データについて!$J$5:$AH$20,14,FALSE),"")</f>
        <v/>
      </c>
      <c r="AC3136" s="81" t="e">
        <f>IF(X3136=1,HLOOKUP(R3136,データについて!$J$12:$M$18,7,FALSE),"*")</f>
        <v>#N/A</v>
      </c>
      <c r="AD3136" s="81" t="e">
        <f>IF(X3136=2,HLOOKUP(R3136,データについて!$J$12:$M$18,7,FALSE),"*")</f>
        <v>#N/A</v>
      </c>
    </row>
    <row r="3137" spans="19:30">
      <c r="S3137" s="81" t="e">
        <f>HLOOKUP(L3137,データについて!$J$6:$M$18,13,FALSE)</f>
        <v>#N/A</v>
      </c>
      <c r="T3137" s="81" t="e">
        <f>HLOOKUP(M3137,データについて!$J$7:$M$18,12,FALSE)</f>
        <v>#N/A</v>
      </c>
      <c r="U3137" s="81" t="e">
        <f>HLOOKUP(N3137,データについて!$J$8:$M$18,11,FALSE)</f>
        <v>#N/A</v>
      </c>
      <c r="V3137" s="81" t="e">
        <f>HLOOKUP(O3137,データについて!$J$9:$M$18,10,FALSE)</f>
        <v>#N/A</v>
      </c>
      <c r="W3137" s="81" t="e">
        <f>HLOOKUP(P3137,データについて!$J$10:$M$18,9,FALSE)</f>
        <v>#N/A</v>
      </c>
      <c r="X3137" s="81" t="e">
        <f>HLOOKUP(Q3137,データについて!$J$11:$M$18,8,FALSE)</f>
        <v>#N/A</v>
      </c>
      <c r="Y3137" s="81" t="e">
        <f>HLOOKUP(R3137,データについて!$J$12:$M$18,7,FALSE)</f>
        <v>#N/A</v>
      </c>
      <c r="Z3137" s="81" t="e">
        <f>HLOOKUP(I3137,データについて!$J$3:$M$18,16,FALSE)</f>
        <v>#N/A</v>
      </c>
      <c r="AA3137" s="81" t="str">
        <f>IFERROR(HLOOKUP(J3137,データについて!$J$4:$AH$19,16,FALSE),"")</f>
        <v/>
      </c>
      <c r="AB3137" s="81" t="str">
        <f>IFERROR(HLOOKUP(K3137,データについて!$J$5:$AH$20,14,FALSE),"")</f>
        <v/>
      </c>
      <c r="AC3137" s="81" t="e">
        <f>IF(X3137=1,HLOOKUP(R3137,データについて!$J$12:$M$18,7,FALSE),"*")</f>
        <v>#N/A</v>
      </c>
      <c r="AD3137" s="81" t="e">
        <f>IF(X3137=2,HLOOKUP(R3137,データについて!$J$12:$M$18,7,FALSE),"*")</f>
        <v>#N/A</v>
      </c>
    </row>
    <row r="3138" spans="19:30">
      <c r="S3138" s="81" t="e">
        <f>HLOOKUP(L3138,データについて!$J$6:$M$18,13,FALSE)</f>
        <v>#N/A</v>
      </c>
      <c r="T3138" s="81" t="e">
        <f>HLOOKUP(M3138,データについて!$J$7:$M$18,12,FALSE)</f>
        <v>#N/A</v>
      </c>
      <c r="U3138" s="81" t="e">
        <f>HLOOKUP(N3138,データについて!$J$8:$M$18,11,FALSE)</f>
        <v>#N/A</v>
      </c>
      <c r="V3138" s="81" t="e">
        <f>HLOOKUP(O3138,データについて!$J$9:$M$18,10,FALSE)</f>
        <v>#N/A</v>
      </c>
      <c r="W3138" s="81" t="e">
        <f>HLOOKUP(P3138,データについて!$J$10:$M$18,9,FALSE)</f>
        <v>#N/A</v>
      </c>
      <c r="X3138" s="81" t="e">
        <f>HLOOKUP(Q3138,データについて!$J$11:$M$18,8,FALSE)</f>
        <v>#N/A</v>
      </c>
      <c r="Y3138" s="81" t="e">
        <f>HLOOKUP(R3138,データについて!$J$12:$M$18,7,FALSE)</f>
        <v>#N/A</v>
      </c>
      <c r="Z3138" s="81" t="e">
        <f>HLOOKUP(I3138,データについて!$J$3:$M$18,16,FALSE)</f>
        <v>#N/A</v>
      </c>
      <c r="AA3138" s="81" t="str">
        <f>IFERROR(HLOOKUP(J3138,データについて!$J$4:$AH$19,16,FALSE),"")</f>
        <v/>
      </c>
      <c r="AB3138" s="81" t="str">
        <f>IFERROR(HLOOKUP(K3138,データについて!$J$5:$AH$20,14,FALSE),"")</f>
        <v/>
      </c>
      <c r="AC3138" s="81" t="e">
        <f>IF(X3138=1,HLOOKUP(R3138,データについて!$J$12:$M$18,7,FALSE),"*")</f>
        <v>#N/A</v>
      </c>
      <c r="AD3138" s="81" t="e">
        <f>IF(X3138=2,HLOOKUP(R3138,データについて!$J$12:$M$18,7,FALSE),"*")</f>
        <v>#N/A</v>
      </c>
    </row>
    <row r="3139" spans="19:30">
      <c r="S3139" s="81" t="e">
        <f>HLOOKUP(L3139,データについて!$J$6:$M$18,13,FALSE)</f>
        <v>#N/A</v>
      </c>
      <c r="T3139" s="81" t="e">
        <f>HLOOKUP(M3139,データについて!$J$7:$M$18,12,FALSE)</f>
        <v>#N/A</v>
      </c>
      <c r="U3139" s="81" t="e">
        <f>HLOOKUP(N3139,データについて!$J$8:$M$18,11,FALSE)</f>
        <v>#N/A</v>
      </c>
      <c r="V3139" s="81" t="e">
        <f>HLOOKUP(O3139,データについて!$J$9:$M$18,10,FALSE)</f>
        <v>#N/A</v>
      </c>
      <c r="W3139" s="81" t="e">
        <f>HLOOKUP(P3139,データについて!$J$10:$M$18,9,FALSE)</f>
        <v>#N/A</v>
      </c>
      <c r="X3139" s="81" t="e">
        <f>HLOOKUP(Q3139,データについて!$J$11:$M$18,8,FALSE)</f>
        <v>#N/A</v>
      </c>
      <c r="Y3139" s="81" t="e">
        <f>HLOOKUP(R3139,データについて!$J$12:$M$18,7,FALSE)</f>
        <v>#N/A</v>
      </c>
      <c r="Z3139" s="81" t="e">
        <f>HLOOKUP(I3139,データについて!$J$3:$M$18,16,FALSE)</f>
        <v>#N/A</v>
      </c>
      <c r="AA3139" s="81" t="str">
        <f>IFERROR(HLOOKUP(J3139,データについて!$J$4:$AH$19,16,FALSE),"")</f>
        <v/>
      </c>
      <c r="AB3139" s="81" t="str">
        <f>IFERROR(HLOOKUP(K3139,データについて!$J$5:$AH$20,14,FALSE),"")</f>
        <v/>
      </c>
      <c r="AC3139" s="81" t="e">
        <f>IF(X3139=1,HLOOKUP(R3139,データについて!$J$12:$M$18,7,FALSE),"*")</f>
        <v>#N/A</v>
      </c>
      <c r="AD3139" s="81" t="e">
        <f>IF(X3139=2,HLOOKUP(R3139,データについて!$J$12:$M$18,7,FALSE),"*")</f>
        <v>#N/A</v>
      </c>
    </row>
    <row r="3140" spans="19:30">
      <c r="S3140" s="81" t="e">
        <f>HLOOKUP(L3140,データについて!$J$6:$M$18,13,FALSE)</f>
        <v>#N/A</v>
      </c>
      <c r="T3140" s="81" t="e">
        <f>HLOOKUP(M3140,データについて!$J$7:$M$18,12,FALSE)</f>
        <v>#N/A</v>
      </c>
      <c r="U3140" s="81" t="e">
        <f>HLOOKUP(N3140,データについて!$J$8:$M$18,11,FALSE)</f>
        <v>#N/A</v>
      </c>
      <c r="V3140" s="81" t="e">
        <f>HLOOKUP(O3140,データについて!$J$9:$M$18,10,FALSE)</f>
        <v>#N/A</v>
      </c>
      <c r="W3140" s="81" t="e">
        <f>HLOOKUP(P3140,データについて!$J$10:$M$18,9,FALSE)</f>
        <v>#N/A</v>
      </c>
      <c r="X3140" s="81" t="e">
        <f>HLOOKUP(Q3140,データについて!$J$11:$M$18,8,FALSE)</f>
        <v>#N/A</v>
      </c>
      <c r="Y3140" s="81" t="e">
        <f>HLOOKUP(R3140,データについて!$J$12:$M$18,7,FALSE)</f>
        <v>#N/A</v>
      </c>
      <c r="Z3140" s="81" t="e">
        <f>HLOOKUP(I3140,データについて!$J$3:$M$18,16,FALSE)</f>
        <v>#N/A</v>
      </c>
      <c r="AA3140" s="81" t="str">
        <f>IFERROR(HLOOKUP(J3140,データについて!$J$4:$AH$19,16,FALSE),"")</f>
        <v/>
      </c>
      <c r="AB3140" s="81" t="str">
        <f>IFERROR(HLOOKUP(K3140,データについて!$J$5:$AH$20,14,FALSE),"")</f>
        <v/>
      </c>
      <c r="AC3140" s="81" t="e">
        <f>IF(X3140=1,HLOOKUP(R3140,データについて!$J$12:$M$18,7,FALSE),"*")</f>
        <v>#N/A</v>
      </c>
      <c r="AD3140" s="81" t="e">
        <f>IF(X3140=2,HLOOKUP(R3140,データについて!$J$12:$M$18,7,FALSE),"*")</f>
        <v>#N/A</v>
      </c>
    </row>
    <row r="3141" spans="19:30">
      <c r="S3141" s="81" t="e">
        <f>HLOOKUP(L3141,データについて!$J$6:$M$18,13,FALSE)</f>
        <v>#N/A</v>
      </c>
      <c r="T3141" s="81" t="e">
        <f>HLOOKUP(M3141,データについて!$J$7:$M$18,12,FALSE)</f>
        <v>#N/A</v>
      </c>
      <c r="U3141" s="81" t="e">
        <f>HLOOKUP(N3141,データについて!$J$8:$M$18,11,FALSE)</f>
        <v>#N/A</v>
      </c>
      <c r="V3141" s="81" t="e">
        <f>HLOOKUP(O3141,データについて!$J$9:$M$18,10,FALSE)</f>
        <v>#N/A</v>
      </c>
      <c r="W3141" s="81" t="e">
        <f>HLOOKUP(P3141,データについて!$J$10:$M$18,9,FALSE)</f>
        <v>#N/A</v>
      </c>
      <c r="X3141" s="81" t="e">
        <f>HLOOKUP(Q3141,データについて!$J$11:$M$18,8,FALSE)</f>
        <v>#N/A</v>
      </c>
      <c r="Y3141" s="81" t="e">
        <f>HLOOKUP(R3141,データについて!$J$12:$M$18,7,FALSE)</f>
        <v>#N/A</v>
      </c>
      <c r="Z3141" s="81" t="e">
        <f>HLOOKUP(I3141,データについて!$J$3:$M$18,16,FALSE)</f>
        <v>#N/A</v>
      </c>
      <c r="AA3141" s="81" t="str">
        <f>IFERROR(HLOOKUP(J3141,データについて!$J$4:$AH$19,16,FALSE),"")</f>
        <v/>
      </c>
      <c r="AB3141" s="81" t="str">
        <f>IFERROR(HLOOKUP(K3141,データについて!$J$5:$AH$20,14,FALSE),"")</f>
        <v/>
      </c>
      <c r="AC3141" s="81" t="e">
        <f>IF(X3141=1,HLOOKUP(R3141,データについて!$J$12:$M$18,7,FALSE),"*")</f>
        <v>#N/A</v>
      </c>
      <c r="AD3141" s="81" t="e">
        <f>IF(X3141=2,HLOOKUP(R3141,データについて!$J$12:$M$18,7,FALSE),"*")</f>
        <v>#N/A</v>
      </c>
    </row>
    <row r="3142" spans="19:30">
      <c r="S3142" s="81" t="e">
        <f>HLOOKUP(L3142,データについて!$J$6:$M$18,13,FALSE)</f>
        <v>#N/A</v>
      </c>
      <c r="T3142" s="81" t="e">
        <f>HLOOKUP(M3142,データについて!$J$7:$M$18,12,FALSE)</f>
        <v>#N/A</v>
      </c>
      <c r="U3142" s="81" t="e">
        <f>HLOOKUP(N3142,データについて!$J$8:$M$18,11,FALSE)</f>
        <v>#N/A</v>
      </c>
      <c r="V3142" s="81" t="e">
        <f>HLOOKUP(O3142,データについて!$J$9:$M$18,10,FALSE)</f>
        <v>#N/A</v>
      </c>
      <c r="W3142" s="81" t="e">
        <f>HLOOKUP(P3142,データについて!$J$10:$M$18,9,FALSE)</f>
        <v>#N/A</v>
      </c>
      <c r="X3142" s="81" t="e">
        <f>HLOOKUP(Q3142,データについて!$J$11:$M$18,8,FALSE)</f>
        <v>#N/A</v>
      </c>
      <c r="Y3142" s="81" t="e">
        <f>HLOOKUP(R3142,データについて!$J$12:$M$18,7,FALSE)</f>
        <v>#N/A</v>
      </c>
      <c r="Z3142" s="81" t="e">
        <f>HLOOKUP(I3142,データについて!$J$3:$M$18,16,FALSE)</f>
        <v>#N/A</v>
      </c>
      <c r="AA3142" s="81" t="str">
        <f>IFERROR(HLOOKUP(J3142,データについて!$J$4:$AH$19,16,FALSE),"")</f>
        <v/>
      </c>
      <c r="AB3142" s="81" t="str">
        <f>IFERROR(HLOOKUP(K3142,データについて!$J$5:$AH$20,14,FALSE),"")</f>
        <v/>
      </c>
      <c r="AC3142" s="81" t="e">
        <f>IF(X3142=1,HLOOKUP(R3142,データについて!$J$12:$M$18,7,FALSE),"*")</f>
        <v>#N/A</v>
      </c>
      <c r="AD3142" s="81" t="e">
        <f>IF(X3142=2,HLOOKUP(R3142,データについて!$J$12:$M$18,7,FALSE),"*")</f>
        <v>#N/A</v>
      </c>
    </row>
    <row r="3143" spans="19:30">
      <c r="S3143" s="81" t="e">
        <f>HLOOKUP(L3143,データについて!$J$6:$M$18,13,FALSE)</f>
        <v>#N/A</v>
      </c>
      <c r="T3143" s="81" t="e">
        <f>HLOOKUP(M3143,データについて!$J$7:$M$18,12,FALSE)</f>
        <v>#N/A</v>
      </c>
      <c r="U3143" s="81" t="e">
        <f>HLOOKUP(N3143,データについて!$J$8:$M$18,11,FALSE)</f>
        <v>#N/A</v>
      </c>
      <c r="V3143" s="81" t="e">
        <f>HLOOKUP(O3143,データについて!$J$9:$M$18,10,FALSE)</f>
        <v>#N/A</v>
      </c>
      <c r="W3143" s="81" t="e">
        <f>HLOOKUP(P3143,データについて!$J$10:$M$18,9,FALSE)</f>
        <v>#N/A</v>
      </c>
      <c r="X3143" s="81" t="e">
        <f>HLOOKUP(Q3143,データについて!$J$11:$M$18,8,FALSE)</f>
        <v>#N/A</v>
      </c>
      <c r="Y3143" s="81" t="e">
        <f>HLOOKUP(R3143,データについて!$J$12:$M$18,7,FALSE)</f>
        <v>#N/A</v>
      </c>
      <c r="Z3143" s="81" t="e">
        <f>HLOOKUP(I3143,データについて!$J$3:$M$18,16,FALSE)</f>
        <v>#N/A</v>
      </c>
      <c r="AA3143" s="81" t="str">
        <f>IFERROR(HLOOKUP(J3143,データについて!$J$4:$AH$19,16,FALSE),"")</f>
        <v/>
      </c>
      <c r="AB3143" s="81" t="str">
        <f>IFERROR(HLOOKUP(K3143,データについて!$J$5:$AH$20,14,FALSE),"")</f>
        <v/>
      </c>
      <c r="AC3143" s="81" t="e">
        <f>IF(X3143=1,HLOOKUP(R3143,データについて!$J$12:$M$18,7,FALSE),"*")</f>
        <v>#N/A</v>
      </c>
      <c r="AD3143" s="81" t="e">
        <f>IF(X3143=2,HLOOKUP(R3143,データについて!$J$12:$M$18,7,FALSE),"*")</f>
        <v>#N/A</v>
      </c>
    </row>
    <row r="3144" spans="19:30">
      <c r="S3144" s="81" t="e">
        <f>HLOOKUP(L3144,データについて!$J$6:$M$18,13,FALSE)</f>
        <v>#N/A</v>
      </c>
      <c r="T3144" s="81" t="e">
        <f>HLOOKUP(M3144,データについて!$J$7:$M$18,12,FALSE)</f>
        <v>#N/A</v>
      </c>
      <c r="U3144" s="81" t="e">
        <f>HLOOKUP(N3144,データについて!$J$8:$M$18,11,FALSE)</f>
        <v>#N/A</v>
      </c>
      <c r="V3144" s="81" t="e">
        <f>HLOOKUP(O3144,データについて!$J$9:$M$18,10,FALSE)</f>
        <v>#N/A</v>
      </c>
      <c r="W3144" s="81" t="e">
        <f>HLOOKUP(P3144,データについて!$J$10:$M$18,9,FALSE)</f>
        <v>#N/A</v>
      </c>
      <c r="X3144" s="81" t="e">
        <f>HLOOKUP(Q3144,データについて!$J$11:$M$18,8,FALSE)</f>
        <v>#N/A</v>
      </c>
      <c r="Y3144" s="81" t="e">
        <f>HLOOKUP(R3144,データについて!$J$12:$M$18,7,FALSE)</f>
        <v>#N/A</v>
      </c>
      <c r="Z3144" s="81" t="e">
        <f>HLOOKUP(I3144,データについて!$J$3:$M$18,16,FALSE)</f>
        <v>#N/A</v>
      </c>
      <c r="AA3144" s="81" t="str">
        <f>IFERROR(HLOOKUP(J3144,データについて!$J$4:$AH$19,16,FALSE),"")</f>
        <v/>
      </c>
      <c r="AB3144" s="81" t="str">
        <f>IFERROR(HLOOKUP(K3144,データについて!$J$5:$AH$20,14,FALSE),"")</f>
        <v/>
      </c>
      <c r="AC3144" s="81" t="e">
        <f>IF(X3144=1,HLOOKUP(R3144,データについて!$J$12:$M$18,7,FALSE),"*")</f>
        <v>#N/A</v>
      </c>
      <c r="AD3144" s="81" t="e">
        <f>IF(X3144=2,HLOOKUP(R3144,データについて!$J$12:$M$18,7,FALSE),"*")</f>
        <v>#N/A</v>
      </c>
    </row>
    <row r="3145" spans="19:30">
      <c r="S3145" s="81" t="e">
        <f>HLOOKUP(L3145,データについて!$J$6:$M$18,13,FALSE)</f>
        <v>#N/A</v>
      </c>
      <c r="T3145" s="81" t="e">
        <f>HLOOKUP(M3145,データについて!$J$7:$M$18,12,FALSE)</f>
        <v>#N/A</v>
      </c>
      <c r="U3145" s="81" t="e">
        <f>HLOOKUP(N3145,データについて!$J$8:$M$18,11,FALSE)</f>
        <v>#N/A</v>
      </c>
      <c r="V3145" s="81" t="e">
        <f>HLOOKUP(O3145,データについて!$J$9:$M$18,10,FALSE)</f>
        <v>#N/A</v>
      </c>
      <c r="W3145" s="81" t="e">
        <f>HLOOKUP(P3145,データについて!$J$10:$M$18,9,FALSE)</f>
        <v>#N/A</v>
      </c>
      <c r="X3145" s="81" t="e">
        <f>HLOOKUP(Q3145,データについて!$J$11:$M$18,8,FALSE)</f>
        <v>#N/A</v>
      </c>
      <c r="Y3145" s="81" t="e">
        <f>HLOOKUP(R3145,データについて!$J$12:$M$18,7,FALSE)</f>
        <v>#N/A</v>
      </c>
      <c r="Z3145" s="81" t="e">
        <f>HLOOKUP(I3145,データについて!$J$3:$M$18,16,FALSE)</f>
        <v>#N/A</v>
      </c>
      <c r="AA3145" s="81" t="str">
        <f>IFERROR(HLOOKUP(J3145,データについて!$J$4:$AH$19,16,FALSE),"")</f>
        <v/>
      </c>
      <c r="AB3145" s="81" t="str">
        <f>IFERROR(HLOOKUP(K3145,データについて!$J$5:$AH$20,14,FALSE),"")</f>
        <v/>
      </c>
      <c r="AC3145" s="81" t="e">
        <f>IF(X3145=1,HLOOKUP(R3145,データについて!$J$12:$M$18,7,FALSE),"*")</f>
        <v>#N/A</v>
      </c>
      <c r="AD3145" s="81" t="e">
        <f>IF(X3145=2,HLOOKUP(R3145,データについて!$J$12:$M$18,7,FALSE),"*")</f>
        <v>#N/A</v>
      </c>
    </row>
    <row r="3146" spans="19:30">
      <c r="S3146" s="81" t="e">
        <f>HLOOKUP(L3146,データについて!$J$6:$M$18,13,FALSE)</f>
        <v>#N/A</v>
      </c>
      <c r="T3146" s="81" t="e">
        <f>HLOOKUP(M3146,データについて!$J$7:$M$18,12,FALSE)</f>
        <v>#N/A</v>
      </c>
      <c r="U3146" s="81" t="e">
        <f>HLOOKUP(N3146,データについて!$J$8:$M$18,11,FALSE)</f>
        <v>#N/A</v>
      </c>
      <c r="V3146" s="81" t="e">
        <f>HLOOKUP(O3146,データについて!$J$9:$M$18,10,FALSE)</f>
        <v>#N/A</v>
      </c>
      <c r="W3146" s="81" t="e">
        <f>HLOOKUP(P3146,データについて!$J$10:$M$18,9,FALSE)</f>
        <v>#N/A</v>
      </c>
      <c r="X3146" s="81" t="e">
        <f>HLOOKUP(Q3146,データについて!$J$11:$M$18,8,FALSE)</f>
        <v>#N/A</v>
      </c>
      <c r="Y3146" s="81" t="e">
        <f>HLOOKUP(R3146,データについて!$J$12:$M$18,7,FALSE)</f>
        <v>#N/A</v>
      </c>
      <c r="Z3146" s="81" t="e">
        <f>HLOOKUP(I3146,データについて!$J$3:$M$18,16,FALSE)</f>
        <v>#N/A</v>
      </c>
      <c r="AA3146" s="81" t="str">
        <f>IFERROR(HLOOKUP(J3146,データについて!$J$4:$AH$19,16,FALSE),"")</f>
        <v/>
      </c>
      <c r="AB3146" s="81" t="str">
        <f>IFERROR(HLOOKUP(K3146,データについて!$J$5:$AH$20,14,FALSE),"")</f>
        <v/>
      </c>
      <c r="AC3146" s="81" t="e">
        <f>IF(X3146=1,HLOOKUP(R3146,データについて!$J$12:$M$18,7,FALSE),"*")</f>
        <v>#N/A</v>
      </c>
      <c r="AD3146" s="81" t="e">
        <f>IF(X3146=2,HLOOKUP(R3146,データについて!$J$12:$M$18,7,FALSE),"*")</f>
        <v>#N/A</v>
      </c>
    </row>
    <row r="3147" spans="19:30">
      <c r="S3147" s="81" t="e">
        <f>HLOOKUP(L3147,データについて!$J$6:$M$18,13,FALSE)</f>
        <v>#N/A</v>
      </c>
      <c r="T3147" s="81" t="e">
        <f>HLOOKUP(M3147,データについて!$J$7:$M$18,12,FALSE)</f>
        <v>#N/A</v>
      </c>
      <c r="U3147" s="81" t="e">
        <f>HLOOKUP(N3147,データについて!$J$8:$M$18,11,FALSE)</f>
        <v>#N/A</v>
      </c>
      <c r="V3147" s="81" t="e">
        <f>HLOOKUP(O3147,データについて!$J$9:$M$18,10,FALSE)</f>
        <v>#N/A</v>
      </c>
      <c r="W3147" s="81" t="e">
        <f>HLOOKUP(P3147,データについて!$J$10:$M$18,9,FALSE)</f>
        <v>#N/A</v>
      </c>
      <c r="X3147" s="81" t="e">
        <f>HLOOKUP(Q3147,データについて!$J$11:$M$18,8,FALSE)</f>
        <v>#N/A</v>
      </c>
      <c r="Y3147" s="81" t="e">
        <f>HLOOKUP(R3147,データについて!$J$12:$M$18,7,FALSE)</f>
        <v>#N/A</v>
      </c>
      <c r="Z3147" s="81" t="e">
        <f>HLOOKUP(I3147,データについて!$J$3:$M$18,16,FALSE)</f>
        <v>#N/A</v>
      </c>
      <c r="AA3147" s="81" t="str">
        <f>IFERROR(HLOOKUP(J3147,データについて!$J$4:$AH$19,16,FALSE),"")</f>
        <v/>
      </c>
      <c r="AB3147" s="81" t="str">
        <f>IFERROR(HLOOKUP(K3147,データについて!$J$5:$AH$20,14,FALSE),"")</f>
        <v/>
      </c>
      <c r="AC3147" s="81" t="e">
        <f>IF(X3147=1,HLOOKUP(R3147,データについて!$J$12:$M$18,7,FALSE),"*")</f>
        <v>#N/A</v>
      </c>
      <c r="AD3147" s="81" t="e">
        <f>IF(X3147=2,HLOOKUP(R3147,データについて!$J$12:$M$18,7,FALSE),"*")</f>
        <v>#N/A</v>
      </c>
    </row>
    <row r="3148" spans="19:30">
      <c r="S3148" s="81" t="e">
        <f>HLOOKUP(L3148,データについて!$J$6:$M$18,13,FALSE)</f>
        <v>#N/A</v>
      </c>
      <c r="T3148" s="81" t="e">
        <f>HLOOKUP(M3148,データについて!$J$7:$M$18,12,FALSE)</f>
        <v>#N/A</v>
      </c>
      <c r="U3148" s="81" t="e">
        <f>HLOOKUP(N3148,データについて!$J$8:$M$18,11,FALSE)</f>
        <v>#N/A</v>
      </c>
      <c r="V3148" s="81" t="e">
        <f>HLOOKUP(O3148,データについて!$J$9:$M$18,10,FALSE)</f>
        <v>#N/A</v>
      </c>
      <c r="W3148" s="81" t="e">
        <f>HLOOKUP(P3148,データについて!$J$10:$M$18,9,FALSE)</f>
        <v>#N/A</v>
      </c>
      <c r="X3148" s="81" t="e">
        <f>HLOOKUP(Q3148,データについて!$J$11:$M$18,8,FALSE)</f>
        <v>#N/A</v>
      </c>
      <c r="Y3148" s="81" t="e">
        <f>HLOOKUP(R3148,データについて!$J$12:$M$18,7,FALSE)</f>
        <v>#N/A</v>
      </c>
      <c r="Z3148" s="81" t="e">
        <f>HLOOKUP(I3148,データについて!$J$3:$M$18,16,FALSE)</f>
        <v>#N/A</v>
      </c>
      <c r="AA3148" s="81" t="str">
        <f>IFERROR(HLOOKUP(J3148,データについて!$J$4:$AH$19,16,FALSE),"")</f>
        <v/>
      </c>
      <c r="AB3148" s="81" t="str">
        <f>IFERROR(HLOOKUP(K3148,データについて!$J$5:$AH$20,14,FALSE),"")</f>
        <v/>
      </c>
      <c r="AC3148" s="81" t="e">
        <f>IF(X3148=1,HLOOKUP(R3148,データについて!$J$12:$M$18,7,FALSE),"*")</f>
        <v>#N/A</v>
      </c>
      <c r="AD3148" s="81" t="e">
        <f>IF(X3148=2,HLOOKUP(R3148,データについて!$J$12:$M$18,7,FALSE),"*")</f>
        <v>#N/A</v>
      </c>
    </row>
    <row r="3149" spans="19:30">
      <c r="S3149" s="81" t="e">
        <f>HLOOKUP(L3149,データについて!$J$6:$M$18,13,FALSE)</f>
        <v>#N/A</v>
      </c>
      <c r="T3149" s="81" t="e">
        <f>HLOOKUP(M3149,データについて!$J$7:$M$18,12,FALSE)</f>
        <v>#N/A</v>
      </c>
      <c r="U3149" s="81" t="e">
        <f>HLOOKUP(N3149,データについて!$J$8:$M$18,11,FALSE)</f>
        <v>#N/A</v>
      </c>
      <c r="V3149" s="81" t="e">
        <f>HLOOKUP(O3149,データについて!$J$9:$M$18,10,FALSE)</f>
        <v>#N/A</v>
      </c>
      <c r="W3149" s="81" t="e">
        <f>HLOOKUP(P3149,データについて!$J$10:$M$18,9,FALSE)</f>
        <v>#N/A</v>
      </c>
      <c r="X3149" s="81" t="e">
        <f>HLOOKUP(Q3149,データについて!$J$11:$M$18,8,FALSE)</f>
        <v>#N/A</v>
      </c>
      <c r="Y3149" s="81" t="e">
        <f>HLOOKUP(R3149,データについて!$J$12:$M$18,7,FALSE)</f>
        <v>#N/A</v>
      </c>
      <c r="Z3149" s="81" t="e">
        <f>HLOOKUP(I3149,データについて!$J$3:$M$18,16,FALSE)</f>
        <v>#N/A</v>
      </c>
      <c r="AA3149" s="81" t="str">
        <f>IFERROR(HLOOKUP(J3149,データについて!$J$4:$AH$19,16,FALSE),"")</f>
        <v/>
      </c>
      <c r="AB3149" s="81" t="str">
        <f>IFERROR(HLOOKUP(K3149,データについて!$J$5:$AH$20,14,FALSE),"")</f>
        <v/>
      </c>
      <c r="AC3149" s="81" t="e">
        <f>IF(X3149=1,HLOOKUP(R3149,データについて!$J$12:$M$18,7,FALSE),"*")</f>
        <v>#N/A</v>
      </c>
      <c r="AD3149" s="81" t="e">
        <f>IF(X3149=2,HLOOKUP(R3149,データについて!$J$12:$M$18,7,FALSE),"*")</f>
        <v>#N/A</v>
      </c>
    </row>
    <row r="3150" spans="19:30">
      <c r="S3150" s="81" t="e">
        <f>HLOOKUP(L3150,データについて!$J$6:$M$18,13,FALSE)</f>
        <v>#N/A</v>
      </c>
      <c r="T3150" s="81" t="e">
        <f>HLOOKUP(M3150,データについて!$J$7:$M$18,12,FALSE)</f>
        <v>#N/A</v>
      </c>
      <c r="U3150" s="81" t="e">
        <f>HLOOKUP(N3150,データについて!$J$8:$M$18,11,FALSE)</f>
        <v>#N/A</v>
      </c>
      <c r="V3150" s="81" t="e">
        <f>HLOOKUP(O3150,データについて!$J$9:$M$18,10,FALSE)</f>
        <v>#N/A</v>
      </c>
      <c r="W3150" s="81" t="e">
        <f>HLOOKUP(P3150,データについて!$J$10:$M$18,9,FALSE)</f>
        <v>#N/A</v>
      </c>
      <c r="X3150" s="81" t="e">
        <f>HLOOKUP(Q3150,データについて!$J$11:$M$18,8,FALSE)</f>
        <v>#N/A</v>
      </c>
      <c r="Y3150" s="81" t="e">
        <f>HLOOKUP(R3150,データについて!$J$12:$M$18,7,FALSE)</f>
        <v>#N/A</v>
      </c>
      <c r="Z3150" s="81" t="e">
        <f>HLOOKUP(I3150,データについて!$J$3:$M$18,16,FALSE)</f>
        <v>#N/A</v>
      </c>
      <c r="AA3150" s="81" t="str">
        <f>IFERROR(HLOOKUP(J3150,データについて!$J$4:$AH$19,16,FALSE),"")</f>
        <v/>
      </c>
      <c r="AB3150" s="81" t="str">
        <f>IFERROR(HLOOKUP(K3150,データについて!$J$5:$AH$20,14,FALSE),"")</f>
        <v/>
      </c>
      <c r="AC3150" s="81" t="e">
        <f>IF(X3150=1,HLOOKUP(R3150,データについて!$J$12:$M$18,7,FALSE),"*")</f>
        <v>#N/A</v>
      </c>
      <c r="AD3150" s="81" t="e">
        <f>IF(X3150=2,HLOOKUP(R3150,データについて!$J$12:$M$18,7,FALSE),"*")</f>
        <v>#N/A</v>
      </c>
    </row>
    <row r="3151" spans="19:30">
      <c r="S3151" s="81" t="e">
        <f>HLOOKUP(L3151,データについて!$J$6:$M$18,13,FALSE)</f>
        <v>#N/A</v>
      </c>
      <c r="T3151" s="81" t="e">
        <f>HLOOKUP(M3151,データについて!$J$7:$M$18,12,FALSE)</f>
        <v>#N/A</v>
      </c>
      <c r="U3151" s="81" t="e">
        <f>HLOOKUP(N3151,データについて!$J$8:$M$18,11,FALSE)</f>
        <v>#N/A</v>
      </c>
      <c r="V3151" s="81" t="e">
        <f>HLOOKUP(O3151,データについて!$J$9:$M$18,10,FALSE)</f>
        <v>#N/A</v>
      </c>
      <c r="W3151" s="81" t="e">
        <f>HLOOKUP(P3151,データについて!$J$10:$M$18,9,FALSE)</f>
        <v>#N/A</v>
      </c>
      <c r="X3151" s="81" t="e">
        <f>HLOOKUP(Q3151,データについて!$J$11:$M$18,8,FALSE)</f>
        <v>#N/A</v>
      </c>
      <c r="Y3151" s="81" t="e">
        <f>HLOOKUP(R3151,データについて!$J$12:$M$18,7,FALSE)</f>
        <v>#N/A</v>
      </c>
      <c r="Z3151" s="81" t="e">
        <f>HLOOKUP(I3151,データについて!$J$3:$M$18,16,FALSE)</f>
        <v>#N/A</v>
      </c>
      <c r="AA3151" s="81" t="str">
        <f>IFERROR(HLOOKUP(J3151,データについて!$J$4:$AH$19,16,FALSE),"")</f>
        <v/>
      </c>
      <c r="AB3151" s="81" t="str">
        <f>IFERROR(HLOOKUP(K3151,データについて!$J$5:$AH$20,14,FALSE),"")</f>
        <v/>
      </c>
      <c r="AC3151" s="81" t="e">
        <f>IF(X3151=1,HLOOKUP(R3151,データについて!$J$12:$M$18,7,FALSE),"*")</f>
        <v>#N/A</v>
      </c>
      <c r="AD3151" s="81" t="e">
        <f>IF(X3151=2,HLOOKUP(R3151,データについて!$J$12:$M$18,7,FALSE),"*")</f>
        <v>#N/A</v>
      </c>
    </row>
    <row r="3152" spans="19:30">
      <c r="S3152" s="81" t="e">
        <f>HLOOKUP(L3152,データについて!$J$6:$M$18,13,FALSE)</f>
        <v>#N/A</v>
      </c>
      <c r="T3152" s="81" t="e">
        <f>HLOOKUP(M3152,データについて!$J$7:$M$18,12,FALSE)</f>
        <v>#N/A</v>
      </c>
      <c r="U3152" s="81" t="e">
        <f>HLOOKUP(N3152,データについて!$J$8:$M$18,11,FALSE)</f>
        <v>#N/A</v>
      </c>
      <c r="V3152" s="81" t="e">
        <f>HLOOKUP(O3152,データについて!$J$9:$M$18,10,FALSE)</f>
        <v>#N/A</v>
      </c>
      <c r="W3152" s="81" t="e">
        <f>HLOOKUP(P3152,データについて!$J$10:$M$18,9,FALSE)</f>
        <v>#N/A</v>
      </c>
      <c r="X3152" s="81" t="e">
        <f>HLOOKUP(Q3152,データについて!$J$11:$M$18,8,FALSE)</f>
        <v>#N/A</v>
      </c>
      <c r="Y3152" s="81" t="e">
        <f>HLOOKUP(R3152,データについて!$J$12:$M$18,7,FALSE)</f>
        <v>#N/A</v>
      </c>
      <c r="Z3152" s="81" t="e">
        <f>HLOOKUP(I3152,データについて!$J$3:$M$18,16,FALSE)</f>
        <v>#N/A</v>
      </c>
      <c r="AA3152" s="81" t="str">
        <f>IFERROR(HLOOKUP(J3152,データについて!$J$4:$AH$19,16,FALSE),"")</f>
        <v/>
      </c>
      <c r="AB3152" s="81" t="str">
        <f>IFERROR(HLOOKUP(K3152,データについて!$J$5:$AH$20,14,FALSE),"")</f>
        <v/>
      </c>
      <c r="AC3152" s="81" t="e">
        <f>IF(X3152=1,HLOOKUP(R3152,データについて!$J$12:$M$18,7,FALSE),"*")</f>
        <v>#N/A</v>
      </c>
      <c r="AD3152" s="81" t="e">
        <f>IF(X3152=2,HLOOKUP(R3152,データについて!$J$12:$M$18,7,FALSE),"*")</f>
        <v>#N/A</v>
      </c>
    </row>
    <row r="3153" spans="19:30">
      <c r="S3153" s="81" t="e">
        <f>HLOOKUP(L3153,データについて!$J$6:$M$18,13,FALSE)</f>
        <v>#N/A</v>
      </c>
      <c r="T3153" s="81" t="e">
        <f>HLOOKUP(M3153,データについて!$J$7:$M$18,12,FALSE)</f>
        <v>#N/A</v>
      </c>
      <c r="U3153" s="81" t="e">
        <f>HLOOKUP(N3153,データについて!$J$8:$M$18,11,FALSE)</f>
        <v>#N/A</v>
      </c>
      <c r="V3153" s="81" t="e">
        <f>HLOOKUP(O3153,データについて!$J$9:$M$18,10,FALSE)</f>
        <v>#N/A</v>
      </c>
      <c r="W3153" s="81" t="e">
        <f>HLOOKUP(P3153,データについて!$J$10:$M$18,9,FALSE)</f>
        <v>#N/A</v>
      </c>
      <c r="X3153" s="81" t="e">
        <f>HLOOKUP(Q3153,データについて!$J$11:$M$18,8,FALSE)</f>
        <v>#N/A</v>
      </c>
      <c r="Y3153" s="81" t="e">
        <f>HLOOKUP(R3153,データについて!$J$12:$M$18,7,FALSE)</f>
        <v>#N/A</v>
      </c>
      <c r="Z3153" s="81" t="e">
        <f>HLOOKUP(I3153,データについて!$J$3:$M$18,16,FALSE)</f>
        <v>#N/A</v>
      </c>
      <c r="AA3153" s="81" t="str">
        <f>IFERROR(HLOOKUP(J3153,データについて!$J$4:$AH$19,16,FALSE),"")</f>
        <v/>
      </c>
      <c r="AB3153" s="81" t="str">
        <f>IFERROR(HLOOKUP(K3153,データについて!$J$5:$AH$20,14,FALSE),"")</f>
        <v/>
      </c>
      <c r="AC3153" s="81" t="e">
        <f>IF(X3153=1,HLOOKUP(R3153,データについて!$J$12:$M$18,7,FALSE),"*")</f>
        <v>#N/A</v>
      </c>
      <c r="AD3153" s="81" t="e">
        <f>IF(X3153=2,HLOOKUP(R3153,データについて!$J$12:$M$18,7,FALSE),"*")</f>
        <v>#N/A</v>
      </c>
    </row>
    <row r="3154" spans="19:30">
      <c r="S3154" s="81" t="e">
        <f>HLOOKUP(L3154,データについて!$J$6:$M$18,13,FALSE)</f>
        <v>#N/A</v>
      </c>
      <c r="T3154" s="81" t="e">
        <f>HLOOKUP(M3154,データについて!$J$7:$M$18,12,FALSE)</f>
        <v>#N/A</v>
      </c>
      <c r="U3154" s="81" t="e">
        <f>HLOOKUP(N3154,データについて!$J$8:$M$18,11,FALSE)</f>
        <v>#N/A</v>
      </c>
      <c r="V3154" s="81" t="e">
        <f>HLOOKUP(O3154,データについて!$J$9:$M$18,10,FALSE)</f>
        <v>#N/A</v>
      </c>
      <c r="W3154" s="81" t="e">
        <f>HLOOKUP(P3154,データについて!$J$10:$M$18,9,FALSE)</f>
        <v>#N/A</v>
      </c>
      <c r="X3154" s="81" t="e">
        <f>HLOOKUP(Q3154,データについて!$J$11:$M$18,8,FALSE)</f>
        <v>#N/A</v>
      </c>
      <c r="Y3154" s="81" t="e">
        <f>HLOOKUP(R3154,データについて!$J$12:$M$18,7,FALSE)</f>
        <v>#N/A</v>
      </c>
      <c r="Z3154" s="81" t="e">
        <f>HLOOKUP(I3154,データについて!$J$3:$M$18,16,FALSE)</f>
        <v>#N/A</v>
      </c>
      <c r="AA3154" s="81" t="str">
        <f>IFERROR(HLOOKUP(J3154,データについて!$J$4:$AH$19,16,FALSE),"")</f>
        <v/>
      </c>
      <c r="AB3154" s="81" t="str">
        <f>IFERROR(HLOOKUP(K3154,データについて!$J$5:$AH$20,14,FALSE),"")</f>
        <v/>
      </c>
      <c r="AC3154" s="81" t="e">
        <f>IF(X3154=1,HLOOKUP(R3154,データについて!$J$12:$M$18,7,FALSE),"*")</f>
        <v>#N/A</v>
      </c>
      <c r="AD3154" s="81" t="e">
        <f>IF(X3154=2,HLOOKUP(R3154,データについて!$J$12:$M$18,7,FALSE),"*")</f>
        <v>#N/A</v>
      </c>
    </row>
    <row r="3155" spans="19:30">
      <c r="S3155" s="81" t="e">
        <f>HLOOKUP(L3155,データについて!$J$6:$M$18,13,FALSE)</f>
        <v>#N/A</v>
      </c>
      <c r="T3155" s="81" t="e">
        <f>HLOOKUP(M3155,データについて!$J$7:$M$18,12,FALSE)</f>
        <v>#N/A</v>
      </c>
      <c r="U3155" s="81" t="e">
        <f>HLOOKUP(N3155,データについて!$J$8:$M$18,11,FALSE)</f>
        <v>#N/A</v>
      </c>
      <c r="V3155" s="81" t="e">
        <f>HLOOKUP(O3155,データについて!$J$9:$M$18,10,FALSE)</f>
        <v>#N/A</v>
      </c>
      <c r="W3155" s="81" t="e">
        <f>HLOOKUP(P3155,データについて!$J$10:$M$18,9,FALSE)</f>
        <v>#N/A</v>
      </c>
      <c r="X3155" s="81" t="e">
        <f>HLOOKUP(Q3155,データについて!$J$11:$M$18,8,FALSE)</f>
        <v>#N/A</v>
      </c>
      <c r="Y3155" s="81" t="e">
        <f>HLOOKUP(R3155,データについて!$J$12:$M$18,7,FALSE)</f>
        <v>#N/A</v>
      </c>
      <c r="Z3155" s="81" t="e">
        <f>HLOOKUP(I3155,データについて!$J$3:$M$18,16,FALSE)</f>
        <v>#N/A</v>
      </c>
      <c r="AA3155" s="81" t="str">
        <f>IFERROR(HLOOKUP(J3155,データについて!$J$4:$AH$19,16,FALSE),"")</f>
        <v/>
      </c>
      <c r="AB3155" s="81" t="str">
        <f>IFERROR(HLOOKUP(K3155,データについて!$J$5:$AH$20,14,FALSE),"")</f>
        <v/>
      </c>
      <c r="AC3155" s="81" t="e">
        <f>IF(X3155=1,HLOOKUP(R3155,データについて!$J$12:$M$18,7,FALSE),"*")</f>
        <v>#N/A</v>
      </c>
      <c r="AD3155" s="81" t="e">
        <f>IF(X3155=2,HLOOKUP(R3155,データについて!$J$12:$M$18,7,FALSE),"*")</f>
        <v>#N/A</v>
      </c>
    </row>
    <row r="3156" spans="19:30">
      <c r="S3156" s="81" t="e">
        <f>HLOOKUP(L3156,データについて!$J$6:$M$18,13,FALSE)</f>
        <v>#N/A</v>
      </c>
      <c r="T3156" s="81" t="e">
        <f>HLOOKUP(M3156,データについて!$J$7:$M$18,12,FALSE)</f>
        <v>#N/A</v>
      </c>
      <c r="U3156" s="81" t="e">
        <f>HLOOKUP(N3156,データについて!$J$8:$M$18,11,FALSE)</f>
        <v>#N/A</v>
      </c>
      <c r="V3156" s="81" t="e">
        <f>HLOOKUP(O3156,データについて!$J$9:$M$18,10,FALSE)</f>
        <v>#N/A</v>
      </c>
      <c r="W3156" s="81" t="e">
        <f>HLOOKUP(P3156,データについて!$J$10:$M$18,9,FALSE)</f>
        <v>#N/A</v>
      </c>
      <c r="X3156" s="81" t="e">
        <f>HLOOKUP(Q3156,データについて!$J$11:$M$18,8,FALSE)</f>
        <v>#N/A</v>
      </c>
      <c r="Y3156" s="81" t="e">
        <f>HLOOKUP(R3156,データについて!$J$12:$M$18,7,FALSE)</f>
        <v>#N/A</v>
      </c>
      <c r="Z3156" s="81" t="e">
        <f>HLOOKUP(I3156,データについて!$J$3:$M$18,16,FALSE)</f>
        <v>#N/A</v>
      </c>
      <c r="AA3156" s="81" t="str">
        <f>IFERROR(HLOOKUP(J3156,データについて!$J$4:$AH$19,16,FALSE),"")</f>
        <v/>
      </c>
      <c r="AB3156" s="81" t="str">
        <f>IFERROR(HLOOKUP(K3156,データについて!$J$5:$AH$20,14,FALSE),"")</f>
        <v/>
      </c>
      <c r="AC3156" s="81" t="e">
        <f>IF(X3156=1,HLOOKUP(R3156,データについて!$J$12:$M$18,7,FALSE),"*")</f>
        <v>#N/A</v>
      </c>
      <c r="AD3156" s="81" t="e">
        <f>IF(X3156=2,HLOOKUP(R3156,データについて!$J$12:$M$18,7,FALSE),"*")</f>
        <v>#N/A</v>
      </c>
    </row>
    <row r="3157" spans="19:30">
      <c r="S3157" s="81" t="e">
        <f>HLOOKUP(L3157,データについて!$J$6:$M$18,13,FALSE)</f>
        <v>#N/A</v>
      </c>
      <c r="T3157" s="81" t="e">
        <f>HLOOKUP(M3157,データについて!$J$7:$M$18,12,FALSE)</f>
        <v>#N/A</v>
      </c>
      <c r="U3157" s="81" t="e">
        <f>HLOOKUP(N3157,データについて!$J$8:$M$18,11,FALSE)</f>
        <v>#N/A</v>
      </c>
      <c r="V3157" s="81" t="e">
        <f>HLOOKUP(O3157,データについて!$J$9:$M$18,10,FALSE)</f>
        <v>#N/A</v>
      </c>
      <c r="W3157" s="81" t="e">
        <f>HLOOKUP(P3157,データについて!$J$10:$M$18,9,FALSE)</f>
        <v>#N/A</v>
      </c>
      <c r="X3157" s="81" t="e">
        <f>HLOOKUP(Q3157,データについて!$J$11:$M$18,8,FALSE)</f>
        <v>#N/A</v>
      </c>
      <c r="Y3157" s="81" t="e">
        <f>HLOOKUP(R3157,データについて!$J$12:$M$18,7,FALSE)</f>
        <v>#N/A</v>
      </c>
      <c r="Z3157" s="81" t="e">
        <f>HLOOKUP(I3157,データについて!$J$3:$M$18,16,FALSE)</f>
        <v>#N/A</v>
      </c>
      <c r="AA3157" s="81" t="str">
        <f>IFERROR(HLOOKUP(J3157,データについて!$J$4:$AH$19,16,FALSE),"")</f>
        <v/>
      </c>
      <c r="AB3157" s="81" t="str">
        <f>IFERROR(HLOOKUP(K3157,データについて!$J$5:$AH$20,14,FALSE),"")</f>
        <v/>
      </c>
      <c r="AC3157" s="81" t="e">
        <f>IF(X3157=1,HLOOKUP(R3157,データについて!$J$12:$M$18,7,FALSE),"*")</f>
        <v>#N/A</v>
      </c>
      <c r="AD3157" s="81" t="e">
        <f>IF(X3157=2,HLOOKUP(R3157,データについて!$J$12:$M$18,7,FALSE),"*")</f>
        <v>#N/A</v>
      </c>
    </row>
    <row r="3158" spans="19:30">
      <c r="S3158" s="81" t="e">
        <f>HLOOKUP(L3158,データについて!$J$6:$M$18,13,FALSE)</f>
        <v>#N/A</v>
      </c>
      <c r="T3158" s="81" t="e">
        <f>HLOOKUP(M3158,データについて!$J$7:$M$18,12,FALSE)</f>
        <v>#N/A</v>
      </c>
      <c r="U3158" s="81" t="e">
        <f>HLOOKUP(N3158,データについて!$J$8:$M$18,11,FALSE)</f>
        <v>#N/A</v>
      </c>
      <c r="V3158" s="81" t="e">
        <f>HLOOKUP(O3158,データについて!$J$9:$M$18,10,FALSE)</f>
        <v>#N/A</v>
      </c>
      <c r="W3158" s="81" t="e">
        <f>HLOOKUP(P3158,データについて!$J$10:$M$18,9,FALSE)</f>
        <v>#N/A</v>
      </c>
      <c r="X3158" s="81" t="e">
        <f>HLOOKUP(Q3158,データについて!$J$11:$M$18,8,FALSE)</f>
        <v>#N/A</v>
      </c>
      <c r="Y3158" s="81" t="e">
        <f>HLOOKUP(R3158,データについて!$J$12:$M$18,7,FALSE)</f>
        <v>#N/A</v>
      </c>
      <c r="Z3158" s="81" t="e">
        <f>HLOOKUP(I3158,データについて!$J$3:$M$18,16,FALSE)</f>
        <v>#N/A</v>
      </c>
      <c r="AA3158" s="81" t="str">
        <f>IFERROR(HLOOKUP(J3158,データについて!$J$4:$AH$19,16,FALSE),"")</f>
        <v/>
      </c>
      <c r="AB3158" s="81" t="str">
        <f>IFERROR(HLOOKUP(K3158,データについて!$J$5:$AH$20,14,FALSE),"")</f>
        <v/>
      </c>
      <c r="AC3158" s="81" t="e">
        <f>IF(X3158=1,HLOOKUP(R3158,データについて!$J$12:$M$18,7,FALSE),"*")</f>
        <v>#N/A</v>
      </c>
      <c r="AD3158" s="81" t="e">
        <f>IF(X3158=2,HLOOKUP(R3158,データについて!$J$12:$M$18,7,FALSE),"*")</f>
        <v>#N/A</v>
      </c>
    </row>
    <row r="3159" spans="19:30">
      <c r="S3159" s="81" t="e">
        <f>HLOOKUP(L3159,データについて!$J$6:$M$18,13,FALSE)</f>
        <v>#N/A</v>
      </c>
      <c r="T3159" s="81" t="e">
        <f>HLOOKUP(M3159,データについて!$J$7:$M$18,12,FALSE)</f>
        <v>#N/A</v>
      </c>
      <c r="U3159" s="81" t="e">
        <f>HLOOKUP(N3159,データについて!$J$8:$M$18,11,FALSE)</f>
        <v>#N/A</v>
      </c>
      <c r="V3159" s="81" t="e">
        <f>HLOOKUP(O3159,データについて!$J$9:$M$18,10,FALSE)</f>
        <v>#N/A</v>
      </c>
      <c r="W3159" s="81" t="e">
        <f>HLOOKUP(P3159,データについて!$J$10:$M$18,9,FALSE)</f>
        <v>#N/A</v>
      </c>
      <c r="X3159" s="81" t="e">
        <f>HLOOKUP(Q3159,データについて!$J$11:$M$18,8,FALSE)</f>
        <v>#N/A</v>
      </c>
      <c r="Y3159" s="81" t="e">
        <f>HLOOKUP(R3159,データについて!$J$12:$M$18,7,FALSE)</f>
        <v>#N/A</v>
      </c>
      <c r="Z3159" s="81" t="e">
        <f>HLOOKUP(I3159,データについて!$J$3:$M$18,16,FALSE)</f>
        <v>#N/A</v>
      </c>
      <c r="AA3159" s="81" t="str">
        <f>IFERROR(HLOOKUP(J3159,データについて!$J$4:$AH$19,16,FALSE),"")</f>
        <v/>
      </c>
      <c r="AB3159" s="81" t="str">
        <f>IFERROR(HLOOKUP(K3159,データについて!$J$5:$AH$20,14,FALSE),"")</f>
        <v/>
      </c>
      <c r="AC3159" s="81" t="e">
        <f>IF(X3159=1,HLOOKUP(R3159,データについて!$J$12:$M$18,7,FALSE),"*")</f>
        <v>#N/A</v>
      </c>
      <c r="AD3159" s="81" t="e">
        <f>IF(X3159=2,HLOOKUP(R3159,データについて!$J$12:$M$18,7,FALSE),"*")</f>
        <v>#N/A</v>
      </c>
    </row>
    <row r="3160" spans="19:30">
      <c r="S3160" s="81" t="e">
        <f>HLOOKUP(L3160,データについて!$J$6:$M$18,13,FALSE)</f>
        <v>#N/A</v>
      </c>
      <c r="T3160" s="81" t="e">
        <f>HLOOKUP(M3160,データについて!$J$7:$M$18,12,FALSE)</f>
        <v>#N/A</v>
      </c>
      <c r="U3160" s="81" t="e">
        <f>HLOOKUP(N3160,データについて!$J$8:$M$18,11,FALSE)</f>
        <v>#N/A</v>
      </c>
      <c r="V3160" s="81" t="e">
        <f>HLOOKUP(O3160,データについて!$J$9:$M$18,10,FALSE)</f>
        <v>#N/A</v>
      </c>
      <c r="W3160" s="81" t="e">
        <f>HLOOKUP(P3160,データについて!$J$10:$M$18,9,FALSE)</f>
        <v>#N/A</v>
      </c>
      <c r="X3160" s="81" t="e">
        <f>HLOOKUP(Q3160,データについて!$J$11:$M$18,8,FALSE)</f>
        <v>#N/A</v>
      </c>
      <c r="Y3160" s="81" t="e">
        <f>HLOOKUP(R3160,データについて!$J$12:$M$18,7,FALSE)</f>
        <v>#N/A</v>
      </c>
      <c r="Z3160" s="81" t="e">
        <f>HLOOKUP(I3160,データについて!$J$3:$M$18,16,FALSE)</f>
        <v>#N/A</v>
      </c>
      <c r="AA3160" s="81" t="str">
        <f>IFERROR(HLOOKUP(J3160,データについて!$J$4:$AH$19,16,FALSE),"")</f>
        <v/>
      </c>
      <c r="AB3160" s="81" t="str">
        <f>IFERROR(HLOOKUP(K3160,データについて!$J$5:$AH$20,14,FALSE),"")</f>
        <v/>
      </c>
      <c r="AC3160" s="81" t="e">
        <f>IF(X3160=1,HLOOKUP(R3160,データについて!$J$12:$M$18,7,FALSE),"*")</f>
        <v>#N/A</v>
      </c>
      <c r="AD3160" s="81" t="e">
        <f>IF(X3160=2,HLOOKUP(R3160,データについて!$J$12:$M$18,7,FALSE),"*")</f>
        <v>#N/A</v>
      </c>
    </row>
    <row r="3161" spans="19:30">
      <c r="S3161" s="81" t="e">
        <f>HLOOKUP(L3161,データについて!$J$6:$M$18,13,FALSE)</f>
        <v>#N/A</v>
      </c>
      <c r="T3161" s="81" t="e">
        <f>HLOOKUP(M3161,データについて!$J$7:$M$18,12,FALSE)</f>
        <v>#N/A</v>
      </c>
      <c r="U3161" s="81" t="e">
        <f>HLOOKUP(N3161,データについて!$J$8:$M$18,11,FALSE)</f>
        <v>#N/A</v>
      </c>
      <c r="V3161" s="81" t="e">
        <f>HLOOKUP(O3161,データについて!$J$9:$M$18,10,FALSE)</f>
        <v>#N/A</v>
      </c>
      <c r="W3161" s="81" t="e">
        <f>HLOOKUP(P3161,データについて!$J$10:$M$18,9,FALSE)</f>
        <v>#N/A</v>
      </c>
      <c r="X3161" s="81" t="e">
        <f>HLOOKUP(Q3161,データについて!$J$11:$M$18,8,FALSE)</f>
        <v>#N/A</v>
      </c>
      <c r="Y3161" s="81" t="e">
        <f>HLOOKUP(R3161,データについて!$J$12:$M$18,7,FALSE)</f>
        <v>#N/A</v>
      </c>
      <c r="Z3161" s="81" t="e">
        <f>HLOOKUP(I3161,データについて!$J$3:$M$18,16,FALSE)</f>
        <v>#N/A</v>
      </c>
      <c r="AA3161" s="81" t="str">
        <f>IFERROR(HLOOKUP(J3161,データについて!$J$4:$AH$19,16,FALSE),"")</f>
        <v/>
      </c>
      <c r="AB3161" s="81" t="str">
        <f>IFERROR(HLOOKUP(K3161,データについて!$J$5:$AH$20,14,FALSE),"")</f>
        <v/>
      </c>
      <c r="AC3161" s="81" t="e">
        <f>IF(X3161=1,HLOOKUP(R3161,データについて!$J$12:$M$18,7,FALSE),"*")</f>
        <v>#N/A</v>
      </c>
      <c r="AD3161" s="81" t="e">
        <f>IF(X3161=2,HLOOKUP(R3161,データについて!$J$12:$M$18,7,FALSE),"*")</f>
        <v>#N/A</v>
      </c>
    </row>
    <row r="3162" spans="19:30">
      <c r="S3162" s="81" t="e">
        <f>HLOOKUP(L3162,データについて!$J$6:$M$18,13,FALSE)</f>
        <v>#N/A</v>
      </c>
      <c r="T3162" s="81" t="e">
        <f>HLOOKUP(M3162,データについて!$J$7:$M$18,12,FALSE)</f>
        <v>#N/A</v>
      </c>
      <c r="U3162" s="81" t="e">
        <f>HLOOKUP(N3162,データについて!$J$8:$M$18,11,FALSE)</f>
        <v>#N/A</v>
      </c>
      <c r="V3162" s="81" t="e">
        <f>HLOOKUP(O3162,データについて!$J$9:$M$18,10,FALSE)</f>
        <v>#N/A</v>
      </c>
      <c r="W3162" s="81" t="e">
        <f>HLOOKUP(P3162,データについて!$J$10:$M$18,9,FALSE)</f>
        <v>#N/A</v>
      </c>
      <c r="X3162" s="81" t="e">
        <f>HLOOKUP(Q3162,データについて!$J$11:$M$18,8,FALSE)</f>
        <v>#N/A</v>
      </c>
      <c r="Y3162" s="81" t="e">
        <f>HLOOKUP(R3162,データについて!$J$12:$M$18,7,FALSE)</f>
        <v>#N/A</v>
      </c>
      <c r="Z3162" s="81" t="e">
        <f>HLOOKUP(I3162,データについて!$J$3:$M$18,16,FALSE)</f>
        <v>#N/A</v>
      </c>
      <c r="AA3162" s="81" t="str">
        <f>IFERROR(HLOOKUP(J3162,データについて!$J$4:$AH$19,16,FALSE),"")</f>
        <v/>
      </c>
      <c r="AB3162" s="81" t="str">
        <f>IFERROR(HLOOKUP(K3162,データについて!$J$5:$AH$20,14,FALSE),"")</f>
        <v/>
      </c>
      <c r="AC3162" s="81" t="e">
        <f>IF(X3162=1,HLOOKUP(R3162,データについて!$J$12:$M$18,7,FALSE),"*")</f>
        <v>#N/A</v>
      </c>
      <c r="AD3162" s="81" t="e">
        <f>IF(X3162=2,HLOOKUP(R3162,データについて!$J$12:$M$18,7,FALSE),"*")</f>
        <v>#N/A</v>
      </c>
    </row>
    <row r="3163" spans="19:30">
      <c r="S3163" s="81" t="e">
        <f>HLOOKUP(L3163,データについて!$J$6:$M$18,13,FALSE)</f>
        <v>#N/A</v>
      </c>
      <c r="T3163" s="81" t="e">
        <f>HLOOKUP(M3163,データについて!$J$7:$M$18,12,FALSE)</f>
        <v>#N/A</v>
      </c>
      <c r="U3163" s="81" t="e">
        <f>HLOOKUP(N3163,データについて!$J$8:$M$18,11,FALSE)</f>
        <v>#N/A</v>
      </c>
      <c r="V3163" s="81" t="e">
        <f>HLOOKUP(O3163,データについて!$J$9:$M$18,10,FALSE)</f>
        <v>#N/A</v>
      </c>
      <c r="W3163" s="81" t="e">
        <f>HLOOKUP(P3163,データについて!$J$10:$M$18,9,FALSE)</f>
        <v>#N/A</v>
      </c>
      <c r="X3163" s="81" t="e">
        <f>HLOOKUP(Q3163,データについて!$J$11:$M$18,8,FALSE)</f>
        <v>#N/A</v>
      </c>
      <c r="Y3163" s="81" t="e">
        <f>HLOOKUP(R3163,データについて!$J$12:$M$18,7,FALSE)</f>
        <v>#N/A</v>
      </c>
      <c r="Z3163" s="81" t="e">
        <f>HLOOKUP(I3163,データについて!$J$3:$M$18,16,FALSE)</f>
        <v>#N/A</v>
      </c>
      <c r="AA3163" s="81" t="str">
        <f>IFERROR(HLOOKUP(J3163,データについて!$J$4:$AH$19,16,FALSE),"")</f>
        <v/>
      </c>
      <c r="AB3163" s="81" t="str">
        <f>IFERROR(HLOOKUP(K3163,データについて!$J$5:$AH$20,14,FALSE),"")</f>
        <v/>
      </c>
      <c r="AC3163" s="81" t="e">
        <f>IF(X3163=1,HLOOKUP(R3163,データについて!$J$12:$M$18,7,FALSE),"*")</f>
        <v>#N/A</v>
      </c>
      <c r="AD3163" s="81" t="e">
        <f>IF(X3163=2,HLOOKUP(R3163,データについて!$J$12:$M$18,7,FALSE),"*")</f>
        <v>#N/A</v>
      </c>
    </row>
    <row r="3164" spans="19:30">
      <c r="S3164" s="81" t="e">
        <f>HLOOKUP(L3164,データについて!$J$6:$M$18,13,FALSE)</f>
        <v>#N/A</v>
      </c>
      <c r="T3164" s="81" t="e">
        <f>HLOOKUP(M3164,データについて!$J$7:$M$18,12,FALSE)</f>
        <v>#N/A</v>
      </c>
      <c r="U3164" s="81" t="e">
        <f>HLOOKUP(N3164,データについて!$J$8:$M$18,11,FALSE)</f>
        <v>#N/A</v>
      </c>
      <c r="V3164" s="81" t="e">
        <f>HLOOKUP(O3164,データについて!$J$9:$M$18,10,FALSE)</f>
        <v>#N/A</v>
      </c>
      <c r="W3164" s="81" t="e">
        <f>HLOOKUP(P3164,データについて!$J$10:$M$18,9,FALSE)</f>
        <v>#N/A</v>
      </c>
      <c r="X3164" s="81" t="e">
        <f>HLOOKUP(Q3164,データについて!$J$11:$M$18,8,FALSE)</f>
        <v>#N/A</v>
      </c>
      <c r="Y3164" s="81" t="e">
        <f>HLOOKUP(R3164,データについて!$J$12:$M$18,7,FALSE)</f>
        <v>#N/A</v>
      </c>
      <c r="Z3164" s="81" t="e">
        <f>HLOOKUP(I3164,データについて!$J$3:$M$18,16,FALSE)</f>
        <v>#N/A</v>
      </c>
      <c r="AA3164" s="81" t="str">
        <f>IFERROR(HLOOKUP(J3164,データについて!$J$4:$AH$19,16,FALSE),"")</f>
        <v/>
      </c>
      <c r="AB3164" s="81" t="str">
        <f>IFERROR(HLOOKUP(K3164,データについて!$J$5:$AH$20,14,FALSE),"")</f>
        <v/>
      </c>
      <c r="AC3164" s="81" t="e">
        <f>IF(X3164=1,HLOOKUP(R3164,データについて!$J$12:$M$18,7,FALSE),"*")</f>
        <v>#N/A</v>
      </c>
      <c r="AD3164" s="81" t="e">
        <f>IF(X3164=2,HLOOKUP(R3164,データについて!$J$12:$M$18,7,FALSE),"*")</f>
        <v>#N/A</v>
      </c>
    </row>
    <row r="3165" spans="19:30">
      <c r="S3165" s="81" t="e">
        <f>HLOOKUP(L3165,データについて!$J$6:$M$18,13,FALSE)</f>
        <v>#N/A</v>
      </c>
      <c r="T3165" s="81" t="e">
        <f>HLOOKUP(M3165,データについて!$J$7:$M$18,12,FALSE)</f>
        <v>#N/A</v>
      </c>
      <c r="U3165" s="81" t="e">
        <f>HLOOKUP(N3165,データについて!$J$8:$M$18,11,FALSE)</f>
        <v>#N/A</v>
      </c>
      <c r="V3165" s="81" t="e">
        <f>HLOOKUP(O3165,データについて!$J$9:$M$18,10,FALSE)</f>
        <v>#N/A</v>
      </c>
      <c r="W3165" s="81" t="e">
        <f>HLOOKUP(P3165,データについて!$J$10:$M$18,9,FALSE)</f>
        <v>#N/A</v>
      </c>
      <c r="X3165" s="81" t="e">
        <f>HLOOKUP(Q3165,データについて!$J$11:$M$18,8,FALSE)</f>
        <v>#N/A</v>
      </c>
      <c r="Y3165" s="81" t="e">
        <f>HLOOKUP(R3165,データについて!$J$12:$M$18,7,FALSE)</f>
        <v>#N/A</v>
      </c>
      <c r="Z3165" s="81" t="e">
        <f>HLOOKUP(I3165,データについて!$J$3:$M$18,16,FALSE)</f>
        <v>#N/A</v>
      </c>
      <c r="AA3165" s="81" t="str">
        <f>IFERROR(HLOOKUP(J3165,データについて!$J$4:$AH$19,16,FALSE),"")</f>
        <v/>
      </c>
      <c r="AB3165" s="81" t="str">
        <f>IFERROR(HLOOKUP(K3165,データについて!$J$5:$AH$20,14,FALSE),"")</f>
        <v/>
      </c>
      <c r="AC3165" s="81" t="e">
        <f>IF(X3165=1,HLOOKUP(R3165,データについて!$J$12:$M$18,7,FALSE),"*")</f>
        <v>#N/A</v>
      </c>
      <c r="AD3165" s="81" t="e">
        <f>IF(X3165=2,HLOOKUP(R3165,データについて!$J$12:$M$18,7,FALSE),"*")</f>
        <v>#N/A</v>
      </c>
    </row>
    <row r="3166" spans="19:30">
      <c r="S3166" s="81" t="e">
        <f>HLOOKUP(L3166,データについて!$J$6:$M$18,13,FALSE)</f>
        <v>#N/A</v>
      </c>
      <c r="T3166" s="81" t="e">
        <f>HLOOKUP(M3166,データについて!$J$7:$M$18,12,FALSE)</f>
        <v>#N/A</v>
      </c>
      <c r="U3166" s="81" t="e">
        <f>HLOOKUP(N3166,データについて!$J$8:$M$18,11,FALSE)</f>
        <v>#N/A</v>
      </c>
      <c r="V3166" s="81" t="e">
        <f>HLOOKUP(O3166,データについて!$J$9:$M$18,10,FALSE)</f>
        <v>#N/A</v>
      </c>
      <c r="W3166" s="81" t="e">
        <f>HLOOKUP(P3166,データについて!$J$10:$M$18,9,FALSE)</f>
        <v>#N/A</v>
      </c>
      <c r="X3166" s="81" t="e">
        <f>HLOOKUP(Q3166,データについて!$J$11:$M$18,8,FALSE)</f>
        <v>#N/A</v>
      </c>
      <c r="Y3166" s="81" t="e">
        <f>HLOOKUP(R3166,データについて!$J$12:$M$18,7,FALSE)</f>
        <v>#N/A</v>
      </c>
      <c r="Z3166" s="81" t="e">
        <f>HLOOKUP(I3166,データについて!$J$3:$M$18,16,FALSE)</f>
        <v>#N/A</v>
      </c>
      <c r="AA3166" s="81" t="str">
        <f>IFERROR(HLOOKUP(J3166,データについて!$J$4:$AH$19,16,FALSE),"")</f>
        <v/>
      </c>
      <c r="AB3166" s="81" t="str">
        <f>IFERROR(HLOOKUP(K3166,データについて!$J$5:$AH$20,14,FALSE),"")</f>
        <v/>
      </c>
      <c r="AC3166" s="81" t="e">
        <f>IF(X3166=1,HLOOKUP(R3166,データについて!$J$12:$M$18,7,FALSE),"*")</f>
        <v>#N/A</v>
      </c>
      <c r="AD3166" s="81" t="e">
        <f>IF(X3166=2,HLOOKUP(R3166,データについて!$J$12:$M$18,7,FALSE),"*")</f>
        <v>#N/A</v>
      </c>
    </row>
    <row r="3167" spans="19:30">
      <c r="S3167" s="81" t="e">
        <f>HLOOKUP(L3167,データについて!$J$6:$M$18,13,FALSE)</f>
        <v>#N/A</v>
      </c>
      <c r="T3167" s="81" t="e">
        <f>HLOOKUP(M3167,データについて!$J$7:$M$18,12,FALSE)</f>
        <v>#N/A</v>
      </c>
      <c r="U3167" s="81" t="e">
        <f>HLOOKUP(N3167,データについて!$J$8:$M$18,11,FALSE)</f>
        <v>#N/A</v>
      </c>
      <c r="V3167" s="81" t="e">
        <f>HLOOKUP(O3167,データについて!$J$9:$M$18,10,FALSE)</f>
        <v>#N/A</v>
      </c>
      <c r="W3167" s="81" t="e">
        <f>HLOOKUP(P3167,データについて!$J$10:$M$18,9,FALSE)</f>
        <v>#N/A</v>
      </c>
      <c r="X3167" s="81" t="e">
        <f>HLOOKUP(Q3167,データについて!$J$11:$M$18,8,FALSE)</f>
        <v>#N/A</v>
      </c>
      <c r="Y3167" s="81" t="e">
        <f>HLOOKUP(R3167,データについて!$J$12:$M$18,7,FALSE)</f>
        <v>#N/A</v>
      </c>
      <c r="Z3167" s="81" t="e">
        <f>HLOOKUP(I3167,データについて!$J$3:$M$18,16,FALSE)</f>
        <v>#N/A</v>
      </c>
      <c r="AA3167" s="81" t="str">
        <f>IFERROR(HLOOKUP(J3167,データについて!$J$4:$AH$19,16,FALSE),"")</f>
        <v/>
      </c>
      <c r="AB3167" s="81" t="str">
        <f>IFERROR(HLOOKUP(K3167,データについて!$J$5:$AH$20,14,FALSE),"")</f>
        <v/>
      </c>
      <c r="AC3167" s="81" t="e">
        <f>IF(X3167=1,HLOOKUP(R3167,データについて!$J$12:$M$18,7,FALSE),"*")</f>
        <v>#N/A</v>
      </c>
      <c r="AD3167" s="81" t="e">
        <f>IF(X3167=2,HLOOKUP(R3167,データについて!$J$12:$M$18,7,FALSE),"*")</f>
        <v>#N/A</v>
      </c>
    </row>
    <row r="3168" spans="19:30">
      <c r="S3168" s="81" t="e">
        <f>HLOOKUP(L3168,データについて!$J$6:$M$18,13,FALSE)</f>
        <v>#N/A</v>
      </c>
      <c r="T3168" s="81" t="e">
        <f>HLOOKUP(M3168,データについて!$J$7:$M$18,12,FALSE)</f>
        <v>#N/A</v>
      </c>
      <c r="U3168" s="81" t="e">
        <f>HLOOKUP(N3168,データについて!$J$8:$M$18,11,FALSE)</f>
        <v>#N/A</v>
      </c>
      <c r="V3168" s="81" t="e">
        <f>HLOOKUP(O3168,データについて!$J$9:$M$18,10,FALSE)</f>
        <v>#N/A</v>
      </c>
      <c r="W3168" s="81" t="e">
        <f>HLOOKUP(P3168,データについて!$J$10:$M$18,9,FALSE)</f>
        <v>#N/A</v>
      </c>
      <c r="X3168" s="81" t="e">
        <f>HLOOKUP(Q3168,データについて!$J$11:$M$18,8,FALSE)</f>
        <v>#N/A</v>
      </c>
      <c r="Y3168" s="81" t="e">
        <f>HLOOKUP(R3168,データについて!$J$12:$M$18,7,FALSE)</f>
        <v>#N/A</v>
      </c>
      <c r="Z3168" s="81" t="e">
        <f>HLOOKUP(I3168,データについて!$J$3:$M$18,16,FALSE)</f>
        <v>#N/A</v>
      </c>
      <c r="AA3168" s="81" t="str">
        <f>IFERROR(HLOOKUP(J3168,データについて!$J$4:$AH$19,16,FALSE),"")</f>
        <v/>
      </c>
      <c r="AB3168" s="81" t="str">
        <f>IFERROR(HLOOKUP(K3168,データについて!$J$5:$AH$20,14,FALSE),"")</f>
        <v/>
      </c>
      <c r="AC3168" s="81" t="e">
        <f>IF(X3168=1,HLOOKUP(R3168,データについて!$J$12:$M$18,7,FALSE),"*")</f>
        <v>#N/A</v>
      </c>
      <c r="AD3168" s="81" t="e">
        <f>IF(X3168=2,HLOOKUP(R3168,データについて!$J$12:$M$18,7,FALSE),"*")</f>
        <v>#N/A</v>
      </c>
    </row>
    <row r="3169" spans="19:30">
      <c r="S3169" s="81" t="e">
        <f>HLOOKUP(L3169,データについて!$J$6:$M$18,13,FALSE)</f>
        <v>#N/A</v>
      </c>
      <c r="T3169" s="81" t="e">
        <f>HLOOKUP(M3169,データについて!$J$7:$M$18,12,FALSE)</f>
        <v>#N/A</v>
      </c>
      <c r="U3169" s="81" t="e">
        <f>HLOOKUP(N3169,データについて!$J$8:$M$18,11,FALSE)</f>
        <v>#N/A</v>
      </c>
      <c r="V3169" s="81" t="e">
        <f>HLOOKUP(O3169,データについて!$J$9:$M$18,10,FALSE)</f>
        <v>#N/A</v>
      </c>
      <c r="W3169" s="81" t="e">
        <f>HLOOKUP(P3169,データについて!$J$10:$M$18,9,FALSE)</f>
        <v>#N/A</v>
      </c>
      <c r="X3169" s="81" t="e">
        <f>HLOOKUP(Q3169,データについて!$J$11:$M$18,8,FALSE)</f>
        <v>#N/A</v>
      </c>
      <c r="Y3169" s="81" t="e">
        <f>HLOOKUP(R3169,データについて!$J$12:$M$18,7,FALSE)</f>
        <v>#N/A</v>
      </c>
      <c r="Z3169" s="81" t="e">
        <f>HLOOKUP(I3169,データについて!$J$3:$M$18,16,FALSE)</f>
        <v>#N/A</v>
      </c>
      <c r="AA3169" s="81" t="str">
        <f>IFERROR(HLOOKUP(J3169,データについて!$J$4:$AH$19,16,FALSE),"")</f>
        <v/>
      </c>
      <c r="AB3169" s="81" t="str">
        <f>IFERROR(HLOOKUP(K3169,データについて!$J$5:$AH$20,14,FALSE),"")</f>
        <v/>
      </c>
      <c r="AC3169" s="81" t="e">
        <f>IF(X3169=1,HLOOKUP(R3169,データについて!$J$12:$M$18,7,FALSE),"*")</f>
        <v>#N/A</v>
      </c>
      <c r="AD3169" s="81" t="e">
        <f>IF(X3169=2,HLOOKUP(R3169,データについて!$J$12:$M$18,7,FALSE),"*")</f>
        <v>#N/A</v>
      </c>
    </row>
    <row r="3170" spans="19:30">
      <c r="S3170" s="81" t="e">
        <f>HLOOKUP(L3170,データについて!$J$6:$M$18,13,FALSE)</f>
        <v>#N/A</v>
      </c>
      <c r="T3170" s="81" t="e">
        <f>HLOOKUP(M3170,データについて!$J$7:$M$18,12,FALSE)</f>
        <v>#N/A</v>
      </c>
      <c r="U3170" s="81" t="e">
        <f>HLOOKUP(N3170,データについて!$J$8:$M$18,11,FALSE)</f>
        <v>#N/A</v>
      </c>
      <c r="V3170" s="81" t="e">
        <f>HLOOKUP(O3170,データについて!$J$9:$M$18,10,FALSE)</f>
        <v>#N/A</v>
      </c>
      <c r="W3170" s="81" t="e">
        <f>HLOOKUP(P3170,データについて!$J$10:$M$18,9,FALSE)</f>
        <v>#N/A</v>
      </c>
      <c r="X3170" s="81" t="e">
        <f>HLOOKUP(Q3170,データについて!$J$11:$M$18,8,FALSE)</f>
        <v>#N/A</v>
      </c>
      <c r="Y3170" s="81" t="e">
        <f>HLOOKUP(R3170,データについて!$J$12:$M$18,7,FALSE)</f>
        <v>#N/A</v>
      </c>
      <c r="Z3170" s="81" t="e">
        <f>HLOOKUP(I3170,データについて!$J$3:$M$18,16,FALSE)</f>
        <v>#N/A</v>
      </c>
      <c r="AA3170" s="81" t="str">
        <f>IFERROR(HLOOKUP(J3170,データについて!$J$4:$AH$19,16,FALSE),"")</f>
        <v/>
      </c>
      <c r="AB3170" s="81" t="str">
        <f>IFERROR(HLOOKUP(K3170,データについて!$J$5:$AH$20,14,FALSE),"")</f>
        <v/>
      </c>
      <c r="AC3170" s="81" t="e">
        <f>IF(X3170=1,HLOOKUP(R3170,データについて!$J$12:$M$18,7,FALSE),"*")</f>
        <v>#N/A</v>
      </c>
      <c r="AD3170" s="81" t="e">
        <f>IF(X3170=2,HLOOKUP(R3170,データについて!$J$12:$M$18,7,FALSE),"*")</f>
        <v>#N/A</v>
      </c>
    </row>
    <row r="3171" spans="19:30">
      <c r="S3171" s="81" t="e">
        <f>HLOOKUP(L3171,データについて!$J$6:$M$18,13,FALSE)</f>
        <v>#N/A</v>
      </c>
      <c r="T3171" s="81" t="e">
        <f>HLOOKUP(M3171,データについて!$J$7:$M$18,12,FALSE)</f>
        <v>#N/A</v>
      </c>
      <c r="U3171" s="81" t="e">
        <f>HLOOKUP(N3171,データについて!$J$8:$M$18,11,FALSE)</f>
        <v>#N/A</v>
      </c>
      <c r="V3171" s="81" t="e">
        <f>HLOOKUP(O3171,データについて!$J$9:$M$18,10,FALSE)</f>
        <v>#N/A</v>
      </c>
      <c r="W3171" s="81" t="e">
        <f>HLOOKUP(P3171,データについて!$J$10:$M$18,9,FALSE)</f>
        <v>#N/A</v>
      </c>
      <c r="X3171" s="81" t="e">
        <f>HLOOKUP(Q3171,データについて!$J$11:$M$18,8,FALSE)</f>
        <v>#N/A</v>
      </c>
      <c r="Y3171" s="81" t="e">
        <f>HLOOKUP(R3171,データについて!$J$12:$M$18,7,FALSE)</f>
        <v>#N/A</v>
      </c>
      <c r="Z3171" s="81" t="e">
        <f>HLOOKUP(I3171,データについて!$J$3:$M$18,16,FALSE)</f>
        <v>#N/A</v>
      </c>
      <c r="AA3171" s="81" t="str">
        <f>IFERROR(HLOOKUP(J3171,データについて!$J$4:$AH$19,16,FALSE),"")</f>
        <v/>
      </c>
      <c r="AB3171" s="81" t="str">
        <f>IFERROR(HLOOKUP(K3171,データについて!$J$5:$AH$20,14,FALSE),"")</f>
        <v/>
      </c>
      <c r="AC3171" s="81" t="e">
        <f>IF(X3171=1,HLOOKUP(R3171,データについて!$J$12:$M$18,7,FALSE),"*")</f>
        <v>#N/A</v>
      </c>
      <c r="AD3171" s="81" t="e">
        <f>IF(X3171=2,HLOOKUP(R3171,データについて!$J$12:$M$18,7,FALSE),"*")</f>
        <v>#N/A</v>
      </c>
    </row>
    <row r="3172" spans="19:30">
      <c r="S3172" s="81" t="e">
        <f>HLOOKUP(L3172,データについて!$J$6:$M$18,13,FALSE)</f>
        <v>#N/A</v>
      </c>
      <c r="T3172" s="81" t="e">
        <f>HLOOKUP(M3172,データについて!$J$7:$M$18,12,FALSE)</f>
        <v>#N/A</v>
      </c>
      <c r="U3172" s="81" t="e">
        <f>HLOOKUP(N3172,データについて!$J$8:$M$18,11,FALSE)</f>
        <v>#N/A</v>
      </c>
      <c r="V3172" s="81" t="e">
        <f>HLOOKUP(O3172,データについて!$J$9:$M$18,10,FALSE)</f>
        <v>#N/A</v>
      </c>
      <c r="W3172" s="81" t="e">
        <f>HLOOKUP(P3172,データについて!$J$10:$M$18,9,FALSE)</f>
        <v>#N/A</v>
      </c>
      <c r="X3172" s="81" t="e">
        <f>HLOOKUP(Q3172,データについて!$J$11:$M$18,8,FALSE)</f>
        <v>#N/A</v>
      </c>
      <c r="Y3172" s="81" t="e">
        <f>HLOOKUP(R3172,データについて!$J$12:$M$18,7,FALSE)</f>
        <v>#N/A</v>
      </c>
      <c r="Z3172" s="81" t="e">
        <f>HLOOKUP(I3172,データについて!$J$3:$M$18,16,FALSE)</f>
        <v>#N/A</v>
      </c>
      <c r="AA3172" s="81" t="str">
        <f>IFERROR(HLOOKUP(J3172,データについて!$J$4:$AH$19,16,FALSE),"")</f>
        <v/>
      </c>
      <c r="AB3172" s="81" t="str">
        <f>IFERROR(HLOOKUP(K3172,データについて!$J$5:$AH$20,14,FALSE),"")</f>
        <v/>
      </c>
      <c r="AC3172" s="81" t="e">
        <f>IF(X3172=1,HLOOKUP(R3172,データについて!$J$12:$M$18,7,FALSE),"*")</f>
        <v>#N/A</v>
      </c>
      <c r="AD3172" s="81" t="e">
        <f>IF(X3172=2,HLOOKUP(R3172,データについて!$J$12:$M$18,7,FALSE),"*")</f>
        <v>#N/A</v>
      </c>
    </row>
    <row r="3173" spans="19:30">
      <c r="S3173" s="81" t="e">
        <f>HLOOKUP(L3173,データについて!$J$6:$M$18,13,FALSE)</f>
        <v>#N/A</v>
      </c>
      <c r="T3173" s="81" t="e">
        <f>HLOOKUP(M3173,データについて!$J$7:$M$18,12,FALSE)</f>
        <v>#N/A</v>
      </c>
      <c r="U3173" s="81" t="e">
        <f>HLOOKUP(N3173,データについて!$J$8:$M$18,11,FALSE)</f>
        <v>#N/A</v>
      </c>
      <c r="V3173" s="81" t="e">
        <f>HLOOKUP(O3173,データについて!$J$9:$M$18,10,FALSE)</f>
        <v>#N/A</v>
      </c>
      <c r="W3173" s="81" t="e">
        <f>HLOOKUP(P3173,データについて!$J$10:$M$18,9,FALSE)</f>
        <v>#N/A</v>
      </c>
      <c r="X3173" s="81" t="e">
        <f>HLOOKUP(Q3173,データについて!$J$11:$M$18,8,FALSE)</f>
        <v>#N/A</v>
      </c>
      <c r="Y3173" s="81" t="e">
        <f>HLOOKUP(R3173,データについて!$J$12:$M$18,7,FALSE)</f>
        <v>#N/A</v>
      </c>
      <c r="Z3173" s="81" t="e">
        <f>HLOOKUP(I3173,データについて!$J$3:$M$18,16,FALSE)</f>
        <v>#N/A</v>
      </c>
      <c r="AA3173" s="81" t="str">
        <f>IFERROR(HLOOKUP(J3173,データについて!$J$4:$AH$19,16,FALSE),"")</f>
        <v/>
      </c>
      <c r="AB3173" s="81" t="str">
        <f>IFERROR(HLOOKUP(K3173,データについて!$J$5:$AH$20,14,FALSE),"")</f>
        <v/>
      </c>
      <c r="AC3173" s="81" t="e">
        <f>IF(X3173=1,HLOOKUP(R3173,データについて!$J$12:$M$18,7,FALSE),"*")</f>
        <v>#N/A</v>
      </c>
      <c r="AD3173" s="81" t="e">
        <f>IF(X3173=2,HLOOKUP(R3173,データについて!$J$12:$M$18,7,FALSE),"*")</f>
        <v>#N/A</v>
      </c>
    </row>
    <row r="3174" spans="19:30">
      <c r="S3174" s="81" t="e">
        <f>HLOOKUP(L3174,データについて!$J$6:$M$18,13,FALSE)</f>
        <v>#N/A</v>
      </c>
      <c r="T3174" s="81" t="e">
        <f>HLOOKUP(M3174,データについて!$J$7:$M$18,12,FALSE)</f>
        <v>#N/A</v>
      </c>
      <c r="U3174" s="81" t="e">
        <f>HLOOKUP(N3174,データについて!$J$8:$M$18,11,FALSE)</f>
        <v>#N/A</v>
      </c>
      <c r="V3174" s="81" t="e">
        <f>HLOOKUP(O3174,データについて!$J$9:$M$18,10,FALSE)</f>
        <v>#N/A</v>
      </c>
      <c r="W3174" s="81" t="e">
        <f>HLOOKUP(P3174,データについて!$J$10:$M$18,9,FALSE)</f>
        <v>#N/A</v>
      </c>
      <c r="X3174" s="81" t="e">
        <f>HLOOKUP(Q3174,データについて!$J$11:$M$18,8,FALSE)</f>
        <v>#N/A</v>
      </c>
      <c r="Y3174" s="81" t="e">
        <f>HLOOKUP(R3174,データについて!$J$12:$M$18,7,FALSE)</f>
        <v>#N/A</v>
      </c>
      <c r="Z3174" s="81" t="e">
        <f>HLOOKUP(I3174,データについて!$J$3:$M$18,16,FALSE)</f>
        <v>#N/A</v>
      </c>
      <c r="AA3174" s="81" t="str">
        <f>IFERROR(HLOOKUP(J3174,データについて!$J$4:$AH$19,16,FALSE),"")</f>
        <v/>
      </c>
      <c r="AB3174" s="81" t="str">
        <f>IFERROR(HLOOKUP(K3174,データについて!$J$5:$AH$20,14,FALSE),"")</f>
        <v/>
      </c>
      <c r="AC3174" s="81" t="e">
        <f>IF(X3174=1,HLOOKUP(R3174,データについて!$J$12:$M$18,7,FALSE),"*")</f>
        <v>#N/A</v>
      </c>
      <c r="AD3174" s="81" t="e">
        <f>IF(X3174=2,HLOOKUP(R3174,データについて!$J$12:$M$18,7,FALSE),"*")</f>
        <v>#N/A</v>
      </c>
    </row>
    <row r="3175" spans="19:30">
      <c r="S3175" s="81" t="e">
        <f>HLOOKUP(L3175,データについて!$J$6:$M$18,13,FALSE)</f>
        <v>#N/A</v>
      </c>
      <c r="T3175" s="81" t="e">
        <f>HLOOKUP(M3175,データについて!$J$7:$M$18,12,FALSE)</f>
        <v>#N/A</v>
      </c>
      <c r="U3175" s="81" t="e">
        <f>HLOOKUP(N3175,データについて!$J$8:$M$18,11,FALSE)</f>
        <v>#N/A</v>
      </c>
      <c r="V3175" s="81" t="e">
        <f>HLOOKUP(O3175,データについて!$J$9:$M$18,10,FALSE)</f>
        <v>#N/A</v>
      </c>
      <c r="W3175" s="81" t="e">
        <f>HLOOKUP(P3175,データについて!$J$10:$M$18,9,FALSE)</f>
        <v>#N/A</v>
      </c>
      <c r="X3175" s="81" t="e">
        <f>HLOOKUP(Q3175,データについて!$J$11:$M$18,8,FALSE)</f>
        <v>#N/A</v>
      </c>
      <c r="Y3175" s="81" t="e">
        <f>HLOOKUP(R3175,データについて!$J$12:$M$18,7,FALSE)</f>
        <v>#N/A</v>
      </c>
      <c r="Z3175" s="81" t="e">
        <f>HLOOKUP(I3175,データについて!$J$3:$M$18,16,FALSE)</f>
        <v>#N/A</v>
      </c>
      <c r="AA3175" s="81" t="str">
        <f>IFERROR(HLOOKUP(J3175,データについて!$J$4:$AH$19,16,FALSE),"")</f>
        <v/>
      </c>
      <c r="AB3175" s="81" t="str">
        <f>IFERROR(HLOOKUP(K3175,データについて!$J$5:$AH$20,14,FALSE),"")</f>
        <v/>
      </c>
      <c r="AC3175" s="81" t="e">
        <f>IF(X3175=1,HLOOKUP(R3175,データについて!$J$12:$M$18,7,FALSE),"*")</f>
        <v>#N/A</v>
      </c>
      <c r="AD3175" s="81" t="e">
        <f>IF(X3175=2,HLOOKUP(R3175,データについて!$J$12:$M$18,7,FALSE),"*")</f>
        <v>#N/A</v>
      </c>
    </row>
    <row r="3176" spans="19:30">
      <c r="S3176" s="81" t="e">
        <f>HLOOKUP(L3176,データについて!$J$6:$M$18,13,FALSE)</f>
        <v>#N/A</v>
      </c>
      <c r="T3176" s="81" t="e">
        <f>HLOOKUP(M3176,データについて!$J$7:$M$18,12,FALSE)</f>
        <v>#N/A</v>
      </c>
      <c r="U3176" s="81" t="e">
        <f>HLOOKUP(N3176,データについて!$J$8:$M$18,11,FALSE)</f>
        <v>#N/A</v>
      </c>
      <c r="V3176" s="81" t="e">
        <f>HLOOKUP(O3176,データについて!$J$9:$M$18,10,FALSE)</f>
        <v>#N/A</v>
      </c>
      <c r="W3176" s="81" t="e">
        <f>HLOOKUP(P3176,データについて!$J$10:$M$18,9,FALSE)</f>
        <v>#N/A</v>
      </c>
      <c r="X3176" s="81" t="e">
        <f>HLOOKUP(Q3176,データについて!$J$11:$M$18,8,FALSE)</f>
        <v>#N/A</v>
      </c>
      <c r="Y3176" s="81" t="e">
        <f>HLOOKUP(R3176,データについて!$J$12:$M$18,7,FALSE)</f>
        <v>#N/A</v>
      </c>
      <c r="Z3176" s="81" t="e">
        <f>HLOOKUP(I3176,データについて!$J$3:$M$18,16,FALSE)</f>
        <v>#N/A</v>
      </c>
      <c r="AA3176" s="81" t="str">
        <f>IFERROR(HLOOKUP(J3176,データについて!$J$4:$AH$19,16,FALSE),"")</f>
        <v/>
      </c>
      <c r="AB3176" s="81" t="str">
        <f>IFERROR(HLOOKUP(K3176,データについて!$J$5:$AH$20,14,FALSE),"")</f>
        <v/>
      </c>
      <c r="AC3176" s="81" t="e">
        <f>IF(X3176=1,HLOOKUP(R3176,データについて!$J$12:$M$18,7,FALSE),"*")</f>
        <v>#N/A</v>
      </c>
      <c r="AD3176" s="81" t="e">
        <f>IF(X3176=2,HLOOKUP(R3176,データについて!$J$12:$M$18,7,FALSE),"*")</f>
        <v>#N/A</v>
      </c>
    </row>
    <row r="3177" spans="19:30">
      <c r="S3177" s="81" t="e">
        <f>HLOOKUP(L3177,データについて!$J$6:$M$18,13,FALSE)</f>
        <v>#N/A</v>
      </c>
      <c r="T3177" s="81" t="e">
        <f>HLOOKUP(M3177,データについて!$J$7:$M$18,12,FALSE)</f>
        <v>#N/A</v>
      </c>
      <c r="U3177" s="81" t="e">
        <f>HLOOKUP(N3177,データについて!$J$8:$M$18,11,FALSE)</f>
        <v>#N/A</v>
      </c>
      <c r="V3177" s="81" t="e">
        <f>HLOOKUP(O3177,データについて!$J$9:$M$18,10,FALSE)</f>
        <v>#N/A</v>
      </c>
      <c r="W3177" s="81" t="e">
        <f>HLOOKUP(P3177,データについて!$J$10:$M$18,9,FALSE)</f>
        <v>#N/A</v>
      </c>
      <c r="X3177" s="81" t="e">
        <f>HLOOKUP(Q3177,データについて!$J$11:$M$18,8,FALSE)</f>
        <v>#N/A</v>
      </c>
      <c r="Y3177" s="81" t="e">
        <f>HLOOKUP(R3177,データについて!$J$12:$M$18,7,FALSE)</f>
        <v>#N/A</v>
      </c>
      <c r="Z3177" s="81" t="e">
        <f>HLOOKUP(I3177,データについて!$J$3:$M$18,16,FALSE)</f>
        <v>#N/A</v>
      </c>
      <c r="AA3177" s="81" t="str">
        <f>IFERROR(HLOOKUP(J3177,データについて!$J$4:$AH$19,16,FALSE),"")</f>
        <v/>
      </c>
      <c r="AB3177" s="81" t="str">
        <f>IFERROR(HLOOKUP(K3177,データについて!$J$5:$AH$20,14,FALSE),"")</f>
        <v/>
      </c>
      <c r="AC3177" s="81" t="e">
        <f>IF(X3177=1,HLOOKUP(R3177,データについて!$J$12:$M$18,7,FALSE),"*")</f>
        <v>#N/A</v>
      </c>
      <c r="AD3177" s="81" t="e">
        <f>IF(X3177=2,HLOOKUP(R3177,データについて!$J$12:$M$18,7,FALSE),"*")</f>
        <v>#N/A</v>
      </c>
    </row>
    <row r="3178" spans="19:30">
      <c r="S3178" s="81" t="e">
        <f>HLOOKUP(L3178,データについて!$J$6:$M$18,13,FALSE)</f>
        <v>#N/A</v>
      </c>
      <c r="T3178" s="81" t="e">
        <f>HLOOKUP(M3178,データについて!$J$7:$M$18,12,FALSE)</f>
        <v>#N/A</v>
      </c>
      <c r="U3178" s="81" t="e">
        <f>HLOOKUP(N3178,データについて!$J$8:$M$18,11,FALSE)</f>
        <v>#N/A</v>
      </c>
      <c r="V3178" s="81" t="e">
        <f>HLOOKUP(O3178,データについて!$J$9:$M$18,10,FALSE)</f>
        <v>#N/A</v>
      </c>
      <c r="W3178" s="81" t="e">
        <f>HLOOKUP(P3178,データについて!$J$10:$M$18,9,FALSE)</f>
        <v>#N/A</v>
      </c>
      <c r="X3178" s="81" t="e">
        <f>HLOOKUP(Q3178,データについて!$J$11:$M$18,8,FALSE)</f>
        <v>#N/A</v>
      </c>
      <c r="Y3178" s="81" t="e">
        <f>HLOOKUP(R3178,データについて!$J$12:$M$18,7,FALSE)</f>
        <v>#N/A</v>
      </c>
      <c r="Z3178" s="81" t="e">
        <f>HLOOKUP(I3178,データについて!$J$3:$M$18,16,FALSE)</f>
        <v>#N/A</v>
      </c>
      <c r="AA3178" s="81" t="str">
        <f>IFERROR(HLOOKUP(J3178,データについて!$J$4:$AH$19,16,FALSE),"")</f>
        <v/>
      </c>
      <c r="AB3178" s="81" t="str">
        <f>IFERROR(HLOOKUP(K3178,データについて!$J$5:$AH$20,14,FALSE),"")</f>
        <v/>
      </c>
      <c r="AC3178" s="81" t="e">
        <f>IF(X3178=1,HLOOKUP(R3178,データについて!$J$12:$M$18,7,FALSE),"*")</f>
        <v>#N/A</v>
      </c>
      <c r="AD3178" s="81" t="e">
        <f>IF(X3178=2,HLOOKUP(R3178,データについて!$J$12:$M$18,7,FALSE),"*")</f>
        <v>#N/A</v>
      </c>
    </row>
    <row r="3179" spans="19:30">
      <c r="S3179" s="81" t="e">
        <f>HLOOKUP(L3179,データについて!$J$6:$M$18,13,FALSE)</f>
        <v>#N/A</v>
      </c>
      <c r="T3179" s="81" t="e">
        <f>HLOOKUP(M3179,データについて!$J$7:$M$18,12,FALSE)</f>
        <v>#N/A</v>
      </c>
      <c r="U3179" s="81" t="e">
        <f>HLOOKUP(N3179,データについて!$J$8:$M$18,11,FALSE)</f>
        <v>#N/A</v>
      </c>
      <c r="V3179" s="81" t="e">
        <f>HLOOKUP(O3179,データについて!$J$9:$M$18,10,FALSE)</f>
        <v>#N/A</v>
      </c>
      <c r="W3179" s="81" t="e">
        <f>HLOOKUP(P3179,データについて!$J$10:$M$18,9,FALSE)</f>
        <v>#N/A</v>
      </c>
      <c r="X3179" s="81" t="e">
        <f>HLOOKUP(Q3179,データについて!$J$11:$M$18,8,FALSE)</f>
        <v>#N/A</v>
      </c>
      <c r="Y3179" s="81" t="e">
        <f>HLOOKUP(R3179,データについて!$J$12:$M$18,7,FALSE)</f>
        <v>#N/A</v>
      </c>
      <c r="Z3179" s="81" t="e">
        <f>HLOOKUP(I3179,データについて!$J$3:$M$18,16,FALSE)</f>
        <v>#N/A</v>
      </c>
      <c r="AA3179" s="81" t="str">
        <f>IFERROR(HLOOKUP(J3179,データについて!$J$4:$AH$19,16,FALSE),"")</f>
        <v/>
      </c>
      <c r="AB3179" s="81" t="str">
        <f>IFERROR(HLOOKUP(K3179,データについて!$J$5:$AH$20,14,FALSE),"")</f>
        <v/>
      </c>
      <c r="AC3179" s="81" t="e">
        <f>IF(X3179=1,HLOOKUP(R3179,データについて!$J$12:$M$18,7,FALSE),"*")</f>
        <v>#N/A</v>
      </c>
      <c r="AD3179" s="81" t="e">
        <f>IF(X3179=2,HLOOKUP(R3179,データについて!$J$12:$M$18,7,FALSE),"*")</f>
        <v>#N/A</v>
      </c>
    </row>
    <row r="3180" spans="19:30">
      <c r="S3180" s="81" t="e">
        <f>HLOOKUP(L3180,データについて!$J$6:$M$18,13,FALSE)</f>
        <v>#N/A</v>
      </c>
      <c r="T3180" s="81" t="e">
        <f>HLOOKUP(M3180,データについて!$J$7:$M$18,12,FALSE)</f>
        <v>#N/A</v>
      </c>
      <c r="U3180" s="81" t="e">
        <f>HLOOKUP(N3180,データについて!$J$8:$M$18,11,FALSE)</f>
        <v>#N/A</v>
      </c>
      <c r="V3180" s="81" t="e">
        <f>HLOOKUP(O3180,データについて!$J$9:$M$18,10,FALSE)</f>
        <v>#N/A</v>
      </c>
      <c r="W3180" s="81" t="e">
        <f>HLOOKUP(P3180,データについて!$J$10:$M$18,9,FALSE)</f>
        <v>#N/A</v>
      </c>
      <c r="X3180" s="81" t="e">
        <f>HLOOKUP(Q3180,データについて!$J$11:$M$18,8,FALSE)</f>
        <v>#N/A</v>
      </c>
      <c r="Y3180" s="81" t="e">
        <f>HLOOKUP(R3180,データについて!$J$12:$M$18,7,FALSE)</f>
        <v>#N/A</v>
      </c>
      <c r="Z3180" s="81" t="e">
        <f>HLOOKUP(I3180,データについて!$J$3:$M$18,16,FALSE)</f>
        <v>#N/A</v>
      </c>
      <c r="AA3180" s="81" t="str">
        <f>IFERROR(HLOOKUP(J3180,データについて!$J$4:$AH$19,16,FALSE),"")</f>
        <v/>
      </c>
      <c r="AB3180" s="81" t="str">
        <f>IFERROR(HLOOKUP(K3180,データについて!$J$5:$AH$20,14,FALSE),"")</f>
        <v/>
      </c>
      <c r="AC3180" s="81" t="e">
        <f>IF(X3180=1,HLOOKUP(R3180,データについて!$J$12:$M$18,7,FALSE),"*")</f>
        <v>#N/A</v>
      </c>
      <c r="AD3180" s="81" t="e">
        <f>IF(X3180=2,HLOOKUP(R3180,データについて!$J$12:$M$18,7,FALSE),"*")</f>
        <v>#N/A</v>
      </c>
    </row>
    <row r="3181" spans="19:30">
      <c r="S3181" s="81" t="e">
        <f>HLOOKUP(L3181,データについて!$J$6:$M$18,13,FALSE)</f>
        <v>#N/A</v>
      </c>
      <c r="T3181" s="81" t="e">
        <f>HLOOKUP(M3181,データについて!$J$7:$M$18,12,FALSE)</f>
        <v>#N/A</v>
      </c>
      <c r="U3181" s="81" t="e">
        <f>HLOOKUP(N3181,データについて!$J$8:$M$18,11,FALSE)</f>
        <v>#N/A</v>
      </c>
      <c r="V3181" s="81" t="e">
        <f>HLOOKUP(O3181,データについて!$J$9:$M$18,10,FALSE)</f>
        <v>#N/A</v>
      </c>
      <c r="W3181" s="81" t="e">
        <f>HLOOKUP(P3181,データについて!$J$10:$M$18,9,FALSE)</f>
        <v>#N/A</v>
      </c>
      <c r="X3181" s="81" t="e">
        <f>HLOOKUP(Q3181,データについて!$J$11:$M$18,8,FALSE)</f>
        <v>#N/A</v>
      </c>
      <c r="Y3181" s="81" t="e">
        <f>HLOOKUP(R3181,データについて!$J$12:$M$18,7,FALSE)</f>
        <v>#N/A</v>
      </c>
      <c r="Z3181" s="81" t="e">
        <f>HLOOKUP(I3181,データについて!$J$3:$M$18,16,FALSE)</f>
        <v>#N/A</v>
      </c>
      <c r="AA3181" s="81" t="str">
        <f>IFERROR(HLOOKUP(J3181,データについて!$J$4:$AH$19,16,FALSE),"")</f>
        <v/>
      </c>
      <c r="AB3181" s="81" t="str">
        <f>IFERROR(HLOOKUP(K3181,データについて!$J$5:$AH$20,14,FALSE),"")</f>
        <v/>
      </c>
      <c r="AC3181" s="81" t="e">
        <f>IF(X3181=1,HLOOKUP(R3181,データについて!$J$12:$M$18,7,FALSE),"*")</f>
        <v>#N/A</v>
      </c>
      <c r="AD3181" s="81" t="e">
        <f>IF(X3181=2,HLOOKUP(R3181,データについて!$J$12:$M$18,7,FALSE),"*")</f>
        <v>#N/A</v>
      </c>
    </row>
    <row r="3182" spans="19:30">
      <c r="S3182" s="81" t="e">
        <f>HLOOKUP(L3182,データについて!$J$6:$M$18,13,FALSE)</f>
        <v>#N/A</v>
      </c>
      <c r="T3182" s="81" t="e">
        <f>HLOOKUP(M3182,データについて!$J$7:$M$18,12,FALSE)</f>
        <v>#N/A</v>
      </c>
      <c r="U3182" s="81" t="e">
        <f>HLOOKUP(N3182,データについて!$J$8:$M$18,11,FALSE)</f>
        <v>#N/A</v>
      </c>
      <c r="V3182" s="81" t="e">
        <f>HLOOKUP(O3182,データについて!$J$9:$M$18,10,FALSE)</f>
        <v>#N/A</v>
      </c>
      <c r="W3182" s="81" t="e">
        <f>HLOOKUP(P3182,データについて!$J$10:$M$18,9,FALSE)</f>
        <v>#N/A</v>
      </c>
      <c r="X3182" s="81" t="e">
        <f>HLOOKUP(Q3182,データについて!$J$11:$M$18,8,FALSE)</f>
        <v>#N/A</v>
      </c>
      <c r="Y3182" s="81" t="e">
        <f>HLOOKUP(R3182,データについて!$J$12:$M$18,7,FALSE)</f>
        <v>#N/A</v>
      </c>
      <c r="Z3182" s="81" t="e">
        <f>HLOOKUP(I3182,データについて!$J$3:$M$18,16,FALSE)</f>
        <v>#N/A</v>
      </c>
      <c r="AA3182" s="81" t="str">
        <f>IFERROR(HLOOKUP(J3182,データについて!$J$4:$AH$19,16,FALSE),"")</f>
        <v/>
      </c>
      <c r="AB3182" s="81" t="str">
        <f>IFERROR(HLOOKUP(K3182,データについて!$J$5:$AH$20,14,FALSE),"")</f>
        <v/>
      </c>
      <c r="AC3182" s="81" t="e">
        <f>IF(X3182=1,HLOOKUP(R3182,データについて!$J$12:$M$18,7,FALSE),"*")</f>
        <v>#N/A</v>
      </c>
      <c r="AD3182" s="81" t="e">
        <f>IF(X3182=2,HLOOKUP(R3182,データについて!$J$12:$M$18,7,FALSE),"*")</f>
        <v>#N/A</v>
      </c>
    </row>
    <row r="3183" spans="19:30">
      <c r="S3183" s="81" t="e">
        <f>HLOOKUP(L3183,データについて!$J$6:$M$18,13,FALSE)</f>
        <v>#N/A</v>
      </c>
      <c r="T3183" s="81" t="e">
        <f>HLOOKUP(M3183,データについて!$J$7:$M$18,12,FALSE)</f>
        <v>#N/A</v>
      </c>
      <c r="U3183" s="81" t="e">
        <f>HLOOKUP(N3183,データについて!$J$8:$M$18,11,FALSE)</f>
        <v>#N/A</v>
      </c>
      <c r="V3183" s="81" t="e">
        <f>HLOOKUP(O3183,データについて!$J$9:$M$18,10,FALSE)</f>
        <v>#N/A</v>
      </c>
      <c r="W3183" s="81" t="e">
        <f>HLOOKUP(P3183,データについて!$J$10:$M$18,9,FALSE)</f>
        <v>#N/A</v>
      </c>
      <c r="X3183" s="81" t="e">
        <f>HLOOKUP(Q3183,データについて!$J$11:$M$18,8,FALSE)</f>
        <v>#N/A</v>
      </c>
      <c r="Y3183" s="81" t="e">
        <f>HLOOKUP(R3183,データについて!$J$12:$M$18,7,FALSE)</f>
        <v>#N/A</v>
      </c>
      <c r="Z3183" s="81" t="e">
        <f>HLOOKUP(I3183,データについて!$J$3:$M$18,16,FALSE)</f>
        <v>#N/A</v>
      </c>
      <c r="AA3183" s="81" t="str">
        <f>IFERROR(HLOOKUP(J3183,データについて!$J$4:$AH$19,16,FALSE),"")</f>
        <v/>
      </c>
      <c r="AB3183" s="81" t="str">
        <f>IFERROR(HLOOKUP(K3183,データについて!$J$5:$AH$20,14,FALSE),"")</f>
        <v/>
      </c>
      <c r="AC3183" s="81" t="e">
        <f>IF(X3183=1,HLOOKUP(R3183,データについて!$J$12:$M$18,7,FALSE),"*")</f>
        <v>#N/A</v>
      </c>
      <c r="AD3183" s="81" t="e">
        <f>IF(X3183=2,HLOOKUP(R3183,データについて!$J$12:$M$18,7,FALSE),"*")</f>
        <v>#N/A</v>
      </c>
    </row>
    <row r="3184" spans="19:30">
      <c r="S3184" s="81" t="e">
        <f>HLOOKUP(L3184,データについて!$J$6:$M$18,13,FALSE)</f>
        <v>#N/A</v>
      </c>
      <c r="T3184" s="81" t="e">
        <f>HLOOKUP(M3184,データについて!$J$7:$M$18,12,FALSE)</f>
        <v>#N/A</v>
      </c>
      <c r="U3184" s="81" t="e">
        <f>HLOOKUP(N3184,データについて!$J$8:$M$18,11,FALSE)</f>
        <v>#N/A</v>
      </c>
      <c r="V3184" s="81" t="e">
        <f>HLOOKUP(O3184,データについて!$J$9:$M$18,10,FALSE)</f>
        <v>#N/A</v>
      </c>
      <c r="W3184" s="81" t="e">
        <f>HLOOKUP(P3184,データについて!$J$10:$M$18,9,FALSE)</f>
        <v>#N/A</v>
      </c>
      <c r="X3184" s="81" t="e">
        <f>HLOOKUP(Q3184,データについて!$J$11:$M$18,8,FALSE)</f>
        <v>#N/A</v>
      </c>
      <c r="Y3184" s="81" t="e">
        <f>HLOOKUP(R3184,データについて!$J$12:$M$18,7,FALSE)</f>
        <v>#N/A</v>
      </c>
      <c r="Z3184" s="81" t="e">
        <f>HLOOKUP(I3184,データについて!$J$3:$M$18,16,FALSE)</f>
        <v>#N/A</v>
      </c>
      <c r="AA3184" s="81" t="str">
        <f>IFERROR(HLOOKUP(J3184,データについて!$J$4:$AH$19,16,FALSE),"")</f>
        <v/>
      </c>
      <c r="AB3184" s="81" t="str">
        <f>IFERROR(HLOOKUP(K3184,データについて!$J$5:$AH$20,14,FALSE),"")</f>
        <v/>
      </c>
      <c r="AC3184" s="81" t="e">
        <f>IF(X3184=1,HLOOKUP(R3184,データについて!$J$12:$M$18,7,FALSE),"*")</f>
        <v>#N/A</v>
      </c>
      <c r="AD3184" s="81" t="e">
        <f>IF(X3184=2,HLOOKUP(R3184,データについて!$J$12:$M$18,7,FALSE),"*")</f>
        <v>#N/A</v>
      </c>
    </row>
    <row r="3185" spans="19:30">
      <c r="S3185" s="81" t="e">
        <f>HLOOKUP(L3185,データについて!$J$6:$M$18,13,FALSE)</f>
        <v>#N/A</v>
      </c>
      <c r="T3185" s="81" t="e">
        <f>HLOOKUP(M3185,データについて!$J$7:$M$18,12,FALSE)</f>
        <v>#N/A</v>
      </c>
      <c r="U3185" s="81" t="e">
        <f>HLOOKUP(N3185,データについて!$J$8:$M$18,11,FALSE)</f>
        <v>#N/A</v>
      </c>
      <c r="V3185" s="81" t="e">
        <f>HLOOKUP(O3185,データについて!$J$9:$M$18,10,FALSE)</f>
        <v>#N/A</v>
      </c>
      <c r="W3185" s="81" t="e">
        <f>HLOOKUP(P3185,データについて!$J$10:$M$18,9,FALSE)</f>
        <v>#N/A</v>
      </c>
      <c r="X3185" s="81" t="e">
        <f>HLOOKUP(Q3185,データについて!$J$11:$M$18,8,FALSE)</f>
        <v>#N/A</v>
      </c>
      <c r="Y3185" s="81" t="e">
        <f>HLOOKUP(R3185,データについて!$J$12:$M$18,7,FALSE)</f>
        <v>#N/A</v>
      </c>
      <c r="Z3185" s="81" t="e">
        <f>HLOOKUP(I3185,データについて!$J$3:$M$18,16,FALSE)</f>
        <v>#N/A</v>
      </c>
      <c r="AA3185" s="81" t="str">
        <f>IFERROR(HLOOKUP(J3185,データについて!$J$4:$AH$19,16,FALSE),"")</f>
        <v/>
      </c>
      <c r="AB3185" s="81" t="str">
        <f>IFERROR(HLOOKUP(K3185,データについて!$J$5:$AH$20,14,FALSE),"")</f>
        <v/>
      </c>
      <c r="AC3185" s="81" t="e">
        <f>IF(X3185=1,HLOOKUP(R3185,データについて!$J$12:$M$18,7,FALSE),"*")</f>
        <v>#N/A</v>
      </c>
      <c r="AD3185" s="81" t="e">
        <f>IF(X3185=2,HLOOKUP(R3185,データについて!$J$12:$M$18,7,FALSE),"*")</f>
        <v>#N/A</v>
      </c>
    </row>
    <row r="3186" spans="19:30">
      <c r="S3186" s="81" t="e">
        <f>HLOOKUP(L3186,データについて!$J$6:$M$18,13,FALSE)</f>
        <v>#N/A</v>
      </c>
      <c r="T3186" s="81" t="e">
        <f>HLOOKUP(M3186,データについて!$J$7:$M$18,12,FALSE)</f>
        <v>#N/A</v>
      </c>
      <c r="U3186" s="81" t="e">
        <f>HLOOKUP(N3186,データについて!$J$8:$M$18,11,FALSE)</f>
        <v>#N/A</v>
      </c>
      <c r="V3186" s="81" t="e">
        <f>HLOOKUP(O3186,データについて!$J$9:$M$18,10,FALSE)</f>
        <v>#N/A</v>
      </c>
      <c r="W3186" s="81" t="e">
        <f>HLOOKUP(P3186,データについて!$J$10:$M$18,9,FALSE)</f>
        <v>#N/A</v>
      </c>
      <c r="X3186" s="81" t="e">
        <f>HLOOKUP(Q3186,データについて!$J$11:$M$18,8,FALSE)</f>
        <v>#N/A</v>
      </c>
      <c r="Y3186" s="81" t="e">
        <f>HLOOKUP(R3186,データについて!$J$12:$M$18,7,FALSE)</f>
        <v>#N/A</v>
      </c>
      <c r="Z3186" s="81" t="e">
        <f>HLOOKUP(I3186,データについて!$J$3:$M$18,16,FALSE)</f>
        <v>#N/A</v>
      </c>
      <c r="AA3186" s="81" t="str">
        <f>IFERROR(HLOOKUP(J3186,データについて!$J$4:$AH$19,16,FALSE),"")</f>
        <v/>
      </c>
      <c r="AB3186" s="81" t="str">
        <f>IFERROR(HLOOKUP(K3186,データについて!$J$5:$AH$20,14,FALSE),"")</f>
        <v/>
      </c>
      <c r="AC3186" s="81" t="e">
        <f>IF(X3186=1,HLOOKUP(R3186,データについて!$J$12:$M$18,7,FALSE),"*")</f>
        <v>#N/A</v>
      </c>
      <c r="AD3186" s="81" t="e">
        <f>IF(X3186=2,HLOOKUP(R3186,データについて!$J$12:$M$18,7,FALSE),"*")</f>
        <v>#N/A</v>
      </c>
    </row>
    <row r="3187" spans="19:30">
      <c r="S3187" s="81" t="e">
        <f>HLOOKUP(L3187,データについて!$J$6:$M$18,13,FALSE)</f>
        <v>#N/A</v>
      </c>
      <c r="T3187" s="81" t="e">
        <f>HLOOKUP(M3187,データについて!$J$7:$M$18,12,FALSE)</f>
        <v>#N/A</v>
      </c>
      <c r="U3187" s="81" t="e">
        <f>HLOOKUP(N3187,データについて!$J$8:$M$18,11,FALSE)</f>
        <v>#N/A</v>
      </c>
      <c r="V3187" s="81" t="e">
        <f>HLOOKUP(O3187,データについて!$J$9:$M$18,10,FALSE)</f>
        <v>#N/A</v>
      </c>
      <c r="W3187" s="81" t="e">
        <f>HLOOKUP(P3187,データについて!$J$10:$M$18,9,FALSE)</f>
        <v>#N/A</v>
      </c>
      <c r="X3187" s="81" t="e">
        <f>HLOOKUP(Q3187,データについて!$J$11:$M$18,8,FALSE)</f>
        <v>#N/A</v>
      </c>
      <c r="Y3187" s="81" t="e">
        <f>HLOOKUP(R3187,データについて!$J$12:$M$18,7,FALSE)</f>
        <v>#N/A</v>
      </c>
      <c r="Z3187" s="81" t="e">
        <f>HLOOKUP(I3187,データについて!$J$3:$M$18,16,FALSE)</f>
        <v>#N/A</v>
      </c>
      <c r="AA3187" s="81" t="str">
        <f>IFERROR(HLOOKUP(J3187,データについて!$J$4:$AH$19,16,FALSE),"")</f>
        <v/>
      </c>
      <c r="AB3187" s="81" t="str">
        <f>IFERROR(HLOOKUP(K3187,データについて!$J$5:$AH$20,14,FALSE),"")</f>
        <v/>
      </c>
      <c r="AC3187" s="81" t="e">
        <f>IF(X3187=1,HLOOKUP(R3187,データについて!$J$12:$M$18,7,FALSE),"*")</f>
        <v>#N/A</v>
      </c>
      <c r="AD3187" s="81" t="e">
        <f>IF(X3187=2,HLOOKUP(R3187,データについて!$J$12:$M$18,7,FALSE),"*")</f>
        <v>#N/A</v>
      </c>
    </row>
    <row r="3188" spans="19:30">
      <c r="S3188" s="81" t="e">
        <f>HLOOKUP(L3188,データについて!$J$6:$M$18,13,FALSE)</f>
        <v>#N/A</v>
      </c>
      <c r="T3188" s="81" t="e">
        <f>HLOOKUP(M3188,データについて!$J$7:$M$18,12,FALSE)</f>
        <v>#N/A</v>
      </c>
      <c r="U3188" s="81" t="e">
        <f>HLOOKUP(N3188,データについて!$J$8:$M$18,11,FALSE)</f>
        <v>#N/A</v>
      </c>
      <c r="V3188" s="81" t="e">
        <f>HLOOKUP(O3188,データについて!$J$9:$M$18,10,FALSE)</f>
        <v>#N/A</v>
      </c>
      <c r="W3188" s="81" t="e">
        <f>HLOOKUP(P3188,データについて!$J$10:$M$18,9,FALSE)</f>
        <v>#N/A</v>
      </c>
      <c r="X3188" s="81" t="e">
        <f>HLOOKUP(Q3188,データについて!$J$11:$M$18,8,FALSE)</f>
        <v>#N/A</v>
      </c>
      <c r="Y3188" s="81" t="e">
        <f>HLOOKUP(R3188,データについて!$J$12:$M$18,7,FALSE)</f>
        <v>#N/A</v>
      </c>
      <c r="Z3188" s="81" t="e">
        <f>HLOOKUP(I3188,データについて!$J$3:$M$18,16,FALSE)</f>
        <v>#N/A</v>
      </c>
      <c r="AA3188" s="81" t="str">
        <f>IFERROR(HLOOKUP(J3188,データについて!$J$4:$AH$19,16,FALSE),"")</f>
        <v/>
      </c>
      <c r="AB3188" s="81" t="str">
        <f>IFERROR(HLOOKUP(K3188,データについて!$J$5:$AH$20,14,FALSE),"")</f>
        <v/>
      </c>
      <c r="AC3188" s="81" t="e">
        <f>IF(X3188=1,HLOOKUP(R3188,データについて!$J$12:$M$18,7,FALSE),"*")</f>
        <v>#N/A</v>
      </c>
      <c r="AD3188" s="81" t="e">
        <f>IF(X3188=2,HLOOKUP(R3188,データについて!$J$12:$M$18,7,FALSE),"*")</f>
        <v>#N/A</v>
      </c>
    </row>
    <row r="3189" spans="19:30">
      <c r="S3189" s="81" t="e">
        <f>HLOOKUP(L3189,データについて!$J$6:$M$18,13,FALSE)</f>
        <v>#N/A</v>
      </c>
      <c r="T3189" s="81" t="e">
        <f>HLOOKUP(M3189,データについて!$J$7:$M$18,12,FALSE)</f>
        <v>#N/A</v>
      </c>
      <c r="U3189" s="81" t="e">
        <f>HLOOKUP(N3189,データについて!$J$8:$M$18,11,FALSE)</f>
        <v>#N/A</v>
      </c>
      <c r="V3189" s="81" t="e">
        <f>HLOOKUP(O3189,データについて!$J$9:$M$18,10,FALSE)</f>
        <v>#N/A</v>
      </c>
      <c r="W3189" s="81" t="e">
        <f>HLOOKUP(P3189,データについて!$J$10:$M$18,9,FALSE)</f>
        <v>#N/A</v>
      </c>
      <c r="X3189" s="81" t="e">
        <f>HLOOKUP(Q3189,データについて!$J$11:$M$18,8,FALSE)</f>
        <v>#N/A</v>
      </c>
      <c r="Y3189" s="81" t="e">
        <f>HLOOKUP(R3189,データについて!$J$12:$M$18,7,FALSE)</f>
        <v>#N/A</v>
      </c>
      <c r="Z3189" s="81" t="e">
        <f>HLOOKUP(I3189,データについて!$J$3:$M$18,16,FALSE)</f>
        <v>#N/A</v>
      </c>
      <c r="AA3189" s="81" t="str">
        <f>IFERROR(HLOOKUP(J3189,データについて!$J$4:$AH$19,16,FALSE),"")</f>
        <v/>
      </c>
      <c r="AB3189" s="81" t="str">
        <f>IFERROR(HLOOKUP(K3189,データについて!$J$5:$AH$20,14,FALSE),"")</f>
        <v/>
      </c>
      <c r="AC3189" s="81" t="e">
        <f>IF(X3189=1,HLOOKUP(R3189,データについて!$J$12:$M$18,7,FALSE),"*")</f>
        <v>#N/A</v>
      </c>
      <c r="AD3189" s="81" t="e">
        <f>IF(X3189=2,HLOOKUP(R3189,データについて!$J$12:$M$18,7,FALSE),"*")</f>
        <v>#N/A</v>
      </c>
    </row>
    <row r="3190" spans="19:30">
      <c r="S3190" s="81" t="e">
        <f>HLOOKUP(L3190,データについて!$J$6:$M$18,13,FALSE)</f>
        <v>#N/A</v>
      </c>
      <c r="T3190" s="81" t="e">
        <f>HLOOKUP(M3190,データについて!$J$7:$M$18,12,FALSE)</f>
        <v>#N/A</v>
      </c>
      <c r="U3190" s="81" t="e">
        <f>HLOOKUP(N3190,データについて!$J$8:$M$18,11,FALSE)</f>
        <v>#N/A</v>
      </c>
      <c r="V3190" s="81" t="e">
        <f>HLOOKUP(O3190,データについて!$J$9:$M$18,10,FALSE)</f>
        <v>#N/A</v>
      </c>
      <c r="W3190" s="81" t="e">
        <f>HLOOKUP(P3190,データについて!$J$10:$M$18,9,FALSE)</f>
        <v>#N/A</v>
      </c>
      <c r="X3190" s="81" t="e">
        <f>HLOOKUP(Q3190,データについて!$J$11:$M$18,8,FALSE)</f>
        <v>#N/A</v>
      </c>
      <c r="Y3190" s="81" t="e">
        <f>HLOOKUP(R3190,データについて!$J$12:$M$18,7,FALSE)</f>
        <v>#N/A</v>
      </c>
      <c r="Z3190" s="81" t="e">
        <f>HLOOKUP(I3190,データについて!$J$3:$M$18,16,FALSE)</f>
        <v>#N/A</v>
      </c>
      <c r="AA3190" s="81" t="str">
        <f>IFERROR(HLOOKUP(J3190,データについて!$J$4:$AH$19,16,FALSE),"")</f>
        <v/>
      </c>
      <c r="AB3190" s="81" t="str">
        <f>IFERROR(HLOOKUP(K3190,データについて!$J$5:$AH$20,14,FALSE),"")</f>
        <v/>
      </c>
      <c r="AC3190" s="81" t="e">
        <f>IF(X3190=1,HLOOKUP(R3190,データについて!$J$12:$M$18,7,FALSE),"*")</f>
        <v>#N/A</v>
      </c>
      <c r="AD3190" s="81" t="e">
        <f>IF(X3190=2,HLOOKUP(R3190,データについて!$J$12:$M$18,7,FALSE),"*")</f>
        <v>#N/A</v>
      </c>
    </row>
    <row r="3191" spans="19:30">
      <c r="S3191" s="81" t="e">
        <f>HLOOKUP(L3191,データについて!$J$6:$M$18,13,FALSE)</f>
        <v>#N/A</v>
      </c>
      <c r="T3191" s="81" t="e">
        <f>HLOOKUP(M3191,データについて!$J$7:$M$18,12,FALSE)</f>
        <v>#N/A</v>
      </c>
      <c r="U3191" s="81" t="e">
        <f>HLOOKUP(N3191,データについて!$J$8:$M$18,11,FALSE)</f>
        <v>#N/A</v>
      </c>
      <c r="V3191" s="81" t="e">
        <f>HLOOKUP(O3191,データについて!$J$9:$M$18,10,FALSE)</f>
        <v>#N/A</v>
      </c>
      <c r="W3191" s="81" t="e">
        <f>HLOOKUP(P3191,データについて!$J$10:$M$18,9,FALSE)</f>
        <v>#N/A</v>
      </c>
      <c r="X3191" s="81" t="e">
        <f>HLOOKUP(Q3191,データについて!$J$11:$M$18,8,FALSE)</f>
        <v>#N/A</v>
      </c>
      <c r="Y3191" s="81" t="e">
        <f>HLOOKUP(R3191,データについて!$J$12:$M$18,7,FALSE)</f>
        <v>#N/A</v>
      </c>
      <c r="Z3191" s="81" t="e">
        <f>HLOOKUP(I3191,データについて!$J$3:$M$18,16,FALSE)</f>
        <v>#N/A</v>
      </c>
      <c r="AA3191" s="81" t="str">
        <f>IFERROR(HLOOKUP(J3191,データについて!$J$4:$AH$19,16,FALSE),"")</f>
        <v/>
      </c>
      <c r="AB3191" s="81" t="str">
        <f>IFERROR(HLOOKUP(K3191,データについて!$J$5:$AH$20,14,FALSE),"")</f>
        <v/>
      </c>
      <c r="AC3191" s="81" t="e">
        <f>IF(X3191=1,HLOOKUP(R3191,データについて!$J$12:$M$18,7,FALSE),"*")</f>
        <v>#N/A</v>
      </c>
      <c r="AD3191" s="81" t="e">
        <f>IF(X3191=2,HLOOKUP(R3191,データについて!$J$12:$M$18,7,FALSE),"*")</f>
        <v>#N/A</v>
      </c>
    </row>
    <row r="3192" spans="19:30">
      <c r="S3192" s="81" t="e">
        <f>HLOOKUP(L3192,データについて!$J$6:$M$18,13,FALSE)</f>
        <v>#N/A</v>
      </c>
      <c r="T3192" s="81" t="e">
        <f>HLOOKUP(M3192,データについて!$J$7:$M$18,12,FALSE)</f>
        <v>#N/A</v>
      </c>
      <c r="U3192" s="81" t="e">
        <f>HLOOKUP(N3192,データについて!$J$8:$M$18,11,FALSE)</f>
        <v>#N/A</v>
      </c>
      <c r="V3192" s="81" t="e">
        <f>HLOOKUP(O3192,データについて!$J$9:$M$18,10,FALSE)</f>
        <v>#N/A</v>
      </c>
      <c r="W3192" s="81" t="e">
        <f>HLOOKUP(P3192,データについて!$J$10:$M$18,9,FALSE)</f>
        <v>#N/A</v>
      </c>
      <c r="X3192" s="81" t="e">
        <f>HLOOKUP(Q3192,データについて!$J$11:$M$18,8,FALSE)</f>
        <v>#N/A</v>
      </c>
      <c r="Y3192" s="81" t="e">
        <f>HLOOKUP(R3192,データについて!$J$12:$M$18,7,FALSE)</f>
        <v>#N/A</v>
      </c>
      <c r="Z3192" s="81" t="e">
        <f>HLOOKUP(I3192,データについて!$J$3:$M$18,16,FALSE)</f>
        <v>#N/A</v>
      </c>
      <c r="AA3192" s="81" t="str">
        <f>IFERROR(HLOOKUP(J3192,データについて!$J$4:$AH$19,16,FALSE),"")</f>
        <v/>
      </c>
      <c r="AB3192" s="81" t="str">
        <f>IFERROR(HLOOKUP(K3192,データについて!$J$5:$AH$20,14,FALSE),"")</f>
        <v/>
      </c>
      <c r="AC3192" s="81" t="e">
        <f>IF(X3192=1,HLOOKUP(R3192,データについて!$J$12:$M$18,7,FALSE),"*")</f>
        <v>#N/A</v>
      </c>
      <c r="AD3192" s="81" t="e">
        <f>IF(X3192=2,HLOOKUP(R3192,データについて!$J$12:$M$18,7,FALSE),"*")</f>
        <v>#N/A</v>
      </c>
    </row>
    <row r="3193" spans="19:30">
      <c r="S3193" s="81" t="e">
        <f>HLOOKUP(L3193,データについて!$J$6:$M$18,13,FALSE)</f>
        <v>#N/A</v>
      </c>
      <c r="T3193" s="81" t="e">
        <f>HLOOKUP(M3193,データについて!$J$7:$M$18,12,FALSE)</f>
        <v>#N/A</v>
      </c>
      <c r="U3193" s="81" t="e">
        <f>HLOOKUP(N3193,データについて!$J$8:$M$18,11,FALSE)</f>
        <v>#N/A</v>
      </c>
      <c r="V3193" s="81" t="e">
        <f>HLOOKUP(O3193,データについて!$J$9:$M$18,10,FALSE)</f>
        <v>#N/A</v>
      </c>
      <c r="W3193" s="81" t="e">
        <f>HLOOKUP(P3193,データについて!$J$10:$M$18,9,FALSE)</f>
        <v>#N/A</v>
      </c>
      <c r="X3193" s="81" t="e">
        <f>HLOOKUP(Q3193,データについて!$J$11:$M$18,8,FALSE)</f>
        <v>#N/A</v>
      </c>
      <c r="Y3193" s="81" t="e">
        <f>HLOOKUP(R3193,データについて!$J$12:$M$18,7,FALSE)</f>
        <v>#N/A</v>
      </c>
      <c r="Z3193" s="81" t="e">
        <f>HLOOKUP(I3193,データについて!$J$3:$M$18,16,FALSE)</f>
        <v>#N/A</v>
      </c>
      <c r="AA3193" s="81" t="str">
        <f>IFERROR(HLOOKUP(J3193,データについて!$J$4:$AH$19,16,FALSE),"")</f>
        <v/>
      </c>
      <c r="AB3193" s="81" t="str">
        <f>IFERROR(HLOOKUP(K3193,データについて!$J$5:$AH$20,14,FALSE),"")</f>
        <v/>
      </c>
      <c r="AC3193" s="81" t="e">
        <f>IF(X3193=1,HLOOKUP(R3193,データについて!$J$12:$M$18,7,FALSE),"*")</f>
        <v>#N/A</v>
      </c>
      <c r="AD3193" s="81" t="e">
        <f>IF(X3193=2,HLOOKUP(R3193,データについて!$J$12:$M$18,7,FALSE),"*")</f>
        <v>#N/A</v>
      </c>
    </row>
    <row r="3194" spans="19:30">
      <c r="S3194" s="81" t="e">
        <f>HLOOKUP(L3194,データについて!$J$6:$M$18,13,FALSE)</f>
        <v>#N/A</v>
      </c>
      <c r="T3194" s="81" t="e">
        <f>HLOOKUP(M3194,データについて!$J$7:$M$18,12,FALSE)</f>
        <v>#N/A</v>
      </c>
      <c r="U3194" s="81" t="e">
        <f>HLOOKUP(N3194,データについて!$J$8:$M$18,11,FALSE)</f>
        <v>#N/A</v>
      </c>
      <c r="V3194" s="81" t="e">
        <f>HLOOKUP(O3194,データについて!$J$9:$M$18,10,FALSE)</f>
        <v>#N/A</v>
      </c>
      <c r="W3194" s="81" t="e">
        <f>HLOOKUP(P3194,データについて!$J$10:$M$18,9,FALSE)</f>
        <v>#N/A</v>
      </c>
      <c r="X3194" s="81" t="e">
        <f>HLOOKUP(Q3194,データについて!$J$11:$M$18,8,FALSE)</f>
        <v>#N/A</v>
      </c>
      <c r="Y3194" s="81" t="e">
        <f>HLOOKUP(R3194,データについて!$J$12:$M$18,7,FALSE)</f>
        <v>#N/A</v>
      </c>
      <c r="Z3194" s="81" t="e">
        <f>HLOOKUP(I3194,データについて!$J$3:$M$18,16,FALSE)</f>
        <v>#N/A</v>
      </c>
      <c r="AA3194" s="81" t="str">
        <f>IFERROR(HLOOKUP(J3194,データについて!$J$4:$AH$19,16,FALSE),"")</f>
        <v/>
      </c>
      <c r="AB3194" s="81" t="str">
        <f>IFERROR(HLOOKUP(K3194,データについて!$J$5:$AH$20,14,FALSE),"")</f>
        <v/>
      </c>
      <c r="AC3194" s="81" t="e">
        <f>IF(X3194=1,HLOOKUP(R3194,データについて!$J$12:$M$18,7,FALSE),"*")</f>
        <v>#N/A</v>
      </c>
      <c r="AD3194" s="81" t="e">
        <f>IF(X3194=2,HLOOKUP(R3194,データについて!$J$12:$M$18,7,FALSE),"*")</f>
        <v>#N/A</v>
      </c>
    </row>
    <row r="3195" spans="19:30">
      <c r="S3195" s="81" t="e">
        <f>HLOOKUP(L3195,データについて!$J$6:$M$18,13,FALSE)</f>
        <v>#N/A</v>
      </c>
      <c r="T3195" s="81" t="e">
        <f>HLOOKUP(M3195,データについて!$J$7:$M$18,12,FALSE)</f>
        <v>#N/A</v>
      </c>
      <c r="U3195" s="81" t="e">
        <f>HLOOKUP(N3195,データについて!$J$8:$M$18,11,FALSE)</f>
        <v>#N/A</v>
      </c>
      <c r="V3195" s="81" t="e">
        <f>HLOOKUP(O3195,データについて!$J$9:$M$18,10,FALSE)</f>
        <v>#N/A</v>
      </c>
      <c r="W3195" s="81" t="e">
        <f>HLOOKUP(P3195,データについて!$J$10:$M$18,9,FALSE)</f>
        <v>#N/A</v>
      </c>
      <c r="X3195" s="81" t="e">
        <f>HLOOKUP(Q3195,データについて!$J$11:$M$18,8,FALSE)</f>
        <v>#N/A</v>
      </c>
      <c r="Y3195" s="81" t="e">
        <f>HLOOKUP(R3195,データについて!$J$12:$M$18,7,FALSE)</f>
        <v>#N/A</v>
      </c>
      <c r="Z3195" s="81" t="e">
        <f>HLOOKUP(I3195,データについて!$J$3:$M$18,16,FALSE)</f>
        <v>#N/A</v>
      </c>
      <c r="AA3195" s="81" t="str">
        <f>IFERROR(HLOOKUP(J3195,データについて!$J$4:$AH$19,16,FALSE),"")</f>
        <v/>
      </c>
      <c r="AB3195" s="81" t="str">
        <f>IFERROR(HLOOKUP(K3195,データについて!$J$5:$AH$20,14,FALSE),"")</f>
        <v/>
      </c>
      <c r="AC3195" s="81" t="e">
        <f>IF(X3195=1,HLOOKUP(R3195,データについて!$J$12:$M$18,7,FALSE),"*")</f>
        <v>#N/A</v>
      </c>
      <c r="AD3195" s="81" t="e">
        <f>IF(X3195=2,HLOOKUP(R3195,データについて!$J$12:$M$18,7,FALSE),"*")</f>
        <v>#N/A</v>
      </c>
    </row>
    <row r="3196" spans="19:30">
      <c r="S3196" s="81" t="e">
        <f>HLOOKUP(L3196,データについて!$J$6:$M$18,13,FALSE)</f>
        <v>#N/A</v>
      </c>
      <c r="T3196" s="81" t="e">
        <f>HLOOKUP(M3196,データについて!$J$7:$M$18,12,FALSE)</f>
        <v>#N/A</v>
      </c>
      <c r="U3196" s="81" t="e">
        <f>HLOOKUP(N3196,データについて!$J$8:$M$18,11,FALSE)</f>
        <v>#N/A</v>
      </c>
      <c r="V3196" s="81" t="e">
        <f>HLOOKUP(O3196,データについて!$J$9:$M$18,10,FALSE)</f>
        <v>#N/A</v>
      </c>
      <c r="W3196" s="81" t="e">
        <f>HLOOKUP(P3196,データについて!$J$10:$M$18,9,FALSE)</f>
        <v>#N/A</v>
      </c>
      <c r="X3196" s="81" t="e">
        <f>HLOOKUP(Q3196,データについて!$J$11:$M$18,8,FALSE)</f>
        <v>#N/A</v>
      </c>
      <c r="Y3196" s="81" t="e">
        <f>HLOOKUP(R3196,データについて!$J$12:$M$18,7,FALSE)</f>
        <v>#N/A</v>
      </c>
      <c r="Z3196" s="81" t="e">
        <f>HLOOKUP(I3196,データについて!$J$3:$M$18,16,FALSE)</f>
        <v>#N/A</v>
      </c>
      <c r="AA3196" s="81" t="str">
        <f>IFERROR(HLOOKUP(J3196,データについて!$J$4:$AH$19,16,FALSE),"")</f>
        <v/>
      </c>
      <c r="AB3196" s="81" t="str">
        <f>IFERROR(HLOOKUP(K3196,データについて!$J$5:$AH$20,14,FALSE),"")</f>
        <v/>
      </c>
      <c r="AC3196" s="81" t="e">
        <f>IF(X3196=1,HLOOKUP(R3196,データについて!$J$12:$M$18,7,FALSE),"*")</f>
        <v>#N/A</v>
      </c>
      <c r="AD3196" s="81" t="e">
        <f>IF(X3196=2,HLOOKUP(R3196,データについて!$J$12:$M$18,7,FALSE),"*")</f>
        <v>#N/A</v>
      </c>
    </row>
    <row r="3197" spans="19:30">
      <c r="S3197" s="81" t="e">
        <f>HLOOKUP(L3197,データについて!$J$6:$M$18,13,FALSE)</f>
        <v>#N/A</v>
      </c>
      <c r="T3197" s="81" t="e">
        <f>HLOOKUP(M3197,データについて!$J$7:$M$18,12,FALSE)</f>
        <v>#N/A</v>
      </c>
      <c r="U3197" s="81" t="e">
        <f>HLOOKUP(N3197,データについて!$J$8:$M$18,11,FALSE)</f>
        <v>#N/A</v>
      </c>
      <c r="V3197" s="81" t="e">
        <f>HLOOKUP(O3197,データについて!$J$9:$M$18,10,FALSE)</f>
        <v>#N/A</v>
      </c>
      <c r="W3197" s="81" t="e">
        <f>HLOOKUP(P3197,データについて!$J$10:$M$18,9,FALSE)</f>
        <v>#N/A</v>
      </c>
      <c r="X3197" s="81" t="e">
        <f>HLOOKUP(Q3197,データについて!$J$11:$M$18,8,FALSE)</f>
        <v>#N/A</v>
      </c>
      <c r="Y3197" s="81" t="e">
        <f>HLOOKUP(R3197,データについて!$J$12:$M$18,7,FALSE)</f>
        <v>#N/A</v>
      </c>
      <c r="Z3197" s="81" t="e">
        <f>HLOOKUP(I3197,データについて!$J$3:$M$18,16,FALSE)</f>
        <v>#N/A</v>
      </c>
      <c r="AA3197" s="81" t="str">
        <f>IFERROR(HLOOKUP(J3197,データについて!$J$4:$AH$19,16,FALSE),"")</f>
        <v/>
      </c>
      <c r="AB3197" s="81" t="str">
        <f>IFERROR(HLOOKUP(K3197,データについて!$J$5:$AH$20,14,FALSE),"")</f>
        <v/>
      </c>
      <c r="AC3197" s="81" t="e">
        <f>IF(X3197=1,HLOOKUP(R3197,データについて!$J$12:$M$18,7,FALSE),"*")</f>
        <v>#N/A</v>
      </c>
      <c r="AD3197" s="81" t="e">
        <f>IF(X3197=2,HLOOKUP(R3197,データについて!$J$12:$M$18,7,FALSE),"*")</f>
        <v>#N/A</v>
      </c>
    </row>
    <row r="3198" spans="19:30">
      <c r="S3198" s="81" t="e">
        <f>HLOOKUP(L3198,データについて!$J$6:$M$18,13,FALSE)</f>
        <v>#N/A</v>
      </c>
      <c r="T3198" s="81" t="e">
        <f>HLOOKUP(M3198,データについて!$J$7:$M$18,12,FALSE)</f>
        <v>#N/A</v>
      </c>
      <c r="U3198" s="81" t="e">
        <f>HLOOKUP(N3198,データについて!$J$8:$M$18,11,FALSE)</f>
        <v>#N/A</v>
      </c>
      <c r="V3198" s="81" t="e">
        <f>HLOOKUP(O3198,データについて!$J$9:$M$18,10,FALSE)</f>
        <v>#N/A</v>
      </c>
      <c r="W3198" s="81" t="e">
        <f>HLOOKUP(P3198,データについて!$J$10:$M$18,9,FALSE)</f>
        <v>#N/A</v>
      </c>
      <c r="X3198" s="81" t="e">
        <f>HLOOKUP(Q3198,データについて!$J$11:$M$18,8,FALSE)</f>
        <v>#N/A</v>
      </c>
      <c r="Y3198" s="81" t="e">
        <f>HLOOKUP(R3198,データについて!$J$12:$M$18,7,FALSE)</f>
        <v>#N/A</v>
      </c>
      <c r="Z3198" s="81" t="e">
        <f>HLOOKUP(I3198,データについて!$J$3:$M$18,16,FALSE)</f>
        <v>#N/A</v>
      </c>
      <c r="AA3198" s="81" t="str">
        <f>IFERROR(HLOOKUP(J3198,データについて!$J$4:$AH$19,16,FALSE),"")</f>
        <v/>
      </c>
      <c r="AB3198" s="81" t="str">
        <f>IFERROR(HLOOKUP(K3198,データについて!$J$5:$AH$20,14,FALSE),"")</f>
        <v/>
      </c>
      <c r="AC3198" s="81" t="e">
        <f>IF(X3198=1,HLOOKUP(R3198,データについて!$J$12:$M$18,7,FALSE),"*")</f>
        <v>#N/A</v>
      </c>
      <c r="AD3198" s="81" t="e">
        <f>IF(X3198=2,HLOOKUP(R3198,データについて!$J$12:$M$18,7,FALSE),"*")</f>
        <v>#N/A</v>
      </c>
    </row>
    <row r="3199" spans="19:30">
      <c r="S3199" s="81" t="e">
        <f>HLOOKUP(L3199,データについて!$J$6:$M$18,13,FALSE)</f>
        <v>#N/A</v>
      </c>
      <c r="T3199" s="81" t="e">
        <f>HLOOKUP(M3199,データについて!$J$7:$M$18,12,FALSE)</f>
        <v>#N/A</v>
      </c>
      <c r="U3199" s="81" t="e">
        <f>HLOOKUP(N3199,データについて!$J$8:$M$18,11,FALSE)</f>
        <v>#N/A</v>
      </c>
      <c r="V3199" s="81" t="e">
        <f>HLOOKUP(O3199,データについて!$J$9:$M$18,10,FALSE)</f>
        <v>#N/A</v>
      </c>
      <c r="W3199" s="81" t="e">
        <f>HLOOKUP(P3199,データについて!$J$10:$M$18,9,FALSE)</f>
        <v>#N/A</v>
      </c>
      <c r="X3199" s="81" t="e">
        <f>HLOOKUP(Q3199,データについて!$J$11:$M$18,8,FALSE)</f>
        <v>#N/A</v>
      </c>
      <c r="Y3199" s="81" t="e">
        <f>HLOOKUP(R3199,データについて!$J$12:$M$18,7,FALSE)</f>
        <v>#N/A</v>
      </c>
      <c r="Z3199" s="81" t="e">
        <f>HLOOKUP(I3199,データについて!$J$3:$M$18,16,FALSE)</f>
        <v>#N/A</v>
      </c>
      <c r="AA3199" s="81" t="str">
        <f>IFERROR(HLOOKUP(J3199,データについて!$J$4:$AH$19,16,FALSE),"")</f>
        <v/>
      </c>
      <c r="AB3199" s="81" t="str">
        <f>IFERROR(HLOOKUP(K3199,データについて!$J$5:$AH$20,14,FALSE),"")</f>
        <v/>
      </c>
      <c r="AC3199" s="81" t="e">
        <f>IF(X3199=1,HLOOKUP(R3199,データについて!$J$12:$M$18,7,FALSE),"*")</f>
        <v>#N/A</v>
      </c>
      <c r="AD3199" s="81" t="e">
        <f>IF(X3199=2,HLOOKUP(R3199,データについて!$J$12:$M$18,7,FALSE),"*")</f>
        <v>#N/A</v>
      </c>
    </row>
    <row r="3200" spans="19:30">
      <c r="S3200" s="81" t="e">
        <f>HLOOKUP(L3200,データについて!$J$6:$M$18,13,FALSE)</f>
        <v>#N/A</v>
      </c>
      <c r="T3200" s="81" t="e">
        <f>HLOOKUP(M3200,データについて!$J$7:$M$18,12,FALSE)</f>
        <v>#N/A</v>
      </c>
      <c r="U3200" s="81" t="e">
        <f>HLOOKUP(N3200,データについて!$J$8:$M$18,11,FALSE)</f>
        <v>#N/A</v>
      </c>
      <c r="V3200" s="81" t="e">
        <f>HLOOKUP(O3200,データについて!$J$9:$M$18,10,FALSE)</f>
        <v>#N/A</v>
      </c>
      <c r="W3200" s="81" t="e">
        <f>HLOOKUP(P3200,データについて!$J$10:$M$18,9,FALSE)</f>
        <v>#N/A</v>
      </c>
      <c r="X3200" s="81" t="e">
        <f>HLOOKUP(Q3200,データについて!$J$11:$M$18,8,FALSE)</f>
        <v>#N/A</v>
      </c>
      <c r="Y3200" s="81" t="e">
        <f>HLOOKUP(R3200,データについて!$J$12:$M$18,7,FALSE)</f>
        <v>#N/A</v>
      </c>
      <c r="Z3200" s="81" t="e">
        <f>HLOOKUP(I3200,データについて!$J$3:$M$18,16,FALSE)</f>
        <v>#N/A</v>
      </c>
      <c r="AA3200" s="81" t="str">
        <f>IFERROR(HLOOKUP(J3200,データについて!$J$4:$AH$19,16,FALSE),"")</f>
        <v/>
      </c>
      <c r="AB3200" s="81" t="str">
        <f>IFERROR(HLOOKUP(K3200,データについて!$J$5:$AH$20,14,FALSE),"")</f>
        <v/>
      </c>
      <c r="AC3200" s="81" t="e">
        <f>IF(X3200=1,HLOOKUP(R3200,データについて!$J$12:$M$18,7,FALSE),"*")</f>
        <v>#N/A</v>
      </c>
      <c r="AD3200" s="81" t="e">
        <f>IF(X3200=2,HLOOKUP(R3200,データについて!$J$12:$M$18,7,FALSE),"*")</f>
        <v>#N/A</v>
      </c>
    </row>
    <row r="3201" spans="19:30">
      <c r="S3201" s="81" t="e">
        <f>HLOOKUP(L3201,データについて!$J$6:$M$18,13,FALSE)</f>
        <v>#N/A</v>
      </c>
      <c r="T3201" s="81" t="e">
        <f>HLOOKUP(M3201,データについて!$J$7:$M$18,12,FALSE)</f>
        <v>#N/A</v>
      </c>
      <c r="U3201" s="81" t="e">
        <f>HLOOKUP(N3201,データについて!$J$8:$M$18,11,FALSE)</f>
        <v>#N/A</v>
      </c>
      <c r="V3201" s="81" t="e">
        <f>HLOOKUP(O3201,データについて!$J$9:$M$18,10,FALSE)</f>
        <v>#N/A</v>
      </c>
      <c r="W3201" s="81" t="e">
        <f>HLOOKUP(P3201,データについて!$J$10:$M$18,9,FALSE)</f>
        <v>#N/A</v>
      </c>
      <c r="X3201" s="81" t="e">
        <f>HLOOKUP(Q3201,データについて!$J$11:$M$18,8,FALSE)</f>
        <v>#N/A</v>
      </c>
      <c r="Y3201" s="81" t="e">
        <f>HLOOKUP(R3201,データについて!$J$12:$M$18,7,FALSE)</f>
        <v>#N/A</v>
      </c>
      <c r="Z3201" s="81" t="e">
        <f>HLOOKUP(I3201,データについて!$J$3:$M$18,16,FALSE)</f>
        <v>#N/A</v>
      </c>
      <c r="AA3201" s="81" t="str">
        <f>IFERROR(HLOOKUP(J3201,データについて!$J$4:$AH$19,16,FALSE),"")</f>
        <v/>
      </c>
      <c r="AB3201" s="81" t="str">
        <f>IFERROR(HLOOKUP(K3201,データについて!$J$5:$AH$20,14,FALSE),"")</f>
        <v/>
      </c>
      <c r="AC3201" s="81" t="e">
        <f>IF(X3201=1,HLOOKUP(R3201,データについて!$J$12:$M$18,7,FALSE),"*")</f>
        <v>#N/A</v>
      </c>
      <c r="AD3201" s="81" t="e">
        <f>IF(X3201=2,HLOOKUP(R3201,データについて!$J$12:$M$18,7,FALSE),"*")</f>
        <v>#N/A</v>
      </c>
    </row>
    <row r="3202" spans="19:30">
      <c r="S3202" s="81" t="e">
        <f>HLOOKUP(L3202,データについて!$J$6:$M$18,13,FALSE)</f>
        <v>#N/A</v>
      </c>
      <c r="T3202" s="81" t="e">
        <f>HLOOKUP(M3202,データについて!$J$7:$M$18,12,FALSE)</f>
        <v>#N/A</v>
      </c>
      <c r="U3202" s="81" t="e">
        <f>HLOOKUP(N3202,データについて!$J$8:$M$18,11,FALSE)</f>
        <v>#N/A</v>
      </c>
      <c r="V3202" s="81" t="e">
        <f>HLOOKUP(O3202,データについて!$J$9:$M$18,10,FALSE)</f>
        <v>#N/A</v>
      </c>
      <c r="W3202" s="81" t="e">
        <f>HLOOKUP(P3202,データについて!$J$10:$M$18,9,FALSE)</f>
        <v>#N/A</v>
      </c>
      <c r="X3202" s="81" t="e">
        <f>HLOOKUP(Q3202,データについて!$J$11:$M$18,8,FALSE)</f>
        <v>#N/A</v>
      </c>
      <c r="Y3202" s="81" t="e">
        <f>HLOOKUP(R3202,データについて!$J$12:$M$18,7,FALSE)</f>
        <v>#N/A</v>
      </c>
      <c r="Z3202" s="81" t="e">
        <f>HLOOKUP(I3202,データについて!$J$3:$M$18,16,FALSE)</f>
        <v>#N/A</v>
      </c>
      <c r="AA3202" s="81" t="str">
        <f>IFERROR(HLOOKUP(J3202,データについて!$J$4:$AH$19,16,FALSE),"")</f>
        <v/>
      </c>
      <c r="AB3202" s="81" t="str">
        <f>IFERROR(HLOOKUP(K3202,データについて!$J$5:$AH$20,14,FALSE),"")</f>
        <v/>
      </c>
      <c r="AC3202" s="81" t="e">
        <f>IF(X3202=1,HLOOKUP(R3202,データについて!$J$12:$M$18,7,FALSE),"*")</f>
        <v>#N/A</v>
      </c>
      <c r="AD3202" s="81" t="e">
        <f>IF(X3202=2,HLOOKUP(R3202,データについて!$J$12:$M$18,7,FALSE),"*")</f>
        <v>#N/A</v>
      </c>
    </row>
    <row r="3203" spans="19:30">
      <c r="S3203" s="81" t="e">
        <f>HLOOKUP(L3203,データについて!$J$6:$M$18,13,FALSE)</f>
        <v>#N/A</v>
      </c>
      <c r="T3203" s="81" t="e">
        <f>HLOOKUP(M3203,データについて!$J$7:$M$18,12,FALSE)</f>
        <v>#N/A</v>
      </c>
      <c r="U3203" s="81" t="e">
        <f>HLOOKUP(N3203,データについて!$J$8:$M$18,11,FALSE)</f>
        <v>#N/A</v>
      </c>
      <c r="V3203" s="81" t="e">
        <f>HLOOKUP(O3203,データについて!$J$9:$M$18,10,FALSE)</f>
        <v>#N/A</v>
      </c>
      <c r="W3203" s="81" t="e">
        <f>HLOOKUP(P3203,データについて!$J$10:$M$18,9,FALSE)</f>
        <v>#N/A</v>
      </c>
      <c r="X3203" s="81" t="e">
        <f>HLOOKUP(Q3203,データについて!$J$11:$M$18,8,FALSE)</f>
        <v>#N/A</v>
      </c>
      <c r="Y3203" s="81" t="e">
        <f>HLOOKUP(R3203,データについて!$J$12:$M$18,7,FALSE)</f>
        <v>#N/A</v>
      </c>
      <c r="Z3203" s="81" t="e">
        <f>HLOOKUP(I3203,データについて!$J$3:$M$18,16,FALSE)</f>
        <v>#N/A</v>
      </c>
      <c r="AA3203" s="81" t="str">
        <f>IFERROR(HLOOKUP(J3203,データについて!$J$4:$AH$19,16,FALSE),"")</f>
        <v/>
      </c>
      <c r="AB3203" s="81" t="str">
        <f>IFERROR(HLOOKUP(K3203,データについて!$J$5:$AH$20,14,FALSE),"")</f>
        <v/>
      </c>
      <c r="AC3203" s="81" t="e">
        <f>IF(X3203=1,HLOOKUP(R3203,データについて!$J$12:$M$18,7,FALSE),"*")</f>
        <v>#N/A</v>
      </c>
      <c r="AD3203" s="81" t="e">
        <f>IF(X3203=2,HLOOKUP(R3203,データについて!$J$12:$M$18,7,FALSE),"*")</f>
        <v>#N/A</v>
      </c>
    </row>
    <row r="3204" spans="19:30">
      <c r="S3204" s="81" t="e">
        <f>HLOOKUP(L3204,データについて!$J$6:$M$18,13,FALSE)</f>
        <v>#N/A</v>
      </c>
      <c r="T3204" s="81" t="e">
        <f>HLOOKUP(M3204,データについて!$J$7:$M$18,12,FALSE)</f>
        <v>#N/A</v>
      </c>
      <c r="U3204" s="81" t="e">
        <f>HLOOKUP(N3204,データについて!$J$8:$M$18,11,FALSE)</f>
        <v>#N/A</v>
      </c>
      <c r="V3204" s="81" t="e">
        <f>HLOOKUP(O3204,データについて!$J$9:$M$18,10,FALSE)</f>
        <v>#N/A</v>
      </c>
      <c r="W3204" s="81" t="e">
        <f>HLOOKUP(P3204,データについて!$J$10:$M$18,9,FALSE)</f>
        <v>#N/A</v>
      </c>
      <c r="X3204" s="81" t="e">
        <f>HLOOKUP(Q3204,データについて!$J$11:$M$18,8,FALSE)</f>
        <v>#N/A</v>
      </c>
      <c r="Y3204" s="81" t="e">
        <f>HLOOKUP(R3204,データについて!$J$12:$M$18,7,FALSE)</f>
        <v>#N/A</v>
      </c>
      <c r="Z3204" s="81" t="e">
        <f>HLOOKUP(I3204,データについて!$J$3:$M$18,16,FALSE)</f>
        <v>#N/A</v>
      </c>
      <c r="AA3204" s="81" t="str">
        <f>IFERROR(HLOOKUP(J3204,データについて!$J$4:$AH$19,16,FALSE),"")</f>
        <v/>
      </c>
      <c r="AB3204" s="81" t="str">
        <f>IFERROR(HLOOKUP(K3204,データについて!$J$5:$AH$20,14,FALSE),"")</f>
        <v/>
      </c>
      <c r="AC3204" s="81" t="e">
        <f>IF(X3204=1,HLOOKUP(R3204,データについて!$J$12:$M$18,7,FALSE),"*")</f>
        <v>#N/A</v>
      </c>
      <c r="AD3204" s="81" t="e">
        <f>IF(X3204=2,HLOOKUP(R3204,データについて!$J$12:$M$18,7,FALSE),"*")</f>
        <v>#N/A</v>
      </c>
    </row>
    <row r="3205" spans="19:30">
      <c r="S3205" s="81" t="e">
        <f>HLOOKUP(L3205,データについて!$J$6:$M$18,13,FALSE)</f>
        <v>#N/A</v>
      </c>
      <c r="T3205" s="81" t="e">
        <f>HLOOKUP(M3205,データについて!$J$7:$M$18,12,FALSE)</f>
        <v>#N/A</v>
      </c>
      <c r="U3205" s="81" t="e">
        <f>HLOOKUP(N3205,データについて!$J$8:$M$18,11,FALSE)</f>
        <v>#N/A</v>
      </c>
      <c r="V3205" s="81" t="e">
        <f>HLOOKUP(O3205,データについて!$J$9:$M$18,10,FALSE)</f>
        <v>#N/A</v>
      </c>
      <c r="W3205" s="81" t="e">
        <f>HLOOKUP(P3205,データについて!$J$10:$M$18,9,FALSE)</f>
        <v>#N/A</v>
      </c>
      <c r="X3205" s="81" t="e">
        <f>HLOOKUP(Q3205,データについて!$J$11:$M$18,8,FALSE)</f>
        <v>#N/A</v>
      </c>
      <c r="Y3205" s="81" t="e">
        <f>HLOOKUP(R3205,データについて!$J$12:$M$18,7,FALSE)</f>
        <v>#N/A</v>
      </c>
      <c r="Z3205" s="81" t="e">
        <f>HLOOKUP(I3205,データについて!$J$3:$M$18,16,FALSE)</f>
        <v>#N/A</v>
      </c>
      <c r="AA3205" s="81" t="str">
        <f>IFERROR(HLOOKUP(J3205,データについて!$J$4:$AH$19,16,FALSE),"")</f>
        <v/>
      </c>
      <c r="AB3205" s="81" t="str">
        <f>IFERROR(HLOOKUP(K3205,データについて!$J$5:$AH$20,14,FALSE),"")</f>
        <v/>
      </c>
      <c r="AC3205" s="81" t="e">
        <f>IF(X3205=1,HLOOKUP(R3205,データについて!$J$12:$M$18,7,FALSE),"*")</f>
        <v>#N/A</v>
      </c>
      <c r="AD3205" s="81" t="e">
        <f>IF(X3205=2,HLOOKUP(R3205,データについて!$J$12:$M$18,7,FALSE),"*")</f>
        <v>#N/A</v>
      </c>
    </row>
    <row r="3206" spans="19:30">
      <c r="S3206" s="81" t="e">
        <f>HLOOKUP(L3206,データについて!$J$6:$M$18,13,FALSE)</f>
        <v>#N/A</v>
      </c>
      <c r="T3206" s="81" t="e">
        <f>HLOOKUP(M3206,データについて!$J$7:$M$18,12,FALSE)</f>
        <v>#N/A</v>
      </c>
      <c r="U3206" s="81" t="e">
        <f>HLOOKUP(N3206,データについて!$J$8:$M$18,11,FALSE)</f>
        <v>#N/A</v>
      </c>
      <c r="V3206" s="81" t="e">
        <f>HLOOKUP(O3206,データについて!$J$9:$M$18,10,FALSE)</f>
        <v>#N/A</v>
      </c>
      <c r="W3206" s="81" t="e">
        <f>HLOOKUP(P3206,データについて!$J$10:$M$18,9,FALSE)</f>
        <v>#N/A</v>
      </c>
      <c r="X3206" s="81" t="e">
        <f>HLOOKUP(Q3206,データについて!$J$11:$M$18,8,FALSE)</f>
        <v>#N/A</v>
      </c>
      <c r="Y3206" s="81" t="e">
        <f>HLOOKUP(R3206,データについて!$J$12:$M$18,7,FALSE)</f>
        <v>#N/A</v>
      </c>
      <c r="Z3206" s="81" t="e">
        <f>HLOOKUP(I3206,データについて!$J$3:$M$18,16,FALSE)</f>
        <v>#N/A</v>
      </c>
      <c r="AA3206" s="81" t="str">
        <f>IFERROR(HLOOKUP(J3206,データについて!$J$4:$AH$19,16,FALSE),"")</f>
        <v/>
      </c>
      <c r="AB3206" s="81" t="str">
        <f>IFERROR(HLOOKUP(K3206,データについて!$J$5:$AH$20,14,FALSE),"")</f>
        <v/>
      </c>
      <c r="AC3206" s="81" t="e">
        <f>IF(X3206=1,HLOOKUP(R3206,データについて!$J$12:$M$18,7,FALSE),"*")</f>
        <v>#N/A</v>
      </c>
      <c r="AD3206" s="81" t="e">
        <f>IF(X3206=2,HLOOKUP(R3206,データについて!$J$12:$M$18,7,FALSE),"*")</f>
        <v>#N/A</v>
      </c>
    </row>
    <row r="3207" spans="19:30">
      <c r="S3207" s="81" t="e">
        <f>HLOOKUP(L3207,データについて!$J$6:$M$18,13,FALSE)</f>
        <v>#N/A</v>
      </c>
      <c r="T3207" s="81" t="e">
        <f>HLOOKUP(M3207,データについて!$J$7:$M$18,12,FALSE)</f>
        <v>#N/A</v>
      </c>
      <c r="U3207" s="81" t="e">
        <f>HLOOKUP(N3207,データについて!$J$8:$M$18,11,FALSE)</f>
        <v>#N/A</v>
      </c>
      <c r="V3207" s="81" t="e">
        <f>HLOOKUP(O3207,データについて!$J$9:$M$18,10,FALSE)</f>
        <v>#N/A</v>
      </c>
      <c r="W3207" s="81" t="e">
        <f>HLOOKUP(P3207,データについて!$J$10:$M$18,9,FALSE)</f>
        <v>#N/A</v>
      </c>
      <c r="X3207" s="81" t="e">
        <f>HLOOKUP(Q3207,データについて!$J$11:$M$18,8,FALSE)</f>
        <v>#N/A</v>
      </c>
      <c r="Y3207" s="81" t="e">
        <f>HLOOKUP(R3207,データについて!$J$12:$M$18,7,FALSE)</f>
        <v>#N/A</v>
      </c>
      <c r="Z3207" s="81" t="e">
        <f>HLOOKUP(I3207,データについて!$J$3:$M$18,16,FALSE)</f>
        <v>#N/A</v>
      </c>
      <c r="AA3207" s="81" t="str">
        <f>IFERROR(HLOOKUP(J3207,データについて!$J$4:$AH$19,16,FALSE),"")</f>
        <v/>
      </c>
      <c r="AB3207" s="81" t="str">
        <f>IFERROR(HLOOKUP(K3207,データについて!$J$5:$AH$20,14,FALSE),"")</f>
        <v/>
      </c>
      <c r="AC3207" s="81" t="e">
        <f>IF(X3207=1,HLOOKUP(R3207,データについて!$J$12:$M$18,7,FALSE),"*")</f>
        <v>#N/A</v>
      </c>
      <c r="AD3207" s="81" t="e">
        <f>IF(X3207=2,HLOOKUP(R3207,データについて!$J$12:$M$18,7,FALSE),"*")</f>
        <v>#N/A</v>
      </c>
    </row>
    <row r="3208" spans="19:30">
      <c r="S3208" s="81" t="e">
        <f>HLOOKUP(L3208,データについて!$J$6:$M$18,13,FALSE)</f>
        <v>#N/A</v>
      </c>
      <c r="T3208" s="81" t="e">
        <f>HLOOKUP(M3208,データについて!$J$7:$M$18,12,FALSE)</f>
        <v>#N/A</v>
      </c>
      <c r="U3208" s="81" t="e">
        <f>HLOOKUP(N3208,データについて!$J$8:$M$18,11,FALSE)</f>
        <v>#N/A</v>
      </c>
      <c r="V3208" s="81" t="e">
        <f>HLOOKUP(O3208,データについて!$J$9:$M$18,10,FALSE)</f>
        <v>#N/A</v>
      </c>
      <c r="W3208" s="81" t="e">
        <f>HLOOKUP(P3208,データについて!$J$10:$M$18,9,FALSE)</f>
        <v>#N/A</v>
      </c>
      <c r="X3208" s="81" t="e">
        <f>HLOOKUP(Q3208,データについて!$J$11:$M$18,8,FALSE)</f>
        <v>#N/A</v>
      </c>
      <c r="Y3208" s="81" t="e">
        <f>HLOOKUP(R3208,データについて!$J$12:$M$18,7,FALSE)</f>
        <v>#N/A</v>
      </c>
      <c r="Z3208" s="81" t="e">
        <f>HLOOKUP(I3208,データについて!$J$3:$M$18,16,FALSE)</f>
        <v>#N/A</v>
      </c>
      <c r="AA3208" s="81" t="str">
        <f>IFERROR(HLOOKUP(J3208,データについて!$J$4:$AH$19,16,FALSE),"")</f>
        <v/>
      </c>
      <c r="AB3208" s="81" t="str">
        <f>IFERROR(HLOOKUP(K3208,データについて!$J$5:$AH$20,14,FALSE),"")</f>
        <v/>
      </c>
      <c r="AC3208" s="81" t="e">
        <f>IF(X3208=1,HLOOKUP(R3208,データについて!$J$12:$M$18,7,FALSE),"*")</f>
        <v>#N/A</v>
      </c>
      <c r="AD3208" s="81" t="e">
        <f>IF(X3208=2,HLOOKUP(R3208,データについて!$J$12:$M$18,7,FALSE),"*")</f>
        <v>#N/A</v>
      </c>
    </row>
    <row r="3209" spans="19:30">
      <c r="S3209" s="81" t="e">
        <f>HLOOKUP(L3209,データについて!$J$6:$M$18,13,FALSE)</f>
        <v>#N/A</v>
      </c>
      <c r="T3209" s="81" t="e">
        <f>HLOOKUP(M3209,データについて!$J$7:$M$18,12,FALSE)</f>
        <v>#N/A</v>
      </c>
      <c r="U3209" s="81" t="e">
        <f>HLOOKUP(N3209,データについて!$J$8:$M$18,11,FALSE)</f>
        <v>#N/A</v>
      </c>
      <c r="V3209" s="81" t="e">
        <f>HLOOKUP(O3209,データについて!$J$9:$M$18,10,FALSE)</f>
        <v>#N/A</v>
      </c>
      <c r="W3209" s="81" t="e">
        <f>HLOOKUP(P3209,データについて!$J$10:$M$18,9,FALSE)</f>
        <v>#N/A</v>
      </c>
      <c r="X3209" s="81" t="e">
        <f>HLOOKUP(Q3209,データについて!$J$11:$M$18,8,FALSE)</f>
        <v>#N/A</v>
      </c>
      <c r="Y3209" s="81" t="e">
        <f>HLOOKUP(R3209,データについて!$J$12:$M$18,7,FALSE)</f>
        <v>#N/A</v>
      </c>
      <c r="Z3209" s="81" t="e">
        <f>HLOOKUP(I3209,データについて!$J$3:$M$18,16,FALSE)</f>
        <v>#N/A</v>
      </c>
      <c r="AA3209" s="81" t="str">
        <f>IFERROR(HLOOKUP(J3209,データについて!$J$4:$AH$19,16,FALSE),"")</f>
        <v/>
      </c>
      <c r="AB3209" s="81" t="str">
        <f>IFERROR(HLOOKUP(K3209,データについて!$J$5:$AH$20,14,FALSE),"")</f>
        <v/>
      </c>
      <c r="AC3209" s="81" t="e">
        <f>IF(X3209=1,HLOOKUP(R3209,データについて!$J$12:$M$18,7,FALSE),"*")</f>
        <v>#N/A</v>
      </c>
      <c r="AD3209" s="81" t="e">
        <f>IF(X3209=2,HLOOKUP(R3209,データについて!$J$12:$M$18,7,FALSE),"*")</f>
        <v>#N/A</v>
      </c>
    </row>
    <row r="3210" spans="19:30">
      <c r="S3210" s="81" t="e">
        <f>HLOOKUP(L3210,データについて!$J$6:$M$18,13,FALSE)</f>
        <v>#N/A</v>
      </c>
      <c r="T3210" s="81" t="e">
        <f>HLOOKUP(M3210,データについて!$J$7:$M$18,12,FALSE)</f>
        <v>#N/A</v>
      </c>
      <c r="U3210" s="81" t="e">
        <f>HLOOKUP(N3210,データについて!$J$8:$M$18,11,FALSE)</f>
        <v>#N/A</v>
      </c>
      <c r="V3210" s="81" t="e">
        <f>HLOOKUP(O3210,データについて!$J$9:$M$18,10,FALSE)</f>
        <v>#N/A</v>
      </c>
      <c r="W3210" s="81" t="e">
        <f>HLOOKUP(P3210,データについて!$J$10:$M$18,9,FALSE)</f>
        <v>#N/A</v>
      </c>
      <c r="X3210" s="81" t="e">
        <f>HLOOKUP(Q3210,データについて!$J$11:$M$18,8,FALSE)</f>
        <v>#N/A</v>
      </c>
      <c r="Y3210" s="81" t="e">
        <f>HLOOKUP(R3210,データについて!$J$12:$M$18,7,FALSE)</f>
        <v>#N/A</v>
      </c>
      <c r="Z3210" s="81" t="e">
        <f>HLOOKUP(I3210,データについて!$J$3:$M$18,16,FALSE)</f>
        <v>#N/A</v>
      </c>
      <c r="AA3210" s="81" t="str">
        <f>IFERROR(HLOOKUP(J3210,データについて!$J$4:$AH$19,16,FALSE),"")</f>
        <v/>
      </c>
      <c r="AB3210" s="81" t="str">
        <f>IFERROR(HLOOKUP(K3210,データについて!$J$5:$AH$20,14,FALSE),"")</f>
        <v/>
      </c>
      <c r="AC3210" s="81" t="e">
        <f>IF(X3210=1,HLOOKUP(R3210,データについて!$J$12:$M$18,7,FALSE),"*")</f>
        <v>#N/A</v>
      </c>
      <c r="AD3210" s="81" t="e">
        <f>IF(X3210=2,HLOOKUP(R3210,データについて!$J$12:$M$18,7,FALSE),"*")</f>
        <v>#N/A</v>
      </c>
    </row>
    <row r="3211" spans="19:30">
      <c r="S3211" s="81" t="e">
        <f>HLOOKUP(L3211,データについて!$J$6:$M$18,13,FALSE)</f>
        <v>#N/A</v>
      </c>
      <c r="T3211" s="81" t="e">
        <f>HLOOKUP(M3211,データについて!$J$7:$M$18,12,FALSE)</f>
        <v>#N/A</v>
      </c>
      <c r="U3211" s="81" t="e">
        <f>HLOOKUP(N3211,データについて!$J$8:$M$18,11,FALSE)</f>
        <v>#N/A</v>
      </c>
      <c r="V3211" s="81" t="e">
        <f>HLOOKUP(O3211,データについて!$J$9:$M$18,10,FALSE)</f>
        <v>#N/A</v>
      </c>
      <c r="W3211" s="81" t="e">
        <f>HLOOKUP(P3211,データについて!$J$10:$M$18,9,FALSE)</f>
        <v>#N/A</v>
      </c>
      <c r="X3211" s="81" t="e">
        <f>HLOOKUP(Q3211,データについて!$J$11:$M$18,8,FALSE)</f>
        <v>#N/A</v>
      </c>
      <c r="Y3211" s="81" t="e">
        <f>HLOOKUP(R3211,データについて!$J$12:$M$18,7,FALSE)</f>
        <v>#N/A</v>
      </c>
      <c r="Z3211" s="81" t="e">
        <f>HLOOKUP(I3211,データについて!$J$3:$M$18,16,FALSE)</f>
        <v>#N/A</v>
      </c>
      <c r="AA3211" s="81" t="str">
        <f>IFERROR(HLOOKUP(J3211,データについて!$J$4:$AH$19,16,FALSE),"")</f>
        <v/>
      </c>
      <c r="AB3211" s="81" t="str">
        <f>IFERROR(HLOOKUP(K3211,データについて!$J$5:$AH$20,14,FALSE),"")</f>
        <v/>
      </c>
      <c r="AC3211" s="81" t="e">
        <f>IF(X3211=1,HLOOKUP(R3211,データについて!$J$12:$M$18,7,FALSE),"*")</f>
        <v>#N/A</v>
      </c>
      <c r="AD3211" s="81" t="e">
        <f>IF(X3211=2,HLOOKUP(R3211,データについて!$J$12:$M$18,7,FALSE),"*")</f>
        <v>#N/A</v>
      </c>
    </row>
    <row r="3212" spans="19:30">
      <c r="S3212" s="81" t="e">
        <f>HLOOKUP(L3212,データについて!$J$6:$M$18,13,FALSE)</f>
        <v>#N/A</v>
      </c>
      <c r="T3212" s="81" t="e">
        <f>HLOOKUP(M3212,データについて!$J$7:$M$18,12,FALSE)</f>
        <v>#N/A</v>
      </c>
      <c r="U3212" s="81" t="e">
        <f>HLOOKUP(N3212,データについて!$J$8:$M$18,11,FALSE)</f>
        <v>#N/A</v>
      </c>
      <c r="V3212" s="81" t="e">
        <f>HLOOKUP(O3212,データについて!$J$9:$M$18,10,FALSE)</f>
        <v>#N/A</v>
      </c>
      <c r="W3212" s="81" t="e">
        <f>HLOOKUP(P3212,データについて!$J$10:$M$18,9,FALSE)</f>
        <v>#N/A</v>
      </c>
      <c r="X3212" s="81" t="e">
        <f>HLOOKUP(Q3212,データについて!$J$11:$M$18,8,FALSE)</f>
        <v>#N/A</v>
      </c>
      <c r="Y3212" s="81" t="e">
        <f>HLOOKUP(R3212,データについて!$J$12:$M$18,7,FALSE)</f>
        <v>#N/A</v>
      </c>
      <c r="Z3212" s="81" t="e">
        <f>HLOOKUP(I3212,データについて!$J$3:$M$18,16,FALSE)</f>
        <v>#N/A</v>
      </c>
      <c r="AA3212" s="81" t="str">
        <f>IFERROR(HLOOKUP(J3212,データについて!$J$4:$AH$19,16,FALSE),"")</f>
        <v/>
      </c>
      <c r="AB3212" s="81" t="str">
        <f>IFERROR(HLOOKUP(K3212,データについて!$J$5:$AH$20,14,FALSE),"")</f>
        <v/>
      </c>
      <c r="AC3212" s="81" t="e">
        <f>IF(X3212=1,HLOOKUP(R3212,データについて!$J$12:$M$18,7,FALSE),"*")</f>
        <v>#N/A</v>
      </c>
      <c r="AD3212" s="81" t="e">
        <f>IF(X3212=2,HLOOKUP(R3212,データについて!$J$12:$M$18,7,FALSE),"*")</f>
        <v>#N/A</v>
      </c>
    </row>
    <row r="3213" spans="19:30">
      <c r="S3213" s="81" t="e">
        <f>HLOOKUP(L3213,データについて!$J$6:$M$18,13,FALSE)</f>
        <v>#N/A</v>
      </c>
      <c r="T3213" s="81" t="e">
        <f>HLOOKUP(M3213,データについて!$J$7:$M$18,12,FALSE)</f>
        <v>#N/A</v>
      </c>
      <c r="U3213" s="81" t="e">
        <f>HLOOKUP(N3213,データについて!$J$8:$M$18,11,FALSE)</f>
        <v>#N/A</v>
      </c>
      <c r="V3213" s="81" t="e">
        <f>HLOOKUP(O3213,データについて!$J$9:$M$18,10,FALSE)</f>
        <v>#N/A</v>
      </c>
      <c r="W3213" s="81" t="e">
        <f>HLOOKUP(P3213,データについて!$J$10:$M$18,9,FALSE)</f>
        <v>#N/A</v>
      </c>
      <c r="X3213" s="81" t="e">
        <f>HLOOKUP(Q3213,データについて!$J$11:$M$18,8,FALSE)</f>
        <v>#N/A</v>
      </c>
      <c r="Y3213" s="81" t="e">
        <f>HLOOKUP(R3213,データについて!$J$12:$M$18,7,FALSE)</f>
        <v>#N/A</v>
      </c>
      <c r="Z3213" s="81" t="e">
        <f>HLOOKUP(I3213,データについて!$J$3:$M$18,16,FALSE)</f>
        <v>#N/A</v>
      </c>
      <c r="AA3213" s="81" t="str">
        <f>IFERROR(HLOOKUP(J3213,データについて!$J$4:$AH$19,16,FALSE),"")</f>
        <v/>
      </c>
      <c r="AB3213" s="81" t="str">
        <f>IFERROR(HLOOKUP(K3213,データについて!$J$5:$AH$20,14,FALSE),"")</f>
        <v/>
      </c>
      <c r="AC3213" s="81" t="e">
        <f>IF(X3213=1,HLOOKUP(R3213,データについて!$J$12:$M$18,7,FALSE),"*")</f>
        <v>#N/A</v>
      </c>
      <c r="AD3213" s="81" t="e">
        <f>IF(X3213=2,HLOOKUP(R3213,データについて!$J$12:$M$18,7,FALSE),"*")</f>
        <v>#N/A</v>
      </c>
    </row>
    <row r="3214" spans="19:30">
      <c r="S3214" s="81" t="e">
        <f>HLOOKUP(L3214,データについて!$J$6:$M$18,13,FALSE)</f>
        <v>#N/A</v>
      </c>
      <c r="T3214" s="81" t="e">
        <f>HLOOKUP(M3214,データについて!$J$7:$M$18,12,FALSE)</f>
        <v>#N/A</v>
      </c>
      <c r="U3214" s="81" t="e">
        <f>HLOOKUP(N3214,データについて!$J$8:$M$18,11,FALSE)</f>
        <v>#N/A</v>
      </c>
      <c r="V3214" s="81" t="e">
        <f>HLOOKUP(O3214,データについて!$J$9:$M$18,10,FALSE)</f>
        <v>#N/A</v>
      </c>
      <c r="W3214" s="81" t="e">
        <f>HLOOKUP(P3214,データについて!$J$10:$M$18,9,FALSE)</f>
        <v>#N/A</v>
      </c>
      <c r="X3214" s="81" t="e">
        <f>HLOOKUP(Q3214,データについて!$J$11:$M$18,8,FALSE)</f>
        <v>#N/A</v>
      </c>
      <c r="Y3214" s="81" t="e">
        <f>HLOOKUP(R3214,データについて!$J$12:$M$18,7,FALSE)</f>
        <v>#N/A</v>
      </c>
      <c r="Z3214" s="81" t="e">
        <f>HLOOKUP(I3214,データについて!$J$3:$M$18,16,FALSE)</f>
        <v>#N/A</v>
      </c>
      <c r="AA3214" s="81" t="str">
        <f>IFERROR(HLOOKUP(J3214,データについて!$J$4:$AH$19,16,FALSE),"")</f>
        <v/>
      </c>
      <c r="AB3214" s="81" t="str">
        <f>IFERROR(HLOOKUP(K3214,データについて!$J$5:$AH$20,14,FALSE),"")</f>
        <v/>
      </c>
      <c r="AC3214" s="81" t="e">
        <f>IF(X3214=1,HLOOKUP(R3214,データについて!$J$12:$M$18,7,FALSE),"*")</f>
        <v>#N/A</v>
      </c>
      <c r="AD3214" s="81" t="e">
        <f>IF(X3214=2,HLOOKUP(R3214,データについて!$J$12:$M$18,7,FALSE),"*")</f>
        <v>#N/A</v>
      </c>
    </row>
    <row r="3215" spans="19:30">
      <c r="S3215" s="81" t="e">
        <f>HLOOKUP(L3215,データについて!$J$6:$M$18,13,FALSE)</f>
        <v>#N/A</v>
      </c>
      <c r="T3215" s="81" t="e">
        <f>HLOOKUP(M3215,データについて!$J$7:$M$18,12,FALSE)</f>
        <v>#N/A</v>
      </c>
      <c r="U3215" s="81" t="e">
        <f>HLOOKUP(N3215,データについて!$J$8:$M$18,11,FALSE)</f>
        <v>#N/A</v>
      </c>
      <c r="V3215" s="81" t="e">
        <f>HLOOKUP(O3215,データについて!$J$9:$M$18,10,FALSE)</f>
        <v>#N/A</v>
      </c>
      <c r="W3215" s="81" t="e">
        <f>HLOOKUP(P3215,データについて!$J$10:$M$18,9,FALSE)</f>
        <v>#N/A</v>
      </c>
      <c r="X3215" s="81" t="e">
        <f>HLOOKUP(Q3215,データについて!$J$11:$M$18,8,FALSE)</f>
        <v>#N/A</v>
      </c>
      <c r="Y3215" s="81" t="e">
        <f>HLOOKUP(R3215,データについて!$J$12:$M$18,7,FALSE)</f>
        <v>#N/A</v>
      </c>
      <c r="Z3215" s="81" t="e">
        <f>HLOOKUP(I3215,データについて!$J$3:$M$18,16,FALSE)</f>
        <v>#N/A</v>
      </c>
      <c r="AA3215" s="81" t="str">
        <f>IFERROR(HLOOKUP(J3215,データについて!$J$4:$AH$19,16,FALSE),"")</f>
        <v/>
      </c>
      <c r="AB3215" s="81" t="str">
        <f>IFERROR(HLOOKUP(K3215,データについて!$J$5:$AH$20,14,FALSE),"")</f>
        <v/>
      </c>
      <c r="AC3215" s="81" t="e">
        <f>IF(X3215=1,HLOOKUP(R3215,データについて!$J$12:$M$18,7,FALSE),"*")</f>
        <v>#N/A</v>
      </c>
      <c r="AD3215" s="81" t="e">
        <f>IF(X3215=2,HLOOKUP(R3215,データについて!$J$12:$M$18,7,FALSE),"*")</f>
        <v>#N/A</v>
      </c>
    </row>
    <row r="3216" spans="19:30">
      <c r="S3216" s="81" t="e">
        <f>HLOOKUP(L3216,データについて!$J$6:$M$18,13,FALSE)</f>
        <v>#N/A</v>
      </c>
      <c r="T3216" s="81" t="e">
        <f>HLOOKUP(M3216,データについて!$J$7:$M$18,12,FALSE)</f>
        <v>#N/A</v>
      </c>
      <c r="U3216" s="81" t="e">
        <f>HLOOKUP(N3216,データについて!$J$8:$M$18,11,FALSE)</f>
        <v>#N/A</v>
      </c>
      <c r="V3216" s="81" t="e">
        <f>HLOOKUP(O3216,データについて!$J$9:$M$18,10,FALSE)</f>
        <v>#N/A</v>
      </c>
      <c r="W3216" s="81" t="e">
        <f>HLOOKUP(P3216,データについて!$J$10:$M$18,9,FALSE)</f>
        <v>#N/A</v>
      </c>
      <c r="X3216" s="81" t="e">
        <f>HLOOKUP(Q3216,データについて!$J$11:$M$18,8,FALSE)</f>
        <v>#N/A</v>
      </c>
      <c r="Y3216" s="81" t="e">
        <f>HLOOKUP(R3216,データについて!$J$12:$M$18,7,FALSE)</f>
        <v>#N/A</v>
      </c>
      <c r="Z3216" s="81" t="e">
        <f>HLOOKUP(I3216,データについて!$J$3:$M$18,16,FALSE)</f>
        <v>#N/A</v>
      </c>
      <c r="AA3216" s="81" t="str">
        <f>IFERROR(HLOOKUP(J3216,データについて!$J$4:$AH$19,16,FALSE),"")</f>
        <v/>
      </c>
      <c r="AB3216" s="81" t="str">
        <f>IFERROR(HLOOKUP(K3216,データについて!$J$5:$AH$20,14,FALSE),"")</f>
        <v/>
      </c>
      <c r="AC3216" s="81" t="e">
        <f>IF(X3216=1,HLOOKUP(R3216,データについて!$J$12:$M$18,7,FALSE),"*")</f>
        <v>#N/A</v>
      </c>
      <c r="AD3216" s="81" t="e">
        <f>IF(X3216=2,HLOOKUP(R3216,データについて!$J$12:$M$18,7,FALSE),"*")</f>
        <v>#N/A</v>
      </c>
    </row>
    <row r="3217" spans="19:30">
      <c r="S3217" s="81" t="e">
        <f>HLOOKUP(L3217,データについて!$J$6:$M$18,13,FALSE)</f>
        <v>#N/A</v>
      </c>
      <c r="T3217" s="81" t="e">
        <f>HLOOKUP(M3217,データについて!$J$7:$M$18,12,FALSE)</f>
        <v>#N/A</v>
      </c>
      <c r="U3217" s="81" t="e">
        <f>HLOOKUP(N3217,データについて!$J$8:$M$18,11,FALSE)</f>
        <v>#N/A</v>
      </c>
      <c r="V3217" s="81" t="e">
        <f>HLOOKUP(O3217,データについて!$J$9:$M$18,10,FALSE)</f>
        <v>#N/A</v>
      </c>
      <c r="W3217" s="81" t="e">
        <f>HLOOKUP(P3217,データについて!$J$10:$M$18,9,FALSE)</f>
        <v>#N/A</v>
      </c>
      <c r="X3217" s="81" t="e">
        <f>HLOOKUP(Q3217,データについて!$J$11:$M$18,8,FALSE)</f>
        <v>#N/A</v>
      </c>
      <c r="Y3217" s="81" t="e">
        <f>HLOOKUP(R3217,データについて!$J$12:$M$18,7,FALSE)</f>
        <v>#N/A</v>
      </c>
      <c r="Z3217" s="81" t="e">
        <f>HLOOKUP(I3217,データについて!$J$3:$M$18,16,FALSE)</f>
        <v>#N/A</v>
      </c>
      <c r="AA3217" s="81" t="str">
        <f>IFERROR(HLOOKUP(J3217,データについて!$J$4:$AH$19,16,FALSE),"")</f>
        <v/>
      </c>
      <c r="AB3217" s="81" t="str">
        <f>IFERROR(HLOOKUP(K3217,データについて!$J$5:$AH$20,14,FALSE),"")</f>
        <v/>
      </c>
      <c r="AC3217" s="81" t="e">
        <f>IF(X3217=1,HLOOKUP(R3217,データについて!$J$12:$M$18,7,FALSE),"*")</f>
        <v>#N/A</v>
      </c>
      <c r="AD3217" s="81" t="e">
        <f>IF(X3217=2,HLOOKUP(R3217,データについて!$J$12:$M$18,7,FALSE),"*")</f>
        <v>#N/A</v>
      </c>
    </row>
    <row r="3218" spans="19:30">
      <c r="S3218" s="81" t="e">
        <f>HLOOKUP(L3218,データについて!$J$6:$M$18,13,FALSE)</f>
        <v>#N/A</v>
      </c>
      <c r="T3218" s="81" t="e">
        <f>HLOOKUP(M3218,データについて!$J$7:$M$18,12,FALSE)</f>
        <v>#N/A</v>
      </c>
      <c r="U3218" s="81" t="e">
        <f>HLOOKUP(N3218,データについて!$J$8:$M$18,11,FALSE)</f>
        <v>#N/A</v>
      </c>
      <c r="V3218" s="81" t="e">
        <f>HLOOKUP(O3218,データについて!$J$9:$M$18,10,FALSE)</f>
        <v>#N/A</v>
      </c>
      <c r="W3218" s="81" t="e">
        <f>HLOOKUP(P3218,データについて!$J$10:$M$18,9,FALSE)</f>
        <v>#N/A</v>
      </c>
      <c r="X3218" s="81" t="e">
        <f>HLOOKUP(Q3218,データについて!$J$11:$M$18,8,FALSE)</f>
        <v>#N/A</v>
      </c>
      <c r="Y3218" s="81" t="e">
        <f>HLOOKUP(R3218,データについて!$J$12:$M$18,7,FALSE)</f>
        <v>#N/A</v>
      </c>
      <c r="Z3218" s="81" t="e">
        <f>HLOOKUP(I3218,データについて!$J$3:$M$18,16,FALSE)</f>
        <v>#N/A</v>
      </c>
      <c r="AA3218" s="81" t="str">
        <f>IFERROR(HLOOKUP(J3218,データについて!$J$4:$AH$19,16,FALSE),"")</f>
        <v/>
      </c>
      <c r="AB3218" s="81" t="str">
        <f>IFERROR(HLOOKUP(K3218,データについて!$J$5:$AH$20,14,FALSE),"")</f>
        <v/>
      </c>
      <c r="AC3218" s="81" t="e">
        <f>IF(X3218=1,HLOOKUP(R3218,データについて!$J$12:$M$18,7,FALSE),"*")</f>
        <v>#N/A</v>
      </c>
      <c r="AD3218" s="81" t="e">
        <f>IF(X3218=2,HLOOKUP(R3218,データについて!$J$12:$M$18,7,FALSE),"*")</f>
        <v>#N/A</v>
      </c>
    </row>
    <row r="3219" spans="19:30">
      <c r="S3219" s="81" t="e">
        <f>HLOOKUP(L3219,データについて!$J$6:$M$18,13,FALSE)</f>
        <v>#N/A</v>
      </c>
      <c r="T3219" s="81" t="e">
        <f>HLOOKUP(M3219,データについて!$J$7:$M$18,12,FALSE)</f>
        <v>#N/A</v>
      </c>
      <c r="U3219" s="81" t="e">
        <f>HLOOKUP(N3219,データについて!$J$8:$M$18,11,FALSE)</f>
        <v>#N/A</v>
      </c>
      <c r="V3219" s="81" t="e">
        <f>HLOOKUP(O3219,データについて!$J$9:$M$18,10,FALSE)</f>
        <v>#N/A</v>
      </c>
      <c r="W3219" s="81" t="e">
        <f>HLOOKUP(P3219,データについて!$J$10:$M$18,9,FALSE)</f>
        <v>#N/A</v>
      </c>
      <c r="X3219" s="81" t="e">
        <f>HLOOKUP(Q3219,データについて!$J$11:$M$18,8,FALSE)</f>
        <v>#N/A</v>
      </c>
      <c r="Y3219" s="81" t="e">
        <f>HLOOKUP(R3219,データについて!$J$12:$M$18,7,FALSE)</f>
        <v>#N/A</v>
      </c>
      <c r="Z3219" s="81" t="e">
        <f>HLOOKUP(I3219,データについて!$J$3:$M$18,16,FALSE)</f>
        <v>#N/A</v>
      </c>
      <c r="AA3219" s="81" t="str">
        <f>IFERROR(HLOOKUP(J3219,データについて!$J$4:$AH$19,16,FALSE),"")</f>
        <v/>
      </c>
      <c r="AB3219" s="81" t="str">
        <f>IFERROR(HLOOKUP(K3219,データについて!$J$5:$AH$20,14,FALSE),"")</f>
        <v/>
      </c>
      <c r="AC3219" s="81" t="e">
        <f>IF(X3219=1,HLOOKUP(R3219,データについて!$J$12:$M$18,7,FALSE),"*")</f>
        <v>#N/A</v>
      </c>
      <c r="AD3219" s="81" t="e">
        <f>IF(X3219=2,HLOOKUP(R3219,データについて!$J$12:$M$18,7,FALSE),"*")</f>
        <v>#N/A</v>
      </c>
    </row>
    <row r="3220" spans="19:30">
      <c r="S3220" s="81" t="e">
        <f>HLOOKUP(L3220,データについて!$J$6:$M$18,13,FALSE)</f>
        <v>#N/A</v>
      </c>
      <c r="T3220" s="81" t="e">
        <f>HLOOKUP(M3220,データについて!$J$7:$M$18,12,FALSE)</f>
        <v>#N/A</v>
      </c>
      <c r="U3220" s="81" t="e">
        <f>HLOOKUP(N3220,データについて!$J$8:$M$18,11,FALSE)</f>
        <v>#N/A</v>
      </c>
      <c r="V3220" s="81" t="e">
        <f>HLOOKUP(O3220,データについて!$J$9:$M$18,10,FALSE)</f>
        <v>#N/A</v>
      </c>
      <c r="W3220" s="81" t="e">
        <f>HLOOKUP(P3220,データについて!$J$10:$M$18,9,FALSE)</f>
        <v>#N/A</v>
      </c>
      <c r="X3220" s="81" t="e">
        <f>HLOOKUP(Q3220,データについて!$J$11:$M$18,8,FALSE)</f>
        <v>#N/A</v>
      </c>
      <c r="Y3220" s="81" t="e">
        <f>HLOOKUP(R3220,データについて!$J$12:$M$18,7,FALSE)</f>
        <v>#N/A</v>
      </c>
      <c r="Z3220" s="81" t="e">
        <f>HLOOKUP(I3220,データについて!$J$3:$M$18,16,FALSE)</f>
        <v>#N/A</v>
      </c>
      <c r="AA3220" s="81" t="str">
        <f>IFERROR(HLOOKUP(J3220,データについて!$J$4:$AH$19,16,FALSE),"")</f>
        <v/>
      </c>
      <c r="AB3220" s="81" t="str">
        <f>IFERROR(HLOOKUP(K3220,データについて!$J$5:$AH$20,14,FALSE),"")</f>
        <v/>
      </c>
      <c r="AC3220" s="81" t="e">
        <f>IF(X3220=1,HLOOKUP(R3220,データについて!$J$12:$M$18,7,FALSE),"*")</f>
        <v>#N/A</v>
      </c>
      <c r="AD3220" s="81" t="e">
        <f>IF(X3220=2,HLOOKUP(R3220,データについて!$J$12:$M$18,7,FALSE),"*")</f>
        <v>#N/A</v>
      </c>
    </row>
    <row r="3221" spans="19:30">
      <c r="S3221" s="81" t="e">
        <f>HLOOKUP(L3221,データについて!$J$6:$M$18,13,FALSE)</f>
        <v>#N/A</v>
      </c>
      <c r="T3221" s="81" t="e">
        <f>HLOOKUP(M3221,データについて!$J$7:$M$18,12,FALSE)</f>
        <v>#N/A</v>
      </c>
      <c r="U3221" s="81" t="e">
        <f>HLOOKUP(N3221,データについて!$J$8:$M$18,11,FALSE)</f>
        <v>#N/A</v>
      </c>
      <c r="V3221" s="81" t="e">
        <f>HLOOKUP(O3221,データについて!$J$9:$M$18,10,FALSE)</f>
        <v>#N/A</v>
      </c>
      <c r="W3221" s="81" t="e">
        <f>HLOOKUP(P3221,データについて!$J$10:$M$18,9,FALSE)</f>
        <v>#N/A</v>
      </c>
      <c r="X3221" s="81" t="e">
        <f>HLOOKUP(Q3221,データについて!$J$11:$M$18,8,FALSE)</f>
        <v>#N/A</v>
      </c>
      <c r="Y3221" s="81" t="e">
        <f>HLOOKUP(R3221,データについて!$J$12:$M$18,7,FALSE)</f>
        <v>#N/A</v>
      </c>
      <c r="Z3221" s="81" t="e">
        <f>HLOOKUP(I3221,データについて!$J$3:$M$18,16,FALSE)</f>
        <v>#N/A</v>
      </c>
      <c r="AA3221" s="81" t="str">
        <f>IFERROR(HLOOKUP(J3221,データについて!$J$4:$AH$19,16,FALSE),"")</f>
        <v/>
      </c>
      <c r="AB3221" s="81" t="str">
        <f>IFERROR(HLOOKUP(K3221,データについて!$J$5:$AH$20,14,FALSE),"")</f>
        <v/>
      </c>
      <c r="AC3221" s="81" t="e">
        <f>IF(X3221=1,HLOOKUP(R3221,データについて!$J$12:$M$18,7,FALSE),"*")</f>
        <v>#N/A</v>
      </c>
      <c r="AD3221" s="81" t="e">
        <f>IF(X3221=2,HLOOKUP(R3221,データについて!$J$12:$M$18,7,FALSE),"*")</f>
        <v>#N/A</v>
      </c>
    </row>
    <row r="3222" spans="19:30">
      <c r="S3222" s="81" t="e">
        <f>HLOOKUP(L3222,データについて!$J$6:$M$18,13,FALSE)</f>
        <v>#N/A</v>
      </c>
      <c r="T3222" s="81" t="e">
        <f>HLOOKUP(M3222,データについて!$J$7:$M$18,12,FALSE)</f>
        <v>#N/A</v>
      </c>
      <c r="U3222" s="81" t="e">
        <f>HLOOKUP(N3222,データについて!$J$8:$M$18,11,FALSE)</f>
        <v>#N/A</v>
      </c>
      <c r="V3222" s="81" t="e">
        <f>HLOOKUP(O3222,データについて!$J$9:$M$18,10,FALSE)</f>
        <v>#N/A</v>
      </c>
      <c r="W3222" s="81" t="e">
        <f>HLOOKUP(P3222,データについて!$J$10:$M$18,9,FALSE)</f>
        <v>#N/A</v>
      </c>
      <c r="X3222" s="81" t="e">
        <f>HLOOKUP(Q3222,データについて!$J$11:$M$18,8,FALSE)</f>
        <v>#N/A</v>
      </c>
      <c r="Y3222" s="81" t="e">
        <f>HLOOKUP(R3222,データについて!$J$12:$M$18,7,FALSE)</f>
        <v>#N/A</v>
      </c>
      <c r="Z3222" s="81" t="e">
        <f>HLOOKUP(I3222,データについて!$J$3:$M$18,16,FALSE)</f>
        <v>#N/A</v>
      </c>
      <c r="AA3222" s="81" t="str">
        <f>IFERROR(HLOOKUP(J3222,データについて!$J$4:$AH$19,16,FALSE),"")</f>
        <v/>
      </c>
      <c r="AB3222" s="81" t="str">
        <f>IFERROR(HLOOKUP(K3222,データについて!$J$5:$AH$20,14,FALSE),"")</f>
        <v/>
      </c>
      <c r="AC3222" s="81" t="e">
        <f>IF(X3222=1,HLOOKUP(R3222,データについて!$J$12:$M$18,7,FALSE),"*")</f>
        <v>#N/A</v>
      </c>
      <c r="AD3222" s="81" t="e">
        <f>IF(X3222=2,HLOOKUP(R3222,データについて!$J$12:$M$18,7,FALSE),"*")</f>
        <v>#N/A</v>
      </c>
    </row>
    <row r="3223" spans="19:30">
      <c r="S3223" s="81" t="e">
        <f>HLOOKUP(L3223,データについて!$J$6:$M$18,13,FALSE)</f>
        <v>#N/A</v>
      </c>
      <c r="T3223" s="81" t="e">
        <f>HLOOKUP(M3223,データについて!$J$7:$M$18,12,FALSE)</f>
        <v>#N/A</v>
      </c>
      <c r="U3223" s="81" t="e">
        <f>HLOOKUP(N3223,データについて!$J$8:$M$18,11,FALSE)</f>
        <v>#N/A</v>
      </c>
      <c r="V3223" s="81" t="e">
        <f>HLOOKUP(O3223,データについて!$J$9:$M$18,10,FALSE)</f>
        <v>#N/A</v>
      </c>
      <c r="W3223" s="81" t="e">
        <f>HLOOKUP(P3223,データについて!$J$10:$M$18,9,FALSE)</f>
        <v>#N/A</v>
      </c>
      <c r="X3223" s="81" t="e">
        <f>HLOOKUP(Q3223,データについて!$J$11:$M$18,8,FALSE)</f>
        <v>#N/A</v>
      </c>
      <c r="Y3223" s="81" t="e">
        <f>HLOOKUP(R3223,データについて!$J$12:$M$18,7,FALSE)</f>
        <v>#N/A</v>
      </c>
      <c r="Z3223" s="81" t="e">
        <f>HLOOKUP(I3223,データについて!$J$3:$M$18,16,FALSE)</f>
        <v>#N/A</v>
      </c>
      <c r="AA3223" s="81" t="str">
        <f>IFERROR(HLOOKUP(J3223,データについて!$J$4:$AH$19,16,FALSE),"")</f>
        <v/>
      </c>
      <c r="AB3223" s="81" t="str">
        <f>IFERROR(HLOOKUP(K3223,データについて!$J$5:$AH$20,14,FALSE),"")</f>
        <v/>
      </c>
      <c r="AC3223" s="81" t="e">
        <f>IF(X3223=1,HLOOKUP(R3223,データについて!$J$12:$M$18,7,FALSE),"*")</f>
        <v>#N/A</v>
      </c>
      <c r="AD3223" s="81" t="e">
        <f>IF(X3223=2,HLOOKUP(R3223,データについて!$J$12:$M$18,7,FALSE),"*")</f>
        <v>#N/A</v>
      </c>
    </row>
    <row r="3224" spans="19:30">
      <c r="S3224" s="81" t="e">
        <f>HLOOKUP(L3224,データについて!$J$6:$M$18,13,FALSE)</f>
        <v>#N/A</v>
      </c>
      <c r="T3224" s="81" t="e">
        <f>HLOOKUP(M3224,データについて!$J$7:$M$18,12,FALSE)</f>
        <v>#N/A</v>
      </c>
      <c r="U3224" s="81" t="e">
        <f>HLOOKUP(N3224,データについて!$J$8:$M$18,11,FALSE)</f>
        <v>#N/A</v>
      </c>
      <c r="V3224" s="81" t="e">
        <f>HLOOKUP(O3224,データについて!$J$9:$M$18,10,FALSE)</f>
        <v>#N/A</v>
      </c>
      <c r="W3224" s="81" t="e">
        <f>HLOOKUP(P3224,データについて!$J$10:$M$18,9,FALSE)</f>
        <v>#N/A</v>
      </c>
      <c r="X3224" s="81" t="e">
        <f>HLOOKUP(Q3224,データについて!$J$11:$M$18,8,FALSE)</f>
        <v>#N/A</v>
      </c>
      <c r="Y3224" s="81" t="e">
        <f>HLOOKUP(R3224,データについて!$J$12:$M$18,7,FALSE)</f>
        <v>#N/A</v>
      </c>
      <c r="Z3224" s="81" t="e">
        <f>HLOOKUP(I3224,データについて!$J$3:$M$18,16,FALSE)</f>
        <v>#N/A</v>
      </c>
      <c r="AA3224" s="81" t="str">
        <f>IFERROR(HLOOKUP(J3224,データについて!$J$4:$AH$19,16,FALSE),"")</f>
        <v/>
      </c>
      <c r="AB3224" s="81" t="str">
        <f>IFERROR(HLOOKUP(K3224,データについて!$J$5:$AH$20,14,FALSE),"")</f>
        <v/>
      </c>
      <c r="AC3224" s="81" t="e">
        <f>IF(X3224=1,HLOOKUP(R3224,データについて!$J$12:$M$18,7,FALSE),"*")</f>
        <v>#N/A</v>
      </c>
      <c r="AD3224" s="81" t="e">
        <f>IF(X3224=2,HLOOKUP(R3224,データについて!$J$12:$M$18,7,FALSE),"*")</f>
        <v>#N/A</v>
      </c>
    </row>
    <row r="3225" spans="19:30">
      <c r="S3225" s="81" t="e">
        <f>HLOOKUP(L3225,データについて!$J$6:$M$18,13,FALSE)</f>
        <v>#N/A</v>
      </c>
      <c r="T3225" s="81" t="e">
        <f>HLOOKUP(M3225,データについて!$J$7:$M$18,12,FALSE)</f>
        <v>#N/A</v>
      </c>
      <c r="U3225" s="81" t="e">
        <f>HLOOKUP(N3225,データについて!$J$8:$M$18,11,FALSE)</f>
        <v>#N/A</v>
      </c>
      <c r="V3225" s="81" t="e">
        <f>HLOOKUP(O3225,データについて!$J$9:$M$18,10,FALSE)</f>
        <v>#N/A</v>
      </c>
      <c r="W3225" s="81" t="e">
        <f>HLOOKUP(P3225,データについて!$J$10:$M$18,9,FALSE)</f>
        <v>#N/A</v>
      </c>
      <c r="X3225" s="81" t="e">
        <f>HLOOKUP(Q3225,データについて!$J$11:$M$18,8,FALSE)</f>
        <v>#N/A</v>
      </c>
      <c r="Y3225" s="81" t="e">
        <f>HLOOKUP(R3225,データについて!$J$12:$M$18,7,FALSE)</f>
        <v>#N/A</v>
      </c>
      <c r="Z3225" s="81" t="e">
        <f>HLOOKUP(I3225,データについて!$J$3:$M$18,16,FALSE)</f>
        <v>#N/A</v>
      </c>
      <c r="AA3225" s="81" t="str">
        <f>IFERROR(HLOOKUP(J3225,データについて!$J$4:$AH$19,16,FALSE),"")</f>
        <v/>
      </c>
      <c r="AB3225" s="81" t="str">
        <f>IFERROR(HLOOKUP(K3225,データについて!$J$5:$AH$20,14,FALSE),"")</f>
        <v/>
      </c>
      <c r="AC3225" s="81" t="e">
        <f>IF(X3225=1,HLOOKUP(R3225,データについて!$J$12:$M$18,7,FALSE),"*")</f>
        <v>#N/A</v>
      </c>
      <c r="AD3225" s="81" t="e">
        <f>IF(X3225=2,HLOOKUP(R3225,データについて!$J$12:$M$18,7,FALSE),"*")</f>
        <v>#N/A</v>
      </c>
    </row>
    <row r="3226" spans="19:30">
      <c r="S3226" s="81" t="e">
        <f>HLOOKUP(L3226,データについて!$J$6:$M$18,13,FALSE)</f>
        <v>#N/A</v>
      </c>
      <c r="T3226" s="81" t="e">
        <f>HLOOKUP(M3226,データについて!$J$7:$M$18,12,FALSE)</f>
        <v>#N/A</v>
      </c>
      <c r="U3226" s="81" t="e">
        <f>HLOOKUP(N3226,データについて!$J$8:$M$18,11,FALSE)</f>
        <v>#N/A</v>
      </c>
      <c r="V3226" s="81" t="e">
        <f>HLOOKUP(O3226,データについて!$J$9:$M$18,10,FALSE)</f>
        <v>#N/A</v>
      </c>
      <c r="W3226" s="81" t="e">
        <f>HLOOKUP(P3226,データについて!$J$10:$M$18,9,FALSE)</f>
        <v>#N/A</v>
      </c>
      <c r="X3226" s="81" t="e">
        <f>HLOOKUP(Q3226,データについて!$J$11:$M$18,8,FALSE)</f>
        <v>#N/A</v>
      </c>
      <c r="Y3226" s="81" t="e">
        <f>HLOOKUP(R3226,データについて!$J$12:$M$18,7,FALSE)</f>
        <v>#N/A</v>
      </c>
      <c r="Z3226" s="81" t="e">
        <f>HLOOKUP(I3226,データについて!$J$3:$M$18,16,FALSE)</f>
        <v>#N/A</v>
      </c>
      <c r="AA3226" s="81" t="str">
        <f>IFERROR(HLOOKUP(J3226,データについて!$J$4:$AH$19,16,FALSE),"")</f>
        <v/>
      </c>
      <c r="AB3226" s="81" t="str">
        <f>IFERROR(HLOOKUP(K3226,データについて!$J$5:$AH$20,14,FALSE),"")</f>
        <v/>
      </c>
      <c r="AC3226" s="81" t="e">
        <f>IF(X3226=1,HLOOKUP(R3226,データについて!$J$12:$M$18,7,FALSE),"*")</f>
        <v>#N/A</v>
      </c>
      <c r="AD3226" s="81" t="e">
        <f>IF(X3226=2,HLOOKUP(R3226,データについて!$J$12:$M$18,7,FALSE),"*")</f>
        <v>#N/A</v>
      </c>
    </row>
    <row r="3227" spans="19:30">
      <c r="S3227" s="81" t="e">
        <f>HLOOKUP(L3227,データについて!$J$6:$M$18,13,FALSE)</f>
        <v>#N/A</v>
      </c>
      <c r="T3227" s="81" t="e">
        <f>HLOOKUP(M3227,データについて!$J$7:$M$18,12,FALSE)</f>
        <v>#N/A</v>
      </c>
      <c r="U3227" s="81" t="e">
        <f>HLOOKUP(N3227,データについて!$J$8:$M$18,11,FALSE)</f>
        <v>#N/A</v>
      </c>
      <c r="V3227" s="81" t="e">
        <f>HLOOKUP(O3227,データについて!$J$9:$M$18,10,FALSE)</f>
        <v>#N/A</v>
      </c>
      <c r="W3227" s="81" t="e">
        <f>HLOOKUP(P3227,データについて!$J$10:$M$18,9,FALSE)</f>
        <v>#N/A</v>
      </c>
      <c r="X3227" s="81" t="e">
        <f>HLOOKUP(Q3227,データについて!$J$11:$M$18,8,FALSE)</f>
        <v>#N/A</v>
      </c>
      <c r="Y3227" s="81" t="e">
        <f>HLOOKUP(R3227,データについて!$J$12:$M$18,7,FALSE)</f>
        <v>#N/A</v>
      </c>
      <c r="Z3227" s="81" t="e">
        <f>HLOOKUP(I3227,データについて!$J$3:$M$18,16,FALSE)</f>
        <v>#N/A</v>
      </c>
      <c r="AA3227" s="81" t="str">
        <f>IFERROR(HLOOKUP(J3227,データについて!$J$4:$AH$19,16,FALSE),"")</f>
        <v/>
      </c>
      <c r="AB3227" s="81" t="str">
        <f>IFERROR(HLOOKUP(K3227,データについて!$J$5:$AH$20,14,FALSE),"")</f>
        <v/>
      </c>
      <c r="AC3227" s="81" t="e">
        <f>IF(X3227=1,HLOOKUP(R3227,データについて!$J$12:$M$18,7,FALSE),"*")</f>
        <v>#N/A</v>
      </c>
      <c r="AD3227" s="81" t="e">
        <f>IF(X3227=2,HLOOKUP(R3227,データについて!$J$12:$M$18,7,FALSE),"*")</f>
        <v>#N/A</v>
      </c>
    </row>
    <row r="3228" spans="19:30">
      <c r="S3228" s="81" t="e">
        <f>HLOOKUP(L3228,データについて!$J$6:$M$18,13,FALSE)</f>
        <v>#N/A</v>
      </c>
      <c r="T3228" s="81" t="e">
        <f>HLOOKUP(M3228,データについて!$J$7:$M$18,12,FALSE)</f>
        <v>#N/A</v>
      </c>
      <c r="U3228" s="81" t="e">
        <f>HLOOKUP(N3228,データについて!$J$8:$M$18,11,FALSE)</f>
        <v>#N/A</v>
      </c>
      <c r="V3228" s="81" t="e">
        <f>HLOOKUP(O3228,データについて!$J$9:$M$18,10,FALSE)</f>
        <v>#N/A</v>
      </c>
      <c r="W3228" s="81" t="e">
        <f>HLOOKUP(P3228,データについて!$J$10:$M$18,9,FALSE)</f>
        <v>#N/A</v>
      </c>
      <c r="X3228" s="81" t="e">
        <f>HLOOKUP(Q3228,データについて!$J$11:$M$18,8,FALSE)</f>
        <v>#N/A</v>
      </c>
      <c r="Y3228" s="81" t="e">
        <f>HLOOKUP(R3228,データについて!$J$12:$M$18,7,FALSE)</f>
        <v>#N/A</v>
      </c>
      <c r="Z3228" s="81" t="e">
        <f>HLOOKUP(I3228,データについて!$J$3:$M$18,16,FALSE)</f>
        <v>#N/A</v>
      </c>
      <c r="AA3228" s="81" t="str">
        <f>IFERROR(HLOOKUP(J3228,データについて!$J$4:$AH$19,16,FALSE),"")</f>
        <v/>
      </c>
      <c r="AB3228" s="81" t="str">
        <f>IFERROR(HLOOKUP(K3228,データについて!$J$5:$AH$20,14,FALSE),"")</f>
        <v/>
      </c>
      <c r="AC3228" s="81" t="e">
        <f>IF(X3228=1,HLOOKUP(R3228,データについて!$J$12:$M$18,7,FALSE),"*")</f>
        <v>#N/A</v>
      </c>
      <c r="AD3228" s="81" t="e">
        <f>IF(X3228=2,HLOOKUP(R3228,データについて!$J$12:$M$18,7,FALSE),"*")</f>
        <v>#N/A</v>
      </c>
    </row>
    <row r="3229" spans="19:30">
      <c r="S3229" s="81" t="e">
        <f>HLOOKUP(L3229,データについて!$J$6:$M$18,13,FALSE)</f>
        <v>#N/A</v>
      </c>
      <c r="T3229" s="81" t="e">
        <f>HLOOKUP(M3229,データについて!$J$7:$M$18,12,FALSE)</f>
        <v>#N/A</v>
      </c>
      <c r="U3229" s="81" t="e">
        <f>HLOOKUP(N3229,データについて!$J$8:$M$18,11,FALSE)</f>
        <v>#N/A</v>
      </c>
      <c r="V3229" s="81" t="e">
        <f>HLOOKUP(O3229,データについて!$J$9:$M$18,10,FALSE)</f>
        <v>#N/A</v>
      </c>
      <c r="W3229" s="81" t="e">
        <f>HLOOKUP(P3229,データについて!$J$10:$M$18,9,FALSE)</f>
        <v>#N/A</v>
      </c>
      <c r="X3229" s="81" t="e">
        <f>HLOOKUP(Q3229,データについて!$J$11:$M$18,8,FALSE)</f>
        <v>#N/A</v>
      </c>
      <c r="Y3229" s="81" t="e">
        <f>HLOOKUP(R3229,データについて!$J$12:$M$18,7,FALSE)</f>
        <v>#N/A</v>
      </c>
      <c r="Z3229" s="81" t="e">
        <f>HLOOKUP(I3229,データについて!$J$3:$M$18,16,FALSE)</f>
        <v>#N/A</v>
      </c>
      <c r="AA3229" s="81" t="str">
        <f>IFERROR(HLOOKUP(J3229,データについて!$J$4:$AH$19,16,FALSE),"")</f>
        <v/>
      </c>
      <c r="AB3229" s="81" t="str">
        <f>IFERROR(HLOOKUP(K3229,データについて!$J$5:$AH$20,14,FALSE),"")</f>
        <v/>
      </c>
      <c r="AC3229" s="81" t="e">
        <f>IF(X3229=1,HLOOKUP(R3229,データについて!$J$12:$M$18,7,FALSE),"*")</f>
        <v>#N/A</v>
      </c>
      <c r="AD3229" s="81" t="e">
        <f>IF(X3229=2,HLOOKUP(R3229,データについて!$J$12:$M$18,7,FALSE),"*")</f>
        <v>#N/A</v>
      </c>
    </row>
    <row r="3230" spans="19:30">
      <c r="S3230" s="81" t="e">
        <f>HLOOKUP(L3230,データについて!$J$6:$M$18,13,FALSE)</f>
        <v>#N/A</v>
      </c>
      <c r="T3230" s="81" t="e">
        <f>HLOOKUP(M3230,データについて!$J$7:$M$18,12,FALSE)</f>
        <v>#N/A</v>
      </c>
      <c r="U3230" s="81" t="e">
        <f>HLOOKUP(N3230,データについて!$J$8:$M$18,11,FALSE)</f>
        <v>#N/A</v>
      </c>
      <c r="V3230" s="81" t="e">
        <f>HLOOKUP(O3230,データについて!$J$9:$M$18,10,FALSE)</f>
        <v>#N/A</v>
      </c>
      <c r="W3230" s="81" t="e">
        <f>HLOOKUP(P3230,データについて!$J$10:$M$18,9,FALSE)</f>
        <v>#N/A</v>
      </c>
      <c r="X3230" s="81" t="e">
        <f>HLOOKUP(Q3230,データについて!$J$11:$M$18,8,FALSE)</f>
        <v>#N/A</v>
      </c>
      <c r="Y3230" s="81" t="e">
        <f>HLOOKUP(R3230,データについて!$J$12:$M$18,7,FALSE)</f>
        <v>#N/A</v>
      </c>
      <c r="Z3230" s="81" t="e">
        <f>HLOOKUP(I3230,データについて!$J$3:$M$18,16,FALSE)</f>
        <v>#N/A</v>
      </c>
      <c r="AA3230" s="81" t="str">
        <f>IFERROR(HLOOKUP(J3230,データについて!$J$4:$AH$19,16,FALSE),"")</f>
        <v/>
      </c>
      <c r="AB3230" s="81" t="str">
        <f>IFERROR(HLOOKUP(K3230,データについて!$J$5:$AH$20,14,FALSE),"")</f>
        <v/>
      </c>
      <c r="AC3230" s="81" t="e">
        <f>IF(X3230=1,HLOOKUP(R3230,データについて!$J$12:$M$18,7,FALSE),"*")</f>
        <v>#N/A</v>
      </c>
      <c r="AD3230" s="81" t="e">
        <f>IF(X3230=2,HLOOKUP(R3230,データについて!$J$12:$M$18,7,FALSE),"*")</f>
        <v>#N/A</v>
      </c>
    </row>
    <row r="3231" spans="19:30">
      <c r="S3231" s="81" t="e">
        <f>HLOOKUP(L3231,データについて!$J$6:$M$18,13,FALSE)</f>
        <v>#N/A</v>
      </c>
      <c r="T3231" s="81" t="e">
        <f>HLOOKUP(M3231,データについて!$J$7:$M$18,12,FALSE)</f>
        <v>#N/A</v>
      </c>
      <c r="U3231" s="81" t="e">
        <f>HLOOKUP(N3231,データについて!$J$8:$M$18,11,FALSE)</f>
        <v>#N/A</v>
      </c>
      <c r="V3231" s="81" t="e">
        <f>HLOOKUP(O3231,データについて!$J$9:$M$18,10,FALSE)</f>
        <v>#N/A</v>
      </c>
      <c r="W3231" s="81" t="e">
        <f>HLOOKUP(P3231,データについて!$J$10:$M$18,9,FALSE)</f>
        <v>#N/A</v>
      </c>
      <c r="X3231" s="81" t="e">
        <f>HLOOKUP(Q3231,データについて!$J$11:$M$18,8,FALSE)</f>
        <v>#N/A</v>
      </c>
      <c r="Y3231" s="81" t="e">
        <f>HLOOKUP(R3231,データについて!$J$12:$M$18,7,FALSE)</f>
        <v>#N/A</v>
      </c>
      <c r="Z3231" s="81" t="e">
        <f>HLOOKUP(I3231,データについて!$J$3:$M$18,16,FALSE)</f>
        <v>#N/A</v>
      </c>
      <c r="AA3231" s="81" t="str">
        <f>IFERROR(HLOOKUP(J3231,データについて!$J$4:$AH$19,16,FALSE),"")</f>
        <v/>
      </c>
      <c r="AB3231" s="81" t="str">
        <f>IFERROR(HLOOKUP(K3231,データについて!$J$5:$AH$20,14,FALSE),"")</f>
        <v/>
      </c>
      <c r="AC3231" s="81" t="e">
        <f>IF(X3231=1,HLOOKUP(R3231,データについて!$J$12:$M$18,7,FALSE),"*")</f>
        <v>#N/A</v>
      </c>
      <c r="AD3231" s="81" t="e">
        <f>IF(X3231=2,HLOOKUP(R3231,データについて!$J$12:$M$18,7,FALSE),"*")</f>
        <v>#N/A</v>
      </c>
    </row>
    <row r="3232" spans="19:30">
      <c r="S3232" s="81" t="e">
        <f>HLOOKUP(L3232,データについて!$J$6:$M$18,13,FALSE)</f>
        <v>#N/A</v>
      </c>
      <c r="T3232" s="81" t="e">
        <f>HLOOKUP(M3232,データについて!$J$7:$M$18,12,FALSE)</f>
        <v>#N/A</v>
      </c>
      <c r="U3232" s="81" t="e">
        <f>HLOOKUP(N3232,データについて!$J$8:$M$18,11,FALSE)</f>
        <v>#N/A</v>
      </c>
      <c r="V3232" s="81" t="e">
        <f>HLOOKUP(O3232,データについて!$J$9:$M$18,10,FALSE)</f>
        <v>#N/A</v>
      </c>
      <c r="W3232" s="81" t="e">
        <f>HLOOKUP(P3232,データについて!$J$10:$M$18,9,FALSE)</f>
        <v>#N/A</v>
      </c>
      <c r="X3232" s="81" t="e">
        <f>HLOOKUP(Q3232,データについて!$J$11:$M$18,8,FALSE)</f>
        <v>#N/A</v>
      </c>
      <c r="Y3232" s="81" t="e">
        <f>HLOOKUP(R3232,データについて!$J$12:$M$18,7,FALSE)</f>
        <v>#N/A</v>
      </c>
      <c r="Z3232" s="81" t="e">
        <f>HLOOKUP(I3232,データについて!$J$3:$M$18,16,FALSE)</f>
        <v>#N/A</v>
      </c>
      <c r="AA3232" s="81" t="str">
        <f>IFERROR(HLOOKUP(J3232,データについて!$J$4:$AH$19,16,FALSE),"")</f>
        <v/>
      </c>
      <c r="AB3232" s="81" t="str">
        <f>IFERROR(HLOOKUP(K3232,データについて!$J$5:$AH$20,14,FALSE),"")</f>
        <v/>
      </c>
      <c r="AC3232" s="81" t="e">
        <f>IF(X3232=1,HLOOKUP(R3232,データについて!$J$12:$M$18,7,FALSE),"*")</f>
        <v>#N/A</v>
      </c>
      <c r="AD3232" s="81" t="e">
        <f>IF(X3232=2,HLOOKUP(R3232,データについて!$J$12:$M$18,7,FALSE),"*")</f>
        <v>#N/A</v>
      </c>
    </row>
    <row r="3233" spans="19:30">
      <c r="S3233" s="81" t="e">
        <f>HLOOKUP(L3233,データについて!$J$6:$M$18,13,FALSE)</f>
        <v>#N/A</v>
      </c>
      <c r="T3233" s="81" t="e">
        <f>HLOOKUP(M3233,データについて!$J$7:$M$18,12,FALSE)</f>
        <v>#N/A</v>
      </c>
      <c r="U3233" s="81" t="e">
        <f>HLOOKUP(N3233,データについて!$J$8:$M$18,11,FALSE)</f>
        <v>#N/A</v>
      </c>
      <c r="V3233" s="81" t="e">
        <f>HLOOKUP(O3233,データについて!$J$9:$M$18,10,FALSE)</f>
        <v>#N/A</v>
      </c>
      <c r="W3233" s="81" t="e">
        <f>HLOOKUP(P3233,データについて!$J$10:$M$18,9,FALSE)</f>
        <v>#N/A</v>
      </c>
      <c r="X3233" s="81" t="e">
        <f>HLOOKUP(Q3233,データについて!$J$11:$M$18,8,FALSE)</f>
        <v>#N/A</v>
      </c>
      <c r="Y3233" s="81" t="e">
        <f>HLOOKUP(R3233,データについて!$J$12:$M$18,7,FALSE)</f>
        <v>#N/A</v>
      </c>
      <c r="Z3233" s="81" t="e">
        <f>HLOOKUP(I3233,データについて!$J$3:$M$18,16,FALSE)</f>
        <v>#N/A</v>
      </c>
      <c r="AA3233" s="81" t="str">
        <f>IFERROR(HLOOKUP(J3233,データについて!$J$4:$AH$19,16,FALSE),"")</f>
        <v/>
      </c>
      <c r="AB3233" s="81" t="str">
        <f>IFERROR(HLOOKUP(K3233,データについて!$J$5:$AH$20,14,FALSE),"")</f>
        <v/>
      </c>
      <c r="AC3233" s="81" t="e">
        <f>IF(X3233=1,HLOOKUP(R3233,データについて!$J$12:$M$18,7,FALSE),"*")</f>
        <v>#N/A</v>
      </c>
      <c r="AD3233" s="81" t="e">
        <f>IF(X3233=2,HLOOKUP(R3233,データについて!$J$12:$M$18,7,FALSE),"*")</f>
        <v>#N/A</v>
      </c>
    </row>
    <row r="3234" spans="19:30">
      <c r="S3234" s="81" t="e">
        <f>HLOOKUP(L3234,データについて!$J$6:$M$18,13,FALSE)</f>
        <v>#N/A</v>
      </c>
      <c r="T3234" s="81" t="e">
        <f>HLOOKUP(M3234,データについて!$J$7:$M$18,12,FALSE)</f>
        <v>#N/A</v>
      </c>
      <c r="U3234" s="81" t="e">
        <f>HLOOKUP(N3234,データについて!$J$8:$M$18,11,FALSE)</f>
        <v>#N/A</v>
      </c>
      <c r="V3234" s="81" t="e">
        <f>HLOOKUP(O3234,データについて!$J$9:$M$18,10,FALSE)</f>
        <v>#N/A</v>
      </c>
      <c r="W3234" s="81" t="e">
        <f>HLOOKUP(P3234,データについて!$J$10:$M$18,9,FALSE)</f>
        <v>#N/A</v>
      </c>
      <c r="X3234" s="81" t="e">
        <f>HLOOKUP(Q3234,データについて!$J$11:$M$18,8,FALSE)</f>
        <v>#N/A</v>
      </c>
      <c r="Y3234" s="81" t="e">
        <f>HLOOKUP(R3234,データについて!$J$12:$M$18,7,FALSE)</f>
        <v>#N/A</v>
      </c>
      <c r="Z3234" s="81" t="e">
        <f>HLOOKUP(I3234,データについて!$J$3:$M$18,16,FALSE)</f>
        <v>#N/A</v>
      </c>
      <c r="AA3234" s="81" t="str">
        <f>IFERROR(HLOOKUP(J3234,データについて!$J$4:$AH$19,16,FALSE),"")</f>
        <v/>
      </c>
      <c r="AB3234" s="81" t="str">
        <f>IFERROR(HLOOKUP(K3234,データについて!$J$5:$AH$20,14,FALSE),"")</f>
        <v/>
      </c>
      <c r="AC3234" s="81" t="e">
        <f>IF(X3234=1,HLOOKUP(R3234,データについて!$J$12:$M$18,7,FALSE),"*")</f>
        <v>#N/A</v>
      </c>
      <c r="AD3234" s="81" t="e">
        <f>IF(X3234=2,HLOOKUP(R3234,データについて!$J$12:$M$18,7,FALSE),"*")</f>
        <v>#N/A</v>
      </c>
    </row>
    <row r="3235" spans="19:30">
      <c r="S3235" s="81" t="e">
        <f>HLOOKUP(L3235,データについて!$J$6:$M$18,13,FALSE)</f>
        <v>#N/A</v>
      </c>
      <c r="T3235" s="81" t="e">
        <f>HLOOKUP(M3235,データについて!$J$7:$M$18,12,FALSE)</f>
        <v>#N/A</v>
      </c>
      <c r="U3235" s="81" t="e">
        <f>HLOOKUP(N3235,データについて!$J$8:$M$18,11,FALSE)</f>
        <v>#N/A</v>
      </c>
      <c r="V3235" s="81" t="e">
        <f>HLOOKUP(O3235,データについて!$J$9:$M$18,10,FALSE)</f>
        <v>#N/A</v>
      </c>
      <c r="W3235" s="81" t="e">
        <f>HLOOKUP(P3235,データについて!$J$10:$M$18,9,FALSE)</f>
        <v>#N/A</v>
      </c>
      <c r="X3235" s="81" t="e">
        <f>HLOOKUP(Q3235,データについて!$J$11:$M$18,8,FALSE)</f>
        <v>#N/A</v>
      </c>
      <c r="Y3235" s="81" t="e">
        <f>HLOOKUP(R3235,データについて!$J$12:$M$18,7,FALSE)</f>
        <v>#N/A</v>
      </c>
      <c r="Z3235" s="81" t="e">
        <f>HLOOKUP(I3235,データについて!$J$3:$M$18,16,FALSE)</f>
        <v>#N/A</v>
      </c>
      <c r="AA3235" s="81" t="str">
        <f>IFERROR(HLOOKUP(J3235,データについて!$J$4:$AH$19,16,FALSE),"")</f>
        <v/>
      </c>
      <c r="AB3235" s="81" t="str">
        <f>IFERROR(HLOOKUP(K3235,データについて!$J$5:$AH$20,14,FALSE),"")</f>
        <v/>
      </c>
      <c r="AC3235" s="81" t="e">
        <f>IF(X3235=1,HLOOKUP(R3235,データについて!$J$12:$M$18,7,FALSE),"*")</f>
        <v>#N/A</v>
      </c>
      <c r="AD3235" s="81" t="e">
        <f>IF(X3235=2,HLOOKUP(R3235,データについて!$J$12:$M$18,7,FALSE),"*")</f>
        <v>#N/A</v>
      </c>
    </row>
    <row r="3236" spans="19:30">
      <c r="S3236" s="81" t="e">
        <f>HLOOKUP(L3236,データについて!$J$6:$M$18,13,FALSE)</f>
        <v>#N/A</v>
      </c>
      <c r="T3236" s="81" t="e">
        <f>HLOOKUP(M3236,データについて!$J$7:$M$18,12,FALSE)</f>
        <v>#N/A</v>
      </c>
      <c r="U3236" s="81" t="e">
        <f>HLOOKUP(N3236,データについて!$J$8:$M$18,11,FALSE)</f>
        <v>#N/A</v>
      </c>
      <c r="V3236" s="81" t="e">
        <f>HLOOKUP(O3236,データについて!$J$9:$M$18,10,FALSE)</f>
        <v>#N/A</v>
      </c>
      <c r="W3236" s="81" t="e">
        <f>HLOOKUP(P3236,データについて!$J$10:$M$18,9,FALSE)</f>
        <v>#N/A</v>
      </c>
      <c r="X3236" s="81" t="e">
        <f>HLOOKUP(Q3236,データについて!$J$11:$M$18,8,FALSE)</f>
        <v>#N/A</v>
      </c>
      <c r="Y3236" s="81" t="e">
        <f>HLOOKUP(R3236,データについて!$J$12:$M$18,7,FALSE)</f>
        <v>#N/A</v>
      </c>
      <c r="Z3236" s="81" t="e">
        <f>HLOOKUP(I3236,データについて!$J$3:$M$18,16,FALSE)</f>
        <v>#N/A</v>
      </c>
      <c r="AA3236" s="81" t="str">
        <f>IFERROR(HLOOKUP(J3236,データについて!$J$4:$AH$19,16,FALSE),"")</f>
        <v/>
      </c>
      <c r="AB3236" s="81" t="str">
        <f>IFERROR(HLOOKUP(K3236,データについて!$J$5:$AH$20,14,FALSE),"")</f>
        <v/>
      </c>
      <c r="AC3236" s="81" t="e">
        <f>IF(X3236=1,HLOOKUP(R3236,データについて!$J$12:$M$18,7,FALSE),"*")</f>
        <v>#N/A</v>
      </c>
      <c r="AD3236" s="81" t="e">
        <f>IF(X3236=2,HLOOKUP(R3236,データについて!$J$12:$M$18,7,FALSE),"*")</f>
        <v>#N/A</v>
      </c>
    </row>
    <row r="3237" spans="19:30">
      <c r="S3237" s="81" t="e">
        <f>HLOOKUP(L3237,データについて!$J$6:$M$18,13,FALSE)</f>
        <v>#N/A</v>
      </c>
      <c r="T3237" s="81" t="e">
        <f>HLOOKUP(M3237,データについて!$J$7:$M$18,12,FALSE)</f>
        <v>#N/A</v>
      </c>
      <c r="U3237" s="81" t="e">
        <f>HLOOKUP(N3237,データについて!$J$8:$M$18,11,FALSE)</f>
        <v>#N/A</v>
      </c>
      <c r="V3237" s="81" t="e">
        <f>HLOOKUP(O3237,データについて!$J$9:$M$18,10,FALSE)</f>
        <v>#N/A</v>
      </c>
      <c r="W3237" s="81" t="e">
        <f>HLOOKUP(P3237,データについて!$J$10:$M$18,9,FALSE)</f>
        <v>#N/A</v>
      </c>
      <c r="X3237" s="81" t="e">
        <f>HLOOKUP(Q3237,データについて!$J$11:$M$18,8,FALSE)</f>
        <v>#N/A</v>
      </c>
      <c r="Y3237" s="81" t="e">
        <f>HLOOKUP(R3237,データについて!$J$12:$M$18,7,FALSE)</f>
        <v>#N/A</v>
      </c>
      <c r="Z3237" s="81" t="e">
        <f>HLOOKUP(I3237,データについて!$J$3:$M$18,16,FALSE)</f>
        <v>#N/A</v>
      </c>
      <c r="AA3237" s="81" t="str">
        <f>IFERROR(HLOOKUP(J3237,データについて!$J$4:$AH$19,16,FALSE),"")</f>
        <v/>
      </c>
      <c r="AB3237" s="81" t="str">
        <f>IFERROR(HLOOKUP(K3237,データについて!$J$5:$AH$20,14,FALSE),"")</f>
        <v/>
      </c>
      <c r="AC3237" s="81" t="e">
        <f>IF(X3237=1,HLOOKUP(R3237,データについて!$J$12:$M$18,7,FALSE),"*")</f>
        <v>#N/A</v>
      </c>
      <c r="AD3237" s="81" t="e">
        <f>IF(X3237=2,HLOOKUP(R3237,データについて!$J$12:$M$18,7,FALSE),"*")</f>
        <v>#N/A</v>
      </c>
    </row>
    <row r="3238" spans="19:30">
      <c r="S3238" s="81" t="e">
        <f>HLOOKUP(L3238,データについて!$J$6:$M$18,13,FALSE)</f>
        <v>#N/A</v>
      </c>
      <c r="T3238" s="81" t="e">
        <f>HLOOKUP(M3238,データについて!$J$7:$M$18,12,FALSE)</f>
        <v>#N/A</v>
      </c>
      <c r="U3238" s="81" t="e">
        <f>HLOOKUP(N3238,データについて!$J$8:$M$18,11,FALSE)</f>
        <v>#N/A</v>
      </c>
      <c r="V3238" s="81" t="e">
        <f>HLOOKUP(O3238,データについて!$J$9:$M$18,10,FALSE)</f>
        <v>#N/A</v>
      </c>
      <c r="W3238" s="81" t="e">
        <f>HLOOKUP(P3238,データについて!$J$10:$M$18,9,FALSE)</f>
        <v>#N/A</v>
      </c>
      <c r="X3238" s="81" t="e">
        <f>HLOOKUP(Q3238,データについて!$J$11:$M$18,8,FALSE)</f>
        <v>#N/A</v>
      </c>
      <c r="Y3238" s="81" t="e">
        <f>HLOOKUP(R3238,データについて!$J$12:$M$18,7,FALSE)</f>
        <v>#N/A</v>
      </c>
      <c r="Z3238" s="81" t="e">
        <f>HLOOKUP(I3238,データについて!$J$3:$M$18,16,FALSE)</f>
        <v>#N/A</v>
      </c>
      <c r="AA3238" s="81" t="str">
        <f>IFERROR(HLOOKUP(J3238,データについて!$J$4:$AH$19,16,FALSE),"")</f>
        <v/>
      </c>
      <c r="AB3238" s="81" t="str">
        <f>IFERROR(HLOOKUP(K3238,データについて!$J$5:$AH$20,14,FALSE),"")</f>
        <v/>
      </c>
      <c r="AC3238" s="81" t="e">
        <f>IF(X3238=1,HLOOKUP(R3238,データについて!$J$12:$M$18,7,FALSE),"*")</f>
        <v>#N/A</v>
      </c>
      <c r="AD3238" s="81" t="e">
        <f>IF(X3238=2,HLOOKUP(R3238,データについて!$J$12:$M$18,7,FALSE),"*")</f>
        <v>#N/A</v>
      </c>
    </row>
    <row r="3239" spans="19:30">
      <c r="S3239" s="81" t="e">
        <f>HLOOKUP(L3239,データについて!$J$6:$M$18,13,FALSE)</f>
        <v>#N/A</v>
      </c>
      <c r="T3239" s="81" t="e">
        <f>HLOOKUP(M3239,データについて!$J$7:$M$18,12,FALSE)</f>
        <v>#N/A</v>
      </c>
      <c r="U3239" s="81" t="e">
        <f>HLOOKUP(N3239,データについて!$J$8:$M$18,11,FALSE)</f>
        <v>#N/A</v>
      </c>
      <c r="V3239" s="81" t="e">
        <f>HLOOKUP(O3239,データについて!$J$9:$M$18,10,FALSE)</f>
        <v>#N/A</v>
      </c>
      <c r="W3239" s="81" t="e">
        <f>HLOOKUP(P3239,データについて!$J$10:$M$18,9,FALSE)</f>
        <v>#N/A</v>
      </c>
      <c r="X3239" s="81" t="e">
        <f>HLOOKUP(Q3239,データについて!$J$11:$M$18,8,FALSE)</f>
        <v>#N/A</v>
      </c>
      <c r="Y3239" s="81" t="e">
        <f>HLOOKUP(R3239,データについて!$J$12:$M$18,7,FALSE)</f>
        <v>#N/A</v>
      </c>
      <c r="Z3239" s="81" t="e">
        <f>HLOOKUP(I3239,データについて!$J$3:$M$18,16,FALSE)</f>
        <v>#N/A</v>
      </c>
      <c r="AA3239" s="81" t="str">
        <f>IFERROR(HLOOKUP(J3239,データについて!$J$4:$AH$19,16,FALSE),"")</f>
        <v/>
      </c>
      <c r="AB3239" s="81" t="str">
        <f>IFERROR(HLOOKUP(K3239,データについて!$J$5:$AH$20,14,FALSE),"")</f>
        <v/>
      </c>
      <c r="AC3239" s="81" t="e">
        <f>IF(X3239=1,HLOOKUP(R3239,データについて!$J$12:$M$18,7,FALSE),"*")</f>
        <v>#N/A</v>
      </c>
      <c r="AD3239" s="81" t="e">
        <f>IF(X3239=2,HLOOKUP(R3239,データについて!$J$12:$M$18,7,FALSE),"*")</f>
        <v>#N/A</v>
      </c>
    </row>
    <row r="3240" spans="19:30">
      <c r="S3240" s="81" t="e">
        <f>HLOOKUP(L3240,データについて!$J$6:$M$18,13,FALSE)</f>
        <v>#N/A</v>
      </c>
      <c r="T3240" s="81" t="e">
        <f>HLOOKUP(M3240,データについて!$J$7:$M$18,12,FALSE)</f>
        <v>#N/A</v>
      </c>
      <c r="U3240" s="81" t="e">
        <f>HLOOKUP(N3240,データについて!$J$8:$M$18,11,FALSE)</f>
        <v>#N/A</v>
      </c>
      <c r="V3240" s="81" t="e">
        <f>HLOOKUP(O3240,データについて!$J$9:$M$18,10,FALSE)</f>
        <v>#N/A</v>
      </c>
      <c r="W3240" s="81" t="e">
        <f>HLOOKUP(P3240,データについて!$J$10:$M$18,9,FALSE)</f>
        <v>#N/A</v>
      </c>
      <c r="X3240" s="81" t="e">
        <f>HLOOKUP(Q3240,データについて!$J$11:$M$18,8,FALSE)</f>
        <v>#N/A</v>
      </c>
      <c r="Y3240" s="81" t="e">
        <f>HLOOKUP(R3240,データについて!$J$12:$M$18,7,FALSE)</f>
        <v>#N/A</v>
      </c>
      <c r="Z3240" s="81" t="e">
        <f>HLOOKUP(I3240,データについて!$J$3:$M$18,16,FALSE)</f>
        <v>#N/A</v>
      </c>
      <c r="AA3240" s="81" t="str">
        <f>IFERROR(HLOOKUP(J3240,データについて!$J$4:$AH$19,16,FALSE),"")</f>
        <v/>
      </c>
      <c r="AB3240" s="81" t="str">
        <f>IFERROR(HLOOKUP(K3240,データについて!$J$5:$AH$20,14,FALSE),"")</f>
        <v/>
      </c>
      <c r="AC3240" s="81" t="e">
        <f>IF(X3240=1,HLOOKUP(R3240,データについて!$J$12:$M$18,7,FALSE),"*")</f>
        <v>#N/A</v>
      </c>
      <c r="AD3240" s="81" t="e">
        <f>IF(X3240=2,HLOOKUP(R3240,データについて!$J$12:$M$18,7,FALSE),"*")</f>
        <v>#N/A</v>
      </c>
    </row>
    <row r="3241" spans="19:30">
      <c r="S3241" s="81" t="e">
        <f>HLOOKUP(L3241,データについて!$J$6:$M$18,13,FALSE)</f>
        <v>#N/A</v>
      </c>
      <c r="T3241" s="81" t="e">
        <f>HLOOKUP(M3241,データについて!$J$7:$M$18,12,FALSE)</f>
        <v>#N/A</v>
      </c>
      <c r="U3241" s="81" t="e">
        <f>HLOOKUP(N3241,データについて!$J$8:$M$18,11,FALSE)</f>
        <v>#N/A</v>
      </c>
      <c r="V3241" s="81" t="e">
        <f>HLOOKUP(O3241,データについて!$J$9:$M$18,10,FALSE)</f>
        <v>#N/A</v>
      </c>
      <c r="W3241" s="81" t="e">
        <f>HLOOKUP(P3241,データについて!$J$10:$M$18,9,FALSE)</f>
        <v>#N/A</v>
      </c>
      <c r="X3241" s="81" t="e">
        <f>HLOOKUP(Q3241,データについて!$J$11:$M$18,8,FALSE)</f>
        <v>#N/A</v>
      </c>
      <c r="Y3241" s="81" t="e">
        <f>HLOOKUP(R3241,データについて!$J$12:$M$18,7,FALSE)</f>
        <v>#N/A</v>
      </c>
      <c r="Z3241" s="81" t="e">
        <f>HLOOKUP(I3241,データについて!$J$3:$M$18,16,FALSE)</f>
        <v>#N/A</v>
      </c>
      <c r="AA3241" s="81" t="str">
        <f>IFERROR(HLOOKUP(J3241,データについて!$J$4:$AH$19,16,FALSE),"")</f>
        <v/>
      </c>
      <c r="AB3241" s="81" t="str">
        <f>IFERROR(HLOOKUP(K3241,データについて!$J$5:$AH$20,14,FALSE),"")</f>
        <v/>
      </c>
      <c r="AC3241" s="81" t="e">
        <f>IF(X3241=1,HLOOKUP(R3241,データについて!$J$12:$M$18,7,FALSE),"*")</f>
        <v>#N/A</v>
      </c>
      <c r="AD3241" s="81" t="e">
        <f>IF(X3241=2,HLOOKUP(R3241,データについて!$J$12:$M$18,7,FALSE),"*")</f>
        <v>#N/A</v>
      </c>
    </row>
    <row r="3242" spans="19:30">
      <c r="S3242" s="81" t="e">
        <f>HLOOKUP(L3242,データについて!$J$6:$M$18,13,FALSE)</f>
        <v>#N/A</v>
      </c>
      <c r="T3242" s="81" t="e">
        <f>HLOOKUP(M3242,データについて!$J$7:$M$18,12,FALSE)</f>
        <v>#N/A</v>
      </c>
      <c r="U3242" s="81" t="e">
        <f>HLOOKUP(N3242,データについて!$J$8:$M$18,11,FALSE)</f>
        <v>#N/A</v>
      </c>
      <c r="V3242" s="81" t="e">
        <f>HLOOKUP(O3242,データについて!$J$9:$M$18,10,FALSE)</f>
        <v>#N/A</v>
      </c>
      <c r="W3242" s="81" t="e">
        <f>HLOOKUP(P3242,データについて!$J$10:$M$18,9,FALSE)</f>
        <v>#N/A</v>
      </c>
      <c r="X3242" s="81" t="e">
        <f>HLOOKUP(Q3242,データについて!$J$11:$M$18,8,FALSE)</f>
        <v>#N/A</v>
      </c>
      <c r="Y3242" s="81" t="e">
        <f>HLOOKUP(R3242,データについて!$J$12:$M$18,7,FALSE)</f>
        <v>#N/A</v>
      </c>
      <c r="Z3242" s="81" t="e">
        <f>HLOOKUP(I3242,データについて!$J$3:$M$18,16,FALSE)</f>
        <v>#N/A</v>
      </c>
      <c r="AA3242" s="81" t="str">
        <f>IFERROR(HLOOKUP(J3242,データについて!$J$4:$AH$19,16,FALSE),"")</f>
        <v/>
      </c>
      <c r="AB3242" s="81" t="str">
        <f>IFERROR(HLOOKUP(K3242,データについて!$J$5:$AH$20,14,FALSE),"")</f>
        <v/>
      </c>
      <c r="AC3242" s="81" t="e">
        <f>IF(X3242=1,HLOOKUP(R3242,データについて!$J$12:$M$18,7,FALSE),"*")</f>
        <v>#N/A</v>
      </c>
      <c r="AD3242" s="81" t="e">
        <f>IF(X3242=2,HLOOKUP(R3242,データについて!$J$12:$M$18,7,FALSE),"*")</f>
        <v>#N/A</v>
      </c>
    </row>
    <row r="3243" spans="19:30">
      <c r="S3243" s="81" t="e">
        <f>HLOOKUP(L3243,データについて!$J$6:$M$18,13,FALSE)</f>
        <v>#N/A</v>
      </c>
      <c r="T3243" s="81" t="e">
        <f>HLOOKUP(M3243,データについて!$J$7:$M$18,12,FALSE)</f>
        <v>#N/A</v>
      </c>
      <c r="U3243" s="81" t="e">
        <f>HLOOKUP(N3243,データについて!$J$8:$M$18,11,FALSE)</f>
        <v>#N/A</v>
      </c>
      <c r="V3243" s="81" t="e">
        <f>HLOOKUP(O3243,データについて!$J$9:$M$18,10,FALSE)</f>
        <v>#N/A</v>
      </c>
      <c r="W3243" s="81" t="e">
        <f>HLOOKUP(P3243,データについて!$J$10:$M$18,9,FALSE)</f>
        <v>#N/A</v>
      </c>
      <c r="X3243" s="81" t="e">
        <f>HLOOKUP(Q3243,データについて!$J$11:$M$18,8,FALSE)</f>
        <v>#N/A</v>
      </c>
      <c r="Y3243" s="81" t="e">
        <f>HLOOKUP(R3243,データについて!$J$12:$M$18,7,FALSE)</f>
        <v>#N/A</v>
      </c>
      <c r="Z3243" s="81" t="e">
        <f>HLOOKUP(I3243,データについて!$J$3:$M$18,16,FALSE)</f>
        <v>#N/A</v>
      </c>
      <c r="AA3243" s="81" t="str">
        <f>IFERROR(HLOOKUP(J3243,データについて!$J$4:$AH$19,16,FALSE),"")</f>
        <v/>
      </c>
      <c r="AB3243" s="81" t="str">
        <f>IFERROR(HLOOKUP(K3243,データについて!$J$5:$AH$20,14,FALSE),"")</f>
        <v/>
      </c>
      <c r="AC3243" s="81" t="e">
        <f>IF(X3243=1,HLOOKUP(R3243,データについて!$J$12:$M$18,7,FALSE),"*")</f>
        <v>#N/A</v>
      </c>
      <c r="AD3243" s="81" t="e">
        <f>IF(X3243=2,HLOOKUP(R3243,データについて!$J$12:$M$18,7,FALSE),"*")</f>
        <v>#N/A</v>
      </c>
    </row>
    <row r="3244" spans="19:30">
      <c r="S3244" s="81" t="e">
        <f>HLOOKUP(L3244,データについて!$J$6:$M$18,13,FALSE)</f>
        <v>#N/A</v>
      </c>
      <c r="T3244" s="81" t="e">
        <f>HLOOKUP(M3244,データについて!$J$7:$M$18,12,FALSE)</f>
        <v>#N/A</v>
      </c>
      <c r="U3244" s="81" t="e">
        <f>HLOOKUP(N3244,データについて!$J$8:$M$18,11,FALSE)</f>
        <v>#N/A</v>
      </c>
      <c r="V3244" s="81" t="e">
        <f>HLOOKUP(O3244,データについて!$J$9:$M$18,10,FALSE)</f>
        <v>#N/A</v>
      </c>
      <c r="W3244" s="81" t="e">
        <f>HLOOKUP(P3244,データについて!$J$10:$M$18,9,FALSE)</f>
        <v>#N/A</v>
      </c>
      <c r="X3244" s="81" t="e">
        <f>HLOOKUP(Q3244,データについて!$J$11:$M$18,8,FALSE)</f>
        <v>#N/A</v>
      </c>
      <c r="Y3244" s="81" t="e">
        <f>HLOOKUP(R3244,データについて!$J$12:$M$18,7,FALSE)</f>
        <v>#N/A</v>
      </c>
      <c r="Z3244" s="81" t="e">
        <f>HLOOKUP(I3244,データについて!$J$3:$M$18,16,FALSE)</f>
        <v>#N/A</v>
      </c>
      <c r="AA3244" s="81" t="str">
        <f>IFERROR(HLOOKUP(J3244,データについて!$J$4:$AH$19,16,FALSE),"")</f>
        <v/>
      </c>
      <c r="AB3244" s="81" t="str">
        <f>IFERROR(HLOOKUP(K3244,データについて!$J$5:$AH$20,14,FALSE),"")</f>
        <v/>
      </c>
      <c r="AC3244" s="81" t="e">
        <f>IF(X3244=1,HLOOKUP(R3244,データについて!$J$12:$M$18,7,FALSE),"*")</f>
        <v>#N/A</v>
      </c>
      <c r="AD3244" s="81" t="e">
        <f>IF(X3244=2,HLOOKUP(R3244,データについて!$J$12:$M$18,7,FALSE),"*")</f>
        <v>#N/A</v>
      </c>
    </row>
    <row r="3245" spans="19:30">
      <c r="S3245" s="81" t="e">
        <f>HLOOKUP(L3245,データについて!$J$6:$M$18,13,FALSE)</f>
        <v>#N/A</v>
      </c>
      <c r="T3245" s="81" t="e">
        <f>HLOOKUP(M3245,データについて!$J$7:$M$18,12,FALSE)</f>
        <v>#N/A</v>
      </c>
      <c r="U3245" s="81" t="e">
        <f>HLOOKUP(N3245,データについて!$J$8:$M$18,11,FALSE)</f>
        <v>#N/A</v>
      </c>
      <c r="V3245" s="81" t="e">
        <f>HLOOKUP(O3245,データについて!$J$9:$M$18,10,FALSE)</f>
        <v>#N/A</v>
      </c>
      <c r="W3245" s="81" t="e">
        <f>HLOOKUP(P3245,データについて!$J$10:$M$18,9,FALSE)</f>
        <v>#N/A</v>
      </c>
      <c r="X3245" s="81" t="e">
        <f>HLOOKUP(Q3245,データについて!$J$11:$M$18,8,FALSE)</f>
        <v>#N/A</v>
      </c>
      <c r="Y3245" s="81" t="e">
        <f>HLOOKUP(R3245,データについて!$J$12:$M$18,7,FALSE)</f>
        <v>#N/A</v>
      </c>
      <c r="Z3245" s="81" t="e">
        <f>HLOOKUP(I3245,データについて!$J$3:$M$18,16,FALSE)</f>
        <v>#N/A</v>
      </c>
      <c r="AA3245" s="81" t="str">
        <f>IFERROR(HLOOKUP(J3245,データについて!$J$4:$AH$19,16,FALSE),"")</f>
        <v/>
      </c>
      <c r="AB3245" s="81" t="str">
        <f>IFERROR(HLOOKUP(K3245,データについて!$J$5:$AH$20,14,FALSE),"")</f>
        <v/>
      </c>
      <c r="AC3245" s="81" t="e">
        <f>IF(X3245=1,HLOOKUP(R3245,データについて!$J$12:$M$18,7,FALSE),"*")</f>
        <v>#N/A</v>
      </c>
      <c r="AD3245" s="81" t="e">
        <f>IF(X3245=2,HLOOKUP(R3245,データについて!$J$12:$M$18,7,FALSE),"*")</f>
        <v>#N/A</v>
      </c>
    </row>
    <row r="3246" spans="19:30">
      <c r="S3246" s="81" t="e">
        <f>HLOOKUP(L3246,データについて!$J$6:$M$18,13,FALSE)</f>
        <v>#N/A</v>
      </c>
      <c r="T3246" s="81" t="e">
        <f>HLOOKUP(M3246,データについて!$J$7:$M$18,12,FALSE)</f>
        <v>#N/A</v>
      </c>
      <c r="U3246" s="81" t="e">
        <f>HLOOKUP(N3246,データについて!$J$8:$M$18,11,FALSE)</f>
        <v>#N/A</v>
      </c>
      <c r="V3246" s="81" t="e">
        <f>HLOOKUP(O3246,データについて!$J$9:$M$18,10,FALSE)</f>
        <v>#N/A</v>
      </c>
      <c r="W3246" s="81" t="e">
        <f>HLOOKUP(P3246,データについて!$J$10:$M$18,9,FALSE)</f>
        <v>#N/A</v>
      </c>
      <c r="X3246" s="81" t="e">
        <f>HLOOKUP(Q3246,データについて!$J$11:$M$18,8,FALSE)</f>
        <v>#N/A</v>
      </c>
      <c r="Y3246" s="81" t="e">
        <f>HLOOKUP(R3246,データについて!$J$12:$M$18,7,FALSE)</f>
        <v>#N/A</v>
      </c>
      <c r="Z3246" s="81" t="e">
        <f>HLOOKUP(I3246,データについて!$J$3:$M$18,16,FALSE)</f>
        <v>#N/A</v>
      </c>
      <c r="AA3246" s="81" t="str">
        <f>IFERROR(HLOOKUP(J3246,データについて!$J$4:$AH$19,16,FALSE),"")</f>
        <v/>
      </c>
      <c r="AB3246" s="81" t="str">
        <f>IFERROR(HLOOKUP(K3246,データについて!$J$5:$AH$20,14,FALSE),"")</f>
        <v/>
      </c>
      <c r="AC3246" s="81" t="e">
        <f>IF(X3246=1,HLOOKUP(R3246,データについて!$J$12:$M$18,7,FALSE),"*")</f>
        <v>#N/A</v>
      </c>
      <c r="AD3246" s="81" t="e">
        <f>IF(X3246=2,HLOOKUP(R3246,データについて!$J$12:$M$18,7,FALSE),"*")</f>
        <v>#N/A</v>
      </c>
    </row>
    <row r="3247" spans="19:30">
      <c r="S3247" s="81" t="e">
        <f>HLOOKUP(L3247,データについて!$J$6:$M$18,13,FALSE)</f>
        <v>#N/A</v>
      </c>
      <c r="T3247" s="81" t="e">
        <f>HLOOKUP(M3247,データについて!$J$7:$M$18,12,FALSE)</f>
        <v>#N/A</v>
      </c>
      <c r="U3247" s="81" t="e">
        <f>HLOOKUP(N3247,データについて!$J$8:$M$18,11,FALSE)</f>
        <v>#N/A</v>
      </c>
      <c r="V3247" s="81" t="e">
        <f>HLOOKUP(O3247,データについて!$J$9:$M$18,10,FALSE)</f>
        <v>#N/A</v>
      </c>
      <c r="W3247" s="81" t="e">
        <f>HLOOKUP(P3247,データについて!$J$10:$M$18,9,FALSE)</f>
        <v>#N/A</v>
      </c>
      <c r="X3247" s="81" t="e">
        <f>HLOOKUP(Q3247,データについて!$J$11:$M$18,8,FALSE)</f>
        <v>#N/A</v>
      </c>
      <c r="Y3247" s="81" t="e">
        <f>HLOOKUP(R3247,データについて!$J$12:$M$18,7,FALSE)</f>
        <v>#N/A</v>
      </c>
      <c r="Z3247" s="81" t="e">
        <f>HLOOKUP(I3247,データについて!$J$3:$M$18,16,FALSE)</f>
        <v>#N/A</v>
      </c>
      <c r="AA3247" s="81" t="str">
        <f>IFERROR(HLOOKUP(J3247,データについて!$J$4:$AH$19,16,FALSE),"")</f>
        <v/>
      </c>
      <c r="AB3247" s="81" t="str">
        <f>IFERROR(HLOOKUP(K3247,データについて!$J$5:$AH$20,14,FALSE),"")</f>
        <v/>
      </c>
      <c r="AC3247" s="81" t="e">
        <f>IF(X3247=1,HLOOKUP(R3247,データについて!$J$12:$M$18,7,FALSE),"*")</f>
        <v>#N/A</v>
      </c>
      <c r="AD3247" s="81" t="e">
        <f>IF(X3247=2,HLOOKUP(R3247,データについて!$J$12:$M$18,7,FALSE),"*")</f>
        <v>#N/A</v>
      </c>
    </row>
    <row r="3248" spans="19:30">
      <c r="S3248" s="81" t="e">
        <f>HLOOKUP(L3248,データについて!$J$6:$M$18,13,FALSE)</f>
        <v>#N/A</v>
      </c>
      <c r="T3248" s="81" t="e">
        <f>HLOOKUP(M3248,データについて!$J$7:$M$18,12,FALSE)</f>
        <v>#N/A</v>
      </c>
      <c r="U3248" s="81" t="e">
        <f>HLOOKUP(N3248,データについて!$J$8:$M$18,11,FALSE)</f>
        <v>#N/A</v>
      </c>
      <c r="V3248" s="81" t="e">
        <f>HLOOKUP(O3248,データについて!$J$9:$M$18,10,FALSE)</f>
        <v>#N/A</v>
      </c>
      <c r="W3248" s="81" t="e">
        <f>HLOOKUP(P3248,データについて!$J$10:$M$18,9,FALSE)</f>
        <v>#N/A</v>
      </c>
      <c r="X3248" s="81" t="e">
        <f>HLOOKUP(Q3248,データについて!$J$11:$M$18,8,FALSE)</f>
        <v>#N/A</v>
      </c>
      <c r="Y3248" s="81" t="e">
        <f>HLOOKUP(R3248,データについて!$J$12:$M$18,7,FALSE)</f>
        <v>#N/A</v>
      </c>
      <c r="Z3248" s="81" t="e">
        <f>HLOOKUP(I3248,データについて!$J$3:$M$18,16,FALSE)</f>
        <v>#N/A</v>
      </c>
      <c r="AA3248" s="81" t="str">
        <f>IFERROR(HLOOKUP(J3248,データについて!$J$4:$AH$19,16,FALSE),"")</f>
        <v/>
      </c>
      <c r="AB3248" s="81" t="str">
        <f>IFERROR(HLOOKUP(K3248,データについて!$J$5:$AH$20,14,FALSE),"")</f>
        <v/>
      </c>
      <c r="AC3248" s="81" t="e">
        <f>IF(X3248=1,HLOOKUP(R3248,データについて!$J$12:$M$18,7,FALSE),"*")</f>
        <v>#N/A</v>
      </c>
      <c r="AD3248" s="81" t="e">
        <f>IF(X3248=2,HLOOKUP(R3248,データについて!$J$12:$M$18,7,FALSE),"*")</f>
        <v>#N/A</v>
      </c>
    </row>
    <row r="3249" spans="19:30">
      <c r="S3249" s="81" t="e">
        <f>HLOOKUP(L3249,データについて!$J$6:$M$18,13,FALSE)</f>
        <v>#N/A</v>
      </c>
      <c r="T3249" s="81" t="e">
        <f>HLOOKUP(M3249,データについて!$J$7:$M$18,12,FALSE)</f>
        <v>#N/A</v>
      </c>
      <c r="U3249" s="81" t="e">
        <f>HLOOKUP(N3249,データについて!$J$8:$M$18,11,FALSE)</f>
        <v>#N/A</v>
      </c>
      <c r="V3249" s="81" t="e">
        <f>HLOOKUP(O3249,データについて!$J$9:$M$18,10,FALSE)</f>
        <v>#N/A</v>
      </c>
      <c r="W3249" s="81" t="e">
        <f>HLOOKUP(P3249,データについて!$J$10:$M$18,9,FALSE)</f>
        <v>#N/A</v>
      </c>
      <c r="X3249" s="81" t="e">
        <f>HLOOKUP(Q3249,データについて!$J$11:$M$18,8,FALSE)</f>
        <v>#N/A</v>
      </c>
      <c r="Y3249" s="81" t="e">
        <f>HLOOKUP(R3249,データについて!$J$12:$M$18,7,FALSE)</f>
        <v>#N/A</v>
      </c>
      <c r="Z3249" s="81" t="e">
        <f>HLOOKUP(I3249,データについて!$J$3:$M$18,16,FALSE)</f>
        <v>#N/A</v>
      </c>
      <c r="AA3249" s="81" t="str">
        <f>IFERROR(HLOOKUP(J3249,データについて!$J$4:$AH$19,16,FALSE),"")</f>
        <v/>
      </c>
      <c r="AB3249" s="81" t="str">
        <f>IFERROR(HLOOKUP(K3249,データについて!$J$5:$AH$20,14,FALSE),"")</f>
        <v/>
      </c>
      <c r="AC3249" s="81" t="e">
        <f>IF(X3249=1,HLOOKUP(R3249,データについて!$J$12:$M$18,7,FALSE),"*")</f>
        <v>#N/A</v>
      </c>
      <c r="AD3249" s="81" t="e">
        <f>IF(X3249=2,HLOOKUP(R3249,データについて!$J$12:$M$18,7,FALSE),"*")</f>
        <v>#N/A</v>
      </c>
    </row>
    <row r="3250" spans="19:30">
      <c r="S3250" s="81" t="e">
        <f>HLOOKUP(L3250,データについて!$J$6:$M$18,13,FALSE)</f>
        <v>#N/A</v>
      </c>
      <c r="T3250" s="81" t="e">
        <f>HLOOKUP(M3250,データについて!$J$7:$M$18,12,FALSE)</f>
        <v>#N/A</v>
      </c>
      <c r="U3250" s="81" t="e">
        <f>HLOOKUP(N3250,データについて!$J$8:$M$18,11,FALSE)</f>
        <v>#N/A</v>
      </c>
      <c r="V3250" s="81" t="e">
        <f>HLOOKUP(O3250,データについて!$J$9:$M$18,10,FALSE)</f>
        <v>#N/A</v>
      </c>
      <c r="W3250" s="81" t="e">
        <f>HLOOKUP(P3250,データについて!$J$10:$M$18,9,FALSE)</f>
        <v>#N/A</v>
      </c>
      <c r="X3250" s="81" t="e">
        <f>HLOOKUP(Q3250,データについて!$J$11:$M$18,8,FALSE)</f>
        <v>#N/A</v>
      </c>
      <c r="Y3250" s="81" t="e">
        <f>HLOOKUP(R3250,データについて!$J$12:$M$18,7,FALSE)</f>
        <v>#N/A</v>
      </c>
      <c r="Z3250" s="81" t="e">
        <f>HLOOKUP(I3250,データについて!$J$3:$M$18,16,FALSE)</f>
        <v>#N/A</v>
      </c>
      <c r="AA3250" s="81" t="str">
        <f>IFERROR(HLOOKUP(J3250,データについて!$J$4:$AH$19,16,FALSE),"")</f>
        <v/>
      </c>
      <c r="AB3250" s="81" t="str">
        <f>IFERROR(HLOOKUP(K3250,データについて!$J$5:$AH$20,14,FALSE),"")</f>
        <v/>
      </c>
      <c r="AC3250" s="81" t="e">
        <f>IF(X3250=1,HLOOKUP(R3250,データについて!$J$12:$M$18,7,FALSE),"*")</f>
        <v>#N/A</v>
      </c>
      <c r="AD3250" s="81" t="e">
        <f>IF(X3250=2,HLOOKUP(R3250,データについて!$J$12:$M$18,7,FALSE),"*")</f>
        <v>#N/A</v>
      </c>
    </row>
    <row r="3251" spans="19:30">
      <c r="S3251" s="81" t="e">
        <f>HLOOKUP(L3251,データについて!$J$6:$M$18,13,FALSE)</f>
        <v>#N/A</v>
      </c>
      <c r="T3251" s="81" t="e">
        <f>HLOOKUP(M3251,データについて!$J$7:$M$18,12,FALSE)</f>
        <v>#N/A</v>
      </c>
      <c r="U3251" s="81" t="e">
        <f>HLOOKUP(N3251,データについて!$J$8:$M$18,11,FALSE)</f>
        <v>#N/A</v>
      </c>
      <c r="V3251" s="81" t="e">
        <f>HLOOKUP(O3251,データについて!$J$9:$M$18,10,FALSE)</f>
        <v>#N/A</v>
      </c>
      <c r="W3251" s="81" t="e">
        <f>HLOOKUP(P3251,データについて!$J$10:$M$18,9,FALSE)</f>
        <v>#N/A</v>
      </c>
      <c r="X3251" s="81" t="e">
        <f>HLOOKUP(Q3251,データについて!$J$11:$M$18,8,FALSE)</f>
        <v>#N/A</v>
      </c>
      <c r="Y3251" s="81" t="e">
        <f>HLOOKUP(R3251,データについて!$J$12:$M$18,7,FALSE)</f>
        <v>#N/A</v>
      </c>
      <c r="Z3251" s="81" t="e">
        <f>HLOOKUP(I3251,データについて!$J$3:$M$18,16,FALSE)</f>
        <v>#N/A</v>
      </c>
      <c r="AA3251" s="81" t="str">
        <f>IFERROR(HLOOKUP(J3251,データについて!$J$4:$AH$19,16,FALSE),"")</f>
        <v/>
      </c>
      <c r="AB3251" s="81" t="str">
        <f>IFERROR(HLOOKUP(K3251,データについて!$J$5:$AH$20,14,FALSE),"")</f>
        <v/>
      </c>
      <c r="AC3251" s="81" t="e">
        <f>IF(X3251=1,HLOOKUP(R3251,データについて!$J$12:$M$18,7,FALSE),"*")</f>
        <v>#N/A</v>
      </c>
      <c r="AD3251" s="81" t="e">
        <f>IF(X3251=2,HLOOKUP(R3251,データについて!$J$12:$M$18,7,FALSE),"*")</f>
        <v>#N/A</v>
      </c>
    </row>
    <row r="3252" spans="19:30">
      <c r="S3252" s="81" t="e">
        <f>HLOOKUP(L3252,データについて!$J$6:$M$18,13,FALSE)</f>
        <v>#N/A</v>
      </c>
      <c r="T3252" s="81" t="e">
        <f>HLOOKUP(M3252,データについて!$J$7:$M$18,12,FALSE)</f>
        <v>#N/A</v>
      </c>
      <c r="U3252" s="81" t="e">
        <f>HLOOKUP(N3252,データについて!$J$8:$M$18,11,FALSE)</f>
        <v>#N/A</v>
      </c>
      <c r="V3252" s="81" t="e">
        <f>HLOOKUP(O3252,データについて!$J$9:$M$18,10,FALSE)</f>
        <v>#N/A</v>
      </c>
      <c r="W3252" s="81" t="e">
        <f>HLOOKUP(P3252,データについて!$J$10:$M$18,9,FALSE)</f>
        <v>#N/A</v>
      </c>
      <c r="X3252" s="81" t="e">
        <f>HLOOKUP(Q3252,データについて!$J$11:$M$18,8,FALSE)</f>
        <v>#N/A</v>
      </c>
      <c r="Y3252" s="81" t="e">
        <f>HLOOKUP(R3252,データについて!$J$12:$M$18,7,FALSE)</f>
        <v>#N/A</v>
      </c>
      <c r="Z3252" s="81" t="e">
        <f>HLOOKUP(I3252,データについて!$J$3:$M$18,16,FALSE)</f>
        <v>#N/A</v>
      </c>
      <c r="AA3252" s="81" t="str">
        <f>IFERROR(HLOOKUP(J3252,データについて!$J$4:$AH$19,16,FALSE),"")</f>
        <v/>
      </c>
      <c r="AB3252" s="81" t="str">
        <f>IFERROR(HLOOKUP(K3252,データについて!$J$5:$AH$20,14,FALSE),"")</f>
        <v/>
      </c>
      <c r="AC3252" s="81" t="e">
        <f>IF(X3252=1,HLOOKUP(R3252,データについて!$J$12:$M$18,7,FALSE),"*")</f>
        <v>#N/A</v>
      </c>
      <c r="AD3252" s="81" t="e">
        <f>IF(X3252=2,HLOOKUP(R3252,データについて!$J$12:$M$18,7,FALSE),"*")</f>
        <v>#N/A</v>
      </c>
    </row>
    <row r="3253" spans="19:30">
      <c r="S3253" s="81" t="e">
        <f>HLOOKUP(L3253,データについて!$J$6:$M$18,13,FALSE)</f>
        <v>#N/A</v>
      </c>
      <c r="T3253" s="81" t="e">
        <f>HLOOKUP(M3253,データについて!$J$7:$M$18,12,FALSE)</f>
        <v>#N/A</v>
      </c>
      <c r="U3253" s="81" t="e">
        <f>HLOOKUP(N3253,データについて!$J$8:$M$18,11,FALSE)</f>
        <v>#N/A</v>
      </c>
      <c r="V3253" s="81" t="e">
        <f>HLOOKUP(O3253,データについて!$J$9:$M$18,10,FALSE)</f>
        <v>#N/A</v>
      </c>
      <c r="W3253" s="81" t="e">
        <f>HLOOKUP(P3253,データについて!$J$10:$M$18,9,FALSE)</f>
        <v>#N/A</v>
      </c>
      <c r="X3253" s="81" t="e">
        <f>HLOOKUP(Q3253,データについて!$J$11:$M$18,8,FALSE)</f>
        <v>#N/A</v>
      </c>
      <c r="Y3253" s="81" t="e">
        <f>HLOOKUP(R3253,データについて!$J$12:$M$18,7,FALSE)</f>
        <v>#N/A</v>
      </c>
      <c r="Z3253" s="81" t="e">
        <f>HLOOKUP(I3253,データについて!$J$3:$M$18,16,FALSE)</f>
        <v>#N/A</v>
      </c>
      <c r="AA3253" s="81" t="str">
        <f>IFERROR(HLOOKUP(J3253,データについて!$J$4:$AH$19,16,FALSE),"")</f>
        <v/>
      </c>
      <c r="AB3253" s="81" t="str">
        <f>IFERROR(HLOOKUP(K3253,データについて!$J$5:$AH$20,14,FALSE),"")</f>
        <v/>
      </c>
      <c r="AC3253" s="81" t="e">
        <f>IF(X3253=1,HLOOKUP(R3253,データについて!$J$12:$M$18,7,FALSE),"*")</f>
        <v>#N/A</v>
      </c>
      <c r="AD3253" s="81" t="e">
        <f>IF(X3253=2,HLOOKUP(R3253,データについて!$J$12:$M$18,7,FALSE),"*")</f>
        <v>#N/A</v>
      </c>
    </row>
    <row r="3254" spans="19:30">
      <c r="S3254" s="81" t="e">
        <f>HLOOKUP(L3254,データについて!$J$6:$M$18,13,FALSE)</f>
        <v>#N/A</v>
      </c>
      <c r="T3254" s="81" t="e">
        <f>HLOOKUP(M3254,データについて!$J$7:$M$18,12,FALSE)</f>
        <v>#N/A</v>
      </c>
      <c r="U3254" s="81" t="e">
        <f>HLOOKUP(N3254,データについて!$J$8:$M$18,11,FALSE)</f>
        <v>#N/A</v>
      </c>
      <c r="V3254" s="81" t="e">
        <f>HLOOKUP(O3254,データについて!$J$9:$M$18,10,FALSE)</f>
        <v>#N/A</v>
      </c>
      <c r="W3254" s="81" t="e">
        <f>HLOOKUP(P3254,データについて!$J$10:$M$18,9,FALSE)</f>
        <v>#N/A</v>
      </c>
      <c r="X3254" s="81" t="e">
        <f>HLOOKUP(Q3254,データについて!$J$11:$M$18,8,FALSE)</f>
        <v>#N/A</v>
      </c>
      <c r="Y3254" s="81" t="e">
        <f>HLOOKUP(R3254,データについて!$J$12:$M$18,7,FALSE)</f>
        <v>#N/A</v>
      </c>
      <c r="Z3254" s="81" t="e">
        <f>HLOOKUP(I3254,データについて!$J$3:$M$18,16,FALSE)</f>
        <v>#N/A</v>
      </c>
      <c r="AA3254" s="81" t="str">
        <f>IFERROR(HLOOKUP(J3254,データについて!$J$4:$AH$19,16,FALSE),"")</f>
        <v/>
      </c>
      <c r="AB3254" s="81" t="str">
        <f>IFERROR(HLOOKUP(K3254,データについて!$J$5:$AH$20,14,FALSE),"")</f>
        <v/>
      </c>
      <c r="AC3254" s="81" t="e">
        <f>IF(X3254=1,HLOOKUP(R3254,データについて!$J$12:$M$18,7,FALSE),"*")</f>
        <v>#N/A</v>
      </c>
      <c r="AD3254" s="81" t="e">
        <f>IF(X3254=2,HLOOKUP(R3254,データについて!$J$12:$M$18,7,FALSE),"*")</f>
        <v>#N/A</v>
      </c>
    </row>
    <row r="3255" spans="19:30">
      <c r="S3255" s="81" t="e">
        <f>HLOOKUP(L3255,データについて!$J$6:$M$18,13,FALSE)</f>
        <v>#N/A</v>
      </c>
      <c r="T3255" s="81" t="e">
        <f>HLOOKUP(M3255,データについて!$J$7:$M$18,12,FALSE)</f>
        <v>#N/A</v>
      </c>
      <c r="U3255" s="81" t="e">
        <f>HLOOKUP(N3255,データについて!$J$8:$M$18,11,FALSE)</f>
        <v>#N/A</v>
      </c>
      <c r="V3255" s="81" t="e">
        <f>HLOOKUP(O3255,データについて!$J$9:$M$18,10,FALSE)</f>
        <v>#N/A</v>
      </c>
      <c r="W3255" s="81" t="e">
        <f>HLOOKUP(P3255,データについて!$J$10:$M$18,9,FALSE)</f>
        <v>#N/A</v>
      </c>
      <c r="X3255" s="81" t="e">
        <f>HLOOKUP(Q3255,データについて!$J$11:$M$18,8,FALSE)</f>
        <v>#N/A</v>
      </c>
      <c r="Y3255" s="81" t="e">
        <f>HLOOKUP(R3255,データについて!$J$12:$M$18,7,FALSE)</f>
        <v>#N/A</v>
      </c>
      <c r="Z3255" s="81" t="e">
        <f>HLOOKUP(I3255,データについて!$J$3:$M$18,16,FALSE)</f>
        <v>#N/A</v>
      </c>
      <c r="AA3255" s="81" t="str">
        <f>IFERROR(HLOOKUP(J3255,データについて!$J$4:$AH$19,16,FALSE),"")</f>
        <v/>
      </c>
      <c r="AB3255" s="81" t="str">
        <f>IFERROR(HLOOKUP(K3255,データについて!$J$5:$AH$20,14,FALSE),"")</f>
        <v/>
      </c>
      <c r="AC3255" s="81" t="e">
        <f>IF(X3255=1,HLOOKUP(R3255,データについて!$J$12:$M$18,7,FALSE),"*")</f>
        <v>#N/A</v>
      </c>
      <c r="AD3255" s="81" t="e">
        <f>IF(X3255=2,HLOOKUP(R3255,データについて!$J$12:$M$18,7,FALSE),"*")</f>
        <v>#N/A</v>
      </c>
    </row>
    <row r="3256" spans="19:30">
      <c r="S3256" s="81" t="e">
        <f>HLOOKUP(L3256,データについて!$J$6:$M$18,13,FALSE)</f>
        <v>#N/A</v>
      </c>
      <c r="T3256" s="81" t="e">
        <f>HLOOKUP(M3256,データについて!$J$7:$M$18,12,FALSE)</f>
        <v>#N/A</v>
      </c>
      <c r="U3256" s="81" t="e">
        <f>HLOOKUP(N3256,データについて!$J$8:$M$18,11,FALSE)</f>
        <v>#N/A</v>
      </c>
      <c r="V3256" s="81" t="e">
        <f>HLOOKUP(O3256,データについて!$J$9:$M$18,10,FALSE)</f>
        <v>#N/A</v>
      </c>
      <c r="W3256" s="81" t="e">
        <f>HLOOKUP(P3256,データについて!$J$10:$M$18,9,FALSE)</f>
        <v>#N/A</v>
      </c>
      <c r="X3256" s="81" t="e">
        <f>HLOOKUP(Q3256,データについて!$J$11:$M$18,8,FALSE)</f>
        <v>#N/A</v>
      </c>
      <c r="Y3256" s="81" t="e">
        <f>HLOOKUP(R3256,データについて!$J$12:$M$18,7,FALSE)</f>
        <v>#N/A</v>
      </c>
      <c r="Z3256" s="81" t="e">
        <f>HLOOKUP(I3256,データについて!$J$3:$M$18,16,FALSE)</f>
        <v>#N/A</v>
      </c>
      <c r="AA3256" s="81" t="str">
        <f>IFERROR(HLOOKUP(J3256,データについて!$J$4:$AH$19,16,FALSE),"")</f>
        <v/>
      </c>
      <c r="AB3256" s="81" t="str">
        <f>IFERROR(HLOOKUP(K3256,データについて!$J$5:$AH$20,14,FALSE),"")</f>
        <v/>
      </c>
      <c r="AC3256" s="81" t="e">
        <f>IF(X3256=1,HLOOKUP(R3256,データについて!$J$12:$M$18,7,FALSE),"*")</f>
        <v>#N/A</v>
      </c>
      <c r="AD3256" s="81" t="e">
        <f>IF(X3256=2,HLOOKUP(R3256,データについて!$J$12:$M$18,7,FALSE),"*")</f>
        <v>#N/A</v>
      </c>
    </row>
    <row r="3257" spans="19:30">
      <c r="S3257" s="81" t="e">
        <f>HLOOKUP(L3257,データについて!$J$6:$M$18,13,FALSE)</f>
        <v>#N/A</v>
      </c>
      <c r="T3257" s="81" t="e">
        <f>HLOOKUP(M3257,データについて!$J$7:$M$18,12,FALSE)</f>
        <v>#N/A</v>
      </c>
      <c r="U3257" s="81" t="e">
        <f>HLOOKUP(N3257,データについて!$J$8:$M$18,11,FALSE)</f>
        <v>#N/A</v>
      </c>
      <c r="V3257" s="81" t="e">
        <f>HLOOKUP(O3257,データについて!$J$9:$M$18,10,FALSE)</f>
        <v>#N/A</v>
      </c>
      <c r="W3257" s="81" t="e">
        <f>HLOOKUP(P3257,データについて!$J$10:$M$18,9,FALSE)</f>
        <v>#N/A</v>
      </c>
      <c r="X3257" s="81" t="e">
        <f>HLOOKUP(Q3257,データについて!$J$11:$M$18,8,FALSE)</f>
        <v>#N/A</v>
      </c>
      <c r="Y3257" s="81" t="e">
        <f>HLOOKUP(R3257,データについて!$J$12:$M$18,7,FALSE)</f>
        <v>#N/A</v>
      </c>
      <c r="Z3257" s="81" t="e">
        <f>HLOOKUP(I3257,データについて!$J$3:$M$18,16,FALSE)</f>
        <v>#N/A</v>
      </c>
      <c r="AA3257" s="81" t="str">
        <f>IFERROR(HLOOKUP(J3257,データについて!$J$4:$AH$19,16,FALSE),"")</f>
        <v/>
      </c>
      <c r="AB3257" s="81" t="str">
        <f>IFERROR(HLOOKUP(K3257,データについて!$J$5:$AH$20,14,FALSE),"")</f>
        <v/>
      </c>
      <c r="AC3257" s="81" t="e">
        <f>IF(X3257=1,HLOOKUP(R3257,データについて!$J$12:$M$18,7,FALSE),"*")</f>
        <v>#N/A</v>
      </c>
      <c r="AD3257" s="81" t="e">
        <f>IF(X3257=2,HLOOKUP(R3257,データについて!$J$12:$M$18,7,FALSE),"*")</f>
        <v>#N/A</v>
      </c>
    </row>
    <row r="3258" spans="19:30">
      <c r="S3258" s="81" t="e">
        <f>HLOOKUP(L3258,データについて!$J$6:$M$18,13,FALSE)</f>
        <v>#N/A</v>
      </c>
      <c r="T3258" s="81" t="e">
        <f>HLOOKUP(M3258,データについて!$J$7:$M$18,12,FALSE)</f>
        <v>#N/A</v>
      </c>
      <c r="U3258" s="81" t="e">
        <f>HLOOKUP(N3258,データについて!$J$8:$M$18,11,FALSE)</f>
        <v>#N/A</v>
      </c>
      <c r="V3258" s="81" t="e">
        <f>HLOOKUP(O3258,データについて!$J$9:$M$18,10,FALSE)</f>
        <v>#N/A</v>
      </c>
      <c r="W3258" s="81" t="e">
        <f>HLOOKUP(P3258,データについて!$J$10:$M$18,9,FALSE)</f>
        <v>#N/A</v>
      </c>
      <c r="X3258" s="81" t="e">
        <f>HLOOKUP(Q3258,データについて!$J$11:$M$18,8,FALSE)</f>
        <v>#N/A</v>
      </c>
      <c r="Y3258" s="81" t="e">
        <f>HLOOKUP(R3258,データについて!$J$12:$M$18,7,FALSE)</f>
        <v>#N/A</v>
      </c>
      <c r="Z3258" s="81" t="e">
        <f>HLOOKUP(I3258,データについて!$J$3:$M$18,16,FALSE)</f>
        <v>#N/A</v>
      </c>
      <c r="AA3258" s="81" t="str">
        <f>IFERROR(HLOOKUP(J3258,データについて!$J$4:$AH$19,16,FALSE),"")</f>
        <v/>
      </c>
      <c r="AB3258" s="81" t="str">
        <f>IFERROR(HLOOKUP(K3258,データについて!$J$5:$AH$20,14,FALSE),"")</f>
        <v/>
      </c>
      <c r="AC3258" s="81" t="e">
        <f>IF(X3258=1,HLOOKUP(R3258,データについて!$J$12:$M$18,7,FALSE),"*")</f>
        <v>#N/A</v>
      </c>
      <c r="AD3258" s="81" t="e">
        <f>IF(X3258=2,HLOOKUP(R3258,データについて!$J$12:$M$18,7,FALSE),"*")</f>
        <v>#N/A</v>
      </c>
    </row>
    <row r="3259" spans="19:30">
      <c r="S3259" s="81" t="e">
        <f>HLOOKUP(L3259,データについて!$J$6:$M$18,13,FALSE)</f>
        <v>#N/A</v>
      </c>
      <c r="T3259" s="81" t="e">
        <f>HLOOKUP(M3259,データについて!$J$7:$M$18,12,FALSE)</f>
        <v>#N/A</v>
      </c>
      <c r="U3259" s="81" t="e">
        <f>HLOOKUP(N3259,データについて!$J$8:$M$18,11,FALSE)</f>
        <v>#N/A</v>
      </c>
      <c r="V3259" s="81" t="e">
        <f>HLOOKUP(O3259,データについて!$J$9:$M$18,10,FALSE)</f>
        <v>#N/A</v>
      </c>
      <c r="W3259" s="81" t="e">
        <f>HLOOKUP(P3259,データについて!$J$10:$M$18,9,FALSE)</f>
        <v>#N/A</v>
      </c>
      <c r="X3259" s="81" t="e">
        <f>HLOOKUP(Q3259,データについて!$J$11:$M$18,8,FALSE)</f>
        <v>#N/A</v>
      </c>
      <c r="Y3259" s="81" t="e">
        <f>HLOOKUP(R3259,データについて!$J$12:$M$18,7,FALSE)</f>
        <v>#N/A</v>
      </c>
      <c r="Z3259" s="81" t="e">
        <f>HLOOKUP(I3259,データについて!$J$3:$M$18,16,FALSE)</f>
        <v>#N/A</v>
      </c>
      <c r="AA3259" s="81" t="str">
        <f>IFERROR(HLOOKUP(J3259,データについて!$J$4:$AH$19,16,FALSE),"")</f>
        <v/>
      </c>
      <c r="AB3259" s="81" t="str">
        <f>IFERROR(HLOOKUP(K3259,データについて!$J$5:$AH$20,14,FALSE),"")</f>
        <v/>
      </c>
      <c r="AC3259" s="81" t="e">
        <f>IF(X3259=1,HLOOKUP(R3259,データについて!$J$12:$M$18,7,FALSE),"*")</f>
        <v>#N/A</v>
      </c>
      <c r="AD3259" s="81" t="e">
        <f>IF(X3259=2,HLOOKUP(R3259,データについて!$J$12:$M$18,7,FALSE),"*")</f>
        <v>#N/A</v>
      </c>
    </row>
    <row r="3260" spans="19:30">
      <c r="S3260" s="81" t="e">
        <f>HLOOKUP(L3260,データについて!$J$6:$M$18,13,FALSE)</f>
        <v>#N/A</v>
      </c>
      <c r="T3260" s="81" t="e">
        <f>HLOOKUP(M3260,データについて!$J$7:$M$18,12,FALSE)</f>
        <v>#N/A</v>
      </c>
      <c r="U3260" s="81" t="e">
        <f>HLOOKUP(N3260,データについて!$J$8:$M$18,11,FALSE)</f>
        <v>#N/A</v>
      </c>
      <c r="V3260" s="81" t="e">
        <f>HLOOKUP(O3260,データについて!$J$9:$M$18,10,FALSE)</f>
        <v>#N/A</v>
      </c>
      <c r="W3260" s="81" t="e">
        <f>HLOOKUP(P3260,データについて!$J$10:$M$18,9,FALSE)</f>
        <v>#N/A</v>
      </c>
      <c r="X3260" s="81" t="e">
        <f>HLOOKUP(Q3260,データについて!$J$11:$M$18,8,FALSE)</f>
        <v>#N/A</v>
      </c>
      <c r="Y3260" s="81" t="e">
        <f>HLOOKUP(R3260,データについて!$J$12:$M$18,7,FALSE)</f>
        <v>#N/A</v>
      </c>
      <c r="Z3260" s="81" t="e">
        <f>HLOOKUP(I3260,データについて!$J$3:$M$18,16,FALSE)</f>
        <v>#N/A</v>
      </c>
      <c r="AA3260" s="81" t="str">
        <f>IFERROR(HLOOKUP(J3260,データについて!$J$4:$AH$19,16,FALSE),"")</f>
        <v/>
      </c>
      <c r="AB3260" s="81" t="str">
        <f>IFERROR(HLOOKUP(K3260,データについて!$J$5:$AH$20,14,FALSE),"")</f>
        <v/>
      </c>
      <c r="AC3260" s="81" t="e">
        <f>IF(X3260=1,HLOOKUP(R3260,データについて!$J$12:$M$18,7,FALSE),"*")</f>
        <v>#N/A</v>
      </c>
      <c r="AD3260" s="81" t="e">
        <f>IF(X3260=2,HLOOKUP(R3260,データについて!$J$12:$M$18,7,FALSE),"*")</f>
        <v>#N/A</v>
      </c>
    </row>
    <row r="3261" spans="19:30">
      <c r="S3261" s="81" t="e">
        <f>HLOOKUP(L3261,データについて!$J$6:$M$18,13,FALSE)</f>
        <v>#N/A</v>
      </c>
      <c r="T3261" s="81" t="e">
        <f>HLOOKUP(M3261,データについて!$J$7:$M$18,12,FALSE)</f>
        <v>#N/A</v>
      </c>
      <c r="U3261" s="81" t="e">
        <f>HLOOKUP(N3261,データについて!$J$8:$M$18,11,FALSE)</f>
        <v>#N/A</v>
      </c>
      <c r="V3261" s="81" t="e">
        <f>HLOOKUP(O3261,データについて!$J$9:$M$18,10,FALSE)</f>
        <v>#N/A</v>
      </c>
      <c r="W3261" s="81" t="e">
        <f>HLOOKUP(P3261,データについて!$J$10:$M$18,9,FALSE)</f>
        <v>#N/A</v>
      </c>
      <c r="X3261" s="81" t="e">
        <f>HLOOKUP(Q3261,データについて!$J$11:$M$18,8,FALSE)</f>
        <v>#N/A</v>
      </c>
      <c r="Y3261" s="81" t="e">
        <f>HLOOKUP(R3261,データについて!$J$12:$M$18,7,FALSE)</f>
        <v>#N/A</v>
      </c>
      <c r="Z3261" s="81" t="e">
        <f>HLOOKUP(I3261,データについて!$J$3:$M$18,16,FALSE)</f>
        <v>#N/A</v>
      </c>
      <c r="AA3261" s="81" t="str">
        <f>IFERROR(HLOOKUP(J3261,データについて!$J$4:$AH$19,16,FALSE),"")</f>
        <v/>
      </c>
      <c r="AB3261" s="81" t="str">
        <f>IFERROR(HLOOKUP(K3261,データについて!$J$5:$AH$20,14,FALSE),"")</f>
        <v/>
      </c>
      <c r="AC3261" s="81" t="e">
        <f>IF(X3261=1,HLOOKUP(R3261,データについて!$J$12:$M$18,7,FALSE),"*")</f>
        <v>#N/A</v>
      </c>
      <c r="AD3261" s="81" t="e">
        <f>IF(X3261=2,HLOOKUP(R3261,データについて!$J$12:$M$18,7,FALSE),"*")</f>
        <v>#N/A</v>
      </c>
    </row>
    <row r="3262" spans="19:30">
      <c r="S3262" s="81" t="e">
        <f>HLOOKUP(L3262,データについて!$J$6:$M$18,13,FALSE)</f>
        <v>#N/A</v>
      </c>
      <c r="T3262" s="81" t="e">
        <f>HLOOKUP(M3262,データについて!$J$7:$M$18,12,FALSE)</f>
        <v>#N/A</v>
      </c>
      <c r="U3262" s="81" t="e">
        <f>HLOOKUP(N3262,データについて!$J$8:$M$18,11,FALSE)</f>
        <v>#N/A</v>
      </c>
      <c r="V3262" s="81" t="e">
        <f>HLOOKUP(O3262,データについて!$J$9:$M$18,10,FALSE)</f>
        <v>#N/A</v>
      </c>
      <c r="W3262" s="81" t="e">
        <f>HLOOKUP(P3262,データについて!$J$10:$M$18,9,FALSE)</f>
        <v>#N/A</v>
      </c>
      <c r="X3262" s="81" t="e">
        <f>HLOOKUP(Q3262,データについて!$J$11:$M$18,8,FALSE)</f>
        <v>#N/A</v>
      </c>
      <c r="Y3262" s="81" t="e">
        <f>HLOOKUP(R3262,データについて!$J$12:$M$18,7,FALSE)</f>
        <v>#N/A</v>
      </c>
      <c r="Z3262" s="81" t="e">
        <f>HLOOKUP(I3262,データについて!$J$3:$M$18,16,FALSE)</f>
        <v>#N/A</v>
      </c>
      <c r="AA3262" s="81" t="str">
        <f>IFERROR(HLOOKUP(J3262,データについて!$J$4:$AH$19,16,FALSE),"")</f>
        <v/>
      </c>
      <c r="AB3262" s="81" t="str">
        <f>IFERROR(HLOOKUP(K3262,データについて!$J$5:$AH$20,14,FALSE),"")</f>
        <v/>
      </c>
      <c r="AC3262" s="81" t="e">
        <f>IF(X3262=1,HLOOKUP(R3262,データについて!$J$12:$M$18,7,FALSE),"*")</f>
        <v>#N/A</v>
      </c>
      <c r="AD3262" s="81" t="e">
        <f>IF(X3262=2,HLOOKUP(R3262,データについて!$J$12:$M$18,7,FALSE),"*")</f>
        <v>#N/A</v>
      </c>
    </row>
    <row r="3263" spans="19:30">
      <c r="S3263" s="81" t="e">
        <f>HLOOKUP(L3263,データについて!$J$6:$M$18,13,FALSE)</f>
        <v>#N/A</v>
      </c>
      <c r="T3263" s="81" t="e">
        <f>HLOOKUP(M3263,データについて!$J$7:$M$18,12,FALSE)</f>
        <v>#N/A</v>
      </c>
      <c r="U3263" s="81" t="e">
        <f>HLOOKUP(N3263,データについて!$J$8:$M$18,11,FALSE)</f>
        <v>#N/A</v>
      </c>
      <c r="V3263" s="81" t="e">
        <f>HLOOKUP(O3263,データについて!$J$9:$M$18,10,FALSE)</f>
        <v>#N/A</v>
      </c>
      <c r="W3263" s="81" t="e">
        <f>HLOOKUP(P3263,データについて!$J$10:$M$18,9,FALSE)</f>
        <v>#N/A</v>
      </c>
      <c r="X3263" s="81" t="e">
        <f>HLOOKUP(Q3263,データについて!$J$11:$M$18,8,FALSE)</f>
        <v>#N/A</v>
      </c>
      <c r="Y3263" s="81" t="e">
        <f>HLOOKUP(R3263,データについて!$J$12:$M$18,7,FALSE)</f>
        <v>#N/A</v>
      </c>
      <c r="Z3263" s="81" t="e">
        <f>HLOOKUP(I3263,データについて!$J$3:$M$18,16,FALSE)</f>
        <v>#N/A</v>
      </c>
      <c r="AA3263" s="81" t="str">
        <f>IFERROR(HLOOKUP(J3263,データについて!$J$4:$AH$19,16,FALSE),"")</f>
        <v/>
      </c>
      <c r="AB3263" s="81" t="str">
        <f>IFERROR(HLOOKUP(K3263,データについて!$J$5:$AH$20,14,FALSE),"")</f>
        <v/>
      </c>
      <c r="AC3263" s="81" t="e">
        <f>IF(X3263=1,HLOOKUP(R3263,データについて!$J$12:$M$18,7,FALSE),"*")</f>
        <v>#N/A</v>
      </c>
      <c r="AD3263" s="81" t="e">
        <f>IF(X3263=2,HLOOKUP(R3263,データについて!$J$12:$M$18,7,FALSE),"*")</f>
        <v>#N/A</v>
      </c>
    </row>
    <row r="3264" spans="19:30">
      <c r="S3264" s="81" t="e">
        <f>HLOOKUP(L3264,データについて!$J$6:$M$18,13,FALSE)</f>
        <v>#N/A</v>
      </c>
      <c r="T3264" s="81" t="e">
        <f>HLOOKUP(M3264,データについて!$J$7:$M$18,12,FALSE)</f>
        <v>#N/A</v>
      </c>
      <c r="U3264" s="81" t="e">
        <f>HLOOKUP(N3264,データについて!$J$8:$M$18,11,FALSE)</f>
        <v>#N/A</v>
      </c>
      <c r="V3264" s="81" t="e">
        <f>HLOOKUP(O3264,データについて!$J$9:$M$18,10,FALSE)</f>
        <v>#N/A</v>
      </c>
      <c r="W3264" s="81" t="e">
        <f>HLOOKUP(P3264,データについて!$J$10:$M$18,9,FALSE)</f>
        <v>#N/A</v>
      </c>
      <c r="X3264" s="81" t="e">
        <f>HLOOKUP(Q3264,データについて!$J$11:$M$18,8,FALSE)</f>
        <v>#N/A</v>
      </c>
      <c r="Y3264" s="81" t="e">
        <f>HLOOKUP(R3264,データについて!$J$12:$M$18,7,FALSE)</f>
        <v>#N/A</v>
      </c>
      <c r="Z3264" s="81" t="e">
        <f>HLOOKUP(I3264,データについて!$J$3:$M$18,16,FALSE)</f>
        <v>#N/A</v>
      </c>
      <c r="AA3264" s="81" t="str">
        <f>IFERROR(HLOOKUP(J3264,データについて!$J$4:$AH$19,16,FALSE),"")</f>
        <v/>
      </c>
      <c r="AB3264" s="81" t="str">
        <f>IFERROR(HLOOKUP(K3264,データについて!$J$5:$AH$20,14,FALSE),"")</f>
        <v/>
      </c>
      <c r="AC3264" s="81" t="e">
        <f>IF(X3264=1,HLOOKUP(R3264,データについて!$J$12:$M$18,7,FALSE),"*")</f>
        <v>#N/A</v>
      </c>
      <c r="AD3264" s="81" t="e">
        <f>IF(X3264=2,HLOOKUP(R3264,データについて!$J$12:$M$18,7,FALSE),"*")</f>
        <v>#N/A</v>
      </c>
    </row>
    <row r="3265" spans="19:30">
      <c r="S3265" s="81" t="e">
        <f>HLOOKUP(L3265,データについて!$J$6:$M$18,13,FALSE)</f>
        <v>#N/A</v>
      </c>
      <c r="T3265" s="81" t="e">
        <f>HLOOKUP(M3265,データについて!$J$7:$M$18,12,FALSE)</f>
        <v>#N/A</v>
      </c>
      <c r="U3265" s="81" t="e">
        <f>HLOOKUP(N3265,データについて!$J$8:$M$18,11,FALSE)</f>
        <v>#N/A</v>
      </c>
      <c r="V3265" s="81" t="e">
        <f>HLOOKUP(O3265,データについて!$J$9:$M$18,10,FALSE)</f>
        <v>#N/A</v>
      </c>
      <c r="W3265" s="81" t="e">
        <f>HLOOKUP(P3265,データについて!$J$10:$M$18,9,FALSE)</f>
        <v>#N/A</v>
      </c>
      <c r="X3265" s="81" t="e">
        <f>HLOOKUP(Q3265,データについて!$J$11:$M$18,8,FALSE)</f>
        <v>#N/A</v>
      </c>
      <c r="Y3265" s="81" t="e">
        <f>HLOOKUP(R3265,データについて!$J$12:$M$18,7,FALSE)</f>
        <v>#N/A</v>
      </c>
      <c r="Z3265" s="81" t="e">
        <f>HLOOKUP(I3265,データについて!$J$3:$M$18,16,FALSE)</f>
        <v>#N/A</v>
      </c>
      <c r="AA3265" s="81" t="str">
        <f>IFERROR(HLOOKUP(J3265,データについて!$J$4:$AH$19,16,FALSE),"")</f>
        <v/>
      </c>
      <c r="AB3265" s="81" t="str">
        <f>IFERROR(HLOOKUP(K3265,データについて!$J$5:$AH$20,14,FALSE),"")</f>
        <v/>
      </c>
      <c r="AC3265" s="81" t="e">
        <f>IF(X3265=1,HLOOKUP(R3265,データについて!$J$12:$M$18,7,FALSE),"*")</f>
        <v>#N/A</v>
      </c>
      <c r="AD3265" s="81" t="e">
        <f>IF(X3265=2,HLOOKUP(R3265,データについて!$J$12:$M$18,7,FALSE),"*")</f>
        <v>#N/A</v>
      </c>
    </row>
    <row r="3266" spans="19:30">
      <c r="S3266" s="81" t="e">
        <f>HLOOKUP(L3266,データについて!$J$6:$M$18,13,FALSE)</f>
        <v>#N/A</v>
      </c>
      <c r="T3266" s="81" t="e">
        <f>HLOOKUP(M3266,データについて!$J$7:$M$18,12,FALSE)</f>
        <v>#N/A</v>
      </c>
      <c r="U3266" s="81" t="e">
        <f>HLOOKUP(N3266,データについて!$J$8:$M$18,11,FALSE)</f>
        <v>#N/A</v>
      </c>
      <c r="V3266" s="81" t="e">
        <f>HLOOKUP(O3266,データについて!$J$9:$M$18,10,FALSE)</f>
        <v>#N/A</v>
      </c>
      <c r="W3266" s="81" t="e">
        <f>HLOOKUP(P3266,データについて!$J$10:$M$18,9,FALSE)</f>
        <v>#N/A</v>
      </c>
      <c r="X3266" s="81" t="e">
        <f>HLOOKUP(Q3266,データについて!$J$11:$M$18,8,FALSE)</f>
        <v>#N/A</v>
      </c>
      <c r="Y3266" s="81" t="e">
        <f>HLOOKUP(R3266,データについて!$J$12:$M$18,7,FALSE)</f>
        <v>#N/A</v>
      </c>
      <c r="Z3266" s="81" t="e">
        <f>HLOOKUP(I3266,データについて!$J$3:$M$18,16,FALSE)</f>
        <v>#N/A</v>
      </c>
      <c r="AA3266" s="81" t="str">
        <f>IFERROR(HLOOKUP(J3266,データについて!$J$4:$AH$19,16,FALSE),"")</f>
        <v/>
      </c>
      <c r="AB3266" s="81" t="str">
        <f>IFERROR(HLOOKUP(K3266,データについて!$J$5:$AH$20,14,FALSE),"")</f>
        <v/>
      </c>
      <c r="AC3266" s="81" t="e">
        <f>IF(X3266=1,HLOOKUP(R3266,データについて!$J$12:$M$18,7,FALSE),"*")</f>
        <v>#N/A</v>
      </c>
      <c r="AD3266" s="81" t="e">
        <f>IF(X3266=2,HLOOKUP(R3266,データについて!$J$12:$M$18,7,FALSE),"*")</f>
        <v>#N/A</v>
      </c>
    </row>
    <row r="3267" spans="19:30">
      <c r="S3267" s="81" t="e">
        <f>HLOOKUP(L3267,データについて!$J$6:$M$18,13,FALSE)</f>
        <v>#N/A</v>
      </c>
      <c r="T3267" s="81" t="e">
        <f>HLOOKUP(M3267,データについて!$J$7:$M$18,12,FALSE)</f>
        <v>#N/A</v>
      </c>
      <c r="U3267" s="81" t="e">
        <f>HLOOKUP(N3267,データについて!$J$8:$M$18,11,FALSE)</f>
        <v>#N/A</v>
      </c>
      <c r="V3267" s="81" t="e">
        <f>HLOOKUP(O3267,データについて!$J$9:$M$18,10,FALSE)</f>
        <v>#N/A</v>
      </c>
      <c r="W3267" s="81" t="e">
        <f>HLOOKUP(P3267,データについて!$J$10:$M$18,9,FALSE)</f>
        <v>#N/A</v>
      </c>
      <c r="X3267" s="81" t="e">
        <f>HLOOKUP(Q3267,データについて!$J$11:$M$18,8,FALSE)</f>
        <v>#N/A</v>
      </c>
      <c r="Y3267" s="81" t="e">
        <f>HLOOKUP(R3267,データについて!$J$12:$M$18,7,FALSE)</f>
        <v>#N/A</v>
      </c>
      <c r="Z3267" s="81" t="e">
        <f>HLOOKUP(I3267,データについて!$J$3:$M$18,16,FALSE)</f>
        <v>#N/A</v>
      </c>
      <c r="AA3267" s="81" t="str">
        <f>IFERROR(HLOOKUP(J3267,データについて!$J$4:$AH$19,16,FALSE),"")</f>
        <v/>
      </c>
      <c r="AB3267" s="81" t="str">
        <f>IFERROR(HLOOKUP(K3267,データについて!$J$5:$AH$20,14,FALSE),"")</f>
        <v/>
      </c>
      <c r="AC3267" s="81" t="e">
        <f>IF(X3267=1,HLOOKUP(R3267,データについて!$J$12:$M$18,7,FALSE),"*")</f>
        <v>#N/A</v>
      </c>
      <c r="AD3267" s="81" t="e">
        <f>IF(X3267=2,HLOOKUP(R3267,データについて!$J$12:$M$18,7,FALSE),"*")</f>
        <v>#N/A</v>
      </c>
    </row>
    <row r="3268" spans="19:30">
      <c r="S3268" s="81" t="e">
        <f>HLOOKUP(L3268,データについて!$J$6:$M$18,13,FALSE)</f>
        <v>#N/A</v>
      </c>
      <c r="T3268" s="81" t="e">
        <f>HLOOKUP(M3268,データについて!$J$7:$M$18,12,FALSE)</f>
        <v>#N/A</v>
      </c>
      <c r="U3268" s="81" t="e">
        <f>HLOOKUP(N3268,データについて!$J$8:$M$18,11,FALSE)</f>
        <v>#N/A</v>
      </c>
      <c r="V3268" s="81" t="e">
        <f>HLOOKUP(O3268,データについて!$J$9:$M$18,10,FALSE)</f>
        <v>#N/A</v>
      </c>
      <c r="W3268" s="81" t="e">
        <f>HLOOKUP(P3268,データについて!$J$10:$M$18,9,FALSE)</f>
        <v>#N/A</v>
      </c>
      <c r="X3268" s="81" t="e">
        <f>HLOOKUP(Q3268,データについて!$J$11:$M$18,8,FALSE)</f>
        <v>#N/A</v>
      </c>
      <c r="Y3268" s="81" t="e">
        <f>HLOOKUP(R3268,データについて!$J$12:$M$18,7,FALSE)</f>
        <v>#N/A</v>
      </c>
      <c r="Z3268" s="81" t="e">
        <f>HLOOKUP(I3268,データについて!$J$3:$M$18,16,FALSE)</f>
        <v>#N/A</v>
      </c>
      <c r="AA3268" s="81" t="str">
        <f>IFERROR(HLOOKUP(J3268,データについて!$J$4:$AH$19,16,FALSE),"")</f>
        <v/>
      </c>
      <c r="AB3268" s="81" t="str">
        <f>IFERROR(HLOOKUP(K3268,データについて!$J$5:$AH$20,14,FALSE),"")</f>
        <v/>
      </c>
      <c r="AC3268" s="81" t="e">
        <f>IF(X3268=1,HLOOKUP(R3268,データについて!$J$12:$M$18,7,FALSE),"*")</f>
        <v>#N/A</v>
      </c>
      <c r="AD3268" s="81" t="e">
        <f>IF(X3268=2,HLOOKUP(R3268,データについて!$J$12:$M$18,7,FALSE),"*")</f>
        <v>#N/A</v>
      </c>
    </row>
    <row r="3269" spans="19:30">
      <c r="S3269" s="81" t="e">
        <f>HLOOKUP(L3269,データについて!$J$6:$M$18,13,FALSE)</f>
        <v>#N/A</v>
      </c>
      <c r="T3269" s="81" t="e">
        <f>HLOOKUP(M3269,データについて!$J$7:$M$18,12,FALSE)</f>
        <v>#N/A</v>
      </c>
      <c r="U3269" s="81" t="e">
        <f>HLOOKUP(N3269,データについて!$J$8:$M$18,11,FALSE)</f>
        <v>#N/A</v>
      </c>
      <c r="V3269" s="81" t="e">
        <f>HLOOKUP(O3269,データについて!$J$9:$M$18,10,FALSE)</f>
        <v>#N/A</v>
      </c>
      <c r="W3269" s="81" t="e">
        <f>HLOOKUP(P3269,データについて!$J$10:$M$18,9,FALSE)</f>
        <v>#N/A</v>
      </c>
      <c r="X3269" s="81" t="e">
        <f>HLOOKUP(Q3269,データについて!$J$11:$M$18,8,FALSE)</f>
        <v>#N/A</v>
      </c>
      <c r="Y3269" s="81" t="e">
        <f>HLOOKUP(R3269,データについて!$J$12:$M$18,7,FALSE)</f>
        <v>#N/A</v>
      </c>
      <c r="Z3269" s="81" t="e">
        <f>HLOOKUP(I3269,データについて!$J$3:$M$18,16,FALSE)</f>
        <v>#N/A</v>
      </c>
      <c r="AA3269" s="81" t="str">
        <f>IFERROR(HLOOKUP(J3269,データについて!$J$4:$AH$19,16,FALSE),"")</f>
        <v/>
      </c>
      <c r="AB3269" s="81" t="str">
        <f>IFERROR(HLOOKUP(K3269,データについて!$J$5:$AH$20,14,FALSE),"")</f>
        <v/>
      </c>
      <c r="AC3269" s="81" t="e">
        <f>IF(X3269=1,HLOOKUP(R3269,データについて!$J$12:$M$18,7,FALSE),"*")</f>
        <v>#N/A</v>
      </c>
      <c r="AD3269" s="81" t="e">
        <f>IF(X3269=2,HLOOKUP(R3269,データについて!$J$12:$M$18,7,FALSE),"*")</f>
        <v>#N/A</v>
      </c>
    </row>
    <row r="3270" spans="19:30">
      <c r="S3270" s="81" t="e">
        <f>HLOOKUP(L3270,データについて!$J$6:$M$18,13,FALSE)</f>
        <v>#N/A</v>
      </c>
      <c r="T3270" s="81" t="e">
        <f>HLOOKUP(M3270,データについて!$J$7:$M$18,12,FALSE)</f>
        <v>#N/A</v>
      </c>
      <c r="U3270" s="81" t="e">
        <f>HLOOKUP(N3270,データについて!$J$8:$M$18,11,FALSE)</f>
        <v>#N/A</v>
      </c>
      <c r="V3270" s="81" t="e">
        <f>HLOOKUP(O3270,データについて!$J$9:$M$18,10,FALSE)</f>
        <v>#N/A</v>
      </c>
      <c r="W3270" s="81" t="e">
        <f>HLOOKUP(P3270,データについて!$J$10:$M$18,9,FALSE)</f>
        <v>#N/A</v>
      </c>
      <c r="X3270" s="81" t="e">
        <f>HLOOKUP(Q3270,データについて!$J$11:$M$18,8,FALSE)</f>
        <v>#N/A</v>
      </c>
      <c r="Y3270" s="81" t="e">
        <f>HLOOKUP(R3270,データについて!$J$12:$M$18,7,FALSE)</f>
        <v>#N/A</v>
      </c>
      <c r="Z3270" s="81" t="e">
        <f>HLOOKUP(I3270,データについて!$J$3:$M$18,16,FALSE)</f>
        <v>#N/A</v>
      </c>
      <c r="AA3270" s="81" t="str">
        <f>IFERROR(HLOOKUP(J3270,データについて!$J$4:$AH$19,16,FALSE),"")</f>
        <v/>
      </c>
      <c r="AB3270" s="81" t="str">
        <f>IFERROR(HLOOKUP(K3270,データについて!$J$5:$AH$20,14,FALSE),"")</f>
        <v/>
      </c>
      <c r="AC3270" s="81" t="e">
        <f>IF(X3270=1,HLOOKUP(R3270,データについて!$J$12:$M$18,7,FALSE),"*")</f>
        <v>#N/A</v>
      </c>
      <c r="AD3270" s="81" t="e">
        <f>IF(X3270=2,HLOOKUP(R3270,データについて!$J$12:$M$18,7,FALSE),"*")</f>
        <v>#N/A</v>
      </c>
    </row>
    <row r="3271" spans="19:30">
      <c r="S3271" s="81" t="e">
        <f>HLOOKUP(L3271,データについて!$J$6:$M$18,13,FALSE)</f>
        <v>#N/A</v>
      </c>
      <c r="T3271" s="81" t="e">
        <f>HLOOKUP(M3271,データについて!$J$7:$M$18,12,FALSE)</f>
        <v>#N/A</v>
      </c>
      <c r="U3271" s="81" t="e">
        <f>HLOOKUP(N3271,データについて!$J$8:$M$18,11,FALSE)</f>
        <v>#N/A</v>
      </c>
      <c r="V3271" s="81" t="e">
        <f>HLOOKUP(O3271,データについて!$J$9:$M$18,10,FALSE)</f>
        <v>#N/A</v>
      </c>
      <c r="W3271" s="81" t="e">
        <f>HLOOKUP(P3271,データについて!$J$10:$M$18,9,FALSE)</f>
        <v>#N/A</v>
      </c>
      <c r="X3271" s="81" t="e">
        <f>HLOOKUP(Q3271,データについて!$J$11:$M$18,8,FALSE)</f>
        <v>#N/A</v>
      </c>
      <c r="Y3271" s="81" t="e">
        <f>HLOOKUP(R3271,データについて!$J$12:$M$18,7,FALSE)</f>
        <v>#N/A</v>
      </c>
      <c r="Z3271" s="81" t="e">
        <f>HLOOKUP(I3271,データについて!$J$3:$M$18,16,FALSE)</f>
        <v>#N/A</v>
      </c>
      <c r="AA3271" s="81" t="str">
        <f>IFERROR(HLOOKUP(J3271,データについて!$J$4:$AH$19,16,FALSE),"")</f>
        <v/>
      </c>
      <c r="AB3271" s="81" t="str">
        <f>IFERROR(HLOOKUP(K3271,データについて!$J$5:$AH$20,14,FALSE),"")</f>
        <v/>
      </c>
      <c r="AC3271" s="81" t="e">
        <f>IF(X3271=1,HLOOKUP(R3271,データについて!$J$12:$M$18,7,FALSE),"*")</f>
        <v>#N/A</v>
      </c>
      <c r="AD3271" s="81" t="e">
        <f>IF(X3271=2,HLOOKUP(R3271,データについて!$J$12:$M$18,7,FALSE),"*")</f>
        <v>#N/A</v>
      </c>
    </row>
    <row r="3272" spans="19:30">
      <c r="S3272" s="81" t="e">
        <f>HLOOKUP(L3272,データについて!$J$6:$M$18,13,FALSE)</f>
        <v>#N/A</v>
      </c>
      <c r="T3272" s="81" t="e">
        <f>HLOOKUP(M3272,データについて!$J$7:$M$18,12,FALSE)</f>
        <v>#N/A</v>
      </c>
      <c r="U3272" s="81" t="e">
        <f>HLOOKUP(N3272,データについて!$J$8:$M$18,11,FALSE)</f>
        <v>#N/A</v>
      </c>
      <c r="V3272" s="81" t="e">
        <f>HLOOKUP(O3272,データについて!$J$9:$M$18,10,FALSE)</f>
        <v>#N/A</v>
      </c>
      <c r="W3272" s="81" t="e">
        <f>HLOOKUP(P3272,データについて!$J$10:$M$18,9,FALSE)</f>
        <v>#N/A</v>
      </c>
      <c r="X3272" s="81" t="e">
        <f>HLOOKUP(Q3272,データについて!$J$11:$M$18,8,FALSE)</f>
        <v>#N/A</v>
      </c>
      <c r="Y3272" s="81" t="e">
        <f>HLOOKUP(R3272,データについて!$J$12:$M$18,7,FALSE)</f>
        <v>#N/A</v>
      </c>
      <c r="Z3272" s="81" t="e">
        <f>HLOOKUP(I3272,データについて!$J$3:$M$18,16,FALSE)</f>
        <v>#N/A</v>
      </c>
      <c r="AA3272" s="81" t="str">
        <f>IFERROR(HLOOKUP(J3272,データについて!$J$4:$AH$19,16,FALSE),"")</f>
        <v/>
      </c>
      <c r="AB3272" s="81" t="str">
        <f>IFERROR(HLOOKUP(K3272,データについて!$J$5:$AH$20,14,FALSE),"")</f>
        <v/>
      </c>
      <c r="AC3272" s="81" t="e">
        <f>IF(X3272=1,HLOOKUP(R3272,データについて!$J$12:$M$18,7,FALSE),"*")</f>
        <v>#N/A</v>
      </c>
      <c r="AD3272" s="81" t="e">
        <f>IF(X3272=2,HLOOKUP(R3272,データについて!$J$12:$M$18,7,FALSE),"*")</f>
        <v>#N/A</v>
      </c>
    </row>
    <row r="3273" spans="19:30">
      <c r="S3273" s="81" t="e">
        <f>HLOOKUP(L3273,データについて!$J$6:$M$18,13,FALSE)</f>
        <v>#N/A</v>
      </c>
      <c r="T3273" s="81" t="e">
        <f>HLOOKUP(M3273,データについて!$J$7:$M$18,12,FALSE)</f>
        <v>#N/A</v>
      </c>
      <c r="U3273" s="81" t="e">
        <f>HLOOKUP(N3273,データについて!$J$8:$M$18,11,FALSE)</f>
        <v>#N/A</v>
      </c>
      <c r="V3273" s="81" t="e">
        <f>HLOOKUP(O3273,データについて!$J$9:$M$18,10,FALSE)</f>
        <v>#N/A</v>
      </c>
      <c r="W3273" s="81" t="e">
        <f>HLOOKUP(P3273,データについて!$J$10:$M$18,9,FALSE)</f>
        <v>#N/A</v>
      </c>
      <c r="X3273" s="81" t="e">
        <f>HLOOKUP(Q3273,データについて!$J$11:$M$18,8,FALSE)</f>
        <v>#N/A</v>
      </c>
      <c r="Y3273" s="81" t="e">
        <f>HLOOKUP(R3273,データについて!$J$12:$M$18,7,FALSE)</f>
        <v>#N/A</v>
      </c>
      <c r="Z3273" s="81" t="e">
        <f>HLOOKUP(I3273,データについて!$J$3:$M$18,16,FALSE)</f>
        <v>#N/A</v>
      </c>
      <c r="AA3273" s="81" t="str">
        <f>IFERROR(HLOOKUP(J3273,データについて!$J$4:$AH$19,16,FALSE),"")</f>
        <v/>
      </c>
      <c r="AB3273" s="81" t="str">
        <f>IFERROR(HLOOKUP(K3273,データについて!$J$5:$AH$20,14,FALSE),"")</f>
        <v/>
      </c>
      <c r="AC3273" s="81" t="e">
        <f>IF(X3273=1,HLOOKUP(R3273,データについて!$J$12:$M$18,7,FALSE),"*")</f>
        <v>#N/A</v>
      </c>
      <c r="AD3273" s="81" t="e">
        <f>IF(X3273=2,HLOOKUP(R3273,データについて!$J$12:$M$18,7,FALSE),"*")</f>
        <v>#N/A</v>
      </c>
    </row>
    <row r="3274" spans="19:30">
      <c r="S3274" s="81" t="e">
        <f>HLOOKUP(L3274,データについて!$J$6:$M$18,13,FALSE)</f>
        <v>#N/A</v>
      </c>
      <c r="T3274" s="81" t="e">
        <f>HLOOKUP(M3274,データについて!$J$7:$M$18,12,FALSE)</f>
        <v>#N/A</v>
      </c>
      <c r="U3274" s="81" t="e">
        <f>HLOOKUP(N3274,データについて!$J$8:$M$18,11,FALSE)</f>
        <v>#N/A</v>
      </c>
      <c r="V3274" s="81" t="e">
        <f>HLOOKUP(O3274,データについて!$J$9:$M$18,10,FALSE)</f>
        <v>#N/A</v>
      </c>
      <c r="W3274" s="81" t="e">
        <f>HLOOKUP(P3274,データについて!$J$10:$M$18,9,FALSE)</f>
        <v>#N/A</v>
      </c>
      <c r="X3274" s="81" t="e">
        <f>HLOOKUP(Q3274,データについて!$J$11:$M$18,8,FALSE)</f>
        <v>#N/A</v>
      </c>
      <c r="Y3274" s="81" t="e">
        <f>HLOOKUP(R3274,データについて!$J$12:$M$18,7,FALSE)</f>
        <v>#N/A</v>
      </c>
      <c r="Z3274" s="81" t="e">
        <f>HLOOKUP(I3274,データについて!$J$3:$M$18,16,FALSE)</f>
        <v>#N/A</v>
      </c>
      <c r="AA3274" s="81" t="str">
        <f>IFERROR(HLOOKUP(J3274,データについて!$J$4:$AH$19,16,FALSE),"")</f>
        <v/>
      </c>
      <c r="AB3274" s="81" t="str">
        <f>IFERROR(HLOOKUP(K3274,データについて!$J$5:$AH$20,14,FALSE),"")</f>
        <v/>
      </c>
      <c r="AC3274" s="81" t="e">
        <f>IF(X3274=1,HLOOKUP(R3274,データについて!$J$12:$M$18,7,FALSE),"*")</f>
        <v>#N/A</v>
      </c>
      <c r="AD3274" s="81" t="e">
        <f>IF(X3274=2,HLOOKUP(R3274,データについて!$J$12:$M$18,7,FALSE),"*")</f>
        <v>#N/A</v>
      </c>
    </row>
    <row r="3275" spans="19:30">
      <c r="S3275" s="81" t="e">
        <f>HLOOKUP(L3275,データについて!$J$6:$M$18,13,FALSE)</f>
        <v>#N/A</v>
      </c>
      <c r="T3275" s="81" t="e">
        <f>HLOOKUP(M3275,データについて!$J$7:$M$18,12,FALSE)</f>
        <v>#N/A</v>
      </c>
      <c r="U3275" s="81" t="e">
        <f>HLOOKUP(N3275,データについて!$J$8:$M$18,11,FALSE)</f>
        <v>#N/A</v>
      </c>
      <c r="V3275" s="81" t="e">
        <f>HLOOKUP(O3275,データについて!$J$9:$M$18,10,FALSE)</f>
        <v>#N/A</v>
      </c>
      <c r="W3275" s="81" t="e">
        <f>HLOOKUP(P3275,データについて!$J$10:$M$18,9,FALSE)</f>
        <v>#N/A</v>
      </c>
      <c r="X3275" s="81" t="e">
        <f>HLOOKUP(Q3275,データについて!$J$11:$M$18,8,FALSE)</f>
        <v>#N/A</v>
      </c>
      <c r="Y3275" s="81" t="e">
        <f>HLOOKUP(R3275,データについて!$J$12:$M$18,7,FALSE)</f>
        <v>#N/A</v>
      </c>
      <c r="Z3275" s="81" t="e">
        <f>HLOOKUP(I3275,データについて!$J$3:$M$18,16,FALSE)</f>
        <v>#N/A</v>
      </c>
      <c r="AA3275" s="81" t="str">
        <f>IFERROR(HLOOKUP(J3275,データについて!$J$4:$AH$19,16,FALSE),"")</f>
        <v/>
      </c>
      <c r="AB3275" s="81" t="str">
        <f>IFERROR(HLOOKUP(K3275,データについて!$J$5:$AH$20,14,FALSE),"")</f>
        <v/>
      </c>
      <c r="AC3275" s="81" t="e">
        <f>IF(X3275=1,HLOOKUP(R3275,データについて!$J$12:$M$18,7,FALSE),"*")</f>
        <v>#N/A</v>
      </c>
      <c r="AD3275" s="81" t="e">
        <f>IF(X3275=2,HLOOKUP(R3275,データについて!$J$12:$M$18,7,FALSE),"*")</f>
        <v>#N/A</v>
      </c>
    </row>
    <row r="3276" spans="19:30">
      <c r="S3276" s="81" t="e">
        <f>HLOOKUP(L3276,データについて!$J$6:$M$18,13,FALSE)</f>
        <v>#N/A</v>
      </c>
      <c r="T3276" s="81" t="e">
        <f>HLOOKUP(M3276,データについて!$J$7:$M$18,12,FALSE)</f>
        <v>#N/A</v>
      </c>
      <c r="U3276" s="81" t="e">
        <f>HLOOKUP(N3276,データについて!$J$8:$M$18,11,FALSE)</f>
        <v>#N/A</v>
      </c>
      <c r="V3276" s="81" t="e">
        <f>HLOOKUP(O3276,データについて!$J$9:$M$18,10,FALSE)</f>
        <v>#N/A</v>
      </c>
      <c r="W3276" s="81" t="e">
        <f>HLOOKUP(P3276,データについて!$J$10:$M$18,9,FALSE)</f>
        <v>#N/A</v>
      </c>
      <c r="X3276" s="81" t="e">
        <f>HLOOKUP(Q3276,データについて!$J$11:$M$18,8,FALSE)</f>
        <v>#N/A</v>
      </c>
      <c r="Y3276" s="81" t="e">
        <f>HLOOKUP(R3276,データについて!$J$12:$M$18,7,FALSE)</f>
        <v>#N/A</v>
      </c>
      <c r="Z3276" s="81" t="e">
        <f>HLOOKUP(I3276,データについて!$J$3:$M$18,16,FALSE)</f>
        <v>#N/A</v>
      </c>
      <c r="AA3276" s="81" t="str">
        <f>IFERROR(HLOOKUP(J3276,データについて!$J$4:$AH$19,16,FALSE),"")</f>
        <v/>
      </c>
      <c r="AB3276" s="81" t="str">
        <f>IFERROR(HLOOKUP(K3276,データについて!$J$5:$AH$20,14,FALSE),"")</f>
        <v/>
      </c>
      <c r="AC3276" s="81" t="e">
        <f>IF(X3276=1,HLOOKUP(R3276,データについて!$J$12:$M$18,7,FALSE),"*")</f>
        <v>#N/A</v>
      </c>
      <c r="AD3276" s="81" t="e">
        <f>IF(X3276=2,HLOOKUP(R3276,データについて!$J$12:$M$18,7,FALSE),"*")</f>
        <v>#N/A</v>
      </c>
    </row>
    <row r="3277" spans="19:30">
      <c r="S3277" s="81" t="e">
        <f>HLOOKUP(L3277,データについて!$J$6:$M$18,13,FALSE)</f>
        <v>#N/A</v>
      </c>
      <c r="T3277" s="81" t="e">
        <f>HLOOKUP(M3277,データについて!$J$7:$M$18,12,FALSE)</f>
        <v>#N/A</v>
      </c>
      <c r="U3277" s="81" t="e">
        <f>HLOOKUP(N3277,データについて!$J$8:$M$18,11,FALSE)</f>
        <v>#N/A</v>
      </c>
      <c r="V3277" s="81" t="e">
        <f>HLOOKUP(O3277,データについて!$J$9:$M$18,10,FALSE)</f>
        <v>#N/A</v>
      </c>
      <c r="W3277" s="81" t="e">
        <f>HLOOKUP(P3277,データについて!$J$10:$M$18,9,FALSE)</f>
        <v>#N/A</v>
      </c>
      <c r="X3277" s="81" t="e">
        <f>HLOOKUP(Q3277,データについて!$J$11:$M$18,8,FALSE)</f>
        <v>#N/A</v>
      </c>
      <c r="Y3277" s="81" t="e">
        <f>HLOOKUP(R3277,データについて!$J$12:$M$18,7,FALSE)</f>
        <v>#N/A</v>
      </c>
      <c r="Z3277" s="81" t="e">
        <f>HLOOKUP(I3277,データについて!$J$3:$M$18,16,FALSE)</f>
        <v>#N/A</v>
      </c>
      <c r="AA3277" s="81" t="str">
        <f>IFERROR(HLOOKUP(J3277,データについて!$J$4:$AH$19,16,FALSE),"")</f>
        <v/>
      </c>
      <c r="AB3277" s="81" t="str">
        <f>IFERROR(HLOOKUP(K3277,データについて!$J$5:$AH$20,14,FALSE),"")</f>
        <v/>
      </c>
      <c r="AC3277" s="81" t="e">
        <f>IF(X3277=1,HLOOKUP(R3277,データについて!$J$12:$M$18,7,FALSE),"*")</f>
        <v>#N/A</v>
      </c>
      <c r="AD3277" s="81" t="e">
        <f>IF(X3277=2,HLOOKUP(R3277,データについて!$J$12:$M$18,7,FALSE),"*")</f>
        <v>#N/A</v>
      </c>
    </row>
    <row r="3278" spans="19:30">
      <c r="S3278" s="81" t="e">
        <f>HLOOKUP(L3278,データについて!$J$6:$M$18,13,FALSE)</f>
        <v>#N/A</v>
      </c>
      <c r="T3278" s="81" t="e">
        <f>HLOOKUP(M3278,データについて!$J$7:$M$18,12,FALSE)</f>
        <v>#N/A</v>
      </c>
      <c r="U3278" s="81" t="e">
        <f>HLOOKUP(N3278,データについて!$J$8:$M$18,11,FALSE)</f>
        <v>#N/A</v>
      </c>
      <c r="V3278" s="81" t="e">
        <f>HLOOKUP(O3278,データについて!$J$9:$M$18,10,FALSE)</f>
        <v>#N/A</v>
      </c>
      <c r="W3278" s="81" t="e">
        <f>HLOOKUP(P3278,データについて!$J$10:$M$18,9,FALSE)</f>
        <v>#N/A</v>
      </c>
      <c r="X3278" s="81" t="e">
        <f>HLOOKUP(Q3278,データについて!$J$11:$M$18,8,FALSE)</f>
        <v>#N/A</v>
      </c>
      <c r="Y3278" s="81" t="e">
        <f>HLOOKUP(R3278,データについて!$J$12:$M$18,7,FALSE)</f>
        <v>#N/A</v>
      </c>
      <c r="Z3278" s="81" t="e">
        <f>HLOOKUP(I3278,データについて!$J$3:$M$18,16,FALSE)</f>
        <v>#N/A</v>
      </c>
      <c r="AA3278" s="81" t="str">
        <f>IFERROR(HLOOKUP(J3278,データについて!$J$4:$AH$19,16,FALSE),"")</f>
        <v/>
      </c>
      <c r="AB3278" s="81" t="str">
        <f>IFERROR(HLOOKUP(K3278,データについて!$J$5:$AH$20,14,FALSE),"")</f>
        <v/>
      </c>
      <c r="AC3278" s="81" t="e">
        <f>IF(X3278=1,HLOOKUP(R3278,データについて!$J$12:$M$18,7,FALSE),"*")</f>
        <v>#N/A</v>
      </c>
      <c r="AD3278" s="81" t="e">
        <f>IF(X3278=2,HLOOKUP(R3278,データについて!$J$12:$M$18,7,FALSE),"*")</f>
        <v>#N/A</v>
      </c>
    </row>
    <row r="3279" spans="19:30">
      <c r="S3279" s="81" t="e">
        <f>HLOOKUP(L3279,データについて!$J$6:$M$18,13,FALSE)</f>
        <v>#N/A</v>
      </c>
      <c r="T3279" s="81" t="e">
        <f>HLOOKUP(M3279,データについて!$J$7:$M$18,12,FALSE)</f>
        <v>#N/A</v>
      </c>
      <c r="U3279" s="81" t="e">
        <f>HLOOKUP(N3279,データについて!$J$8:$M$18,11,FALSE)</f>
        <v>#N/A</v>
      </c>
      <c r="V3279" s="81" t="e">
        <f>HLOOKUP(O3279,データについて!$J$9:$M$18,10,FALSE)</f>
        <v>#N/A</v>
      </c>
      <c r="W3279" s="81" t="e">
        <f>HLOOKUP(P3279,データについて!$J$10:$M$18,9,FALSE)</f>
        <v>#N/A</v>
      </c>
      <c r="X3279" s="81" t="e">
        <f>HLOOKUP(Q3279,データについて!$J$11:$M$18,8,FALSE)</f>
        <v>#N/A</v>
      </c>
      <c r="Y3279" s="81" t="e">
        <f>HLOOKUP(R3279,データについて!$J$12:$M$18,7,FALSE)</f>
        <v>#N/A</v>
      </c>
      <c r="Z3279" s="81" t="e">
        <f>HLOOKUP(I3279,データについて!$J$3:$M$18,16,FALSE)</f>
        <v>#N/A</v>
      </c>
      <c r="AA3279" s="81" t="str">
        <f>IFERROR(HLOOKUP(J3279,データについて!$J$4:$AH$19,16,FALSE),"")</f>
        <v/>
      </c>
      <c r="AB3279" s="81" t="str">
        <f>IFERROR(HLOOKUP(K3279,データについて!$J$5:$AH$20,14,FALSE),"")</f>
        <v/>
      </c>
      <c r="AC3279" s="81" t="e">
        <f>IF(X3279=1,HLOOKUP(R3279,データについて!$J$12:$M$18,7,FALSE),"*")</f>
        <v>#N/A</v>
      </c>
      <c r="AD3279" s="81" t="e">
        <f>IF(X3279=2,HLOOKUP(R3279,データについて!$J$12:$M$18,7,FALSE),"*")</f>
        <v>#N/A</v>
      </c>
    </row>
    <row r="3280" spans="19:30">
      <c r="S3280" s="81" t="e">
        <f>HLOOKUP(L3280,データについて!$J$6:$M$18,13,FALSE)</f>
        <v>#N/A</v>
      </c>
      <c r="T3280" s="81" t="e">
        <f>HLOOKUP(M3280,データについて!$J$7:$M$18,12,FALSE)</f>
        <v>#N/A</v>
      </c>
      <c r="U3280" s="81" t="e">
        <f>HLOOKUP(N3280,データについて!$J$8:$M$18,11,FALSE)</f>
        <v>#N/A</v>
      </c>
      <c r="V3280" s="81" t="e">
        <f>HLOOKUP(O3280,データについて!$J$9:$M$18,10,FALSE)</f>
        <v>#N/A</v>
      </c>
      <c r="W3280" s="81" t="e">
        <f>HLOOKUP(P3280,データについて!$J$10:$M$18,9,FALSE)</f>
        <v>#N/A</v>
      </c>
      <c r="X3280" s="81" t="e">
        <f>HLOOKUP(Q3280,データについて!$J$11:$M$18,8,FALSE)</f>
        <v>#N/A</v>
      </c>
      <c r="Y3280" s="81" t="e">
        <f>HLOOKUP(R3280,データについて!$J$12:$M$18,7,FALSE)</f>
        <v>#N/A</v>
      </c>
      <c r="Z3280" s="81" t="e">
        <f>HLOOKUP(I3280,データについて!$J$3:$M$18,16,FALSE)</f>
        <v>#N/A</v>
      </c>
      <c r="AA3280" s="81" t="str">
        <f>IFERROR(HLOOKUP(J3280,データについて!$J$4:$AH$19,16,FALSE),"")</f>
        <v/>
      </c>
      <c r="AB3280" s="81" t="str">
        <f>IFERROR(HLOOKUP(K3280,データについて!$J$5:$AH$20,14,FALSE),"")</f>
        <v/>
      </c>
      <c r="AC3280" s="81" t="e">
        <f>IF(X3280=1,HLOOKUP(R3280,データについて!$J$12:$M$18,7,FALSE),"*")</f>
        <v>#N/A</v>
      </c>
      <c r="AD3280" s="81" t="e">
        <f>IF(X3280=2,HLOOKUP(R3280,データについて!$J$12:$M$18,7,FALSE),"*")</f>
        <v>#N/A</v>
      </c>
    </row>
    <row r="3281" spans="19:30">
      <c r="S3281" s="81" t="e">
        <f>HLOOKUP(L3281,データについて!$J$6:$M$18,13,FALSE)</f>
        <v>#N/A</v>
      </c>
      <c r="T3281" s="81" t="e">
        <f>HLOOKUP(M3281,データについて!$J$7:$M$18,12,FALSE)</f>
        <v>#N/A</v>
      </c>
      <c r="U3281" s="81" t="e">
        <f>HLOOKUP(N3281,データについて!$J$8:$M$18,11,FALSE)</f>
        <v>#N/A</v>
      </c>
      <c r="V3281" s="81" t="e">
        <f>HLOOKUP(O3281,データについて!$J$9:$M$18,10,FALSE)</f>
        <v>#N/A</v>
      </c>
      <c r="W3281" s="81" t="e">
        <f>HLOOKUP(P3281,データについて!$J$10:$M$18,9,FALSE)</f>
        <v>#N/A</v>
      </c>
      <c r="X3281" s="81" t="e">
        <f>HLOOKUP(Q3281,データについて!$J$11:$M$18,8,FALSE)</f>
        <v>#N/A</v>
      </c>
      <c r="Y3281" s="81" t="e">
        <f>HLOOKUP(R3281,データについて!$J$12:$M$18,7,FALSE)</f>
        <v>#N/A</v>
      </c>
      <c r="Z3281" s="81" t="e">
        <f>HLOOKUP(I3281,データについて!$J$3:$M$18,16,FALSE)</f>
        <v>#N/A</v>
      </c>
      <c r="AA3281" s="81" t="str">
        <f>IFERROR(HLOOKUP(J3281,データについて!$J$4:$AH$19,16,FALSE),"")</f>
        <v/>
      </c>
      <c r="AB3281" s="81" t="str">
        <f>IFERROR(HLOOKUP(K3281,データについて!$J$5:$AH$20,14,FALSE),"")</f>
        <v/>
      </c>
      <c r="AC3281" s="81" t="e">
        <f>IF(X3281=1,HLOOKUP(R3281,データについて!$J$12:$M$18,7,FALSE),"*")</f>
        <v>#N/A</v>
      </c>
      <c r="AD3281" s="81" t="e">
        <f>IF(X3281=2,HLOOKUP(R3281,データについて!$J$12:$M$18,7,FALSE),"*")</f>
        <v>#N/A</v>
      </c>
    </row>
    <row r="3282" spans="19:30">
      <c r="S3282" s="81" t="e">
        <f>HLOOKUP(L3282,データについて!$J$6:$M$18,13,FALSE)</f>
        <v>#N/A</v>
      </c>
      <c r="T3282" s="81" t="e">
        <f>HLOOKUP(M3282,データについて!$J$7:$M$18,12,FALSE)</f>
        <v>#N/A</v>
      </c>
      <c r="U3282" s="81" t="e">
        <f>HLOOKUP(N3282,データについて!$J$8:$M$18,11,FALSE)</f>
        <v>#N/A</v>
      </c>
      <c r="V3282" s="81" t="e">
        <f>HLOOKUP(O3282,データについて!$J$9:$M$18,10,FALSE)</f>
        <v>#N/A</v>
      </c>
      <c r="W3282" s="81" t="e">
        <f>HLOOKUP(P3282,データについて!$J$10:$M$18,9,FALSE)</f>
        <v>#N/A</v>
      </c>
      <c r="X3282" s="81" t="e">
        <f>HLOOKUP(Q3282,データについて!$J$11:$M$18,8,FALSE)</f>
        <v>#N/A</v>
      </c>
      <c r="Y3282" s="81" t="e">
        <f>HLOOKUP(R3282,データについて!$J$12:$M$18,7,FALSE)</f>
        <v>#N/A</v>
      </c>
      <c r="Z3282" s="81" t="e">
        <f>HLOOKUP(I3282,データについて!$J$3:$M$18,16,FALSE)</f>
        <v>#N/A</v>
      </c>
      <c r="AA3282" s="81" t="str">
        <f>IFERROR(HLOOKUP(J3282,データについて!$J$4:$AH$19,16,FALSE),"")</f>
        <v/>
      </c>
      <c r="AB3282" s="81" t="str">
        <f>IFERROR(HLOOKUP(K3282,データについて!$J$5:$AH$20,14,FALSE),"")</f>
        <v/>
      </c>
      <c r="AC3282" s="81" t="e">
        <f>IF(X3282=1,HLOOKUP(R3282,データについて!$J$12:$M$18,7,FALSE),"*")</f>
        <v>#N/A</v>
      </c>
      <c r="AD3282" s="81" t="e">
        <f>IF(X3282=2,HLOOKUP(R3282,データについて!$J$12:$M$18,7,FALSE),"*")</f>
        <v>#N/A</v>
      </c>
    </row>
    <row r="3283" spans="19:30">
      <c r="S3283" s="81" t="e">
        <f>HLOOKUP(L3283,データについて!$J$6:$M$18,13,FALSE)</f>
        <v>#N/A</v>
      </c>
      <c r="T3283" s="81" t="e">
        <f>HLOOKUP(M3283,データについて!$J$7:$M$18,12,FALSE)</f>
        <v>#N/A</v>
      </c>
      <c r="U3283" s="81" t="e">
        <f>HLOOKUP(N3283,データについて!$J$8:$M$18,11,FALSE)</f>
        <v>#N/A</v>
      </c>
      <c r="V3283" s="81" t="e">
        <f>HLOOKUP(O3283,データについて!$J$9:$M$18,10,FALSE)</f>
        <v>#N/A</v>
      </c>
      <c r="W3283" s="81" t="e">
        <f>HLOOKUP(P3283,データについて!$J$10:$M$18,9,FALSE)</f>
        <v>#N/A</v>
      </c>
      <c r="X3283" s="81" t="e">
        <f>HLOOKUP(Q3283,データについて!$J$11:$M$18,8,FALSE)</f>
        <v>#N/A</v>
      </c>
      <c r="Y3283" s="81" t="e">
        <f>HLOOKUP(R3283,データについて!$J$12:$M$18,7,FALSE)</f>
        <v>#N/A</v>
      </c>
      <c r="Z3283" s="81" t="e">
        <f>HLOOKUP(I3283,データについて!$J$3:$M$18,16,FALSE)</f>
        <v>#N/A</v>
      </c>
      <c r="AA3283" s="81" t="str">
        <f>IFERROR(HLOOKUP(J3283,データについて!$J$4:$AH$19,16,FALSE),"")</f>
        <v/>
      </c>
      <c r="AB3283" s="81" t="str">
        <f>IFERROR(HLOOKUP(K3283,データについて!$J$5:$AH$20,14,FALSE),"")</f>
        <v/>
      </c>
      <c r="AC3283" s="81" t="e">
        <f>IF(X3283=1,HLOOKUP(R3283,データについて!$J$12:$M$18,7,FALSE),"*")</f>
        <v>#N/A</v>
      </c>
      <c r="AD3283" s="81" t="e">
        <f>IF(X3283=2,HLOOKUP(R3283,データについて!$J$12:$M$18,7,FALSE),"*")</f>
        <v>#N/A</v>
      </c>
    </row>
    <row r="3284" spans="19:30">
      <c r="S3284" s="81" t="e">
        <f>HLOOKUP(L3284,データについて!$J$6:$M$18,13,FALSE)</f>
        <v>#N/A</v>
      </c>
      <c r="T3284" s="81" t="e">
        <f>HLOOKUP(M3284,データについて!$J$7:$M$18,12,FALSE)</f>
        <v>#N/A</v>
      </c>
      <c r="U3284" s="81" t="e">
        <f>HLOOKUP(N3284,データについて!$J$8:$M$18,11,FALSE)</f>
        <v>#N/A</v>
      </c>
      <c r="V3284" s="81" t="e">
        <f>HLOOKUP(O3284,データについて!$J$9:$M$18,10,FALSE)</f>
        <v>#N/A</v>
      </c>
      <c r="W3284" s="81" t="e">
        <f>HLOOKUP(P3284,データについて!$J$10:$M$18,9,FALSE)</f>
        <v>#N/A</v>
      </c>
      <c r="X3284" s="81" t="e">
        <f>HLOOKUP(Q3284,データについて!$J$11:$M$18,8,FALSE)</f>
        <v>#N/A</v>
      </c>
      <c r="Y3284" s="81" t="e">
        <f>HLOOKUP(R3284,データについて!$J$12:$M$18,7,FALSE)</f>
        <v>#N/A</v>
      </c>
      <c r="Z3284" s="81" t="e">
        <f>HLOOKUP(I3284,データについて!$J$3:$M$18,16,FALSE)</f>
        <v>#N/A</v>
      </c>
      <c r="AA3284" s="81" t="str">
        <f>IFERROR(HLOOKUP(J3284,データについて!$J$4:$AH$19,16,FALSE),"")</f>
        <v/>
      </c>
      <c r="AB3284" s="81" t="str">
        <f>IFERROR(HLOOKUP(K3284,データについて!$J$5:$AH$20,14,FALSE),"")</f>
        <v/>
      </c>
      <c r="AC3284" s="81" t="e">
        <f>IF(X3284=1,HLOOKUP(R3284,データについて!$J$12:$M$18,7,FALSE),"*")</f>
        <v>#N/A</v>
      </c>
      <c r="AD3284" s="81" t="e">
        <f>IF(X3284=2,HLOOKUP(R3284,データについて!$J$12:$M$18,7,FALSE),"*")</f>
        <v>#N/A</v>
      </c>
    </row>
    <row r="3285" spans="19:30">
      <c r="S3285" s="81" t="e">
        <f>HLOOKUP(L3285,データについて!$J$6:$M$18,13,FALSE)</f>
        <v>#N/A</v>
      </c>
      <c r="T3285" s="81" t="e">
        <f>HLOOKUP(M3285,データについて!$J$7:$M$18,12,FALSE)</f>
        <v>#N/A</v>
      </c>
      <c r="U3285" s="81" t="e">
        <f>HLOOKUP(N3285,データについて!$J$8:$M$18,11,FALSE)</f>
        <v>#N/A</v>
      </c>
      <c r="V3285" s="81" t="e">
        <f>HLOOKUP(O3285,データについて!$J$9:$M$18,10,FALSE)</f>
        <v>#N/A</v>
      </c>
      <c r="W3285" s="81" t="e">
        <f>HLOOKUP(P3285,データについて!$J$10:$M$18,9,FALSE)</f>
        <v>#N/A</v>
      </c>
      <c r="X3285" s="81" t="e">
        <f>HLOOKUP(Q3285,データについて!$J$11:$M$18,8,FALSE)</f>
        <v>#N/A</v>
      </c>
      <c r="Y3285" s="81" t="e">
        <f>HLOOKUP(R3285,データについて!$J$12:$M$18,7,FALSE)</f>
        <v>#N/A</v>
      </c>
      <c r="Z3285" s="81" t="e">
        <f>HLOOKUP(I3285,データについて!$J$3:$M$18,16,FALSE)</f>
        <v>#N/A</v>
      </c>
      <c r="AA3285" s="81" t="str">
        <f>IFERROR(HLOOKUP(J3285,データについて!$J$4:$AH$19,16,FALSE),"")</f>
        <v/>
      </c>
      <c r="AB3285" s="81" t="str">
        <f>IFERROR(HLOOKUP(K3285,データについて!$J$5:$AH$20,14,FALSE),"")</f>
        <v/>
      </c>
      <c r="AC3285" s="81" t="e">
        <f>IF(X3285=1,HLOOKUP(R3285,データについて!$J$12:$M$18,7,FALSE),"*")</f>
        <v>#N/A</v>
      </c>
      <c r="AD3285" s="81" t="e">
        <f>IF(X3285=2,HLOOKUP(R3285,データについて!$J$12:$M$18,7,FALSE),"*")</f>
        <v>#N/A</v>
      </c>
    </row>
    <row r="3286" spans="19:30">
      <c r="S3286" s="81" t="e">
        <f>HLOOKUP(L3286,データについて!$J$6:$M$18,13,FALSE)</f>
        <v>#N/A</v>
      </c>
      <c r="T3286" s="81" t="e">
        <f>HLOOKUP(M3286,データについて!$J$7:$M$18,12,FALSE)</f>
        <v>#N/A</v>
      </c>
      <c r="U3286" s="81" t="e">
        <f>HLOOKUP(N3286,データについて!$J$8:$M$18,11,FALSE)</f>
        <v>#N/A</v>
      </c>
      <c r="V3286" s="81" t="e">
        <f>HLOOKUP(O3286,データについて!$J$9:$M$18,10,FALSE)</f>
        <v>#N/A</v>
      </c>
      <c r="W3286" s="81" t="e">
        <f>HLOOKUP(P3286,データについて!$J$10:$M$18,9,FALSE)</f>
        <v>#N/A</v>
      </c>
      <c r="X3286" s="81" t="e">
        <f>HLOOKUP(Q3286,データについて!$J$11:$M$18,8,FALSE)</f>
        <v>#N/A</v>
      </c>
      <c r="Y3286" s="81" t="e">
        <f>HLOOKUP(R3286,データについて!$J$12:$M$18,7,FALSE)</f>
        <v>#N/A</v>
      </c>
      <c r="Z3286" s="81" t="e">
        <f>HLOOKUP(I3286,データについて!$J$3:$M$18,16,FALSE)</f>
        <v>#N/A</v>
      </c>
      <c r="AA3286" s="81" t="str">
        <f>IFERROR(HLOOKUP(J3286,データについて!$J$4:$AH$19,16,FALSE),"")</f>
        <v/>
      </c>
      <c r="AB3286" s="81" t="str">
        <f>IFERROR(HLOOKUP(K3286,データについて!$J$5:$AH$20,14,FALSE),"")</f>
        <v/>
      </c>
      <c r="AC3286" s="81" t="e">
        <f>IF(X3286=1,HLOOKUP(R3286,データについて!$J$12:$M$18,7,FALSE),"*")</f>
        <v>#N/A</v>
      </c>
      <c r="AD3286" s="81" t="e">
        <f>IF(X3286=2,HLOOKUP(R3286,データについて!$J$12:$M$18,7,FALSE),"*")</f>
        <v>#N/A</v>
      </c>
    </row>
    <row r="3287" spans="19:30">
      <c r="S3287" s="81" t="e">
        <f>HLOOKUP(L3287,データについて!$J$6:$M$18,13,FALSE)</f>
        <v>#N/A</v>
      </c>
      <c r="T3287" s="81" t="e">
        <f>HLOOKUP(M3287,データについて!$J$7:$M$18,12,FALSE)</f>
        <v>#N/A</v>
      </c>
      <c r="U3287" s="81" t="e">
        <f>HLOOKUP(N3287,データについて!$J$8:$M$18,11,FALSE)</f>
        <v>#N/A</v>
      </c>
      <c r="V3287" s="81" t="e">
        <f>HLOOKUP(O3287,データについて!$J$9:$M$18,10,FALSE)</f>
        <v>#N/A</v>
      </c>
      <c r="W3287" s="81" t="e">
        <f>HLOOKUP(P3287,データについて!$J$10:$M$18,9,FALSE)</f>
        <v>#N/A</v>
      </c>
      <c r="X3287" s="81" t="e">
        <f>HLOOKUP(Q3287,データについて!$J$11:$M$18,8,FALSE)</f>
        <v>#N/A</v>
      </c>
      <c r="Y3287" s="81" t="e">
        <f>HLOOKUP(R3287,データについて!$J$12:$M$18,7,FALSE)</f>
        <v>#N/A</v>
      </c>
      <c r="Z3287" s="81" t="e">
        <f>HLOOKUP(I3287,データについて!$J$3:$M$18,16,FALSE)</f>
        <v>#N/A</v>
      </c>
      <c r="AA3287" s="81" t="str">
        <f>IFERROR(HLOOKUP(J3287,データについて!$J$4:$AH$19,16,FALSE),"")</f>
        <v/>
      </c>
      <c r="AB3287" s="81" t="str">
        <f>IFERROR(HLOOKUP(K3287,データについて!$J$5:$AH$20,14,FALSE),"")</f>
        <v/>
      </c>
      <c r="AC3287" s="81" t="e">
        <f>IF(X3287=1,HLOOKUP(R3287,データについて!$J$12:$M$18,7,FALSE),"*")</f>
        <v>#N/A</v>
      </c>
      <c r="AD3287" s="81" t="e">
        <f>IF(X3287=2,HLOOKUP(R3287,データについて!$J$12:$M$18,7,FALSE),"*")</f>
        <v>#N/A</v>
      </c>
    </row>
    <row r="3288" spans="19:30">
      <c r="S3288" s="81" t="e">
        <f>HLOOKUP(L3288,データについて!$J$6:$M$18,13,FALSE)</f>
        <v>#N/A</v>
      </c>
      <c r="T3288" s="81" t="e">
        <f>HLOOKUP(M3288,データについて!$J$7:$M$18,12,FALSE)</f>
        <v>#N/A</v>
      </c>
      <c r="U3288" s="81" t="e">
        <f>HLOOKUP(N3288,データについて!$J$8:$M$18,11,FALSE)</f>
        <v>#N/A</v>
      </c>
      <c r="V3288" s="81" t="e">
        <f>HLOOKUP(O3288,データについて!$J$9:$M$18,10,FALSE)</f>
        <v>#N/A</v>
      </c>
      <c r="W3288" s="81" t="e">
        <f>HLOOKUP(P3288,データについて!$J$10:$M$18,9,FALSE)</f>
        <v>#N/A</v>
      </c>
      <c r="X3288" s="81" t="e">
        <f>HLOOKUP(Q3288,データについて!$J$11:$M$18,8,FALSE)</f>
        <v>#N/A</v>
      </c>
      <c r="Y3288" s="81" t="e">
        <f>HLOOKUP(R3288,データについて!$J$12:$M$18,7,FALSE)</f>
        <v>#N/A</v>
      </c>
      <c r="Z3288" s="81" t="e">
        <f>HLOOKUP(I3288,データについて!$J$3:$M$18,16,FALSE)</f>
        <v>#N/A</v>
      </c>
      <c r="AA3288" s="81" t="str">
        <f>IFERROR(HLOOKUP(J3288,データについて!$J$4:$AH$19,16,FALSE),"")</f>
        <v/>
      </c>
      <c r="AB3288" s="81" t="str">
        <f>IFERROR(HLOOKUP(K3288,データについて!$J$5:$AH$20,14,FALSE),"")</f>
        <v/>
      </c>
      <c r="AC3288" s="81" t="e">
        <f>IF(X3288=1,HLOOKUP(R3288,データについて!$J$12:$M$18,7,FALSE),"*")</f>
        <v>#N/A</v>
      </c>
      <c r="AD3288" s="81" t="e">
        <f>IF(X3288=2,HLOOKUP(R3288,データについて!$J$12:$M$18,7,FALSE),"*")</f>
        <v>#N/A</v>
      </c>
    </row>
    <row r="3289" spans="19:30">
      <c r="S3289" s="81" t="e">
        <f>HLOOKUP(L3289,データについて!$J$6:$M$18,13,FALSE)</f>
        <v>#N/A</v>
      </c>
      <c r="T3289" s="81" t="e">
        <f>HLOOKUP(M3289,データについて!$J$7:$M$18,12,FALSE)</f>
        <v>#N/A</v>
      </c>
      <c r="U3289" s="81" t="e">
        <f>HLOOKUP(N3289,データについて!$J$8:$M$18,11,FALSE)</f>
        <v>#N/A</v>
      </c>
      <c r="V3289" s="81" t="e">
        <f>HLOOKUP(O3289,データについて!$J$9:$M$18,10,FALSE)</f>
        <v>#N/A</v>
      </c>
      <c r="W3289" s="81" t="e">
        <f>HLOOKUP(P3289,データについて!$J$10:$M$18,9,FALSE)</f>
        <v>#N/A</v>
      </c>
      <c r="X3289" s="81" t="e">
        <f>HLOOKUP(Q3289,データについて!$J$11:$M$18,8,FALSE)</f>
        <v>#N/A</v>
      </c>
      <c r="Y3289" s="81" t="e">
        <f>HLOOKUP(R3289,データについて!$J$12:$M$18,7,FALSE)</f>
        <v>#N/A</v>
      </c>
      <c r="Z3289" s="81" t="e">
        <f>HLOOKUP(I3289,データについて!$J$3:$M$18,16,FALSE)</f>
        <v>#N/A</v>
      </c>
      <c r="AA3289" s="81" t="str">
        <f>IFERROR(HLOOKUP(J3289,データについて!$J$4:$AH$19,16,FALSE),"")</f>
        <v/>
      </c>
      <c r="AB3289" s="81" t="str">
        <f>IFERROR(HLOOKUP(K3289,データについて!$J$5:$AH$20,14,FALSE),"")</f>
        <v/>
      </c>
      <c r="AC3289" s="81" t="e">
        <f>IF(X3289=1,HLOOKUP(R3289,データについて!$J$12:$M$18,7,FALSE),"*")</f>
        <v>#N/A</v>
      </c>
      <c r="AD3289" s="81" t="e">
        <f>IF(X3289=2,HLOOKUP(R3289,データについて!$J$12:$M$18,7,FALSE),"*")</f>
        <v>#N/A</v>
      </c>
    </row>
    <row r="3290" spans="19:30">
      <c r="S3290" s="81" t="e">
        <f>HLOOKUP(L3290,データについて!$J$6:$M$18,13,FALSE)</f>
        <v>#N/A</v>
      </c>
      <c r="T3290" s="81" t="e">
        <f>HLOOKUP(M3290,データについて!$J$7:$M$18,12,FALSE)</f>
        <v>#N/A</v>
      </c>
      <c r="U3290" s="81" t="e">
        <f>HLOOKUP(N3290,データについて!$J$8:$M$18,11,FALSE)</f>
        <v>#N/A</v>
      </c>
      <c r="V3290" s="81" t="e">
        <f>HLOOKUP(O3290,データについて!$J$9:$M$18,10,FALSE)</f>
        <v>#N/A</v>
      </c>
      <c r="W3290" s="81" t="e">
        <f>HLOOKUP(P3290,データについて!$J$10:$M$18,9,FALSE)</f>
        <v>#N/A</v>
      </c>
      <c r="X3290" s="81" t="e">
        <f>HLOOKUP(Q3290,データについて!$J$11:$M$18,8,FALSE)</f>
        <v>#N/A</v>
      </c>
      <c r="Y3290" s="81" t="e">
        <f>HLOOKUP(R3290,データについて!$J$12:$M$18,7,FALSE)</f>
        <v>#N/A</v>
      </c>
      <c r="Z3290" s="81" t="e">
        <f>HLOOKUP(I3290,データについて!$J$3:$M$18,16,FALSE)</f>
        <v>#N/A</v>
      </c>
      <c r="AA3290" s="81" t="str">
        <f>IFERROR(HLOOKUP(J3290,データについて!$J$4:$AH$19,16,FALSE),"")</f>
        <v/>
      </c>
      <c r="AB3290" s="81" t="str">
        <f>IFERROR(HLOOKUP(K3290,データについて!$J$5:$AH$20,14,FALSE),"")</f>
        <v/>
      </c>
      <c r="AC3290" s="81" t="e">
        <f>IF(X3290=1,HLOOKUP(R3290,データについて!$J$12:$M$18,7,FALSE),"*")</f>
        <v>#N/A</v>
      </c>
      <c r="AD3290" s="81" t="e">
        <f>IF(X3290=2,HLOOKUP(R3290,データについて!$J$12:$M$18,7,FALSE),"*")</f>
        <v>#N/A</v>
      </c>
    </row>
    <row r="3291" spans="19:30">
      <c r="S3291" s="81" t="e">
        <f>HLOOKUP(L3291,データについて!$J$6:$M$18,13,FALSE)</f>
        <v>#N/A</v>
      </c>
      <c r="T3291" s="81" t="e">
        <f>HLOOKUP(M3291,データについて!$J$7:$M$18,12,FALSE)</f>
        <v>#N/A</v>
      </c>
      <c r="U3291" s="81" t="e">
        <f>HLOOKUP(N3291,データについて!$J$8:$M$18,11,FALSE)</f>
        <v>#N/A</v>
      </c>
      <c r="V3291" s="81" t="e">
        <f>HLOOKUP(O3291,データについて!$J$9:$M$18,10,FALSE)</f>
        <v>#N/A</v>
      </c>
      <c r="W3291" s="81" t="e">
        <f>HLOOKUP(P3291,データについて!$J$10:$M$18,9,FALSE)</f>
        <v>#N/A</v>
      </c>
      <c r="X3291" s="81" t="e">
        <f>HLOOKUP(Q3291,データについて!$J$11:$M$18,8,FALSE)</f>
        <v>#N/A</v>
      </c>
      <c r="Y3291" s="81" t="e">
        <f>HLOOKUP(R3291,データについて!$J$12:$M$18,7,FALSE)</f>
        <v>#N/A</v>
      </c>
      <c r="Z3291" s="81" t="e">
        <f>HLOOKUP(I3291,データについて!$J$3:$M$18,16,FALSE)</f>
        <v>#N/A</v>
      </c>
      <c r="AA3291" s="81" t="str">
        <f>IFERROR(HLOOKUP(J3291,データについて!$J$4:$AH$19,16,FALSE),"")</f>
        <v/>
      </c>
      <c r="AB3291" s="81" t="str">
        <f>IFERROR(HLOOKUP(K3291,データについて!$J$5:$AH$20,14,FALSE),"")</f>
        <v/>
      </c>
      <c r="AC3291" s="81" t="e">
        <f>IF(X3291=1,HLOOKUP(R3291,データについて!$J$12:$M$18,7,FALSE),"*")</f>
        <v>#N/A</v>
      </c>
      <c r="AD3291" s="81" t="e">
        <f>IF(X3291=2,HLOOKUP(R3291,データについて!$J$12:$M$18,7,FALSE),"*")</f>
        <v>#N/A</v>
      </c>
    </row>
    <row r="3292" spans="19:30">
      <c r="S3292" s="81" t="e">
        <f>HLOOKUP(L3292,データについて!$J$6:$M$18,13,FALSE)</f>
        <v>#N/A</v>
      </c>
      <c r="T3292" s="81" t="e">
        <f>HLOOKUP(M3292,データについて!$J$7:$M$18,12,FALSE)</f>
        <v>#N/A</v>
      </c>
      <c r="U3292" s="81" t="e">
        <f>HLOOKUP(N3292,データについて!$J$8:$M$18,11,FALSE)</f>
        <v>#N/A</v>
      </c>
      <c r="V3292" s="81" t="e">
        <f>HLOOKUP(O3292,データについて!$J$9:$M$18,10,FALSE)</f>
        <v>#N/A</v>
      </c>
      <c r="W3292" s="81" t="e">
        <f>HLOOKUP(P3292,データについて!$J$10:$M$18,9,FALSE)</f>
        <v>#N/A</v>
      </c>
      <c r="X3292" s="81" t="e">
        <f>HLOOKUP(Q3292,データについて!$J$11:$M$18,8,FALSE)</f>
        <v>#N/A</v>
      </c>
      <c r="Y3292" s="81" t="e">
        <f>HLOOKUP(R3292,データについて!$J$12:$M$18,7,FALSE)</f>
        <v>#N/A</v>
      </c>
      <c r="Z3292" s="81" t="e">
        <f>HLOOKUP(I3292,データについて!$J$3:$M$18,16,FALSE)</f>
        <v>#N/A</v>
      </c>
      <c r="AA3292" s="81" t="str">
        <f>IFERROR(HLOOKUP(J3292,データについて!$J$4:$AH$19,16,FALSE),"")</f>
        <v/>
      </c>
      <c r="AB3292" s="81" t="str">
        <f>IFERROR(HLOOKUP(K3292,データについて!$J$5:$AH$20,14,FALSE),"")</f>
        <v/>
      </c>
      <c r="AC3292" s="81" t="e">
        <f>IF(X3292=1,HLOOKUP(R3292,データについて!$J$12:$M$18,7,FALSE),"*")</f>
        <v>#N/A</v>
      </c>
      <c r="AD3292" s="81" t="e">
        <f>IF(X3292=2,HLOOKUP(R3292,データについて!$J$12:$M$18,7,FALSE),"*")</f>
        <v>#N/A</v>
      </c>
    </row>
    <row r="3293" spans="19:30">
      <c r="S3293" s="81" t="e">
        <f>HLOOKUP(L3293,データについて!$J$6:$M$18,13,FALSE)</f>
        <v>#N/A</v>
      </c>
      <c r="T3293" s="81" t="e">
        <f>HLOOKUP(M3293,データについて!$J$7:$M$18,12,FALSE)</f>
        <v>#N/A</v>
      </c>
      <c r="U3293" s="81" t="e">
        <f>HLOOKUP(N3293,データについて!$J$8:$M$18,11,FALSE)</f>
        <v>#N/A</v>
      </c>
      <c r="V3293" s="81" t="e">
        <f>HLOOKUP(O3293,データについて!$J$9:$M$18,10,FALSE)</f>
        <v>#N/A</v>
      </c>
      <c r="W3293" s="81" t="e">
        <f>HLOOKUP(P3293,データについて!$J$10:$M$18,9,FALSE)</f>
        <v>#N/A</v>
      </c>
      <c r="X3293" s="81" t="e">
        <f>HLOOKUP(Q3293,データについて!$J$11:$M$18,8,FALSE)</f>
        <v>#N/A</v>
      </c>
      <c r="Y3293" s="81" t="e">
        <f>HLOOKUP(R3293,データについて!$J$12:$M$18,7,FALSE)</f>
        <v>#N/A</v>
      </c>
      <c r="Z3293" s="81" t="e">
        <f>HLOOKUP(I3293,データについて!$J$3:$M$18,16,FALSE)</f>
        <v>#N/A</v>
      </c>
      <c r="AA3293" s="81" t="str">
        <f>IFERROR(HLOOKUP(J3293,データについて!$J$4:$AH$19,16,FALSE),"")</f>
        <v/>
      </c>
      <c r="AB3293" s="81" t="str">
        <f>IFERROR(HLOOKUP(K3293,データについて!$J$5:$AH$20,14,FALSE),"")</f>
        <v/>
      </c>
      <c r="AC3293" s="81" t="e">
        <f>IF(X3293=1,HLOOKUP(R3293,データについて!$J$12:$M$18,7,FALSE),"*")</f>
        <v>#N/A</v>
      </c>
      <c r="AD3293" s="81" t="e">
        <f>IF(X3293=2,HLOOKUP(R3293,データについて!$J$12:$M$18,7,FALSE),"*")</f>
        <v>#N/A</v>
      </c>
    </row>
    <row r="3294" spans="19:30">
      <c r="S3294" s="81" t="e">
        <f>HLOOKUP(L3294,データについて!$J$6:$M$18,13,FALSE)</f>
        <v>#N/A</v>
      </c>
      <c r="T3294" s="81" t="e">
        <f>HLOOKUP(M3294,データについて!$J$7:$M$18,12,FALSE)</f>
        <v>#N/A</v>
      </c>
      <c r="U3294" s="81" t="e">
        <f>HLOOKUP(N3294,データについて!$J$8:$M$18,11,FALSE)</f>
        <v>#N/A</v>
      </c>
      <c r="V3294" s="81" t="e">
        <f>HLOOKUP(O3294,データについて!$J$9:$M$18,10,FALSE)</f>
        <v>#N/A</v>
      </c>
      <c r="W3294" s="81" t="e">
        <f>HLOOKUP(P3294,データについて!$J$10:$M$18,9,FALSE)</f>
        <v>#N/A</v>
      </c>
      <c r="X3294" s="81" t="e">
        <f>HLOOKUP(Q3294,データについて!$J$11:$M$18,8,FALSE)</f>
        <v>#N/A</v>
      </c>
      <c r="Y3294" s="81" t="e">
        <f>HLOOKUP(R3294,データについて!$J$12:$M$18,7,FALSE)</f>
        <v>#N/A</v>
      </c>
      <c r="Z3294" s="81" t="e">
        <f>HLOOKUP(I3294,データについて!$J$3:$M$18,16,FALSE)</f>
        <v>#N/A</v>
      </c>
      <c r="AA3294" s="81" t="str">
        <f>IFERROR(HLOOKUP(J3294,データについて!$J$4:$AH$19,16,FALSE),"")</f>
        <v/>
      </c>
      <c r="AB3294" s="81" t="str">
        <f>IFERROR(HLOOKUP(K3294,データについて!$J$5:$AH$20,14,FALSE),"")</f>
        <v/>
      </c>
      <c r="AC3294" s="81" t="e">
        <f>IF(X3294=1,HLOOKUP(R3294,データについて!$J$12:$M$18,7,FALSE),"*")</f>
        <v>#N/A</v>
      </c>
      <c r="AD3294" s="81" t="e">
        <f>IF(X3294=2,HLOOKUP(R3294,データについて!$J$12:$M$18,7,FALSE),"*")</f>
        <v>#N/A</v>
      </c>
    </row>
    <row r="3295" spans="19:30">
      <c r="S3295" s="81" t="e">
        <f>HLOOKUP(L3295,データについて!$J$6:$M$18,13,FALSE)</f>
        <v>#N/A</v>
      </c>
      <c r="T3295" s="81" t="e">
        <f>HLOOKUP(M3295,データについて!$J$7:$M$18,12,FALSE)</f>
        <v>#N/A</v>
      </c>
      <c r="U3295" s="81" t="e">
        <f>HLOOKUP(N3295,データについて!$J$8:$M$18,11,FALSE)</f>
        <v>#N/A</v>
      </c>
      <c r="V3295" s="81" t="e">
        <f>HLOOKUP(O3295,データについて!$J$9:$M$18,10,FALSE)</f>
        <v>#N/A</v>
      </c>
      <c r="W3295" s="81" t="e">
        <f>HLOOKUP(P3295,データについて!$J$10:$M$18,9,FALSE)</f>
        <v>#N/A</v>
      </c>
      <c r="X3295" s="81" t="e">
        <f>HLOOKUP(Q3295,データについて!$J$11:$M$18,8,FALSE)</f>
        <v>#N/A</v>
      </c>
      <c r="Y3295" s="81" t="e">
        <f>HLOOKUP(R3295,データについて!$J$12:$M$18,7,FALSE)</f>
        <v>#N/A</v>
      </c>
      <c r="Z3295" s="81" t="e">
        <f>HLOOKUP(I3295,データについて!$J$3:$M$18,16,FALSE)</f>
        <v>#N/A</v>
      </c>
      <c r="AA3295" s="81" t="str">
        <f>IFERROR(HLOOKUP(J3295,データについて!$J$4:$AH$19,16,FALSE),"")</f>
        <v/>
      </c>
      <c r="AB3295" s="81" t="str">
        <f>IFERROR(HLOOKUP(K3295,データについて!$J$5:$AH$20,14,FALSE),"")</f>
        <v/>
      </c>
      <c r="AC3295" s="81" t="e">
        <f>IF(X3295=1,HLOOKUP(R3295,データについて!$J$12:$M$18,7,FALSE),"*")</f>
        <v>#N/A</v>
      </c>
      <c r="AD3295" s="81" t="e">
        <f>IF(X3295=2,HLOOKUP(R3295,データについて!$J$12:$M$18,7,FALSE),"*")</f>
        <v>#N/A</v>
      </c>
    </row>
    <row r="3296" spans="19:30">
      <c r="S3296" s="81" t="e">
        <f>HLOOKUP(L3296,データについて!$J$6:$M$18,13,FALSE)</f>
        <v>#N/A</v>
      </c>
      <c r="T3296" s="81" t="e">
        <f>HLOOKUP(M3296,データについて!$J$7:$M$18,12,FALSE)</f>
        <v>#N/A</v>
      </c>
      <c r="U3296" s="81" t="e">
        <f>HLOOKUP(N3296,データについて!$J$8:$M$18,11,FALSE)</f>
        <v>#N/A</v>
      </c>
      <c r="V3296" s="81" t="e">
        <f>HLOOKUP(O3296,データについて!$J$9:$M$18,10,FALSE)</f>
        <v>#N/A</v>
      </c>
      <c r="W3296" s="81" t="e">
        <f>HLOOKUP(P3296,データについて!$J$10:$M$18,9,FALSE)</f>
        <v>#N/A</v>
      </c>
      <c r="X3296" s="81" t="e">
        <f>HLOOKUP(Q3296,データについて!$J$11:$M$18,8,FALSE)</f>
        <v>#N/A</v>
      </c>
      <c r="Y3296" s="81" t="e">
        <f>HLOOKUP(R3296,データについて!$J$12:$M$18,7,FALSE)</f>
        <v>#N/A</v>
      </c>
      <c r="Z3296" s="81" t="e">
        <f>HLOOKUP(I3296,データについて!$J$3:$M$18,16,FALSE)</f>
        <v>#N/A</v>
      </c>
      <c r="AA3296" s="81" t="str">
        <f>IFERROR(HLOOKUP(J3296,データについて!$J$4:$AH$19,16,FALSE),"")</f>
        <v/>
      </c>
      <c r="AB3296" s="81" t="str">
        <f>IFERROR(HLOOKUP(K3296,データについて!$J$5:$AH$20,14,FALSE),"")</f>
        <v/>
      </c>
      <c r="AC3296" s="81" t="e">
        <f>IF(X3296=1,HLOOKUP(R3296,データについて!$J$12:$M$18,7,FALSE),"*")</f>
        <v>#N/A</v>
      </c>
      <c r="AD3296" s="81" t="e">
        <f>IF(X3296=2,HLOOKUP(R3296,データについて!$J$12:$M$18,7,FALSE),"*")</f>
        <v>#N/A</v>
      </c>
    </row>
    <row r="3297" spans="19:30">
      <c r="S3297" s="81" t="e">
        <f>HLOOKUP(L3297,データについて!$J$6:$M$18,13,FALSE)</f>
        <v>#N/A</v>
      </c>
      <c r="T3297" s="81" t="e">
        <f>HLOOKUP(M3297,データについて!$J$7:$M$18,12,FALSE)</f>
        <v>#N/A</v>
      </c>
      <c r="U3297" s="81" t="e">
        <f>HLOOKUP(N3297,データについて!$J$8:$M$18,11,FALSE)</f>
        <v>#N/A</v>
      </c>
      <c r="V3297" s="81" t="e">
        <f>HLOOKUP(O3297,データについて!$J$9:$M$18,10,FALSE)</f>
        <v>#N/A</v>
      </c>
      <c r="W3297" s="81" t="e">
        <f>HLOOKUP(P3297,データについて!$J$10:$M$18,9,FALSE)</f>
        <v>#N/A</v>
      </c>
      <c r="X3297" s="81" t="e">
        <f>HLOOKUP(Q3297,データについて!$J$11:$M$18,8,FALSE)</f>
        <v>#N/A</v>
      </c>
      <c r="Y3297" s="81" t="e">
        <f>HLOOKUP(R3297,データについて!$J$12:$M$18,7,FALSE)</f>
        <v>#N/A</v>
      </c>
      <c r="Z3297" s="81" t="e">
        <f>HLOOKUP(I3297,データについて!$J$3:$M$18,16,FALSE)</f>
        <v>#N/A</v>
      </c>
      <c r="AA3297" s="81" t="str">
        <f>IFERROR(HLOOKUP(J3297,データについて!$J$4:$AH$19,16,FALSE),"")</f>
        <v/>
      </c>
      <c r="AB3297" s="81" t="str">
        <f>IFERROR(HLOOKUP(K3297,データについて!$J$5:$AH$20,14,FALSE),"")</f>
        <v/>
      </c>
      <c r="AC3297" s="81" t="e">
        <f>IF(X3297=1,HLOOKUP(R3297,データについて!$J$12:$M$18,7,FALSE),"*")</f>
        <v>#N/A</v>
      </c>
      <c r="AD3297" s="81" t="e">
        <f>IF(X3297=2,HLOOKUP(R3297,データについて!$J$12:$M$18,7,FALSE),"*")</f>
        <v>#N/A</v>
      </c>
    </row>
    <row r="3298" spans="19:30">
      <c r="S3298" s="81" t="e">
        <f>HLOOKUP(L3298,データについて!$J$6:$M$18,13,FALSE)</f>
        <v>#N/A</v>
      </c>
      <c r="T3298" s="81" t="e">
        <f>HLOOKUP(M3298,データについて!$J$7:$M$18,12,FALSE)</f>
        <v>#N/A</v>
      </c>
      <c r="U3298" s="81" t="e">
        <f>HLOOKUP(N3298,データについて!$J$8:$M$18,11,FALSE)</f>
        <v>#N/A</v>
      </c>
      <c r="V3298" s="81" t="e">
        <f>HLOOKUP(O3298,データについて!$J$9:$M$18,10,FALSE)</f>
        <v>#N/A</v>
      </c>
      <c r="W3298" s="81" t="e">
        <f>HLOOKUP(P3298,データについて!$J$10:$M$18,9,FALSE)</f>
        <v>#N/A</v>
      </c>
      <c r="X3298" s="81" t="e">
        <f>HLOOKUP(Q3298,データについて!$J$11:$M$18,8,FALSE)</f>
        <v>#N/A</v>
      </c>
      <c r="Y3298" s="81" t="e">
        <f>HLOOKUP(R3298,データについて!$J$12:$M$18,7,FALSE)</f>
        <v>#N/A</v>
      </c>
      <c r="Z3298" s="81" t="e">
        <f>HLOOKUP(I3298,データについて!$J$3:$M$18,16,FALSE)</f>
        <v>#N/A</v>
      </c>
      <c r="AA3298" s="81" t="str">
        <f>IFERROR(HLOOKUP(J3298,データについて!$J$4:$AH$19,16,FALSE),"")</f>
        <v/>
      </c>
      <c r="AB3298" s="81" t="str">
        <f>IFERROR(HLOOKUP(K3298,データについて!$J$5:$AH$20,14,FALSE),"")</f>
        <v/>
      </c>
      <c r="AC3298" s="81" t="e">
        <f>IF(X3298=1,HLOOKUP(R3298,データについて!$J$12:$M$18,7,FALSE),"*")</f>
        <v>#N/A</v>
      </c>
      <c r="AD3298" s="81" t="e">
        <f>IF(X3298=2,HLOOKUP(R3298,データについて!$J$12:$M$18,7,FALSE),"*")</f>
        <v>#N/A</v>
      </c>
    </row>
    <row r="3299" spans="19:30">
      <c r="S3299" s="81" t="e">
        <f>HLOOKUP(L3299,データについて!$J$6:$M$18,13,FALSE)</f>
        <v>#N/A</v>
      </c>
      <c r="T3299" s="81" t="e">
        <f>HLOOKUP(M3299,データについて!$J$7:$M$18,12,FALSE)</f>
        <v>#N/A</v>
      </c>
      <c r="U3299" s="81" t="e">
        <f>HLOOKUP(N3299,データについて!$J$8:$M$18,11,FALSE)</f>
        <v>#N/A</v>
      </c>
      <c r="V3299" s="81" t="e">
        <f>HLOOKUP(O3299,データについて!$J$9:$M$18,10,FALSE)</f>
        <v>#N/A</v>
      </c>
      <c r="W3299" s="81" t="e">
        <f>HLOOKUP(P3299,データについて!$J$10:$M$18,9,FALSE)</f>
        <v>#N/A</v>
      </c>
      <c r="X3299" s="81" t="e">
        <f>HLOOKUP(Q3299,データについて!$J$11:$M$18,8,FALSE)</f>
        <v>#N/A</v>
      </c>
      <c r="Y3299" s="81" t="e">
        <f>HLOOKUP(R3299,データについて!$J$12:$M$18,7,FALSE)</f>
        <v>#N/A</v>
      </c>
      <c r="Z3299" s="81" t="e">
        <f>HLOOKUP(I3299,データについて!$J$3:$M$18,16,FALSE)</f>
        <v>#N/A</v>
      </c>
      <c r="AA3299" s="81" t="str">
        <f>IFERROR(HLOOKUP(J3299,データについて!$J$4:$AH$19,16,FALSE),"")</f>
        <v/>
      </c>
      <c r="AB3299" s="81" t="str">
        <f>IFERROR(HLOOKUP(K3299,データについて!$J$5:$AH$20,14,FALSE),"")</f>
        <v/>
      </c>
      <c r="AC3299" s="81" t="e">
        <f>IF(X3299=1,HLOOKUP(R3299,データについて!$J$12:$M$18,7,FALSE),"*")</f>
        <v>#N/A</v>
      </c>
      <c r="AD3299" s="81" t="e">
        <f>IF(X3299=2,HLOOKUP(R3299,データについて!$J$12:$M$18,7,FALSE),"*")</f>
        <v>#N/A</v>
      </c>
    </row>
    <row r="3300" spans="19:30">
      <c r="S3300" s="81" t="e">
        <f>HLOOKUP(L3300,データについて!$J$6:$M$18,13,FALSE)</f>
        <v>#N/A</v>
      </c>
      <c r="T3300" s="81" t="e">
        <f>HLOOKUP(M3300,データについて!$J$7:$M$18,12,FALSE)</f>
        <v>#N/A</v>
      </c>
      <c r="U3300" s="81" t="e">
        <f>HLOOKUP(N3300,データについて!$J$8:$M$18,11,FALSE)</f>
        <v>#N/A</v>
      </c>
      <c r="V3300" s="81" t="e">
        <f>HLOOKUP(O3300,データについて!$J$9:$M$18,10,FALSE)</f>
        <v>#N/A</v>
      </c>
      <c r="W3300" s="81" t="e">
        <f>HLOOKUP(P3300,データについて!$J$10:$M$18,9,FALSE)</f>
        <v>#N/A</v>
      </c>
      <c r="X3300" s="81" t="e">
        <f>HLOOKUP(Q3300,データについて!$J$11:$M$18,8,FALSE)</f>
        <v>#N/A</v>
      </c>
      <c r="Y3300" s="81" t="e">
        <f>HLOOKUP(R3300,データについて!$J$12:$M$18,7,FALSE)</f>
        <v>#N/A</v>
      </c>
      <c r="Z3300" s="81" t="e">
        <f>HLOOKUP(I3300,データについて!$J$3:$M$18,16,FALSE)</f>
        <v>#N/A</v>
      </c>
      <c r="AA3300" s="81" t="str">
        <f>IFERROR(HLOOKUP(J3300,データについて!$J$4:$AH$19,16,FALSE),"")</f>
        <v/>
      </c>
      <c r="AB3300" s="81" t="str">
        <f>IFERROR(HLOOKUP(K3300,データについて!$J$5:$AH$20,14,FALSE),"")</f>
        <v/>
      </c>
      <c r="AC3300" s="81" t="e">
        <f>IF(X3300=1,HLOOKUP(R3300,データについて!$J$12:$M$18,7,FALSE),"*")</f>
        <v>#N/A</v>
      </c>
      <c r="AD3300" s="81" t="e">
        <f>IF(X3300=2,HLOOKUP(R3300,データについて!$J$12:$M$18,7,FALSE),"*")</f>
        <v>#N/A</v>
      </c>
    </row>
    <row r="3301" spans="19:30">
      <c r="S3301" s="81" t="e">
        <f>HLOOKUP(L3301,データについて!$J$6:$M$18,13,FALSE)</f>
        <v>#N/A</v>
      </c>
      <c r="T3301" s="81" t="e">
        <f>HLOOKUP(M3301,データについて!$J$7:$M$18,12,FALSE)</f>
        <v>#N/A</v>
      </c>
      <c r="U3301" s="81" t="e">
        <f>HLOOKUP(N3301,データについて!$J$8:$M$18,11,FALSE)</f>
        <v>#N/A</v>
      </c>
      <c r="V3301" s="81" t="e">
        <f>HLOOKUP(O3301,データについて!$J$9:$M$18,10,FALSE)</f>
        <v>#N/A</v>
      </c>
      <c r="W3301" s="81" t="e">
        <f>HLOOKUP(P3301,データについて!$J$10:$M$18,9,FALSE)</f>
        <v>#N/A</v>
      </c>
      <c r="X3301" s="81" t="e">
        <f>HLOOKUP(Q3301,データについて!$J$11:$M$18,8,FALSE)</f>
        <v>#N/A</v>
      </c>
      <c r="Y3301" s="81" t="e">
        <f>HLOOKUP(R3301,データについて!$J$12:$M$18,7,FALSE)</f>
        <v>#N/A</v>
      </c>
      <c r="Z3301" s="81" t="e">
        <f>HLOOKUP(I3301,データについて!$J$3:$M$18,16,FALSE)</f>
        <v>#N/A</v>
      </c>
      <c r="AA3301" s="81" t="str">
        <f>IFERROR(HLOOKUP(J3301,データについて!$J$4:$AH$19,16,FALSE),"")</f>
        <v/>
      </c>
      <c r="AB3301" s="81" t="str">
        <f>IFERROR(HLOOKUP(K3301,データについて!$J$5:$AH$20,14,FALSE),"")</f>
        <v/>
      </c>
      <c r="AC3301" s="81" t="e">
        <f>IF(X3301=1,HLOOKUP(R3301,データについて!$J$12:$M$18,7,FALSE),"*")</f>
        <v>#N/A</v>
      </c>
      <c r="AD3301" s="81" t="e">
        <f>IF(X3301=2,HLOOKUP(R3301,データについて!$J$12:$M$18,7,FALSE),"*")</f>
        <v>#N/A</v>
      </c>
    </row>
    <row r="3302" spans="19:30">
      <c r="S3302" s="81" t="e">
        <f>HLOOKUP(L3302,データについて!$J$6:$M$18,13,FALSE)</f>
        <v>#N/A</v>
      </c>
      <c r="T3302" s="81" t="e">
        <f>HLOOKUP(M3302,データについて!$J$7:$M$18,12,FALSE)</f>
        <v>#N/A</v>
      </c>
      <c r="U3302" s="81" t="e">
        <f>HLOOKUP(N3302,データについて!$J$8:$M$18,11,FALSE)</f>
        <v>#N/A</v>
      </c>
      <c r="V3302" s="81" t="e">
        <f>HLOOKUP(O3302,データについて!$J$9:$M$18,10,FALSE)</f>
        <v>#N/A</v>
      </c>
      <c r="W3302" s="81" t="e">
        <f>HLOOKUP(P3302,データについて!$J$10:$M$18,9,FALSE)</f>
        <v>#N/A</v>
      </c>
      <c r="X3302" s="81" t="e">
        <f>HLOOKUP(Q3302,データについて!$J$11:$M$18,8,FALSE)</f>
        <v>#N/A</v>
      </c>
      <c r="Y3302" s="81" t="e">
        <f>HLOOKUP(R3302,データについて!$J$12:$M$18,7,FALSE)</f>
        <v>#N/A</v>
      </c>
      <c r="Z3302" s="81" t="e">
        <f>HLOOKUP(I3302,データについて!$J$3:$M$18,16,FALSE)</f>
        <v>#N/A</v>
      </c>
      <c r="AA3302" s="81" t="str">
        <f>IFERROR(HLOOKUP(J3302,データについて!$J$4:$AH$19,16,FALSE),"")</f>
        <v/>
      </c>
      <c r="AB3302" s="81" t="str">
        <f>IFERROR(HLOOKUP(K3302,データについて!$J$5:$AH$20,14,FALSE),"")</f>
        <v/>
      </c>
      <c r="AC3302" s="81" t="e">
        <f>IF(X3302=1,HLOOKUP(R3302,データについて!$J$12:$M$18,7,FALSE),"*")</f>
        <v>#N/A</v>
      </c>
      <c r="AD3302" s="81" t="e">
        <f>IF(X3302=2,HLOOKUP(R3302,データについて!$J$12:$M$18,7,FALSE),"*")</f>
        <v>#N/A</v>
      </c>
    </row>
    <row r="3303" spans="19:30">
      <c r="S3303" s="81" t="e">
        <f>HLOOKUP(L3303,データについて!$J$6:$M$18,13,FALSE)</f>
        <v>#N/A</v>
      </c>
      <c r="T3303" s="81" t="e">
        <f>HLOOKUP(M3303,データについて!$J$7:$M$18,12,FALSE)</f>
        <v>#N/A</v>
      </c>
      <c r="U3303" s="81" t="e">
        <f>HLOOKUP(N3303,データについて!$J$8:$M$18,11,FALSE)</f>
        <v>#N/A</v>
      </c>
      <c r="V3303" s="81" t="e">
        <f>HLOOKUP(O3303,データについて!$J$9:$M$18,10,FALSE)</f>
        <v>#N/A</v>
      </c>
      <c r="W3303" s="81" t="e">
        <f>HLOOKUP(P3303,データについて!$J$10:$M$18,9,FALSE)</f>
        <v>#N/A</v>
      </c>
      <c r="X3303" s="81" t="e">
        <f>HLOOKUP(Q3303,データについて!$J$11:$M$18,8,FALSE)</f>
        <v>#N/A</v>
      </c>
      <c r="Y3303" s="81" t="e">
        <f>HLOOKUP(R3303,データについて!$J$12:$M$18,7,FALSE)</f>
        <v>#N/A</v>
      </c>
      <c r="Z3303" s="81" t="e">
        <f>HLOOKUP(I3303,データについて!$J$3:$M$18,16,FALSE)</f>
        <v>#N/A</v>
      </c>
      <c r="AA3303" s="81" t="str">
        <f>IFERROR(HLOOKUP(J3303,データについて!$J$4:$AH$19,16,FALSE),"")</f>
        <v/>
      </c>
      <c r="AB3303" s="81" t="str">
        <f>IFERROR(HLOOKUP(K3303,データについて!$J$5:$AH$20,14,FALSE),"")</f>
        <v/>
      </c>
      <c r="AC3303" s="81" t="e">
        <f>IF(X3303=1,HLOOKUP(R3303,データについて!$J$12:$M$18,7,FALSE),"*")</f>
        <v>#N/A</v>
      </c>
      <c r="AD3303" s="81" t="e">
        <f>IF(X3303=2,HLOOKUP(R3303,データについて!$J$12:$M$18,7,FALSE),"*")</f>
        <v>#N/A</v>
      </c>
    </row>
    <row r="3304" spans="19:30">
      <c r="S3304" s="81" t="e">
        <f>HLOOKUP(L3304,データについて!$J$6:$M$18,13,FALSE)</f>
        <v>#N/A</v>
      </c>
      <c r="T3304" s="81" t="e">
        <f>HLOOKUP(M3304,データについて!$J$7:$M$18,12,FALSE)</f>
        <v>#N/A</v>
      </c>
      <c r="U3304" s="81" t="e">
        <f>HLOOKUP(N3304,データについて!$J$8:$M$18,11,FALSE)</f>
        <v>#N/A</v>
      </c>
      <c r="V3304" s="81" t="e">
        <f>HLOOKUP(O3304,データについて!$J$9:$M$18,10,FALSE)</f>
        <v>#N/A</v>
      </c>
      <c r="W3304" s="81" t="e">
        <f>HLOOKUP(P3304,データについて!$J$10:$M$18,9,FALSE)</f>
        <v>#N/A</v>
      </c>
      <c r="X3304" s="81" t="e">
        <f>HLOOKUP(Q3304,データについて!$J$11:$M$18,8,FALSE)</f>
        <v>#N/A</v>
      </c>
      <c r="Y3304" s="81" t="e">
        <f>HLOOKUP(R3304,データについて!$J$12:$M$18,7,FALSE)</f>
        <v>#N/A</v>
      </c>
      <c r="Z3304" s="81" t="e">
        <f>HLOOKUP(I3304,データについて!$J$3:$M$18,16,FALSE)</f>
        <v>#N/A</v>
      </c>
      <c r="AA3304" s="81" t="str">
        <f>IFERROR(HLOOKUP(J3304,データについて!$J$4:$AH$19,16,FALSE),"")</f>
        <v/>
      </c>
      <c r="AB3304" s="81" t="str">
        <f>IFERROR(HLOOKUP(K3304,データについて!$J$5:$AH$20,14,FALSE),"")</f>
        <v/>
      </c>
      <c r="AC3304" s="81" t="e">
        <f>IF(X3304=1,HLOOKUP(R3304,データについて!$J$12:$M$18,7,FALSE),"*")</f>
        <v>#N/A</v>
      </c>
      <c r="AD3304" s="81" t="e">
        <f>IF(X3304=2,HLOOKUP(R3304,データについて!$J$12:$M$18,7,FALSE),"*")</f>
        <v>#N/A</v>
      </c>
    </row>
    <row r="3305" spans="19:30">
      <c r="S3305" s="81" t="e">
        <f>HLOOKUP(L3305,データについて!$J$6:$M$18,13,FALSE)</f>
        <v>#N/A</v>
      </c>
      <c r="T3305" s="81" t="e">
        <f>HLOOKUP(M3305,データについて!$J$7:$M$18,12,FALSE)</f>
        <v>#N/A</v>
      </c>
      <c r="U3305" s="81" t="e">
        <f>HLOOKUP(N3305,データについて!$J$8:$M$18,11,FALSE)</f>
        <v>#N/A</v>
      </c>
      <c r="V3305" s="81" t="e">
        <f>HLOOKUP(O3305,データについて!$J$9:$M$18,10,FALSE)</f>
        <v>#N/A</v>
      </c>
      <c r="W3305" s="81" t="e">
        <f>HLOOKUP(P3305,データについて!$J$10:$M$18,9,FALSE)</f>
        <v>#N/A</v>
      </c>
      <c r="X3305" s="81" t="e">
        <f>HLOOKUP(Q3305,データについて!$J$11:$M$18,8,FALSE)</f>
        <v>#N/A</v>
      </c>
      <c r="Y3305" s="81" t="e">
        <f>HLOOKUP(R3305,データについて!$J$12:$M$18,7,FALSE)</f>
        <v>#N/A</v>
      </c>
      <c r="Z3305" s="81" t="e">
        <f>HLOOKUP(I3305,データについて!$J$3:$M$18,16,FALSE)</f>
        <v>#N/A</v>
      </c>
      <c r="AA3305" s="81" t="str">
        <f>IFERROR(HLOOKUP(J3305,データについて!$J$4:$AH$19,16,FALSE),"")</f>
        <v/>
      </c>
      <c r="AB3305" s="81" t="str">
        <f>IFERROR(HLOOKUP(K3305,データについて!$J$5:$AH$20,14,FALSE),"")</f>
        <v/>
      </c>
      <c r="AC3305" s="81" t="e">
        <f>IF(X3305=1,HLOOKUP(R3305,データについて!$J$12:$M$18,7,FALSE),"*")</f>
        <v>#N/A</v>
      </c>
      <c r="AD3305" s="81" t="e">
        <f>IF(X3305=2,HLOOKUP(R3305,データについて!$J$12:$M$18,7,FALSE),"*")</f>
        <v>#N/A</v>
      </c>
    </row>
    <row r="3306" spans="19:30">
      <c r="S3306" s="81" t="e">
        <f>HLOOKUP(L3306,データについて!$J$6:$M$18,13,FALSE)</f>
        <v>#N/A</v>
      </c>
      <c r="T3306" s="81" t="e">
        <f>HLOOKUP(M3306,データについて!$J$7:$M$18,12,FALSE)</f>
        <v>#N/A</v>
      </c>
      <c r="U3306" s="81" t="e">
        <f>HLOOKUP(N3306,データについて!$J$8:$M$18,11,FALSE)</f>
        <v>#N/A</v>
      </c>
      <c r="V3306" s="81" t="e">
        <f>HLOOKUP(O3306,データについて!$J$9:$M$18,10,FALSE)</f>
        <v>#N/A</v>
      </c>
      <c r="W3306" s="81" t="e">
        <f>HLOOKUP(P3306,データについて!$J$10:$M$18,9,FALSE)</f>
        <v>#N/A</v>
      </c>
      <c r="X3306" s="81" t="e">
        <f>HLOOKUP(Q3306,データについて!$J$11:$M$18,8,FALSE)</f>
        <v>#N/A</v>
      </c>
      <c r="Y3306" s="81" t="e">
        <f>HLOOKUP(R3306,データについて!$J$12:$M$18,7,FALSE)</f>
        <v>#N/A</v>
      </c>
      <c r="Z3306" s="81" t="e">
        <f>HLOOKUP(I3306,データについて!$J$3:$M$18,16,FALSE)</f>
        <v>#N/A</v>
      </c>
      <c r="AA3306" s="81" t="str">
        <f>IFERROR(HLOOKUP(J3306,データについて!$J$4:$AH$19,16,FALSE),"")</f>
        <v/>
      </c>
      <c r="AB3306" s="81" t="str">
        <f>IFERROR(HLOOKUP(K3306,データについて!$J$5:$AH$20,14,FALSE),"")</f>
        <v/>
      </c>
      <c r="AC3306" s="81" t="e">
        <f>IF(X3306=1,HLOOKUP(R3306,データについて!$J$12:$M$18,7,FALSE),"*")</f>
        <v>#N/A</v>
      </c>
      <c r="AD3306" s="81" t="e">
        <f>IF(X3306=2,HLOOKUP(R3306,データについて!$J$12:$M$18,7,FALSE),"*")</f>
        <v>#N/A</v>
      </c>
    </row>
    <row r="3307" spans="19:30">
      <c r="S3307" s="81" t="e">
        <f>HLOOKUP(L3307,データについて!$J$6:$M$18,13,FALSE)</f>
        <v>#N/A</v>
      </c>
      <c r="T3307" s="81" t="e">
        <f>HLOOKUP(M3307,データについて!$J$7:$M$18,12,FALSE)</f>
        <v>#N/A</v>
      </c>
      <c r="U3307" s="81" t="e">
        <f>HLOOKUP(N3307,データについて!$J$8:$M$18,11,FALSE)</f>
        <v>#N/A</v>
      </c>
      <c r="V3307" s="81" t="e">
        <f>HLOOKUP(O3307,データについて!$J$9:$M$18,10,FALSE)</f>
        <v>#N/A</v>
      </c>
      <c r="W3307" s="81" t="e">
        <f>HLOOKUP(P3307,データについて!$J$10:$M$18,9,FALSE)</f>
        <v>#N/A</v>
      </c>
      <c r="X3307" s="81" t="e">
        <f>HLOOKUP(Q3307,データについて!$J$11:$M$18,8,FALSE)</f>
        <v>#N/A</v>
      </c>
      <c r="Y3307" s="81" t="e">
        <f>HLOOKUP(R3307,データについて!$J$12:$M$18,7,FALSE)</f>
        <v>#N/A</v>
      </c>
      <c r="Z3307" s="81" t="e">
        <f>HLOOKUP(I3307,データについて!$J$3:$M$18,16,FALSE)</f>
        <v>#N/A</v>
      </c>
      <c r="AA3307" s="81" t="str">
        <f>IFERROR(HLOOKUP(J3307,データについて!$J$4:$AH$19,16,FALSE),"")</f>
        <v/>
      </c>
      <c r="AB3307" s="81" t="str">
        <f>IFERROR(HLOOKUP(K3307,データについて!$J$5:$AH$20,14,FALSE),"")</f>
        <v/>
      </c>
      <c r="AC3307" s="81" t="e">
        <f>IF(X3307=1,HLOOKUP(R3307,データについて!$J$12:$M$18,7,FALSE),"*")</f>
        <v>#N/A</v>
      </c>
      <c r="AD3307" s="81" t="e">
        <f>IF(X3307=2,HLOOKUP(R3307,データについて!$J$12:$M$18,7,FALSE),"*")</f>
        <v>#N/A</v>
      </c>
    </row>
    <row r="3308" spans="19:30">
      <c r="S3308" s="81" t="e">
        <f>HLOOKUP(L3308,データについて!$J$6:$M$18,13,FALSE)</f>
        <v>#N/A</v>
      </c>
      <c r="T3308" s="81" t="e">
        <f>HLOOKUP(M3308,データについて!$J$7:$M$18,12,FALSE)</f>
        <v>#N/A</v>
      </c>
      <c r="U3308" s="81" t="e">
        <f>HLOOKUP(N3308,データについて!$J$8:$M$18,11,FALSE)</f>
        <v>#N/A</v>
      </c>
      <c r="V3308" s="81" t="e">
        <f>HLOOKUP(O3308,データについて!$J$9:$M$18,10,FALSE)</f>
        <v>#N/A</v>
      </c>
      <c r="W3308" s="81" t="e">
        <f>HLOOKUP(P3308,データについて!$J$10:$M$18,9,FALSE)</f>
        <v>#N/A</v>
      </c>
      <c r="X3308" s="81" t="e">
        <f>HLOOKUP(Q3308,データについて!$J$11:$M$18,8,FALSE)</f>
        <v>#N/A</v>
      </c>
      <c r="Y3308" s="81" t="e">
        <f>HLOOKUP(R3308,データについて!$J$12:$M$18,7,FALSE)</f>
        <v>#N/A</v>
      </c>
      <c r="Z3308" s="81" t="e">
        <f>HLOOKUP(I3308,データについて!$J$3:$M$18,16,FALSE)</f>
        <v>#N/A</v>
      </c>
      <c r="AA3308" s="81" t="str">
        <f>IFERROR(HLOOKUP(J3308,データについて!$J$4:$AH$19,16,FALSE),"")</f>
        <v/>
      </c>
      <c r="AB3308" s="81" t="str">
        <f>IFERROR(HLOOKUP(K3308,データについて!$J$5:$AH$20,14,FALSE),"")</f>
        <v/>
      </c>
      <c r="AC3308" s="81" t="e">
        <f>IF(X3308=1,HLOOKUP(R3308,データについて!$J$12:$M$18,7,FALSE),"*")</f>
        <v>#N/A</v>
      </c>
      <c r="AD3308" s="81" t="e">
        <f>IF(X3308=2,HLOOKUP(R3308,データについて!$J$12:$M$18,7,FALSE),"*")</f>
        <v>#N/A</v>
      </c>
    </row>
    <row r="3309" spans="19:30">
      <c r="S3309" s="81" t="e">
        <f>HLOOKUP(L3309,データについて!$J$6:$M$18,13,FALSE)</f>
        <v>#N/A</v>
      </c>
      <c r="T3309" s="81" t="e">
        <f>HLOOKUP(M3309,データについて!$J$7:$M$18,12,FALSE)</f>
        <v>#N/A</v>
      </c>
      <c r="U3309" s="81" t="e">
        <f>HLOOKUP(N3309,データについて!$J$8:$M$18,11,FALSE)</f>
        <v>#N/A</v>
      </c>
      <c r="V3309" s="81" t="e">
        <f>HLOOKUP(O3309,データについて!$J$9:$M$18,10,FALSE)</f>
        <v>#N/A</v>
      </c>
      <c r="W3309" s="81" t="e">
        <f>HLOOKUP(P3309,データについて!$J$10:$M$18,9,FALSE)</f>
        <v>#N/A</v>
      </c>
      <c r="X3309" s="81" t="e">
        <f>HLOOKUP(Q3309,データについて!$J$11:$M$18,8,FALSE)</f>
        <v>#N/A</v>
      </c>
      <c r="Y3309" s="81" t="e">
        <f>HLOOKUP(R3309,データについて!$J$12:$M$18,7,FALSE)</f>
        <v>#N/A</v>
      </c>
      <c r="Z3309" s="81" t="e">
        <f>HLOOKUP(I3309,データについて!$J$3:$M$18,16,FALSE)</f>
        <v>#N/A</v>
      </c>
      <c r="AA3309" s="81" t="str">
        <f>IFERROR(HLOOKUP(J3309,データについて!$J$4:$AH$19,16,FALSE),"")</f>
        <v/>
      </c>
      <c r="AB3309" s="81" t="str">
        <f>IFERROR(HLOOKUP(K3309,データについて!$J$5:$AH$20,14,FALSE),"")</f>
        <v/>
      </c>
      <c r="AC3309" s="81" t="e">
        <f>IF(X3309=1,HLOOKUP(R3309,データについて!$J$12:$M$18,7,FALSE),"*")</f>
        <v>#N/A</v>
      </c>
      <c r="AD3309" s="81" t="e">
        <f>IF(X3309=2,HLOOKUP(R3309,データについて!$J$12:$M$18,7,FALSE),"*")</f>
        <v>#N/A</v>
      </c>
    </row>
    <row r="3310" spans="19:30">
      <c r="S3310" s="81" t="e">
        <f>HLOOKUP(L3310,データについて!$J$6:$M$18,13,FALSE)</f>
        <v>#N/A</v>
      </c>
      <c r="T3310" s="81" t="e">
        <f>HLOOKUP(M3310,データについて!$J$7:$M$18,12,FALSE)</f>
        <v>#N/A</v>
      </c>
      <c r="U3310" s="81" t="e">
        <f>HLOOKUP(N3310,データについて!$J$8:$M$18,11,FALSE)</f>
        <v>#N/A</v>
      </c>
      <c r="V3310" s="81" t="e">
        <f>HLOOKUP(O3310,データについて!$J$9:$M$18,10,FALSE)</f>
        <v>#N/A</v>
      </c>
      <c r="W3310" s="81" t="e">
        <f>HLOOKUP(P3310,データについて!$J$10:$M$18,9,FALSE)</f>
        <v>#N/A</v>
      </c>
      <c r="X3310" s="81" t="e">
        <f>HLOOKUP(Q3310,データについて!$J$11:$M$18,8,FALSE)</f>
        <v>#N/A</v>
      </c>
      <c r="Y3310" s="81" t="e">
        <f>HLOOKUP(R3310,データについて!$J$12:$M$18,7,FALSE)</f>
        <v>#N/A</v>
      </c>
      <c r="Z3310" s="81" t="e">
        <f>HLOOKUP(I3310,データについて!$J$3:$M$18,16,FALSE)</f>
        <v>#N/A</v>
      </c>
      <c r="AA3310" s="81" t="str">
        <f>IFERROR(HLOOKUP(J3310,データについて!$J$4:$AH$19,16,FALSE),"")</f>
        <v/>
      </c>
      <c r="AB3310" s="81" t="str">
        <f>IFERROR(HLOOKUP(K3310,データについて!$J$5:$AH$20,14,FALSE),"")</f>
        <v/>
      </c>
      <c r="AC3310" s="81" t="e">
        <f>IF(X3310=1,HLOOKUP(R3310,データについて!$J$12:$M$18,7,FALSE),"*")</f>
        <v>#N/A</v>
      </c>
      <c r="AD3310" s="81" t="e">
        <f>IF(X3310=2,HLOOKUP(R3310,データについて!$J$12:$M$18,7,FALSE),"*")</f>
        <v>#N/A</v>
      </c>
    </row>
    <row r="3311" spans="19:30">
      <c r="S3311" s="81" t="e">
        <f>HLOOKUP(L3311,データについて!$J$6:$M$18,13,FALSE)</f>
        <v>#N/A</v>
      </c>
      <c r="T3311" s="81" t="e">
        <f>HLOOKUP(M3311,データについて!$J$7:$M$18,12,FALSE)</f>
        <v>#N/A</v>
      </c>
      <c r="U3311" s="81" t="e">
        <f>HLOOKUP(N3311,データについて!$J$8:$M$18,11,FALSE)</f>
        <v>#N/A</v>
      </c>
      <c r="V3311" s="81" t="e">
        <f>HLOOKUP(O3311,データについて!$J$9:$M$18,10,FALSE)</f>
        <v>#N/A</v>
      </c>
      <c r="W3311" s="81" t="e">
        <f>HLOOKUP(P3311,データについて!$J$10:$M$18,9,FALSE)</f>
        <v>#N/A</v>
      </c>
      <c r="X3311" s="81" t="e">
        <f>HLOOKUP(Q3311,データについて!$J$11:$M$18,8,FALSE)</f>
        <v>#N/A</v>
      </c>
      <c r="Y3311" s="81" t="e">
        <f>HLOOKUP(R3311,データについて!$J$12:$M$18,7,FALSE)</f>
        <v>#N/A</v>
      </c>
      <c r="Z3311" s="81" t="e">
        <f>HLOOKUP(I3311,データについて!$J$3:$M$18,16,FALSE)</f>
        <v>#N/A</v>
      </c>
      <c r="AA3311" s="81" t="str">
        <f>IFERROR(HLOOKUP(J3311,データについて!$J$4:$AH$19,16,FALSE),"")</f>
        <v/>
      </c>
      <c r="AB3311" s="81" t="str">
        <f>IFERROR(HLOOKUP(K3311,データについて!$J$5:$AH$20,14,FALSE),"")</f>
        <v/>
      </c>
      <c r="AC3311" s="81" t="e">
        <f>IF(X3311=1,HLOOKUP(R3311,データについて!$J$12:$M$18,7,FALSE),"*")</f>
        <v>#N/A</v>
      </c>
      <c r="AD3311" s="81" t="e">
        <f>IF(X3311=2,HLOOKUP(R3311,データについて!$J$12:$M$18,7,FALSE),"*")</f>
        <v>#N/A</v>
      </c>
    </row>
    <row r="3312" spans="19:30">
      <c r="S3312" s="81" t="e">
        <f>HLOOKUP(L3312,データについて!$J$6:$M$18,13,FALSE)</f>
        <v>#N/A</v>
      </c>
      <c r="T3312" s="81" t="e">
        <f>HLOOKUP(M3312,データについて!$J$7:$M$18,12,FALSE)</f>
        <v>#N/A</v>
      </c>
      <c r="U3312" s="81" t="e">
        <f>HLOOKUP(N3312,データについて!$J$8:$M$18,11,FALSE)</f>
        <v>#N/A</v>
      </c>
      <c r="V3312" s="81" t="e">
        <f>HLOOKUP(O3312,データについて!$J$9:$M$18,10,FALSE)</f>
        <v>#N/A</v>
      </c>
      <c r="W3312" s="81" t="e">
        <f>HLOOKUP(P3312,データについて!$J$10:$M$18,9,FALSE)</f>
        <v>#N/A</v>
      </c>
      <c r="X3312" s="81" t="e">
        <f>HLOOKUP(Q3312,データについて!$J$11:$M$18,8,FALSE)</f>
        <v>#N/A</v>
      </c>
      <c r="Y3312" s="81" t="e">
        <f>HLOOKUP(R3312,データについて!$J$12:$M$18,7,FALSE)</f>
        <v>#N/A</v>
      </c>
      <c r="Z3312" s="81" t="e">
        <f>HLOOKUP(I3312,データについて!$J$3:$M$18,16,FALSE)</f>
        <v>#N/A</v>
      </c>
      <c r="AA3312" s="81" t="str">
        <f>IFERROR(HLOOKUP(J3312,データについて!$J$4:$AH$19,16,FALSE),"")</f>
        <v/>
      </c>
      <c r="AB3312" s="81" t="str">
        <f>IFERROR(HLOOKUP(K3312,データについて!$J$5:$AH$20,14,FALSE),"")</f>
        <v/>
      </c>
      <c r="AC3312" s="81" t="e">
        <f>IF(X3312=1,HLOOKUP(R3312,データについて!$J$12:$M$18,7,FALSE),"*")</f>
        <v>#N/A</v>
      </c>
      <c r="AD3312" s="81" t="e">
        <f>IF(X3312=2,HLOOKUP(R3312,データについて!$J$12:$M$18,7,FALSE),"*")</f>
        <v>#N/A</v>
      </c>
    </row>
    <row r="3313" spans="19:30">
      <c r="S3313" s="81" t="e">
        <f>HLOOKUP(L3313,データについて!$J$6:$M$18,13,FALSE)</f>
        <v>#N/A</v>
      </c>
      <c r="T3313" s="81" t="e">
        <f>HLOOKUP(M3313,データについて!$J$7:$M$18,12,FALSE)</f>
        <v>#N/A</v>
      </c>
      <c r="U3313" s="81" t="e">
        <f>HLOOKUP(N3313,データについて!$J$8:$M$18,11,FALSE)</f>
        <v>#N/A</v>
      </c>
      <c r="V3313" s="81" t="e">
        <f>HLOOKUP(O3313,データについて!$J$9:$M$18,10,FALSE)</f>
        <v>#N/A</v>
      </c>
      <c r="W3313" s="81" t="e">
        <f>HLOOKUP(P3313,データについて!$J$10:$M$18,9,FALSE)</f>
        <v>#N/A</v>
      </c>
      <c r="X3313" s="81" t="e">
        <f>HLOOKUP(Q3313,データについて!$J$11:$M$18,8,FALSE)</f>
        <v>#N/A</v>
      </c>
      <c r="Y3313" s="81" t="e">
        <f>HLOOKUP(R3313,データについて!$J$12:$M$18,7,FALSE)</f>
        <v>#N/A</v>
      </c>
      <c r="Z3313" s="81" t="e">
        <f>HLOOKUP(I3313,データについて!$J$3:$M$18,16,FALSE)</f>
        <v>#N/A</v>
      </c>
      <c r="AA3313" s="81" t="str">
        <f>IFERROR(HLOOKUP(J3313,データについて!$J$4:$AH$19,16,FALSE),"")</f>
        <v/>
      </c>
      <c r="AB3313" s="81" t="str">
        <f>IFERROR(HLOOKUP(K3313,データについて!$J$5:$AH$20,14,FALSE),"")</f>
        <v/>
      </c>
      <c r="AC3313" s="81" t="e">
        <f>IF(X3313=1,HLOOKUP(R3313,データについて!$J$12:$M$18,7,FALSE),"*")</f>
        <v>#N/A</v>
      </c>
      <c r="AD3313" s="81" t="e">
        <f>IF(X3313=2,HLOOKUP(R3313,データについて!$J$12:$M$18,7,FALSE),"*")</f>
        <v>#N/A</v>
      </c>
    </row>
    <row r="3314" spans="19:30">
      <c r="S3314" s="81" t="e">
        <f>HLOOKUP(L3314,データについて!$J$6:$M$18,13,FALSE)</f>
        <v>#N/A</v>
      </c>
      <c r="T3314" s="81" t="e">
        <f>HLOOKUP(M3314,データについて!$J$7:$M$18,12,FALSE)</f>
        <v>#N/A</v>
      </c>
      <c r="U3314" s="81" t="e">
        <f>HLOOKUP(N3314,データについて!$J$8:$M$18,11,FALSE)</f>
        <v>#N/A</v>
      </c>
      <c r="V3314" s="81" t="e">
        <f>HLOOKUP(O3314,データについて!$J$9:$M$18,10,FALSE)</f>
        <v>#N/A</v>
      </c>
      <c r="W3314" s="81" t="e">
        <f>HLOOKUP(P3314,データについて!$J$10:$M$18,9,FALSE)</f>
        <v>#N/A</v>
      </c>
      <c r="X3314" s="81" t="e">
        <f>HLOOKUP(Q3314,データについて!$J$11:$M$18,8,FALSE)</f>
        <v>#N/A</v>
      </c>
      <c r="Y3314" s="81" t="e">
        <f>HLOOKUP(R3314,データについて!$J$12:$M$18,7,FALSE)</f>
        <v>#N/A</v>
      </c>
      <c r="Z3314" s="81" t="e">
        <f>HLOOKUP(I3314,データについて!$J$3:$M$18,16,FALSE)</f>
        <v>#N/A</v>
      </c>
      <c r="AA3314" s="81" t="str">
        <f>IFERROR(HLOOKUP(J3314,データについて!$J$4:$AH$19,16,FALSE),"")</f>
        <v/>
      </c>
      <c r="AB3314" s="81" t="str">
        <f>IFERROR(HLOOKUP(K3314,データについて!$J$5:$AH$20,14,FALSE),"")</f>
        <v/>
      </c>
      <c r="AC3314" s="81" t="e">
        <f>IF(X3314=1,HLOOKUP(R3314,データについて!$J$12:$M$18,7,FALSE),"*")</f>
        <v>#N/A</v>
      </c>
      <c r="AD3314" s="81" t="e">
        <f>IF(X3314=2,HLOOKUP(R3314,データについて!$J$12:$M$18,7,FALSE),"*")</f>
        <v>#N/A</v>
      </c>
    </row>
    <row r="3315" spans="19:30">
      <c r="S3315" s="81" t="e">
        <f>HLOOKUP(L3315,データについて!$J$6:$M$18,13,FALSE)</f>
        <v>#N/A</v>
      </c>
      <c r="T3315" s="81" t="e">
        <f>HLOOKUP(M3315,データについて!$J$7:$M$18,12,FALSE)</f>
        <v>#N/A</v>
      </c>
      <c r="U3315" s="81" t="e">
        <f>HLOOKUP(N3315,データについて!$J$8:$M$18,11,FALSE)</f>
        <v>#N/A</v>
      </c>
      <c r="V3315" s="81" t="e">
        <f>HLOOKUP(O3315,データについて!$J$9:$M$18,10,FALSE)</f>
        <v>#N/A</v>
      </c>
      <c r="W3315" s="81" t="e">
        <f>HLOOKUP(P3315,データについて!$J$10:$M$18,9,FALSE)</f>
        <v>#N/A</v>
      </c>
      <c r="X3315" s="81" t="e">
        <f>HLOOKUP(Q3315,データについて!$J$11:$M$18,8,FALSE)</f>
        <v>#N/A</v>
      </c>
      <c r="Y3315" s="81" t="e">
        <f>HLOOKUP(R3315,データについて!$J$12:$M$18,7,FALSE)</f>
        <v>#N/A</v>
      </c>
      <c r="Z3315" s="81" t="e">
        <f>HLOOKUP(I3315,データについて!$J$3:$M$18,16,FALSE)</f>
        <v>#N/A</v>
      </c>
      <c r="AA3315" s="81" t="str">
        <f>IFERROR(HLOOKUP(J3315,データについて!$J$4:$AH$19,16,FALSE),"")</f>
        <v/>
      </c>
      <c r="AB3315" s="81" t="str">
        <f>IFERROR(HLOOKUP(K3315,データについて!$J$5:$AH$20,14,FALSE),"")</f>
        <v/>
      </c>
      <c r="AC3315" s="81" t="e">
        <f>IF(X3315=1,HLOOKUP(R3315,データについて!$J$12:$M$18,7,FALSE),"*")</f>
        <v>#N/A</v>
      </c>
      <c r="AD3315" s="81" t="e">
        <f>IF(X3315=2,HLOOKUP(R3315,データについて!$J$12:$M$18,7,FALSE),"*")</f>
        <v>#N/A</v>
      </c>
    </row>
    <row r="3316" spans="19:30">
      <c r="S3316" s="81" t="e">
        <f>HLOOKUP(L3316,データについて!$J$6:$M$18,13,FALSE)</f>
        <v>#N/A</v>
      </c>
      <c r="T3316" s="81" t="e">
        <f>HLOOKUP(M3316,データについて!$J$7:$M$18,12,FALSE)</f>
        <v>#N/A</v>
      </c>
      <c r="U3316" s="81" t="e">
        <f>HLOOKUP(N3316,データについて!$J$8:$M$18,11,FALSE)</f>
        <v>#N/A</v>
      </c>
      <c r="V3316" s="81" t="e">
        <f>HLOOKUP(O3316,データについて!$J$9:$M$18,10,FALSE)</f>
        <v>#N/A</v>
      </c>
      <c r="W3316" s="81" t="e">
        <f>HLOOKUP(P3316,データについて!$J$10:$M$18,9,FALSE)</f>
        <v>#N/A</v>
      </c>
      <c r="X3316" s="81" t="e">
        <f>HLOOKUP(Q3316,データについて!$J$11:$M$18,8,FALSE)</f>
        <v>#N/A</v>
      </c>
      <c r="Y3316" s="81" t="e">
        <f>HLOOKUP(R3316,データについて!$J$12:$M$18,7,FALSE)</f>
        <v>#N/A</v>
      </c>
      <c r="Z3316" s="81" t="e">
        <f>HLOOKUP(I3316,データについて!$J$3:$M$18,16,FALSE)</f>
        <v>#N/A</v>
      </c>
      <c r="AA3316" s="81" t="str">
        <f>IFERROR(HLOOKUP(J3316,データについて!$J$4:$AH$19,16,FALSE),"")</f>
        <v/>
      </c>
      <c r="AB3316" s="81" t="str">
        <f>IFERROR(HLOOKUP(K3316,データについて!$J$5:$AH$20,14,FALSE),"")</f>
        <v/>
      </c>
      <c r="AC3316" s="81" t="e">
        <f>IF(X3316=1,HLOOKUP(R3316,データについて!$J$12:$M$18,7,FALSE),"*")</f>
        <v>#N/A</v>
      </c>
      <c r="AD3316" s="81" t="e">
        <f>IF(X3316=2,HLOOKUP(R3316,データについて!$J$12:$M$18,7,FALSE),"*")</f>
        <v>#N/A</v>
      </c>
    </row>
    <row r="3317" spans="19:30">
      <c r="S3317" s="81" t="e">
        <f>HLOOKUP(L3317,データについて!$J$6:$M$18,13,FALSE)</f>
        <v>#N/A</v>
      </c>
      <c r="T3317" s="81" t="e">
        <f>HLOOKUP(M3317,データについて!$J$7:$M$18,12,FALSE)</f>
        <v>#N/A</v>
      </c>
      <c r="U3317" s="81" t="e">
        <f>HLOOKUP(N3317,データについて!$J$8:$M$18,11,FALSE)</f>
        <v>#N/A</v>
      </c>
      <c r="V3317" s="81" t="e">
        <f>HLOOKUP(O3317,データについて!$J$9:$M$18,10,FALSE)</f>
        <v>#N/A</v>
      </c>
      <c r="W3317" s="81" t="e">
        <f>HLOOKUP(P3317,データについて!$J$10:$M$18,9,FALSE)</f>
        <v>#N/A</v>
      </c>
      <c r="X3317" s="81" t="e">
        <f>HLOOKUP(Q3317,データについて!$J$11:$M$18,8,FALSE)</f>
        <v>#N/A</v>
      </c>
      <c r="Y3317" s="81" t="e">
        <f>HLOOKUP(R3317,データについて!$J$12:$M$18,7,FALSE)</f>
        <v>#N/A</v>
      </c>
      <c r="Z3317" s="81" t="e">
        <f>HLOOKUP(I3317,データについて!$J$3:$M$18,16,FALSE)</f>
        <v>#N/A</v>
      </c>
      <c r="AA3317" s="81" t="str">
        <f>IFERROR(HLOOKUP(J3317,データについて!$J$4:$AH$19,16,FALSE),"")</f>
        <v/>
      </c>
      <c r="AB3317" s="81" t="str">
        <f>IFERROR(HLOOKUP(K3317,データについて!$J$5:$AH$20,14,FALSE),"")</f>
        <v/>
      </c>
      <c r="AC3317" s="81" t="e">
        <f>IF(X3317=1,HLOOKUP(R3317,データについて!$J$12:$M$18,7,FALSE),"*")</f>
        <v>#N/A</v>
      </c>
      <c r="AD3317" s="81" t="e">
        <f>IF(X3317=2,HLOOKUP(R3317,データについて!$J$12:$M$18,7,FALSE),"*")</f>
        <v>#N/A</v>
      </c>
    </row>
    <row r="3318" spans="19:30">
      <c r="S3318" s="81" t="e">
        <f>HLOOKUP(L3318,データについて!$J$6:$M$18,13,FALSE)</f>
        <v>#N/A</v>
      </c>
      <c r="T3318" s="81" t="e">
        <f>HLOOKUP(M3318,データについて!$J$7:$M$18,12,FALSE)</f>
        <v>#N/A</v>
      </c>
      <c r="U3318" s="81" t="e">
        <f>HLOOKUP(N3318,データについて!$J$8:$M$18,11,FALSE)</f>
        <v>#N/A</v>
      </c>
      <c r="V3318" s="81" t="e">
        <f>HLOOKUP(O3318,データについて!$J$9:$M$18,10,FALSE)</f>
        <v>#N/A</v>
      </c>
      <c r="W3318" s="81" t="e">
        <f>HLOOKUP(P3318,データについて!$J$10:$M$18,9,FALSE)</f>
        <v>#N/A</v>
      </c>
      <c r="X3318" s="81" t="e">
        <f>HLOOKUP(Q3318,データについて!$J$11:$M$18,8,FALSE)</f>
        <v>#N/A</v>
      </c>
      <c r="Y3318" s="81" t="e">
        <f>HLOOKUP(R3318,データについて!$J$12:$M$18,7,FALSE)</f>
        <v>#N/A</v>
      </c>
      <c r="Z3318" s="81" t="e">
        <f>HLOOKUP(I3318,データについて!$J$3:$M$18,16,FALSE)</f>
        <v>#N/A</v>
      </c>
      <c r="AA3318" s="81" t="str">
        <f>IFERROR(HLOOKUP(J3318,データについて!$J$4:$AH$19,16,FALSE),"")</f>
        <v/>
      </c>
      <c r="AB3318" s="81" t="str">
        <f>IFERROR(HLOOKUP(K3318,データについて!$J$5:$AH$20,14,FALSE),"")</f>
        <v/>
      </c>
      <c r="AC3318" s="81" t="e">
        <f>IF(X3318=1,HLOOKUP(R3318,データについて!$J$12:$M$18,7,FALSE),"*")</f>
        <v>#N/A</v>
      </c>
      <c r="AD3318" s="81" t="e">
        <f>IF(X3318=2,HLOOKUP(R3318,データについて!$J$12:$M$18,7,FALSE),"*")</f>
        <v>#N/A</v>
      </c>
    </row>
    <row r="3319" spans="19:30">
      <c r="S3319" s="81" t="e">
        <f>HLOOKUP(L3319,データについて!$J$6:$M$18,13,FALSE)</f>
        <v>#N/A</v>
      </c>
      <c r="T3319" s="81" t="e">
        <f>HLOOKUP(M3319,データについて!$J$7:$M$18,12,FALSE)</f>
        <v>#N/A</v>
      </c>
      <c r="U3319" s="81" t="e">
        <f>HLOOKUP(N3319,データについて!$J$8:$M$18,11,FALSE)</f>
        <v>#N/A</v>
      </c>
      <c r="V3319" s="81" t="e">
        <f>HLOOKUP(O3319,データについて!$J$9:$M$18,10,FALSE)</f>
        <v>#N/A</v>
      </c>
      <c r="W3319" s="81" t="e">
        <f>HLOOKUP(P3319,データについて!$J$10:$M$18,9,FALSE)</f>
        <v>#N/A</v>
      </c>
      <c r="X3319" s="81" t="e">
        <f>HLOOKUP(Q3319,データについて!$J$11:$M$18,8,FALSE)</f>
        <v>#N/A</v>
      </c>
      <c r="Y3319" s="81" t="e">
        <f>HLOOKUP(R3319,データについて!$J$12:$M$18,7,FALSE)</f>
        <v>#N/A</v>
      </c>
      <c r="Z3319" s="81" t="e">
        <f>HLOOKUP(I3319,データについて!$J$3:$M$18,16,FALSE)</f>
        <v>#N/A</v>
      </c>
      <c r="AA3319" s="81" t="str">
        <f>IFERROR(HLOOKUP(J3319,データについて!$J$4:$AH$19,16,FALSE),"")</f>
        <v/>
      </c>
      <c r="AB3319" s="81" t="str">
        <f>IFERROR(HLOOKUP(K3319,データについて!$J$5:$AH$20,14,FALSE),"")</f>
        <v/>
      </c>
      <c r="AC3319" s="81" t="e">
        <f>IF(X3319=1,HLOOKUP(R3319,データについて!$J$12:$M$18,7,FALSE),"*")</f>
        <v>#N/A</v>
      </c>
      <c r="AD3319" s="81" t="e">
        <f>IF(X3319=2,HLOOKUP(R3319,データについて!$J$12:$M$18,7,FALSE),"*")</f>
        <v>#N/A</v>
      </c>
    </row>
    <row r="3320" spans="19:30">
      <c r="S3320" s="81" t="e">
        <f>HLOOKUP(L3320,データについて!$J$6:$M$18,13,FALSE)</f>
        <v>#N/A</v>
      </c>
      <c r="T3320" s="81" t="e">
        <f>HLOOKUP(M3320,データについて!$J$7:$M$18,12,FALSE)</f>
        <v>#N/A</v>
      </c>
      <c r="U3320" s="81" t="e">
        <f>HLOOKUP(N3320,データについて!$J$8:$M$18,11,FALSE)</f>
        <v>#N/A</v>
      </c>
      <c r="V3320" s="81" t="e">
        <f>HLOOKUP(O3320,データについて!$J$9:$M$18,10,FALSE)</f>
        <v>#N/A</v>
      </c>
      <c r="W3320" s="81" t="e">
        <f>HLOOKUP(P3320,データについて!$J$10:$M$18,9,FALSE)</f>
        <v>#N/A</v>
      </c>
      <c r="X3320" s="81" t="e">
        <f>HLOOKUP(Q3320,データについて!$J$11:$M$18,8,FALSE)</f>
        <v>#N/A</v>
      </c>
      <c r="Y3320" s="81" t="e">
        <f>HLOOKUP(R3320,データについて!$J$12:$M$18,7,FALSE)</f>
        <v>#N/A</v>
      </c>
      <c r="Z3320" s="81" t="e">
        <f>HLOOKUP(I3320,データについて!$J$3:$M$18,16,FALSE)</f>
        <v>#N/A</v>
      </c>
      <c r="AA3320" s="81" t="str">
        <f>IFERROR(HLOOKUP(J3320,データについて!$J$4:$AH$19,16,FALSE),"")</f>
        <v/>
      </c>
      <c r="AB3320" s="81" t="str">
        <f>IFERROR(HLOOKUP(K3320,データについて!$J$5:$AH$20,14,FALSE),"")</f>
        <v/>
      </c>
      <c r="AC3320" s="81" t="e">
        <f>IF(X3320=1,HLOOKUP(R3320,データについて!$J$12:$M$18,7,FALSE),"*")</f>
        <v>#N/A</v>
      </c>
      <c r="AD3320" s="81" t="e">
        <f>IF(X3320=2,HLOOKUP(R3320,データについて!$J$12:$M$18,7,FALSE),"*")</f>
        <v>#N/A</v>
      </c>
    </row>
    <row r="3321" spans="19:30">
      <c r="S3321" s="81" t="e">
        <f>HLOOKUP(L3321,データについて!$J$6:$M$18,13,FALSE)</f>
        <v>#N/A</v>
      </c>
      <c r="T3321" s="81" t="e">
        <f>HLOOKUP(M3321,データについて!$J$7:$M$18,12,FALSE)</f>
        <v>#N/A</v>
      </c>
      <c r="U3321" s="81" t="e">
        <f>HLOOKUP(N3321,データについて!$J$8:$M$18,11,FALSE)</f>
        <v>#N/A</v>
      </c>
      <c r="V3321" s="81" t="e">
        <f>HLOOKUP(O3321,データについて!$J$9:$M$18,10,FALSE)</f>
        <v>#N/A</v>
      </c>
      <c r="W3321" s="81" t="e">
        <f>HLOOKUP(P3321,データについて!$J$10:$M$18,9,FALSE)</f>
        <v>#N/A</v>
      </c>
      <c r="X3321" s="81" t="e">
        <f>HLOOKUP(Q3321,データについて!$J$11:$M$18,8,FALSE)</f>
        <v>#N/A</v>
      </c>
      <c r="Y3321" s="81" t="e">
        <f>HLOOKUP(R3321,データについて!$J$12:$M$18,7,FALSE)</f>
        <v>#N/A</v>
      </c>
      <c r="Z3321" s="81" t="e">
        <f>HLOOKUP(I3321,データについて!$J$3:$M$18,16,FALSE)</f>
        <v>#N/A</v>
      </c>
      <c r="AA3321" s="81" t="str">
        <f>IFERROR(HLOOKUP(J3321,データについて!$J$4:$AH$19,16,FALSE),"")</f>
        <v/>
      </c>
      <c r="AB3321" s="81" t="str">
        <f>IFERROR(HLOOKUP(K3321,データについて!$J$5:$AH$20,14,FALSE),"")</f>
        <v/>
      </c>
      <c r="AC3321" s="81" t="e">
        <f>IF(X3321=1,HLOOKUP(R3321,データについて!$J$12:$M$18,7,FALSE),"*")</f>
        <v>#N/A</v>
      </c>
      <c r="AD3321" s="81" t="e">
        <f>IF(X3321=2,HLOOKUP(R3321,データについて!$J$12:$M$18,7,FALSE),"*")</f>
        <v>#N/A</v>
      </c>
    </row>
    <row r="3322" spans="19:30">
      <c r="S3322" s="81" t="e">
        <f>HLOOKUP(L3322,データについて!$J$6:$M$18,13,FALSE)</f>
        <v>#N/A</v>
      </c>
      <c r="T3322" s="81" t="e">
        <f>HLOOKUP(M3322,データについて!$J$7:$M$18,12,FALSE)</f>
        <v>#N/A</v>
      </c>
      <c r="U3322" s="81" t="e">
        <f>HLOOKUP(N3322,データについて!$J$8:$M$18,11,FALSE)</f>
        <v>#N/A</v>
      </c>
      <c r="V3322" s="81" t="e">
        <f>HLOOKUP(O3322,データについて!$J$9:$M$18,10,FALSE)</f>
        <v>#N/A</v>
      </c>
      <c r="W3322" s="81" t="e">
        <f>HLOOKUP(P3322,データについて!$J$10:$M$18,9,FALSE)</f>
        <v>#N/A</v>
      </c>
      <c r="X3322" s="81" t="e">
        <f>HLOOKUP(Q3322,データについて!$J$11:$M$18,8,FALSE)</f>
        <v>#N/A</v>
      </c>
      <c r="Y3322" s="81" t="e">
        <f>HLOOKUP(R3322,データについて!$J$12:$M$18,7,FALSE)</f>
        <v>#N/A</v>
      </c>
      <c r="Z3322" s="81" t="e">
        <f>HLOOKUP(I3322,データについて!$J$3:$M$18,16,FALSE)</f>
        <v>#N/A</v>
      </c>
      <c r="AA3322" s="81" t="str">
        <f>IFERROR(HLOOKUP(J3322,データについて!$J$4:$AH$19,16,FALSE),"")</f>
        <v/>
      </c>
      <c r="AB3322" s="81" t="str">
        <f>IFERROR(HLOOKUP(K3322,データについて!$J$5:$AH$20,14,FALSE),"")</f>
        <v/>
      </c>
      <c r="AC3322" s="81" t="e">
        <f>IF(X3322=1,HLOOKUP(R3322,データについて!$J$12:$M$18,7,FALSE),"*")</f>
        <v>#N/A</v>
      </c>
      <c r="AD3322" s="81" t="e">
        <f>IF(X3322=2,HLOOKUP(R3322,データについて!$J$12:$M$18,7,FALSE),"*")</f>
        <v>#N/A</v>
      </c>
    </row>
    <row r="3323" spans="19:30">
      <c r="S3323" s="81" t="e">
        <f>HLOOKUP(L3323,データについて!$J$6:$M$18,13,FALSE)</f>
        <v>#N/A</v>
      </c>
      <c r="T3323" s="81" t="e">
        <f>HLOOKUP(M3323,データについて!$J$7:$M$18,12,FALSE)</f>
        <v>#N/A</v>
      </c>
      <c r="U3323" s="81" t="e">
        <f>HLOOKUP(N3323,データについて!$J$8:$M$18,11,FALSE)</f>
        <v>#N/A</v>
      </c>
      <c r="V3323" s="81" t="e">
        <f>HLOOKUP(O3323,データについて!$J$9:$M$18,10,FALSE)</f>
        <v>#N/A</v>
      </c>
      <c r="W3323" s="81" t="e">
        <f>HLOOKUP(P3323,データについて!$J$10:$M$18,9,FALSE)</f>
        <v>#N/A</v>
      </c>
      <c r="X3323" s="81" t="e">
        <f>HLOOKUP(Q3323,データについて!$J$11:$M$18,8,FALSE)</f>
        <v>#N/A</v>
      </c>
      <c r="Y3323" s="81" t="e">
        <f>HLOOKUP(R3323,データについて!$J$12:$M$18,7,FALSE)</f>
        <v>#N/A</v>
      </c>
      <c r="Z3323" s="81" t="e">
        <f>HLOOKUP(I3323,データについて!$J$3:$M$18,16,FALSE)</f>
        <v>#N/A</v>
      </c>
      <c r="AA3323" s="81" t="str">
        <f>IFERROR(HLOOKUP(J3323,データについて!$J$4:$AH$19,16,FALSE),"")</f>
        <v/>
      </c>
      <c r="AB3323" s="81" t="str">
        <f>IFERROR(HLOOKUP(K3323,データについて!$J$5:$AH$20,14,FALSE),"")</f>
        <v/>
      </c>
      <c r="AC3323" s="81" t="e">
        <f>IF(X3323=1,HLOOKUP(R3323,データについて!$J$12:$M$18,7,FALSE),"*")</f>
        <v>#N/A</v>
      </c>
      <c r="AD3323" s="81" t="e">
        <f>IF(X3323=2,HLOOKUP(R3323,データについて!$J$12:$M$18,7,FALSE),"*")</f>
        <v>#N/A</v>
      </c>
    </row>
    <row r="3324" spans="19:30">
      <c r="S3324" s="81" t="e">
        <f>HLOOKUP(L3324,データについて!$J$6:$M$18,13,FALSE)</f>
        <v>#N/A</v>
      </c>
      <c r="T3324" s="81" t="e">
        <f>HLOOKUP(M3324,データについて!$J$7:$M$18,12,FALSE)</f>
        <v>#N/A</v>
      </c>
      <c r="U3324" s="81" t="e">
        <f>HLOOKUP(N3324,データについて!$J$8:$M$18,11,FALSE)</f>
        <v>#N/A</v>
      </c>
      <c r="V3324" s="81" t="e">
        <f>HLOOKUP(O3324,データについて!$J$9:$M$18,10,FALSE)</f>
        <v>#N/A</v>
      </c>
      <c r="W3324" s="81" t="e">
        <f>HLOOKUP(P3324,データについて!$J$10:$M$18,9,FALSE)</f>
        <v>#N/A</v>
      </c>
      <c r="X3324" s="81" t="e">
        <f>HLOOKUP(Q3324,データについて!$J$11:$M$18,8,FALSE)</f>
        <v>#N/A</v>
      </c>
      <c r="Y3324" s="81" t="e">
        <f>HLOOKUP(R3324,データについて!$J$12:$M$18,7,FALSE)</f>
        <v>#N/A</v>
      </c>
      <c r="Z3324" s="81" t="e">
        <f>HLOOKUP(I3324,データについて!$J$3:$M$18,16,FALSE)</f>
        <v>#N/A</v>
      </c>
      <c r="AA3324" s="81" t="str">
        <f>IFERROR(HLOOKUP(J3324,データについて!$J$4:$AH$19,16,FALSE),"")</f>
        <v/>
      </c>
      <c r="AB3324" s="81" t="str">
        <f>IFERROR(HLOOKUP(K3324,データについて!$J$5:$AH$20,14,FALSE),"")</f>
        <v/>
      </c>
      <c r="AC3324" s="81" t="e">
        <f>IF(X3324=1,HLOOKUP(R3324,データについて!$J$12:$M$18,7,FALSE),"*")</f>
        <v>#N/A</v>
      </c>
      <c r="AD3324" s="81" t="e">
        <f>IF(X3324=2,HLOOKUP(R3324,データについて!$J$12:$M$18,7,FALSE),"*")</f>
        <v>#N/A</v>
      </c>
    </row>
    <row r="3325" spans="19:30">
      <c r="S3325" s="81" t="e">
        <f>HLOOKUP(L3325,データについて!$J$6:$M$18,13,FALSE)</f>
        <v>#N/A</v>
      </c>
      <c r="T3325" s="81" t="e">
        <f>HLOOKUP(M3325,データについて!$J$7:$M$18,12,FALSE)</f>
        <v>#N/A</v>
      </c>
      <c r="U3325" s="81" t="e">
        <f>HLOOKUP(N3325,データについて!$J$8:$M$18,11,FALSE)</f>
        <v>#N/A</v>
      </c>
      <c r="V3325" s="81" t="e">
        <f>HLOOKUP(O3325,データについて!$J$9:$M$18,10,FALSE)</f>
        <v>#N/A</v>
      </c>
      <c r="W3325" s="81" t="e">
        <f>HLOOKUP(P3325,データについて!$J$10:$M$18,9,FALSE)</f>
        <v>#N/A</v>
      </c>
      <c r="X3325" s="81" t="e">
        <f>HLOOKUP(Q3325,データについて!$J$11:$M$18,8,FALSE)</f>
        <v>#N/A</v>
      </c>
      <c r="Y3325" s="81" t="e">
        <f>HLOOKUP(R3325,データについて!$J$12:$M$18,7,FALSE)</f>
        <v>#N/A</v>
      </c>
      <c r="Z3325" s="81" t="e">
        <f>HLOOKUP(I3325,データについて!$J$3:$M$18,16,FALSE)</f>
        <v>#N/A</v>
      </c>
      <c r="AA3325" s="81" t="str">
        <f>IFERROR(HLOOKUP(J3325,データについて!$J$4:$AH$19,16,FALSE),"")</f>
        <v/>
      </c>
      <c r="AB3325" s="81" t="str">
        <f>IFERROR(HLOOKUP(K3325,データについて!$J$5:$AH$20,14,FALSE),"")</f>
        <v/>
      </c>
      <c r="AC3325" s="81" t="e">
        <f>IF(X3325=1,HLOOKUP(R3325,データについて!$J$12:$M$18,7,FALSE),"*")</f>
        <v>#N/A</v>
      </c>
      <c r="AD3325" s="81" t="e">
        <f>IF(X3325=2,HLOOKUP(R3325,データについて!$J$12:$M$18,7,FALSE),"*")</f>
        <v>#N/A</v>
      </c>
    </row>
    <row r="3326" spans="19:30">
      <c r="S3326" s="81" t="e">
        <f>HLOOKUP(L3326,データについて!$J$6:$M$18,13,FALSE)</f>
        <v>#N/A</v>
      </c>
      <c r="T3326" s="81" t="e">
        <f>HLOOKUP(M3326,データについて!$J$7:$M$18,12,FALSE)</f>
        <v>#N/A</v>
      </c>
      <c r="U3326" s="81" t="e">
        <f>HLOOKUP(N3326,データについて!$J$8:$M$18,11,FALSE)</f>
        <v>#N/A</v>
      </c>
      <c r="V3326" s="81" t="e">
        <f>HLOOKUP(O3326,データについて!$J$9:$M$18,10,FALSE)</f>
        <v>#N/A</v>
      </c>
      <c r="W3326" s="81" t="e">
        <f>HLOOKUP(P3326,データについて!$J$10:$M$18,9,FALSE)</f>
        <v>#N/A</v>
      </c>
      <c r="X3326" s="81" t="e">
        <f>HLOOKUP(Q3326,データについて!$J$11:$M$18,8,FALSE)</f>
        <v>#N/A</v>
      </c>
      <c r="Y3326" s="81" t="e">
        <f>HLOOKUP(R3326,データについて!$J$12:$M$18,7,FALSE)</f>
        <v>#N/A</v>
      </c>
      <c r="Z3326" s="81" t="e">
        <f>HLOOKUP(I3326,データについて!$J$3:$M$18,16,FALSE)</f>
        <v>#N/A</v>
      </c>
      <c r="AA3326" s="81" t="str">
        <f>IFERROR(HLOOKUP(J3326,データについて!$J$4:$AH$19,16,FALSE),"")</f>
        <v/>
      </c>
      <c r="AB3326" s="81" t="str">
        <f>IFERROR(HLOOKUP(K3326,データについて!$J$5:$AH$20,14,FALSE),"")</f>
        <v/>
      </c>
      <c r="AC3326" s="81" t="e">
        <f>IF(X3326=1,HLOOKUP(R3326,データについて!$J$12:$M$18,7,FALSE),"*")</f>
        <v>#N/A</v>
      </c>
      <c r="AD3326" s="81" t="e">
        <f>IF(X3326=2,HLOOKUP(R3326,データについて!$J$12:$M$18,7,FALSE),"*")</f>
        <v>#N/A</v>
      </c>
    </row>
    <row r="3327" spans="19:30">
      <c r="S3327" s="81" t="e">
        <f>HLOOKUP(L3327,データについて!$J$6:$M$18,13,FALSE)</f>
        <v>#N/A</v>
      </c>
      <c r="T3327" s="81" t="e">
        <f>HLOOKUP(M3327,データについて!$J$7:$M$18,12,FALSE)</f>
        <v>#N/A</v>
      </c>
      <c r="U3327" s="81" t="e">
        <f>HLOOKUP(N3327,データについて!$J$8:$M$18,11,FALSE)</f>
        <v>#N/A</v>
      </c>
      <c r="V3327" s="81" t="e">
        <f>HLOOKUP(O3327,データについて!$J$9:$M$18,10,FALSE)</f>
        <v>#N/A</v>
      </c>
      <c r="W3327" s="81" t="e">
        <f>HLOOKUP(P3327,データについて!$J$10:$M$18,9,FALSE)</f>
        <v>#N/A</v>
      </c>
      <c r="X3327" s="81" t="e">
        <f>HLOOKUP(Q3327,データについて!$J$11:$M$18,8,FALSE)</f>
        <v>#N/A</v>
      </c>
      <c r="Y3327" s="81" t="e">
        <f>HLOOKUP(R3327,データについて!$J$12:$M$18,7,FALSE)</f>
        <v>#N/A</v>
      </c>
      <c r="Z3327" s="81" t="e">
        <f>HLOOKUP(I3327,データについて!$J$3:$M$18,16,FALSE)</f>
        <v>#N/A</v>
      </c>
      <c r="AA3327" s="81" t="str">
        <f>IFERROR(HLOOKUP(J3327,データについて!$J$4:$AH$19,16,FALSE),"")</f>
        <v/>
      </c>
      <c r="AB3327" s="81" t="str">
        <f>IFERROR(HLOOKUP(K3327,データについて!$J$5:$AH$20,14,FALSE),"")</f>
        <v/>
      </c>
      <c r="AC3327" s="81" t="e">
        <f>IF(X3327=1,HLOOKUP(R3327,データについて!$J$12:$M$18,7,FALSE),"*")</f>
        <v>#N/A</v>
      </c>
      <c r="AD3327" s="81" t="e">
        <f>IF(X3327=2,HLOOKUP(R3327,データについて!$J$12:$M$18,7,FALSE),"*")</f>
        <v>#N/A</v>
      </c>
    </row>
    <row r="3328" spans="19:30">
      <c r="S3328" s="81" t="e">
        <f>HLOOKUP(L3328,データについて!$J$6:$M$18,13,FALSE)</f>
        <v>#N/A</v>
      </c>
      <c r="T3328" s="81" t="e">
        <f>HLOOKUP(M3328,データについて!$J$7:$M$18,12,FALSE)</f>
        <v>#N/A</v>
      </c>
      <c r="U3328" s="81" t="e">
        <f>HLOOKUP(N3328,データについて!$J$8:$M$18,11,FALSE)</f>
        <v>#N/A</v>
      </c>
      <c r="V3328" s="81" t="e">
        <f>HLOOKUP(O3328,データについて!$J$9:$M$18,10,FALSE)</f>
        <v>#N/A</v>
      </c>
      <c r="W3328" s="81" t="e">
        <f>HLOOKUP(P3328,データについて!$J$10:$M$18,9,FALSE)</f>
        <v>#N/A</v>
      </c>
      <c r="X3328" s="81" t="e">
        <f>HLOOKUP(Q3328,データについて!$J$11:$M$18,8,FALSE)</f>
        <v>#N/A</v>
      </c>
      <c r="Y3328" s="81" t="e">
        <f>HLOOKUP(R3328,データについて!$J$12:$M$18,7,FALSE)</f>
        <v>#N/A</v>
      </c>
      <c r="Z3328" s="81" t="e">
        <f>HLOOKUP(I3328,データについて!$J$3:$M$18,16,FALSE)</f>
        <v>#N/A</v>
      </c>
      <c r="AA3328" s="81" t="str">
        <f>IFERROR(HLOOKUP(J3328,データについて!$J$4:$AH$19,16,FALSE),"")</f>
        <v/>
      </c>
      <c r="AB3328" s="81" t="str">
        <f>IFERROR(HLOOKUP(K3328,データについて!$J$5:$AH$20,14,FALSE),"")</f>
        <v/>
      </c>
      <c r="AC3328" s="81" t="e">
        <f>IF(X3328=1,HLOOKUP(R3328,データについて!$J$12:$M$18,7,FALSE),"*")</f>
        <v>#N/A</v>
      </c>
      <c r="AD3328" s="81" t="e">
        <f>IF(X3328=2,HLOOKUP(R3328,データについて!$J$12:$M$18,7,FALSE),"*")</f>
        <v>#N/A</v>
      </c>
    </row>
    <row r="3329" spans="19:30">
      <c r="S3329" s="81" t="e">
        <f>HLOOKUP(L3329,データについて!$J$6:$M$18,13,FALSE)</f>
        <v>#N/A</v>
      </c>
      <c r="T3329" s="81" t="e">
        <f>HLOOKUP(M3329,データについて!$J$7:$M$18,12,FALSE)</f>
        <v>#N/A</v>
      </c>
      <c r="U3329" s="81" t="e">
        <f>HLOOKUP(N3329,データについて!$J$8:$M$18,11,FALSE)</f>
        <v>#N/A</v>
      </c>
      <c r="V3329" s="81" t="e">
        <f>HLOOKUP(O3329,データについて!$J$9:$M$18,10,FALSE)</f>
        <v>#N/A</v>
      </c>
      <c r="W3329" s="81" t="e">
        <f>HLOOKUP(P3329,データについて!$J$10:$M$18,9,FALSE)</f>
        <v>#N/A</v>
      </c>
      <c r="X3329" s="81" t="e">
        <f>HLOOKUP(Q3329,データについて!$J$11:$M$18,8,FALSE)</f>
        <v>#N/A</v>
      </c>
      <c r="Y3329" s="81" t="e">
        <f>HLOOKUP(R3329,データについて!$J$12:$M$18,7,FALSE)</f>
        <v>#N/A</v>
      </c>
      <c r="Z3329" s="81" t="e">
        <f>HLOOKUP(I3329,データについて!$J$3:$M$18,16,FALSE)</f>
        <v>#N/A</v>
      </c>
      <c r="AA3329" s="81" t="str">
        <f>IFERROR(HLOOKUP(J3329,データについて!$J$4:$AH$19,16,FALSE),"")</f>
        <v/>
      </c>
      <c r="AB3329" s="81" t="str">
        <f>IFERROR(HLOOKUP(K3329,データについて!$J$5:$AH$20,14,FALSE),"")</f>
        <v/>
      </c>
      <c r="AC3329" s="81" t="e">
        <f>IF(X3329=1,HLOOKUP(R3329,データについて!$J$12:$M$18,7,FALSE),"*")</f>
        <v>#N/A</v>
      </c>
      <c r="AD3329" s="81" t="e">
        <f>IF(X3329=2,HLOOKUP(R3329,データについて!$J$12:$M$18,7,FALSE),"*")</f>
        <v>#N/A</v>
      </c>
    </row>
    <row r="3330" spans="19:30">
      <c r="S3330" s="81" t="e">
        <f>HLOOKUP(L3330,データについて!$J$6:$M$18,13,FALSE)</f>
        <v>#N/A</v>
      </c>
      <c r="T3330" s="81" t="e">
        <f>HLOOKUP(M3330,データについて!$J$7:$M$18,12,FALSE)</f>
        <v>#N/A</v>
      </c>
      <c r="U3330" s="81" t="e">
        <f>HLOOKUP(N3330,データについて!$J$8:$M$18,11,FALSE)</f>
        <v>#N/A</v>
      </c>
      <c r="V3330" s="81" t="e">
        <f>HLOOKUP(O3330,データについて!$J$9:$M$18,10,FALSE)</f>
        <v>#N/A</v>
      </c>
      <c r="W3330" s="81" t="e">
        <f>HLOOKUP(P3330,データについて!$J$10:$M$18,9,FALSE)</f>
        <v>#N/A</v>
      </c>
      <c r="X3330" s="81" t="e">
        <f>HLOOKUP(Q3330,データについて!$J$11:$M$18,8,FALSE)</f>
        <v>#N/A</v>
      </c>
      <c r="Y3330" s="81" t="e">
        <f>HLOOKUP(R3330,データについて!$J$12:$M$18,7,FALSE)</f>
        <v>#N/A</v>
      </c>
      <c r="Z3330" s="81" t="e">
        <f>HLOOKUP(I3330,データについて!$J$3:$M$18,16,FALSE)</f>
        <v>#N/A</v>
      </c>
      <c r="AA3330" s="81" t="str">
        <f>IFERROR(HLOOKUP(J3330,データについて!$J$4:$AH$19,16,FALSE),"")</f>
        <v/>
      </c>
      <c r="AB3330" s="81" t="str">
        <f>IFERROR(HLOOKUP(K3330,データについて!$J$5:$AH$20,14,FALSE),"")</f>
        <v/>
      </c>
      <c r="AC3330" s="81" t="e">
        <f>IF(X3330=1,HLOOKUP(R3330,データについて!$J$12:$M$18,7,FALSE),"*")</f>
        <v>#N/A</v>
      </c>
      <c r="AD3330" s="81" t="e">
        <f>IF(X3330=2,HLOOKUP(R3330,データについて!$J$12:$M$18,7,FALSE),"*")</f>
        <v>#N/A</v>
      </c>
    </row>
    <row r="3331" spans="19:30">
      <c r="S3331" s="81" t="e">
        <f>HLOOKUP(L3331,データについて!$J$6:$M$18,13,FALSE)</f>
        <v>#N/A</v>
      </c>
      <c r="T3331" s="81" t="e">
        <f>HLOOKUP(M3331,データについて!$J$7:$M$18,12,FALSE)</f>
        <v>#N/A</v>
      </c>
      <c r="U3331" s="81" t="e">
        <f>HLOOKUP(N3331,データについて!$J$8:$M$18,11,FALSE)</f>
        <v>#N/A</v>
      </c>
      <c r="V3331" s="81" t="e">
        <f>HLOOKUP(O3331,データについて!$J$9:$M$18,10,FALSE)</f>
        <v>#N/A</v>
      </c>
      <c r="W3331" s="81" t="e">
        <f>HLOOKUP(P3331,データについて!$J$10:$M$18,9,FALSE)</f>
        <v>#N/A</v>
      </c>
      <c r="X3331" s="81" t="e">
        <f>HLOOKUP(Q3331,データについて!$J$11:$M$18,8,FALSE)</f>
        <v>#N/A</v>
      </c>
      <c r="Y3331" s="81" t="e">
        <f>HLOOKUP(R3331,データについて!$J$12:$M$18,7,FALSE)</f>
        <v>#N/A</v>
      </c>
      <c r="Z3331" s="81" t="e">
        <f>HLOOKUP(I3331,データについて!$J$3:$M$18,16,FALSE)</f>
        <v>#N/A</v>
      </c>
      <c r="AA3331" s="81" t="str">
        <f>IFERROR(HLOOKUP(J3331,データについて!$J$4:$AH$19,16,FALSE),"")</f>
        <v/>
      </c>
      <c r="AB3331" s="81" t="str">
        <f>IFERROR(HLOOKUP(K3331,データについて!$J$5:$AH$20,14,FALSE),"")</f>
        <v/>
      </c>
      <c r="AC3331" s="81" t="e">
        <f>IF(X3331=1,HLOOKUP(R3331,データについて!$J$12:$M$18,7,FALSE),"*")</f>
        <v>#N/A</v>
      </c>
      <c r="AD3331" s="81" t="e">
        <f>IF(X3331=2,HLOOKUP(R3331,データについて!$J$12:$M$18,7,FALSE),"*")</f>
        <v>#N/A</v>
      </c>
    </row>
    <row r="3332" spans="19:30">
      <c r="S3332" s="81" t="e">
        <f>HLOOKUP(L3332,データについて!$J$6:$M$18,13,FALSE)</f>
        <v>#N/A</v>
      </c>
      <c r="T3332" s="81" t="e">
        <f>HLOOKUP(M3332,データについて!$J$7:$M$18,12,FALSE)</f>
        <v>#N/A</v>
      </c>
      <c r="U3332" s="81" t="e">
        <f>HLOOKUP(N3332,データについて!$J$8:$M$18,11,FALSE)</f>
        <v>#N/A</v>
      </c>
      <c r="V3332" s="81" t="e">
        <f>HLOOKUP(O3332,データについて!$J$9:$M$18,10,FALSE)</f>
        <v>#N/A</v>
      </c>
      <c r="W3332" s="81" t="e">
        <f>HLOOKUP(P3332,データについて!$J$10:$M$18,9,FALSE)</f>
        <v>#N/A</v>
      </c>
      <c r="X3332" s="81" t="e">
        <f>HLOOKUP(Q3332,データについて!$J$11:$M$18,8,FALSE)</f>
        <v>#N/A</v>
      </c>
      <c r="Y3332" s="81" t="e">
        <f>HLOOKUP(R3332,データについて!$J$12:$M$18,7,FALSE)</f>
        <v>#N/A</v>
      </c>
      <c r="Z3332" s="81" t="e">
        <f>HLOOKUP(I3332,データについて!$J$3:$M$18,16,FALSE)</f>
        <v>#N/A</v>
      </c>
      <c r="AA3332" s="81" t="str">
        <f>IFERROR(HLOOKUP(J3332,データについて!$J$4:$AH$19,16,FALSE),"")</f>
        <v/>
      </c>
      <c r="AB3332" s="81" t="str">
        <f>IFERROR(HLOOKUP(K3332,データについて!$J$5:$AH$20,14,FALSE),"")</f>
        <v/>
      </c>
      <c r="AC3332" s="81" t="e">
        <f>IF(X3332=1,HLOOKUP(R3332,データについて!$J$12:$M$18,7,FALSE),"*")</f>
        <v>#N/A</v>
      </c>
      <c r="AD3332" s="81" t="e">
        <f>IF(X3332=2,HLOOKUP(R3332,データについて!$J$12:$M$18,7,FALSE),"*")</f>
        <v>#N/A</v>
      </c>
    </row>
    <row r="3333" spans="19:30">
      <c r="S3333" s="81" t="e">
        <f>HLOOKUP(L3333,データについて!$J$6:$M$18,13,FALSE)</f>
        <v>#N/A</v>
      </c>
      <c r="T3333" s="81" t="e">
        <f>HLOOKUP(M3333,データについて!$J$7:$M$18,12,FALSE)</f>
        <v>#N/A</v>
      </c>
      <c r="U3333" s="81" t="e">
        <f>HLOOKUP(N3333,データについて!$J$8:$M$18,11,FALSE)</f>
        <v>#N/A</v>
      </c>
      <c r="V3333" s="81" t="e">
        <f>HLOOKUP(O3333,データについて!$J$9:$M$18,10,FALSE)</f>
        <v>#N/A</v>
      </c>
      <c r="W3333" s="81" t="e">
        <f>HLOOKUP(P3333,データについて!$J$10:$M$18,9,FALSE)</f>
        <v>#N/A</v>
      </c>
      <c r="X3333" s="81" t="e">
        <f>HLOOKUP(Q3333,データについて!$J$11:$M$18,8,FALSE)</f>
        <v>#N/A</v>
      </c>
      <c r="Y3333" s="81" t="e">
        <f>HLOOKUP(R3333,データについて!$J$12:$M$18,7,FALSE)</f>
        <v>#N/A</v>
      </c>
      <c r="Z3333" s="81" t="e">
        <f>HLOOKUP(I3333,データについて!$J$3:$M$18,16,FALSE)</f>
        <v>#N/A</v>
      </c>
      <c r="AA3333" s="81" t="str">
        <f>IFERROR(HLOOKUP(J3333,データについて!$J$4:$AH$19,16,FALSE),"")</f>
        <v/>
      </c>
      <c r="AB3333" s="81" t="str">
        <f>IFERROR(HLOOKUP(K3333,データについて!$J$5:$AH$20,14,FALSE),"")</f>
        <v/>
      </c>
      <c r="AC3333" s="81" t="e">
        <f>IF(X3333=1,HLOOKUP(R3333,データについて!$J$12:$M$18,7,FALSE),"*")</f>
        <v>#N/A</v>
      </c>
      <c r="AD3333" s="81" t="e">
        <f>IF(X3333=2,HLOOKUP(R3333,データについて!$J$12:$M$18,7,FALSE),"*")</f>
        <v>#N/A</v>
      </c>
    </row>
    <row r="3334" spans="19:30">
      <c r="S3334" s="81" t="e">
        <f>HLOOKUP(L3334,データについて!$J$6:$M$18,13,FALSE)</f>
        <v>#N/A</v>
      </c>
      <c r="T3334" s="81" t="e">
        <f>HLOOKUP(M3334,データについて!$J$7:$M$18,12,FALSE)</f>
        <v>#N/A</v>
      </c>
      <c r="U3334" s="81" t="e">
        <f>HLOOKUP(N3334,データについて!$J$8:$M$18,11,FALSE)</f>
        <v>#N/A</v>
      </c>
      <c r="V3334" s="81" t="e">
        <f>HLOOKUP(O3334,データについて!$J$9:$M$18,10,FALSE)</f>
        <v>#N/A</v>
      </c>
      <c r="W3334" s="81" t="e">
        <f>HLOOKUP(P3334,データについて!$J$10:$M$18,9,FALSE)</f>
        <v>#N/A</v>
      </c>
      <c r="X3334" s="81" t="e">
        <f>HLOOKUP(Q3334,データについて!$J$11:$M$18,8,FALSE)</f>
        <v>#N/A</v>
      </c>
      <c r="Y3334" s="81" t="e">
        <f>HLOOKUP(R3334,データについて!$J$12:$M$18,7,FALSE)</f>
        <v>#N/A</v>
      </c>
      <c r="Z3334" s="81" t="e">
        <f>HLOOKUP(I3334,データについて!$J$3:$M$18,16,FALSE)</f>
        <v>#N/A</v>
      </c>
      <c r="AA3334" s="81" t="str">
        <f>IFERROR(HLOOKUP(J3334,データについて!$J$4:$AH$19,16,FALSE),"")</f>
        <v/>
      </c>
      <c r="AB3334" s="81" t="str">
        <f>IFERROR(HLOOKUP(K3334,データについて!$J$5:$AH$20,14,FALSE),"")</f>
        <v/>
      </c>
      <c r="AC3334" s="81" t="e">
        <f>IF(X3334=1,HLOOKUP(R3334,データについて!$J$12:$M$18,7,FALSE),"*")</f>
        <v>#N/A</v>
      </c>
      <c r="AD3334" s="81" t="e">
        <f>IF(X3334=2,HLOOKUP(R3334,データについて!$J$12:$M$18,7,FALSE),"*")</f>
        <v>#N/A</v>
      </c>
    </row>
    <row r="3335" spans="19:30">
      <c r="S3335" s="81" t="e">
        <f>HLOOKUP(L3335,データについて!$J$6:$M$18,13,FALSE)</f>
        <v>#N/A</v>
      </c>
      <c r="T3335" s="81" t="e">
        <f>HLOOKUP(M3335,データについて!$J$7:$M$18,12,FALSE)</f>
        <v>#N/A</v>
      </c>
      <c r="U3335" s="81" t="e">
        <f>HLOOKUP(N3335,データについて!$J$8:$M$18,11,FALSE)</f>
        <v>#N/A</v>
      </c>
      <c r="V3335" s="81" t="e">
        <f>HLOOKUP(O3335,データについて!$J$9:$M$18,10,FALSE)</f>
        <v>#N/A</v>
      </c>
      <c r="W3335" s="81" t="e">
        <f>HLOOKUP(P3335,データについて!$J$10:$M$18,9,FALSE)</f>
        <v>#N/A</v>
      </c>
      <c r="X3335" s="81" t="e">
        <f>HLOOKUP(Q3335,データについて!$J$11:$M$18,8,FALSE)</f>
        <v>#N/A</v>
      </c>
      <c r="Y3335" s="81" t="e">
        <f>HLOOKUP(R3335,データについて!$J$12:$M$18,7,FALSE)</f>
        <v>#N/A</v>
      </c>
      <c r="Z3335" s="81" t="e">
        <f>HLOOKUP(I3335,データについて!$J$3:$M$18,16,FALSE)</f>
        <v>#N/A</v>
      </c>
      <c r="AA3335" s="81" t="str">
        <f>IFERROR(HLOOKUP(J3335,データについて!$J$4:$AH$19,16,FALSE),"")</f>
        <v/>
      </c>
      <c r="AB3335" s="81" t="str">
        <f>IFERROR(HLOOKUP(K3335,データについて!$J$5:$AH$20,14,FALSE),"")</f>
        <v/>
      </c>
      <c r="AC3335" s="81" t="e">
        <f>IF(X3335=1,HLOOKUP(R3335,データについて!$J$12:$M$18,7,FALSE),"*")</f>
        <v>#N/A</v>
      </c>
      <c r="AD3335" s="81" t="e">
        <f>IF(X3335=2,HLOOKUP(R3335,データについて!$J$12:$M$18,7,FALSE),"*")</f>
        <v>#N/A</v>
      </c>
    </row>
    <row r="3336" spans="19:30">
      <c r="S3336" s="81" t="e">
        <f>HLOOKUP(L3336,データについて!$J$6:$M$18,13,FALSE)</f>
        <v>#N/A</v>
      </c>
      <c r="T3336" s="81" t="e">
        <f>HLOOKUP(M3336,データについて!$J$7:$M$18,12,FALSE)</f>
        <v>#N/A</v>
      </c>
      <c r="U3336" s="81" t="e">
        <f>HLOOKUP(N3336,データについて!$J$8:$M$18,11,FALSE)</f>
        <v>#N/A</v>
      </c>
      <c r="V3336" s="81" t="e">
        <f>HLOOKUP(O3336,データについて!$J$9:$M$18,10,FALSE)</f>
        <v>#N/A</v>
      </c>
      <c r="W3336" s="81" t="e">
        <f>HLOOKUP(P3336,データについて!$J$10:$M$18,9,FALSE)</f>
        <v>#N/A</v>
      </c>
      <c r="X3336" s="81" t="e">
        <f>HLOOKUP(Q3336,データについて!$J$11:$M$18,8,FALSE)</f>
        <v>#N/A</v>
      </c>
      <c r="Y3336" s="81" t="e">
        <f>HLOOKUP(R3336,データについて!$J$12:$M$18,7,FALSE)</f>
        <v>#N/A</v>
      </c>
      <c r="Z3336" s="81" t="e">
        <f>HLOOKUP(I3336,データについて!$J$3:$M$18,16,FALSE)</f>
        <v>#N/A</v>
      </c>
      <c r="AA3336" s="81" t="str">
        <f>IFERROR(HLOOKUP(J3336,データについて!$J$4:$AH$19,16,FALSE),"")</f>
        <v/>
      </c>
      <c r="AB3336" s="81" t="str">
        <f>IFERROR(HLOOKUP(K3336,データについて!$J$5:$AH$20,14,FALSE),"")</f>
        <v/>
      </c>
      <c r="AC3336" s="81" t="e">
        <f>IF(X3336=1,HLOOKUP(R3336,データについて!$J$12:$M$18,7,FALSE),"*")</f>
        <v>#N/A</v>
      </c>
      <c r="AD3336" s="81" t="e">
        <f>IF(X3336=2,HLOOKUP(R3336,データについて!$J$12:$M$18,7,FALSE),"*")</f>
        <v>#N/A</v>
      </c>
    </row>
    <row r="3337" spans="19:30">
      <c r="S3337" s="81" t="e">
        <f>HLOOKUP(L3337,データについて!$J$6:$M$18,13,FALSE)</f>
        <v>#N/A</v>
      </c>
      <c r="T3337" s="81" t="e">
        <f>HLOOKUP(M3337,データについて!$J$7:$M$18,12,FALSE)</f>
        <v>#N/A</v>
      </c>
      <c r="U3337" s="81" t="e">
        <f>HLOOKUP(N3337,データについて!$J$8:$M$18,11,FALSE)</f>
        <v>#N/A</v>
      </c>
      <c r="V3337" s="81" t="e">
        <f>HLOOKUP(O3337,データについて!$J$9:$M$18,10,FALSE)</f>
        <v>#N/A</v>
      </c>
      <c r="W3337" s="81" t="e">
        <f>HLOOKUP(P3337,データについて!$J$10:$M$18,9,FALSE)</f>
        <v>#N/A</v>
      </c>
      <c r="X3337" s="81" t="e">
        <f>HLOOKUP(Q3337,データについて!$J$11:$M$18,8,FALSE)</f>
        <v>#N/A</v>
      </c>
      <c r="Y3337" s="81" t="e">
        <f>HLOOKUP(R3337,データについて!$J$12:$M$18,7,FALSE)</f>
        <v>#N/A</v>
      </c>
      <c r="Z3337" s="81" t="e">
        <f>HLOOKUP(I3337,データについて!$J$3:$M$18,16,FALSE)</f>
        <v>#N/A</v>
      </c>
      <c r="AA3337" s="81" t="str">
        <f>IFERROR(HLOOKUP(J3337,データについて!$J$4:$AH$19,16,FALSE),"")</f>
        <v/>
      </c>
      <c r="AB3337" s="81" t="str">
        <f>IFERROR(HLOOKUP(K3337,データについて!$J$5:$AH$20,14,FALSE),"")</f>
        <v/>
      </c>
      <c r="AC3337" s="81" t="e">
        <f>IF(X3337=1,HLOOKUP(R3337,データについて!$J$12:$M$18,7,FALSE),"*")</f>
        <v>#N/A</v>
      </c>
      <c r="AD3337" s="81" t="e">
        <f>IF(X3337=2,HLOOKUP(R3337,データについて!$J$12:$M$18,7,FALSE),"*")</f>
        <v>#N/A</v>
      </c>
    </row>
    <row r="3338" spans="19:30">
      <c r="S3338" s="81" t="e">
        <f>HLOOKUP(L3338,データについて!$J$6:$M$18,13,FALSE)</f>
        <v>#N/A</v>
      </c>
      <c r="T3338" s="81" t="e">
        <f>HLOOKUP(M3338,データについて!$J$7:$M$18,12,FALSE)</f>
        <v>#N/A</v>
      </c>
      <c r="U3338" s="81" t="e">
        <f>HLOOKUP(N3338,データについて!$J$8:$M$18,11,FALSE)</f>
        <v>#N/A</v>
      </c>
      <c r="V3338" s="81" t="e">
        <f>HLOOKUP(O3338,データについて!$J$9:$M$18,10,FALSE)</f>
        <v>#N/A</v>
      </c>
      <c r="W3338" s="81" t="e">
        <f>HLOOKUP(P3338,データについて!$J$10:$M$18,9,FALSE)</f>
        <v>#N/A</v>
      </c>
      <c r="X3338" s="81" t="e">
        <f>HLOOKUP(Q3338,データについて!$J$11:$M$18,8,FALSE)</f>
        <v>#N/A</v>
      </c>
      <c r="Y3338" s="81" t="e">
        <f>HLOOKUP(R3338,データについて!$J$12:$M$18,7,FALSE)</f>
        <v>#N/A</v>
      </c>
      <c r="Z3338" s="81" t="e">
        <f>HLOOKUP(I3338,データについて!$J$3:$M$18,16,FALSE)</f>
        <v>#N/A</v>
      </c>
      <c r="AA3338" s="81" t="str">
        <f>IFERROR(HLOOKUP(J3338,データについて!$J$4:$AH$19,16,FALSE),"")</f>
        <v/>
      </c>
      <c r="AB3338" s="81" t="str">
        <f>IFERROR(HLOOKUP(K3338,データについて!$J$5:$AH$20,14,FALSE),"")</f>
        <v/>
      </c>
      <c r="AC3338" s="81" t="e">
        <f>IF(X3338=1,HLOOKUP(R3338,データについて!$J$12:$M$18,7,FALSE),"*")</f>
        <v>#N/A</v>
      </c>
      <c r="AD3338" s="81" t="e">
        <f>IF(X3338=2,HLOOKUP(R3338,データについて!$J$12:$M$18,7,FALSE),"*")</f>
        <v>#N/A</v>
      </c>
    </row>
    <row r="3339" spans="19:30">
      <c r="S3339" s="81" t="e">
        <f>HLOOKUP(L3339,データについて!$J$6:$M$18,13,FALSE)</f>
        <v>#N/A</v>
      </c>
      <c r="T3339" s="81" t="e">
        <f>HLOOKUP(M3339,データについて!$J$7:$M$18,12,FALSE)</f>
        <v>#N/A</v>
      </c>
      <c r="U3339" s="81" t="e">
        <f>HLOOKUP(N3339,データについて!$J$8:$M$18,11,FALSE)</f>
        <v>#N/A</v>
      </c>
      <c r="V3339" s="81" t="e">
        <f>HLOOKUP(O3339,データについて!$J$9:$M$18,10,FALSE)</f>
        <v>#N/A</v>
      </c>
      <c r="W3339" s="81" t="e">
        <f>HLOOKUP(P3339,データについて!$J$10:$M$18,9,FALSE)</f>
        <v>#N/A</v>
      </c>
      <c r="X3339" s="81" t="e">
        <f>HLOOKUP(Q3339,データについて!$J$11:$M$18,8,FALSE)</f>
        <v>#N/A</v>
      </c>
      <c r="Y3339" s="81" t="e">
        <f>HLOOKUP(R3339,データについて!$J$12:$M$18,7,FALSE)</f>
        <v>#N/A</v>
      </c>
      <c r="Z3339" s="81" t="e">
        <f>HLOOKUP(I3339,データについて!$J$3:$M$18,16,FALSE)</f>
        <v>#N/A</v>
      </c>
      <c r="AA3339" s="81" t="str">
        <f>IFERROR(HLOOKUP(J3339,データについて!$J$4:$AH$19,16,FALSE),"")</f>
        <v/>
      </c>
      <c r="AB3339" s="81" t="str">
        <f>IFERROR(HLOOKUP(K3339,データについて!$J$5:$AH$20,14,FALSE),"")</f>
        <v/>
      </c>
      <c r="AC3339" s="81" t="e">
        <f>IF(X3339=1,HLOOKUP(R3339,データについて!$J$12:$M$18,7,FALSE),"*")</f>
        <v>#N/A</v>
      </c>
      <c r="AD3339" s="81" t="e">
        <f>IF(X3339=2,HLOOKUP(R3339,データについて!$J$12:$M$18,7,FALSE),"*")</f>
        <v>#N/A</v>
      </c>
    </row>
    <row r="3340" spans="19:30">
      <c r="S3340" s="81" t="e">
        <f>HLOOKUP(L3340,データについて!$J$6:$M$18,13,FALSE)</f>
        <v>#N/A</v>
      </c>
      <c r="T3340" s="81" t="e">
        <f>HLOOKUP(M3340,データについて!$J$7:$M$18,12,FALSE)</f>
        <v>#N/A</v>
      </c>
      <c r="U3340" s="81" t="e">
        <f>HLOOKUP(N3340,データについて!$J$8:$M$18,11,FALSE)</f>
        <v>#N/A</v>
      </c>
      <c r="V3340" s="81" t="e">
        <f>HLOOKUP(O3340,データについて!$J$9:$M$18,10,FALSE)</f>
        <v>#N/A</v>
      </c>
      <c r="W3340" s="81" t="e">
        <f>HLOOKUP(P3340,データについて!$J$10:$M$18,9,FALSE)</f>
        <v>#N/A</v>
      </c>
      <c r="X3340" s="81" t="e">
        <f>HLOOKUP(Q3340,データについて!$J$11:$M$18,8,FALSE)</f>
        <v>#N/A</v>
      </c>
      <c r="Y3340" s="81" t="e">
        <f>HLOOKUP(R3340,データについて!$J$12:$M$18,7,FALSE)</f>
        <v>#N/A</v>
      </c>
      <c r="Z3340" s="81" t="e">
        <f>HLOOKUP(I3340,データについて!$J$3:$M$18,16,FALSE)</f>
        <v>#N/A</v>
      </c>
      <c r="AA3340" s="81" t="str">
        <f>IFERROR(HLOOKUP(J3340,データについて!$J$4:$AH$19,16,FALSE),"")</f>
        <v/>
      </c>
      <c r="AB3340" s="81" t="str">
        <f>IFERROR(HLOOKUP(K3340,データについて!$J$5:$AH$20,14,FALSE),"")</f>
        <v/>
      </c>
      <c r="AC3340" s="81" t="e">
        <f>IF(X3340=1,HLOOKUP(R3340,データについて!$J$12:$M$18,7,FALSE),"*")</f>
        <v>#N/A</v>
      </c>
      <c r="AD3340" s="81" t="e">
        <f>IF(X3340=2,HLOOKUP(R3340,データについて!$J$12:$M$18,7,FALSE),"*")</f>
        <v>#N/A</v>
      </c>
    </row>
    <row r="3341" spans="19:30">
      <c r="S3341" s="81" t="e">
        <f>HLOOKUP(L3341,データについて!$J$6:$M$18,13,FALSE)</f>
        <v>#N/A</v>
      </c>
      <c r="T3341" s="81" t="e">
        <f>HLOOKUP(M3341,データについて!$J$7:$M$18,12,FALSE)</f>
        <v>#N/A</v>
      </c>
      <c r="U3341" s="81" t="e">
        <f>HLOOKUP(N3341,データについて!$J$8:$M$18,11,FALSE)</f>
        <v>#N/A</v>
      </c>
      <c r="V3341" s="81" t="e">
        <f>HLOOKUP(O3341,データについて!$J$9:$M$18,10,FALSE)</f>
        <v>#N/A</v>
      </c>
      <c r="W3341" s="81" t="e">
        <f>HLOOKUP(P3341,データについて!$J$10:$M$18,9,FALSE)</f>
        <v>#N/A</v>
      </c>
      <c r="X3341" s="81" t="e">
        <f>HLOOKUP(Q3341,データについて!$J$11:$M$18,8,FALSE)</f>
        <v>#N/A</v>
      </c>
      <c r="Y3341" s="81" t="e">
        <f>HLOOKUP(R3341,データについて!$J$12:$M$18,7,FALSE)</f>
        <v>#N/A</v>
      </c>
      <c r="Z3341" s="81" t="e">
        <f>HLOOKUP(I3341,データについて!$J$3:$M$18,16,FALSE)</f>
        <v>#N/A</v>
      </c>
      <c r="AA3341" s="81" t="str">
        <f>IFERROR(HLOOKUP(J3341,データについて!$J$4:$AH$19,16,FALSE),"")</f>
        <v/>
      </c>
      <c r="AB3341" s="81" t="str">
        <f>IFERROR(HLOOKUP(K3341,データについて!$J$5:$AH$20,14,FALSE),"")</f>
        <v/>
      </c>
      <c r="AC3341" s="81" t="e">
        <f>IF(X3341=1,HLOOKUP(R3341,データについて!$J$12:$M$18,7,FALSE),"*")</f>
        <v>#N/A</v>
      </c>
      <c r="AD3341" s="81" t="e">
        <f>IF(X3341=2,HLOOKUP(R3341,データについて!$J$12:$M$18,7,FALSE),"*")</f>
        <v>#N/A</v>
      </c>
    </row>
    <row r="3342" spans="19:30">
      <c r="S3342" s="81" t="e">
        <f>HLOOKUP(L3342,データについて!$J$6:$M$18,13,FALSE)</f>
        <v>#N/A</v>
      </c>
      <c r="T3342" s="81" t="e">
        <f>HLOOKUP(M3342,データについて!$J$7:$M$18,12,FALSE)</f>
        <v>#N/A</v>
      </c>
      <c r="U3342" s="81" t="e">
        <f>HLOOKUP(N3342,データについて!$J$8:$M$18,11,FALSE)</f>
        <v>#N/A</v>
      </c>
      <c r="V3342" s="81" t="e">
        <f>HLOOKUP(O3342,データについて!$J$9:$M$18,10,FALSE)</f>
        <v>#N/A</v>
      </c>
      <c r="W3342" s="81" t="e">
        <f>HLOOKUP(P3342,データについて!$J$10:$M$18,9,FALSE)</f>
        <v>#N/A</v>
      </c>
      <c r="X3342" s="81" t="e">
        <f>HLOOKUP(Q3342,データについて!$J$11:$M$18,8,FALSE)</f>
        <v>#N/A</v>
      </c>
      <c r="Y3342" s="81" t="e">
        <f>HLOOKUP(R3342,データについて!$J$12:$M$18,7,FALSE)</f>
        <v>#N/A</v>
      </c>
      <c r="Z3342" s="81" t="e">
        <f>HLOOKUP(I3342,データについて!$J$3:$M$18,16,FALSE)</f>
        <v>#N/A</v>
      </c>
      <c r="AA3342" s="81" t="str">
        <f>IFERROR(HLOOKUP(J3342,データについて!$J$4:$AH$19,16,FALSE),"")</f>
        <v/>
      </c>
      <c r="AB3342" s="81" t="str">
        <f>IFERROR(HLOOKUP(K3342,データについて!$J$5:$AH$20,14,FALSE),"")</f>
        <v/>
      </c>
      <c r="AC3342" s="81" t="e">
        <f>IF(X3342=1,HLOOKUP(R3342,データについて!$J$12:$M$18,7,FALSE),"*")</f>
        <v>#N/A</v>
      </c>
      <c r="AD3342" s="81" t="e">
        <f>IF(X3342=2,HLOOKUP(R3342,データについて!$J$12:$M$18,7,FALSE),"*")</f>
        <v>#N/A</v>
      </c>
    </row>
    <row r="3343" spans="19:30">
      <c r="S3343" s="81" t="e">
        <f>HLOOKUP(L3343,データについて!$J$6:$M$18,13,FALSE)</f>
        <v>#N/A</v>
      </c>
      <c r="T3343" s="81" t="e">
        <f>HLOOKUP(M3343,データについて!$J$7:$M$18,12,FALSE)</f>
        <v>#N/A</v>
      </c>
      <c r="U3343" s="81" t="e">
        <f>HLOOKUP(N3343,データについて!$J$8:$M$18,11,FALSE)</f>
        <v>#N/A</v>
      </c>
      <c r="V3343" s="81" t="e">
        <f>HLOOKUP(O3343,データについて!$J$9:$M$18,10,FALSE)</f>
        <v>#N/A</v>
      </c>
      <c r="W3343" s="81" t="e">
        <f>HLOOKUP(P3343,データについて!$J$10:$M$18,9,FALSE)</f>
        <v>#N/A</v>
      </c>
      <c r="X3343" s="81" t="e">
        <f>HLOOKUP(Q3343,データについて!$J$11:$M$18,8,FALSE)</f>
        <v>#N/A</v>
      </c>
      <c r="Y3343" s="81" t="e">
        <f>HLOOKUP(R3343,データについて!$J$12:$M$18,7,FALSE)</f>
        <v>#N/A</v>
      </c>
      <c r="Z3343" s="81" t="e">
        <f>HLOOKUP(I3343,データについて!$J$3:$M$18,16,FALSE)</f>
        <v>#N/A</v>
      </c>
      <c r="AA3343" s="81" t="str">
        <f>IFERROR(HLOOKUP(J3343,データについて!$J$4:$AH$19,16,FALSE),"")</f>
        <v/>
      </c>
      <c r="AB3343" s="81" t="str">
        <f>IFERROR(HLOOKUP(K3343,データについて!$J$5:$AH$20,14,FALSE),"")</f>
        <v/>
      </c>
      <c r="AC3343" s="81" t="e">
        <f>IF(X3343=1,HLOOKUP(R3343,データについて!$J$12:$M$18,7,FALSE),"*")</f>
        <v>#N/A</v>
      </c>
      <c r="AD3343" s="81" t="e">
        <f>IF(X3343=2,HLOOKUP(R3343,データについて!$J$12:$M$18,7,FALSE),"*")</f>
        <v>#N/A</v>
      </c>
    </row>
    <row r="3344" spans="19:30">
      <c r="S3344" s="81" t="e">
        <f>HLOOKUP(L3344,データについて!$J$6:$M$18,13,FALSE)</f>
        <v>#N/A</v>
      </c>
      <c r="T3344" s="81" t="e">
        <f>HLOOKUP(M3344,データについて!$J$7:$M$18,12,FALSE)</f>
        <v>#N/A</v>
      </c>
      <c r="U3344" s="81" t="e">
        <f>HLOOKUP(N3344,データについて!$J$8:$M$18,11,FALSE)</f>
        <v>#N/A</v>
      </c>
      <c r="V3344" s="81" t="e">
        <f>HLOOKUP(O3344,データについて!$J$9:$M$18,10,FALSE)</f>
        <v>#N/A</v>
      </c>
      <c r="W3344" s="81" t="e">
        <f>HLOOKUP(P3344,データについて!$J$10:$M$18,9,FALSE)</f>
        <v>#N/A</v>
      </c>
      <c r="X3344" s="81" t="e">
        <f>HLOOKUP(Q3344,データについて!$J$11:$M$18,8,FALSE)</f>
        <v>#N/A</v>
      </c>
      <c r="Y3344" s="81" t="e">
        <f>HLOOKUP(R3344,データについて!$J$12:$M$18,7,FALSE)</f>
        <v>#N/A</v>
      </c>
      <c r="Z3344" s="81" t="e">
        <f>HLOOKUP(I3344,データについて!$J$3:$M$18,16,FALSE)</f>
        <v>#N/A</v>
      </c>
      <c r="AA3344" s="81" t="str">
        <f>IFERROR(HLOOKUP(J3344,データについて!$J$4:$AH$19,16,FALSE),"")</f>
        <v/>
      </c>
      <c r="AB3344" s="81" t="str">
        <f>IFERROR(HLOOKUP(K3344,データについて!$J$5:$AH$20,14,FALSE),"")</f>
        <v/>
      </c>
      <c r="AC3344" s="81" t="e">
        <f>IF(X3344=1,HLOOKUP(R3344,データについて!$J$12:$M$18,7,FALSE),"*")</f>
        <v>#N/A</v>
      </c>
      <c r="AD3344" s="81" t="e">
        <f>IF(X3344=2,HLOOKUP(R3344,データについて!$J$12:$M$18,7,FALSE),"*")</f>
        <v>#N/A</v>
      </c>
    </row>
    <row r="3345" spans="19:30">
      <c r="S3345" s="81" t="e">
        <f>HLOOKUP(L3345,データについて!$J$6:$M$18,13,FALSE)</f>
        <v>#N/A</v>
      </c>
      <c r="T3345" s="81" t="e">
        <f>HLOOKUP(M3345,データについて!$J$7:$M$18,12,FALSE)</f>
        <v>#N/A</v>
      </c>
      <c r="U3345" s="81" t="e">
        <f>HLOOKUP(N3345,データについて!$J$8:$M$18,11,FALSE)</f>
        <v>#N/A</v>
      </c>
      <c r="V3345" s="81" t="e">
        <f>HLOOKUP(O3345,データについて!$J$9:$M$18,10,FALSE)</f>
        <v>#N/A</v>
      </c>
      <c r="W3345" s="81" t="e">
        <f>HLOOKUP(P3345,データについて!$J$10:$M$18,9,FALSE)</f>
        <v>#N/A</v>
      </c>
      <c r="X3345" s="81" t="e">
        <f>HLOOKUP(Q3345,データについて!$J$11:$M$18,8,FALSE)</f>
        <v>#N/A</v>
      </c>
      <c r="Y3345" s="81" t="e">
        <f>HLOOKUP(R3345,データについて!$J$12:$M$18,7,FALSE)</f>
        <v>#N/A</v>
      </c>
      <c r="Z3345" s="81" t="e">
        <f>HLOOKUP(I3345,データについて!$J$3:$M$18,16,FALSE)</f>
        <v>#N/A</v>
      </c>
      <c r="AA3345" s="81" t="str">
        <f>IFERROR(HLOOKUP(J3345,データについて!$J$4:$AH$19,16,FALSE),"")</f>
        <v/>
      </c>
      <c r="AB3345" s="81" t="str">
        <f>IFERROR(HLOOKUP(K3345,データについて!$J$5:$AH$20,14,FALSE),"")</f>
        <v/>
      </c>
      <c r="AC3345" s="81" t="e">
        <f>IF(X3345=1,HLOOKUP(R3345,データについて!$J$12:$M$18,7,FALSE),"*")</f>
        <v>#N/A</v>
      </c>
      <c r="AD3345" s="81" t="e">
        <f>IF(X3345=2,HLOOKUP(R3345,データについて!$J$12:$M$18,7,FALSE),"*")</f>
        <v>#N/A</v>
      </c>
    </row>
    <row r="3346" spans="19:30">
      <c r="S3346" s="81" t="e">
        <f>HLOOKUP(L3346,データについて!$J$6:$M$18,13,FALSE)</f>
        <v>#N/A</v>
      </c>
      <c r="T3346" s="81" t="e">
        <f>HLOOKUP(M3346,データについて!$J$7:$M$18,12,FALSE)</f>
        <v>#N/A</v>
      </c>
      <c r="U3346" s="81" t="e">
        <f>HLOOKUP(N3346,データについて!$J$8:$M$18,11,FALSE)</f>
        <v>#N/A</v>
      </c>
      <c r="V3346" s="81" t="e">
        <f>HLOOKUP(O3346,データについて!$J$9:$M$18,10,FALSE)</f>
        <v>#N/A</v>
      </c>
      <c r="W3346" s="81" t="e">
        <f>HLOOKUP(P3346,データについて!$J$10:$M$18,9,FALSE)</f>
        <v>#N/A</v>
      </c>
      <c r="X3346" s="81" t="e">
        <f>HLOOKUP(Q3346,データについて!$J$11:$M$18,8,FALSE)</f>
        <v>#N/A</v>
      </c>
      <c r="Y3346" s="81" t="e">
        <f>HLOOKUP(R3346,データについて!$J$12:$M$18,7,FALSE)</f>
        <v>#N/A</v>
      </c>
      <c r="Z3346" s="81" t="e">
        <f>HLOOKUP(I3346,データについて!$J$3:$M$18,16,FALSE)</f>
        <v>#N/A</v>
      </c>
      <c r="AA3346" s="81" t="str">
        <f>IFERROR(HLOOKUP(J3346,データについて!$J$4:$AH$19,16,FALSE),"")</f>
        <v/>
      </c>
      <c r="AB3346" s="81" t="str">
        <f>IFERROR(HLOOKUP(K3346,データについて!$J$5:$AH$20,14,FALSE),"")</f>
        <v/>
      </c>
      <c r="AC3346" s="81" t="e">
        <f>IF(X3346=1,HLOOKUP(R3346,データについて!$J$12:$M$18,7,FALSE),"*")</f>
        <v>#N/A</v>
      </c>
      <c r="AD3346" s="81" t="e">
        <f>IF(X3346=2,HLOOKUP(R3346,データについて!$J$12:$M$18,7,FALSE),"*")</f>
        <v>#N/A</v>
      </c>
    </row>
    <row r="3347" spans="19:30">
      <c r="S3347" s="81" t="e">
        <f>HLOOKUP(L3347,データについて!$J$6:$M$18,13,FALSE)</f>
        <v>#N/A</v>
      </c>
      <c r="T3347" s="81" t="e">
        <f>HLOOKUP(M3347,データについて!$J$7:$M$18,12,FALSE)</f>
        <v>#N/A</v>
      </c>
      <c r="U3347" s="81" t="e">
        <f>HLOOKUP(N3347,データについて!$J$8:$M$18,11,FALSE)</f>
        <v>#N/A</v>
      </c>
      <c r="V3347" s="81" t="e">
        <f>HLOOKUP(O3347,データについて!$J$9:$M$18,10,FALSE)</f>
        <v>#N/A</v>
      </c>
      <c r="W3347" s="81" t="e">
        <f>HLOOKUP(P3347,データについて!$J$10:$M$18,9,FALSE)</f>
        <v>#N/A</v>
      </c>
      <c r="X3347" s="81" t="e">
        <f>HLOOKUP(Q3347,データについて!$J$11:$M$18,8,FALSE)</f>
        <v>#N/A</v>
      </c>
      <c r="Y3347" s="81" t="e">
        <f>HLOOKUP(R3347,データについて!$J$12:$M$18,7,FALSE)</f>
        <v>#N/A</v>
      </c>
      <c r="Z3347" s="81" t="e">
        <f>HLOOKUP(I3347,データについて!$J$3:$M$18,16,FALSE)</f>
        <v>#N/A</v>
      </c>
      <c r="AA3347" s="81" t="str">
        <f>IFERROR(HLOOKUP(J3347,データについて!$J$4:$AH$19,16,FALSE),"")</f>
        <v/>
      </c>
      <c r="AB3347" s="81" t="str">
        <f>IFERROR(HLOOKUP(K3347,データについて!$J$5:$AH$20,14,FALSE),"")</f>
        <v/>
      </c>
      <c r="AC3347" s="81" t="e">
        <f>IF(X3347=1,HLOOKUP(R3347,データについて!$J$12:$M$18,7,FALSE),"*")</f>
        <v>#N/A</v>
      </c>
      <c r="AD3347" s="81" t="e">
        <f>IF(X3347=2,HLOOKUP(R3347,データについて!$J$12:$M$18,7,FALSE),"*")</f>
        <v>#N/A</v>
      </c>
    </row>
    <row r="3348" spans="19:30">
      <c r="S3348" s="81" t="e">
        <f>HLOOKUP(L3348,データについて!$J$6:$M$18,13,FALSE)</f>
        <v>#N/A</v>
      </c>
      <c r="T3348" s="81" t="e">
        <f>HLOOKUP(M3348,データについて!$J$7:$M$18,12,FALSE)</f>
        <v>#N/A</v>
      </c>
      <c r="U3348" s="81" t="e">
        <f>HLOOKUP(N3348,データについて!$J$8:$M$18,11,FALSE)</f>
        <v>#N/A</v>
      </c>
      <c r="V3348" s="81" t="e">
        <f>HLOOKUP(O3348,データについて!$J$9:$M$18,10,FALSE)</f>
        <v>#N/A</v>
      </c>
      <c r="W3348" s="81" t="e">
        <f>HLOOKUP(P3348,データについて!$J$10:$M$18,9,FALSE)</f>
        <v>#N/A</v>
      </c>
      <c r="X3348" s="81" t="e">
        <f>HLOOKUP(Q3348,データについて!$J$11:$M$18,8,FALSE)</f>
        <v>#N/A</v>
      </c>
      <c r="Y3348" s="81" t="e">
        <f>HLOOKUP(R3348,データについて!$J$12:$M$18,7,FALSE)</f>
        <v>#N/A</v>
      </c>
      <c r="Z3348" s="81" t="e">
        <f>HLOOKUP(I3348,データについて!$J$3:$M$18,16,FALSE)</f>
        <v>#N/A</v>
      </c>
      <c r="AA3348" s="81" t="str">
        <f>IFERROR(HLOOKUP(J3348,データについて!$J$4:$AH$19,16,FALSE),"")</f>
        <v/>
      </c>
      <c r="AB3348" s="81" t="str">
        <f>IFERROR(HLOOKUP(K3348,データについて!$J$5:$AH$20,14,FALSE),"")</f>
        <v/>
      </c>
      <c r="AC3348" s="81" t="e">
        <f>IF(X3348=1,HLOOKUP(R3348,データについて!$J$12:$M$18,7,FALSE),"*")</f>
        <v>#N/A</v>
      </c>
      <c r="AD3348" s="81" t="e">
        <f>IF(X3348=2,HLOOKUP(R3348,データについて!$J$12:$M$18,7,FALSE),"*")</f>
        <v>#N/A</v>
      </c>
    </row>
    <row r="3349" spans="19:30">
      <c r="S3349" s="81" t="e">
        <f>HLOOKUP(L3349,データについて!$J$6:$M$18,13,FALSE)</f>
        <v>#N/A</v>
      </c>
      <c r="T3349" s="81" t="e">
        <f>HLOOKUP(M3349,データについて!$J$7:$M$18,12,FALSE)</f>
        <v>#N/A</v>
      </c>
      <c r="U3349" s="81" t="e">
        <f>HLOOKUP(N3349,データについて!$J$8:$M$18,11,FALSE)</f>
        <v>#N/A</v>
      </c>
      <c r="V3349" s="81" t="e">
        <f>HLOOKUP(O3349,データについて!$J$9:$M$18,10,FALSE)</f>
        <v>#N/A</v>
      </c>
      <c r="W3349" s="81" t="e">
        <f>HLOOKUP(P3349,データについて!$J$10:$M$18,9,FALSE)</f>
        <v>#N/A</v>
      </c>
      <c r="X3349" s="81" t="e">
        <f>HLOOKUP(Q3349,データについて!$J$11:$M$18,8,FALSE)</f>
        <v>#N/A</v>
      </c>
      <c r="Y3349" s="81" t="e">
        <f>HLOOKUP(R3349,データについて!$J$12:$M$18,7,FALSE)</f>
        <v>#N/A</v>
      </c>
      <c r="Z3349" s="81" t="e">
        <f>HLOOKUP(I3349,データについて!$J$3:$M$18,16,FALSE)</f>
        <v>#N/A</v>
      </c>
      <c r="AA3349" s="81" t="str">
        <f>IFERROR(HLOOKUP(J3349,データについて!$J$4:$AH$19,16,FALSE),"")</f>
        <v/>
      </c>
      <c r="AB3349" s="81" t="str">
        <f>IFERROR(HLOOKUP(K3349,データについて!$J$5:$AH$20,14,FALSE),"")</f>
        <v/>
      </c>
      <c r="AC3349" s="81" t="e">
        <f>IF(X3349=1,HLOOKUP(R3349,データについて!$J$12:$M$18,7,FALSE),"*")</f>
        <v>#N/A</v>
      </c>
      <c r="AD3349" s="81" t="e">
        <f>IF(X3349=2,HLOOKUP(R3349,データについて!$J$12:$M$18,7,FALSE),"*")</f>
        <v>#N/A</v>
      </c>
    </row>
    <row r="3350" spans="19:30">
      <c r="S3350" s="81" t="e">
        <f>HLOOKUP(L3350,データについて!$J$6:$M$18,13,FALSE)</f>
        <v>#N/A</v>
      </c>
      <c r="T3350" s="81" t="e">
        <f>HLOOKUP(M3350,データについて!$J$7:$M$18,12,FALSE)</f>
        <v>#N/A</v>
      </c>
      <c r="U3350" s="81" t="e">
        <f>HLOOKUP(N3350,データについて!$J$8:$M$18,11,FALSE)</f>
        <v>#N/A</v>
      </c>
      <c r="V3350" s="81" t="e">
        <f>HLOOKUP(O3350,データについて!$J$9:$M$18,10,FALSE)</f>
        <v>#N/A</v>
      </c>
      <c r="W3350" s="81" t="e">
        <f>HLOOKUP(P3350,データについて!$J$10:$M$18,9,FALSE)</f>
        <v>#N/A</v>
      </c>
      <c r="X3350" s="81" t="e">
        <f>HLOOKUP(Q3350,データについて!$J$11:$M$18,8,FALSE)</f>
        <v>#N/A</v>
      </c>
      <c r="Y3350" s="81" t="e">
        <f>HLOOKUP(R3350,データについて!$J$12:$M$18,7,FALSE)</f>
        <v>#N/A</v>
      </c>
      <c r="Z3350" s="81" t="e">
        <f>HLOOKUP(I3350,データについて!$J$3:$M$18,16,FALSE)</f>
        <v>#N/A</v>
      </c>
      <c r="AA3350" s="81" t="str">
        <f>IFERROR(HLOOKUP(J3350,データについて!$J$4:$AH$19,16,FALSE),"")</f>
        <v/>
      </c>
      <c r="AB3350" s="81" t="str">
        <f>IFERROR(HLOOKUP(K3350,データについて!$J$5:$AH$20,14,FALSE),"")</f>
        <v/>
      </c>
      <c r="AC3350" s="81" t="e">
        <f>IF(X3350=1,HLOOKUP(R3350,データについて!$J$12:$M$18,7,FALSE),"*")</f>
        <v>#N/A</v>
      </c>
      <c r="AD3350" s="81" t="e">
        <f>IF(X3350=2,HLOOKUP(R3350,データについて!$J$12:$M$18,7,FALSE),"*")</f>
        <v>#N/A</v>
      </c>
    </row>
    <row r="3351" spans="19:30">
      <c r="S3351" s="81" t="e">
        <f>HLOOKUP(L3351,データについて!$J$6:$M$18,13,FALSE)</f>
        <v>#N/A</v>
      </c>
      <c r="T3351" s="81" t="e">
        <f>HLOOKUP(M3351,データについて!$J$7:$M$18,12,FALSE)</f>
        <v>#N/A</v>
      </c>
      <c r="U3351" s="81" t="e">
        <f>HLOOKUP(N3351,データについて!$J$8:$M$18,11,FALSE)</f>
        <v>#N/A</v>
      </c>
      <c r="V3351" s="81" t="e">
        <f>HLOOKUP(O3351,データについて!$J$9:$M$18,10,FALSE)</f>
        <v>#N/A</v>
      </c>
      <c r="W3351" s="81" t="e">
        <f>HLOOKUP(P3351,データについて!$J$10:$M$18,9,FALSE)</f>
        <v>#N/A</v>
      </c>
      <c r="X3351" s="81" t="e">
        <f>HLOOKUP(Q3351,データについて!$J$11:$M$18,8,FALSE)</f>
        <v>#N/A</v>
      </c>
      <c r="Y3351" s="81" t="e">
        <f>HLOOKUP(R3351,データについて!$J$12:$M$18,7,FALSE)</f>
        <v>#N/A</v>
      </c>
      <c r="Z3351" s="81" t="e">
        <f>HLOOKUP(I3351,データについて!$J$3:$M$18,16,FALSE)</f>
        <v>#N/A</v>
      </c>
      <c r="AA3351" s="81" t="str">
        <f>IFERROR(HLOOKUP(J3351,データについて!$J$4:$AH$19,16,FALSE),"")</f>
        <v/>
      </c>
      <c r="AB3351" s="81" t="str">
        <f>IFERROR(HLOOKUP(K3351,データについて!$J$5:$AH$20,14,FALSE),"")</f>
        <v/>
      </c>
      <c r="AC3351" s="81" t="e">
        <f>IF(X3351=1,HLOOKUP(R3351,データについて!$J$12:$M$18,7,FALSE),"*")</f>
        <v>#N/A</v>
      </c>
      <c r="AD3351" s="81" t="e">
        <f>IF(X3351=2,HLOOKUP(R3351,データについて!$J$12:$M$18,7,FALSE),"*")</f>
        <v>#N/A</v>
      </c>
    </row>
    <row r="3352" spans="19:30">
      <c r="S3352" s="81" t="e">
        <f>HLOOKUP(L3352,データについて!$J$6:$M$18,13,FALSE)</f>
        <v>#N/A</v>
      </c>
      <c r="T3352" s="81" t="e">
        <f>HLOOKUP(M3352,データについて!$J$7:$M$18,12,FALSE)</f>
        <v>#N/A</v>
      </c>
      <c r="U3352" s="81" t="e">
        <f>HLOOKUP(N3352,データについて!$J$8:$M$18,11,FALSE)</f>
        <v>#N/A</v>
      </c>
      <c r="V3352" s="81" t="e">
        <f>HLOOKUP(O3352,データについて!$J$9:$M$18,10,FALSE)</f>
        <v>#N/A</v>
      </c>
      <c r="W3352" s="81" t="e">
        <f>HLOOKUP(P3352,データについて!$J$10:$M$18,9,FALSE)</f>
        <v>#N/A</v>
      </c>
      <c r="X3352" s="81" t="e">
        <f>HLOOKUP(Q3352,データについて!$J$11:$M$18,8,FALSE)</f>
        <v>#N/A</v>
      </c>
      <c r="Y3352" s="81" t="e">
        <f>HLOOKUP(R3352,データについて!$J$12:$M$18,7,FALSE)</f>
        <v>#N/A</v>
      </c>
      <c r="Z3352" s="81" t="e">
        <f>HLOOKUP(I3352,データについて!$J$3:$M$18,16,FALSE)</f>
        <v>#N/A</v>
      </c>
      <c r="AA3352" s="81" t="str">
        <f>IFERROR(HLOOKUP(J3352,データについて!$J$4:$AH$19,16,FALSE),"")</f>
        <v/>
      </c>
      <c r="AB3352" s="81" t="str">
        <f>IFERROR(HLOOKUP(K3352,データについて!$J$5:$AH$20,14,FALSE),"")</f>
        <v/>
      </c>
      <c r="AC3352" s="81" t="e">
        <f>IF(X3352=1,HLOOKUP(R3352,データについて!$J$12:$M$18,7,FALSE),"*")</f>
        <v>#N/A</v>
      </c>
      <c r="AD3352" s="81" t="e">
        <f>IF(X3352=2,HLOOKUP(R3352,データについて!$J$12:$M$18,7,FALSE),"*")</f>
        <v>#N/A</v>
      </c>
    </row>
    <row r="3353" spans="19:30">
      <c r="S3353" s="81" t="e">
        <f>HLOOKUP(L3353,データについて!$J$6:$M$18,13,FALSE)</f>
        <v>#N/A</v>
      </c>
      <c r="T3353" s="81" t="e">
        <f>HLOOKUP(M3353,データについて!$J$7:$M$18,12,FALSE)</f>
        <v>#N/A</v>
      </c>
      <c r="U3353" s="81" t="e">
        <f>HLOOKUP(N3353,データについて!$J$8:$M$18,11,FALSE)</f>
        <v>#N/A</v>
      </c>
      <c r="V3353" s="81" t="e">
        <f>HLOOKUP(O3353,データについて!$J$9:$M$18,10,FALSE)</f>
        <v>#N/A</v>
      </c>
      <c r="W3353" s="81" t="e">
        <f>HLOOKUP(P3353,データについて!$J$10:$M$18,9,FALSE)</f>
        <v>#N/A</v>
      </c>
      <c r="X3353" s="81" t="e">
        <f>HLOOKUP(Q3353,データについて!$J$11:$M$18,8,FALSE)</f>
        <v>#N/A</v>
      </c>
      <c r="Y3353" s="81" t="e">
        <f>HLOOKUP(R3353,データについて!$J$12:$M$18,7,FALSE)</f>
        <v>#N/A</v>
      </c>
      <c r="Z3353" s="81" t="e">
        <f>HLOOKUP(I3353,データについて!$J$3:$M$18,16,FALSE)</f>
        <v>#N/A</v>
      </c>
      <c r="AA3353" s="81" t="str">
        <f>IFERROR(HLOOKUP(J3353,データについて!$J$4:$AH$19,16,FALSE),"")</f>
        <v/>
      </c>
      <c r="AB3353" s="81" t="str">
        <f>IFERROR(HLOOKUP(K3353,データについて!$J$5:$AH$20,14,FALSE),"")</f>
        <v/>
      </c>
      <c r="AC3353" s="81" t="e">
        <f>IF(X3353=1,HLOOKUP(R3353,データについて!$J$12:$M$18,7,FALSE),"*")</f>
        <v>#N/A</v>
      </c>
      <c r="AD3353" s="81" t="e">
        <f>IF(X3353=2,HLOOKUP(R3353,データについて!$J$12:$M$18,7,FALSE),"*")</f>
        <v>#N/A</v>
      </c>
    </row>
    <row r="3354" spans="19:30">
      <c r="S3354" s="81" t="e">
        <f>HLOOKUP(L3354,データについて!$J$6:$M$18,13,FALSE)</f>
        <v>#N/A</v>
      </c>
      <c r="T3354" s="81" t="e">
        <f>HLOOKUP(M3354,データについて!$J$7:$M$18,12,FALSE)</f>
        <v>#N/A</v>
      </c>
      <c r="U3354" s="81" t="e">
        <f>HLOOKUP(N3354,データについて!$J$8:$M$18,11,FALSE)</f>
        <v>#N/A</v>
      </c>
      <c r="V3354" s="81" t="e">
        <f>HLOOKUP(O3354,データについて!$J$9:$M$18,10,FALSE)</f>
        <v>#N/A</v>
      </c>
      <c r="W3354" s="81" t="e">
        <f>HLOOKUP(P3354,データについて!$J$10:$M$18,9,FALSE)</f>
        <v>#N/A</v>
      </c>
      <c r="X3354" s="81" t="e">
        <f>HLOOKUP(Q3354,データについて!$J$11:$M$18,8,FALSE)</f>
        <v>#N/A</v>
      </c>
      <c r="Y3354" s="81" t="e">
        <f>HLOOKUP(R3354,データについて!$J$12:$M$18,7,FALSE)</f>
        <v>#N/A</v>
      </c>
      <c r="Z3354" s="81" t="e">
        <f>HLOOKUP(I3354,データについて!$J$3:$M$18,16,FALSE)</f>
        <v>#N/A</v>
      </c>
      <c r="AA3354" s="81" t="str">
        <f>IFERROR(HLOOKUP(J3354,データについて!$J$4:$AH$19,16,FALSE),"")</f>
        <v/>
      </c>
      <c r="AB3354" s="81" t="str">
        <f>IFERROR(HLOOKUP(K3354,データについて!$J$5:$AH$20,14,FALSE),"")</f>
        <v/>
      </c>
      <c r="AC3354" s="81" t="e">
        <f>IF(X3354=1,HLOOKUP(R3354,データについて!$J$12:$M$18,7,FALSE),"*")</f>
        <v>#N/A</v>
      </c>
      <c r="AD3354" s="81" t="e">
        <f>IF(X3354=2,HLOOKUP(R3354,データについて!$J$12:$M$18,7,FALSE),"*")</f>
        <v>#N/A</v>
      </c>
    </row>
    <row r="3355" spans="19:30">
      <c r="S3355" s="81" t="e">
        <f>HLOOKUP(L3355,データについて!$J$6:$M$18,13,FALSE)</f>
        <v>#N/A</v>
      </c>
      <c r="T3355" s="81" t="e">
        <f>HLOOKUP(M3355,データについて!$J$7:$M$18,12,FALSE)</f>
        <v>#N/A</v>
      </c>
      <c r="U3355" s="81" t="e">
        <f>HLOOKUP(N3355,データについて!$J$8:$M$18,11,FALSE)</f>
        <v>#N/A</v>
      </c>
      <c r="V3355" s="81" t="e">
        <f>HLOOKUP(O3355,データについて!$J$9:$M$18,10,FALSE)</f>
        <v>#N/A</v>
      </c>
      <c r="W3355" s="81" t="e">
        <f>HLOOKUP(P3355,データについて!$J$10:$M$18,9,FALSE)</f>
        <v>#N/A</v>
      </c>
      <c r="X3355" s="81" t="e">
        <f>HLOOKUP(Q3355,データについて!$J$11:$M$18,8,FALSE)</f>
        <v>#N/A</v>
      </c>
      <c r="Y3355" s="81" t="e">
        <f>HLOOKUP(R3355,データについて!$J$12:$M$18,7,FALSE)</f>
        <v>#N/A</v>
      </c>
      <c r="Z3355" s="81" t="e">
        <f>HLOOKUP(I3355,データについて!$J$3:$M$18,16,FALSE)</f>
        <v>#N/A</v>
      </c>
      <c r="AA3355" s="81" t="str">
        <f>IFERROR(HLOOKUP(J3355,データについて!$J$4:$AH$19,16,FALSE),"")</f>
        <v/>
      </c>
      <c r="AB3355" s="81" t="str">
        <f>IFERROR(HLOOKUP(K3355,データについて!$J$5:$AH$20,14,FALSE),"")</f>
        <v/>
      </c>
      <c r="AC3355" s="81" t="e">
        <f>IF(X3355=1,HLOOKUP(R3355,データについて!$J$12:$M$18,7,FALSE),"*")</f>
        <v>#N/A</v>
      </c>
      <c r="AD3355" s="81" t="e">
        <f>IF(X3355=2,HLOOKUP(R3355,データについて!$J$12:$M$18,7,FALSE),"*")</f>
        <v>#N/A</v>
      </c>
    </row>
    <row r="3356" spans="19:30">
      <c r="S3356" s="81" t="e">
        <f>HLOOKUP(L3356,データについて!$J$6:$M$18,13,FALSE)</f>
        <v>#N/A</v>
      </c>
      <c r="T3356" s="81" t="e">
        <f>HLOOKUP(M3356,データについて!$J$7:$M$18,12,FALSE)</f>
        <v>#N/A</v>
      </c>
      <c r="U3356" s="81" t="e">
        <f>HLOOKUP(N3356,データについて!$J$8:$M$18,11,FALSE)</f>
        <v>#N/A</v>
      </c>
      <c r="V3356" s="81" t="e">
        <f>HLOOKUP(O3356,データについて!$J$9:$M$18,10,FALSE)</f>
        <v>#N/A</v>
      </c>
      <c r="W3356" s="81" t="e">
        <f>HLOOKUP(P3356,データについて!$J$10:$M$18,9,FALSE)</f>
        <v>#N/A</v>
      </c>
      <c r="X3356" s="81" t="e">
        <f>HLOOKUP(Q3356,データについて!$J$11:$M$18,8,FALSE)</f>
        <v>#N/A</v>
      </c>
      <c r="Y3356" s="81" t="e">
        <f>HLOOKUP(R3356,データについて!$J$12:$M$18,7,FALSE)</f>
        <v>#N/A</v>
      </c>
      <c r="Z3356" s="81" t="e">
        <f>HLOOKUP(I3356,データについて!$J$3:$M$18,16,FALSE)</f>
        <v>#N/A</v>
      </c>
      <c r="AA3356" s="81" t="str">
        <f>IFERROR(HLOOKUP(J3356,データについて!$J$4:$AH$19,16,FALSE),"")</f>
        <v/>
      </c>
      <c r="AB3356" s="81" t="str">
        <f>IFERROR(HLOOKUP(K3356,データについて!$J$5:$AH$20,14,FALSE),"")</f>
        <v/>
      </c>
      <c r="AC3356" s="81" t="e">
        <f>IF(X3356=1,HLOOKUP(R3356,データについて!$J$12:$M$18,7,FALSE),"*")</f>
        <v>#N/A</v>
      </c>
      <c r="AD3356" s="81" t="e">
        <f>IF(X3356=2,HLOOKUP(R3356,データについて!$J$12:$M$18,7,FALSE),"*")</f>
        <v>#N/A</v>
      </c>
    </row>
    <row r="3357" spans="19:30">
      <c r="S3357" s="81" t="e">
        <f>HLOOKUP(L3357,データについて!$J$6:$M$18,13,FALSE)</f>
        <v>#N/A</v>
      </c>
      <c r="T3357" s="81" t="e">
        <f>HLOOKUP(M3357,データについて!$J$7:$M$18,12,FALSE)</f>
        <v>#N/A</v>
      </c>
      <c r="U3357" s="81" t="e">
        <f>HLOOKUP(N3357,データについて!$J$8:$M$18,11,FALSE)</f>
        <v>#N/A</v>
      </c>
      <c r="V3357" s="81" t="e">
        <f>HLOOKUP(O3357,データについて!$J$9:$M$18,10,FALSE)</f>
        <v>#N/A</v>
      </c>
      <c r="W3357" s="81" t="e">
        <f>HLOOKUP(P3357,データについて!$J$10:$M$18,9,FALSE)</f>
        <v>#N/A</v>
      </c>
      <c r="X3357" s="81" t="e">
        <f>HLOOKUP(Q3357,データについて!$J$11:$M$18,8,FALSE)</f>
        <v>#N/A</v>
      </c>
      <c r="Y3357" s="81" t="e">
        <f>HLOOKUP(R3357,データについて!$J$12:$M$18,7,FALSE)</f>
        <v>#N/A</v>
      </c>
      <c r="Z3357" s="81" t="e">
        <f>HLOOKUP(I3357,データについて!$J$3:$M$18,16,FALSE)</f>
        <v>#N/A</v>
      </c>
      <c r="AA3357" s="81" t="str">
        <f>IFERROR(HLOOKUP(J3357,データについて!$J$4:$AH$19,16,FALSE),"")</f>
        <v/>
      </c>
      <c r="AB3357" s="81" t="str">
        <f>IFERROR(HLOOKUP(K3357,データについて!$J$5:$AH$20,14,FALSE),"")</f>
        <v/>
      </c>
      <c r="AC3357" s="81" t="e">
        <f>IF(X3357=1,HLOOKUP(R3357,データについて!$J$12:$M$18,7,FALSE),"*")</f>
        <v>#N/A</v>
      </c>
      <c r="AD3357" s="81" t="e">
        <f>IF(X3357=2,HLOOKUP(R3357,データについて!$J$12:$M$18,7,FALSE),"*")</f>
        <v>#N/A</v>
      </c>
    </row>
    <row r="3358" spans="19:30">
      <c r="S3358" s="81" t="e">
        <f>HLOOKUP(L3358,データについて!$J$6:$M$18,13,FALSE)</f>
        <v>#N/A</v>
      </c>
      <c r="T3358" s="81" t="e">
        <f>HLOOKUP(M3358,データについて!$J$7:$M$18,12,FALSE)</f>
        <v>#N/A</v>
      </c>
      <c r="U3358" s="81" t="e">
        <f>HLOOKUP(N3358,データについて!$J$8:$M$18,11,FALSE)</f>
        <v>#N/A</v>
      </c>
      <c r="V3358" s="81" t="e">
        <f>HLOOKUP(O3358,データについて!$J$9:$M$18,10,FALSE)</f>
        <v>#N/A</v>
      </c>
      <c r="W3358" s="81" t="e">
        <f>HLOOKUP(P3358,データについて!$J$10:$M$18,9,FALSE)</f>
        <v>#N/A</v>
      </c>
      <c r="X3358" s="81" t="e">
        <f>HLOOKUP(Q3358,データについて!$J$11:$M$18,8,FALSE)</f>
        <v>#N/A</v>
      </c>
      <c r="Y3358" s="81" t="e">
        <f>HLOOKUP(R3358,データについて!$J$12:$M$18,7,FALSE)</f>
        <v>#N/A</v>
      </c>
      <c r="Z3358" s="81" t="e">
        <f>HLOOKUP(I3358,データについて!$J$3:$M$18,16,FALSE)</f>
        <v>#N/A</v>
      </c>
      <c r="AA3358" s="81" t="str">
        <f>IFERROR(HLOOKUP(J3358,データについて!$J$4:$AH$19,16,FALSE),"")</f>
        <v/>
      </c>
      <c r="AB3358" s="81" t="str">
        <f>IFERROR(HLOOKUP(K3358,データについて!$J$5:$AH$20,14,FALSE),"")</f>
        <v/>
      </c>
      <c r="AC3358" s="81" t="e">
        <f>IF(X3358=1,HLOOKUP(R3358,データについて!$J$12:$M$18,7,FALSE),"*")</f>
        <v>#N/A</v>
      </c>
      <c r="AD3358" s="81" t="e">
        <f>IF(X3358=2,HLOOKUP(R3358,データについて!$J$12:$M$18,7,FALSE),"*")</f>
        <v>#N/A</v>
      </c>
    </row>
    <row r="3359" spans="19:30">
      <c r="S3359" s="81" t="e">
        <f>HLOOKUP(L3359,データについて!$J$6:$M$18,13,FALSE)</f>
        <v>#N/A</v>
      </c>
      <c r="T3359" s="81" t="e">
        <f>HLOOKUP(M3359,データについて!$J$7:$M$18,12,FALSE)</f>
        <v>#N/A</v>
      </c>
      <c r="U3359" s="81" t="e">
        <f>HLOOKUP(N3359,データについて!$J$8:$M$18,11,FALSE)</f>
        <v>#N/A</v>
      </c>
      <c r="V3359" s="81" t="e">
        <f>HLOOKUP(O3359,データについて!$J$9:$M$18,10,FALSE)</f>
        <v>#N/A</v>
      </c>
      <c r="W3359" s="81" t="e">
        <f>HLOOKUP(P3359,データについて!$J$10:$M$18,9,FALSE)</f>
        <v>#N/A</v>
      </c>
      <c r="X3359" s="81" t="e">
        <f>HLOOKUP(Q3359,データについて!$J$11:$M$18,8,FALSE)</f>
        <v>#N/A</v>
      </c>
      <c r="Y3359" s="81" t="e">
        <f>HLOOKUP(R3359,データについて!$J$12:$M$18,7,FALSE)</f>
        <v>#N/A</v>
      </c>
      <c r="Z3359" s="81" t="e">
        <f>HLOOKUP(I3359,データについて!$J$3:$M$18,16,FALSE)</f>
        <v>#N/A</v>
      </c>
      <c r="AA3359" s="81" t="str">
        <f>IFERROR(HLOOKUP(J3359,データについて!$J$4:$AH$19,16,FALSE),"")</f>
        <v/>
      </c>
      <c r="AB3359" s="81" t="str">
        <f>IFERROR(HLOOKUP(K3359,データについて!$J$5:$AH$20,14,FALSE),"")</f>
        <v/>
      </c>
      <c r="AC3359" s="81" t="e">
        <f>IF(X3359=1,HLOOKUP(R3359,データについて!$J$12:$M$18,7,FALSE),"*")</f>
        <v>#N/A</v>
      </c>
      <c r="AD3359" s="81" t="e">
        <f>IF(X3359=2,HLOOKUP(R3359,データについて!$J$12:$M$18,7,FALSE),"*")</f>
        <v>#N/A</v>
      </c>
    </row>
    <row r="3360" spans="19:30">
      <c r="S3360" s="81" t="e">
        <f>HLOOKUP(L3360,データについて!$J$6:$M$18,13,FALSE)</f>
        <v>#N/A</v>
      </c>
      <c r="T3360" s="81" t="e">
        <f>HLOOKUP(M3360,データについて!$J$7:$M$18,12,FALSE)</f>
        <v>#N/A</v>
      </c>
      <c r="U3360" s="81" t="e">
        <f>HLOOKUP(N3360,データについて!$J$8:$M$18,11,FALSE)</f>
        <v>#N/A</v>
      </c>
      <c r="V3360" s="81" t="e">
        <f>HLOOKUP(O3360,データについて!$J$9:$M$18,10,FALSE)</f>
        <v>#N/A</v>
      </c>
      <c r="W3360" s="81" t="e">
        <f>HLOOKUP(P3360,データについて!$J$10:$M$18,9,FALSE)</f>
        <v>#N/A</v>
      </c>
      <c r="X3360" s="81" t="e">
        <f>HLOOKUP(Q3360,データについて!$J$11:$M$18,8,FALSE)</f>
        <v>#N/A</v>
      </c>
      <c r="Y3360" s="81" t="e">
        <f>HLOOKUP(R3360,データについて!$J$12:$M$18,7,FALSE)</f>
        <v>#N/A</v>
      </c>
      <c r="Z3360" s="81" t="e">
        <f>HLOOKUP(I3360,データについて!$J$3:$M$18,16,FALSE)</f>
        <v>#N/A</v>
      </c>
      <c r="AA3360" s="81" t="str">
        <f>IFERROR(HLOOKUP(J3360,データについて!$J$4:$AH$19,16,FALSE),"")</f>
        <v/>
      </c>
      <c r="AB3360" s="81" t="str">
        <f>IFERROR(HLOOKUP(K3360,データについて!$J$5:$AH$20,14,FALSE),"")</f>
        <v/>
      </c>
      <c r="AC3360" s="81" t="e">
        <f>IF(X3360=1,HLOOKUP(R3360,データについて!$J$12:$M$18,7,FALSE),"*")</f>
        <v>#N/A</v>
      </c>
      <c r="AD3360" s="81" t="e">
        <f>IF(X3360=2,HLOOKUP(R3360,データについて!$J$12:$M$18,7,FALSE),"*")</f>
        <v>#N/A</v>
      </c>
    </row>
    <row r="3361" spans="19:30">
      <c r="S3361" s="81" t="e">
        <f>HLOOKUP(L3361,データについて!$J$6:$M$18,13,FALSE)</f>
        <v>#N/A</v>
      </c>
      <c r="T3361" s="81" t="e">
        <f>HLOOKUP(M3361,データについて!$J$7:$M$18,12,FALSE)</f>
        <v>#N/A</v>
      </c>
      <c r="U3361" s="81" t="e">
        <f>HLOOKUP(N3361,データについて!$J$8:$M$18,11,FALSE)</f>
        <v>#N/A</v>
      </c>
      <c r="V3361" s="81" t="e">
        <f>HLOOKUP(O3361,データについて!$J$9:$M$18,10,FALSE)</f>
        <v>#N/A</v>
      </c>
      <c r="W3361" s="81" t="e">
        <f>HLOOKUP(P3361,データについて!$J$10:$M$18,9,FALSE)</f>
        <v>#N/A</v>
      </c>
      <c r="X3361" s="81" t="e">
        <f>HLOOKUP(Q3361,データについて!$J$11:$M$18,8,FALSE)</f>
        <v>#N/A</v>
      </c>
      <c r="Y3361" s="81" t="e">
        <f>HLOOKUP(R3361,データについて!$J$12:$M$18,7,FALSE)</f>
        <v>#N/A</v>
      </c>
      <c r="Z3361" s="81" t="e">
        <f>HLOOKUP(I3361,データについて!$J$3:$M$18,16,FALSE)</f>
        <v>#N/A</v>
      </c>
      <c r="AA3361" s="81" t="str">
        <f>IFERROR(HLOOKUP(J3361,データについて!$J$4:$AH$19,16,FALSE),"")</f>
        <v/>
      </c>
      <c r="AB3361" s="81" t="str">
        <f>IFERROR(HLOOKUP(K3361,データについて!$J$5:$AH$20,14,FALSE),"")</f>
        <v/>
      </c>
      <c r="AC3361" s="81" t="e">
        <f>IF(X3361=1,HLOOKUP(R3361,データについて!$J$12:$M$18,7,FALSE),"*")</f>
        <v>#N/A</v>
      </c>
      <c r="AD3361" s="81" t="e">
        <f>IF(X3361=2,HLOOKUP(R3361,データについて!$J$12:$M$18,7,FALSE),"*")</f>
        <v>#N/A</v>
      </c>
    </row>
    <row r="3362" spans="19:30">
      <c r="S3362" s="81" t="e">
        <f>HLOOKUP(L3362,データについて!$J$6:$M$18,13,FALSE)</f>
        <v>#N/A</v>
      </c>
      <c r="T3362" s="81" t="e">
        <f>HLOOKUP(M3362,データについて!$J$7:$M$18,12,FALSE)</f>
        <v>#N/A</v>
      </c>
      <c r="U3362" s="81" t="e">
        <f>HLOOKUP(N3362,データについて!$J$8:$M$18,11,FALSE)</f>
        <v>#N/A</v>
      </c>
      <c r="V3362" s="81" t="e">
        <f>HLOOKUP(O3362,データについて!$J$9:$M$18,10,FALSE)</f>
        <v>#N/A</v>
      </c>
      <c r="W3362" s="81" t="e">
        <f>HLOOKUP(P3362,データについて!$J$10:$M$18,9,FALSE)</f>
        <v>#N/A</v>
      </c>
      <c r="X3362" s="81" t="e">
        <f>HLOOKUP(Q3362,データについて!$J$11:$M$18,8,FALSE)</f>
        <v>#N/A</v>
      </c>
      <c r="Y3362" s="81" t="e">
        <f>HLOOKUP(R3362,データについて!$J$12:$M$18,7,FALSE)</f>
        <v>#N/A</v>
      </c>
      <c r="Z3362" s="81" t="e">
        <f>HLOOKUP(I3362,データについて!$J$3:$M$18,16,FALSE)</f>
        <v>#N/A</v>
      </c>
      <c r="AA3362" s="81" t="str">
        <f>IFERROR(HLOOKUP(J3362,データについて!$J$4:$AH$19,16,FALSE),"")</f>
        <v/>
      </c>
      <c r="AB3362" s="81" t="str">
        <f>IFERROR(HLOOKUP(K3362,データについて!$J$5:$AH$20,14,FALSE),"")</f>
        <v/>
      </c>
      <c r="AC3362" s="81" t="e">
        <f>IF(X3362=1,HLOOKUP(R3362,データについて!$J$12:$M$18,7,FALSE),"*")</f>
        <v>#N/A</v>
      </c>
      <c r="AD3362" s="81" t="e">
        <f>IF(X3362=2,HLOOKUP(R3362,データについて!$J$12:$M$18,7,FALSE),"*")</f>
        <v>#N/A</v>
      </c>
    </row>
    <row r="3363" spans="19:30">
      <c r="S3363" s="81" t="e">
        <f>HLOOKUP(L3363,データについて!$J$6:$M$18,13,FALSE)</f>
        <v>#N/A</v>
      </c>
      <c r="T3363" s="81" t="e">
        <f>HLOOKUP(M3363,データについて!$J$7:$M$18,12,FALSE)</f>
        <v>#N/A</v>
      </c>
      <c r="U3363" s="81" t="e">
        <f>HLOOKUP(N3363,データについて!$J$8:$M$18,11,FALSE)</f>
        <v>#N/A</v>
      </c>
      <c r="V3363" s="81" t="e">
        <f>HLOOKUP(O3363,データについて!$J$9:$M$18,10,FALSE)</f>
        <v>#N/A</v>
      </c>
      <c r="W3363" s="81" t="e">
        <f>HLOOKUP(P3363,データについて!$J$10:$M$18,9,FALSE)</f>
        <v>#N/A</v>
      </c>
      <c r="X3363" s="81" t="e">
        <f>HLOOKUP(Q3363,データについて!$J$11:$M$18,8,FALSE)</f>
        <v>#N/A</v>
      </c>
      <c r="Y3363" s="81" t="e">
        <f>HLOOKUP(R3363,データについて!$J$12:$M$18,7,FALSE)</f>
        <v>#N/A</v>
      </c>
      <c r="Z3363" s="81" t="e">
        <f>HLOOKUP(I3363,データについて!$J$3:$M$18,16,FALSE)</f>
        <v>#N/A</v>
      </c>
      <c r="AA3363" s="81" t="str">
        <f>IFERROR(HLOOKUP(J3363,データについて!$J$4:$AH$19,16,FALSE),"")</f>
        <v/>
      </c>
      <c r="AB3363" s="81" t="str">
        <f>IFERROR(HLOOKUP(K3363,データについて!$J$5:$AH$20,14,FALSE),"")</f>
        <v/>
      </c>
      <c r="AC3363" s="81" t="e">
        <f>IF(X3363=1,HLOOKUP(R3363,データについて!$J$12:$M$18,7,FALSE),"*")</f>
        <v>#N/A</v>
      </c>
      <c r="AD3363" s="81" t="e">
        <f>IF(X3363=2,HLOOKUP(R3363,データについて!$J$12:$M$18,7,FALSE),"*")</f>
        <v>#N/A</v>
      </c>
    </row>
    <row r="3364" spans="19:30">
      <c r="S3364" s="81" t="e">
        <f>HLOOKUP(L3364,データについて!$J$6:$M$18,13,FALSE)</f>
        <v>#N/A</v>
      </c>
      <c r="T3364" s="81" t="e">
        <f>HLOOKUP(M3364,データについて!$J$7:$M$18,12,FALSE)</f>
        <v>#N/A</v>
      </c>
      <c r="U3364" s="81" t="e">
        <f>HLOOKUP(N3364,データについて!$J$8:$M$18,11,FALSE)</f>
        <v>#N/A</v>
      </c>
      <c r="V3364" s="81" t="e">
        <f>HLOOKUP(O3364,データについて!$J$9:$M$18,10,FALSE)</f>
        <v>#N/A</v>
      </c>
      <c r="W3364" s="81" t="e">
        <f>HLOOKUP(P3364,データについて!$J$10:$M$18,9,FALSE)</f>
        <v>#N/A</v>
      </c>
      <c r="X3364" s="81" t="e">
        <f>HLOOKUP(Q3364,データについて!$J$11:$M$18,8,FALSE)</f>
        <v>#N/A</v>
      </c>
      <c r="Y3364" s="81" t="e">
        <f>HLOOKUP(R3364,データについて!$J$12:$M$18,7,FALSE)</f>
        <v>#N/A</v>
      </c>
      <c r="Z3364" s="81" t="e">
        <f>HLOOKUP(I3364,データについて!$J$3:$M$18,16,FALSE)</f>
        <v>#N/A</v>
      </c>
      <c r="AA3364" s="81" t="str">
        <f>IFERROR(HLOOKUP(J3364,データについて!$J$4:$AH$19,16,FALSE),"")</f>
        <v/>
      </c>
      <c r="AB3364" s="81" t="str">
        <f>IFERROR(HLOOKUP(K3364,データについて!$J$5:$AH$20,14,FALSE),"")</f>
        <v/>
      </c>
      <c r="AC3364" s="81" t="e">
        <f>IF(X3364=1,HLOOKUP(R3364,データについて!$J$12:$M$18,7,FALSE),"*")</f>
        <v>#N/A</v>
      </c>
      <c r="AD3364" s="81" t="e">
        <f>IF(X3364=2,HLOOKUP(R3364,データについて!$J$12:$M$18,7,FALSE),"*")</f>
        <v>#N/A</v>
      </c>
    </row>
    <row r="3365" spans="19:30">
      <c r="S3365" s="81" t="e">
        <f>HLOOKUP(L3365,データについて!$J$6:$M$18,13,FALSE)</f>
        <v>#N/A</v>
      </c>
      <c r="T3365" s="81" t="e">
        <f>HLOOKUP(M3365,データについて!$J$7:$M$18,12,FALSE)</f>
        <v>#N/A</v>
      </c>
      <c r="U3365" s="81" t="e">
        <f>HLOOKUP(N3365,データについて!$J$8:$M$18,11,FALSE)</f>
        <v>#N/A</v>
      </c>
      <c r="V3365" s="81" t="e">
        <f>HLOOKUP(O3365,データについて!$J$9:$M$18,10,FALSE)</f>
        <v>#N/A</v>
      </c>
      <c r="W3365" s="81" t="e">
        <f>HLOOKUP(P3365,データについて!$J$10:$M$18,9,FALSE)</f>
        <v>#N/A</v>
      </c>
      <c r="X3365" s="81" t="e">
        <f>HLOOKUP(Q3365,データについて!$J$11:$M$18,8,FALSE)</f>
        <v>#N/A</v>
      </c>
      <c r="Y3365" s="81" t="e">
        <f>HLOOKUP(R3365,データについて!$J$12:$M$18,7,FALSE)</f>
        <v>#N/A</v>
      </c>
      <c r="Z3365" s="81" t="e">
        <f>HLOOKUP(I3365,データについて!$J$3:$M$18,16,FALSE)</f>
        <v>#N/A</v>
      </c>
      <c r="AA3365" s="81" t="str">
        <f>IFERROR(HLOOKUP(J3365,データについて!$J$4:$AH$19,16,FALSE),"")</f>
        <v/>
      </c>
      <c r="AB3365" s="81" t="str">
        <f>IFERROR(HLOOKUP(K3365,データについて!$J$5:$AH$20,14,FALSE),"")</f>
        <v/>
      </c>
      <c r="AC3365" s="81" t="e">
        <f>IF(X3365=1,HLOOKUP(R3365,データについて!$J$12:$M$18,7,FALSE),"*")</f>
        <v>#N/A</v>
      </c>
      <c r="AD3365" s="81" t="e">
        <f>IF(X3365=2,HLOOKUP(R3365,データについて!$J$12:$M$18,7,FALSE),"*")</f>
        <v>#N/A</v>
      </c>
    </row>
    <row r="3366" spans="19:30">
      <c r="S3366" s="81" t="e">
        <f>HLOOKUP(L3366,データについて!$J$6:$M$18,13,FALSE)</f>
        <v>#N/A</v>
      </c>
      <c r="T3366" s="81" t="e">
        <f>HLOOKUP(M3366,データについて!$J$7:$M$18,12,FALSE)</f>
        <v>#N/A</v>
      </c>
      <c r="U3366" s="81" t="e">
        <f>HLOOKUP(N3366,データについて!$J$8:$M$18,11,FALSE)</f>
        <v>#N/A</v>
      </c>
      <c r="V3366" s="81" t="e">
        <f>HLOOKUP(O3366,データについて!$J$9:$M$18,10,FALSE)</f>
        <v>#N/A</v>
      </c>
      <c r="W3366" s="81" t="e">
        <f>HLOOKUP(P3366,データについて!$J$10:$M$18,9,FALSE)</f>
        <v>#N/A</v>
      </c>
      <c r="X3366" s="81" t="e">
        <f>HLOOKUP(Q3366,データについて!$J$11:$M$18,8,FALSE)</f>
        <v>#N/A</v>
      </c>
      <c r="Y3366" s="81" t="e">
        <f>HLOOKUP(R3366,データについて!$J$12:$M$18,7,FALSE)</f>
        <v>#N/A</v>
      </c>
      <c r="Z3366" s="81" t="e">
        <f>HLOOKUP(I3366,データについて!$J$3:$M$18,16,FALSE)</f>
        <v>#N/A</v>
      </c>
      <c r="AA3366" s="81" t="str">
        <f>IFERROR(HLOOKUP(J3366,データについて!$J$4:$AH$19,16,FALSE),"")</f>
        <v/>
      </c>
      <c r="AB3366" s="81" t="str">
        <f>IFERROR(HLOOKUP(K3366,データについて!$J$5:$AH$20,14,FALSE),"")</f>
        <v/>
      </c>
      <c r="AC3366" s="81" t="e">
        <f>IF(X3366=1,HLOOKUP(R3366,データについて!$J$12:$M$18,7,FALSE),"*")</f>
        <v>#N/A</v>
      </c>
      <c r="AD3366" s="81" t="e">
        <f>IF(X3366=2,HLOOKUP(R3366,データについて!$J$12:$M$18,7,FALSE),"*")</f>
        <v>#N/A</v>
      </c>
    </row>
    <row r="3367" spans="19:30">
      <c r="S3367" s="81" t="e">
        <f>HLOOKUP(L3367,データについて!$J$6:$M$18,13,FALSE)</f>
        <v>#N/A</v>
      </c>
      <c r="T3367" s="81" t="e">
        <f>HLOOKUP(M3367,データについて!$J$7:$M$18,12,FALSE)</f>
        <v>#N/A</v>
      </c>
      <c r="U3367" s="81" t="e">
        <f>HLOOKUP(N3367,データについて!$J$8:$M$18,11,FALSE)</f>
        <v>#N/A</v>
      </c>
      <c r="V3367" s="81" t="e">
        <f>HLOOKUP(O3367,データについて!$J$9:$M$18,10,FALSE)</f>
        <v>#N/A</v>
      </c>
      <c r="W3367" s="81" t="e">
        <f>HLOOKUP(P3367,データについて!$J$10:$M$18,9,FALSE)</f>
        <v>#N/A</v>
      </c>
      <c r="X3367" s="81" t="e">
        <f>HLOOKUP(Q3367,データについて!$J$11:$M$18,8,FALSE)</f>
        <v>#N/A</v>
      </c>
      <c r="Y3367" s="81" t="e">
        <f>HLOOKUP(R3367,データについて!$J$12:$M$18,7,FALSE)</f>
        <v>#N/A</v>
      </c>
      <c r="Z3367" s="81" t="e">
        <f>HLOOKUP(I3367,データについて!$J$3:$M$18,16,FALSE)</f>
        <v>#N/A</v>
      </c>
      <c r="AA3367" s="81" t="str">
        <f>IFERROR(HLOOKUP(J3367,データについて!$J$4:$AH$19,16,FALSE),"")</f>
        <v/>
      </c>
      <c r="AB3367" s="81" t="str">
        <f>IFERROR(HLOOKUP(K3367,データについて!$J$5:$AH$20,14,FALSE),"")</f>
        <v/>
      </c>
      <c r="AC3367" s="81" t="e">
        <f>IF(X3367=1,HLOOKUP(R3367,データについて!$J$12:$M$18,7,FALSE),"*")</f>
        <v>#N/A</v>
      </c>
      <c r="AD3367" s="81" t="e">
        <f>IF(X3367=2,HLOOKUP(R3367,データについて!$J$12:$M$18,7,FALSE),"*")</f>
        <v>#N/A</v>
      </c>
    </row>
    <row r="3368" spans="19:30">
      <c r="S3368" s="81" t="e">
        <f>HLOOKUP(L3368,データについて!$J$6:$M$18,13,FALSE)</f>
        <v>#N/A</v>
      </c>
      <c r="T3368" s="81" t="e">
        <f>HLOOKUP(M3368,データについて!$J$7:$M$18,12,FALSE)</f>
        <v>#N/A</v>
      </c>
      <c r="U3368" s="81" t="e">
        <f>HLOOKUP(N3368,データについて!$J$8:$M$18,11,FALSE)</f>
        <v>#N/A</v>
      </c>
      <c r="V3368" s="81" t="e">
        <f>HLOOKUP(O3368,データについて!$J$9:$M$18,10,FALSE)</f>
        <v>#N/A</v>
      </c>
      <c r="W3368" s="81" t="e">
        <f>HLOOKUP(P3368,データについて!$J$10:$M$18,9,FALSE)</f>
        <v>#N/A</v>
      </c>
      <c r="X3368" s="81" t="e">
        <f>HLOOKUP(Q3368,データについて!$J$11:$M$18,8,FALSE)</f>
        <v>#N/A</v>
      </c>
      <c r="Y3368" s="81" t="e">
        <f>HLOOKUP(R3368,データについて!$J$12:$M$18,7,FALSE)</f>
        <v>#N/A</v>
      </c>
      <c r="Z3368" s="81" t="e">
        <f>HLOOKUP(I3368,データについて!$J$3:$M$18,16,FALSE)</f>
        <v>#N/A</v>
      </c>
      <c r="AA3368" s="81" t="str">
        <f>IFERROR(HLOOKUP(J3368,データについて!$J$4:$AH$19,16,FALSE),"")</f>
        <v/>
      </c>
      <c r="AB3368" s="81" t="str">
        <f>IFERROR(HLOOKUP(K3368,データについて!$J$5:$AH$20,14,FALSE),"")</f>
        <v/>
      </c>
      <c r="AC3368" s="81" t="e">
        <f>IF(X3368=1,HLOOKUP(R3368,データについて!$J$12:$M$18,7,FALSE),"*")</f>
        <v>#N/A</v>
      </c>
      <c r="AD3368" s="81" t="e">
        <f>IF(X3368=2,HLOOKUP(R3368,データについて!$J$12:$M$18,7,FALSE),"*")</f>
        <v>#N/A</v>
      </c>
    </row>
    <row r="3369" spans="19:30">
      <c r="S3369" s="81" t="e">
        <f>HLOOKUP(L3369,データについて!$J$6:$M$18,13,FALSE)</f>
        <v>#N/A</v>
      </c>
      <c r="T3369" s="81" t="e">
        <f>HLOOKUP(M3369,データについて!$J$7:$M$18,12,FALSE)</f>
        <v>#N/A</v>
      </c>
      <c r="U3369" s="81" t="e">
        <f>HLOOKUP(N3369,データについて!$J$8:$M$18,11,FALSE)</f>
        <v>#N/A</v>
      </c>
      <c r="V3369" s="81" t="e">
        <f>HLOOKUP(O3369,データについて!$J$9:$M$18,10,FALSE)</f>
        <v>#N/A</v>
      </c>
      <c r="W3369" s="81" t="e">
        <f>HLOOKUP(P3369,データについて!$J$10:$M$18,9,FALSE)</f>
        <v>#N/A</v>
      </c>
      <c r="X3369" s="81" t="e">
        <f>HLOOKUP(Q3369,データについて!$J$11:$M$18,8,FALSE)</f>
        <v>#N/A</v>
      </c>
      <c r="Y3369" s="81" t="e">
        <f>HLOOKUP(R3369,データについて!$J$12:$M$18,7,FALSE)</f>
        <v>#N/A</v>
      </c>
      <c r="Z3369" s="81" t="e">
        <f>HLOOKUP(I3369,データについて!$J$3:$M$18,16,FALSE)</f>
        <v>#N/A</v>
      </c>
      <c r="AA3369" s="81" t="str">
        <f>IFERROR(HLOOKUP(J3369,データについて!$J$4:$AH$19,16,FALSE),"")</f>
        <v/>
      </c>
      <c r="AB3369" s="81" t="str">
        <f>IFERROR(HLOOKUP(K3369,データについて!$J$5:$AH$20,14,FALSE),"")</f>
        <v/>
      </c>
      <c r="AC3369" s="81" t="e">
        <f>IF(X3369=1,HLOOKUP(R3369,データについて!$J$12:$M$18,7,FALSE),"*")</f>
        <v>#N/A</v>
      </c>
      <c r="AD3369" s="81" t="e">
        <f>IF(X3369=2,HLOOKUP(R3369,データについて!$J$12:$M$18,7,FALSE),"*")</f>
        <v>#N/A</v>
      </c>
    </row>
    <row r="3370" spans="19:30">
      <c r="S3370" s="81" t="e">
        <f>HLOOKUP(L3370,データについて!$J$6:$M$18,13,FALSE)</f>
        <v>#N/A</v>
      </c>
      <c r="T3370" s="81" t="e">
        <f>HLOOKUP(M3370,データについて!$J$7:$M$18,12,FALSE)</f>
        <v>#N/A</v>
      </c>
      <c r="U3370" s="81" t="e">
        <f>HLOOKUP(N3370,データについて!$J$8:$M$18,11,FALSE)</f>
        <v>#N/A</v>
      </c>
      <c r="V3370" s="81" t="e">
        <f>HLOOKUP(O3370,データについて!$J$9:$M$18,10,FALSE)</f>
        <v>#N/A</v>
      </c>
      <c r="W3370" s="81" t="e">
        <f>HLOOKUP(P3370,データについて!$J$10:$M$18,9,FALSE)</f>
        <v>#N/A</v>
      </c>
      <c r="X3370" s="81" t="e">
        <f>HLOOKUP(Q3370,データについて!$J$11:$M$18,8,FALSE)</f>
        <v>#N/A</v>
      </c>
      <c r="Y3370" s="81" t="e">
        <f>HLOOKUP(R3370,データについて!$J$12:$M$18,7,FALSE)</f>
        <v>#N/A</v>
      </c>
      <c r="Z3370" s="81" t="e">
        <f>HLOOKUP(I3370,データについて!$J$3:$M$18,16,FALSE)</f>
        <v>#N/A</v>
      </c>
      <c r="AA3370" s="81" t="str">
        <f>IFERROR(HLOOKUP(J3370,データについて!$J$4:$AH$19,16,FALSE),"")</f>
        <v/>
      </c>
      <c r="AB3370" s="81" t="str">
        <f>IFERROR(HLOOKUP(K3370,データについて!$J$5:$AH$20,14,FALSE),"")</f>
        <v/>
      </c>
      <c r="AC3370" s="81" t="e">
        <f>IF(X3370=1,HLOOKUP(R3370,データについて!$J$12:$M$18,7,FALSE),"*")</f>
        <v>#N/A</v>
      </c>
      <c r="AD3370" s="81" t="e">
        <f>IF(X3370=2,HLOOKUP(R3370,データについて!$J$12:$M$18,7,FALSE),"*")</f>
        <v>#N/A</v>
      </c>
    </row>
    <row r="3371" spans="19:30">
      <c r="S3371" s="81" t="e">
        <f>HLOOKUP(L3371,データについて!$J$6:$M$18,13,FALSE)</f>
        <v>#N/A</v>
      </c>
      <c r="T3371" s="81" t="e">
        <f>HLOOKUP(M3371,データについて!$J$7:$M$18,12,FALSE)</f>
        <v>#N/A</v>
      </c>
      <c r="U3371" s="81" t="e">
        <f>HLOOKUP(N3371,データについて!$J$8:$M$18,11,FALSE)</f>
        <v>#N/A</v>
      </c>
      <c r="V3371" s="81" t="e">
        <f>HLOOKUP(O3371,データについて!$J$9:$M$18,10,FALSE)</f>
        <v>#N/A</v>
      </c>
      <c r="W3371" s="81" t="e">
        <f>HLOOKUP(P3371,データについて!$J$10:$M$18,9,FALSE)</f>
        <v>#N/A</v>
      </c>
      <c r="X3371" s="81" t="e">
        <f>HLOOKUP(Q3371,データについて!$J$11:$M$18,8,FALSE)</f>
        <v>#N/A</v>
      </c>
      <c r="Y3371" s="81" t="e">
        <f>HLOOKUP(R3371,データについて!$J$12:$M$18,7,FALSE)</f>
        <v>#N/A</v>
      </c>
      <c r="Z3371" s="81" t="e">
        <f>HLOOKUP(I3371,データについて!$J$3:$M$18,16,FALSE)</f>
        <v>#N/A</v>
      </c>
      <c r="AA3371" s="81" t="str">
        <f>IFERROR(HLOOKUP(J3371,データについて!$J$4:$AH$19,16,FALSE),"")</f>
        <v/>
      </c>
      <c r="AB3371" s="81" t="str">
        <f>IFERROR(HLOOKUP(K3371,データについて!$J$5:$AH$20,14,FALSE),"")</f>
        <v/>
      </c>
      <c r="AC3371" s="81" t="e">
        <f>IF(X3371=1,HLOOKUP(R3371,データについて!$J$12:$M$18,7,FALSE),"*")</f>
        <v>#N/A</v>
      </c>
      <c r="AD3371" s="81" t="e">
        <f>IF(X3371=2,HLOOKUP(R3371,データについて!$J$12:$M$18,7,FALSE),"*")</f>
        <v>#N/A</v>
      </c>
    </row>
    <row r="3372" spans="19:30">
      <c r="S3372" s="81" t="e">
        <f>HLOOKUP(L3372,データについて!$J$6:$M$18,13,FALSE)</f>
        <v>#N/A</v>
      </c>
      <c r="T3372" s="81" t="e">
        <f>HLOOKUP(M3372,データについて!$J$7:$M$18,12,FALSE)</f>
        <v>#N/A</v>
      </c>
      <c r="U3372" s="81" t="e">
        <f>HLOOKUP(N3372,データについて!$J$8:$M$18,11,FALSE)</f>
        <v>#N/A</v>
      </c>
      <c r="V3372" s="81" t="e">
        <f>HLOOKUP(O3372,データについて!$J$9:$M$18,10,FALSE)</f>
        <v>#N/A</v>
      </c>
      <c r="W3372" s="81" t="e">
        <f>HLOOKUP(P3372,データについて!$J$10:$M$18,9,FALSE)</f>
        <v>#N/A</v>
      </c>
      <c r="X3372" s="81" t="e">
        <f>HLOOKUP(Q3372,データについて!$J$11:$M$18,8,FALSE)</f>
        <v>#N/A</v>
      </c>
      <c r="Y3372" s="81" t="e">
        <f>HLOOKUP(R3372,データについて!$J$12:$M$18,7,FALSE)</f>
        <v>#N/A</v>
      </c>
      <c r="Z3372" s="81" t="e">
        <f>HLOOKUP(I3372,データについて!$J$3:$M$18,16,FALSE)</f>
        <v>#N/A</v>
      </c>
      <c r="AA3372" s="81" t="str">
        <f>IFERROR(HLOOKUP(J3372,データについて!$J$4:$AH$19,16,FALSE),"")</f>
        <v/>
      </c>
      <c r="AB3372" s="81" t="str">
        <f>IFERROR(HLOOKUP(K3372,データについて!$J$5:$AH$20,14,FALSE),"")</f>
        <v/>
      </c>
      <c r="AC3372" s="81" t="e">
        <f>IF(X3372=1,HLOOKUP(R3372,データについて!$J$12:$M$18,7,FALSE),"*")</f>
        <v>#N/A</v>
      </c>
      <c r="AD3372" s="81" t="e">
        <f>IF(X3372=2,HLOOKUP(R3372,データについて!$J$12:$M$18,7,FALSE),"*")</f>
        <v>#N/A</v>
      </c>
    </row>
    <row r="3373" spans="19:30">
      <c r="S3373" s="81" t="e">
        <f>HLOOKUP(L3373,データについて!$J$6:$M$18,13,FALSE)</f>
        <v>#N/A</v>
      </c>
      <c r="T3373" s="81" t="e">
        <f>HLOOKUP(M3373,データについて!$J$7:$M$18,12,FALSE)</f>
        <v>#N/A</v>
      </c>
      <c r="U3373" s="81" t="e">
        <f>HLOOKUP(N3373,データについて!$J$8:$M$18,11,FALSE)</f>
        <v>#N/A</v>
      </c>
      <c r="V3373" s="81" t="e">
        <f>HLOOKUP(O3373,データについて!$J$9:$M$18,10,FALSE)</f>
        <v>#N/A</v>
      </c>
      <c r="W3373" s="81" t="e">
        <f>HLOOKUP(P3373,データについて!$J$10:$M$18,9,FALSE)</f>
        <v>#N/A</v>
      </c>
      <c r="X3373" s="81" t="e">
        <f>HLOOKUP(Q3373,データについて!$J$11:$M$18,8,FALSE)</f>
        <v>#N/A</v>
      </c>
      <c r="Y3373" s="81" t="e">
        <f>HLOOKUP(R3373,データについて!$J$12:$M$18,7,FALSE)</f>
        <v>#N/A</v>
      </c>
      <c r="Z3373" s="81" t="e">
        <f>HLOOKUP(I3373,データについて!$J$3:$M$18,16,FALSE)</f>
        <v>#N/A</v>
      </c>
      <c r="AA3373" s="81" t="str">
        <f>IFERROR(HLOOKUP(J3373,データについて!$J$4:$AH$19,16,FALSE),"")</f>
        <v/>
      </c>
      <c r="AB3373" s="81" t="str">
        <f>IFERROR(HLOOKUP(K3373,データについて!$J$5:$AH$20,14,FALSE),"")</f>
        <v/>
      </c>
      <c r="AC3373" s="81" t="e">
        <f>IF(X3373=1,HLOOKUP(R3373,データについて!$J$12:$M$18,7,FALSE),"*")</f>
        <v>#N/A</v>
      </c>
      <c r="AD3373" s="81" t="e">
        <f>IF(X3373=2,HLOOKUP(R3373,データについて!$J$12:$M$18,7,FALSE),"*")</f>
        <v>#N/A</v>
      </c>
    </row>
    <row r="3374" spans="19:30">
      <c r="S3374" s="81" t="e">
        <f>HLOOKUP(L3374,データについて!$J$6:$M$18,13,FALSE)</f>
        <v>#N/A</v>
      </c>
      <c r="T3374" s="81" t="e">
        <f>HLOOKUP(M3374,データについて!$J$7:$M$18,12,FALSE)</f>
        <v>#N/A</v>
      </c>
      <c r="U3374" s="81" t="e">
        <f>HLOOKUP(N3374,データについて!$J$8:$M$18,11,FALSE)</f>
        <v>#N/A</v>
      </c>
      <c r="V3374" s="81" t="e">
        <f>HLOOKUP(O3374,データについて!$J$9:$M$18,10,FALSE)</f>
        <v>#N/A</v>
      </c>
      <c r="W3374" s="81" t="e">
        <f>HLOOKUP(P3374,データについて!$J$10:$M$18,9,FALSE)</f>
        <v>#N/A</v>
      </c>
      <c r="X3374" s="81" t="e">
        <f>HLOOKUP(Q3374,データについて!$J$11:$M$18,8,FALSE)</f>
        <v>#N/A</v>
      </c>
      <c r="Y3374" s="81" t="e">
        <f>HLOOKUP(R3374,データについて!$J$12:$M$18,7,FALSE)</f>
        <v>#N/A</v>
      </c>
      <c r="Z3374" s="81" t="e">
        <f>HLOOKUP(I3374,データについて!$J$3:$M$18,16,FALSE)</f>
        <v>#N/A</v>
      </c>
      <c r="AA3374" s="81" t="str">
        <f>IFERROR(HLOOKUP(J3374,データについて!$J$4:$AH$19,16,FALSE),"")</f>
        <v/>
      </c>
      <c r="AB3374" s="81" t="str">
        <f>IFERROR(HLOOKUP(K3374,データについて!$J$5:$AH$20,14,FALSE),"")</f>
        <v/>
      </c>
      <c r="AC3374" s="81" t="e">
        <f>IF(X3374=1,HLOOKUP(R3374,データについて!$J$12:$M$18,7,FALSE),"*")</f>
        <v>#N/A</v>
      </c>
      <c r="AD3374" s="81" t="e">
        <f>IF(X3374=2,HLOOKUP(R3374,データについて!$J$12:$M$18,7,FALSE),"*")</f>
        <v>#N/A</v>
      </c>
    </row>
    <row r="3375" spans="19:30">
      <c r="S3375" s="81" t="e">
        <f>HLOOKUP(L3375,データについて!$J$6:$M$18,13,FALSE)</f>
        <v>#N/A</v>
      </c>
      <c r="T3375" s="81" t="e">
        <f>HLOOKUP(M3375,データについて!$J$7:$M$18,12,FALSE)</f>
        <v>#N/A</v>
      </c>
      <c r="U3375" s="81" t="e">
        <f>HLOOKUP(N3375,データについて!$J$8:$M$18,11,FALSE)</f>
        <v>#N/A</v>
      </c>
      <c r="V3375" s="81" t="e">
        <f>HLOOKUP(O3375,データについて!$J$9:$M$18,10,FALSE)</f>
        <v>#N/A</v>
      </c>
      <c r="W3375" s="81" t="e">
        <f>HLOOKUP(P3375,データについて!$J$10:$M$18,9,FALSE)</f>
        <v>#N/A</v>
      </c>
      <c r="X3375" s="81" t="e">
        <f>HLOOKUP(Q3375,データについて!$J$11:$M$18,8,FALSE)</f>
        <v>#N/A</v>
      </c>
      <c r="Y3375" s="81" t="e">
        <f>HLOOKUP(R3375,データについて!$J$12:$M$18,7,FALSE)</f>
        <v>#N/A</v>
      </c>
      <c r="Z3375" s="81" t="e">
        <f>HLOOKUP(I3375,データについて!$J$3:$M$18,16,FALSE)</f>
        <v>#N/A</v>
      </c>
      <c r="AA3375" s="81" t="str">
        <f>IFERROR(HLOOKUP(J3375,データについて!$J$4:$AH$19,16,FALSE),"")</f>
        <v/>
      </c>
      <c r="AB3375" s="81" t="str">
        <f>IFERROR(HLOOKUP(K3375,データについて!$J$5:$AH$20,14,FALSE),"")</f>
        <v/>
      </c>
      <c r="AC3375" s="81" t="e">
        <f>IF(X3375=1,HLOOKUP(R3375,データについて!$J$12:$M$18,7,FALSE),"*")</f>
        <v>#N/A</v>
      </c>
      <c r="AD3375" s="81" t="e">
        <f>IF(X3375=2,HLOOKUP(R3375,データについて!$J$12:$M$18,7,FALSE),"*")</f>
        <v>#N/A</v>
      </c>
    </row>
    <row r="3376" spans="19:30">
      <c r="S3376" s="81" t="e">
        <f>HLOOKUP(L3376,データについて!$J$6:$M$18,13,FALSE)</f>
        <v>#N/A</v>
      </c>
      <c r="T3376" s="81" t="e">
        <f>HLOOKUP(M3376,データについて!$J$7:$M$18,12,FALSE)</f>
        <v>#N/A</v>
      </c>
      <c r="U3376" s="81" t="e">
        <f>HLOOKUP(N3376,データについて!$J$8:$M$18,11,FALSE)</f>
        <v>#N/A</v>
      </c>
      <c r="V3376" s="81" t="e">
        <f>HLOOKUP(O3376,データについて!$J$9:$M$18,10,FALSE)</f>
        <v>#N/A</v>
      </c>
      <c r="W3376" s="81" t="e">
        <f>HLOOKUP(P3376,データについて!$J$10:$M$18,9,FALSE)</f>
        <v>#N/A</v>
      </c>
      <c r="X3376" s="81" t="e">
        <f>HLOOKUP(Q3376,データについて!$J$11:$M$18,8,FALSE)</f>
        <v>#N/A</v>
      </c>
      <c r="Y3376" s="81" t="e">
        <f>HLOOKUP(R3376,データについて!$J$12:$M$18,7,FALSE)</f>
        <v>#N/A</v>
      </c>
      <c r="Z3376" s="81" t="e">
        <f>HLOOKUP(I3376,データについて!$J$3:$M$18,16,FALSE)</f>
        <v>#N/A</v>
      </c>
      <c r="AA3376" s="81" t="str">
        <f>IFERROR(HLOOKUP(J3376,データについて!$J$4:$AH$19,16,FALSE),"")</f>
        <v/>
      </c>
      <c r="AB3376" s="81" t="str">
        <f>IFERROR(HLOOKUP(K3376,データについて!$J$5:$AH$20,14,FALSE),"")</f>
        <v/>
      </c>
      <c r="AC3376" s="81" t="e">
        <f>IF(X3376=1,HLOOKUP(R3376,データについて!$J$12:$M$18,7,FALSE),"*")</f>
        <v>#N/A</v>
      </c>
      <c r="AD3376" s="81" t="e">
        <f>IF(X3376=2,HLOOKUP(R3376,データについて!$J$12:$M$18,7,FALSE),"*")</f>
        <v>#N/A</v>
      </c>
    </row>
    <row r="3377" spans="19:30">
      <c r="S3377" s="81" t="e">
        <f>HLOOKUP(L3377,データについて!$J$6:$M$18,13,FALSE)</f>
        <v>#N/A</v>
      </c>
      <c r="T3377" s="81" t="e">
        <f>HLOOKUP(M3377,データについて!$J$7:$M$18,12,FALSE)</f>
        <v>#N/A</v>
      </c>
      <c r="U3377" s="81" t="e">
        <f>HLOOKUP(N3377,データについて!$J$8:$M$18,11,FALSE)</f>
        <v>#N/A</v>
      </c>
      <c r="V3377" s="81" t="e">
        <f>HLOOKUP(O3377,データについて!$J$9:$M$18,10,FALSE)</f>
        <v>#N/A</v>
      </c>
      <c r="W3377" s="81" t="e">
        <f>HLOOKUP(P3377,データについて!$J$10:$M$18,9,FALSE)</f>
        <v>#N/A</v>
      </c>
      <c r="X3377" s="81" t="e">
        <f>HLOOKUP(Q3377,データについて!$J$11:$M$18,8,FALSE)</f>
        <v>#N/A</v>
      </c>
      <c r="Y3377" s="81" t="e">
        <f>HLOOKUP(R3377,データについて!$J$12:$M$18,7,FALSE)</f>
        <v>#N/A</v>
      </c>
      <c r="Z3377" s="81" t="e">
        <f>HLOOKUP(I3377,データについて!$J$3:$M$18,16,FALSE)</f>
        <v>#N/A</v>
      </c>
      <c r="AA3377" s="81" t="str">
        <f>IFERROR(HLOOKUP(J3377,データについて!$J$4:$AH$19,16,FALSE),"")</f>
        <v/>
      </c>
      <c r="AB3377" s="81" t="str">
        <f>IFERROR(HLOOKUP(K3377,データについて!$J$5:$AH$20,14,FALSE),"")</f>
        <v/>
      </c>
      <c r="AC3377" s="81" t="e">
        <f>IF(X3377=1,HLOOKUP(R3377,データについて!$J$12:$M$18,7,FALSE),"*")</f>
        <v>#N/A</v>
      </c>
      <c r="AD3377" s="81" t="e">
        <f>IF(X3377=2,HLOOKUP(R3377,データについて!$J$12:$M$18,7,FALSE),"*")</f>
        <v>#N/A</v>
      </c>
    </row>
    <row r="3378" spans="19:30">
      <c r="S3378" s="81" t="e">
        <f>HLOOKUP(L3378,データについて!$J$6:$M$18,13,FALSE)</f>
        <v>#N/A</v>
      </c>
      <c r="T3378" s="81" t="e">
        <f>HLOOKUP(M3378,データについて!$J$7:$M$18,12,FALSE)</f>
        <v>#N/A</v>
      </c>
      <c r="U3378" s="81" t="e">
        <f>HLOOKUP(N3378,データについて!$J$8:$M$18,11,FALSE)</f>
        <v>#N/A</v>
      </c>
      <c r="V3378" s="81" t="e">
        <f>HLOOKUP(O3378,データについて!$J$9:$M$18,10,FALSE)</f>
        <v>#N/A</v>
      </c>
      <c r="W3378" s="81" t="e">
        <f>HLOOKUP(P3378,データについて!$J$10:$M$18,9,FALSE)</f>
        <v>#N/A</v>
      </c>
      <c r="X3378" s="81" t="e">
        <f>HLOOKUP(Q3378,データについて!$J$11:$M$18,8,FALSE)</f>
        <v>#N/A</v>
      </c>
      <c r="Y3378" s="81" t="e">
        <f>HLOOKUP(R3378,データについて!$J$12:$M$18,7,FALSE)</f>
        <v>#N/A</v>
      </c>
      <c r="Z3378" s="81" t="e">
        <f>HLOOKUP(I3378,データについて!$J$3:$M$18,16,FALSE)</f>
        <v>#N/A</v>
      </c>
      <c r="AA3378" s="81" t="str">
        <f>IFERROR(HLOOKUP(J3378,データについて!$J$4:$AH$19,16,FALSE),"")</f>
        <v/>
      </c>
      <c r="AB3378" s="81" t="str">
        <f>IFERROR(HLOOKUP(K3378,データについて!$J$5:$AH$20,14,FALSE),"")</f>
        <v/>
      </c>
      <c r="AC3378" s="81" t="e">
        <f>IF(X3378=1,HLOOKUP(R3378,データについて!$J$12:$M$18,7,FALSE),"*")</f>
        <v>#N/A</v>
      </c>
      <c r="AD3378" s="81" t="e">
        <f>IF(X3378=2,HLOOKUP(R3378,データについて!$J$12:$M$18,7,FALSE),"*")</f>
        <v>#N/A</v>
      </c>
    </row>
    <row r="3379" spans="19:30">
      <c r="S3379" s="81" t="e">
        <f>HLOOKUP(L3379,データについて!$J$6:$M$18,13,FALSE)</f>
        <v>#N/A</v>
      </c>
      <c r="T3379" s="81" t="e">
        <f>HLOOKUP(M3379,データについて!$J$7:$M$18,12,FALSE)</f>
        <v>#N/A</v>
      </c>
      <c r="U3379" s="81" t="e">
        <f>HLOOKUP(N3379,データについて!$J$8:$M$18,11,FALSE)</f>
        <v>#N/A</v>
      </c>
      <c r="V3379" s="81" t="e">
        <f>HLOOKUP(O3379,データについて!$J$9:$M$18,10,FALSE)</f>
        <v>#N/A</v>
      </c>
      <c r="W3379" s="81" t="e">
        <f>HLOOKUP(P3379,データについて!$J$10:$M$18,9,FALSE)</f>
        <v>#N/A</v>
      </c>
      <c r="X3379" s="81" t="e">
        <f>HLOOKUP(Q3379,データについて!$J$11:$M$18,8,FALSE)</f>
        <v>#N/A</v>
      </c>
      <c r="Y3379" s="81" t="e">
        <f>HLOOKUP(R3379,データについて!$J$12:$M$18,7,FALSE)</f>
        <v>#N/A</v>
      </c>
      <c r="Z3379" s="81" t="e">
        <f>HLOOKUP(I3379,データについて!$J$3:$M$18,16,FALSE)</f>
        <v>#N/A</v>
      </c>
      <c r="AA3379" s="81" t="str">
        <f>IFERROR(HLOOKUP(J3379,データについて!$J$4:$AH$19,16,FALSE),"")</f>
        <v/>
      </c>
      <c r="AB3379" s="81" t="str">
        <f>IFERROR(HLOOKUP(K3379,データについて!$J$5:$AH$20,14,FALSE),"")</f>
        <v/>
      </c>
      <c r="AC3379" s="81" t="e">
        <f>IF(X3379=1,HLOOKUP(R3379,データについて!$J$12:$M$18,7,FALSE),"*")</f>
        <v>#N/A</v>
      </c>
      <c r="AD3379" s="81" t="e">
        <f>IF(X3379=2,HLOOKUP(R3379,データについて!$J$12:$M$18,7,FALSE),"*")</f>
        <v>#N/A</v>
      </c>
    </row>
    <row r="3380" spans="19:30">
      <c r="S3380" s="81" t="e">
        <f>HLOOKUP(L3380,データについて!$J$6:$M$18,13,FALSE)</f>
        <v>#N/A</v>
      </c>
      <c r="T3380" s="81" t="e">
        <f>HLOOKUP(M3380,データについて!$J$7:$M$18,12,FALSE)</f>
        <v>#N/A</v>
      </c>
      <c r="U3380" s="81" t="e">
        <f>HLOOKUP(N3380,データについて!$J$8:$M$18,11,FALSE)</f>
        <v>#N/A</v>
      </c>
      <c r="V3380" s="81" t="e">
        <f>HLOOKUP(O3380,データについて!$J$9:$M$18,10,FALSE)</f>
        <v>#N/A</v>
      </c>
      <c r="W3380" s="81" t="e">
        <f>HLOOKUP(P3380,データについて!$J$10:$M$18,9,FALSE)</f>
        <v>#N/A</v>
      </c>
      <c r="X3380" s="81" t="e">
        <f>HLOOKUP(Q3380,データについて!$J$11:$M$18,8,FALSE)</f>
        <v>#N/A</v>
      </c>
      <c r="Y3380" s="81" t="e">
        <f>HLOOKUP(R3380,データについて!$J$12:$M$18,7,FALSE)</f>
        <v>#N/A</v>
      </c>
      <c r="Z3380" s="81" t="e">
        <f>HLOOKUP(I3380,データについて!$J$3:$M$18,16,FALSE)</f>
        <v>#N/A</v>
      </c>
      <c r="AA3380" s="81" t="str">
        <f>IFERROR(HLOOKUP(J3380,データについて!$J$4:$AH$19,16,FALSE),"")</f>
        <v/>
      </c>
      <c r="AB3380" s="81" t="str">
        <f>IFERROR(HLOOKUP(K3380,データについて!$J$5:$AH$20,14,FALSE),"")</f>
        <v/>
      </c>
      <c r="AC3380" s="81" t="e">
        <f>IF(X3380=1,HLOOKUP(R3380,データについて!$J$12:$M$18,7,FALSE),"*")</f>
        <v>#N/A</v>
      </c>
      <c r="AD3380" s="81" t="e">
        <f>IF(X3380=2,HLOOKUP(R3380,データについて!$J$12:$M$18,7,FALSE),"*")</f>
        <v>#N/A</v>
      </c>
    </row>
    <row r="3381" spans="19:30">
      <c r="S3381" s="81" t="e">
        <f>HLOOKUP(L3381,データについて!$J$6:$M$18,13,FALSE)</f>
        <v>#N/A</v>
      </c>
      <c r="T3381" s="81" t="e">
        <f>HLOOKUP(M3381,データについて!$J$7:$M$18,12,FALSE)</f>
        <v>#N/A</v>
      </c>
      <c r="U3381" s="81" t="e">
        <f>HLOOKUP(N3381,データについて!$J$8:$M$18,11,FALSE)</f>
        <v>#N/A</v>
      </c>
      <c r="V3381" s="81" t="e">
        <f>HLOOKUP(O3381,データについて!$J$9:$M$18,10,FALSE)</f>
        <v>#N/A</v>
      </c>
      <c r="W3381" s="81" t="e">
        <f>HLOOKUP(P3381,データについて!$J$10:$M$18,9,FALSE)</f>
        <v>#N/A</v>
      </c>
      <c r="X3381" s="81" t="e">
        <f>HLOOKUP(Q3381,データについて!$J$11:$M$18,8,FALSE)</f>
        <v>#N/A</v>
      </c>
      <c r="Y3381" s="81" t="e">
        <f>HLOOKUP(R3381,データについて!$J$12:$M$18,7,FALSE)</f>
        <v>#N/A</v>
      </c>
      <c r="Z3381" s="81" t="e">
        <f>HLOOKUP(I3381,データについて!$J$3:$M$18,16,FALSE)</f>
        <v>#N/A</v>
      </c>
      <c r="AA3381" s="81" t="str">
        <f>IFERROR(HLOOKUP(J3381,データについて!$J$4:$AH$19,16,FALSE),"")</f>
        <v/>
      </c>
      <c r="AB3381" s="81" t="str">
        <f>IFERROR(HLOOKUP(K3381,データについて!$J$5:$AH$20,14,FALSE),"")</f>
        <v/>
      </c>
      <c r="AC3381" s="81" t="e">
        <f>IF(X3381=1,HLOOKUP(R3381,データについて!$J$12:$M$18,7,FALSE),"*")</f>
        <v>#N/A</v>
      </c>
      <c r="AD3381" s="81" t="e">
        <f>IF(X3381=2,HLOOKUP(R3381,データについて!$J$12:$M$18,7,FALSE),"*")</f>
        <v>#N/A</v>
      </c>
    </row>
    <row r="3382" spans="19:30">
      <c r="S3382" s="81" t="e">
        <f>HLOOKUP(L3382,データについて!$J$6:$M$18,13,FALSE)</f>
        <v>#N/A</v>
      </c>
      <c r="T3382" s="81" t="e">
        <f>HLOOKUP(M3382,データについて!$J$7:$M$18,12,FALSE)</f>
        <v>#N/A</v>
      </c>
      <c r="U3382" s="81" t="e">
        <f>HLOOKUP(N3382,データについて!$J$8:$M$18,11,FALSE)</f>
        <v>#N/A</v>
      </c>
      <c r="V3382" s="81" t="e">
        <f>HLOOKUP(O3382,データについて!$J$9:$M$18,10,FALSE)</f>
        <v>#N/A</v>
      </c>
      <c r="W3382" s="81" t="e">
        <f>HLOOKUP(P3382,データについて!$J$10:$M$18,9,FALSE)</f>
        <v>#N/A</v>
      </c>
      <c r="X3382" s="81" t="e">
        <f>HLOOKUP(Q3382,データについて!$J$11:$M$18,8,FALSE)</f>
        <v>#N/A</v>
      </c>
      <c r="Y3382" s="81" t="e">
        <f>HLOOKUP(R3382,データについて!$J$12:$M$18,7,FALSE)</f>
        <v>#N/A</v>
      </c>
      <c r="Z3382" s="81" t="e">
        <f>HLOOKUP(I3382,データについて!$J$3:$M$18,16,FALSE)</f>
        <v>#N/A</v>
      </c>
      <c r="AA3382" s="81" t="str">
        <f>IFERROR(HLOOKUP(J3382,データについて!$J$4:$AH$19,16,FALSE),"")</f>
        <v/>
      </c>
      <c r="AB3382" s="81" t="str">
        <f>IFERROR(HLOOKUP(K3382,データについて!$J$5:$AH$20,14,FALSE),"")</f>
        <v/>
      </c>
      <c r="AC3382" s="81" t="e">
        <f>IF(X3382=1,HLOOKUP(R3382,データについて!$J$12:$M$18,7,FALSE),"*")</f>
        <v>#N/A</v>
      </c>
      <c r="AD3382" s="81" t="e">
        <f>IF(X3382=2,HLOOKUP(R3382,データについて!$J$12:$M$18,7,FALSE),"*")</f>
        <v>#N/A</v>
      </c>
    </row>
    <row r="3383" spans="19:30">
      <c r="S3383" s="81" t="e">
        <f>HLOOKUP(L3383,データについて!$J$6:$M$18,13,FALSE)</f>
        <v>#N/A</v>
      </c>
      <c r="T3383" s="81" t="e">
        <f>HLOOKUP(M3383,データについて!$J$7:$M$18,12,FALSE)</f>
        <v>#N/A</v>
      </c>
      <c r="U3383" s="81" t="e">
        <f>HLOOKUP(N3383,データについて!$J$8:$M$18,11,FALSE)</f>
        <v>#N/A</v>
      </c>
      <c r="V3383" s="81" t="e">
        <f>HLOOKUP(O3383,データについて!$J$9:$M$18,10,FALSE)</f>
        <v>#N/A</v>
      </c>
      <c r="W3383" s="81" t="e">
        <f>HLOOKUP(P3383,データについて!$J$10:$M$18,9,FALSE)</f>
        <v>#N/A</v>
      </c>
      <c r="X3383" s="81" t="e">
        <f>HLOOKUP(Q3383,データについて!$J$11:$M$18,8,FALSE)</f>
        <v>#N/A</v>
      </c>
      <c r="Y3383" s="81" t="e">
        <f>HLOOKUP(R3383,データについて!$J$12:$M$18,7,FALSE)</f>
        <v>#N/A</v>
      </c>
      <c r="Z3383" s="81" t="e">
        <f>HLOOKUP(I3383,データについて!$J$3:$M$18,16,FALSE)</f>
        <v>#N/A</v>
      </c>
      <c r="AA3383" s="81" t="str">
        <f>IFERROR(HLOOKUP(J3383,データについて!$J$4:$AH$19,16,FALSE),"")</f>
        <v/>
      </c>
      <c r="AB3383" s="81" t="str">
        <f>IFERROR(HLOOKUP(K3383,データについて!$J$5:$AH$20,14,FALSE),"")</f>
        <v/>
      </c>
      <c r="AC3383" s="81" t="e">
        <f>IF(X3383=1,HLOOKUP(R3383,データについて!$J$12:$M$18,7,FALSE),"*")</f>
        <v>#N/A</v>
      </c>
      <c r="AD3383" s="81" t="e">
        <f>IF(X3383=2,HLOOKUP(R3383,データについて!$J$12:$M$18,7,FALSE),"*")</f>
        <v>#N/A</v>
      </c>
    </row>
    <row r="3384" spans="19:30">
      <c r="S3384" s="81" t="e">
        <f>HLOOKUP(L3384,データについて!$J$6:$M$18,13,FALSE)</f>
        <v>#N/A</v>
      </c>
      <c r="T3384" s="81" t="e">
        <f>HLOOKUP(M3384,データについて!$J$7:$M$18,12,FALSE)</f>
        <v>#N/A</v>
      </c>
      <c r="U3384" s="81" t="e">
        <f>HLOOKUP(N3384,データについて!$J$8:$M$18,11,FALSE)</f>
        <v>#N/A</v>
      </c>
      <c r="V3384" s="81" t="e">
        <f>HLOOKUP(O3384,データについて!$J$9:$M$18,10,FALSE)</f>
        <v>#N/A</v>
      </c>
      <c r="W3384" s="81" t="e">
        <f>HLOOKUP(P3384,データについて!$J$10:$M$18,9,FALSE)</f>
        <v>#N/A</v>
      </c>
      <c r="X3384" s="81" t="e">
        <f>HLOOKUP(Q3384,データについて!$J$11:$M$18,8,FALSE)</f>
        <v>#N/A</v>
      </c>
      <c r="Y3384" s="81" t="e">
        <f>HLOOKUP(R3384,データについて!$J$12:$M$18,7,FALSE)</f>
        <v>#N/A</v>
      </c>
      <c r="Z3384" s="81" t="e">
        <f>HLOOKUP(I3384,データについて!$J$3:$M$18,16,FALSE)</f>
        <v>#N/A</v>
      </c>
      <c r="AA3384" s="81" t="str">
        <f>IFERROR(HLOOKUP(J3384,データについて!$J$4:$AH$19,16,FALSE),"")</f>
        <v/>
      </c>
      <c r="AB3384" s="81" t="str">
        <f>IFERROR(HLOOKUP(K3384,データについて!$J$5:$AH$20,14,FALSE),"")</f>
        <v/>
      </c>
      <c r="AC3384" s="81" t="e">
        <f>IF(X3384=1,HLOOKUP(R3384,データについて!$J$12:$M$18,7,FALSE),"*")</f>
        <v>#N/A</v>
      </c>
      <c r="AD3384" s="81" t="e">
        <f>IF(X3384=2,HLOOKUP(R3384,データについて!$J$12:$M$18,7,FALSE),"*")</f>
        <v>#N/A</v>
      </c>
    </row>
    <row r="3385" spans="19:30">
      <c r="S3385" s="81" t="e">
        <f>HLOOKUP(L3385,データについて!$J$6:$M$18,13,FALSE)</f>
        <v>#N/A</v>
      </c>
      <c r="T3385" s="81" t="e">
        <f>HLOOKUP(M3385,データについて!$J$7:$M$18,12,FALSE)</f>
        <v>#N/A</v>
      </c>
      <c r="U3385" s="81" t="e">
        <f>HLOOKUP(N3385,データについて!$J$8:$M$18,11,FALSE)</f>
        <v>#N/A</v>
      </c>
      <c r="V3385" s="81" t="e">
        <f>HLOOKUP(O3385,データについて!$J$9:$M$18,10,FALSE)</f>
        <v>#N/A</v>
      </c>
      <c r="W3385" s="81" t="e">
        <f>HLOOKUP(P3385,データについて!$J$10:$M$18,9,FALSE)</f>
        <v>#N/A</v>
      </c>
      <c r="X3385" s="81" t="e">
        <f>HLOOKUP(Q3385,データについて!$J$11:$M$18,8,FALSE)</f>
        <v>#N/A</v>
      </c>
      <c r="Y3385" s="81" t="e">
        <f>HLOOKUP(R3385,データについて!$J$12:$M$18,7,FALSE)</f>
        <v>#N/A</v>
      </c>
      <c r="Z3385" s="81" t="e">
        <f>HLOOKUP(I3385,データについて!$J$3:$M$18,16,FALSE)</f>
        <v>#N/A</v>
      </c>
      <c r="AA3385" s="81" t="str">
        <f>IFERROR(HLOOKUP(J3385,データについて!$J$4:$AH$19,16,FALSE),"")</f>
        <v/>
      </c>
      <c r="AB3385" s="81" t="str">
        <f>IFERROR(HLOOKUP(K3385,データについて!$J$5:$AH$20,14,FALSE),"")</f>
        <v/>
      </c>
      <c r="AC3385" s="81" t="e">
        <f>IF(X3385=1,HLOOKUP(R3385,データについて!$J$12:$M$18,7,FALSE),"*")</f>
        <v>#N/A</v>
      </c>
      <c r="AD3385" s="81" t="e">
        <f>IF(X3385=2,HLOOKUP(R3385,データについて!$J$12:$M$18,7,FALSE),"*")</f>
        <v>#N/A</v>
      </c>
    </row>
    <row r="3386" spans="19:30">
      <c r="S3386" s="81" t="e">
        <f>HLOOKUP(L3386,データについて!$J$6:$M$18,13,FALSE)</f>
        <v>#N/A</v>
      </c>
      <c r="T3386" s="81" t="e">
        <f>HLOOKUP(M3386,データについて!$J$7:$M$18,12,FALSE)</f>
        <v>#N/A</v>
      </c>
      <c r="U3386" s="81" t="e">
        <f>HLOOKUP(N3386,データについて!$J$8:$M$18,11,FALSE)</f>
        <v>#N/A</v>
      </c>
      <c r="V3386" s="81" t="e">
        <f>HLOOKUP(O3386,データについて!$J$9:$M$18,10,FALSE)</f>
        <v>#N/A</v>
      </c>
      <c r="W3386" s="81" t="e">
        <f>HLOOKUP(P3386,データについて!$J$10:$M$18,9,FALSE)</f>
        <v>#N/A</v>
      </c>
      <c r="X3386" s="81" t="e">
        <f>HLOOKUP(Q3386,データについて!$J$11:$M$18,8,FALSE)</f>
        <v>#N/A</v>
      </c>
      <c r="Y3386" s="81" t="e">
        <f>HLOOKUP(R3386,データについて!$J$12:$M$18,7,FALSE)</f>
        <v>#N/A</v>
      </c>
      <c r="Z3386" s="81" t="e">
        <f>HLOOKUP(I3386,データについて!$J$3:$M$18,16,FALSE)</f>
        <v>#N/A</v>
      </c>
      <c r="AA3386" s="81" t="str">
        <f>IFERROR(HLOOKUP(J3386,データについて!$J$4:$AH$19,16,FALSE),"")</f>
        <v/>
      </c>
      <c r="AB3386" s="81" t="str">
        <f>IFERROR(HLOOKUP(K3386,データについて!$J$5:$AH$20,14,FALSE),"")</f>
        <v/>
      </c>
      <c r="AC3386" s="81" t="e">
        <f>IF(X3386=1,HLOOKUP(R3386,データについて!$J$12:$M$18,7,FALSE),"*")</f>
        <v>#N/A</v>
      </c>
      <c r="AD3386" s="81" t="e">
        <f>IF(X3386=2,HLOOKUP(R3386,データについて!$J$12:$M$18,7,FALSE),"*")</f>
        <v>#N/A</v>
      </c>
    </row>
    <row r="3387" spans="19:30">
      <c r="S3387" s="81" t="e">
        <f>HLOOKUP(L3387,データについて!$J$6:$M$18,13,FALSE)</f>
        <v>#N/A</v>
      </c>
      <c r="T3387" s="81" t="e">
        <f>HLOOKUP(M3387,データについて!$J$7:$M$18,12,FALSE)</f>
        <v>#N/A</v>
      </c>
      <c r="U3387" s="81" t="e">
        <f>HLOOKUP(N3387,データについて!$J$8:$M$18,11,FALSE)</f>
        <v>#N/A</v>
      </c>
      <c r="V3387" s="81" t="e">
        <f>HLOOKUP(O3387,データについて!$J$9:$M$18,10,FALSE)</f>
        <v>#N/A</v>
      </c>
      <c r="W3387" s="81" t="e">
        <f>HLOOKUP(P3387,データについて!$J$10:$M$18,9,FALSE)</f>
        <v>#N/A</v>
      </c>
      <c r="X3387" s="81" t="e">
        <f>HLOOKUP(Q3387,データについて!$J$11:$M$18,8,FALSE)</f>
        <v>#N/A</v>
      </c>
      <c r="Y3387" s="81" t="e">
        <f>HLOOKUP(R3387,データについて!$J$12:$M$18,7,FALSE)</f>
        <v>#N/A</v>
      </c>
      <c r="Z3387" s="81" t="e">
        <f>HLOOKUP(I3387,データについて!$J$3:$M$18,16,FALSE)</f>
        <v>#N/A</v>
      </c>
      <c r="AA3387" s="81" t="str">
        <f>IFERROR(HLOOKUP(J3387,データについて!$J$4:$AH$19,16,FALSE),"")</f>
        <v/>
      </c>
      <c r="AB3387" s="81" t="str">
        <f>IFERROR(HLOOKUP(K3387,データについて!$J$5:$AH$20,14,FALSE),"")</f>
        <v/>
      </c>
      <c r="AC3387" s="81" t="e">
        <f>IF(X3387=1,HLOOKUP(R3387,データについて!$J$12:$M$18,7,FALSE),"*")</f>
        <v>#N/A</v>
      </c>
      <c r="AD3387" s="81" t="e">
        <f>IF(X3387=2,HLOOKUP(R3387,データについて!$J$12:$M$18,7,FALSE),"*")</f>
        <v>#N/A</v>
      </c>
    </row>
    <row r="3388" spans="19:30">
      <c r="S3388" s="81" t="e">
        <f>HLOOKUP(L3388,データについて!$J$6:$M$18,13,FALSE)</f>
        <v>#N/A</v>
      </c>
      <c r="T3388" s="81" t="e">
        <f>HLOOKUP(M3388,データについて!$J$7:$M$18,12,FALSE)</f>
        <v>#N/A</v>
      </c>
      <c r="U3388" s="81" t="e">
        <f>HLOOKUP(N3388,データについて!$J$8:$M$18,11,FALSE)</f>
        <v>#N/A</v>
      </c>
      <c r="V3388" s="81" t="e">
        <f>HLOOKUP(O3388,データについて!$J$9:$M$18,10,FALSE)</f>
        <v>#N/A</v>
      </c>
      <c r="W3388" s="81" t="e">
        <f>HLOOKUP(P3388,データについて!$J$10:$M$18,9,FALSE)</f>
        <v>#N/A</v>
      </c>
      <c r="X3388" s="81" t="e">
        <f>HLOOKUP(Q3388,データについて!$J$11:$M$18,8,FALSE)</f>
        <v>#N/A</v>
      </c>
      <c r="Y3388" s="81" t="e">
        <f>HLOOKUP(R3388,データについて!$J$12:$M$18,7,FALSE)</f>
        <v>#N/A</v>
      </c>
      <c r="Z3388" s="81" t="e">
        <f>HLOOKUP(I3388,データについて!$J$3:$M$18,16,FALSE)</f>
        <v>#N/A</v>
      </c>
      <c r="AA3388" s="81" t="str">
        <f>IFERROR(HLOOKUP(J3388,データについて!$J$4:$AH$19,16,FALSE),"")</f>
        <v/>
      </c>
      <c r="AB3388" s="81" t="str">
        <f>IFERROR(HLOOKUP(K3388,データについて!$J$5:$AH$20,14,FALSE),"")</f>
        <v/>
      </c>
      <c r="AC3388" s="81" t="e">
        <f>IF(X3388=1,HLOOKUP(R3388,データについて!$J$12:$M$18,7,FALSE),"*")</f>
        <v>#N/A</v>
      </c>
      <c r="AD3388" s="81" t="e">
        <f>IF(X3388=2,HLOOKUP(R3388,データについて!$J$12:$M$18,7,FALSE),"*")</f>
        <v>#N/A</v>
      </c>
    </row>
    <row r="3389" spans="19:30">
      <c r="S3389" s="81" t="e">
        <f>HLOOKUP(L3389,データについて!$J$6:$M$18,13,FALSE)</f>
        <v>#N/A</v>
      </c>
      <c r="T3389" s="81" t="e">
        <f>HLOOKUP(M3389,データについて!$J$7:$M$18,12,FALSE)</f>
        <v>#N/A</v>
      </c>
      <c r="U3389" s="81" t="e">
        <f>HLOOKUP(N3389,データについて!$J$8:$M$18,11,FALSE)</f>
        <v>#N/A</v>
      </c>
      <c r="V3389" s="81" t="e">
        <f>HLOOKUP(O3389,データについて!$J$9:$M$18,10,FALSE)</f>
        <v>#N/A</v>
      </c>
      <c r="W3389" s="81" t="e">
        <f>HLOOKUP(P3389,データについて!$J$10:$M$18,9,FALSE)</f>
        <v>#N/A</v>
      </c>
      <c r="X3389" s="81" t="e">
        <f>HLOOKUP(Q3389,データについて!$J$11:$M$18,8,FALSE)</f>
        <v>#N/A</v>
      </c>
      <c r="Y3389" s="81" t="e">
        <f>HLOOKUP(R3389,データについて!$J$12:$M$18,7,FALSE)</f>
        <v>#N/A</v>
      </c>
      <c r="Z3389" s="81" t="e">
        <f>HLOOKUP(I3389,データについて!$J$3:$M$18,16,FALSE)</f>
        <v>#N/A</v>
      </c>
      <c r="AA3389" s="81" t="str">
        <f>IFERROR(HLOOKUP(J3389,データについて!$J$4:$AH$19,16,FALSE),"")</f>
        <v/>
      </c>
      <c r="AB3389" s="81" t="str">
        <f>IFERROR(HLOOKUP(K3389,データについて!$J$5:$AH$20,14,FALSE),"")</f>
        <v/>
      </c>
      <c r="AC3389" s="81" t="e">
        <f>IF(X3389=1,HLOOKUP(R3389,データについて!$J$12:$M$18,7,FALSE),"*")</f>
        <v>#N/A</v>
      </c>
      <c r="AD3389" s="81" t="e">
        <f>IF(X3389=2,HLOOKUP(R3389,データについて!$J$12:$M$18,7,FALSE),"*")</f>
        <v>#N/A</v>
      </c>
    </row>
    <row r="3390" spans="19:30">
      <c r="S3390" s="81" t="e">
        <f>HLOOKUP(L3390,データについて!$J$6:$M$18,13,FALSE)</f>
        <v>#N/A</v>
      </c>
      <c r="T3390" s="81" t="e">
        <f>HLOOKUP(M3390,データについて!$J$7:$M$18,12,FALSE)</f>
        <v>#N/A</v>
      </c>
      <c r="U3390" s="81" t="e">
        <f>HLOOKUP(N3390,データについて!$J$8:$M$18,11,FALSE)</f>
        <v>#N/A</v>
      </c>
      <c r="V3390" s="81" t="e">
        <f>HLOOKUP(O3390,データについて!$J$9:$M$18,10,FALSE)</f>
        <v>#N/A</v>
      </c>
      <c r="W3390" s="81" t="e">
        <f>HLOOKUP(P3390,データについて!$J$10:$M$18,9,FALSE)</f>
        <v>#N/A</v>
      </c>
      <c r="X3390" s="81" t="e">
        <f>HLOOKUP(Q3390,データについて!$J$11:$M$18,8,FALSE)</f>
        <v>#N/A</v>
      </c>
      <c r="Y3390" s="81" t="e">
        <f>HLOOKUP(R3390,データについて!$J$12:$M$18,7,FALSE)</f>
        <v>#N/A</v>
      </c>
      <c r="Z3390" s="81" t="e">
        <f>HLOOKUP(I3390,データについて!$J$3:$M$18,16,FALSE)</f>
        <v>#N/A</v>
      </c>
      <c r="AA3390" s="81" t="str">
        <f>IFERROR(HLOOKUP(J3390,データについて!$J$4:$AH$19,16,FALSE),"")</f>
        <v/>
      </c>
      <c r="AB3390" s="81" t="str">
        <f>IFERROR(HLOOKUP(K3390,データについて!$J$5:$AH$20,14,FALSE),"")</f>
        <v/>
      </c>
      <c r="AC3390" s="81" t="e">
        <f>IF(X3390=1,HLOOKUP(R3390,データについて!$J$12:$M$18,7,FALSE),"*")</f>
        <v>#N/A</v>
      </c>
      <c r="AD3390" s="81" t="e">
        <f>IF(X3390=2,HLOOKUP(R3390,データについて!$J$12:$M$18,7,FALSE),"*")</f>
        <v>#N/A</v>
      </c>
    </row>
    <row r="3391" spans="19:30">
      <c r="S3391" s="81" t="e">
        <f>HLOOKUP(L3391,データについて!$J$6:$M$18,13,FALSE)</f>
        <v>#N/A</v>
      </c>
      <c r="T3391" s="81" t="e">
        <f>HLOOKUP(M3391,データについて!$J$7:$M$18,12,FALSE)</f>
        <v>#N/A</v>
      </c>
      <c r="U3391" s="81" t="e">
        <f>HLOOKUP(N3391,データについて!$J$8:$M$18,11,FALSE)</f>
        <v>#N/A</v>
      </c>
      <c r="V3391" s="81" t="e">
        <f>HLOOKUP(O3391,データについて!$J$9:$M$18,10,FALSE)</f>
        <v>#N/A</v>
      </c>
      <c r="W3391" s="81" t="e">
        <f>HLOOKUP(P3391,データについて!$J$10:$M$18,9,FALSE)</f>
        <v>#N/A</v>
      </c>
      <c r="X3391" s="81" t="e">
        <f>HLOOKUP(Q3391,データについて!$J$11:$M$18,8,FALSE)</f>
        <v>#N/A</v>
      </c>
      <c r="Y3391" s="81" t="e">
        <f>HLOOKUP(R3391,データについて!$J$12:$M$18,7,FALSE)</f>
        <v>#N/A</v>
      </c>
      <c r="Z3391" s="81" t="e">
        <f>HLOOKUP(I3391,データについて!$J$3:$M$18,16,FALSE)</f>
        <v>#N/A</v>
      </c>
      <c r="AA3391" s="81" t="str">
        <f>IFERROR(HLOOKUP(J3391,データについて!$J$4:$AH$19,16,FALSE),"")</f>
        <v/>
      </c>
      <c r="AB3391" s="81" t="str">
        <f>IFERROR(HLOOKUP(K3391,データについて!$J$5:$AH$20,14,FALSE),"")</f>
        <v/>
      </c>
      <c r="AC3391" s="81" t="e">
        <f>IF(X3391=1,HLOOKUP(R3391,データについて!$J$12:$M$18,7,FALSE),"*")</f>
        <v>#N/A</v>
      </c>
      <c r="AD3391" s="81" t="e">
        <f>IF(X3391=2,HLOOKUP(R3391,データについて!$J$12:$M$18,7,FALSE),"*")</f>
        <v>#N/A</v>
      </c>
    </row>
    <row r="3392" spans="19:30">
      <c r="S3392" s="81" t="e">
        <f>HLOOKUP(L3392,データについて!$J$6:$M$18,13,FALSE)</f>
        <v>#N/A</v>
      </c>
      <c r="T3392" s="81" t="e">
        <f>HLOOKUP(M3392,データについて!$J$7:$M$18,12,FALSE)</f>
        <v>#N/A</v>
      </c>
      <c r="U3392" s="81" t="e">
        <f>HLOOKUP(N3392,データについて!$J$8:$M$18,11,FALSE)</f>
        <v>#N/A</v>
      </c>
      <c r="V3392" s="81" t="e">
        <f>HLOOKUP(O3392,データについて!$J$9:$M$18,10,FALSE)</f>
        <v>#N/A</v>
      </c>
      <c r="W3392" s="81" t="e">
        <f>HLOOKUP(P3392,データについて!$J$10:$M$18,9,FALSE)</f>
        <v>#N/A</v>
      </c>
      <c r="X3392" s="81" t="e">
        <f>HLOOKUP(Q3392,データについて!$J$11:$M$18,8,FALSE)</f>
        <v>#N/A</v>
      </c>
      <c r="Y3392" s="81" t="e">
        <f>HLOOKUP(R3392,データについて!$J$12:$M$18,7,FALSE)</f>
        <v>#N/A</v>
      </c>
      <c r="Z3392" s="81" t="e">
        <f>HLOOKUP(I3392,データについて!$J$3:$M$18,16,FALSE)</f>
        <v>#N/A</v>
      </c>
      <c r="AA3392" s="81" t="str">
        <f>IFERROR(HLOOKUP(J3392,データについて!$J$4:$AH$19,16,FALSE),"")</f>
        <v/>
      </c>
      <c r="AB3392" s="81" t="str">
        <f>IFERROR(HLOOKUP(K3392,データについて!$J$5:$AH$20,14,FALSE),"")</f>
        <v/>
      </c>
      <c r="AC3392" s="81" t="e">
        <f>IF(X3392=1,HLOOKUP(R3392,データについて!$J$12:$M$18,7,FALSE),"*")</f>
        <v>#N/A</v>
      </c>
      <c r="AD3392" s="81" t="e">
        <f>IF(X3392=2,HLOOKUP(R3392,データについて!$J$12:$M$18,7,FALSE),"*")</f>
        <v>#N/A</v>
      </c>
    </row>
    <row r="3393" spans="19:30">
      <c r="S3393" s="81" t="e">
        <f>HLOOKUP(L3393,データについて!$J$6:$M$18,13,FALSE)</f>
        <v>#N/A</v>
      </c>
      <c r="T3393" s="81" t="e">
        <f>HLOOKUP(M3393,データについて!$J$7:$M$18,12,FALSE)</f>
        <v>#N/A</v>
      </c>
      <c r="U3393" s="81" t="e">
        <f>HLOOKUP(N3393,データについて!$J$8:$M$18,11,FALSE)</f>
        <v>#N/A</v>
      </c>
      <c r="V3393" s="81" t="e">
        <f>HLOOKUP(O3393,データについて!$J$9:$M$18,10,FALSE)</f>
        <v>#N/A</v>
      </c>
      <c r="W3393" s="81" t="e">
        <f>HLOOKUP(P3393,データについて!$J$10:$M$18,9,FALSE)</f>
        <v>#N/A</v>
      </c>
      <c r="X3393" s="81" t="e">
        <f>HLOOKUP(Q3393,データについて!$J$11:$M$18,8,FALSE)</f>
        <v>#N/A</v>
      </c>
      <c r="Y3393" s="81" t="e">
        <f>HLOOKUP(R3393,データについて!$J$12:$M$18,7,FALSE)</f>
        <v>#N/A</v>
      </c>
      <c r="Z3393" s="81" t="e">
        <f>HLOOKUP(I3393,データについて!$J$3:$M$18,16,FALSE)</f>
        <v>#N/A</v>
      </c>
      <c r="AA3393" s="81" t="str">
        <f>IFERROR(HLOOKUP(J3393,データについて!$J$4:$AH$19,16,FALSE),"")</f>
        <v/>
      </c>
      <c r="AB3393" s="81" t="str">
        <f>IFERROR(HLOOKUP(K3393,データについて!$J$5:$AH$20,14,FALSE),"")</f>
        <v/>
      </c>
      <c r="AC3393" s="81" t="e">
        <f>IF(X3393=1,HLOOKUP(R3393,データについて!$J$12:$M$18,7,FALSE),"*")</f>
        <v>#N/A</v>
      </c>
      <c r="AD3393" s="81" t="e">
        <f>IF(X3393=2,HLOOKUP(R3393,データについて!$J$12:$M$18,7,FALSE),"*")</f>
        <v>#N/A</v>
      </c>
    </row>
    <row r="3394" spans="19:30">
      <c r="S3394" s="81" t="e">
        <f>HLOOKUP(L3394,データについて!$J$6:$M$18,13,FALSE)</f>
        <v>#N/A</v>
      </c>
      <c r="T3394" s="81" t="e">
        <f>HLOOKUP(M3394,データについて!$J$7:$M$18,12,FALSE)</f>
        <v>#N/A</v>
      </c>
      <c r="U3394" s="81" t="e">
        <f>HLOOKUP(N3394,データについて!$J$8:$M$18,11,FALSE)</f>
        <v>#N/A</v>
      </c>
      <c r="V3394" s="81" t="e">
        <f>HLOOKUP(O3394,データについて!$J$9:$M$18,10,FALSE)</f>
        <v>#N/A</v>
      </c>
      <c r="W3394" s="81" t="e">
        <f>HLOOKUP(P3394,データについて!$J$10:$M$18,9,FALSE)</f>
        <v>#N/A</v>
      </c>
      <c r="X3394" s="81" t="e">
        <f>HLOOKUP(Q3394,データについて!$J$11:$M$18,8,FALSE)</f>
        <v>#N/A</v>
      </c>
      <c r="Y3394" s="81" t="e">
        <f>HLOOKUP(R3394,データについて!$J$12:$M$18,7,FALSE)</f>
        <v>#N/A</v>
      </c>
      <c r="Z3394" s="81" t="e">
        <f>HLOOKUP(I3394,データについて!$J$3:$M$18,16,FALSE)</f>
        <v>#N/A</v>
      </c>
      <c r="AA3394" s="81" t="str">
        <f>IFERROR(HLOOKUP(J3394,データについて!$J$4:$AH$19,16,FALSE),"")</f>
        <v/>
      </c>
      <c r="AB3394" s="81" t="str">
        <f>IFERROR(HLOOKUP(K3394,データについて!$J$5:$AH$20,14,FALSE),"")</f>
        <v/>
      </c>
      <c r="AC3394" s="81" t="e">
        <f>IF(X3394=1,HLOOKUP(R3394,データについて!$J$12:$M$18,7,FALSE),"*")</f>
        <v>#N/A</v>
      </c>
      <c r="AD3394" s="81" t="e">
        <f>IF(X3394=2,HLOOKUP(R3394,データについて!$J$12:$M$18,7,FALSE),"*")</f>
        <v>#N/A</v>
      </c>
    </row>
    <row r="3395" spans="19:30">
      <c r="S3395" s="81" t="e">
        <f>HLOOKUP(L3395,データについて!$J$6:$M$18,13,FALSE)</f>
        <v>#N/A</v>
      </c>
      <c r="T3395" s="81" t="e">
        <f>HLOOKUP(M3395,データについて!$J$7:$M$18,12,FALSE)</f>
        <v>#N/A</v>
      </c>
      <c r="U3395" s="81" t="e">
        <f>HLOOKUP(N3395,データについて!$J$8:$M$18,11,FALSE)</f>
        <v>#N/A</v>
      </c>
      <c r="V3395" s="81" t="e">
        <f>HLOOKUP(O3395,データについて!$J$9:$M$18,10,FALSE)</f>
        <v>#N/A</v>
      </c>
      <c r="W3395" s="81" t="e">
        <f>HLOOKUP(P3395,データについて!$J$10:$M$18,9,FALSE)</f>
        <v>#N/A</v>
      </c>
      <c r="X3395" s="81" t="e">
        <f>HLOOKUP(Q3395,データについて!$J$11:$M$18,8,FALSE)</f>
        <v>#N/A</v>
      </c>
      <c r="Y3395" s="81" t="e">
        <f>HLOOKUP(R3395,データについて!$J$12:$M$18,7,FALSE)</f>
        <v>#N/A</v>
      </c>
      <c r="Z3395" s="81" t="e">
        <f>HLOOKUP(I3395,データについて!$J$3:$M$18,16,FALSE)</f>
        <v>#N/A</v>
      </c>
      <c r="AA3395" s="81" t="str">
        <f>IFERROR(HLOOKUP(J3395,データについて!$J$4:$AH$19,16,FALSE),"")</f>
        <v/>
      </c>
      <c r="AB3395" s="81" t="str">
        <f>IFERROR(HLOOKUP(K3395,データについて!$J$5:$AH$20,14,FALSE),"")</f>
        <v/>
      </c>
      <c r="AC3395" s="81" t="e">
        <f>IF(X3395=1,HLOOKUP(R3395,データについて!$J$12:$M$18,7,FALSE),"*")</f>
        <v>#N/A</v>
      </c>
      <c r="AD3395" s="81" t="e">
        <f>IF(X3395=2,HLOOKUP(R3395,データについて!$J$12:$M$18,7,FALSE),"*")</f>
        <v>#N/A</v>
      </c>
    </row>
    <row r="3396" spans="19:30">
      <c r="S3396" s="81" t="e">
        <f>HLOOKUP(L3396,データについて!$J$6:$M$18,13,FALSE)</f>
        <v>#N/A</v>
      </c>
      <c r="T3396" s="81" t="e">
        <f>HLOOKUP(M3396,データについて!$J$7:$M$18,12,FALSE)</f>
        <v>#N/A</v>
      </c>
      <c r="U3396" s="81" t="e">
        <f>HLOOKUP(N3396,データについて!$J$8:$M$18,11,FALSE)</f>
        <v>#N/A</v>
      </c>
      <c r="V3396" s="81" t="e">
        <f>HLOOKUP(O3396,データについて!$J$9:$M$18,10,FALSE)</f>
        <v>#N/A</v>
      </c>
      <c r="W3396" s="81" t="e">
        <f>HLOOKUP(P3396,データについて!$J$10:$M$18,9,FALSE)</f>
        <v>#N/A</v>
      </c>
      <c r="X3396" s="81" t="e">
        <f>HLOOKUP(Q3396,データについて!$J$11:$M$18,8,FALSE)</f>
        <v>#N/A</v>
      </c>
      <c r="Y3396" s="81" t="e">
        <f>HLOOKUP(R3396,データについて!$J$12:$M$18,7,FALSE)</f>
        <v>#N/A</v>
      </c>
      <c r="Z3396" s="81" t="e">
        <f>HLOOKUP(I3396,データについて!$J$3:$M$18,16,FALSE)</f>
        <v>#N/A</v>
      </c>
      <c r="AA3396" s="81" t="str">
        <f>IFERROR(HLOOKUP(J3396,データについて!$J$4:$AH$19,16,FALSE),"")</f>
        <v/>
      </c>
      <c r="AB3396" s="81" t="str">
        <f>IFERROR(HLOOKUP(K3396,データについて!$J$5:$AH$20,14,FALSE),"")</f>
        <v/>
      </c>
      <c r="AC3396" s="81" t="e">
        <f>IF(X3396=1,HLOOKUP(R3396,データについて!$J$12:$M$18,7,FALSE),"*")</f>
        <v>#N/A</v>
      </c>
      <c r="AD3396" s="81" t="e">
        <f>IF(X3396=2,HLOOKUP(R3396,データについて!$J$12:$M$18,7,FALSE),"*")</f>
        <v>#N/A</v>
      </c>
    </row>
    <row r="3397" spans="19:30">
      <c r="S3397" s="81" t="e">
        <f>HLOOKUP(L3397,データについて!$J$6:$M$18,13,FALSE)</f>
        <v>#N/A</v>
      </c>
      <c r="T3397" s="81" t="e">
        <f>HLOOKUP(M3397,データについて!$J$7:$M$18,12,FALSE)</f>
        <v>#N/A</v>
      </c>
      <c r="U3397" s="81" t="e">
        <f>HLOOKUP(N3397,データについて!$J$8:$M$18,11,FALSE)</f>
        <v>#N/A</v>
      </c>
      <c r="V3397" s="81" t="e">
        <f>HLOOKUP(O3397,データについて!$J$9:$M$18,10,FALSE)</f>
        <v>#N/A</v>
      </c>
      <c r="W3397" s="81" t="e">
        <f>HLOOKUP(P3397,データについて!$J$10:$M$18,9,FALSE)</f>
        <v>#N/A</v>
      </c>
      <c r="X3397" s="81" t="e">
        <f>HLOOKUP(Q3397,データについて!$J$11:$M$18,8,FALSE)</f>
        <v>#N/A</v>
      </c>
      <c r="Y3397" s="81" t="e">
        <f>HLOOKUP(R3397,データについて!$J$12:$M$18,7,FALSE)</f>
        <v>#N/A</v>
      </c>
      <c r="Z3397" s="81" t="e">
        <f>HLOOKUP(I3397,データについて!$J$3:$M$18,16,FALSE)</f>
        <v>#N/A</v>
      </c>
      <c r="AA3397" s="81" t="str">
        <f>IFERROR(HLOOKUP(J3397,データについて!$J$4:$AH$19,16,FALSE),"")</f>
        <v/>
      </c>
      <c r="AB3397" s="81" t="str">
        <f>IFERROR(HLOOKUP(K3397,データについて!$J$5:$AH$20,14,FALSE),"")</f>
        <v/>
      </c>
      <c r="AC3397" s="81" t="e">
        <f>IF(X3397=1,HLOOKUP(R3397,データについて!$J$12:$M$18,7,FALSE),"*")</f>
        <v>#N/A</v>
      </c>
      <c r="AD3397" s="81" t="e">
        <f>IF(X3397=2,HLOOKUP(R3397,データについて!$J$12:$M$18,7,FALSE),"*")</f>
        <v>#N/A</v>
      </c>
    </row>
    <row r="3398" spans="19:30">
      <c r="S3398" s="81" t="e">
        <f>HLOOKUP(L3398,データについて!$J$6:$M$18,13,FALSE)</f>
        <v>#N/A</v>
      </c>
      <c r="T3398" s="81" t="e">
        <f>HLOOKUP(M3398,データについて!$J$7:$M$18,12,FALSE)</f>
        <v>#N/A</v>
      </c>
      <c r="U3398" s="81" t="e">
        <f>HLOOKUP(N3398,データについて!$J$8:$M$18,11,FALSE)</f>
        <v>#N/A</v>
      </c>
      <c r="V3398" s="81" t="e">
        <f>HLOOKUP(O3398,データについて!$J$9:$M$18,10,FALSE)</f>
        <v>#N/A</v>
      </c>
      <c r="W3398" s="81" t="e">
        <f>HLOOKUP(P3398,データについて!$J$10:$M$18,9,FALSE)</f>
        <v>#N/A</v>
      </c>
      <c r="X3398" s="81" t="e">
        <f>HLOOKUP(Q3398,データについて!$J$11:$M$18,8,FALSE)</f>
        <v>#N/A</v>
      </c>
      <c r="Y3398" s="81" t="e">
        <f>HLOOKUP(R3398,データについて!$J$12:$M$18,7,FALSE)</f>
        <v>#N/A</v>
      </c>
      <c r="Z3398" s="81" t="e">
        <f>HLOOKUP(I3398,データについて!$J$3:$M$18,16,FALSE)</f>
        <v>#N/A</v>
      </c>
      <c r="AA3398" s="81" t="str">
        <f>IFERROR(HLOOKUP(J3398,データについて!$J$4:$AH$19,16,FALSE),"")</f>
        <v/>
      </c>
      <c r="AB3398" s="81" t="str">
        <f>IFERROR(HLOOKUP(K3398,データについて!$J$5:$AH$20,14,FALSE),"")</f>
        <v/>
      </c>
      <c r="AC3398" s="81" t="e">
        <f>IF(X3398=1,HLOOKUP(R3398,データについて!$J$12:$M$18,7,FALSE),"*")</f>
        <v>#N/A</v>
      </c>
      <c r="AD3398" s="81" t="e">
        <f>IF(X3398=2,HLOOKUP(R3398,データについて!$J$12:$M$18,7,FALSE),"*")</f>
        <v>#N/A</v>
      </c>
    </row>
    <row r="3399" spans="19:30">
      <c r="S3399" s="81" t="e">
        <f>HLOOKUP(L3399,データについて!$J$6:$M$18,13,FALSE)</f>
        <v>#N/A</v>
      </c>
      <c r="T3399" s="81" t="e">
        <f>HLOOKUP(M3399,データについて!$J$7:$M$18,12,FALSE)</f>
        <v>#N/A</v>
      </c>
      <c r="U3399" s="81" t="e">
        <f>HLOOKUP(N3399,データについて!$J$8:$M$18,11,FALSE)</f>
        <v>#N/A</v>
      </c>
      <c r="V3399" s="81" t="e">
        <f>HLOOKUP(O3399,データについて!$J$9:$M$18,10,FALSE)</f>
        <v>#N/A</v>
      </c>
      <c r="W3399" s="81" t="e">
        <f>HLOOKUP(P3399,データについて!$J$10:$M$18,9,FALSE)</f>
        <v>#N/A</v>
      </c>
      <c r="X3399" s="81" t="e">
        <f>HLOOKUP(Q3399,データについて!$J$11:$M$18,8,FALSE)</f>
        <v>#N/A</v>
      </c>
      <c r="Y3399" s="81" t="e">
        <f>HLOOKUP(R3399,データについて!$J$12:$M$18,7,FALSE)</f>
        <v>#N/A</v>
      </c>
      <c r="Z3399" s="81" t="e">
        <f>HLOOKUP(I3399,データについて!$J$3:$M$18,16,FALSE)</f>
        <v>#N/A</v>
      </c>
      <c r="AA3399" s="81" t="str">
        <f>IFERROR(HLOOKUP(J3399,データについて!$J$4:$AH$19,16,FALSE),"")</f>
        <v/>
      </c>
      <c r="AB3399" s="81" t="str">
        <f>IFERROR(HLOOKUP(K3399,データについて!$J$5:$AH$20,14,FALSE),"")</f>
        <v/>
      </c>
      <c r="AC3399" s="81" t="e">
        <f>IF(X3399=1,HLOOKUP(R3399,データについて!$J$12:$M$18,7,FALSE),"*")</f>
        <v>#N/A</v>
      </c>
      <c r="AD3399" s="81" t="e">
        <f>IF(X3399=2,HLOOKUP(R3399,データについて!$J$12:$M$18,7,FALSE),"*")</f>
        <v>#N/A</v>
      </c>
    </row>
    <row r="3400" spans="19:30">
      <c r="S3400" s="81" t="e">
        <f>HLOOKUP(L3400,データについて!$J$6:$M$18,13,FALSE)</f>
        <v>#N/A</v>
      </c>
      <c r="T3400" s="81" t="e">
        <f>HLOOKUP(M3400,データについて!$J$7:$M$18,12,FALSE)</f>
        <v>#N/A</v>
      </c>
      <c r="U3400" s="81" t="e">
        <f>HLOOKUP(N3400,データについて!$J$8:$M$18,11,FALSE)</f>
        <v>#N/A</v>
      </c>
      <c r="V3400" s="81" t="e">
        <f>HLOOKUP(O3400,データについて!$J$9:$M$18,10,FALSE)</f>
        <v>#N/A</v>
      </c>
      <c r="W3400" s="81" t="e">
        <f>HLOOKUP(P3400,データについて!$J$10:$M$18,9,FALSE)</f>
        <v>#N/A</v>
      </c>
      <c r="X3400" s="81" t="e">
        <f>HLOOKUP(Q3400,データについて!$J$11:$M$18,8,FALSE)</f>
        <v>#N/A</v>
      </c>
      <c r="Y3400" s="81" t="e">
        <f>HLOOKUP(R3400,データについて!$J$12:$M$18,7,FALSE)</f>
        <v>#N/A</v>
      </c>
      <c r="Z3400" s="81" t="e">
        <f>HLOOKUP(I3400,データについて!$J$3:$M$18,16,FALSE)</f>
        <v>#N/A</v>
      </c>
      <c r="AA3400" s="81" t="str">
        <f>IFERROR(HLOOKUP(J3400,データについて!$J$4:$AH$19,16,FALSE),"")</f>
        <v/>
      </c>
      <c r="AB3400" s="81" t="str">
        <f>IFERROR(HLOOKUP(K3400,データについて!$J$5:$AH$20,14,FALSE),"")</f>
        <v/>
      </c>
      <c r="AC3400" s="81" t="e">
        <f>IF(X3400=1,HLOOKUP(R3400,データについて!$J$12:$M$18,7,FALSE),"*")</f>
        <v>#N/A</v>
      </c>
      <c r="AD3400" s="81" t="e">
        <f>IF(X3400=2,HLOOKUP(R3400,データについて!$J$12:$M$18,7,FALSE),"*")</f>
        <v>#N/A</v>
      </c>
    </row>
    <row r="3401" spans="19:30">
      <c r="S3401" s="81" t="e">
        <f>HLOOKUP(L3401,データについて!$J$6:$M$18,13,FALSE)</f>
        <v>#N/A</v>
      </c>
      <c r="T3401" s="81" t="e">
        <f>HLOOKUP(M3401,データについて!$J$7:$M$18,12,FALSE)</f>
        <v>#N/A</v>
      </c>
      <c r="U3401" s="81" t="e">
        <f>HLOOKUP(N3401,データについて!$J$8:$M$18,11,FALSE)</f>
        <v>#N/A</v>
      </c>
      <c r="V3401" s="81" t="e">
        <f>HLOOKUP(O3401,データについて!$J$9:$M$18,10,FALSE)</f>
        <v>#N/A</v>
      </c>
      <c r="W3401" s="81" t="e">
        <f>HLOOKUP(P3401,データについて!$J$10:$M$18,9,FALSE)</f>
        <v>#N/A</v>
      </c>
      <c r="X3401" s="81" t="e">
        <f>HLOOKUP(Q3401,データについて!$J$11:$M$18,8,FALSE)</f>
        <v>#N/A</v>
      </c>
      <c r="Y3401" s="81" t="e">
        <f>HLOOKUP(R3401,データについて!$J$12:$M$18,7,FALSE)</f>
        <v>#N/A</v>
      </c>
      <c r="Z3401" s="81" t="e">
        <f>HLOOKUP(I3401,データについて!$J$3:$M$18,16,FALSE)</f>
        <v>#N/A</v>
      </c>
      <c r="AA3401" s="81" t="str">
        <f>IFERROR(HLOOKUP(J3401,データについて!$J$4:$AH$19,16,FALSE),"")</f>
        <v/>
      </c>
      <c r="AB3401" s="81" t="str">
        <f>IFERROR(HLOOKUP(K3401,データについて!$J$5:$AH$20,14,FALSE),"")</f>
        <v/>
      </c>
      <c r="AC3401" s="81" t="e">
        <f>IF(X3401=1,HLOOKUP(R3401,データについて!$J$12:$M$18,7,FALSE),"*")</f>
        <v>#N/A</v>
      </c>
      <c r="AD3401" s="81" t="e">
        <f>IF(X3401=2,HLOOKUP(R3401,データについて!$J$12:$M$18,7,FALSE),"*")</f>
        <v>#N/A</v>
      </c>
    </row>
    <row r="3402" spans="19:30">
      <c r="S3402" s="81" t="e">
        <f>HLOOKUP(L3402,データについて!$J$6:$M$18,13,FALSE)</f>
        <v>#N/A</v>
      </c>
      <c r="T3402" s="81" t="e">
        <f>HLOOKUP(M3402,データについて!$J$7:$M$18,12,FALSE)</f>
        <v>#N/A</v>
      </c>
      <c r="U3402" s="81" t="e">
        <f>HLOOKUP(N3402,データについて!$J$8:$M$18,11,FALSE)</f>
        <v>#N/A</v>
      </c>
      <c r="V3402" s="81" t="e">
        <f>HLOOKUP(O3402,データについて!$J$9:$M$18,10,FALSE)</f>
        <v>#N/A</v>
      </c>
      <c r="W3402" s="81" t="e">
        <f>HLOOKUP(P3402,データについて!$J$10:$M$18,9,FALSE)</f>
        <v>#N/A</v>
      </c>
      <c r="X3402" s="81" t="e">
        <f>HLOOKUP(Q3402,データについて!$J$11:$M$18,8,FALSE)</f>
        <v>#N/A</v>
      </c>
      <c r="Y3402" s="81" t="e">
        <f>HLOOKUP(R3402,データについて!$J$12:$M$18,7,FALSE)</f>
        <v>#N/A</v>
      </c>
      <c r="Z3402" s="81" t="e">
        <f>HLOOKUP(I3402,データについて!$J$3:$M$18,16,FALSE)</f>
        <v>#N/A</v>
      </c>
      <c r="AA3402" s="81" t="str">
        <f>IFERROR(HLOOKUP(J3402,データについて!$J$4:$AH$19,16,FALSE),"")</f>
        <v/>
      </c>
      <c r="AB3402" s="81" t="str">
        <f>IFERROR(HLOOKUP(K3402,データについて!$J$5:$AH$20,14,FALSE),"")</f>
        <v/>
      </c>
      <c r="AC3402" s="81" t="e">
        <f>IF(X3402=1,HLOOKUP(R3402,データについて!$J$12:$M$18,7,FALSE),"*")</f>
        <v>#N/A</v>
      </c>
      <c r="AD3402" s="81" t="e">
        <f>IF(X3402=2,HLOOKUP(R3402,データについて!$J$12:$M$18,7,FALSE),"*")</f>
        <v>#N/A</v>
      </c>
    </row>
    <row r="3403" spans="19:30">
      <c r="S3403" s="81" t="e">
        <f>HLOOKUP(L3403,データについて!$J$6:$M$18,13,FALSE)</f>
        <v>#N/A</v>
      </c>
      <c r="T3403" s="81" t="e">
        <f>HLOOKUP(M3403,データについて!$J$7:$M$18,12,FALSE)</f>
        <v>#N/A</v>
      </c>
      <c r="U3403" s="81" t="e">
        <f>HLOOKUP(N3403,データについて!$J$8:$M$18,11,FALSE)</f>
        <v>#N/A</v>
      </c>
      <c r="V3403" s="81" t="e">
        <f>HLOOKUP(O3403,データについて!$J$9:$M$18,10,FALSE)</f>
        <v>#N/A</v>
      </c>
      <c r="W3403" s="81" t="e">
        <f>HLOOKUP(P3403,データについて!$J$10:$M$18,9,FALSE)</f>
        <v>#N/A</v>
      </c>
      <c r="X3403" s="81" t="e">
        <f>HLOOKUP(Q3403,データについて!$J$11:$M$18,8,FALSE)</f>
        <v>#N/A</v>
      </c>
      <c r="Y3403" s="81" t="e">
        <f>HLOOKUP(R3403,データについて!$J$12:$M$18,7,FALSE)</f>
        <v>#N/A</v>
      </c>
      <c r="Z3403" s="81" t="e">
        <f>HLOOKUP(I3403,データについて!$J$3:$M$18,16,FALSE)</f>
        <v>#N/A</v>
      </c>
      <c r="AA3403" s="81" t="str">
        <f>IFERROR(HLOOKUP(J3403,データについて!$J$4:$AH$19,16,FALSE),"")</f>
        <v/>
      </c>
      <c r="AB3403" s="81" t="str">
        <f>IFERROR(HLOOKUP(K3403,データについて!$J$5:$AH$20,14,FALSE),"")</f>
        <v/>
      </c>
      <c r="AC3403" s="81" t="e">
        <f>IF(X3403=1,HLOOKUP(R3403,データについて!$J$12:$M$18,7,FALSE),"*")</f>
        <v>#N/A</v>
      </c>
      <c r="AD3403" s="81" t="e">
        <f>IF(X3403=2,HLOOKUP(R3403,データについて!$J$12:$M$18,7,FALSE),"*")</f>
        <v>#N/A</v>
      </c>
    </row>
    <row r="3404" spans="19:30">
      <c r="S3404" s="81" t="e">
        <f>HLOOKUP(L3404,データについて!$J$6:$M$18,13,FALSE)</f>
        <v>#N/A</v>
      </c>
      <c r="T3404" s="81" t="e">
        <f>HLOOKUP(M3404,データについて!$J$7:$M$18,12,FALSE)</f>
        <v>#N/A</v>
      </c>
      <c r="U3404" s="81" t="e">
        <f>HLOOKUP(N3404,データについて!$J$8:$M$18,11,FALSE)</f>
        <v>#N/A</v>
      </c>
      <c r="V3404" s="81" t="e">
        <f>HLOOKUP(O3404,データについて!$J$9:$M$18,10,FALSE)</f>
        <v>#N/A</v>
      </c>
      <c r="W3404" s="81" t="e">
        <f>HLOOKUP(P3404,データについて!$J$10:$M$18,9,FALSE)</f>
        <v>#N/A</v>
      </c>
      <c r="X3404" s="81" t="e">
        <f>HLOOKUP(Q3404,データについて!$J$11:$M$18,8,FALSE)</f>
        <v>#N/A</v>
      </c>
      <c r="Y3404" s="81" t="e">
        <f>HLOOKUP(R3404,データについて!$J$12:$M$18,7,FALSE)</f>
        <v>#N/A</v>
      </c>
      <c r="Z3404" s="81" t="e">
        <f>HLOOKUP(I3404,データについて!$J$3:$M$18,16,FALSE)</f>
        <v>#N/A</v>
      </c>
      <c r="AA3404" s="81" t="str">
        <f>IFERROR(HLOOKUP(J3404,データについて!$J$4:$AH$19,16,FALSE),"")</f>
        <v/>
      </c>
      <c r="AB3404" s="81" t="str">
        <f>IFERROR(HLOOKUP(K3404,データについて!$J$5:$AH$20,14,FALSE),"")</f>
        <v/>
      </c>
      <c r="AC3404" s="81" t="e">
        <f>IF(X3404=1,HLOOKUP(R3404,データについて!$J$12:$M$18,7,FALSE),"*")</f>
        <v>#N/A</v>
      </c>
      <c r="AD3404" s="81" t="e">
        <f>IF(X3404=2,HLOOKUP(R3404,データについて!$J$12:$M$18,7,FALSE),"*")</f>
        <v>#N/A</v>
      </c>
    </row>
    <row r="3405" spans="19:30">
      <c r="S3405" s="81" t="e">
        <f>HLOOKUP(L3405,データについて!$J$6:$M$18,13,FALSE)</f>
        <v>#N/A</v>
      </c>
      <c r="T3405" s="81" t="e">
        <f>HLOOKUP(M3405,データについて!$J$7:$M$18,12,FALSE)</f>
        <v>#N/A</v>
      </c>
      <c r="U3405" s="81" t="e">
        <f>HLOOKUP(N3405,データについて!$J$8:$M$18,11,FALSE)</f>
        <v>#N/A</v>
      </c>
      <c r="V3405" s="81" t="e">
        <f>HLOOKUP(O3405,データについて!$J$9:$M$18,10,FALSE)</f>
        <v>#N/A</v>
      </c>
      <c r="W3405" s="81" t="e">
        <f>HLOOKUP(P3405,データについて!$J$10:$M$18,9,FALSE)</f>
        <v>#N/A</v>
      </c>
      <c r="X3405" s="81" t="e">
        <f>HLOOKUP(Q3405,データについて!$J$11:$M$18,8,FALSE)</f>
        <v>#N/A</v>
      </c>
      <c r="Y3405" s="81" t="e">
        <f>HLOOKUP(R3405,データについて!$J$12:$M$18,7,FALSE)</f>
        <v>#N/A</v>
      </c>
      <c r="Z3405" s="81" t="e">
        <f>HLOOKUP(I3405,データについて!$J$3:$M$18,16,FALSE)</f>
        <v>#N/A</v>
      </c>
      <c r="AA3405" s="81" t="str">
        <f>IFERROR(HLOOKUP(J3405,データについて!$J$4:$AH$19,16,FALSE),"")</f>
        <v/>
      </c>
      <c r="AB3405" s="81" t="str">
        <f>IFERROR(HLOOKUP(K3405,データについて!$J$5:$AH$20,14,FALSE),"")</f>
        <v/>
      </c>
      <c r="AC3405" s="81" t="e">
        <f>IF(X3405=1,HLOOKUP(R3405,データについて!$J$12:$M$18,7,FALSE),"*")</f>
        <v>#N/A</v>
      </c>
      <c r="AD3405" s="81" t="e">
        <f>IF(X3405=2,HLOOKUP(R3405,データについて!$J$12:$M$18,7,FALSE),"*")</f>
        <v>#N/A</v>
      </c>
    </row>
    <row r="3406" spans="19:30">
      <c r="S3406" s="81" t="e">
        <f>HLOOKUP(L3406,データについて!$J$6:$M$18,13,FALSE)</f>
        <v>#N/A</v>
      </c>
      <c r="T3406" s="81" t="e">
        <f>HLOOKUP(M3406,データについて!$J$7:$M$18,12,FALSE)</f>
        <v>#N/A</v>
      </c>
      <c r="U3406" s="81" t="e">
        <f>HLOOKUP(N3406,データについて!$J$8:$M$18,11,FALSE)</f>
        <v>#N/A</v>
      </c>
      <c r="V3406" s="81" t="e">
        <f>HLOOKUP(O3406,データについて!$J$9:$M$18,10,FALSE)</f>
        <v>#N/A</v>
      </c>
      <c r="W3406" s="81" t="e">
        <f>HLOOKUP(P3406,データについて!$J$10:$M$18,9,FALSE)</f>
        <v>#N/A</v>
      </c>
      <c r="X3406" s="81" t="e">
        <f>HLOOKUP(Q3406,データについて!$J$11:$M$18,8,FALSE)</f>
        <v>#N/A</v>
      </c>
      <c r="Y3406" s="81" t="e">
        <f>HLOOKUP(R3406,データについて!$J$12:$M$18,7,FALSE)</f>
        <v>#N/A</v>
      </c>
      <c r="Z3406" s="81" t="e">
        <f>HLOOKUP(I3406,データについて!$J$3:$M$18,16,FALSE)</f>
        <v>#N/A</v>
      </c>
      <c r="AA3406" s="81" t="str">
        <f>IFERROR(HLOOKUP(J3406,データについて!$J$4:$AH$19,16,FALSE),"")</f>
        <v/>
      </c>
      <c r="AB3406" s="81" t="str">
        <f>IFERROR(HLOOKUP(K3406,データについて!$J$5:$AH$20,14,FALSE),"")</f>
        <v/>
      </c>
      <c r="AC3406" s="81" t="e">
        <f>IF(X3406=1,HLOOKUP(R3406,データについて!$J$12:$M$18,7,FALSE),"*")</f>
        <v>#N/A</v>
      </c>
      <c r="AD3406" s="81" t="e">
        <f>IF(X3406=2,HLOOKUP(R3406,データについて!$J$12:$M$18,7,FALSE),"*")</f>
        <v>#N/A</v>
      </c>
    </row>
    <row r="3407" spans="19:30">
      <c r="S3407" s="81" t="e">
        <f>HLOOKUP(L3407,データについて!$J$6:$M$18,13,FALSE)</f>
        <v>#N/A</v>
      </c>
      <c r="T3407" s="81" t="e">
        <f>HLOOKUP(M3407,データについて!$J$7:$M$18,12,FALSE)</f>
        <v>#N/A</v>
      </c>
      <c r="U3407" s="81" t="e">
        <f>HLOOKUP(N3407,データについて!$J$8:$M$18,11,FALSE)</f>
        <v>#N/A</v>
      </c>
      <c r="V3407" s="81" t="e">
        <f>HLOOKUP(O3407,データについて!$J$9:$M$18,10,FALSE)</f>
        <v>#N/A</v>
      </c>
      <c r="W3407" s="81" t="e">
        <f>HLOOKUP(P3407,データについて!$J$10:$M$18,9,FALSE)</f>
        <v>#N/A</v>
      </c>
      <c r="X3407" s="81" t="e">
        <f>HLOOKUP(Q3407,データについて!$J$11:$M$18,8,FALSE)</f>
        <v>#N/A</v>
      </c>
      <c r="Y3407" s="81" t="e">
        <f>HLOOKUP(R3407,データについて!$J$12:$M$18,7,FALSE)</f>
        <v>#N/A</v>
      </c>
      <c r="Z3407" s="81" t="e">
        <f>HLOOKUP(I3407,データについて!$J$3:$M$18,16,FALSE)</f>
        <v>#N/A</v>
      </c>
      <c r="AA3407" s="81" t="str">
        <f>IFERROR(HLOOKUP(J3407,データについて!$J$4:$AH$19,16,FALSE),"")</f>
        <v/>
      </c>
      <c r="AB3407" s="81" t="str">
        <f>IFERROR(HLOOKUP(K3407,データについて!$J$5:$AH$20,14,FALSE),"")</f>
        <v/>
      </c>
      <c r="AC3407" s="81" t="e">
        <f>IF(X3407=1,HLOOKUP(R3407,データについて!$J$12:$M$18,7,FALSE),"*")</f>
        <v>#N/A</v>
      </c>
      <c r="AD3407" s="81" t="e">
        <f>IF(X3407=2,HLOOKUP(R3407,データについて!$J$12:$M$18,7,FALSE),"*")</f>
        <v>#N/A</v>
      </c>
    </row>
    <row r="3408" spans="19:30">
      <c r="S3408" s="81" t="e">
        <f>HLOOKUP(L3408,データについて!$J$6:$M$18,13,FALSE)</f>
        <v>#N/A</v>
      </c>
      <c r="T3408" s="81" t="e">
        <f>HLOOKUP(M3408,データについて!$J$7:$M$18,12,FALSE)</f>
        <v>#N/A</v>
      </c>
      <c r="U3408" s="81" t="e">
        <f>HLOOKUP(N3408,データについて!$J$8:$M$18,11,FALSE)</f>
        <v>#N/A</v>
      </c>
      <c r="V3408" s="81" t="e">
        <f>HLOOKUP(O3408,データについて!$J$9:$M$18,10,FALSE)</f>
        <v>#N/A</v>
      </c>
      <c r="W3408" s="81" t="e">
        <f>HLOOKUP(P3408,データについて!$J$10:$M$18,9,FALSE)</f>
        <v>#N/A</v>
      </c>
      <c r="X3408" s="81" t="e">
        <f>HLOOKUP(Q3408,データについて!$J$11:$M$18,8,FALSE)</f>
        <v>#N/A</v>
      </c>
      <c r="Y3408" s="81" t="e">
        <f>HLOOKUP(R3408,データについて!$J$12:$M$18,7,FALSE)</f>
        <v>#N/A</v>
      </c>
      <c r="Z3408" s="81" t="e">
        <f>HLOOKUP(I3408,データについて!$J$3:$M$18,16,FALSE)</f>
        <v>#N/A</v>
      </c>
      <c r="AA3408" s="81" t="str">
        <f>IFERROR(HLOOKUP(J3408,データについて!$J$4:$AH$19,16,FALSE),"")</f>
        <v/>
      </c>
      <c r="AB3408" s="81" t="str">
        <f>IFERROR(HLOOKUP(K3408,データについて!$J$5:$AH$20,14,FALSE),"")</f>
        <v/>
      </c>
      <c r="AC3408" s="81" t="e">
        <f>IF(X3408=1,HLOOKUP(R3408,データについて!$J$12:$M$18,7,FALSE),"*")</f>
        <v>#N/A</v>
      </c>
      <c r="AD3408" s="81" t="e">
        <f>IF(X3408=2,HLOOKUP(R3408,データについて!$J$12:$M$18,7,FALSE),"*")</f>
        <v>#N/A</v>
      </c>
    </row>
    <row r="3409" spans="19:30">
      <c r="S3409" s="81" t="e">
        <f>HLOOKUP(L3409,データについて!$J$6:$M$18,13,FALSE)</f>
        <v>#N/A</v>
      </c>
      <c r="T3409" s="81" t="e">
        <f>HLOOKUP(M3409,データについて!$J$7:$M$18,12,FALSE)</f>
        <v>#N/A</v>
      </c>
      <c r="U3409" s="81" t="e">
        <f>HLOOKUP(N3409,データについて!$J$8:$M$18,11,FALSE)</f>
        <v>#N/A</v>
      </c>
      <c r="V3409" s="81" t="e">
        <f>HLOOKUP(O3409,データについて!$J$9:$M$18,10,FALSE)</f>
        <v>#N/A</v>
      </c>
      <c r="W3409" s="81" t="e">
        <f>HLOOKUP(P3409,データについて!$J$10:$M$18,9,FALSE)</f>
        <v>#N/A</v>
      </c>
      <c r="X3409" s="81" t="e">
        <f>HLOOKUP(Q3409,データについて!$J$11:$M$18,8,FALSE)</f>
        <v>#N/A</v>
      </c>
      <c r="Y3409" s="81" t="e">
        <f>HLOOKUP(R3409,データについて!$J$12:$M$18,7,FALSE)</f>
        <v>#N/A</v>
      </c>
      <c r="Z3409" s="81" t="e">
        <f>HLOOKUP(I3409,データについて!$J$3:$M$18,16,FALSE)</f>
        <v>#N/A</v>
      </c>
      <c r="AA3409" s="81" t="str">
        <f>IFERROR(HLOOKUP(J3409,データについて!$J$4:$AH$19,16,FALSE),"")</f>
        <v/>
      </c>
      <c r="AB3409" s="81" t="str">
        <f>IFERROR(HLOOKUP(K3409,データについて!$J$5:$AH$20,14,FALSE),"")</f>
        <v/>
      </c>
      <c r="AC3409" s="81" t="e">
        <f>IF(X3409=1,HLOOKUP(R3409,データについて!$J$12:$M$18,7,FALSE),"*")</f>
        <v>#N/A</v>
      </c>
      <c r="AD3409" s="81" t="e">
        <f>IF(X3409=2,HLOOKUP(R3409,データについて!$J$12:$M$18,7,FALSE),"*")</f>
        <v>#N/A</v>
      </c>
    </row>
    <row r="3410" spans="19:30">
      <c r="S3410" s="81" t="e">
        <f>HLOOKUP(L3410,データについて!$J$6:$M$18,13,FALSE)</f>
        <v>#N/A</v>
      </c>
      <c r="T3410" s="81" t="e">
        <f>HLOOKUP(M3410,データについて!$J$7:$M$18,12,FALSE)</f>
        <v>#N/A</v>
      </c>
      <c r="U3410" s="81" t="e">
        <f>HLOOKUP(N3410,データについて!$J$8:$M$18,11,FALSE)</f>
        <v>#N/A</v>
      </c>
      <c r="V3410" s="81" t="e">
        <f>HLOOKUP(O3410,データについて!$J$9:$M$18,10,FALSE)</f>
        <v>#N/A</v>
      </c>
      <c r="W3410" s="81" t="e">
        <f>HLOOKUP(P3410,データについて!$J$10:$M$18,9,FALSE)</f>
        <v>#N/A</v>
      </c>
      <c r="X3410" s="81" t="e">
        <f>HLOOKUP(Q3410,データについて!$J$11:$M$18,8,FALSE)</f>
        <v>#N/A</v>
      </c>
      <c r="Y3410" s="81" t="e">
        <f>HLOOKUP(R3410,データについて!$J$12:$M$18,7,FALSE)</f>
        <v>#N/A</v>
      </c>
      <c r="Z3410" s="81" t="e">
        <f>HLOOKUP(I3410,データについて!$J$3:$M$18,16,FALSE)</f>
        <v>#N/A</v>
      </c>
      <c r="AA3410" s="81" t="str">
        <f>IFERROR(HLOOKUP(J3410,データについて!$J$4:$AH$19,16,FALSE),"")</f>
        <v/>
      </c>
      <c r="AB3410" s="81" t="str">
        <f>IFERROR(HLOOKUP(K3410,データについて!$J$5:$AH$20,14,FALSE),"")</f>
        <v/>
      </c>
      <c r="AC3410" s="81" t="e">
        <f>IF(X3410=1,HLOOKUP(R3410,データについて!$J$12:$M$18,7,FALSE),"*")</f>
        <v>#N/A</v>
      </c>
      <c r="AD3410" s="81" t="e">
        <f>IF(X3410=2,HLOOKUP(R3410,データについて!$J$12:$M$18,7,FALSE),"*")</f>
        <v>#N/A</v>
      </c>
    </row>
    <row r="3411" spans="19:30">
      <c r="S3411" s="81" t="e">
        <f>HLOOKUP(L3411,データについて!$J$6:$M$18,13,FALSE)</f>
        <v>#N/A</v>
      </c>
      <c r="T3411" s="81" t="e">
        <f>HLOOKUP(M3411,データについて!$J$7:$M$18,12,FALSE)</f>
        <v>#N/A</v>
      </c>
      <c r="U3411" s="81" t="e">
        <f>HLOOKUP(N3411,データについて!$J$8:$M$18,11,FALSE)</f>
        <v>#N/A</v>
      </c>
      <c r="V3411" s="81" t="e">
        <f>HLOOKUP(O3411,データについて!$J$9:$M$18,10,FALSE)</f>
        <v>#N/A</v>
      </c>
      <c r="W3411" s="81" t="e">
        <f>HLOOKUP(P3411,データについて!$J$10:$M$18,9,FALSE)</f>
        <v>#N/A</v>
      </c>
      <c r="X3411" s="81" t="e">
        <f>HLOOKUP(Q3411,データについて!$J$11:$M$18,8,FALSE)</f>
        <v>#N/A</v>
      </c>
      <c r="Y3411" s="81" t="e">
        <f>HLOOKUP(R3411,データについて!$J$12:$M$18,7,FALSE)</f>
        <v>#N/A</v>
      </c>
      <c r="Z3411" s="81" t="e">
        <f>HLOOKUP(I3411,データについて!$J$3:$M$18,16,FALSE)</f>
        <v>#N/A</v>
      </c>
      <c r="AA3411" s="81" t="str">
        <f>IFERROR(HLOOKUP(J3411,データについて!$J$4:$AH$19,16,FALSE),"")</f>
        <v/>
      </c>
      <c r="AB3411" s="81" t="str">
        <f>IFERROR(HLOOKUP(K3411,データについて!$J$5:$AH$20,14,FALSE),"")</f>
        <v/>
      </c>
      <c r="AC3411" s="81" t="e">
        <f>IF(X3411=1,HLOOKUP(R3411,データについて!$J$12:$M$18,7,FALSE),"*")</f>
        <v>#N/A</v>
      </c>
      <c r="AD3411" s="81" t="e">
        <f>IF(X3411=2,HLOOKUP(R3411,データについて!$J$12:$M$18,7,FALSE),"*")</f>
        <v>#N/A</v>
      </c>
    </row>
    <row r="3412" spans="19:30">
      <c r="S3412" s="81" t="e">
        <f>HLOOKUP(L3412,データについて!$J$6:$M$18,13,FALSE)</f>
        <v>#N/A</v>
      </c>
      <c r="T3412" s="81" t="e">
        <f>HLOOKUP(M3412,データについて!$J$7:$M$18,12,FALSE)</f>
        <v>#N/A</v>
      </c>
      <c r="U3412" s="81" t="e">
        <f>HLOOKUP(N3412,データについて!$J$8:$M$18,11,FALSE)</f>
        <v>#N/A</v>
      </c>
      <c r="V3412" s="81" t="e">
        <f>HLOOKUP(O3412,データについて!$J$9:$M$18,10,FALSE)</f>
        <v>#N/A</v>
      </c>
      <c r="W3412" s="81" t="e">
        <f>HLOOKUP(P3412,データについて!$J$10:$M$18,9,FALSE)</f>
        <v>#N/A</v>
      </c>
      <c r="X3412" s="81" t="e">
        <f>HLOOKUP(Q3412,データについて!$J$11:$M$18,8,FALSE)</f>
        <v>#N/A</v>
      </c>
      <c r="Y3412" s="81" t="e">
        <f>HLOOKUP(R3412,データについて!$J$12:$M$18,7,FALSE)</f>
        <v>#N/A</v>
      </c>
      <c r="Z3412" s="81" t="e">
        <f>HLOOKUP(I3412,データについて!$J$3:$M$18,16,FALSE)</f>
        <v>#N/A</v>
      </c>
      <c r="AA3412" s="81" t="str">
        <f>IFERROR(HLOOKUP(J3412,データについて!$J$4:$AH$19,16,FALSE),"")</f>
        <v/>
      </c>
      <c r="AB3412" s="81" t="str">
        <f>IFERROR(HLOOKUP(K3412,データについて!$J$5:$AH$20,14,FALSE),"")</f>
        <v/>
      </c>
      <c r="AC3412" s="81" t="e">
        <f>IF(X3412=1,HLOOKUP(R3412,データについて!$J$12:$M$18,7,FALSE),"*")</f>
        <v>#N/A</v>
      </c>
      <c r="AD3412" s="81" t="e">
        <f>IF(X3412=2,HLOOKUP(R3412,データについて!$J$12:$M$18,7,FALSE),"*")</f>
        <v>#N/A</v>
      </c>
    </row>
    <row r="3413" spans="19:30">
      <c r="S3413" s="81" t="e">
        <f>HLOOKUP(L3413,データについて!$J$6:$M$18,13,FALSE)</f>
        <v>#N/A</v>
      </c>
      <c r="T3413" s="81" t="e">
        <f>HLOOKUP(M3413,データについて!$J$7:$M$18,12,FALSE)</f>
        <v>#N/A</v>
      </c>
      <c r="U3413" s="81" t="e">
        <f>HLOOKUP(N3413,データについて!$J$8:$M$18,11,FALSE)</f>
        <v>#N/A</v>
      </c>
      <c r="V3413" s="81" t="e">
        <f>HLOOKUP(O3413,データについて!$J$9:$M$18,10,FALSE)</f>
        <v>#N/A</v>
      </c>
      <c r="W3413" s="81" t="e">
        <f>HLOOKUP(P3413,データについて!$J$10:$M$18,9,FALSE)</f>
        <v>#N/A</v>
      </c>
      <c r="X3413" s="81" t="e">
        <f>HLOOKUP(Q3413,データについて!$J$11:$M$18,8,FALSE)</f>
        <v>#N/A</v>
      </c>
      <c r="Y3413" s="81" t="e">
        <f>HLOOKUP(R3413,データについて!$J$12:$M$18,7,FALSE)</f>
        <v>#N/A</v>
      </c>
      <c r="Z3413" s="81" t="e">
        <f>HLOOKUP(I3413,データについて!$J$3:$M$18,16,FALSE)</f>
        <v>#N/A</v>
      </c>
      <c r="AA3413" s="81" t="str">
        <f>IFERROR(HLOOKUP(J3413,データについて!$J$4:$AH$19,16,FALSE),"")</f>
        <v/>
      </c>
      <c r="AB3413" s="81" t="str">
        <f>IFERROR(HLOOKUP(K3413,データについて!$J$5:$AH$20,14,FALSE),"")</f>
        <v/>
      </c>
      <c r="AC3413" s="81" t="e">
        <f>IF(X3413=1,HLOOKUP(R3413,データについて!$J$12:$M$18,7,FALSE),"*")</f>
        <v>#N/A</v>
      </c>
      <c r="AD3413" s="81" t="e">
        <f>IF(X3413=2,HLOOKUP(R3413,データについて!$J$12:$M$18,7,FALSE),"*")</f>
        <v>#N/A</v>
      </c>
    </row>
    <row r="3414" spans="19:30">
      <c r="S3414" s="81" t="e">
        <f>HLOOKUP(L3414,データについて!$J$6:$M$18,13,FALSE)</f>
        <v>#N/A</v>
      </c>
      <c r="T3414" s="81" t="e">
        <f>HLOOKUP(M3414,データについて!$J$7:$M$18,12,FALSE)</f>
        <v>#N/A</v>
      </c>
      <c r="U3414" s="81" t="e">
        <f>HLOOKUP(N3414,データについて!$J$8:$M$18,11,FALSE)</f>
        <v>#N/A</v>
      </c>
      <c r="V3414" s="81" t="e">
        <f>HLOOKUP(O3414,データについて!$J$9:$M$18,10,FALSE)</f>
        <v>#N/A</v>
      </c>
      <c r="W3414" s="81" t="e">
        <f>HLOOKUP(P3414,データについて!$J$10:$M$18,9,FALSE)</f>
        <v>#N/A</v>
      </c>
      <c r="X3414" s="81" t="e">
        <f>HLOOKUP(Q3414,データについて!$J$11:$M$18,8,FALSE)</f>
        <v>#N/A</v>
      </c>
      <c r="Y3414" s="81" t="e">
        <f>HLOOKUP(R3414,データについて!$J$12:$M$18,7,FALSE)</f>
        <v>#N/A</v>
      </c>
      <c r="Z3414" s="81" t="e">
        <f>HLOOKUP(I3414,データについて!$J$3:$M$18,16,FALSE)</f>
        <v>#N/A</v>
      </c>
      <c r="AA3414" s="81" t="str">
        <f>IFERROR(HLOOKUP(J3414,データについて!$J$4:$AH$19,16,FALSE),"")</f>
        <v/>
      </c>
      <c r="AB3414" s="81" t="str">
        <f>IFERROR(HLOOKUP(K3414,データについて!$J$5:$AH$20,14,FALSE),"")</f>
        <v/>
      </c>
      <c r="AC3414" s="81" t="e">
        <f>IF(X3414=1,HLOOKUP(R3414,データについて!$J$12:$M$18,7,FALSE),"*")</f>
        <v>#N/A</v>
      </c>
      <c r="AD3414" s="81" t="e">
        <f>IF(X3414=2,HLOOKUP(R3414,データについて!$J$12:$M$18,7,FALSE),"*")</f>
        <v>#N/A</v>
      </c>
    </row>
    <row r="3415" spans="19:30">
      <c r="S3415" s="81" t="e">
        <f>HLOOKUP(L3415,データについて!$J$6:$M$18,13,FALSE)</f>
        <v>#N/A</v>
      </c>
      <c r="T3415" s="81" t="e">
        <f>HLOOKUP(M3415,データについて!$J$7:$M$18,12,FALSE)</f>
        <v>#N/A</v>
      </c>
      <c r="U3415" s="81" t="e">
        <f>HLOOKUP(N3415,データについて!$J$8:$M$18,11,FALSE)</f>
        <v>#N/A</v>
      </c>
      <c r="V3415" s="81" t="e">
        <f>HLOOKUP(O3415,データについて!$J$9:$M$18,10,FALSE)</f>
        <v>#N/A</v>
      </c>
      <c r="W3415" s="81" t="e">
        <f>HLOOKUP(P3415,データについて!$J$10:$M$18,9,FALSE)</f>
        <v>#N/A</v>
      </c>
      <c r="X3415" s="81" t="e">
        <f>HLOOKUP(Q3415,データについて!$J$11:$M$18,8,FALSE)</f>
        <v>#N/A</v>
      </c>
      <c r="Y3415" s="81" t="e">
        <f>HLOOKUP(R3415,データについて!$J$12:$M$18,7,FALSE)</f>
        <v>#N/A</v>
      </c>
      <c r="Z3415" s="81" t="e">
        <f>HLOOKUP(I3415,データについて!$J$3:$M$18,16,FALSE)</f>
        <v>#N/A</v>
      </c>
      <c r="AA3415" s="81" t="str">
        <f>IFERROR(HLOOKUP(J3415,データについて!$J$4:$AH$19,16,FALSE),"")</f>
        <v/>
      </c>
      <c r="AB3415" s="81" t="str">
        <f>IFERROR(HLOOKUP(K3415,データについて!$J$5:$AH$20,14,FALSE),"")</f>
        <v/>
      </c>
      <c r="AC3415" s="81" t="e">
        <f>IF(X3415=1,HLOOKUP(R3415,データについて!$J$12:$M$18,7,FALSE),"*")</f>
        <v>#N/A</v>
      </c>
      <c r="AD3415" s="81" t="e">
        <f>IF(X3415=2,HLOOKUP(R3415,データについて!$J$12:$M$18,7,FALSE),"*")</f>
        <v>#N/A</v>
      </c>
    </row>
    <row r="3416" spans="19:30">
      <c r="S3416" s="81" t="e">
        <f>HLOOKUP(L3416,データについて!$J$6:$M$18,13,FALSE)</f>
        <v>#N/A</v>
      </c>
      <c r="T3416" s="81" t="e">
        <f>HLOOKUP(M3416,データについて!$J$7:$M$18,12,FALSE)</f>
        <v>#N/A</v>
      </c>
      <c r="U3416" s="81" t="e">
        <f>HLOOKUP(N3416,データについて!$J$8:$M$18,11,FALSE)</f>
        <v>#N/A</v>
      </c>
      <c r="V3416" s="81" t="e">
        <f>HLOOKUP(O3416,データについて!$J$9:$M$18,10,FALSE)</f>
        <v>#N/A</v>
      </c>
      <c r="W3416" s="81" t="e">
        <f>HLOOKUP(P3416,データについて!$J$10:$M$18,9,FALSE)</f>
        <v>#N/A</v>
      </c>
      <c r="X3416" s="81" t="e">
        <f>HLOOKUP(Q3416,データについて!$J$11:$M$18,8,FALSE)</f>
        <v>#N/A</v>
      </c>
      <c r="Y3416" s="81" t="e">
        <f>HLOOKUP(R3416,データについて!$J$12:$M$18,7,FALSE)</f>
        <v>#N/A</v>
      </c>
      <c r="Z3416" s="81" t="e">
        <f>HLOOKUP(I3416,データについて!$J$3:$M$18,16,FALSE)</f>
        <v>#N/A</v>
      </c>
      <c r="AA3416" s="81" t="str">
        <f>IFERROR(HLOOKUP(J3416,データについて!$J$4:$AH$19,16,FALSE),"")</f>
        <v/>
      </c>
      <c r="AB3416" s="81" t="str">
        <f>IFERROR(HLOOKUP(K3416,データについて!$J$5:$AH$20,14,FALSE),"")</f>
        <v/>
      </c>
      <c r="AC3416" s="81" t="e">
        <f>IF(X3416=1,HLOOKUP(R3416,データについて!$J$12:$M$18,7,FALSE),"*")</f>
        <v>#N/A</v>
      </c>
      <c r="AD3416" s="81" t="e">
        <f>IF(X3416=2,HLOOKUP(R3416,データについて!$J$12:$M$18,7,FALSE),"*")</f>
        <v>#N/A</v>
      </c>
    </row>
    <row r="3417" spans="19:30">
      <c r="S3417" s="81" t="e">
        <f>HLOOKUP(L3417,データについて!$J$6:$M$18,13,FALSE)</f>
        <v>#N/A</v>
      </c>
      <c r="T3417" s="81" t="e">
        <f>HLOOKUP(M3417,データについて!$J$7:$M$18,12,FALSE)</f>
        <v>#N/A</v>
      </c>
      <c r="U3417" s="81" t="e">
        <f>HLOOKUP(N3417,データについて!$J$8:$M$18,11,FALSE)</f>
        <v>#N/A</v>
      </c>
      <c r="V3417" s="81" t="e">
        <f>HLOOKUP(O3417,データについて!$J$9:$M$18,10,FALSE)</f>
        <v>#N/A</v>
      </c>
      <c r="W3417" s="81" t="e">
        <f>HLOOKUP(P3417,データについて!$J$10:$M$18,9,FALSE)</f>
        <v>#N/A</v>
      </c>
      <c r="X3417" s="81" t="e">
        <f>HLOOKUP(Q3417,データについて!$J$11:$M$18,8,FALSE)</f>
        <v>#N/A</v>
      </c>
      <c r="Y3417" s="81" t="e">
        <f>HLOOKUP(R3417,データについて!$J$12:$M$18,7,FALSE)</f>
        <v>#N/A</v>
      </c>
      <c r="Z3417" s="81" t="e">
        <f>HLOOKUP(I3417,データについて!$J$3:$M$18,16,FALSE)</f>
        <v>#N/A</v>
      </c>
      <c r="AA3417" s="81" t="str">
        <f>IFERROR(HLOOKUP(J3417,データについて!$J$4:$AH$19,16,FALSE),"")</f>
        <v/>
      </c>
      <c r="AB3417" s="81" t="str">
        <f>IFERROR(HLOOKUP(K3417,データについて!$J$5:$AH$20,14,FALSE),"")</f>
        <v/>
      </c>
      <c r="AC3417" s="81" t="e">
        <f>IF(X3417=1,HLOOKUP(R3417,データについて!$J$12:$M$18,7,FALSE),"*")</f>
        <v>#N/A</v>
      </c>
      <c r="AD3417" s="81" t="e">
        <f>IF(X3417=2,HLOOKUP(R3417,データについて!$J$12:$M$18,7,FALSE),"*")</f>
        <v>#N/A</v>
      </c>
    </row>
    <row r="3418" spans="19:30">
      <c r="S3418" s="81" t="e">
        <f>HLOOKUP(L3418,データについて!$J$6:$M$18,13,FALSE)</f>
        <v>#N/A</v>
      </c>
      <c r="T3418" s="81" t="e">
        <f>HLOOKUP(M3418,データについて!$J$7:$M$18,12,FALSE)</f>
        <v>#N/A</v>
      </c>
      <c r="U3418" s="81" t="e">
        <f>HLOOKUP(N3418,データについて!$J$8:$M$18,11,FALSE)</f>
        <v>#N/A</v>
      </c>
      <c r="V3418" s="81" t="e">
        <f>HLOOKUP(O3418,データについて!$J$9:$M$18,10,FALSE)</f>
        <v>#N/A</v>
      </c>
      <c r="W3418" s="81" t="e">
        <f>HLOOKUP(P3418,データについて!$J$10:$M$18,9,FALSE)</f>
        <v>#N/A</v>
      </c>
      <c r="X3418" s="81" t="e">
        <f>HLOOKUP(Q3418,データについて!$J$11:$M$18,8,FALSE)</f>
        <v>#N/A</v>
      </c>
      <c r="Y3418" s="81" t="e">
        <f>HLOOKUP(R3418,データについて!$J$12:$M$18,7,FALSE)</f>
        <v>#N/A</v>
      </c>
      <c r="Z3418" s="81" t="e">
        <f>HLOOKUP(I3418,データについて!$J$3:$M$18,16,FALSE)</f>
        <v>#N/A</v>
      </c>
      <c r="AA3418" s="81" t="str">
        <f>IFERROR(HLOOKUP(J3418,データについて!$J$4:$AH$19,16,FALSE),"")</f>
        <v/>
      </c>
      <c r="AB3418" s="81" t="str">
        <f>IFERROR(HLOOKUP(K3418,データについて!$J$5:$AH$20,14,FALSE),"")</f>
        <v/>
      </c>
      <c r="AC3418" s="81" t="e">
        <f>IF(X3418=1,HLOOKUP(R3418,データについて!$J$12:$M$18,7,FALSE),"*")</f>
        <v>#N/A</v>
      </c>
      <c r="AD3418" s="81" t="e">
        <f>IF(X3418=2,HLOOKUP(R3418,データについて!$J$12:$M$18,7,FALSE),"*")</f>
        <v>#N/A</v>
      </c>
    </row>
    <row r="3419" spans="19:30">
      <c r="S3419" s="81" t="e">
        <f>HLOOKUP(L3419,データについて!$J$6:$M$18,13,FALSE)</f>
        <v>#N/A</v>
      </c>
      <c r="T3419" s="81" t="e">
        <f>HLOOKUP(M3419,データについて!$J$7:$M$18,12,FALSE)</f>
        <v>#N/A</v>
      </c>
      <c r="U3419" s="81" t="e">
        <f>HLOOKUP(N3419,データについて!$J$8:$M$18,11,FALSE)</f>
        <v>#N/A</v>
      </c>
      <c r="V3419" s="81" t="e">
        <f>HLOOKUP(O3419,データについて!$J$9:$M$18,10,FALSE)</f>
        <v>#N/A</v>
      </c>
      <c r="W3419" s="81" t="e">
        <f>HLOOKUP(P3419,データについて!$J$10:$M$18,9,FALSE)</f>
        <v>#N/A</v>
      </c>
      <c r="X3419" s="81" t="e">
        <f>HLOOKUP(Q3419,データについて!$J$11:$M$18,8,FALSE)</f>
        <v>#N/A</v>
      </c>
      <c r="Y3419" s="81" t="e">
        <f>HLOOKUP(R3419,データについて!$J$12:$M$18,7,FALSE)</f>
        <v>#N/A</v>
      </c>
      <c r="Z3419" s="81" t="e">
        <f>HLOOKUP(I3419,データについて!$J$3:$M$18,16,FALSE)</f>
        <v>#N/A</v>
      </c>
      <c r="AA3419" s="81" t="str">
        <f>IFERROR(HLOOKUP(J3419,データについて!$J$4:$AH$19,16,FALSE),"")</f>
        <v/>
      </c>
      <c r="AB3419" s="81" t="str">
        <f>IFERROR(HLOOKUP(K3419,データについて!$J$5:$AH$20,14,FALSE),"")</f>
        <v/>
      </c>
      <c r="AC3419" s="81" t="e">
        <f>IF(X3419=1,HLOOKUP(R3419,データについて!$J$12:$M$18,7,FALSE),"*")</f>
        <v>#N/A</v>
      </c>
      <c r="AD3419" s="81" t="e">
        <f>IF(X3419=2,HLOOKUP(R3419,データについて!$J$12:$M$18,7,FALSE),"*")</f>
        <v>#N/A</v>
      </c>
    </row>
    <row r="3420" spans="19:30">
      <c r="S3420" s="81" t="e">
        <f>HLOOKUP(L3420,データについて!$J$6:$M$18,13,FALSE)</f>
        <v>#N/A</v>
      </c>
      <c r="T3420" s="81" t="e">
        <f>HLOOKUP(M3420,データについて!$J$7:$M$18,12,FALSE)</f>
        <v>#N/A</v>
      </c>
      <c r="U3420" s="81" t="e">
        <f>HLOOKUP(N3420,データについて!$J$8:$M$18,11,FALSE)</f>
        <v>#N/A</v>
      </c>
      <c r="V3420" s="81" t="e">
        <f>HLOOKUP(O3420,データについて!$J$9:$M$18,10,FALSE)</f>
        <v>#N/A</v>
      </c>
      <c r="W3420" s="81" t="e">
        <f>HLOOKUP(P3420,データについて!$J$10:$M$18,9,FALSE)</f>
        <v>#N/A</v>
      </c>
      <c r="X3420" s="81" t="e">
        <f>HLOOKUP(Q3420,データについて!$J$11:$M$18,8,FALSE)</f>
        <v>#N/A</v>
      </c>
      <c r="Y3420" s="81" t="e">
        <f>HLOOKUP(R3420,データについて!$J$12:$M$18,7,FALSE)</f>
        <v>#N/A</v>
      </c>
      <c r="Z3420" s="81" t="e">
        <f>HLOOKUP(I3420,データについて!$J$3:$M$18,16,FALSE)</f>
        <v>#N/A</v>
      </c>
      <c r="AA3420" s="81" t="str">
        <f>IFERROR(HLOOKUP(J3420,データについて!$J$4:$AH$19,16,FALSE),"")</f>
        <v/>
      </c>
      <c r="AB3420" s="81" t="str">
        <f>IFERROR(HLOOKUP(K3420,データについて!$J$5:$AH$20,14,FALSE),"")</f>
        <v/>
      </c>
      <c r="AC3420" s="81" t="e">
        <f>IF(X3420=1,HLOOKUP(R3420,データについて!$J$12:$M$18,7,FALSE),"*")</f>
        <v>#N/A</v>
      </c>
      <c r="AD3420" s="81" t="e">
        <f>IF(X3420=2,HLOOKUP(R3420,データについて!$J$12:$M$18,7,FALSE),"*")</f>
        <v>#N/A</v>
      </c>
    </row>
    <row r="3421" spans="19:30">
      <c r="S3421" s="81" t="e">
        <f>HLOOKUP(L3421,データについて!$J$6:$M$18,13,FALSE)</f>
        <v>#N/A</v>
      </c>
      <c r="T3421" s="81" t="e">
        <f>HLOOKUP(M3421,データについて!$J$7:$M$18,12,FALSE)</f>
        <v>#N/A</v>
      </c>
      <c r="U3421" s="81" t="e">
        <f>HLOOKUP(N3421,データについて!$J$8:$M$18,11,FALSE)</f>
        <v>#N/A</v>
      </c>
      <c r="V3421" s="81" t="e">
        <f>HLOOKUP(O3421,データについて!$J$9:$M$18,10,FALSE)</f>
        <v>#N/A</v>
      </c>
      <c r="W3421" s="81" t="e">
        <f>HLOOKUP(P3421,データについて!$J$10:$M$18,9,FALSE)</f>
        <v>#N/A</v>
      </c>
      <c r="X3421" s="81" t="e">
        <f>HLOOKUP(Q3421,データについて!$J$11:$M$18,8,FALSE)</f>
        <v>#N/A</v>
      </c>
      <c r="Y3421" s="81" t="e">
        <f>HLOOKUP(R3421,データについて!$J$12:$M$18,7,FALSE)</f>
        <v>#N/A</v>
      </c>
      <c r="Z3421" s="81" t="e">
        <f>HLOOKUP(I3421,データについて!$J$3:$M$18,16,FALSE)</f>
        <v>#N/A</v>
      </c>
      <c r="AA3421" s="81" t="str">
        <f>IFERROR(HLOOKUP(J3421,データについて!$J$4:$AH$19,16,FALSE),"")</f>
        <v/>
      </c>
      <c r="AB3421" s="81" t="str">
        <f>IFERROR(HLOOKUP(K3421,データについて!$J$5:$AH$20,14,FALSE),"")</f>
        <v/>
      </c>
      <c r="AC3421" s="81" t="e">
        <f>IF(X3421=1,HLOOKUP(R3421,データについて!$J$12:$M$18,7,FALSE),"*")</f>
        <v>#N/A</v>
      </c>
      <c r="AD3421" s="81" t="e">
        <f>IF(X3421=2,HLOOKUP(R3421,データについて!$J$12:$M$18,7,FALSE),"*")</f>
        <v>#N/A</v>
      </c>
    </row>
    <row r="3422" spans="19:30">
      <c r="S3422" s="81" t="e">
        <f>HLOOKUP(L3422,データについて!$J$6:$M$18,13,FALSE)</f>
        <v>#N/A</v>
      </c>
      <c r="T3422" s="81" t="e">
        <f>HLOOKUP(M3422,データについて!$J$7:$M$18,12,FALSE)</f>
        <v>#N/A</v>
      </c>
      <c r="U3422" s="81" t="e">
        <f>HLOOKUP(N3422,データについて!$J$8:$M$18,11,FALSE)</f>
        <v>#N/A</v>
      </c>
      <c r="V3422" s="81" t="e">
        <f>HLOOKUP(O3422,データについて!$J$9:$M$18,10,FALSE)</f>
        <v>#N/A</v>
      </c>
      <c r="W3422" s="81" t="e">
        <f>HLOOKUP(P3422,データについて!$J$10:$M$18,9,FALSE)</f>
        <v>#N/A</v>
      </c>
      <c r="X3422" s="81" t="e">
        <f>HLOOKUP(Q3422,データについて!$J$11:$M$18,8,FALSE)</f>
        <v>#N/A</v>
      </c>
      <c r="Y3422" s="81" t="e">
        <f>HLOOKUP(R3422,データについて!$J$12:$M$18,7,FALSE)</f>
        <v>#N/A</v>
      </c>
      <c r="Z3422" s="81" t="e">
        <f>HLOOKUP(I3422,データについて!$J$3:$M$18,16,FALSE)</f>
        <v>#N/A</v>
      </c>
      <c r="AA3422" s="81" t="str">
        <f>IFERROR(HLOOKUP(J3422,データについて!$J$4:$AH$19,16,FALSE),"")</f>
        <v/>
      </c>
      <c r="AB3422" s="81" t="str">
        <f>IFERROR(HLOOKUP(K3422,データについて!$J$5:$AH$20,14,FALSE),"")</f>
        <v/>
      </c>
      <c r="AC3422" s="81" t="e">
        <f>IF(X3422=1,HLOOKUP(R3422,データについて!$J$12:$M$18,7,FALSE),"*")</f>
        <v>#N/A</v>
      </c>
      <c r="AD3422" s="81" t="e">
        <f>IF(X3422=2,HLOOKUP(R3422,データについて!$J$12:$M$18,7,FALSE),"*")</f>
        <v>#N/A</v>
      </c>
    </row>
    <row r="3423" spans="19:30">
      <c r="S3423" s="81" t="e">
        <f>HLOOKUP(L3423,データについて!$J$6:$M$18,13,FALSE)</f>
        <v>#N/A</v>
      </c>
      <c r="T3423" s="81" t="e">
        <f>HLOOKUP(M3423,データについて!$J$7:$M$18,12,FALSE)</f>
        <v>#N/A</v>
      </c>
      <c r="U3423" s="81" t="e">
        <f>HLOOKUP(N3423,データについて!$J$8:$M$18,11,FALSE)</f>
        <v>#N/A</v>
      </c>
      <c r="V3423" s="81" t="e">
        <f>HLOOKUP(O3423,データについて!$J$9:$M$18,10,FALSE)</f>
        <v>#N/A</v>
      </c>
      <c r="W3423" s="81" t="e">
        <f>HLOOKUP(P3423,データについて!$J$10:$M$18,9,FALSE)</f>
        <v>#N/A</v>
      </c>
      <c r="X3423" s="81" t="e">
        <f>HLOOKUP(Q3423,データについて!$J$11:$M$18,8,FALSE)</f>
        <v>#N/A</v>
      </c>
      <c r="Y3423" s="81" t="e">
        <f>HLOOKUP(R3423,データについて!$J$12:$M$18,7,FALSE)</f>
        <v>#N/A</v>
      </c>
      <c r="Z3423" s="81" t="e">
        <f>HLOOKUP(I3423,データについて!$J$3:$M$18,16,FALSE)</f>
        <v>#N/A</v>
      </c>
      <c r="AA3423" s="81" t="str">
        <f>IFERROR(HLOOKUP(J3423,データについて!$J$4:$AH$19,16,FALSE),"")</f>
        <v/>
      </c>
      <c r="AB3423" s="81" t="str">
        <f>IFERROR(HLOOKUP(K3423,データについて!$J$5:$AH$20,14,FALSE),"")</f>
        <v/>
      </c>
      <c r="AC3423" s="81" t="e">
        <f>IF(X3423=1,HLOOKUP(R3423,データについて!$J$12:$M$18,7,FALSE),"*")</f>
        <v>#N/A</v>
      </c>
      <c r="AD3423" s="81" t="e">
        <f>IF(X3423=2,HLOOKUP(R3423,データについて!$J$12:$M$18,7,FALSE),"*")</f>
        <v>#N/A</v>
      </c>
    </row>
    <row r="3424" spans="19:30">
      <c r="S3424" s="81" t="e">
        <f>HLOOKUP(L3424,データについて!$J$6:$M$18,13,FALSE)</f>
        <v>#N/A</v>
      </c>
      <c r="T3424" s="81" t="e">
        <f>HLOOKUP(M3424,データについて!$J$7:$M$18,12,FALSE)</f>
        <v>#N/A</v>
      </c>
      <c r="U3424" s="81" t="e">
        <f>HLOOKUP(N3424,データについて!$J$8:$M$18,11,FALSE)</f>
        <v>#N/A</v>
      </c>
      <c r="V3424" s="81" t="e">
        <f>HLOOKUP(O3424,データについて!$J$9:$M$18,10,FALSE)</f>
        <v>#N/A</v>
      </c>
      <c r="W3424" s="81" t="e">
        <f>HLOOKUP(P3424,データについて!$J$10:$M$18,9,FALSE)</f>
        <v>#N/A</v>
      </c>
      <c r="X3424" s="81" t="e">
        <f>HLOOKUP(Q3424,データについて!$J$11:$M$18,8,FALSE)</f>
        <v>#N/A</v>
      </c>
      <c r="Y3424" s="81" t="e">
        <f>HLOOKUP(R3424,データについて!$J$12:$M$18,7,FALSE)</f>
        <v>#N/A</v>
      </c>
      <c r="Z3424" s="81" t="e">
        <f>HLOOKUP(I3424,データについて!$J$3:$M$18,16,FALSE)</f>
        <v>#N/A</v>
      </c>
      <c r="AA3424" s="81" t="str">
        <f>IFERROR(HLOOKUP(J3424,データについて!$J$4:$AH$19,16,FALSE),"")</f>
        <v/>
      </c>
      <c r="AB3424" s="81" t="str">
        <f>IFERROR(HLOOKUP(K3424,データについて!$J$5:$AH$20,14,FALSE),"")</f>
        <v/>
      </c>
      <c r="AC3424" s="81" t="e">
        <f>IF(X3424=1,HLOOKUP(R3424,データについて!$J$12:$M$18,7,FALSE),"*")</f>
        <v>#N/A</v>
      </c>
      <c r="AD3424" s="81" t="e">
        <f>IF(X3424=2,HLOOKUP(R3424,データについて!$J$12:$M$18,7,FALSE),"*")</f>
        <v>#N/A</v>
      </c>
    </row>
    <row r="3425" spans="19:30">
      <c r="S3425" s="81" t="e">
        <f>HLOOKUP(L3425,データについて!$J$6:$M$18,13,FALSE)</f>
        <v>#N/A</v>
      </c>
      <c r="T3425" s="81" t="e">
        <f>HLOOKUP(M3425,データについて!$J$7:$M$18,12,FALSE)</f>
        <v>#N/A</v>
      </c>
      <c r="U3425" s="81" t="e">
        <f>HLOOKUP(N3425,データについて!$J$8:$M$18,11,FALSE)</f>
        <v>#N/A</v>
      </c>
      <c r="V3425" s="81" t="e">
        <f>HLOOKUP(O3425,データについて!$J$9:$M$18,10,FALSE)</f>
        <v>#N/A</v>
      </c>
      <c r="W3425" s="81" t="e">
        <f>HLOOKUP(P3425,データについて!$J$10:$M$18,9,FALSE)</f>
        <v>#N/A</v>
      </c>
      <c r="X3425" s="81" t="e">
        <f>HLOOKUP(Q3425,データについて!$J$11:$M$18,8,FALSE)</f>
        <v>#N/A</v>
      </c>
      <c r="Y3425" s="81" t="e">
        <f>HLOOKUP(R3425,データについて!$J$12:$M$18,7,FALSE)</f>
        <v>#N/A</v>
      </c>
      <c r="Z3425" s="81" t="e">
        <f>HLOOKUP(I3425,データについて!$J$3:$M$18,16,FALSE)</f>
        <v>#N/A</v>
      </c>
      <c r="AA3425" s="81" t="str">
        <f>IFERROR(HLOOKUP(J3425,データについて!$J$4:$AH$19,16,FALSE),"")</f>
        <v/>
      </c>
      <c r="AB3425" s="81" t="str">
        <f>IFERROR(HLOOKUP(K3425,データについて!$J$5:$AH$20,14,FALSE),"")</f>
        <v/>
      </c>
      <c r="AC3425" s="81" t="e">
        <f>IF(X3425=1,HLOOKUP(R3425,データについて!$J$12:$M$18,7,FALSE),"*")</f>
        <v>#N/A</v>
      </c>
      <c r="AD3425" s="81" t="e">
        <f>IF(X3425=2,HLOOKUP(R3425,データについて!$J$12:$M$18,7,FALSE),"*")</f>
        <v>#N/A</v>
      </c>
    </row>
    <row r="3426" spans="19:30">
      <c r="S3426" s="81" t="e">
        <f>HLOOKUP(L3426,データについて!$J$6:$M$18,13,FALSE)</f>
        <v>#N/A</v>
      </c>
      <c r="T3426" s="81" t="e">
        <f>HLOOKUP(M3426,データについて!$J$7:$M$18,12,FALSE)</f>
        <v>#N/A</v>
      </c>
      <c r="U3426" s="81" t="e">
        <f>HLOOKUP(N3426,データについて!$J$8:$M$18,11,FALSE)</f>
        <v>#N/A</v>
      </c>
      <c r="V3426" s="81" t="e">
        <f>HLOOKUP(O3426,データについて!$J$9:$M$18,10,FALSE)</f>
        <v>#N/A</v>
      </c>
      <c r="W3426" s="81" t="e">
        <f>HLOOKUP(P3426,データについて!$J$10:$M$18,9,FALSE)</f>
        <v>#N/A</v>
      </c>
      <c r="X3426" s="81" t="e">
        <f>HLOOKUP(Q3426,データについて!$J$11:$M$18,8,FALSE)</f>
        <v>#N/A</v>
      </c>
      <c r="Y3426" s="81" t="e">
        <f>HLOOKUP(R3426,データについて!$J$12:$M$18,7,FALSE)</f>
        <v>#N/A</v>
      </c>
      <c r="Z3426" s="81" t="e">
        <f>HLOOKUP(I3426,データについて!$J$3:$M$18,16,FALSE)</f>
        <v>#N/A</v>
      </c>
      <c r="AA3426" s="81" t="str">
        <f>IFERROR(HLOOKUP(J3426,データについて!$J$4:$AH$19,16,FALSE),"")</f>
        <v/>
      </c>
      <c r="AB3426" s="81" t="str">
        <f>IFERROR(HLOOKUP(K3426,データについて!$J$5:$AH$20,14,FALSE),"")</f>
        <v/>
      </c>
      <c r="AC3426" s="81" t="e">
        <f>IF(X3426=1,HLOOKUP(R3426,データについて!$J$12:$M$18,7,FALSE),"*")</f>
        <v>#N/A</v>
      </c>
      <c r="AD3426" s="81" t="e">
        <f>IF(X3426=2,HLOOKUP(R3426,データについて!$J$12:$M$18,7,FALSE),"*")</f>
        <v>#N/A</v>
      </c>
    </row>
    <row r="3427" spans="19:30">
      <c r="S3427" s="81" t="e">
        <f>HLOOKUP(L3427,データについて!$J$6:$M$18,13,FALSE)</f>
        <v>#N/A</v>
      </c>
      <c r="T3427" s="81" t="e">
        <f>HLOOKUP(M3427,データについて!$J$7:$M$18,12,FALSE)</f>
        <v>#N/A</v>
      </c>
      <c r="U3427" s="81" t="e">
        <f>HLOOKUP(N3427,データについて!$J$8:$M$18,11,FALSE)</f>
        <v>#N/A</v>
      </c>
      <c r="V3427" s="81" t="e">
        <f>HLOOKUP(O3427,データについて!$J$9:$M$18,10,FALSE)</f>
        <v>#N/A</v>
      </c>
      <c r="W3427" s="81" t="e">
        <f>HLOOKUP(P3427,データについて!$J$10:$M$18,9,FALSE)</f>
        <v>#N/A</v>
      </c>
      <c r="X3427" s="81" t="e">
        <f>HLOOKUP(Q3427,データについて!$J$11:$M$18,8,FALSE)</f>
        <v>#N/A</v>
      </c>
      <c r="Y3427" s="81" t="e">
        <f>HLOOKUP(R3427,データについて!$J$12:$M$18,7,FALSE)</f>
        <v>#N/A</v>
      </c>
      <c r="Z3427" s="81" t="e">
        <f>HLOOKUP(I3427,データについて!$J$3:$M$18,16,FALSE)</f>
        <v>#N/A</v>
      </c>
      <c r="AA3427" s="81" t="str">
        <f>IFERROR(HLOOKUP(J3427,データについて!$J$4:$AH$19,16,FALSE),"")</f>
        <v/>
      </c>
      <c r="AB3427" s="81" t="str">
        <f>IFERROR(HLOOKUP(K3427,データについて!$J$5:$AH$20,14,FALSE),"")</f>
        <v/>
      </c>
      <c r="AC3427" s="81" t="e">
        <f>IF(X3427=1,HLOOKUP(R3427,データについて!$J$12:$M$18,7,FALSE),"*")</f>
        <v>#N/A</v>
      </c>
      <c r="AD3427" s="81" t="e">
        <f>IF(X3427=2,HLOOKUP(R3427,データについて!$J$12:$M$18,7,FALSE),"*")</f>
        <v>#N/A</v>
      </c>
    </row>
    <row r="3428" spans="19:30">
      <c r="S3428" s="81" t="e">
        <f>HLOOKUP(L3428,データについて!$J$6:$M$18,13,FALSE)</f>
        <v>#N/A</v>
      </c>
      <c r="T3428" s="81" t="e">
        <f>HLOOKUP(M3428,データについて!$J$7:$M$18,12,FALSE)</f>
        <v>#N/A</v>
      </c>
      <c r="U3428" s="81" t="e">
        <f>HLOOKUP(N3428,データについて!$J$8:$M$18,11,FALSE)</f>
        <v>#N/A</v>
      </c>
      <c r="V3428" s="81" t="e">
        <f>HLOOKUP(O3428,データについて!$J$9:$M$18,10,FALSE)</f>
        <v>#N/A</v>
      </c>
      <c r="W3428" s="81" t="e">
        <f>HLOOKUP(P3428,データについて!$J$10:$M$18,9,FALSE)</f>
        <v>#N/A</v>
      </c>
      <c r="X3428" s="81" t="e">
        <f>HLOOKUP(Q3428,データについて!$J$11:$M$18,8,FALSE)</f>
        <v>#N/A</v>
      </c>
      <c r="Y3428" s="81" t="e">
        <f>HLOOKUP(R3428,データについて!$J$12:$M$18,7,FALSE)</f>
        <v>#N/A</v>
      </c>
      <c r="Z3428" s="81" t="e">
        <f>HLOOKUP(I3428,データについて!$J$3:$M$18,16,FALSE)</f>
        <v>#N/A</v>
      </c>
      <c r="AA3428" s="81" t="str">
        <f>IFERROR(HLOOKUP(J3428,データについて!$J$4:$AH$19,16,FALSE),"")</f>
        <v/>
      </c>
      <c r="AB3428" s="81" t="str">
        <f>IFERROR(HLOOKUP(K3428,データについて!$J$5:$AH$20,14,FALSE),"")</f>
        <v/>
      </c>
      <c r="AC3428" s="81" t="e">
        <f>IF(X3428=1,HLOOKUP(R3428,データについて!$J$12:$M$18,7,FALSE),"*")</f>
        <v>#N/A</v>
      </c>
      <c r="AD3428" s="81" t="e">
        <f>IF(X3428=2,HLOOKUP(R3428,データについて!$J$12:$M$18,7,FALSE),"*")</f>
        <v>#N/A</v>
      </c>
    </row>
    <row r="3429" spans="19:30">
      <c r="S3429" s="81" t="e">
        <f>HLOOKUP(L3429,データについて!$J$6:$M$18,13,FALSE)</f>
        <v>#N/A</v>
      </c>
      <c r="T3429" s="81" t="e">
        <f>HLOOKUP(M3429,データについて!$J$7:$M$18,12,FALSE)</f>
        <v>#N/A</v>
      </c>
      <c r="U3429" s="81" t="e">
        <f>HLOOKUP(N3429,データについて!$J$8:$M$18,11,FALSE)</f>
        <v>#N/A</v>
      </c>
      <c r="V3429" s="81" t="e">
        <f>HLOOKUP(O3429,データについて!$J$9:$M$18,10,FALSE)</f>
        <v>#N/A</v>
      </c>
      <c r="W3429" s="81" t="e">
        <f>HLOOKUP(P3429,データについて!$J$10:$M$18,9,FALSE)</f>
        <v>#N/A</v>
      </c>
      <c r="X3429" s="81" t="e">
        <f>HLOOKUP(Q3429,データについて!$J$11:$M$18,8,FALSE)</f>
        <v>#N/A</v>
      </c>
      <c r="Y3429" s="81" t="e">
        <f>HLOOKUP(R3429,データについて!$J$12:$M$18,7,FALSE)</f>
        <v>#N/A</v>
      </c>
      <c r="Z3429" s="81" t="e">
        <f>HLOOKUP(I3429,データについて!$J$3:$M$18,16,FALSE)</f>
        <v>#N/A</v>
      </c>
      <c r="AA3429" s="81" t="str">
        <f>IFERROR(HLOOKUP(J3429,データについて!$J$4:$AH$19,16,FALSE),"")</f>
        <v/>
      </c>
      <c r="AB3429" s="81" t="str">
        <f>IFERROR(HLOOKUP(K3429,データについて!$J$5:$AH$20,14,FALSE),"")</f>
        <v/>
      </c>
      <c r="AC3429" s="81" t="e">
        <f>IF(X3429=1,HLOOKUP(R3429,データについて!$J$12:$M$18,7,FALSE),"*")</f>
        <v>#N/A</v>
      </c>
      <c r="AD3429" s="81" t="e">
        <f>IF(X3429=2,HLOOKUP(R3429,データについて!$J$12:$M$18,7,FALSE),"*")</f>
        <v>#N/A</v>
      </c>
    </row>
    <row r="3430" spans="19:30">
      <c r="S3430" s="81" t="e">
        <f>HLOOKUP(L3430,データについて!$J$6:$M$18,13,FALSE)</f>
        <v>#N/A</v>
      </c>
      <c r="T3430" s="81" t="e">
        <f>HLOOKUP(M3430,データについて!$J$7:$M$18,12,FALSE)</f>
        <v>#N/A</v>
      </c>
      <c r="U3430" s="81" t="e">
        <f>HLOOKUP(N3430,データについて!$J$8:$M$18,11,FALSE)</f>
        <v>#N/A</v>
      </c>
      <c r="V3430" s="81" t="e">
        <f>HLOOKUP(O3430,データについて!$J$9:$M$18,10,FALSE)</f>
        <v>#N/A</v>
      </c>
      <c r="W3430" s="81" t="e">
        <f>HLOOKUP(P3430,データについて!$J$10:$M$18,9,FALSE)</f>
        <v>#N/A</v>
      </c>
      <c r="X3430" s="81" t="e">
        <f>HLOOKUP(Q3430,データについて!$J$11:$M$18,8,FALSE)</f>
        <v>#N/A</v>
      </c>
      <c r="Y3430" s="81" t="e">
        <f>HLOOKUP(R3430,データについて!$J$12:$M$18,7,FALSE)</f>
        <v>#N/A</v>
      </c>
      <c r="Z3430" s="81" t="e">
        <f>HLOOKUP(I3430,データについて!$J$3:$M$18,16,FALSE)</f>
        <v>#N/A</v>
      </c>
      <c r="AA3430" s="81" t="str">
        <f>IFERROR(HLOOKUP(J3430,データについて!$J$4:$AH$19,16,FALSE),"")</f>
        <v/>
      </c>
      <c r="AB3430" s="81" t="str">
        <f>IFERROR(HLOOKUP(K3430,データについて!$J$5:$AH$20,14,FALSE),"")</f>
        <v/>
      </c>
      <c r="AC3430" s="81" t="e">
        <f>IF(X3430=1,HLOOKUP(R3430,データについて!$J$12:$M$18,7,FALSE),"*")</f>
        <v>#N/A</v>
      </c>
      <c r="AD3430" s="81" t="e">
        <f>IF(X3430=2,HLOOKUP(R3430,データについて!$J$12:$M$18,7,FALSE),"*")</f>
        <v>#N/A</v>
      </c>
    </row>
    <row r="3431" spans="19:30">
      <c r="S3431" s="81" t="e">
        <f>HLOOKUP(L3431,データについて!$J$6:$M$18,13,FALSE)</f>
        <v>#N/A</v>
      </c>
      <c r="T3431" s="81" t="e">
        <f>HLOOKUP(M3431,データについて!$J$7:$M$18,12,FALSE)</f>
        <v>#N/A</v>
      </c>
      <c r="U3431" s="81" t="e">
        <f>HLOOKUP(N3431,データについて!$J$8:$M$18,11,FALSE)</f>
        <v>#N/A</v>
      </c>
      <c r="V3431" s="81" t="e">
        <f>HLOOKUP(O3431,データについて!$J$9:$M$18,10,FALSE)</f>
        <v>#N/A</v>
      </c>
      <c r="W3431" s="81" t="e">
        <f>HLOOKUP(P3431,データについて!$J$10:$M$18,9,FALSE)</f>
        <v>#N/A</v>
      </c>
      <c r="X3431" s="81" t="e">
        <f>HLOOKUP(Q3431,データについて!$J$11:$M$18,8,FALSE)</f>
        <v>#N/A</v>
      </c>
      <c r="Y3431" s="81" t="e">
        <f>HLOOKUP(R3431,データについて!$J$12:$M$18,7,FALSE)</f>
        <v>#N/A</v>
      </c>
      <c r="Z3431" s="81" t="e">
        <f>HLOOKUP(I3431,データについて!$J$3:$M$18,16,FALSE)</f>
        <v>#N/A</v>
      </c>
      <c r="AA3431" s="81" t="str">
        <f>IFERROR(HLOOKUP(J3431,データについて!$J$4:$AH$19,16,FALSE),"")</f>
        <v/>
      </c>
      <c r="AB3431" s="81" t="str">
        <f>IFERROR(HLOOKUP(K3431,データについて!$J$5:$AH$20,14,FALSE),"")</f>
        <v/>
      </c>
      <c r="AC3431" s="81" t="e">
        <f>IF(X3431=1,HLOOKUP(R3431,データについて!$J$12:$M$18,7,FALSE),"*")</f>
        <v>#N/A</v>
      </c>
      <c r="AD3431" s="81" t="e">
        <f>IF(X3431=2,HLOOKUP(R3431,データについて!$J$12:$M$18,7,FALSE),"*")</f>
        <v>#N/A</v>
      </c>
    </row>
    <row r="3432" spans="19:30">
      <c r="S3432" s="81" t="e">
        <f>HLOOKUP(L3432,データについて!$J$6:$M$18,13,FALSE)</f>
        <v>#N/A</v>
      </c>
      <c r="T3432" s="81" t="e">
        <f>HLOOKUP(M3432,データについて!$J$7:$M$18,12,FALSE)</f>
        <v>#N/A</v>
      </c>
      <c r="U3432" s="81" t="e">
        <f>HLOOKUP(N3432,データについて!$J$8:$M$18,11,FALSE)</f>
        <v>#N/A</v>
      </c>
      <c r="V3432" s="81" t="e">
        <f>HLOOKUP(O3432,データについて!$J$9:$M$18,10,FALSE)</f>
        <v>#N/A</v>
      </c>
      <c r="W3432" s="81" t="e">
        <f>HLOOKUP(P3432,データについて!$J$10:$M$18,9,FALSE)</f>
        <v>#N/A</v>
      </c>
      <c r="X3432" s="81" t="e">
        <f>HLOOKUP(Q3432,データについて!$J$11:$M$18,8,FALSE)</f>
        <v>#N/A</v>
      </c>
      <c r="Y3432" s="81" t="e">
        <f>HLOOKUP(R3432,データについて!$J$12:$M$18,7,FALSE)</f>
        <v>#N/A</v>
      </c>
      <c r="Z3432" s="81" t="e">
        <f>HLOOKUP(I3432,データについて!$J$3:$M$18,16,FALSE)</f>
        <v>#N/A</v>
      </c>
      <c r="AA3432" s="81" t="str">
        <f>IFERROR(HLOOKUP(J3432,データについて!$J$4:$AH$19,16,FALSE),"")</f>
        <v/>
      </c>
      <c r="AB3432" s="81" t="str">
        <f>IFERROR(HLOOKUP(K3432,データについて!$J$5:$AH$20,14,FALSE),"")</f>
        <v/>
      </c>
      <c r="AC3432" s="81" t="e">
        <f>IF(X3432=1,HLOOKUP(R3432,データについて!$J$12:$M$18,7,FALSE),"*")</f>
        <v>#N/A</v>
      </c>
      <c r="AD3432" s="81" t="e">
        <f>IF(X3432=2,HLOOKUP(R3432,データについて!$J$12:$M$18,7,FALSE),"*")</f>
        <v>#N/A</v>
      </c>
    </row>
    <row r="3433" spans="19:30">
      <c r="S3433" s="81" t="e">
        <f>HLOOKUP(L3433,データについて!$J$6:$M$18,13,FALSE)</f>
        <v>#N/A</v>
      </c>
      <c r="T3433" s="81" t="e">
        <f>HLOOKUP(M3433,データについて!$J$7:$M$18,12,FALSE)</f>
        <v>#N/A</v>
      </c>
      <c r="U3433" s="81" t="e">
        <f>HLOOKUP(N3433,データについて!$J$8:$M$18,11,FALSE)</f>
        <v>#N/A</v>
      </c>
      <c r="V3433" s="81" t="e">
        <f>HLOOKUP(O3433,データについて!$J$9:$M$18,10,FALSE)</f>
        <v>#N/A</v>
      </c>
      <c r="W3433" s="81" t="e">
        <f>HLOOKUP(P3433,データについて!$J$10:$M$18,9,FALSE)</f>
        <v>#N/A</v>
      </c>
      <c r="X3433" s="81" t="e">
        <f>HLOOKUP(Q3433,データについて!$J$11:$M$18,8,FALSE)</f>
        <v>#N/A</v>
      </c>
      <c r="Y3433" s="81" t="e">
        <f>HLOOKUP(R3433,データについて!$J$12:$M$18,7,FALSE)</f>
        <v>#N/A</v>
      </c>
      <c r="Z3433" s="81" t="e">
        <f>HLOOKUP(I3433,データについて!$J$3:$M$18,16,FALSE)</f>
        <v>#N/A</v>
      </c>
      <c r="AA3433" s="81" t="str">
        <f>IFERROR(HLOOKUP(J3433,データについて!$J$4:$AH$19,16,FALSE),"")</f>
        <v/>
      </c>
      <c r="AB3433" s="81" t="str">
        <f>IFERROR(HLOOKUP(K3433,データについて!$J$5:$AH$20,14,FALSE),"")</f>
        <v/>
      </c>
      <c r="AC3433" s="81" t="e">
        <f>IF(X3433=1,HLOOKUP(R3433,データについて!$J$12:$M$18,7,FALSE),"*")</f>
        <v>#N/A</v>
      </c>
      <c r="AD3433" s="81" t="e">
        <f>IF(X3433=2,HLOOKUP(R3433,データについて!$J$12:$M$18,7,FALSE),"*")</f>
        <v>#N/A</v>
      </c>
    </row>
    <row r="3434" spans="19:30">
      <c r="S3434" s="81" t="e">
        <f>HLOOKUP(L3434,データについて!$J$6:$M$18,13,FALSE)</f>
        <v>#N/A</v>
      </c>
      <c r="T3434" s="81" t="e">
        <f>HLOOKUP(M3434,データについて!$J$7:$M$18,12,FALSE)</f>
        <v>#N/A</v>
      </c>
      <c r="U3434" s="81" t="e">
        <f>HLOOKUP(N3434,データについて!$J$8:$M$18,11,FALSE)</f>
        <v>#N/A</v>
      </c>
      <c r="V3434" s="81" t="e">
        <f>HLOOKUP(O3434,データについて!$J$9:$M$18,10,FALSE)</f>
        <v>#N/A</v>
      </c>
      <c r="W3434" s="81" t="e">
        <f>HLOOKUP(P3434,データについて!$J$10:$M$18,9,FALSE)</f>
        <v>#N/A</v>
      </c>
      <c r="X3434" s="81" t="e">
        <f>HLOOKUP(Q3434,データについて!$J$11:$M$18,8,FALSE)</f>
        <v>#N/A</v>
      </c>
      <c r="Y3434" s="81" t="e">
        <f>HLOOKUP(R3434,データについて!$J$12:$M$18,7,FALSE)</f>
        <v>#N/A</v>
      </c>
      <c r="Z3434" s="81" t="e">
        <f>HLOOKUP(I3434,データについて!$J$3:$M$18,16,FALSE)</f>
        <v>#N/A</v>
      </c>
      <c r="AA3434" s="81" t="str">
        <f>IFERROR(HLOOKUP(J3434,データについて!$J$4:$AH$19,16,FALSE),"")</f>
        <v/>
      </c>
      <c r="AB3434" s="81" t="str">
        <f>IFERROR(HLOOKUP(K3434,データについて!$J$5:$AH$20,14,FALSE),"")</f>
        <v/>
      </c>
      <c r="AC3434" s="81" t="e">
        <f>IF(X3434=1,HLOOKUP(R3434,データについて!$J$12:$M$18,7,FALSE),"*")</f>
        <v>#N/A</v>
      </c>
      <c r="AD3434" s="81" t="e">
        <f>IF(X3434=2,HLOOKUP(R3434,データについて!$J$12:$M$18,7,FALSE),"*")</f>
        <v>#N/A</v>
      </c>
    </row>
    <row r="3435" spans="19:30">
      <c r="S3435" s="81" t="e">
        <f>HLOOKUP(L3435,データについて!$J$6:$M$18,13,FALSE)</f>
        <v>#N/A</v>
      </c>
      <c r="T3435" s="81" t="e">
        <f>HLOOKUP(M3435,データについて!$J$7:$M$18,12,FALSE)</f>
        <v>#N/A</v>
      </c>
      <c r="U3435" s="81" t="e">
        <f>HLOOKUP(N3435,データについて!$J$8:$M$18,11,FALSE)</f>
        <v>#N/A</v>
      </c>
      <c r="V3435" s="81" t="e">
        <f>HLOOKUP(O3435,データについて!$J$9:$M$18,10,FALSE)</f>
        <v>#N/A</v>
      </c>
      <c r="W3435" s="81" t="e">
        <f>HLOOKUP(P3435,データについて!$J$10:$M$18,9,FALSE)</f>
        <v>#N/A</v>
      </c>
      <c r="X3435" s="81" t="e">
        <f>HLOOKUP(Q3435,データについて!$J$11:$M$18,8,FALSE)</f>
        <v>#N/A</v>
      </c>
      <c r="Y3435" s="81" t="e">
        <f>HLOOKUP(R3435,データについて!$J$12:$M$18,7,FALSE)</f>
        <v>#N/A</v>
      </c>
      <c r="Z3435" s="81" t="e">
        <f>HLOOKUP(I3435,データについて!$J$3:$M$18,16,FALSE)</f>
        <v>#N/A</v>
      </c>
      <c r="AA3435" s="81" t="str">
        <f>IFERROR(HLOOKUP(J3435,データについて!$J$4:$AH$19,16,FALSE),"")</f>
        <v/>
      </c>
      <c r="AB3435" s="81" t="str">
        <f>IFERROR(HLOOKUP(K3435,データについて!$J$5:$AH$20,14,FALSE),"")</f>
        <v/>
      </c>
      <c r="AC3435" s="81" t="e">
        <f>IF(X3435=1,HLOOKUP(R3435,データについて!$J$12:$M$18,7,FALSE),"*")</f>
        <v>#N/A</v>
      </c>
      <c r="AD3435" s="81" t="e">
        <f>IF(X3435=2,HLOOKUP(R3435,データについて!$J$12:$M$18,7,FALSE),"*")</f>
        <v>#N/A</v>
      </c>
    </row>
    <row r="3436" spans="19:30">
      <c r="S3436" s="81" t="e">
        <f>HLOOKUP(L3436,データについて!$J$6:$M$18,13,FALSE)</f>
        <v>#N/A</v>
      </c>
      <c r="T3436" s="81" t="e">
        <f>HLOOKUP(M3436,データについて!$J$7:$M$18,12,FALSE)</f>
        <v>#N/A</v>
      </c>
      <c r="U3436" s="81" t="e">
        <f>HLOOKUP(N3436,データについて!$J$8:$M$18,11,FALSE)</f>
        <v>#N/A</v>
      </c>
      <c r="V3436" s="81" t="e">
        <f>HLOOKUP(O3436,データについて!$J$9:$M$18,10,FALSE)</f>
        <v>#N/A</v>
      </c>
      <c r="W3436" s="81" t="e">
        <f>HLOOKUP(P3436,データについて!$J$10:$M$18,9,FALSE)</f>
        <v>#N/A</v>
      </c>
      <c r="X3436" s="81" t="e">
        <f>HLOOKUP(Q3436,データについて!$J$11:$M$18,8,FALSE)</f>
        <v>#N/A</v>
      </c>
      <c r="Y3436" s="81" t="e">
        <f>HLOOKUP(R3436,データについて!$J$12:$M$18,7,FALSE)</f>
        <v>#N/A</v>
      </c>
      <c r="Z3436" s="81" t="e">
        <f>HLOOKUP(I3436,データについて!$J$3:$M$18,16,FALSE)</f>
        <v>#N/A</v>
      </c>
      <c r="AA3436" s="81" t="str">
        <f>IFERROR(HLOOKUP(J3436,データについて!$J$4:$AH$19,16,FALSE),"")</f>
        <v/>
      </c>
      <c r="AB3436" s="81" t="str">
        <f>IFERROR(HLOOKUP(K3436,データについて!$J$5:$AH$20,14,FALSE),"")</f>
        <v/>
      </c>
      <c r="AC3436" s="81" t="e">
        <f>IF(X3436=1,HLOOKUP(R3436,データについて!$J$12:$M$18,7,FALSE),"*")</f>
        <v>#N/A</v>
      </c>
      <c r="AD3436" s="81" t="e">
        <f>IF(X3436=2,HLOOKUP(R3436,データについて!$J$12:$M$18,7,FALSE),"*")</f>
        <v>#N/A</v>
      </c>
    </row>
    <row r="3437" spans="19:30">
      <c r="S3437" s="81" t="e">
        <f>HLOOKUP(L3437,データについて!$J$6:$M$18,13,FALSE)</f>
        <v>#N/A</v>
      </c>
      <c r="T3437" s="81" t="e">
        <f>HLOOKUP(M3437,データについて!$J$7:$M$18,12,FALSE)</f>
        <v>#N/A</v>
      </c>
      <c r="U3437" s="81" t="e">
        <f>HLOOKUP(N3437,データについて!$J$8:$M$18,11,FALSE)</f>
        <v>#N/A</v>
      </c>
      <c r="V3437" s="81" t="e">
        <f>HLOOKUP(O3437,データについて!$J$9:$M$18,10,FALSE)</f>
        <v>#N/A</v>
      </c>
      <c r="W3437" s="81" t="e">
        <f>HLOOKUP(P3437,データについて!$J$10:$M$18,9,FALSE)</f>
        <v>#N/A</v>
      </c>
      <c r="X3437" s="81" t="e">
        <f>HLOOKUP(Q3437,データについて!$J$11:$M$18,8,FALSE)</f>
        <v>#N/A</v>
      </c>
      <c r="Y3437" s="81" t="e">
        <f>HLOOKUP(R3437,データについて!$J$12:$M$18,7,FALSE)</f>
        <v>#N/A</v>
      </c>
      <c r="Z3437" s="81" t="e">
        <f>HLOOKUP(I3437,データについて!$J$3:$M$18,16,FALSE)</f>
        <v>#N/A</v>
      </c>
      <c r="AA3437" s="81" t="str">
        <f>IFERROR(HLOOKUP(J3437,データについて!$J$4:$AH$19,16,FALSE),"")</f>
        <v/>
      </c>
      <c r="AB3437" s="81" t="str">
        <f>IFERROR(HLOOKUP(K3437,データについて!$J$5:$AH$20,14,FALSE),"")</f>
        <v/>
      </c>
      <c r="AC3437" s="81" t="e">
        <f>IF(X3437=1,HLOOKUP(R3437,データについて!$J$12:$M$18,7,FALSE),"*")</f>
        <v>#N/A</v>
      </c>
      <c r="AD3437" s="81" t="e">
        <f>IF(X3437=2,HLOOKUP(R3437,データについて!$J$12:$M$18,7,FALSE),"*")</f>
        <v>#N/A</v>
      </c>
    </row>
    <row r="3438" spans="19:30">
      <c r="S3438" s="81" t="e">
        <f>HLOOKUP(L3438,データについて!$J$6:$M$18,13,FALSE)</f>
        <v>#N/A</v>
      </c>
      <c r="T3438" s="81" t="e">
        <f>HLOOKUP(M3438,データについて!$J$7:$M$18,12,FALSE)</f>
        <v>#N/A</v>
      </c>
      <c r="U3438" s="81" t="e">
        <f>HLOOKUP(N3438,データについて!$J$8:$M$18,11,FALSE)</f>
        <v>#N/A</v>
      </c>
      <c r="V3438" s="81" t="e">
        <f>HLOOKUP(O3438,データについて!$J$9:$M$18,10,FALSE)</f>
        <v>#N/A</v>
      </c>
      <c r="W3438" s="81" t="e">
        <f>HLOOKUP(P3438,データについて!$J$10:$M$18,9,FALSE)</f>
        <v>#N/A</v>
      </c>
      <c r="X3438" s="81" t="e">
        <f>HLOOKUP(Q3438,データについて!$J$11:$M$18,8,FALSE)</f>
        <v>#N/A</v>
      </c>
      <c r="Y3438" s="81" t="e">
        <f>HLOOKUP(R3438,データについて!$J$12:$M$18,7,FALSE)</f>
        <v>#N/A</v>
      </c>
      <c r="Z3438" s="81" t="e">
        <f>HLOOKUP(I3438,データについて!$J$3:$M$18,16,FALSE)</f>
        <v>#N/A</v>
      </c>
      <c r="AA3438" s="81" t="str">
        <f>IFERROR(HLOOKUP(J3438,データについて!$J$4:$AH$19,16,FALSE),"")</f>
        <v/>
      </c>
      <c r="AB3438" s="81" t="str">
        <f>IFERROR(HLOOKUP(K3438,データについて!$J$5:$AH$20,14,FALSE),"")</f>
        <v/>
      </c>
      <c r="AC3438" s="81" t="e">
        <f>IF(X3438=1,HLOOKUP(R3438,データについて!$J$12:$M$18,7,FALSE),"*")</f>
        <v>#N/A</v>
      </c>
      <c r="AD3438" s="81" t="e">
        <f>IF(X3438=2,HLOOKUP(R3438,データについて!$J$12:$M$18,7,FALSE),"*")</f>
        <v>#N/A</v>
      </c>
    </row>
    <row r="3439" spans="19:30">
      <c r="S3439" s="81" t="e">
        <f>HLOOKUP(L3439,データについて!$J$6:$M$18,13,FALSE)</f>
        <v>#N/A</v>
      </c>
      <c r="T3439" s="81" t="e">
        <f>HLOOKUP(M3439,データについて!$J$7:$M$18,12,FALSE)</f>
        <v>#N/A</v>
      </c>
      <c r="U3439" s="81" t="e">
        <f>HLOOKUP(N3439,データについて!$J$8:$M$18,11,FALSE)</f>
        <v>#N/A</v>
      </c>
      <c r="V3439" s="81" t="e">
        <f>HLOOKUP(O3439,データについて!$J$9:$M$18,10,FALSE)</f>
        <v>#N/A</v>
      </c>
      <c r="W3439" s="81" t="e">
        <f>HLOOKUP(P3439,データについて!$J$10:$M$18,9,FALSE)</f>
        <v>#N/A</v>
      </c>
      <c r="X3439" s="81" t="e">
        <f>HLOOKUP(Q3439,データについて!$J$11:$M$18,8,FALSE)</f>
        <v>#N/A</v>
      </c>
      <c r="Y3439" s="81" t="e">
        <f>HLOOKUP(R3439,データについて!$J$12:$M$18,7,FALSE)</f>
        <v>#N/A</v>
      </c>
      <c r="Z3439" s="81" t="e">
        <f>HLOOKUP(I3439,データについて!$J$3:$M$18,16,FALSE)</f>
        <v>#N/A</v>
      </c>
      <c r="AA3439" s="81" t="str">
        <f>IFERROR(HLOOKUP(J3439,データについて!$J$4:$AH$19,16,FALSE),"")</f>
        <v/>
      </c>
      <c r="AB3439" s="81" t="str">
        <f>IFERROR(HLOOKUP(K3439,データについて!$J$5:$AH$20,14,FALSE),"")</f>
        <v/>
      </c>
      <c r="AC3439" s="81" t="e">
        <f>IF(X3439=1,HLOOKUP(R3439,データについて!$J$12:$M$18,7,FALSE),"*")</f>
        <v>#N/A</v>
      </c>
      <c r="AD3439" s="81" t="e">
        <f>IF(X3439=2,HLOOKUP(R3439,データについて!$J$12:$M$18,7,FALSE),"*")</f>
        <v>#N/A</v>
      </c>
    </row>
    <row r="3440" spans="19:30">
      <c r="S3440" s="81" t="e">
        <f>HLOOKUP(L3440,データについて!$J$6:$M$18,13,FALSE)</f>
        <v>#N/A</v>
      </c>
      <c r="T3440" s="81" t="e">
        <f>HLOOKUP(M3440,データについて!$J$7:$M$18,12,FALSE)</f>
        <v>#N/A</v>
      </c>
      <c r="U3440" s="81" t="e">
        <f>HLOOKUP(N3440,データについて!$J$8:$M$18,11,FALSE)</f>
        <v>#N/A</v>
      </c>
      <c r="V3440" s="81" t="e">
        <f>HLOOKUP(O3440,データについて!$J$9:$M$18,10,FALSE)</f>
        <v>#N/A</v>
      </c>
      <c r="W3440" s="81" t="e">
        <f>HLOOKUP(P3440,データについて!$J$10:$M$18,9,FALSE)</f>
        <v>#N/A</v>
      </c>
      <c r="X3440" s="81" t="e">
        <f>HLOOKUP(Q3440,データについて!$J$11:$M$18,8,FALSE)</f>
        <v>#N/A</v>
      </c>
      <c r="Y3440" s="81" t="e">
        <f>HLOOKUP(R3440,データについて!$J$12:$M$18,7,FALSE)</f>
        <v>#N/A</v>
      </c>
      <c r="Z3440" s="81" t="e">
        <f>HLOOKUP(I3440,データについて!$J$3:$M$18,16,FALSE)</f>
        <v>#N/A</v>
      </c>
      <c r="AA3440" s="81" t="str">
        <f>IFERROR(HLOOKUP(J3440,データについて!$J$4:$AH$19,16,FALSE),"")</f>
        <v/>
      </c>
      <c r="AB3440" s="81" t="str">
        <f>IFERROR(HLOOKUP(K3440,データについて!$J$5:$AH$20,14,FALSE),"")</f>
        <v/>
      </c>
      <c r="AC3440" s="81" t="e">
        <f>IF(X3440=1,HLOOKUP(R3440,データについて!$J$12:$M$18,7,FALSE),"*")</f>
        <v>#N/A</v>
      </c>
      <c r="AD3440" s="81" t="e">
        <f>IF(X3440=2,HLOOKUP(R3440,データについて!$J$12:$M$18,7,FALSE),"*")</f>
        <v>#N/A</v>
      </c>
    </row>
    <row r="3441" spans="19:30">
      <c r="S3441" s="81" t="e">
        <f>HLOOKUP(L3441,データについて!$J$6:$M$18,13,FALSE)</f>
        <v>#N/A</v>
      </c>
      <c r="T3441" s="81" t="e">
        <f>HLOOKUP(M3441,データについて!$J$7:$M$18,12,FALSE)</f>
        <v>#N/A</v>
      </c>
      <c r="U3441" s="81" t="e">
        <f>HLOOKUP(N3441,データについて!$J$8:$M$18,11,FALSE)</f>
        <v>#N/A</v>
      </c>
      <c r="V3441" s="81" t="e">
        <f>HLOOKUP(O3441,データについて!$J$9:$M$18,10,FALSE)</f>
        <v>#N/A</v>
      </c>
      <c r="W3441" s="81" t="e">
        <f>HLOOKUP(P3441,データについて!$J$10:$M$18,9,FALSE)</f>
        <v>#N/A</v>
      </c>
      <c r="X3441" s="81" t="e">
        <f>HLOOKUP(Q3441,データについて!$J$11:$M$18,8,FALSE)</f>
        <v>#N/A</v>
      </c>
      <c r="Y3441" s="81" t="e">
        <f>HLOOKUP(R3441,データについて!$J$12:$M$18,7,FALSE)</f>
        <v>#N/A</v>
      </c>
      <c r="Z3441" s="81" t="e">
        <f>HLOOKUP(I3441,データについて!$J$3:$M$18,16,FALSE)</f>
        <v>#N/A</v>
      </c>
      <c r="AA3441" s="81" t="str">
        <f>IFERROR(HLOOKUP(J3441,データについて!$J$4:$AH$19,16,FALSE),"")</f>
        <v/>
      </c>
      <c r="AB3441" s="81" t="str">
        <f>IFERROR(HLOOKUP(K3441,データについて!$J$5:$AH$20,14,FALSE),"")</f>
        <v/>
      </c>
      <c r="AC3441" s="81" t="e">
        <f>IF(X3441=1,HLOOKUP(R3441,データについて!$J$12:$M$18,7,FALSE),"*")</f>
        <v>#N/A</v>
      </c>
      <c r="AD3441" s="81" t="e">
        <f>IF(X3441=2,HLOOKUP(R3441,データについて!$J$12:$M$18,7,FALSE),"*")</f>
        <v>#N/A</v>
      </c>
    </row>
    <row r="3442" spans="19:30">
      <c r="S3442" s="81" t="e">
        <f>HLOOKUP(L3442,データについて!$J$6:$M$18,13,FALSE)</f>
        <v>#N/A</v>
      </c>
      <c r="T3442" s="81" t="e">
        <f>HLOOKUP(M3442,データについて!$J$7:$M$18,12,FALSE)</f>
        <v>#N/A</v>
      </c>
      <c r="U3442" s="81" t="e">
        <f>HLOOKUP(N3442,データについて!$J$8:$M$18,11,FALSE)</f>
        <v>#N/A</v>
      </c>
      <c r="V3442" s="81" t="e">
        <f>HLOOKUP(O3442,データについて!$J$9:$M$18,10,FALSE)</f>
        <v>#N/A</v>
      </c>
      <c r="W3442" s="81" t="e">
        <f>HLOOKUP(P3442,データについて!$J$10:$M$18,9,FALSE)</f>
        <v>#N/A</v>
      </c>
      <c r="X3442" s="81" t="e">
        <f>HLOOKUP(Q3442,データについて!$J$11:$M$18,8,FALSE)</f>
        <v>#N/A</v>
      </c>
      <c r="Y3442" s="81" t="e">
        <f>HLOOKUP(R3442,データについて!$J$12:$M$18,7,FALSE)</f>
        <v>#N/A</v>
      </c>
      <c r="Z3442" s="81" t="e">
        <f>HLOOKUP(I3442,データについて!$J$3:$M$18,16,FALSE)</f>
        <v>#N/A</v>
      </c>
      <c r="AA3442" s="81" t="str">
        <f>IFERROR(HLOOKUP(J3442,データについて!$J$4:$AH$19,16,FALSE),"")</f>
        <v/>
      </c>
      <c r="AB3442" s="81" t="str">
        <f>IFERROR(HLOOKUP(K3442,データについて!$J$5:$AH$20,14,FALSE),"")</f>
        <v/>
      </c>
      <c r="AC3442" s="81" t="e">
        <f>IF(X3442=1,HLOOKUP(R3442,データについて!$J$12:$M$18,7,FALSE),"*")</f>
        <v>#N/A</v>
      </c>
      <c r="AD3442" s="81" t="e">
        <f>IF(X3442=2,HLOOKUP(R3442,データについて!$J$12:$M$18,7,FALSE),"*")</f>
        <v>#N/A</v>
      </c>
    </row>
    <row r="3443" spans="19:30">
      <c r="S3443" s="81" t="e">
        <f>HLOOKUP(L3443,データについて!$J$6:$M$18,13,FALSE)</f>
        <v>#N/A</v>
      </c>
      <c r="T3443" s="81" t="e">
        <f>HLOOKUP(M3443,データについて!$J$7:$M$18,12,FALSE)</f>
        <v>#N/A</v>
      </c>
      <c r="U3443" s="81" t="e">
        <f>HLOOKUP(N3443,データについて!$J$8:$M$18,11,FALSE)</f>
        <v>#N/A</v>
      </c>
      <c r="V3443" s="81" t="e">
        <f>HLOOKUP(O3443,データについて!$J$9:$M$18,10,FALSE)</f>
        <v>#N/A</v>
      </c>
      <c r="W3443" s="81" t="e">
        <f>HLOOKUP(P3443,データについて!$J$10:$M$18,9,FALSE)</f>
        <v>#N/A</v>
      </c>
      <c r="X3443" s="81" t="e">
        <f>HLOOKUP(Q3443,データについて!$J$11:$M$18,8,FALSE)</f>
        <v>#N/A</v>
      </c>
      <c r="Y3443" s="81" t="e">
        <f>HLOOKUP(R3443,データについて!$J$12:$M$18,7,FALSE)</f>
        <v>#N/A</v>
      </c>
      <c r="Z3443" s="81" t="e">
        <f>HLOOKUP(I3443,データについて!$J$3:$M$18,16,FALSE)</f>
        <v>#N/A</v>
      </c>
      <c r="AA3443" s="81" t="str">
        <f>IFERROR(HLOOKUP(J3443,データについて!$J$4:$AH$19,16,FALSE),"")</f>
        <v/>
      </c>
      <c r="AB3443" s="81" t="str">
        <f>IFERROR(HLOOKUP(K3443,データについて!$J$5:$AH$20,14,FALSE),"")</f>
        <v/>
      </c>
      <c r="AC3443" s="81" t="e">
        <f>IF(X3443=1,HLOOKUP(R3443,データについて!$J$12:$M$18,7,FALSE),"*")</f>
        <v>#N/A</v>
      </c>
      <c r="AD3443" s="81" t="e">
        <f>IF(X3443=2,HLOOKUP(R3443,データについて!$J$12:$M$18,7,FALSE),"*")</f>
        <v>#N/A</v>
      </c>
    </row>
    <row r="3444" spans="19:30">
      <c r="S3444" s="81" t="e">
        <f>HLOOKUP(L3444,データについて!$J$6:$M$18,13,FALSE)</f>
        <v>#N/A</v>
      </c>
      <c r="T3444" s="81" t="e">
        <f>HLOOKUP(M3444,データについて!$J$7:$M$18,12,FALSE)</f>
        <v>#N/A</v>
      </c>
      <c r="U3444" s="81" t="e">
        <f>HLOOKUP(N3444,データについて!$J$8:$M$18,11,FALSE)</f>
        <v>#N/A</v>
      </c>
      <c r="V3444" s="81" t="e">
        <f>HLOOKUP(O3444,データについて!$J$9:$M$18,10,FALSE)</f>
        <v>#N/A</v>
      </c>
      <c r="W3444" s="81" t="e">
        <f>HLOOKUP(P3444,データについて!$J$10:$M$18,9,FALSE)</f>
        <v>#N/A</v>
      </c>
      <c r="X3444" s="81" t="e">
        <f>HLOOKUP(Q3444,データについて!$J$11:$M$18,8,FALSE)</f>
        <v>#N/A</v>
      </c>
      <c r="Y3444" s="81" t="e">
        <f>HLOOKUP(R3444,データについて!$J$12:$M$18,7,FALSE)</f>
        <v>#N/A</v>
      </c>
      <c r="Z3444" s="81" t="e">
        <f>HLOOKUP(I3444,データについて!$J$3:$M$18,16,FALSE)</f>
        <v>#N/A</v>
      </c>
      <c r="AA3444" s="81" t="str">
        <f>IFERROR(HLOOKUP(J3444,データについて!$J$4:$AH$19,16,FALSE),"")</f>
        <v/>
      </c>
      <c r="AB3444" s="81" t="str">
        <f>IFERROR(HLOOKUP(K3444,データについて!$J$5:$AH$20,14,FALSE),"")</f>
        <v/>
      </c>
      <c r="AC3444" s="81" t="e">
        <f>IF(X3444=1,HLOOKUP(R3444,データについて!$J$12:$M$18,7,FALSE),"*")</f>
        <v>#N/A</v>
      </c>
      <c r="AD3444" s="81" t="e">
        <f>IF(X3444=2,HLOOKUP(R3444,データについて!$J$12:$M$18,7,FALSE),"*")</f>
        <v>#N/A</v>
      </c>
    </row>
    <row r="3445" spans="19:30">
      <c r="S3445" s="81" t="e">
        <f>HLOOKUP(L3445,データについて!$J$6:$M$18,13,FALSE)</f>
        <v>#N/A</v>
      </c>
      <c r="T3445" s="81" t="e">
        <f>HLOOKUP(M3445,データについて!$J$7:$M$18,12,FALSE)</f>
        <v>#N/A</v>
      </c>
      <c r="U3445" s="81" t="e">
        <f>HLOOKUP(N3445,データについて!$J$8:$M$18,11,FALSE)</f>
        <v>#N/A</v>
      </c>
      <c r="V3445" s="81" t="e">
        <f>HLOOKUP(O3445,データについて!$J$9:$M$18,10,FALSE)</f>
        <v>#N/A</v>
      </c>
      <c r="W3445" s="81" t="e">
        <f>HLOOKUP(P3445,データについて!$J$10:$M$18,9,FALSE)</f>
        <v>#N/A</v>
      </c>
      <c r="X3445" s="81" t="e">
        <f>HLOOKUP(Q3445,データについて!$J$11:$M$18,8,FALSE)</f>
        <v>#N/A</v>
      </c>
      <c r="Y3445" s="81" t="e">
        <f>HLOOKUP(R3445,データについて!$J$12:$M$18,7,FALSE)</f>
        <v>#N/A</v>
      </c>
      <c r="Z3445" s="81" t="e">
        <f>HLOOKUP(I3445,データについて!$J$3:$M$18,16,FALSE)</f>
        <v>#N/A</v>
      </c>
      <c r="AA3445" s="81" t="str">
        <f>IFERROR(HLOOKUP(J3445,データについて!$J$4:$AH$19,16,FALSE),"")</f>
        <v/>
      </c>
      <c r="AB3445" s="81" t="str">
        <f>IFERROR(HLOOKUP(K3445,データについて!$J$5:$AH$20,14,FALSE),"")</f>
        <v/>
      </c>
      <c r="AC3445" s="81" t="e">
        <f>IF(X3445=1,HLOOKUP(R3445,データについて!$J$12:$M$18,7,FALSE),"*")</f>
        <v>#N/A</v>
      </c>
      <c r="AD3445" s="81" t="e">
        <f>IF(X3445=2,HLOOKUP(R3445,データについて!$J$12:$M$18,7,FALSE),"*")</f>
        <v>#N/A</v>
      </c>
    </row>
    <row r="3446" spans="19:30">
      <c r="S3446" s="81" t="e">
        <f>HLOOKUP(L3446,データについて!$J$6:$M$18,13,FALSE)</f>
        <v>#N/A</v>
      </c>
      <c r="T3446" s="81" t="e">
        <f>HLOOKUP(M3446,データについて!$J$7:$M$18,12,FALSE)</f>
        <v>#N/A</v>
      </c>
      <c r="U3446" s="81" t="e">
        <f>HLOOKUP(N3446,データについて!$J$8:$M$18,11,FALSE)</f>
        <v>#N/A</v>
      </c>
      <c r="V3446" s="81" t="e">
        <f>HLOOKUP(O3446,データについて!$J$9:$M$18,10,FALSE)</f>
        <v>#N/A</v>
      </c>
      <c r="W3446" s="81" t="e">
        <f>HLOOKUP(P3446,データについて!$J$10:$M$18,9,FALSE)</f>
        <v>#N/A</v>
      </c>
      <c r="X3446" s="81" t="e">
        <f>HLOOKUP(Q3446,データについて!$J$11:$M$18,8,FALSE)</f>
        <v>#N/A</v>
      </c>
      <c r="Y3446" s="81" t="e">
        <f>HLOOKUP(R3446,データについて!$J$12:$M$18,7,FALSE)</f>
        <v>#N/A</v>
      </c>
      <c r="Z3446" s="81" t="e">
        <f>HLOOKUP(I3446,データについて!$J$3:$M$18,16,FALSE)</f>
        <v>#N/A</v>
      </c>
      <c r="AA3446" s="81" t="str">
        <f>IFERROR(HLOOKUP(J3446,データについて!$J$4:$AH$19,16,FALSE),"")</f>
        <v/>
      </c>
      <c r="AB3446" s="81" t="str">
        <f>IFERROR(HLOOKUP(K3446,データについて!$J$5:$AH$20,14,FALSE),"")</f>
        <v/>
      </c>
      <c r="AC3446" s="81" t="e">
        <f>IF(X3446=1,HLOOKUP(R3446,データについて!$J$12:$M$18,7,FALSE),"*")</f>
        <v>#N/A</v>
      </c>
      <c r="AD3446" s="81" t="e">
        <f>IF(X3446=2,HLOOKUP(R3446,データについて!$J$12:$M$18,7,FALSE),"*")</f>
        <v>#N/A</v>
      </c>
    </row>
    <row r="3447" spans="19:30">
      <c r="S3447" s="81" t="e">
        <f>HLOOKUP(L3447,データについて!$J$6:$M$18,13,FALSE)</f>
        <v>#N/A</v>
      </c>
      <c r="T3447" s="81" t="e">
        <f>HLOOKUP(M3447,データについて!$J$7:$M$18,12,FALSE)</f>
        <v>#N/A</v>
      </c>
      <c r="U3447" s="81" t="e">
        <f>HLOOKUP(N3447,データについて!$J$8:$M$18,11,FALSE)</f>
        <v>#N/A</v>
      </c>
      <c r="V3447" s="81" t="e">
        <f>HLOOKUP(O3447,データについて!$J$9:$M$18,10,FALSE)</f>
        <v>#N/A</v>
      </c>
      <c r="W3447" s="81" t="e">
        <f>HLOOKUP(P3447,データについて!$J$10:$M$18,9,FALSE)</f>
        <v>#N/A</v>
      </c>
      <c r="X3447" s="81" t="e">
        <f>HLOOKUP(Q3447,データについて!$J$11:$M$18,8,FALSE)</f>
        <v>#N/A</v>
      </c>
      <c r="Y3447" s="81" t="e">
        <f>HLOOKUP(R3447,データについて!$J$12:$M$18,7,FALSE)</f>
        <v>#N/A</v>
      </c>
      <c r="Z3447" s="81" t="e">
        <f>HLOOKUP(I3447,データについて!$J$3:$M$18,16,FALSE)</f>
        <v>#N/A</v>
      </c>
      <c r="AA3447" s="81" t="str">
        <f>IFERROR(HLOOKUP(J3447,データについて!$J$4:$AH$19,16,FALSE),"")</f>
        <v/>
      </c>
      <c r="AB3447" s="81" t="str">
        <f>IFERROR(HLOOKUP(K3447,データについて!$J$5:$AH$20,14,FALSE),"")</f>
        <v/>
      </c>
      <c r="AC3447" s="81" t="e">
        <f>IF(X3447=1,HLOOKUP(R3447,データについて!$J$12:$M$18,7,FALSE),"*")</f>
        <v>#N/A</v>
      </c>
      <c r="AD3447" s="81" t="e">
        <f>IF(X3447=2,HLOOKUP(R3447,データについて!$J$12:$M$18,7,FALSE),"*")</f>
        <v>#N/A</v>
      </c>
    </row>
    <row r="3448" spans="19:30">
      <c r="S3448" s="81" t="e">
        <f>HLOOKUP(L3448,データについて!$J$6:$M$18,13,FALSE)</f>
        <v>#N/A</v>
      </c>
      <c r="T3448" s="81" t="e">
        <f>HLOOKUP(M3448,データについて!$J$7:$M$18,12,FALSE)</f>
        <v>#N/A</v>
      </c>
      <c r="U3448" s="81" t="e">
        <f>HLOOKUP(N3448,データについて!$J$8:$M$18,11,FALSE)</f>
        <v>#N/A</v>
      </c>
      <c r="V3448" s="81" t="e">
        <f>HLOOKUP(O3448,データについて!$J$9:$M$18,10,FALSE)</f>
        <v>#N/A</v>
      </c>
      <c r="W3448" s="81" t="e">
        <f>HLOOKUP(P3448,データについて!$J$10:$M$18,9,FALSE)</f>
        <v>#N/A</v>
      </c>
      <c r="X3448" s="81" t="e">
        <f>HLOOKUP(Q3448,データについて!$J$11:$M$18,8,FALSE)</f>
        <v>#N/A</v>
      </c>
      <c r="Y3448" s="81" t="e">
        <f>HLOOKUP(R3448,データについて!$J$12:$M$18,7,FALSE)</f>
        <v>#N/A</v>
      </c>
      <c r="Z3448" s="81" t="e">
        <f>HLOOKUP(I3448,データについて!$J$3:$M$18,16,FALSE)</f>
        <v>#N/A</v>
      </c>
      <c r="AA3448" s="81" t="str">
        <f>IFERROR(HLOOKUP(J3448,データについて!$J$4:$AH$19,16,FALSE),"")</f>
        <v/>
      </c>
      <c r="AB3448" s="81" t="str">
        <f>IFERROR(HLOOKUP(K3448,データについて!$J$5:$AH$20,14,FALSE),"")</f>
        <v/>
      </c>
      <c r="AC3448" s="81" t="e">
        <f>IF(X3448=1,HLOOKUP(R3448,データについて!$J$12:$M$18,7,FALSE),"*")</f>
        <v>#N/A</v>
      </c>
      <c r="AD3448" s="81" t="e">
        <f>IF(X3448=2,HLOOKUP(R3448,データについて!$J$12:$M$18,7,FALSE),"*")</f>
        <v>#N/A</v>
      </c>
    </row>
    <row r="3449" spans="19:30">
      <c r="S3449" s="81" t="e">
        <f>HLOOKUP(L3449,データについて!$J$6:$M$18,13,FALSE)</f>
        <v>#N/A</v>
      </c>
      <c r="T3449" s="81" t="e">
        <f>HLOOKUP(M3449,データについて!$J$7:$M$18,12,FALSE)</f>
        <v>#N/A</v>
      </c>
      <c r="U3449" s="81" t="e">
        <f>HLOOKUP(N3449,データについて!$J$8:$M$18,11,FALSE)</f>
        <v>#N/A</v>
      </c>
      <c r="V3449" s="81" t="e">
        <f>HLOOKUP(O3449,データについて!$J$9:$M$18,10,FALSE)</f>
        <v>#N/A</v>
      </c>
      <c r="W3449" s="81" t="e">
        <f>HLOOKUP(P3449,データについて!$J$10:$M$18,9,FALSE)</f>
        <v>#N/A</v>
      </c>
      <c r="X3449" s="81" t="e">
        <f>HLOOKUP(Q3449,データについて!$J$11:$M$18,8,FALSE)</f>
        <v>#N/A</v>
      </c>
      <c r="Y3449" s="81" t="e">
        <f>HLOOKUP(R3449,データについて!$J$12:$M$18,7,FALSE)</f>
        <v>#N/A</v>
      </c>
      <c r="Z3449" s="81" t="e">
        <f>HLOOKUP(I3449,データについて!$J$3:$M$18,16,FALSE)</f>
        <v>#N/A</v>
      </c>
      <c r="AA3449" s="81" t="str">
        <f>IFERROR(HLOOKUP(J3449,データについて!$J$4:$AH$19,16,FALSE),"")</f>
        <v/>
      </c>
      <c r="AB3449" s="81" t="str">
        <f>IFERROR(HLOOKUP(K3449,データについて!$J$5:$AH$20,14,FALSE),"")</f>
        <v/>
      </c>
      <c r="AC3449" s="81" t="e">
        <f>IF(X3449=1,HLOOKUP(R3449,データについて!$J$12:$M$18,7,FALSE),"*")</f>
        <v>#N/A</v>
      </c>
      <c r="AD3449" s="81" t="e">
        <f>IF(X3449=2,HLOOKUP(R3449,データについて!$J$12:$M$18,7,FALSE),"*")</f>
        <v>#N/A</v>
      </c>
    </row>
    <row r="3450" spans="19:30">
      <c r="S3450" s="81" t="e">
        <f>HLOOKUP(L3450,データについて!$J$6:$M$18,13,FALSE)</f>
        <v>#N/A</v>
      </c>
      <c r="T3450" s="81" t="e">
        <f>HLOOKUP(M3450,データについて!$J$7:$M$18,12,FALSE)</f>
        <v>#N/A</v>
      </c>
      <c r="U3450" s="81" t="e">
        <f>HLOOKUP(N3450,データについて!$J$8:$M$18,11,FALSE)</f>
        <v>#N/A</v>
      </c>
      <c r="V3450" s="81" t="e">
        <f>HLOOKUP(O3450,データについて!$J$9:$M$18,10,FALSE)</f>
        <v>#N/A</v>
      </c>
      <c r="W3450" s="81" t="e">
        <f>HLOOKUP(P3450,データについて!$J$10:$M$18,9,FALSE)</f>
        <v>#N/A</v>
      </c>
      <c r="X3450" s="81" t="e">
        <f>HLOOKUP(Q3450,データについて!$J$11:$M$18,8,FALSE)</f>
        <v>#N/A</v>
      </c>
      <c r="Y3450" s="81" t="e">
        <f>HLOOKUP(R3450,データについて!$J$12:$M$18,7,FALSE)</f>
        <v>#N/A</v>
      </c>
      <c r="Z3450" s="81" t="e">
        <f>HLOOKUP(I3450,データについて!$J$3:$M$18,16,FALSE)</f>
        <v>#N/A</v>
      </c>
      <c r="AA3450" s="81" t="str">
        <f>IFERROR(HLOOKUP(J3450,データについて!$J$4:$AH$19,16,FALSE),"")</f>
        <v/>
      </c>
      <c r="AB3450" s="81" t="str">
        <f>IFERROR(HLOOKUP(K3450,データについて!$J$5:$AH$20,14,FALSE),"")</f>
        <v/>
      </c>
      <c r="AC3450" s="81" t="e">
        <f>IF(X3450=1,HLOOKUP(R3450,データについて!$J$12:$M$18,7,FALSE),"*")</f>
        <v>#N/A</v>
      </c>
      <c r="AD3450" s="81" t="e">
        <f>IF(X3450=2,HLOOKUP(R3450,データについて!$J$12:$M$18,7,FALSE),"*")</f>
        <v>#N/A</v>
      </c>
    </row>
    <row r="3451" spans="19:30">
      <c r="S3451" s="81" t="e">
        <f>HLOOKUP(L3451,データについて!$J$6:$M$18,13,FALSE)</f>
        <v>#N/A</v>
      </c>
      <c r="T3451" s="81" t="e">
        <f>HLOOKUP(M3451,データについて!$J$7:$M$18,12,FALSE)</f>
        <v>#N/A</v>
      </c>
      <c r="U3451" s="81" t="e">
        <f>HLOOKUP(N3451,データについて!$J$8:$M$18,11,FALSE)</f>
        <v>#N/A</v>
      </c>
      <c r="V3451" s="81" t="e">
        <f>HLOOKUP(O3451,データについて!$J$9:$M$18,10,FALSE)</f>
        <v>#N/A</v>
      </c>
      <c r="W3451" s="81" t="e">
        <f>HLOOKUP(P3451,データについて!$J$10:$M$18,9,FALSE)</f>
        <v>#N/A</v>
      </c>
      <c r="X3451" s="81" t="e">
        <f>HLOOKUP(Q3451,データについて!$J$11:$M$18,8,FALSE)</f>
        <v>#N/A</v>
      </c>
      <c r="Y3451" s="81" t="e">
        <f>HLOOKUP(R3451,データについて!$J$12:$M$18,7,FALSE)</f>
        <v>#N/A</v>
      </c>
      <c r="Z3451" s="81" t="e">
        <f>HLOOKUP(I3451,データについて!$J$3:$M$18,16,FALSE)</f>
        <v>#N/A</v>
      </c>
      <c r="AA3451" s="81" t="str">
        <f>IFERROR(HLOOKUP(J3451,データについて!$J$4:$AH$19,16,FALSE),"")</f>
        <v/>
      </c>
      <c r="AB3451" s="81" t="str">
        <f>IFERROR(HLOOKUP(K3451,データについて!$J$5:$AH$20,14,FALSE),"")</f>
        <v/>
      </c>
      <c r="AC3451" s="81" t="e">
        <f>IF(X3451=1,HLOOKUP(R3451,データについて!$J$12:$M$18,7,FALSE),"*")</f>
        <v>#N/A</v>
      </c>
      <c r="AD3451" s="81" t="e">
        <f>IF(X3451=2,HLOOKUP(R3451,データについて!$J$12:$M$18,7,FALSE),"*")</f>
        <v>#N/A</v>
      </c>
    </row>
    <row r="3452" spans="19:30">
      <c r="S3452" s="81" t="e">
        <f>HLOOKUP(L3452,データについて!$J$6:$M$18,13,FALSE)</f>
        <v>#N/A</v>
      </c>
      <c r="T3452" s="81" t="e">
        <f>HLOOKUP(M3452,データについて!$J$7:$M$18,12,FALSE)</f>
        <v>#N/A</v>
      </c>
      <c r="U3452" s="81" t="e">
        <f>HLOOKUP(N3452,データについて!$J$8:$M$18,11,FALSE)</f>
        <v>#N/A</v>
      </c>
      <c r="V3452" s="81" t="e">
        <f>HLOOKUP(O3452,データについて!$J$9:$M$18,10,FALSE)</f>
        <v>#N/A</v>
      </c>
      <c r="W3452" s="81" t="e">
        <f>HLOOKUP(P3452,データについて!$J$10:$M$18,9,FALSE)</f>
        <v>#N/A</v>
      </c>
      <c r="X3452" s="81" t="e">
        <f>HLOOKUP(Q3452,データについて!$J$11:$M$18,8,FALSE)</f>
        <v>#N/A</v>
      </c>
      <c r="Y3452" s="81" t="e">
        <f>HLOOKUP(R3452,データについて!$J$12:$M$18,7,FALSE)</f>
        <v>#N/A</v>
      </c>
      <c r="Z3452" s="81" t="e">
        <f>HLOOKUP(I3452,データについて!$J$3:$M$18,16,FALSE)</f>
        <v>#N/A</v>
      </c>
      <c r="AA3452" s="81" t="str">
        <f>IFERROR(HLOOKUP(J3452,データについて!$J$4:$AH$19,16,FALSE),"")</f>
        <v/>
      </c>
      <c r="AB3452" s="81" t="str">
        <f>IFERROR(HLOOKUP(K3452,データについて!$J$5:$AH$20,14,FALSE),"")</f>
        <v/>
      </c>
      <c r="AC3452" s="81" t="e">
        <f>IF(X3452=1,HLOOKUP(R3452,データについて!$J$12:$M$18,7,FALSE),"*")</f>
        <v>#N/A</v>
      </c>
      <c r="AD3452" s="81" t="e">
        <f>IF(X3452=2,HLOOKUP(R3452,データについて!$J$12:$M$18,7,FALSE),"*")</f>
        <v>#N/A</v>
      </c>
    </row>
    <row r="3453" spans="19:30">
      <c r="S3453" s="81" t="e">
        <f>HLOOKUP(L3453,データについて!$J$6:$M$18,13,FALSE)</f>
        <v>#N/A</v>
      </c>
      <c r="T3453" s="81" t="e">
        <f>HLOOKUP(M3453,データについて!$J$7:$M$18,12,FALSE)</f>
        <v>#N/A</v>
      </c>
      <c r="U3453" s="81" t="e">
        <f>HLOOKUP(N3453,データについて!$J$8:$M$18,11,FALSE)</f>
        <v>#N/A</v>
      </c>
      <c r="V3453" s="81" t="e">
        <f>HLOOKUP(O3453,データについて!$J$9:$M$18,10,FALSE)</f>
        <v>#N/A</v>
      </c>
      <c r="W3453" s="81" t="e">
        <f>HLOOKUP(P3453,データについて!$J$10:$M$18,9,FALSE)</f>
        <v>#N/A</v>
      </c>
      <c r="X3453" s="81" t="e">
        <f>HLOOKUP(Q3453,データについて!$J$11:$M$18,8,FALSE)</f>
        <v>#N/A</v>
      </c>
      <c r="Y3453" s="81" t="e">
        <f>HLOOKUP(R3453,データについて!$J$12:$M$18,7,FALSE)</f>
        <v>#N/A</v>
      </c>
      <c r="Z3453" s="81" t="e">
        <f>HLOOKUP(I3453,データについて!$J$3:$M$18,16,FALSE)</f>
        <v>#N/A</v>
      </c>
      <c r="AA3453" s="81" t="str">
        <f>IFERROR(HLOOKUP(J3453,データについて!$J$4:$AH$19,16,FALSE),"")</f>
        <v/>
      </c>
      <c r="AB3453" s="81" t="str">
        <f>IFERROR(HLOOKUP(K3453,データについて!$J$5:$AH$20,14,FALSE),"")</f>
        <v/>
      </c>
      <c r="AC3453" s="81" t="e">
        <f>IF(X3453=1,HLOOKUP(R3453,データについて!$J$12:$M$18,7,FALSE),"*")</f>
        <v>#N/A</v>
      </c>
      <c r="AD3453" s="81" t="e">
        <f>IF(X3453=2,HLOOKUP(R3453,データについて!$J$12:$M$18,7,FALSE),"*")</f>
        <v>#N/A</v>
      </c>
    </row>
    <row r="3454" spans="19:30">
      <c r="S3454" s="81" t="e">
        <f>HLOOKUP(L3454,データについて!$J$6:$M$18,13,FALSE)</f>
        <v>#N/A</v>
      </c>
      <c r="T3454" s="81" t="e">
        <f>HLOOKUP(M3454,データについて!$J$7:$M$18,12,FALSE)</f>
        <v>#N/A</v>
      </c>
      <c r="U3454" s="81" t="e">
        <f>HLOOKUP(N3454,データについて!$J$8:$M$18,11,FALSE)</f>
        <v>#N/A</v>
      </c>
      <c r="V3454" s="81" t="e">
        <f>HLOOKUP(O3454,データについて!$J$9:$M$18,10,FALSE)</f>
        <v>#N/A</v>
      </c>
      <c r="W3454" s="81" t="e">
        <f>HLOOKUP(P3454,データについて!$J$10:$M$18,9,FALSE)</f>
        <v>#N/A</v>
      </c>
      <c r="X3454" s="81" t="e">
        <f>HLOOKUP(Q3454,データについて!$J$11:$M$18,8,FALSE)</f>
        <v>#N/A</v>
      </c>
      <c r="Y3454" s="81" t="e">
        <f>HLOOKUP(R3454,データについて!$J$12:$M$18,7,FALSE)</f>
        <v>#N/A</v>
      </c>
      <c r="Z3454" s="81" t="e">
        <f>HLOOKUP(I3454,データについて!$J$3:$M$18,16,FALSE)</f>
        <v>#N/A</v>
      </c>
      <c r="AA3454" s="81" t="str">
        <f>IFERROR(HLOOKUP(J3454,データについて!$J$4:$AH$19,16,FALSE),"")</f>
        <v/>
      </c>
      <c r="AB3454" s="81" t="str">
        <f>IFERROR(HLOOKUP(K3454,データについて!$J$5:$AH$20,14,FALSE),"")</f>
        <v/>
      </c>
      <c r="AC3454" s="81" t="e">
        <f>IF(X3454=1,HLOOKUP(R3454,データについて!$J$12:$M$18,7,FALSE),"*")</f>
        <v>#N/A</v>
      </c>
      <c r="AD3454" s="81" t="e">
        <f>IF(X3454=2,HLOOKUP(R3454,データについて!$J$12:$M$18,7,FALSE),"*")</f>
        <v>#N/A</v>
      </c>
    </row>
    <row r="3455" spans="19:30">
      <c r="S3455" s="81" t="e">
        <f>HLOOKUP(L3455,データについて!$J$6:$M$18,13,FALSE)</f>
        <v>#N/A</v>
      </c>
      <c r="T3455" s="81" t="e">
        <f>HLOOKUP(M3455,データについて!$J$7:$M$18,12,FALSE)</f>
        <v>#N/A</v>
      </c>
      <c r="U3455" s="81" t="e">
        <f>HLOOKUP(N3455,データについて!$J$8:$M$18,11,FALSE)</f>
        <v>#N/A</v>
      </c>
      <c r="V3455" s="81" t="e">
        <f>HLOOKUP(O3455,データについて!$J$9:$M$18,10,FALSE)</f>
        <v>#N/A</v>
      </c>
      <c r="W3455" s="81" t="e">
        <f>HLOOKUP(P3455,データについて!$J$10:$M$18,9,FALSE)</f>
        <v>#N/A</v>
      </c>
      <c r="X3455" s="81" t="e">
        <f>HLOOKUP(Q3455,データについて!$J$11:$M$18,8,FALSE)</f>
        <v>#N/A</v>
      </c>
      <c r="Y3455" s="81" t="e">
        <f>HLOOKUP(R3455,データについて!$J$12:$M$18,7,FALSE)</f>
        <v>#N/A</v>
      </c>
      <c r="Z3455" s="81" t="e">
        <f>HLOOKUP(I3455,データについて!$J$3:$M$18,16,FALSE)</f>
        <v>#N/A</v>
      </c>
      <c r="AA3455" s="81" t="str">
        <f>IFERROR(HLOOKUP(J3455,データについて!$J$4:$AH$19,16,FALSE),"")</f>
        <v/>
      </c>
      <c r="AB3455" s="81" t="str">
        <f>IFERROR(HLOOKUP(K3455,データについて!$J$5:$AH$20,14,FALSE),"")</f>
        <v/>
      </c>
      <c r="AC3455" s="81" t="e">
        <f>IF(X3455=1,HLOOKUP(R3455,データについて!$J$12:$M$18,7,FALSE),"*")</f>
        <v>#N/A</v>
      </c>
      <c r="AD3455" s="81" t="e">
        <f>IF(X3455=2,HLOOKUP(R3455,データについて!$J$12:$M$18,7,FALSE),"*")</f>
        <v>#N/A</v>
      </c>
    </row>
    <row r="3456" spans="19:30">
      <c r="S3456" s="81" t="e">
        <f>HLOOKUP(L3456,データについて!$J$6:$M$18,13,FALSE)</f>
        <v>#N/A</v>
      </c>
      <c r="T3456" s="81" t="e">
        <f>HLOOKUP(M3456,データについて!$J$7:$M$18,12,FALSE)</f>
        <v>#N/A</v>
      </c>
      <c r="U3456" s="81" t="e">
        <f>HLOOKUP(N3456,データについて!$J$8:$M$18,11,FALSE)</f>
        <v>#N/A</v>
      </c>
      <c r="V3456" s="81" t="e">
        <f>HLOOKUP(O3456,データについて!$J$9:$M$18,10,FALSE)</f>
        <v>#N/A</v>
      </c>
      <c r="W3456" s="81" t="e">
        <f>HLOOKUP(P3456,データについて!$J$10:$M$18,9,FALSE)</f>
        <v>#N/A</v>
      </c>
      <c r="X3456" s="81" t="e">
        <f>HLOOKUP(Q3456,データについて!$J$11:$M$18,8,FALSE)</f>
        <v>#N/A</v>
      </c>
      <c r="Y3456" s="81" t="e">
        <f>HLOOKUP(R3456,データについて!$J$12:$M$18,7,FALSE)</f>
        <v>#N/A</v>
      </c>
      <c r="Z3456" s="81" t="e">
        <f>HLOOKUP(I3456,データについて!$J$3:$M$18,16,FALSE)</f>
        <v>#N/A</v>
      </c>
      <c r="AA3456" s="81" t="str">
        <f>IFERROR(HLOOKUP(J3456,データについて!$J$4:$AH$19,16,FALSE),"")</f>
        <v/>
      </c>
      <c r="AB3456" s="81" t="str">
        <f>IFERROR(HLOOKUP(K3456,データについて!$J$5:$AH$20,14,FALSE),"")</f>
        <v/>
      </c>
      <c r="AC3456" s="81" t="e">
        <f>IF(X3456=1,HLOOKUP(R3456,データについて!$J$12:$M$18,7,FALSE),"*")</f>
        <v>#N/A</v>
      </c>
      <c r="AD3456" s="81" t="e">
        <f>IF(X3456=2,HLOOKUP(R3456,データについて!$J$12:$M$18,7,FALSE),"*")</f>
        <v>#N/A</v>
      </c>
    </row>
    <row r="3457" spans="19:30">
      <c r="S3457" s="81" t="e">
        <f>HLOOKUP(L3457,データについて!$J$6:$M$18,13,FALSE)</f>
        <v>#N/A</v>
      </c>
      <c r="T3457" s="81" t="e">
        <f>HLOOKUP(M3457,データについて!$J$7:$M$18,12,FALSE)</f>
        <v>#N/A</v>
      </c>
      <c r="U3457" s="81" t="e">
        <f>HLOOKUP(N3457,データについて!$J$8:$M$18,11,FALSE)</f>
        <v>#N/A</v>
      </c>
      <c r="V3457" s="81" t="e">
        <f>HLOOKUP(O3457,データについて!$J$9:$M$18,10,FALSE)</f>
        <v>#N/A</v>
      </c>
      <c r="W3457" s="81" t="e">
        <f>HLOOKUP(P3457,データについて!$J$10:$M$18,9,FALSE)</f>
        <v>#N/A</v>
      </c>
      <c r="X3457" s="81" t="e">
        <f>HLOOKUP(Q3457,データについて!$J$11:$M$18,8,FALSE)</f>
        <v>#N/A</v>
      </c>
      <c r="Y3457" s="81" t="e">
        <f>HLOOKUP(R3457,データについて!$J$12:$M$18,7,FALSE)</f>
        <v>#N/A</v>
      </c>
      <c r="Z3457" s="81" t="e">
        <f>HLOOKUP(I3457,データについて!$J$3:$M$18,16,FALSE)</f>
        <v>#N/A</v>
      </c>
      <c r="AA3457" s="81" t="str">
        <f>IFERROR(HLOOKUP(J3457,データについて!$J$4:$AH$19,16,FALSE),"")</f>
        <v/>
      </c>
      <c r="AB3457" s="81" t="str">
        <f>IFERROR(HLOOKUP(K3457,データについて!$J$5:$AH$20,14,FALSE),"")</f>
        <v/>
      </c>
      <c r="AC3457" s="81" t="e">
        <f>IF(X3457=1,HLOOKUP(R3457,データについて!$J$12:$M$18,7,FALSE),"*")</f>
        <v>#N/A</v>
      </c>
      <c r="AD3457" s="81" t="e">
        <f>IF(X3457=2,HLOOKUP(R3457,データについて!$J$12:$M$18,7,FALSE),"*")</f>
        <v>#N/A</v>
      </c>
    </row>
    <row r="3458" spans="19:30">
      <c r="S3458" s="81" t="e">
        <f>HLOOKUP(L3458,データについて!$J$6:$M$18,13,FALSE)</f>
        <v>#N/A</v>
      </c>
      <c r="T3458" s="81" t="e">
        <f>HLOOKUP(M3458,データについて!$J$7:$M$18,12,FALSE)</f>
        <v>#N/A</v>
      </c>
      <c r="U3458" s="81" t="e">
        <f>HLOOKUP(N3458,データについて!$J$8:$M$18,11,FALSE)</f>
        <v>#N/A</v>
      </c>
      <c r="V3458" s="81" t="e">
        <f>HLOOKUP(O3458,データについて!$J$9:$M$18,10,FALSE)</f>
        <v>#N/A</v>
      </c>
      <c r="W3458" s="81" t="e">
        <f>HLOOKUP(P3458,データについて!$J$10:$M$18,9,FALSE)</f>
        <v>#N/A</v>
      </c>
      <c r="X3458" s="81" t="e">
        <f>HLOOKUP(Q3458,データについて!$J$11:$M$18,8,FALSE)</f>
        <v>#N/A</v>
      </c>
      <c r="Y3458" s="81" t="e">
        <f>HLOOKUP(R3458,データについて!$J$12:$M$18,7,FALSE)</f>
        <v>#N/A</v>
      </c>
      <c r="Z3458" s="81" t="e">
        <f>HLOOKUP(I3458,データについて!$J$3:$M$18,16,FALSE)</f>
        <v>#N/A</v>
      </c>
      <c r="AA3458" s="81" t="str">
        <f>IFERROR(HLOOKUP(J3458,データについて!$J$4:$AH$19,16,FALSE),"")</f>
        <v/>
      </c>
      <c r="AB3458" s="81" t="str">
        <f>IFERROR(HLOOKUP(K3458,データについて!$J$5:$AH$20,14,FALSE),"")</f>
        <v/>
      </c>
      <c r="AC3458" s="81" t="e">
        <f>IF(X3458=1,HLOOKUP(R3458,データについて!$J$12:$M$18,7,FALSE),"*")</f>
        <v>#N/A</v>
      </c>
      <c r="AD3458" s="81" t="e">
        <f>IF(X3458=2,HLOOKUP(R3458,データについて!$J$12:$M$18,7,FALSE),"*")</f>
        <v>#N/A</v>
      </c>
    </row>
    <row r="3459" spans="19:30">
      <c r="S3459" s="81" t="e">
        <f>HLOOKUP(L3459,データについて!$J$6:$M$18,13,FALSE)</f>
        <v>#N/A</v>
      </c>
      <c r="T3459" s="81" t="e">
        <f>HLOOKUP(M3459,データについて!$J$7:$M$18,12,FALSE)</f>
        <v>#N/A</v>
      </c>
      <c r="U3459" s="81" t="e">
        <f>HLOOKUP(N3459,データについて!$J$8:$M$18,11,FALSE)</f>
        <v>#N/A</v>
      </c>
      <c r="V3459" s="81" t="e">
        <f>HLOOKUP(O3459,データについて!$J$9:$M$18,10,FALSE)</f>
        <v>#N/A</v>
      </c>
      <c r="W3459" s="81" t="e">
        <f>HLOOKUP(P3459,データについて!$J$10:$M$18,9,FALSE)</f>
        <v>#N/A</v>
      </c>
      <c r="X3459" s="81" t="e">
        <f>HLOOKUP(Q3459,データについて!$J$11:$M$18,8,FALSE)</f>
        <v>#N/A</v>
      </c>
      <c r="Y3459" s="81" t="e">
        <f>HLOOKUP(R3459,データについて!$J$12:$M$18,7,FALSE)</f>
        <v>#N/A</v>
      </c>
      <c r="Z3459" s="81" t="e">
        <f>HLOOKUP(I3459,データについて!$J$3:$M$18,16,FALSE)</f>
        <v>#N/A</v>
      </c>
      <c r="AA3459" s="81" t="str">
        <f>IFERROR(HLOOKUP(J3459,データについて!$J$4:$AH$19,16,FALSE),"")</f>
        <v/>
      </c>
      <c r="AB3459" s="81" t="str">
        <f>IFERROR(HLOOKUP(K3459,データについて!$J$5:$AH$20,14,FALSE),"")</f>
        <v/>
      </c>
      <c r="AC3459" s="81" t="e">
        <f>IF(X3459=1,HLOOKUP(R3459,データについて!$J$12:$M$18,7,FALSE),"*")</f>
        <v>#N/A</v>
      </c>
      <c r="AD3459" s="81" t="e">
        <f>IF(X3459=2,HLOOKUP(R3459,データについて!$J$12:$M$18,7,FALSE),"*")</f>
        <v>#N/A</v>
      </c>
    </row>
    <row r="3460" spans="19:30">
      <c r="S3460" s="81" t="e">
        <f>HLOOKUP(L3460,データについて!$J$6:$M$18,13,FALSE)</f>
        <v>#N/A</v>
      </c>
      <c r="T3460" s="81" t="e">
        <f>HLOOKUP(M3460,データについて!$J$7:$M$18,12,FALSE)</f>
        <v>#N/A</v>
      </c>
      <c r="U3460" s="81" t="e">
        <f>HLOOKUP(N3460,データについて!$J$8:$M$18,11,FALSE)</f>
        <v>#N/A</v>
      </c>
      <c r="V3460" s="81" t="e">
        <f>HLOOKUP(O3460,データについて!$J$9:$M$18,10,FALSE)</f>
        <v>#N/A</v>
      </c>
      <c r="W3460" s="81" t="e">
        <f>HLOOKUP(P3460,データについて!$J$10:$M$18,9,FALSE)</f>
        <v>#N/A</v>
      </c>
      <c r="X3460" s="81" t="e">
        <f>HLOOKUP(Q3460,データについて!$J$11:$M$18,8,FALSE)</f>
        <v>#N/A</v>
      </c>
      <c r="Y3460" s="81" t="e">
        <f>HLOOKUP(R3460,データについて!$J$12:$M$18,7,FALSE)</f>
        <v>#N/A</v>
      </c>
      <c r="Z3460" s="81" t="e">
        <f>HLOOKUP(I3460,データについて!$J$3:$M$18,16,FALSE)</f>
        <v>#N/A</v>
      </c>
      <c r="AA3460" s="81" t="str">
        <f>IFERROR(HLOOKUP(J3460,データについて!$J$4:$AH$19,16,FALSE),"")</f>
        <v/>
      </c>
      <c r="AB3460" s="81" t="str">
        <f>IFERROR(HLOOKUP(K3460,データについて!$J$5:$AH$20,14,FALSE),"")</f>
        <v/>
      </c>
      <c r="AC3460" s="81" t="e">
        <f>IF(X3460=1,HLOOKUP(R3460,データについて!$J$12:$M$18,7,FALSE),"*")</f>
        <v>#N/A</v>
      </c>
      <c r="AD3460" s="81" t="e">
        <f>IF(X3460=2,HLOOKUP(R3460,データについて!$J$12:$M$18,7,FALSE),"*")</f>
        <v>#N/A</v>
      </c>
    </row>
    <row r="3461" spans="19:30">
      <c r="S3461" s="81" t="e">
        <f>HLOOKUP(L3461,データについて!$J$6:$M$18,13,FALSE)</f>
        <v>#N/A</v>
      </c>
      <c r="T3461" s="81" t="e">
        <f>HLOOKUP(M3461,データについて!$J$7:$M$18,12,FALSE)</f>
        <v>#N/A</v>
      </c>
      <c r="U3461" s="81" t="e">
        <f>HLOOKUP(N3461,データについて!$J$8:$M$18,11,FALSE)</f>
        <v>#N/A</v>
      </c>
      <c r="V3461" s="81" t="e">
        <f>HLOOKUP(O3461,データについて!$J$9:$M$18,10,FALSE)</f>
        <v>#N/A</v>
      </c>
      <c r="W3461" s="81" t="e">
        <f>HLOOKUP(P3461,データについて!$J$10:$M$18,9,FALSE)</f>
        <v>#N/A</v>
      </c>
      <c r="X3461" s="81" t="e">
        <f>HLOOKUP(Q3461,データについて!$J$11:$M$18,8,FALSE)</f>
        <v>#N/A</v>
      </c>
      <c r="Y3461" s="81" t="e">
        <f>HLOOKUP(R3461,データについて!$J$12:$M$18,7,FALSE)</f>
        <v>#N/A</v>
      </c>
      <c r="Z3461" s="81" t="e">
        <f>HLOOKUP(I3461,データについて!$J$3:$M$18,16,FALSE)</f>
        <v>#N/A</v>
      </c>
      <c r="AA3461" s="81" t="str">
        <f>IFERROR(HLOOKUP(J3461,データについて!$J$4:$AH$19,16,FALSE),"")</f>
        <v/>
      </c>
      <c r="AB3461" s="81" t="str">
        <f>IFERROR(HLOOKUP(K3461,データについて!$J$5:$AH$20,14,FALSE),"")</f>
        <v/>
      </c>
      <c r="AC3461" s="81" t="e">
        <f>IF(X3461=1,HLOOKUP(R3461,データについて!$J$12:$M$18,7,FALSE),"*")</f>
        <v>#N/A</v>
      </c>
      <c r="AD3461" s="81" t="e">
        <f>IF(X3461=2,HLOOKUP(R3461,データについて!$J$12:$M$18,7,FALSE),"*")</f>
        <v>#N/A</v>
      </c>
    </row>
    <row r="3462" spans="19:30">
      <c r="S3462" s="81" t="e">
        <f>HLOOKUP(L3462,データについて!$J$6:$M$18,13,FALSE)</f>
        <v>#N/A</v>
      </c>
      <c r="T3462" s="81" t="e">
        <f>HLOOKUP(M3462,データについて!$J$7:$M$18,12,FALSE)</f>
        <v>#N/A</v>
      </c>
      <c r="U3462" s="81" t="e">
        <f>HLOOKUP(N3462,データについて!$J$8:$M$18,11,FALSE)</f>
        <v>#N/A</v>
      </c>
      <c r="V3462" s="81" t="e">
        <f>HLOOKUP(O3462,データについて!$J$9:$M$18,10,FALSE)</f>
        <v>#N/A</v>
      </c>
      <c r="W3462" s="81" t="e">
        <f>HLOOKUP(P3462,データについて!$J$10:$M$18,9,FALSE)</f>
        <v>#N/A</v>
      </c>
      <c r="X3462" s="81" t="e">
        <f>HLOOKUP(Q3462,データについて!$J$11:$M$18,8,FALSE)</f>
        <v>#N/A</v>
      </c>
      <c r="Y3462" s="81" t="e">
        <f>HLOOKUP(R3462,データについて!$J$12:$M$18,7,FALSE)</f>
        <v>#N/A</v>
      </c>
      <c r="Z3462" s="81" t="e">
        <f>HLOOKUP(I3462,データについて!$J$3:$M$18,16,FALSE)</f>
        <v>#N/A</v>
      </c>
      <c r="AA3462" s="81" t="str">
        <f>IFERROR(HLOOKUP(J3462,データについて!$J$4:$AH$19,16,FALSE),"")</f>
        <v/>
      </c>
      <c r="AB3462" s="81" t="str">
        <f>IFERROR(HLOOKUP(K3462,データについて!$J$5:$AH$20,14,FALSE),"")</f>
        <v/>
      </c>
      <c r="AC3462" s="81" t="e">
        <f>IF(X3462=1,HLOOKUP(R3462,データについて!$J$12:$M$18,7,FALSE),"*")</f>
        <v>#N/A</v>
      </c>
      <c r="AD3462" s="81" t="e">
        <f>IF(X3462=2,HLOOKUP(R3462,データについて!$J$12:$M$18,7,FALSE),"*")</f>
        <v>#N/A</v>
      </c>
    </row>
    <row r="3463" spans="19:30">
      <c r="S3463" s="81" t="e">
        <f>HLOOKUP(L3463,データについて!$J$6:$M$18,13,FALSE)</f>
        <v>#N/A</v>
      </c>
      <c r="T3463" s="81" t="e">
        <f>HLOOKUP(M3463,データについて!$J$7:$M$18,12,FALSE)</f>
        <v>#N/A</v>
      </c>
      <c r="U3463" s="81" t="e">
        <f>HLOOKUP(N3463,データについて!$J$8:$M$18,11,FALSE)</f>
        <v>#N/A</v>
      </c>
      <c r="V3463" s="81" t="e">
        <f>HLOOKUP(O3463,データについて!$J$9:$M$18,10,FALSE)</f>
        <v>#N/A</v>
      </c>
      <c r="W3463" s="81" t="e">
        <f>HLOOKUP(P3463,データについて!$J$10:$M$18,9,FALSE)</f>
        <v>#N/A</v>
      </c>
      <c r="X3463" s="81" t="e">
        <f>HLOOKUP(Q3463,データについて!$J$11:$M$18,8,FALSE)</f>
        <v>#N/A</v>
      </c>
      <c r="Y3463" s="81" t="e">
        <f>HLOOKUP(R3463,データについて!$J$12:$M$18,7,FALSE)</f>
        <v>#N/A</v>
      </c>
      <c r="Z3463" s="81" t="e">
        <f>HLOOKUP(I3463,データについて!$J$3:$M$18,16,FALSE)</f>
        <v>#N/A</v>
      </c>
      <c r="AA3463" s="81" t="str">
        <f>IFERROR(HLOOKUP(J3463,データについて!$J$4:$AH$19,16,FALSE),"")</f>
        <v/>
      </c>
      <c r="AB3463" s="81" t="str">
        <f>IFERROR(HLOOKUP(K3463,データについて!$J$5:$AH$20,14,FALSE),"")</f>
        <v/>
      </c>
      <c r="AC3463" s="81" t="e">
        <f>IF(X3463=1,HLOOKUP(R3463,データについて!$J$12:$M$18,7,FALSE),"*")</f>
        <v>#N/A</v>
      </c>
      <c r="AD3463" s="81" t="e">
        <f>IF(X3463=2,HLOOKUP(R3463,データについて!$J$12:$M$18,7,FALSE),"*")</f>
        <v>#N/A</v>
      </c>
    </row>
    <row r="3464" spans="19:30">
      <c r="S3464" s="81" t="e">
        <f>HLOOKUP(L3464,データについて!$J$6:$M$18,13,FALSE)</f>
        <v>#N/A</v>
      </c>
      <c r="T3464" s="81" t="e">
        <f>HLOOKUP(M3464,データについて!$J$7:$M$18,12,FALSE)</f>
        <v>#N/A</v>
      </c>
      <c r="U3464" s="81" t="e">
        <f>HLOOKUP(N3464,データについて!$J$8:$M$18,11,FALSE)</f>
        <v>#N/A</v>
      </c>
      <c r="V3464" s="81" t="e">
        <f>HLOOKUP(O3464,データについて!$J$9:$M$18,10,FALSE)</f>
        <v>#N/A</v>
      </c>
      <c r="W3464" s="81" t="e">
        <f>HLOOKUP(P3464,データについて!$J$10:$M$18,9,FALSE)</f>
        <v>#N/A</v>
      </c>
      <c r="X3464" s="81" t="e">
        <f>HLOOKUP(Q3464,データについて!$J$11:$M$18,8,FALSE)</f>
        <v>#N/A</v>
      </c>
      <c r="Y3464" s="81" t="e">
        <f>HLOOKUP(R3464,データについて!$J$12:$M$18,7,FALSE)</f>
        <v>#N/A</v>
      </c>
      <c r="Z3464" s="81" t="e">
        <f>HLOOKUP(I3464,データについて!$J$3:$M$18,16,FALSE)</f>
        <v>#N/A</v>
      </c>
      <c r="AA3464" s="81" t="str">
        <f>IFERROR(HLOOKUP(J3464,データについて!$J$4:$AH$19,16,FALSE),"")</f>
        <v/>
      </c>
      <c r="AB3464" s="81" t="str">
        <f>IFERROR(HLOOKUP(K3464,データについて!$J$5:$AH$20,14,FALSE),"")</f>
        <v/>
      </c>
      <c r="AC3464" s="81" t="e">
        <f>IF(X3464=1,HLOOKUP(R3464,データについて!$J$12:$M$18,7,FALSE),"*")</f>
        <v>#N/A</v>
      </c>
      <c r="AD3464" s="81" t="e">
        <f>IF(X3464=2,HLOOKUP(R3464,データについて!$J$12:$M$18,7,FALSE),"*")</f>
        <v>#N/A</v>
      </c>
    </row>
    <row r="3465" spans="19:30">
      <c r="S3465" s="81" t="e">
        <f>HLOOKUP(L3465,データについて!$J$6:$M$18,13,FALSE)</f>
        <v>#N/A</v>
      </c>
      <c r="T3465" s="81" t="e">
        <f>HLOOKUP(M3465,データについて!$J$7:$M$18,12,FALSE)</f>
        <v>#N/A</v>
      </c>
      <c r="U3465" s="81" t="e">
        <f>HLOOKUP(N3465,データについて!$J$8:$M$18,11,FALSE)</f>
        <v>#N/A</v>
      </c>
      <c r="V3465" s="81" t="e">
        <f>HLOOKUP(O3465,データについて!$J$9:$M$18,10,FALSE)</f>
        <v>#N/A</v>
      </c>
      <c r="W3465" s="81" t="e">
        <f>HLOOKUP(P3465,データについて!$J$10:$M$18,9,FALSE)</f>
        <v>#N/A</v>
      </c>
      <c r="X3465" s="81" t="e">
        <f>HLOOKUP(Q3465,データについて!$J$11:$M$18,8,FALSE)</f>
        <v>#N/A</v>
      </c>
      <c r="Y3465" s="81" t="e">
        <f>HLOOKUP(R3465,データについて!$J$12:$M$18,7,FALSE)</f>
        <v>#N/A</v>
      </c>
      <c r="Z3465" s="81" t="e">
        <f>HLOOKUP(I3465,データについて!$J$3:$M$18,16,FALSE)</f>
        <v>#N/A</v>
      </c>
      <c r="AA3465" s="81" t="str">
        <f>IFERROR(HLOOKUP(J3465,データについて!$J$4:$AH$19,16,FALSE),"")</f>
        <v/>
      </c>
      <c r="AB3465" s="81" t="str">
        <f>IFERROR(HLOOKUP(K3465,データについて!$J$5:$AH$20,14,FALSE),"")</f>
        <v/>
      </c>
      <c r="AC3465" s="81" t="e">
        <f>IF(X3465=1,HLOOKUP(R3465,データについて!$J$12:$M$18,7,FALSE),"*")</f>
        <v>#N/A</v>
      </c>
      <c r="AD3465" s="81" t="e">
        <f>IF(X3465=2,HLOOKUP(R3465,データについて!$J$12:$M$18,7,FALSE),"*")</f>
        <v>#N/A</v>
      </c>
    </row>
    <row r="3466" spans="19:30">
      <c r="S3466" s="81" t="e">
        <f>HLOOKUP(L3466,データについて!$J$6:$M$18,13,FALSE)</f>
        <v>#N/A</v>
      </c>
      <c r="T3466" s="81" t="e">
        <f>HLOOKUP(M3466,データについて!$J$7:$M$18,12,FALSE)</f>
        <v>#N/A</v>
      </c>
      <c r="U3466" s="81" t="e">
        <f>HLOOKUP(N3466,データについて!$J$8:$M$18,11,FALSE)</f>
        <v>#N/A</v>
      </c>
      <c r="V3466" s="81" t="e">
        <f>HLOOKUP(O3466,データについて!$J$9:$M$18,10,FALSE)</f>
        <v>#N/A</v>
      </c>
      <c r="W3466" s="81" t="e">
        <f>HLOOKUP(P3466,データについて!$J$10:$M$18,9,FALSE)</f>
        <v>#N/A</v>
      </c>
      <c r="X3466" s="81" t="e">
        <f>HLOOKUP(Q3466,データについて!$J$11:$M$18,8,FALSE)</f>
        <v>#N/A</v>
      </c>
      <c r="Y3466" s="81" t="e">
        <f>HLOOKUP(R3466,データについて!$J$12:$M$18,7,FALSE)</f>
        <v>#N/A</v>
      </c>
      <c r="Z3466" s="81" t="e">
        <f>HLOOKUP(I3466,データについて!$J$3:$M$18,16,FALSE)</f>
        <v>#N/A</v>
      </c>
      <c r="AA3466" s="81" t="str">
        <f>IFERROR(HLOOKUP(J3466,データについて!$J$4:$AH$19,16,FALSE),"")</f>
        <v/>
      </c>
      <c r="AB3466" s="81" t="str">
        <f>IFERROR(HLOOKUP(K3466,データについて!$J$5:$AH$20,14,FALSE),"")</f>
        <v/>
      </c>
      <c r="AC3466" s="81" t="e">
        <f>IF(X3466=1,HLOOKUP(R3466,データについて!$J$12:$M$18,7,FALSE),"*")</f>
        <v>#N/A</v>
      </c>
      <c r="AD3466" s="81" t="e">
        <f>IF(X3466=2,HLOOKUP(R3466,データについて!$J$12:$M$18,7,FALSE),"*")</f>
        <v>#N/A</v>
      </c>
    </row>
    <row r="3467" spans="19:30">
      <c r="S3467" s="81" t="e">
        <f>HLOOKUP(L3467,データについて!$J$6:$M$18,13,FALSE)</f>
        <v>#N/A</v>
      </c>
      <c r="T3467" s="81" t="e">
        <f>HLOOKUP(M3467,データについて!$J$7:$M$18,12,FALSE)</f>
        <v>#N/A</v>
      </c>
      <c r="U3467" s="81" t="e">
        <f>HLOOKUP(N3467,データについて!$J$8:$M$18,11,FALSE)</f>
        <v>#N/A</v>
      </c>
      <c r="V3467" s="81" t="e">
        <f>HLOOKUP(O3467,データについて!$J$9:$M$18,10,FALSE)</f>
        <v>#N/A</v>
      </c>
      <c r="W3467" s="81" t="e">
        <f>HLOOKUP(P3467,データについて!$J$10:$M$18,9,FALSE)</f>
        <v>#N/A</v>
      </c>
      <c r="X3467" s="81" t="e">
        <f>HLOOKUP(Q3467,データについて!$J$11:$M$18,8,FALSE)</f>
        <v>#N/A</v>
      </c>
      <c r="Y3467" s="81" t="e">
        <f>HLOOKUP(R3467,データについて!$J$12:$M$18,7,FALSE)</f>
        <v>#N/A</v>
      </c>
      <c r="Z3467" s="81" t="e">
        <f>HLOOKUP(I3467,データについて!$J$3:$M$18,16,FALSE)</f>
        <v>#N/A</v>
      </c>
      <c r="AA3467" s="81" t="str">
        <f>IFERROR(HLOOKUP(J3467,データについて!$J$4:$AH$19,16,FALSE),"")</f>
        <v/>
      </c>
      <c r="AB3467" s="81" t="str">
        <f>IFERROR(HLOOKUP(K3467,データについて!$J$5:$AH$20,14,FALSE),"")</f>
        <v/>
      </c>
      <c r="AC3467" s="81" t="e">
        <f>IF(X3467=1,HLOOKUP(R3467,データについて!$J$12:$M$18,7,FALSE),"*")</f>
        <v>#N/A</v>
      </c>
      <c r="AD3467" s="81" t="e">
        <f>IF(X3467=2,HLOOKUP(R3467,データについて!$J$12:$M$18,7,FALSE),"*")</f>
        <v>#N/A</v>
      </c>
    </row>
    <row r="3468" spans="19:30">
      <c r="S3468" s="81" t="e">
        <f>HLOOKUP(L3468,データについて!$J$6:$M$18,13,FALSE)</f>
        <v>#N/A</v>
      </c>
      <c r="T3468" s="81" t="e">
        <f>HLOOKUP(M3468,データについて!$J$7:$M$18,12,FALSE)</f>
        <v>#N/A</v>
      </c>
      <c r="U3468" s="81" t="e">
        <f>HLOOKUP(N3468,データについて!$J$8:$M$18,11,FALSE)</f>
        <v>#N/A</v>
      </c>
      <c r="V3468" s="81" t="e">
        <f>HLOOKUP(O3468,データについて!$J$9:$M$18,10,FALSE)</f>
        <v>#N/A</v>
      </c>
      <c r="W3468" s="81" t="e">
        <f>HLOOKUP(P3468,データについて!$J$10:$M$18,9,FALSE)</f>
        <v>#N/A</v>
      </c>
      <c r="X3468" s="81" t="e">
        <f>HLOOKUP(Q3468,データについて!$J$11:$M$18,8,FALSE)</f>
        <v>#N/A</v>
      </c>
      <c r="Y3468" s="81" t="e">
        <f>HLOOKUP(R3468,データについて!$J$12:$M$18,7,FALSE)</f>
        <v>#N/A</v>
      </c>
      <c r="Z3468" s="81" t="e">
        <f>HLOOKUP(I3468,データについて!$J$3:$M$18,16,FALSE)</f>
        <v>#N/A</v>
      </c>
      <c r="AA3468" s="81" t="str">
        <f>IFERROR(HLOOKUP(J3468,データについて!$J$4:$AH$19,16,FALSE),"")</f>
        <v/>
      </c>
      <c r="AB3468" s="81" t="str">
        <f>IFERROR(HLOOKUP(K3468,データについて!$J$5:$AH$20,14,FALSE),"")</f>
        <v/>
      </c>
      <c r="AC3468" s="81" t="e">
        <f>IF(X3468=1,HLOOKUP(R3468,データについて!$J$12:$M$18,7,FALSE),"*")</f>
        <v>#N/A</v>
      </c>
      <c r="AD3468" s="81" t="e">
        <f>IF(X3468=2,HLOOKUP(R3468,データについて!$J$12:$M$18,7,FALSE),"*")</f>
        <v>#N/A</v>
      </c>
    </row>
    <row r="3469" spans="19:30">
      <c r="S3469" s="81" t="e">
        <f>HLOOKUP(L3469,データについて!$J$6:$M$18,13,FALSE)</f>
        <v>#N/A</v>
      </c>
      <c r="T3469" s="81" t="e">
        <f>HLOOKUP(M3469,データについて!$J$7:$M$18,12,FALSE)</f>
        <v>#N/A</v>
      </c>
      <c r="U3469" s="81" t="e">
        <f>HLOOKUP(N3469,データについて!$J$8:$M$18,11,FALSE)</f>
        <v>#N/A</v>
      </c>
      <c r="V3469" s="81" t="e">
        <f>HLOOKUP(O3469,データについて!$J$9:$M$18,10,FALSE)</f>
        <v>#N/A</v>
      </c>
      <c r="W3469" s="81" t="e">
        <f>HLOOKUP(P3469,データについて!$J$10:$M$18,9,FALSE)</f>
        <v>#N/A</v>
      </c>
      <c r="X3469" s="81" t="e">
        <f>HLOOKUP(Q3469,データについて!$J$11:$M$18,8,FALSE)</f>
        <v>#N/A</v>
      </c>
      <c r="Y3469" s="81" t="e">
        <f>HLOOKUP(R3469,データについて!$J$12:$M$18,7,FALSE)</f>
        <v>#N/A</v>
      </c>
      <c r="Z3469" s="81" t="e">
        <f>HLOOKUP(I3469,データについて!$J$3:$M$18,16,FALSE)</f>
        <v>#N/A</v>
      </c>
      <c r="AA3469" s="81" t="str">
        <f>IFERROR(HLOOKUP(J3469,データについて!$J$4:$AH$19,16,FALSE),"")</f>
        <v/>
      </c>
      <c r="AB3469" s="81" t="str">
        <f>IFERROR(HLOOKUP(K3469,データについて!$J$5:$AH$20,14,FALSE),"")</f>
        <v/>
      </c>
      <c r="AC3469" s="81" t="e">
        <f>IF(X3469=1,HLOOKUP(R3469,データについて!$J$12:$M$18,7,FALSE),"*")</f>
        <v>#N/A</v>
      </c>
      <c r="AD3469" s="81" t="e">
        <f>IF(X3469=2,HLOOKUP(R3469,データについて!$J$12:$M$18,7,FALSE),"*")</f>
        <v>#N/A</v>
      </c>
    </row>
    <row r="3470" spans="19:30">
      <c r="S3470" s="81" t="e">
        <f>HLOOKUP(L3470,データについて!$J$6:$M$18,13,FALSE)</f>
        <v>#N/A</v>
      </c>
      <c r="T3470" s="81" t="e">
        <f>HLOOKUP(M3470,データについて!$J$7:$M$18,12,FALSE)</f>
        <v>#N/A</v>
      </c>
      <c r="U3470" s="81" t="e">
        <f>HLOOKUP(N3470,データについて!$J$8:$M$18,11,FALSE)</f>
        <v>#N/A</v>
      </c>
      <c r="V3470" s="81" t="e">
        <f>HLOOKUP(O3470,データについて!$J$9:$M$18,10,FALSE)</f>
        <v>#N/A</v>
      </c>
      <c r="W3470" s="81" t="e">
        <f>HLOOKUP(P3470,データについて!$J$10:$M$18,9,FALSE)</f>
        <v>#N/A</v>
      </c>
      <c r="X3470" s="81" t="e">
        <f>HLOOKUP(Q3470,データについて!$J$11:$M$18,8,FALSE)</f>
        <v>#N/A</v>
      </c>
      <c r="Y3470" s="81" t="e">
        <f>HLOOKUP(R3470,データについて!$J$12:$M$18,7,FALSE)</f>
        <v>#N/A</v>
      </c>
      <c r="Z3470" s="81" t="e">
        <f>HLOOKUP(I3470,データについて!$J$3:$M$18,16,FALSE)</f>
        <v>#N/A</v>
      </c>
      <c r="AA3470" s="81" t="str">
        <f>IFERROR(HLOOKUP(J3470,データについて!$J$4:$AH$19,16,FALSE),"")</f>
        <v/>
      </c>
      <c r="AB3470" s="81" t="str">
        <f>IFERROR(HLOOKUP(K3470,データについて!$J$5:$AH$20,14,FALSE),"")</f>
        <v/>
      </c>
      <c r="AC3470" s="81" t="e">
        <f>IF(X3470=1,HLOOKUP(R3470,データについて!$J$12:$M$18,7,FALSE),"*")</f>
        <v>#N/A</v>
      </c>
      <c r="AD3470" s="81" t="e">
        <f>IF(X3470=2,HLOOKUP(R3470,データについて!$J$12:$M$18,7,FALSE),"*")</f>
        <v>#N/A</v>
      </c>
    </row>
    <row r="3471" spans="19:30">
      <c r="S3471" s="81" t="e">
        <f>HLOOKUP(L3471,データについて!$J$6:$M$18,13,FALSE)</f>
        <v>#N/A</v>
      </c>
      <c r="T3471" s="81" t="e">
        <f>HLOOKUP(M3471,データについて!$J$7:$M$18,12,FALSE)</f>
        <v>#N/A</v>
      </c>
      <c r="U3471" s="81" t="e">
        <f>HLOOKUP(N3471,データについて!$J$8:$M$18,11,FALSE)</f>
        <v>#N/A</v>
      </c>
      <c r="V3471" s="81" t="e">
        <f>HLOOKUP(O3471,データについて!$J$9:$M$18,10,FALSE)</f>
        <v>#N/A</v>
      </c>
      <c r="W3471" s="81" t="e">
        <f>HLOOKUP(P3471,データについて!$J$10:$M$18,9,FALSE)</f>
        <v>#N/A</v>
      </c>
      <c r="X3471" s="81" t="e">
        <f>HLOOKUP(Q3471,データについて!$J$11:$M$18,8,FALSE)</f>
        <v>#N/A</v>
      </c>
      <c r="Y3471" s="81" t="e">
        <f>HLOOKUP(R3471,データについて!$J$12:$M$18,7,FALSE)</f>
        <v>#N/A</v>
      </c>
      <c r="Z3471" s="81" t="e">
        <f>HLOOKUP(I3471,データについて!$J$3:$M$18,16,FALSE)</f>
        <v>#N/A</v>
      </c>
      <c r="AA3471" s="81" t="str">
        <f>IFERROR(HLOOKUP(J3471,データについて!$J$4:$AH$19,16,FALSE),"")</f>
        <v/>
      </c>
      <c r="AB3471" s="81" t="str">
        <f>IFERROR(HLOOKUP(K3471,データについて!$J$5:$AH$20,14,FALSE),"")</f>
        <v/>
      </c>
      <c r="AC3471" s="81" t="e">
        <f>IF(X3471=1,HLOOKUP(R3471,データについて!$J$12:$M$18,7,FALSE),"*")</f>
        <v>#N/A</v>
      </c>
      <c r="AD3471" s="81" t="e">
        <f>IF(X3471=2,HLOOKUP(R3471,データについて!$J$12:$M$18,7,FALSE),"*")</f>
        <v>#N/A</v>
      </c>
    </row>
    <row r="3472" spans="19:30">
      <c r="S3472" s="81" t="e">
        <f>HLOOKUP(L3472,データについて!$J$6:$M$18,13,FALSE)</f>
        <v>#N/A</v>
      </c>
      <c r="T3472" s="81" t="e">
        <f>HLOOKUP(M3472,データについて!$J$7:$M$18,12,FALSE)</f>
        <v>#N/A</v>
      </c>
      <c r="U3472" s="81" t="e">
        <f>HLOOKUP(N3472,データについて!$J$8:$M$18,11,FALSE)</f>
        <v>#N/A</v>
      </c>
      <c r="V3472" s="81" t="e">
        <f>HLOOKUP(O3472,データについて!$J$9:$M$18,10,FALSE)</f>
        <v>#N/A</v>
      </c>
      <c r="W3472" s="81" t="e">
        <f>HLOOKUP(P3472,データについて!$J$10:$M$18,9,FALSE)</f>
        <v>#N/A</v>
      </c>
      <c r="X3472" s="81" t="e">
        <f>HLOOKUP(Q3472,データについて!$J$11:$M$18,8,FALSE)</f>
        <v>#N/A</v>
      </c>
      <c r="Y3472" s="81" t="e">
        <f>HLOOKUP(R3472,データについて!$J$12:$M$18,7,FALSE)</f>
        <v>#N/A</v>
      </c>
      <c r="Z3472" s="81" t="e">
        <f>HLOOKUP(I3472,データについて!$J$3:$M$18,16,FALSE)</f>
        <v>#N/A</v>
      </c>
      <c r="AA3472" s="81" t="str">
        <f>IFERROR(HLOOKUP(J3472,データについて!$J$4:$AH$19,16,FALSE),"")</f>
        <v/>
      </c>
      <c r="AB3472" s="81" t="str">
        <f>IFERROR(HLOOKUP(K3472,データについて!$J$5:$AH$20,14,FALSE),"")</f>
        <v/>
      </c>
      <c r="AC3472" s="81" t="e">
        <f>IF(X3472=1,HLOOKUP(R3472,データについて!$J$12:$M$18,7,FALSE),"*")</f>
        <v>#N/A</v>
      </c>
      <c r="AD3472" s="81" t="e">
        <f>IF(X3472=2,HLOOKUP(R3472,データについて!$J$12:$M$18,7,FALSE),"*")</f>
        <v>#N/A</v>
      </c>
    </row>
    <row r="3473" spans="19:30">
      <c r="S3473" s="81" t="e">
        <f>HLOOKUP(L3473,データについて!$J$6:$M$18,13,FALSE)</f>
        <v>#N/A</v>
      </c>
      <c r="T3473" s="81" t="e">
        <f>HLOOKUP(M3473,データについて!$J$7:$M$18,12,FALSE)</f>
        <v>#N/A</v>
      </c>
      <c r="U3473" s="81" t="e">
        <f>HLOOKUP(N3473,データについて!$J$8:$M$18,11,FALSE)</f>
        <v>#N/A</v>
      </c>
      <c r="V3473" s="81" t="e">
        <f>HLOOKUP(O3473,データについて!$J$9:$M$18,10,FALSE)</f>
        <v>#N/A</v>
      </c>
      <c r="W3473" s="81" t="e">
        <f>HLOOKUP(P3473,データについて!$J$10:$M$18,9,FALSE)</f>
        <v>#N/A</v>
      </c>
      <c r="X3473" s="81" t="e">
        <f>HLOOKUP(Q3473,データについて!$J$11:$M$18,8,FALSE)</f>
        <v>#N/A</v>
      </c>
      <c r="Y3473" s="81" t="e">
        <f>HLOOKUP(R3473,データについて!$J$12:$M$18,7,FALSE)</f>
        <v>#N/A</v>
      </c>
      <c r="Z3473" s="81" t="e">
        <f>HLOOKUP(I3473,データについて!$J$3:$M$18,16,FALSE)</f>
        <v>#N/A</v>
      </c>
      <c r="AA3473" s="81" t="str">
        <f>IFERROR(HLOOKUP(J3473,データについて!$J$4:$AH$19,16,FALSE),"")</f>
        <v/>
      </c>
      <c r="AB3473" s="81" t="str">
        <f>IFERROR(HLOOKUP(K3473,データについて!$J$5:$AH$20,14,FALSE),"")</f>
        <v/>
      </c>
      <c r="AC3473" s="81" t="e">
        <f>IF(X3473=1,HLOOKUP(R3473,データについて!$J$12:$M$18,7,FALSE),"*")</f>
        <v>#N/A</v>
      </c>
      <c r="AD3473" s="81" t="e">
        <f>IF(X3473=2,HLOOKUP(R3473,データについて!$J$12:$M$18,7,FALSE),"*")</f>
        <v>#N/A</v>
      </c>
    </row>
    <row r="3474" spans="19:30">
      <c r="S3474" s="81" t="e">
        <f>HLOOKUP(L3474,データについて!$J$6:$M$18,13,FALSE)</f>
        <v>#N/A</v>
      </c>
      <c r="T3474" s="81" t="e">
        <f>HLOOKUP(M3474,データについて!$J$7:$M$18,12,FALSE)</f>
        <v>#N/A</v>
      </c>
      <c r="U3474" s="81" t="e">
        <f>HLOOKUP(N3474,データについて!$J$8:$M$18,11,FALSE)</f>
        <v>#N/A</v>
      </c>
      <c r="V3474" s="81" t="e">
        <f>HLOOKUP(O3474,データについて!$J$9:$M$18,10,FALSE)</f>
        <v>#N/A</v>
      </c>
      <c r="W3474" s="81" t="e">
        <f>HLOOKUP(P3474,データについて!$J$10:$M$18,9,FALSE)</f>
        <v>#N/A</v>
      </c>
      <c r="X3474" s="81" t="e">
        <f>HLOOKUP(Q3474,データについて!$J$11:$M$18,8,FALSE)</f>
        <v>#N/A</v>
      </c>
      <c r="Y3474" s="81" t="e">
        <f>HLOOKUP(R3474,データについて!$J$12:$M$18,7,FALSE)</f>
        <v>#N/A</v>
      </c>
      <c r="Z3474" s="81" t="e">
        <f>HLOOKUP(I3474,データについて!$J$3:$M$18,16,FALSE)</f>
        <v>#N/A</v>
      </c>
      <c r="AA3474" s="81" t="str">
        <f>IFERROR(HLOOKUP(J3474,データについて!$J$4:$AH$19,16,FALSE),"")</f>
        <v/>
      </c>
      <c r="AB3474" s="81" t="str">
        <f>IFERROR(HLOOKUP(K3474,データについて!$J$5:$AH$20,14,FALSE),"")</f>
        <v/>
      </c>
      <c r="AC3474" s="81" t="e">
        <f>IF(X3474=1,HLOOKUP(R3474,データについて!$J$12:$M$18,7,FALSE),"*")</f>
        <v>#N/A</v>
      </c>
      <c r="AD3474" s="81" t="e">
        <f>IF(X3474=2,HLOOKUP(R3474,データについて!$J$12:$M$18,7,FALSE),"*")</f>
        <v>#N/A</v>
      </c>
    </row>
    <row r="3475" spans="19:30">
      <c r="S3475" s="81" t="e">
        <f>HLOOKUP(L3475,データについて!$J$6:$M$18,13,FALSE)</f>
        <v>#N/A</v>
      </c>
      <c r="T3475" s="81" t="e">
        <f>HLOOKUP(M3475,データについて!$J$7:$M$18,12,FALSE)</f>
        <v>#N/A</v>
      </c>
      <c r="U3475" s="81" t="e">
        <f>HLOOKUP(N3475,データについて!$J$8:$M$18,11,FALSE)</f>
        <v>#N/A</v>
      </c>
      <c r="V3475" s="81" t="e">
        <f>HLOOKUP(O3475,データについて!$J$9:$M$18,10,FALSE)</f>
        <v>#N/A</v>
      </c>
      <c r="W3475" s="81" t="e">
        <f>HLOOKUP(P3475,データについて!$J$10:$M$18,9,FALSE)</f>
        <v>#N/A</v>
      </c>
      <c r="X3475" s="81" t="e">
        <f>HLOOKUP(Q3475,データについて!$J$11:$M$18,8,FALSE)</f>
        <v>#N/A</v>
      </c>
      <c r="Y3475" s="81" t="e">
        <f>HLOOKUP(R3475,データについて!$J$12:$M$18,7,FALSE)</f>
        <v>#N/A</v>
      </c>
      <c r="Z3475" s="81" t="e">
        <f>HLOOKUP(I3475,データについて!$J$3:$M$18,16,FALSE)</f>
        <v>#N/A</v>
      </c>
      <c r="AA3475" s="81" t="str">
        <f>IFERROR(HLOOKUP(J3475,データについて!$J$4:$AH$19,16,FALSE),"")</f>
        <v/>
      </c>
      <c r="AB3475" s="81" t="str">
        <f>IFERROR(HLOOKUP(K3475,データについて!$J$5:$AH$20,14,FALSE),"")</f>
        <v/>
      </c>
      <c r="AC3475" s="81" t="e">
        <f>IF(X3475=1,HLOOKUP(R3475,データについて!$J$12:$M$18,7,FALSE),"*")</f>
        <v>#N/A</v>
      </c>
      <c r="AD3475" s="81" t="e">
        <f>IF(X3475=2,HLOOKUP(R3475,データについて!$J$12:$M$18,7,FALSE),"*")</f>
        <v>#N/A</v>
      </c>
    </row>
    <row r="3476" spans="19:30">
      <c r="S3476" s="81" t="e">
        <f>HLOOKUP(L3476,データについて!$J$6:$M$18,13,FALSE)</f>
        <v>#N/A</v>
      </c>
      <c r="T3476" s="81" t="e">
        <f>HLOOKUP(M3476,データについて!$J$7:$M$18,12,FALSE)</f>
        <v>#N/A</v>
      </c>
      <c r="U3476" s="81" t="e">
        <f>HLOOKUP(N3476,データについて!$J$8:$M$18,11,FALSE)</f>
        <v>#N/A</v>
      </c>
      <c r="V3476" s="81" t="e">
        <f>HLOOKUP(O3476,データについて!$J$9:$M$18,10,FALSE)</f>
        <v>#N/A</v>
      </c>
      <c r="W3476" s="81" t="e">
        <f>HLOOKUP(P3476,データについて!$J$10:$M$18,9,FALSE)</f>
        <v>#N/A</v>
      </c>
      <c r="X3476" s="81" t="e">
        <f>HLOOKUP(Q3476,データについて!$J$11:$M$18,8,FALSE)</f>
        <v>#N/A</v>
      </c>
      <c r="Y3476" s="81" t="e">
        <f>HLOOKUP(R3476,データについて!$J$12:$M$18,7,FALSE)</f>
        <v>#N/A</v>
      </c>
      <c r="Z3476" s="81" t="e">
        <f>HLOOKUP(I3476,データについて!$J$3:$M$18,16,FALSE)</f>
        <v>#N/A</v>
      </c>
      <c r="AA3476" s="81" t="str">
        <f>IFERROR(HLOOKUP(J3476,データについて!$J$4:$AH$19,16,FALSE),"")</f>
        <v/>
      </c>
      <c r="AB3476" s="81" t="str">
        <f>IFERROR(HLOOKUP(K3476,データについて!$J$5:$AH$20,14,FALSE),"")</f>
        <v/>
      </c>
      <c r="AC3476" s="81" t="e">
        <f>IF(X3476=1,HLOOKUP(R3476,データについて!$J$12:$M$18,7,FALSE),"*")</f>
        <v>#N/A</v>
      </c>
      <c r="AD3476" s="81" t="e">
        <f>IF(X3476=2,HLOOKUP(R3476,データについて!$J$12:$M$18,7,FALSE),"*")</f>
        <v>#N/A</v>
      </c>
    </row>
    <row r="3477" spans="19:30">
      <c r="S3477" s="81" t="e">
        <f>HLOOKUP(L3477,データについて!$J$6:$M$18,13,FALSE)</f>
        <v>#N/A</v>
      </c>
      <c r="T3477" s="81" t="e">
        <f>HLOOKUP(M3477,データについて!$J$7:$M$18,12,FALSE)</f>
        <v>#N/A</v>
      </c>
      <c r="U3477" s="81" t="e">
        <f>HLOOKUP(N3477,データについて!$J$8:$M$18,11,FALSE)</f>
        <v>#N/A</v>
      </c>
      <c r="V3477" s="81" t="e">
        <f>HLOOKUP(O3477,データについて!$J$9:$M$18,10,FALSE)</f>
        <v>#N/A</v>
      </c>
      <c r="W3477" s="81" t="e">
        <f>HLOOKUP(P3477,データについて!$J$10:$M$18,9,FALSE)</f>
        <v>#N/A</v>
      </c>
      <c r="X3477" s="81" t="e">
        <f>HLOOKUP(Q3477,データについて!$J$11:$M$18,8,FALSE)</f>
        <v>#N/A</v>
      </c>
      <c r="Y3477" s="81" t="e">
        <f>HLOOKUP(R3477,データについて!$J$12:$M$18,7,FALSE)</f>
        <v>#N/A</v>
      </c>
      <c r="Z3477" s="81" t="e">
        <f>HLOOKUP(I3477,データについて!$J$3:$M$18,16,FALSE)</f>
        <v>#N/A</v>
      </c>
      <c r="AA3477" s="81" t="str">
        <f>IFERROR(HLOOKUP(J3477,データについて!$J$4:$AH$19,16,FALSE),"")</f>
        <v/>
      </c>
      <c r="AB3477" s="81" t="str">
        <f>IFERROR(HLOOKUP(K3477,データについて!$J$5:$AH$20,14,FALSE),"")</f>
        <v/>
      </c>
      <c r="AC3477" s="81" t="e">
        <f>IF(X3477=1,HLOOKUP(R3477,データについて!$J$12:$M$18,7,FALSE),"*")</f>
        <v>#N/A</v>
      </c>
      <c r="AD3477" s="81" t="e">
        <f>IF(X3477=2,HLOOKUP(R3477,データについて!$J$12:$M$18,7,FALSE),"*")</f>
        <v>#N/A</v>
      </c>
    </row>
    <row r="3478" spans="19:30">
      <c r="S3478" s="81" t="e">
        <f>HLOOKUP(L3478,データについて!$J$6:$M$18,13,FALSE)</f>
        <v>#N/A</v>
      </c>
      <c r="T3478" s="81" t="e">
        <f>HLOOKUP(M3478,データについて!$J$7:$M$18,12,FALSE)</f>
        <v>#N/A</v>
      </c>
      <c r="U3478" s="81" t="e">
        <f>HLOOKUP(N3478,データについて!$J$8:$M$18,11,FALSE)</f>
        <v>#N/A</v>
      </c>
      <c r="V3478" s="81" t="e">
        <f>HLOOKUP(O3478,データについて!$J$9:$M$18,10,FALSE)</f>
        <v>#N/A</v>
      </c>
      <c r="W3478" s="81" t="e">
        <f>HLOOKUP(P3478,データについて!$J$10:$M$18,9,FALSE)</f>
        <v>#N/A</v>
      </c>
      <c r="X3478" s="81" t="e">
        <f>HLOOKUP(Q3478,データについて!$J$11:$M$18,8,FALSE)</f>
        <v>#N/A</v>
      </c>
      <c r="Y3478" s="81" t="e">
        <f>HLOOKUP(R3478,データについて!$J$12:$M$18,7,FALSE)</f>
        <v>#N/A</v>
      </c>
      <c r="Z3478" s="81" t="e">
        <f>HLOOKUP(I3478,データについて!$J$3:$M$18,16,FALSE)</f>
        <v>#N/A</v>
      </c>
      <c r="AA3478" s="81" t="str">
        <f>IFERROR(HLOOKUP(J3478,データについて!$J$4:$AH$19,16,FALSE),"")</f>
        <v/>
      </c>
      <c r="AB3478" s="81" t="str">
        <f>IFERROR(HLOOKUP(K3478,データについて!$J$5:$AH$20,14,FALSE),"")</f>
        <v/>
      </c>
      <c r="AC3478" s="81" t="e">
        <f>IF(X3478=1,HLOOKUP(R3478,データについて!$J$12:$M$18,7,FALSE),"*")</f>
        <v>#N/A</v>
      </c>
      <c r="AD3478" s="81" t="e">
        <f>IF(X3478=2,HLOOKUP(R3478,データについて!$J$12:$M$18,7,FALSE),"*")</f>
        <v>#N/A</v>
      </c>
    </row>
    <row r="3479" spans="19:30">
      <c r="S3479" s="81" t="e">
        <f>HLOOKUP(L3479,データについて!$J$6:$M$18,13,FALSE)</f>
        <v>#N/A</v>
      </c>
      <c r="T3479" s="81" t="e">
        <f>HLOOKUP(M3479,データについて!$J$7:$M$18,12,FALSE)</f>
        <v>#N/A</v>
      </c>
      <c r="U3479" s="81" t="e">
        <f>HLOOKUP(N3479,データについて!$J$8:$M$18,11,FALSE)</f>
        <v>#N/A</v>
      </c>
      <c r="V3479" s="81" t="e">
        <f>HLOOKUP(O3479,データについて!$J$9:$M$18,10,FALSE)</f>
        <v>#N/A</v>
      </c>
      <c r="W3479" s="81" t="e">
        <f>HLOOKUP(P3479,データについて!$J$10:$M$18,9,FALSE)</f>
        <v>#N/A</v>
      </c>
      <c r="X3479" s="81" t="e">
        <f>HLOOKUP(Q3479,データについて!$J$11:$M$18,8,FALSE)</f>
        <v>#N/A</v>
      </c>
      <c r="Y3479" s="81" t="e">
        <f>HLOOKUP(R3479,データについて!$J$12:$M$18,7,FALSE)</f>
        <v>#N/A</v>
      </c>
      <c r="Z3479" s="81" t="e">
        <f>HLOOKUP(I3479,データについて!$J$3:$M$18,16,FALSE)</f>
        <v>#N/A</v>
      </c>
      <c r="AA3479" s="81" t="str">
        <f>IFERROR(HLOOKUP(J3479,データについて!$J$4:$AH$19,16,FALSE),"")</f>
        <v/>
      </c>
      <c r="AB3479" s="81" t="str">
        <f>IFERROR(HLOOKUP(K3479,データについて!$J$5:$AH$20,14,FALSE),"")</f>
        <v/>
      </c>
      <c r="AC3479" s="81" t="e">
        <f>IF(X3479=1,HLOOKUP(R3479,データについて!$J$12:$M$18,7,FALSE),"*")</f>
        <v>#N/A</v>
      </c>
      <c r="AD3479" s="81" t="e">
        <f>IF(X3479=2,HLOOKUP(R3479,データについて!$J$12:$M$18,7,FALSE),"*")</f>
        <v>#N/A</v>
      </c>
    </row>
    <row r="3480" spans="19:30">
      <c r="S3480" s="81" t="e">
        <f>HLOOKUP(L3480,データについて!$J$6:$M$18,13,FALSE)</f>
        <v>#N/A</v>
      </c>
      <c r="T3480" s="81" t="e">
        <f>HLOOKUP(M3480,データについて!$J$7:$M$18,12,FALSE)</f>
        <v>#N/A</v>
      </c>
      <c r="U3480" s="81" t="e">
        <f>HLOOKUP(N3480,データについて!$J$8:$M$18,11,FALSE)</f>
        <v>#N/A</v>
      </c>
      <c r="V3480" s="81" t="e">
        <f>HLOOKUP(O3480,データについて!$J$9:$M$18,10,FALSE)</f>
        <v>#N/A</v>
      </c>
      <c r="W3480" s="81" t="e">
        <f>HLOOKUP(P3480,データについて!$J$10:$M$18,9,FALSE)</f>
        <v>#N/A</v>
      </c>
      <c r="X3480" s="81" t="e">
        <f>HLOOKUP(Q3480,データについて!$J$11:$M$18,8,FALSE)</f>
        <v>#N/A</v>
      </c>
      <c r="Y3480" s="81" t="e">
        <f>HLOOKUP(R3480,データについて!$J$12:$M$18,7,FALSE)</f>
        <v>#N/A</v>
      </c>
      <c r="Z3480" s="81" t="e">
        <f>HLOOKUP(I3480,データについて!$J$3:$M$18,16,FALSE)</f>
        <v>#N/A</v>
      </c>
      <c r="AA3480" s="81" t="str">
        <f>IFERROR(HLOOKUP(J3480,データについて!$J$4:$AH$19,16,FALSE),"")</f>
        <v/>
      </c>
      <c r="AB3480" s="81" t="str">
        <f>IFERROR(HLOOKUP(K3480,データについて!$J$5:$AH$20,14,FALSE),"")</f>
        <v/>
      </c>
      <c r="AC3480" s="81" t="e">
        <f>IF(X3480=1,HLOOKUP(R3480,データについて!$J$12:$M$18,7,FALSE),"*")</f>
        <v>#N/A</v>
      </c>
      <c r="AD3480" s="81" t="e">
        <f>IF(X3480=2,HLOOKUP(R3480,データについて!$J$12:$M$18,7,FALSE),"*")</f>
        <v>#N/A</v>
      </c>
    </row>
    <row r="3481" spans="19:30">
      <c r="S3481" s="81" t="e">
        <f>HLOOKUP(L3481,データについて!$J$6:$M$18,13,FALSE)</f>
        <v>#N/A</v>
      </c>
      <c r="T3481" s="81" t="e">
        <f>HLOOKUP(M3481,データについて!$J$7:$M$18,12,FALSE)</f>
        <v>#N/A</v>
      </c>
      <c r="U3481" s="81" t="e">
        <f>HLOOKUP(N3481,データについて!$J$8:$M$18,11,FALSE)</f>
        <v>#N/A</v>
      </c>
      <c r="V3481" s="81" t="e">
        <f>HLOOKUP(O3481,データについて!$J$9:$M$18,10,FALSE)</f>
        <v>#N/A</v>
      </c>
      <c r="W3481" s="81" t="e">
        <f>HLOOKUP(P3481,データについて!$J$10:$M$18,9,FALSE)</f>
        <v>#N/A</v>
      </c>
      <c r="X3481" s="81" t="e">
        <f>HLOOKUP(Q3481,データについて!$J$11:$M$18,8,FALSE)</f>
        <v>#N/A</v>
      </c>
      <c r="Y3481" s="81" t="e">
        <f>HLOOKUP(R3481,データについて!$J$12:$M$18,7,FALSE)</f>
        <v>#N/A</v>
      </c>
      <c r="Z3481" s="81" t="e">
        <f>HLOOKUP(I3481,データについて!$J$3:$M$18,16,FALSE)</f>
        <v>#N/A</v>
      </c>
      <c r="AA3481" s="81" t="str">
        <f>IFERROR(HLOOKUP(J3481,データについて!$J$4:$AH$19,16,FALSE),"")</f>
        <v/>
      </c>
      <c r="AB3481" s="81" t="str">
        <f>IFERROR(HLOOKUP(K3481,データについて!$J$5:$AH$20,14,FALSE),"")</f>
        <v/>
      </c>
      <c r="AC3481" s="81" t="e">
        <f>IF(X3481=1,HLOOKUP(R3481,データについて!$J$12:$M$18,7,FALSE),"*")</f>
        <v>#N/A</v>
      </c>
      <c r="AD3481" s="81" t="e">
        <f>IF(X3481=2,HLOOKUP(R3481,データについて!$J$12:$M$18,7,FALSE),"*")</f>
        <v>#N/A</v>
      </c>
    </row>
    <row r="3482" spans="19:30">
      <c r="S3482" s="81" t="e">
        <f>HLOOKUP(L3482,データについて!$J$6:$M$18,13,FALSE)</f>
        <v>#N/A</v>
      </c>
      <c r="T3482" s="81" t="e">
        <f>HLOOKUP(M3482,データについて!$J$7:$M$18,12,FALSE)</f>
        <v>#N/A</v>
      </c>
      <c r="U3482" s="81" t="e">
        <f>HLOOKUP(N3482,データについて!$J$8:$M$18,11,FALSE)</f>
        <v>#N/A</v>
      </c>
      <c r="V3482" s="81" t="e">
        <f>HLOOKUP(O3482,データについて!$J$9:$M$18,10,FALSE)</f>
        <v>#N/A</v>
      </c>
      <c r="W3482" s="81" t="e">
        <f>HLOOKUP(P3482,データについて!$J$10:$M$18,9,FALSE)</f>
        <v>#N/A</v>
      </c>
      <c r="X3482" s="81" t="e">
        <f>HLOOKUP(Q3482,データについて!$J$11:$M$18,8,FALSE)</f>
        <v>#N/A</v>
      </c>
      <c r="Y3482" s="81" t="e">
        <f>HLOOKUP(R3482,データについて!$J$12:$M$18,7,FALSE)</f>
        <v>#N/A</v>
      </c>
      <c r="Z3482" s="81" t="e">
        <f>HLOOKUP(I3482,データについて!$J$3:$M$18,16,FALSE)</f>
        <v>#N/A</v>
      </c>
      <c r="AA3482" s="81" t="str">
        <f>IFERROR(HLOOKUP(J3482,データについて!$J$4:$AH$19,16,FALSE),"")</f>
        <v/>
      </c>
      <c r="AB3482" s="81" t="str">
        <f>IFERROR(HLOOKUP(K3482,データについて!$J$5:$AH$20,14,FALSE),"")</f>
        <v/>
      </c>
      <c r="AC3482" s="81" t="e">
        <f>IF(X3482=1,HLOOKUP(R3482,データについて!$J$12:$M$18,7,FALSE),"*")</f>
        <v>#N/A</v>
      </c>
      <c r="AD3482" s="81" t="e">
        <f>IF(X3482=2,HLOOKUP(R3482,データについて!$J$12:$M$18,7,FALSE),"*")</f>
        <v>#N/A</v>
      </c>
    </row>
    <row r="3483" spans="19:30">
      <c r="S3483" s="81" t="e">
        <f>HLOOKUP(L3483,データについて!$J$6:$M$18,13,FALSE)</f>
        <v>#N/A</v>
      </c>
      <c r="T3483" s="81" t="e">
        <f>HLOOKUP(M3483,データについて!$J$7:$M$18,12,FALSE)</f>
        <v>#N/A</v>
      </c>
      <c r="U3483" s="81" t="e">
        <f>HLOOKUP(N3483,データについて!$J$8:$M$18,11,FALSE)</f>
        <v>#N/A</v>
      </c>
      <c r="V3483" s="81" t="e">
        <f>HLOOKUP(O3483,データについて!$J$9:$M$18,10,FALSE)</f>
        <v>#N/A</v>
      </c>
      <c r="W3483" s="81" t="e">
        <f>HLOOKUP(P3483,データについて!$J$10:$M$18,9,FALSE)</f>
        <v>#N/A</v>
      </c>
      <c r="X3483" s="81" t="e">
        <f>HLOOKUP(Q3483,データについて!$J$11:$M$18,8,FALSE)</f>
        <v>#N/A</v>
      </c>
      <c r="Y3483" s="81" t="e">
        <f>HLOOKUP(R3483,データについて!$J$12:$M$18,7,FALSE)</f>
        <v>#N/A</v>
      </c>
      <c r="Z3483" s="81" t="e">
        <f>HLOOKUP(I3483,データについて!$J$3:$M$18,16,FALSE)</f>
        <v>#N/A</v>
      </c>
      <c r="AA3483" s="81" t="str">
        <f>IFERROR(HLOOKUP(J3483,データについて!$J$4:$AH$19,16,FALSE),"")</f>
        <v/>
      </c>
      <c r="AB3483" s="81" t="str">
        <f>IFERROR(HLOOKUP(K3483,データについて!$J$5:$AH$20,14,FALSE),"")</f>
        <v/>
      </c>
      <c r="AC3483" s="81" t="e">
        <f>IF(X3483=1,HLOOKUP(R3483,データについて!$J$12:$M$18,7,FALSE),"*")</f>
        <v>#N/A</v>
      </c>
      <c r="AD3483" s="81" t="e">
        <f>IF(X3483=2,HLOOKUP(R3483,データについて!$J$12:$M$18,7,FALSE),"*")</f>
        <v>#N/A</v>
      </c>
    </row>
    <row r="3484" spans="19:30">
      <c r="S3484" s="81" t="e">
        <f>HLOOKUP(L3484,データについて!$J$6:$M$18,13,FALSE)</f>
        <v>#N/A</v>
      </c>
      <c r="T3484" s="81" t="e">
        <f>HLOOKUP(M3484,データについて!$J$7:$M$18,12,FALSE)</f>
        <v>#N/A</v>
      </c>
      <c r="U3484" s="81" t="e">
        <f>HLOOKUP(N3484,データについて!$J$8:$M$18,11,FALSE)</f>
        <v>#N/A</v>
      </c>
      <c r="V3484" s="81" t="e">
        <f>HLOOKUP(O3484,データについて!$J$9:$M$18,10,FALSE)</f>
        <v>#N/A</v>
      </c>
      <c r="W3484" s="81" t="e">
        <f>HLOOKUP(P3484,データについて!$J$10:$M$18,9,FALSE)</f>
        <v>#N/A</v>
      </c>
      <c r="X3484" s="81" t="e">
        <f>HLOOKUP(Q3484,データについて!$J$11:$M$18,8,FALSE)</f>
        <v>#N/A</v>
      </c>
      <c r="Y3484" s="81" t="e">
        <f>HLOOKUP(R3484,データについて!$J$12:$M$18,7,FALSE)</f>
        <v>#N/A</v>
      </c>
      <c r="Z3484" s="81" t="e">
        <f>HLOOKUP(I3484,データについて!$J$3:$M$18,16,FALSE)</f>
        <v>#N/A</v>
      </c>
      <c r="AA3484" s="81" t="str">
        <f>IFERROR(HLOOKUP(J3484,データについて!$J$4:$AH$19,16,FALSE),"")</f>
        <v/>
      </c>
      <c r="AB3484" s="81" t="str">
        <f>IFERROR(HLOOKUP(K3484,データについて!$J$5:$AH$20,14,FALSE),"")</f>
        <v/>
      </c>
      <c r="AC3484" s="81" t="e">
        <f>IF(X3484=1,HLOOKUP(R3484,データについて!$J$12:$M$18,7,FALSE),"*")</f>
        <v>#N/A</v>
      </c>
      <c r="AD3484" s="81" t="e">
        <f>IF(X3484=2,HLOOKUP(R3484,データについて!$J$12:$M$18,7,FALSE),"*")</f>
        <v>#N/A</v>
      </c>
    </row>
    <row r="3485" spans="19:30">
      <c r="S3485" s="81" t="e">
        <f>HLOOKUP(L3485,データについて!$J$6:$M$18,13,FALSE)</f>
        <v>#N/A</v>
      </c>
      <c r="T3485" s="81" t="e">
        <f>HLOOKUP(M3485,データについて!$J$7:$M$18,12,FALSE)</f>
        <v>#N/A</v>
      </c>
      <c r="U3485" s="81" t="e">
        <f>HLOOKUP(N3485,データについて!$J$8:$M$18,11,FALSE)</f>
        <v>#N/A</v>
      </c>
      <c r="V3485" s="81" t="e">
        <f>HLOOKUP(O3485,データについて!$J$9:$M$18,10,FALSE)</f>
        <v>#N/A</v>
      </c>
      <c r="W3485" s="81" t="e">
        <f>HLOOKUP(P3485,データについて!$J$10:$M$18,9,FALSE)</f>
        <v>#N/A</v>
      </c>
      <c r="X3485" s="81" t="e">
        <f>HLOOKUP(Q3485,データについて!$J$11:$M$18,8,FALSE)</f>
        <v>#N/A</v>
      </c>
      <c r="Y3485" s="81" t="e">
        <f>HLOOKUP(R3485,データについて!$J$12:$M$18,7,FALSE)</f>
        <v>#N/A</v>
      </c>
      <c r="Z3485" s="81" t="e">
        <f>HLOOKUP(I3485,データについて!$J$3:$M$18,16,FALSE)</f>
        <v>#N/A</v>
      </c>
      <c r="AA3485" s="81" t="str">
        <f>IFERROR(HLOOKUP(J3485,データについて!$J$4:$AH$19,16,FALSE),"")</f>
        <v/>
      </c>
      <c r="AB3485" s="81" t="str">
        <f>IFERROR(HLOOKUP(K3485,データについて!$J$5:$AH$20,14,FALSE),"")</f>
        <v/>
      </c>
      <c r="AC3485" s="81" t="e">
        <f>IF(X3485=1,HLOOKUP(R3485,データについて!$J$12:$M$18,7,FALSE),"*")</f>
        <v>#N/A</v>
      </c>
      <c r="AD3485" s="81" t="e">
        <f>IF(X3485=2,HLOOKUP(R3485,データについて!$J$12:$M$18,7,FALSE),"*")</f>
        <v>#N/A</v>
      </c>
    </row>
    <row r="3486" spans="19:30">
      <c r="S3486" s="81" t="e">
        <f>HLOOKUP(L3486,データについて!$J$6:$M$18,13,FALSE)</f>
        <v>#N/A</v>
      </c>
      <c r="T3486" s="81" t="e">
        <f>HLOOKUP(M3486,データについて!$J$7:$M$18,12,FALSE)</f>
        <v>#N/A</v>
      </c>
      <c r="U3486" s="81" t="e">
        <f>HLOOKUP(N3486,データについて!$J$8:$M$18,11,FALSE)</f>
        <v>#N/A</v>
      </c>
      <c r="V3486" s="81" t="e">
        <f>HLOOKUP(O3486,データについて!$J$9:$M$18,10,FALSE)</f>
        <v>#N/A</v>
      </c>
      <c r="W3486" s="81" t="e">
        <f>HLOOKUP(P3486,データについて!$J$10:$M$18,9,FALSE)</f>
        <v>#N/A</v>
      </c>
      <c r="X3486" s="81" t="e">
        <f>HLOOKUP(Q3486,データについて!$J$11:$M$18,8,FALSE)</f>
        <v>#N/A</v>
      </c>
      <c r="Y3486" s="81" t="e">
        <f>HLOOKUP(R3486,データについて!$J$12:$M$18,7,FALSE)</f>
        <v>#N/A</v>
      </c>
      <c r="Z3486" s="81" t="e">
        <f>HLOOKUP(I3486,データについて!$J$3:$M$18,16,FALSE)</f>
        <v>#N/A</v>
      </c>
      <c r="AA3486" s="81" t="str">
        <f>IFERROR(HLOOKUP(J3486,データについて!$J$4:$AH$19,16,FALSE),"")</f>
        <v/>
      </c>
      <c r="AB3486" s="81" t="str">
        <f>IFERROR(HLOOKUP(K3486,データについて!$J$5:$AH$20,14,FALSE),"")</f>
        <v/>
      </c>
      <c r="AC3486" s="81" t="e">
        <f>IF(X3486=1,HLOOKUP(R3486,データについて!$J$12:$M$18,7,FALSE),"*")</f>
        <v>#N/A</v>
      </c>
      <c r="AD3486" s="81" t="e">
        <f>IF(X3486=2,HLOOKUP(R3486,データについて!$J$12:$M$18,7,FALSE),"*")</f>
        <v>#N/A</v>
      </c>
    </row>
    <row r="3487" spans="19:30">
      <c r="S3487" s="81" t="e">
        <f>HLOOKUP(L3487,データについて!$J$6:$M$18,13,FALSE)</f>
        <v>#N/A</v>
      </c>
      <c r="T3487" s="81" t="e">
        <f>HLOOKUP(M3487,データについて!$J$7:$M$18,12,FALSE)</f>
        <v>#N/A</v>
      </c>
      <c r="U3487" s="81" t="e">
        <f>HLOOKUP(N3487,データについて!$J$8:$M$18,11,FALSE)</f>
        <v>#N/A</v>
      </c>
      <c r="V3487" s="81" t="e">
        <f>HLOOKUP(O3487,データについて!$J$9:$M$18,10,FALSE)</f>
        <v>#N/A</v>
      </c>
      <c r="W3487" s="81" t="e">
        <f>HLOOKUP(P3487,データについて!$J$10:$M$18,9,FALSE)</f>
        <v>#N/A</v>
      </c>
      <c r="X3487" s="81" t="e">
        <f>HLOOKUP(Q3487,データについて!$J$11:$M$18,8,FALSE)</f>
        <v>#N/A</v>
      </c>
      <c r="Y3487" s="81" t="e">
        <f>HLOOKUP(R3487,データについて!$J$12:$M$18,7,FALSE)</f>
        <v>#N/A</v>
      </c>
      <c r="Z3487" s="81" t="e">
        <f>HLOOKUP(I3487,データについて!$J$3:$M$18,16,FALSE)</f>
        <v>#N/A</v>
      </c>
      <c r="AA3487" s="81" t="str">
        <f>IFERROR(HLOOKUP(J3487,データについて!$J$4:$AH$19,16,FALSE),"")</f>
        <v/>
      </c>
      <c r="AB3487" s="81" t="str">
        <f>IFERROR(HLOOKUP(K3487,データについて!$J$5:$AH$20,14,FALSE),"")</f>
        <v/>
      </c>
      <c r="AC3487" s="81" t="e">
        <f>IF(X3487=1,HLOOKUP(R3487,データについて!$J$12:$M$18,7,FALSE),"*")</f>
        <v>#N/A</v>
      </c>
      <c r="AD3487" s="81" t="e">
        <f>IF(X3487=2,HLOOKUP(R3487,データについて!$J$12:$M$18,7,FALSE),"*")</f>
        <v>#N/A</v>
      </c>
    </row>
    <row r="3488" spans="19:30">
      <c r="S3488" s="81" t="e">
        <f>HLOOKUP(L3488,データについて!$J$6:$M$18,13,FALSE)</f>
        <v>#N/A</v>
      </c>
      <c r="T3488" s="81" t="e">
        <f>HLOOKUP(M3488,データについて!$J$7:$M$18,12,FALSE)</f>
        <v>#N/A</v>
      </c>
      <c r="U3488" s="81" t="e">
        <f>HLOOKUP(N3488,データについて!$J$8:$M$18,11,FALSE)</f>
        <v>#N/A</v>
      </c>
      <c r="V3488" s="81" t="e">
        <f>HLOOKUP(O3488,データについて!$J$9:$M$18,10,FALSE)</f>
        <v>#N/A</v>
      </c>
      <c r="W3488" s="81" t="e">
        <f>HLOOKUP(P3488,データについて!$J$10:$M$18,9,FALSE)</f>
        <v>#N/A</v>
      </c>
      <c r="X3488" s="81" t="e">
        <f>HLOOKUP(Q3488,データについて!$J$11:$M$18,8,FALSE)</f>
        <v>#N/A</v>
      </c>
      <c r="Y3488" s="81" t="e">
        <f>HLOOKUP(R3488,データについて!$J$12:$M$18,7,FALSE)</f>
        <v>#N/A</v>
      </c>
      <c r="Z3488" s="81" t="e">
        <f>HLOOKUP(I3488,データについて!$J$3:$M$18,16,FALSE)</f>
        <v>#N/A</v>
      </c>
      <c r="AA3488" s="81" t="str">
        <f>IFERROR(HLOOKUP(J3488,データについて!$J$4:$AH$19,16,FALSE),"")</f>
        <v/>
      </c>
      <c r="AB3488" s="81" t="str">
        <f>IFERROR(HLOOKUP(K3488,データについて!$J$5:$AH$20,14,FALSE),"")</f>
        <v/>
      </c>
      <c r="AC3488" s="81" t="e">
        <f>IF(X3488=1,HLOOKUP(R3488,データについて!$J$12:$M$18,7,FALSE),"*")</f>
        <v>#N/A</v>
      </c>
      <c r="AD3488" s="81" t="e">
        <f>IF(X3488=2,HLOOKUP(R3488,データについて!$J$12:$M$18,7,FALSE),"*")</f>
        <v>#N/A</v>
      </c>
    </row>
    <row r="3489" spans="19:30">
      <c r="S3489" s="81" t="e">
        <f>HLOOKUP(L3489,データについて!$J$6:$M$18,13,FALSE)</f>
        <v>#N/A</v>
      </c>
      <c r="T3489" s="81" t="e">
        <f>HLOOKUP(M3489,データについて!$J$7:$M$18,12,FALSE)</f>
        <v>#N/A</v>
      </c>
      <c r="U3489" s="81" t="e">
        <f>HLOOKUP(N3489,データについて!$J$8:$M$18,11,FALSE)</f>
        <v>#N/A</v>
      </c>
      <c r="V3489" s="81" t="e">
        <f>HLOOKUP(O3489,データについて!$J$9:$M$18,10,FALSE)</f>
        <v>#N/A</v>
      </c>
      <c r="W3489" s="81" t="e">
        <f>HLOOKUP(P3489,データについて!$J$10:$M$18,9,FALSE)</f>
        <v>#N/A</v>
      </c>
      <c r="X3489" s="81" t="e">
        <f>HLOOKUP(Q3489,データについて!$J$11:$M$18,8,FALSE)</f>
        <v>#N/A</v>
      </c>
      <c r="Y3489" s="81" t="e">
        <f>HLOOKUP(R3489,データについて!$J$12:$M$18,7,FALSE)</f>
        <v>#N/A</v>
      </c>
      <c r="Z3489" s="81" t="e">
        <f>HLOOKUP(I3489,データについて!$J$3:$M$18,16,FALSE)</f>
        <v>#N/A</v>
      </c>
      <c r="AA3489" s="81" t="str">
        <f>IFERROR(HLOOKUP(J3489,データについて!$J$4:$AH$19,16,FALSE),"")</f>
        <v/>
      </c>
      <c r="AB3489" s="81" t="str">
        <f>IFERROR(HLOOKUP(K3489,データについて!$J$5:$AH$20,14,FALSE),"")</f>
        <v/>
      </c>
      <c r="AC3489" s="81" t="e">
        <f>IF(X3489=1,HLOOKUP(R3489,データについて!$J$12:$M$18,7,FALSE),"*")</f>
        <v>#N/A</v>
      </c>
      <c r="AD3489" s="81" t="e">
        <f>IF(X3489=2,HLOOKUP(R3489,データについて!$J$12:$M$18,7,FALSE),"*")</f>
        <v>#N/A</v>
      </c>
    </row>
    <row r="3490" spans="19:30">
      <c r="S3490" s="81" t="e">
        <f>HLOOKUP(L3490,データについて!$J$6:$M$18,13,FALSE)</f>
        <v>#N/A</v>
      </c>
      <c r="T3490" s="81" t="e">
        <f>HLOOKUP(M3490,データについて!$J$7:$M$18,12,FALSE)</f>
        <v>#N/A</v>
      </c>
      <c r="U3490" s="81" t="e">
        <f>HLOOKUP(N3490,データについて!$J$8:$M$18,11,FALSE)</f>
        <v>#N/A</v>
      </c>
      <c r="V3490" s="81" t="e">
        <f>HLOOKUP(O3490,データについて!$J$9:$M$18,10,FALSE)</f>
        <v>#N/A</v>
      </c>
      <c r="W3490" s="81" t="e">
        <f>HLOOKUP(P3490,データについて!$J$10:$M$18,9,FALSE)</f>
        <v>#N/A</v>
      </c>
      <c r="X3490" s="81" t="e">
        <f>HLOOKUP(Q3490,データについて!$J$11:$M$18,8,FALSE)</f>
        <v>#N/A</v>
      </c>
      <c r="Y3490" s="81" t="e">
        <f>HLOOKUP(R3490,データについて!$J$12:$M$18,7,FALSE)</f>
        <v>#N/A</v>
      </c>
      <c r="Z3490" s="81" t="e">
        <f>HLOOKUP(I3490,データについて!$J$3:$M$18,16,FALSE)</f>
        <v>#N/A</v>
      </c>
      <c r="AA3490" s="81" t="str">
        <f>IFERROR(HLOOKUP(J3490,データについて!$J$4:$AH$19,16,FALSE),"")</f>
        <v/>
      </c>
      <c r="AB3490" s="81" t="str">
        <f>IFERROR(HLOOKUP(K3490,データについて!$J$5:$AH$20,14,FALSE),"")</f>
        <v/>
      </c>
      <c r="AC3490" s="81" t="e">
        <f>IF(X3490=1,HLOOKUP(R3490,データについて!$J$12:$M$18,7,FALSE),"*")</f>
        <v>#N/A</v>
      </c>
      <c r="AD3490" s="81" t="e">
        <f>IF(X3490=2,HLOOKUP(R3490,データについて!$J$12:$M$18,7,FALSE),"*")</f>
        <v>#N/A</v>
      </c>
    </row>
    <row r="3491" spans="19:30">
      <c r="S3491" s="81" t="e">
        <f>HLOOKUP(L3491,データについて!$J$6:$M$18,13,FALSE)</f>
        <v>#N/A</v>
      </c>
      <c r="T3491" s="81" t="e">
        <f>HLOOKUP(M3491,データについて!$J$7:$M$18,12,FALSE)</f>
        <v>#N/A</v>
      </c>
      <c r="U3491" s="81" t="e">
        <f>HLOOKUP(N3491,データについて!$J$8:$M$18,11,FALSE)</f>
        <v>#N/A</v>
      </c>
      <c r="V3491" s="81" t="e">
        <f>HLOOKUP(O3491,データについて!$J$9:$M$18,10,FALSE)</f>
        <v>#N/A</v>
      </c>
      <c r="W3491" s="81" t="e">
        <f>HLOOKUP(P3491,データについて!$J$10:$M$18,9,FALSE)</f>
        <v>#N/A</v>
      </c>
      <c r="X3491" s="81" t="e">
        <f>HLOOKUP(Q3491,データについて!$J$11:$M$18,8,FALSE)</f>
        <v>#N/A</v>
      </c>
      <c r="Y3491" s="81" t="e">
        <f>HLOOKUP(R3491,データについて!$J$12:$M$18,7,FALSE)</f>
        <v>#N/A</v>
      </c>
      <c r="Z3491" s="81" t="e">
        <f>HLOOKUP(I3491,データについて!$J$3:$M$18,16,FALSE)</f>
        <v>#N/A</v>
      </c>
      <c r="AA3491" s="81" t="str">
        <f>IFERROR(HLOOKUP(J3491,データについて!$J$4:$AH$19,16,FALSE),"")</f>
        <v/>
      </c>
      <c r="AB3491" s="81" t="str">
        <f>IFERROR(HLOOKUP(K3491,データについて!$J$5:$AH$20,14,FALSE),"")</f>
        <v/>
      </c>
      <c r="AC3491" s="81" t="e">
        <f>IF(X3491=1,HLOOKUP(R3491,データについて!$J$12:$M$18,7,FALSE),"*")</f>
        <v>#N/A</v>
      </c>
      <c r="AD3491" s="81" t="e">
        <f>IF(X3491=2,HLOOKUP(R3491,データについて!$J$12:$M$18,7,FALSE),"*")</f>
        <v>#N/A</v>
      </c>
    </row>
    <row r="3492" spans="19:30">
      <c r="S3492" s="81" t="e">
        <f>HLOOKUP(L3492,データについて!$J$6:$M$18,13,FALSE)</f>
        <v>#N/A</v>
      </c>
      <c r="T3492" s="81" t="e">
        <f>HLOOKUP(M3492,データについて!$J$7:$M$18,12,FALSE)</f>
        <v>#N/A</v>
      </c>
      <c r="U3492" s="81" t="e">
        <f>HLOOKUP(N3492,データについて!$J$8:$M$18,11,FALSE)</f>
        <v>#N/A</v>
      </c>
      <c r="V3492" s="81" t="e">
        <f>HLOOKUP(O3492,データについて!$J$9:$M$18,10,FALSE)</f>
        <v>#N/A</v>
      </c>
      <c r="W3492" s="81" t="e">
        <f>HLOOKUP(P3492,データについて!$J$10:$M$18,9,FALSE)</f>
        <v>#N/A</v>
      </c>
      <c r="X3492" s="81" t="e">
        <f>HLOOKUP(Q3492,データについて!$J$11:$M$18,8,FALSE)</f>
        <v>#N/A</v>
      </c>
      <c r="Y3492" s="81" t="e">
        <f>HLOOKUP(R3492,データについて!$J$12:$M$18,7,FALSE)</f>
        <v>#N/A</v>
      </c>
      <c r="Z3492" s="81" t="e">
        <f>HLOOKUP(I3492,データについて!$J$3:$M$18,16,FALSE)</f>
        <v>#N/A</v>
      </c>
      <c r="AA3492" s="81" t="str">
        <f>IFERROR(HLOOKUP(J3492,データについて!$J$4:$AH$19,16,FALSE),"")</f>
        <v/>
      </c>
      <c r="AB3492" s="81" t="str">
        <f>IFERROR(HLOOKUP(K3492,データについて!$J$5:$AH$20,14,FALSE),"")</f>
        <v/>
      </c>
      <c r="AC3492" s="81" t="e">
        <f>IF(X3492=1,HLOOKUP(R3492,データについて!$J$12:$M$18,7,FALSE),"*")</f>
        <v>#N/A</v>
      </c>
      <c r="AD3492" s="81" t="e">
        <f>IF(X3492=2,HLOOKUP(R3492,データについて!$J$12:$M$18,7,FALSE),"*")</f>
        <v>#N/A</v>
      </c>
    </row>
    <row r="3493" spans="19:30">
      <c r="S3493" s="81" t="e">
        <f>HLOOKUP(L3493,データについて!$J$6:$M$18,13,FALSE)</f>
        <v>#N/A</v>
      </c>
      <c r="T3493" s="81" t="e">
        <f>HLOOKUP(M3493,データについて!$J$7:$M$18,12,FALSE)</f>
        <v>#N/A</v>
      </c>
      <c r="U3493" s="81" t="e">
        <f>HLOOKUP(N3493,データについて!$J$8:$M$18,11,FALSE)</f>
        <v>#N/A</v>
      </c>
      <c r="V3493" s="81" t="e">
        <f>HLOOKUP(O3493,データについて!$J$9:$M$18,10,FALSE)</f>
        <v>#N/A</v>
      </c>
      <c r="W3493" s="81" t="e">
        <f>HLOOKUP(P3493,データについて!$J$10:$M$18,9,FALSE)</f>
        <v>#N/A</v>
      </c>
      <c r="X3493" s="81" t="e">
        <f>HLOOKUP(Q3493,データについて!$J$11:$M$18,8,FALSE)</f>
        <v>#N/A</v>
      </c>
      <c r="Y3493" s="81" t="e">
        <f>HLOOKUP(R3493,データについて!$J$12:$M$18,7,FALSE)</f>
        <v>#N/A</v>
      </c>
      <c r="Z3493" s="81" t="e">
        <f>HLOOKUP(I3493,データについて!$J$3:$M$18,16,FALSE)</f>
        <v>#N/A</v>
      </c>
      <c r="AA3493" s="81" t="str">
        <f>IFERROR(HLOOKUP(J3493,データについて!$J$4:$AH$19,16,FALSE),"")</f>
        <v/>
      </c>
      <c r="AB3493" s="81" t="str">
        <f>IFERROR(HLOOKUP(K3493,データについて!$J$5:$AH$20,14,FALSE),"")</f>
        <v/>
      </c>
      <c r="AC3493" s="81" t="e">
        <f>IF(X3493=1,HLOOKUP(R3493,データについて!$J$12:$M$18,7,FALSE),"*")</f>
        <v>#N/A</v>
      </c>
      <c r="AD3493" s="81" t="e">
        <f>IF(X3493=2,HLOOKUP(R3493,データについて!$J$12:$M$18,7,FALSE),"*")</f>
        <v>#N/A</v>
      </c>
    </row>
    <row r="3494" spans="19:30">
      <c r="S3494" s="81" t="e">
        <f>HLOOKUP(L3494,データについて!$J$6:$M$18,13,FALSE)</f>
        <v>#N/A</v>
      </c>
      <c r="T3494" s="81" t="e">
        <f>HLOOKUP(M3494,データについて!$J$7:$M$18,12,FALSE)</f>
        <v>#N/A</v>
      </c>
      <c r="U3494" s="81" t="e">
        <f>HLOOKUP(N3494,データについて!$J$8:$M$18,11,FALSE)</f>
        <v>#N/A</v>
      </c>
      <c r="V3494" s="81" t="e">
        <f>HLOOKUP(O3494,データについて!$J$9:$M$18,10,FALSE)</f>
        <v>#N/A</v>
      </c>
      <c r="W3494" s="81" t="e">
        <f>HLOOKUP(P3494,データについて!$J$10:$M$18,9,FALSE)</f>
        <v>#N/A</v>
      </c>
      <c r="X3494" s="81" t="e">
        <f>HLOOKUP(Q3494,データについて!$J$11:$M$18,8,FALSE)</f>
        <v>#N/A</v>
      </c>
      <c r="Y3494" s="81" t="e">
        <f>HLOOKUP(R3494,データについて!$J$12:$M$18,7,FALSE)</f>
        <v>#N/A</v>
      </c>
      <c r="Z3494" s="81" t="e">
        <f>HLOOKUP(I3494,データについて!$J$3:$M$18,16,FALSE)</f>
        <v>#N/A</v>
      </c>
      <c r="AA3494" s="81" t="str">
        <f>IFERROR(HLOOKUP(J3494,データについて!$J$4:$AH$19,16,FALSE),"")</f>
        <v/>
      </c>
      <c r="AB3494" s="81" t="str">
        <f>IFERROR(HLOOKUP(K3494,データについて!$J$5:$AH$20,14,FALSE),"")</f>
        <v/>
      </c>
      <c r="AC3494" s="81" t="e">
        <f>IF(X3494=1,HLOOKUP(R3494,データについて!$J$12:$M$18,7,FALSE),"*")</f>
        <v>#N/A</v>
      </c>
      <c r="AD3494" s="81" t="e">
        <f>IF(X3494=2,HLOOKUP(R3494,データについて!$J$12:$M$18,7,FALSE),"*")</f>
        <v>#N/A</v>
      </c>
    </row>
    <row r="3495" spans="19:30">
      <c r="S3495" s="81" t="e">
        <f>HLOOKUP(L3495,データについて!$J$6:$M$18,13,FALSE)</f>
        <v>#N/A</v>
      </c>
      <c r="T3495" s="81" t="e">
        <f>HLOOKUP(M3495,データについて!$J$7:$M$18,12,FALSE)</f>
        <v>#N/A</v>
      </c>
      <c r="U3495" s="81" t="e">
        <f>HLOOKUP(N3495,データについて!$J$8:$M$18,11,FALSE)</f>
        <v>#N/A</v>
      </c>
      <c r="V3495" s="81" t="e">
        <f>HLOOKUP(O3495,データについて!$J$9:$M$18,10,FALSE)</f>
        <v>#N/A</v>
      </c>
      <c r="W3495" s="81" t="e">
        <f>HLOOKUP(P3495,データについて!$J$10:$M$18,9,FALSE)</f>
        <v>#N/A</v>
      </c>
      <c r="X3495" s="81" t="e">
        <f>HLOOKUP(Q3495,データについて!$J$11:$M$18,8,FALSE)</f>
        <v>#N/A</v>
      </c>
      <c r="Y3495" s="81" t="e">
        <f>HLOOKUP(R3495,データについて!$J$12:$M$18,7,FALSE)</f>
        <v>#N/A</v>
      </c>
      <c r="Z3495" s="81" t="e">
        <f>HLOOKUP(I3495,データについて!$J$3:$M$18,16,FALSE)</f>
        <v>#N/A</v>
      </c>
      <c r="AA3495" s="81" t="str">
        <f>IFERROR(HLOOKUP(J3495,データについて!$J$4:$AH$19,16,FALSE),"")</f>
        <v/>
      </c>
      <c r="AB3495" s="81" t="str">
        <f>IFERROR(HLOOKUP(K3495,データについて!$J$5:$AH$20,14,FALSE),"")</f>
        <v/>
      </c>
      <c r="AC3495" s="81" t="e">
        <f>IF(X3495=1,HLOOKUP(R3495,データについて!$J$12:$M$18,7,FALSE),"*")</f>
        <v>#N/A</v>
      </c>
      <c r="AD3495" s="81" t="e">
        <f>IF(X3495=2,HLOOKUP(R3495,データについて!$J$12:$M$18,7,FALSE),"*")</f>
        <v>#N/A</v>
      </c>
    </row>
    <row r="3496" spans="19:30">
      <c r="S3496" s="81" t="e">
        <f>HLOOKUP(L3496,データについて!$J$6:$M$18,13,FALSE)</f>
        <v>#N/A</v>
      </c>
      <c r="T3496" s="81" t="e">
        <f>HLOOKUP(M3496,データについて!$J$7:$M$18,12,FALSE)</f>
        <v>#N/A</v>
      </c>
      <c r="U3496" s="81" t="e">
        <f>HLOOKUP(N3496,データについて!$J$8:$M$18,11,FALSE)</f>
        <v>#N/A</v>
      </c>
      <c r="V3496" s="81" t="e">
        <f>HLOOKUP(O3496,データについて!$J$9:$M$18,10,FALSE)</f>
        <v>#N/A</v>
      </c>
      <c r="W3496" s="81" t="e">
        <f>HLOOKUP(P3496,データについて!$J$10:$M$18,9,FALSE)</f>
        <v>#N/A</v>
      </c>
      <c r="X3496" s="81" t="e">
        <f>HLOOKUP(Q3496,データについて!$J$11:$M$18,8,FALSE)</f>
        <v>#N/A</v>
      </c>
      <c r="Y3496" s="81" t="e">
        <f>HLOOKUP(R3496,データについて!$J$12:$M$18,7,FALSE)</f>
        <v>#N/A</v>
      </c>
      <c r="Z3496" s="81" t="e">
        <f>HLOOKUP(I3496,データについて!$J$3:$M$18,16,FALSE)</f>
        <v>#N/A</v>
      </c>
      <c r="AA3496" s="81" t="str">
        <f>IFERROR(HLOOKUP(J3496,データについて!$J$4:$AH$19,16,FALSE),"")</f>
        <v/>
      </c>
      <c r="AB3496" s="81" t="str">
        <f>IFERROR(HLOOKUP(K3496,データについて!$J$5:$AH$20,14,FALSE),"")</f>
        <v/>
      </c>
      <c r="AC3496" s="81" t="e">
        <f>IF(X3496=1,HLOOKUP(R3496,データについて!$J$12:$M$18,7,FALSE),"*")</f>
        <v>#N/A</v>
      </c>
      <c r="AD3496" s="81" t="e">
        <f>IF(X3496=2,HLOOKUP(R3496,データについて!$J$12:$M$18,7,FALSE),"*")</f>
        <v>#N/A</v>
      </c>
    </row>
    <row r="3497" spans="19:30">
      <c r="S3497" s="81" t="e">
        <f>HLOOKUP(L3497,データについて!$J$6:$M$18,13,FALSE)</f>
        <v>#N/A</v>
      </c>
      <c r="T3497" s="81" t="e">
        <f>HLOOKUP(M3497,データについて!$J$7:$M$18,12,FALSE)</f>
        <v>#N/A</v>
      </c>
      <c r="U3497" s="81" t="e">
        <f>HLOOKUP(N3497,データについて!$J$8:$M$18,11,FALSE)</f>
        <v>#N/A</v>
      </c>
      <c r="V3497" s="81" t="e">
        <f>HLOOKUP(O3497,データについて!$J$9:$M$18,10,FALSE)</f>
        <v>#N/A</v>
      </c>
      <c r="W3497" s="81" t="e">
        <f>HLOOKUP(P3497,データについて!$J$10:$M$18,9,FALSE)</f>
        <v>#N/A</v>
      </c>
      <c r="X3497" s="81" t="e">
        <f>HLOOKUP(Q3497,データについて!$J$11:$M$18,8,FALSE)</f>
        <v>#N/A</v>
      </c>
      <c r="Y3497" s="81" t="e">
        <f>HLOOKUP(R3497,データについて!$J$12:$M$18,7,FALSE)</f>
        <v>#N/A</v>
      </c>
      <c r="Z3497" s="81" t="e">
        <f>HLOOKUP(I3497,データについて!$J$3:$M$18,16,FALSE)</f>
        <v>#N/A</v>
      </c>
      <c r="AA3497" s="81" t="str">
        <f>IFERROR(HLOOKUP(J3497,データについて!$J$4:$AH$19,16,FALSE),"")</f>
        <v/>
      </c>
      <c r="AB3497" s="81" t="str">
        <f>IFERROR(HLOOKUP(K3497,データについて!$J$5:$AH$20,14,FALSE),"")</f>
        <v/>
      </c>
      <c r="AC3497" s="81" t="e">
        <f>IF(X3497=1,HLOOKUP(R3497,データについて!$J$12:$M$18,7,FALSE),"*")</f>
        <v>#N/A</v>
      </c>
      <c r="AD3497" s="81" t="e">
        <f>IF(X3497=2,HLOOKUP(R3497,データについて!$J$12:$M$18,7,FALSE),"*")</f>
        <v>#N/A</v>
      </c>
    </row>
    <row r="3498" spans="19:30">
      <c r="S3498" s="81" t="e">
        <f>HLOOKUP(L3498,データについて!$J$6:$M$18,13,FALSE)</f>
        <v>#N/A</v>
      </c>
      <c r="T3498" s="81" t="e">
        <f>HLOOKUP(M3498,データについて!$J$7:$M$18,12,FALSE)</f>
        <v>#N/A</v>
      </c>
      <c r="U3498" s="81" t="e">
        <f>HLOOKUP(N3498,データについて!$J$8:$M$18,11,FALSE)</f>
        <v>#N/A</v>
      </c>
      <c r="V3498" s="81" t="e">
        <f>HLOOKUP(O3498,データについて!$J$9:$M$18,10,FALSE)</f>
        <v>#N/A</v>
      </c>
      <c r="W3498" s="81" t="e">
        <f>HLOOKUP(P3498,データについて!$J$10:$M$18,9,FALSE)</f>
        <v>#N/A</v>
      </c>
      <c r="X3498" s="81" t="e">
        <f>HLOOKUP(Q3498,データについて!$J$11:$M$18,8,FALSE)</f>
        <v>#N/A</v>
      </c>
      <c r="Y3498" s="81" t="e">
        <f>HLOOKUP(R3498,データについて!$J$12:$M$18,7,FALSE)</f>
        <v>#N/A</v>
      </c>
      <c r="Z3498" s="81" t="e">
        <f>HLOOKUP(I3498,データについて!$J$3:$M$18,16,FALSE)</f>
        <v>#N/A</v>
      </c>
      <c r="AA3498" s="81" t="str">
        <f>IFERROR(HLOOKUP(J3498,データについて!$J$4:$AH$19,16,FALSE),"")</f>
        <v/>
      </c>
      <c r="AB3498" s="81" t="str">
        <f>IFERROR(HLOOKUP(K3498,データについて!$J$5:$AH$20,14,FALSE),"")</f>
        <v/>
      </c>
      <c r="AC3498" s="81" t="e">
        <f>IF(X3498=1,HLOOKUP(R3498,データについて!$J$12:$M$18,7,FALSE),"*")</f>
        <v>#N/A</v>
      </c>
      <c r="AD3498" s="81" t="e">
        <f>IF(X3498=2,HLOOKUP(R3498,データについて!$J$12:$M$18,7,FALSE),"*")</f>
        <v>#N/A</v>
      </c>
    </row>
    <row r="3499" spans="19:30">
      <c r="S3499" s="81" t="e">
        <f>HLOOKUP(L3499,データについて!$J$6:$M$18,13,FALSE)</f>
        <v>#N/A</v>
      </c>
      <c r="T3499" s="81" t="e">
        <f>HLOOKUP(M3499,データについて!$J$7:$M$18,12,FALSE)</f>
        <v>#N/A</v>
      </c>
      <c r="U3499" s="81" t="e">
        <f>HLOOKUP(N3499,データについて!$J$8:$M$18,11,FALSE)</f>
        <v>#N/A</v>
      </c>
      <c r="V3499" s="81" t="e">
        <f>HLOOKUP(O3499,データについて!$J$9:$M$18,10,FALSE)</f>
        <v>#N/A</v>
      </c>
      <c r="W3499" s="81" t="e">
        <f>HLOOKUP(P3499,データについて!$J$10:$M$18,9,FALSE)</f>
        <v>#N/A</v>
      </c>
      <c r="X3499" s="81" t="e">
        <f>HLOOKUP(Q3499,データについて!$J$11:$M$18,8,FALSE)</f>
        <v>#N/A</v>
      </c>
      <c r="Y3499" s="81" t="e">
        <f>HLOOKUP(R3499,データについて!$J$12:$M$18,7,FALSE)</f>
        <v>#N/A</v>
      </c>
      <c r="Z3499" s="81" t="e">
        <f>HLOOKUP(I3499,データについて!$J$3:$M$18,16,FALSE)</f>
        <v>#N/A</v>
      </c>
      <c r="AA3499" s="81" t="str">
        <f>IFERROR(HLOOKUP(J3499,データについて!$J$4:$AH$19,16,FALSE),"")</f>
        <v/>
      </c>
      <c r="AB3499" s="81" t="str">
        <f>IFERROR(HLOOKUP(K3499,データについて!$J$5:$AH$20,14,FALSE),"")</f>
        <v/>
      </c>
      <c r="AC3499" s="81" t="e">
        <f>IF(X3499=1,HLOOKUP(R3499,データについて!$J$12:$M$18,7,FALSE),"*")</f>
        <v>#N/A</v>
      </c>
      <c r="AD3499" s="81" t="e">
        <f>IF(X3499=2,HLOOKUP(R3499,データについて!$J$12:$M$18,7,FALSE),"*")</f>
        <v>#N/A</v>
      </c>
    </row>
    <row r="3500" spans="19:30">
      <c r="S3500" s="81" t="e">
        <f>HLOOKUP(L3500,データについて!$J$6:$M$18,13,FALSE)</f>
        <v>#N/A</v>
      </c>
      <c r="T3500" s="81" t="e">
        <f>HLOOKUP(M3500,データについて!$J$7:$M$18,12,FALSE)</f>
        <v>#N/A</v>
      </c>
      <c r="U3500" s="81" t="e">
        <f>HLOOKUP(N3500,データについて!$J$8:$M$18,11,FALSE)</f>
        <v>#N/A</v>
      </c>
      <c r="V3500" s="81" t="e">
        <f>HLOOKUP(O3500,データについて!$J$9:$M$18,10,FALSE)</f>
        <v>#N/A</v>
      </c>
      <c r="W3500" s="81" t="e">
        <f>HLOOKUP(P3500,データについて!$J$10:$M$18,9,FALSE)</f>
        <v>#N/A</v>
      </c>
      <c r="X3500" s="81" t="e">
        <f>HLOOKUP(Q3500,データについて!$J$11:$M$18,8,FALSE)</f>
        <v>#N/A</v>
      </c>
      <c r="Y3500" s="81" t="e">
        <f>HLOOKUP(R3500,データについて!$J$12:$M$18,7,FALSE)</f>
        <v>#N/A</v>
      </c>
      <c r="Z3500" s="81" t="e">
        <f>HLOOKUP(I3500,データについて!$J$3:$M$18,16,FALSE)</f>
        <v>#N/A</v>
      </c>
      <c r="AA3500" s="81" t="str">
        <f>IFERROR(HLOOKUP(J3500,データについて!$J$4:$AH$19,16,FALSE),"")</f>
        <v/>
      </c>
      <c r="AB3500" s="81" t="str">
        <f>IFERROR(HLOOKUP(K3500,データについて!$J$5:$AH$20,14,FALSE),"")</f>
        <v/>
      </c>
      <c r="AC3500" s="81" t="e">
        <f>IF(X3500=1,HLOOKUP(R3500,データについて!$J$12:$M$18,7,FALSE),"*")</f>
        <v>#N/A</v>
      </c>
      <c r="AD3500" s="81" t="e">
        <f>IF(X3500=2,HLOOKUP(R3500,データについて!$J$12:$M$18,7,FALSE),"*")</f>
        <v>#N/A</v>
      </c>
    </row>
    <row r="3501" spans="19:30">
      <c r="S3501" s="81" t="e">
        <f>HLOOKUP(L3501,データについて!$J$6:$M$18,13,FALSE)</f>
        <v>#N/A</v>
      </c>
      <c r="T3501" s="81" t="e">
        <f>HLOOKUP(M3501,データについて!$J$7:$M$18,12,FALSE)</f>
        <v>#N/A</v>
      </c>
      <c r="U3501" s="81" t="e">
        <f>HLOOKUP(N3501,データについて!$J$8:$M$18,11,FALSE)</f>
        <v>#N/A</v>
      </c>
      <c r="V3501" s="81" t="e">
        <f>HLOOKUP(O3501,データについて!$J$9:$M$18,10,FALSE)</f>
        <v>#N/A</v>
      </c>
      <c r="W3501" s="81" t="e">
        <f>HLOOKUP(P3501,データについて!$J$10:$M$18,9,FALSE)</f>
        <v>#N/A</v>
      </c>
      <c r="X3501" s="81" t="e">
        <f>HLOOKUP(Q3501,データについて!$J$11:$M$18,8,FALSE)</f>
        <v>#N/A</v>
      </c>
      <c r="Y3501" s="81" t="e">
        <f>HLOOKUP(R3501,データについて!$J$12:$M$18,7,FALSE)</f>
        <v>#N/A</v>
      </c>
      <c r="Z3501" s="81" t="e">
        <f>HLOOKUP(I3501,データについて!$J$3:$M$18,16,FALSE)</f>
        <v>#N/A</v>
      </c>
      <c r="AA3501" s="81" t="str">
        <f>IFERROR(HLOOKUP(J3501,データについて!$J$4:$AH$19,16,FALSE),"")</f>
        <v/>
      </c>
      <c r="AB3501" s="81" t="str">
        <f>IFERROR(HLOOKUP(K3501,データについて!$J$5:$AH$20,14,FALSE),"")</f>
        <v/>
      </c>
      <c r="AC3501" s="81" t="e">
        <f>IF(X3501=1,HLOOKUP(R3501,データについて!$J$12:$M$18,7,FALSE),"*")</f>
        <v>#N/A</v>
      </c>
      <c r="AD3501" s="81" t="e">
        <f>IF(X3501=2,HLOOKUP(R3501,データについて!$J$12:$M$18,7,FALSE),"*")</f>
        <v>#N/A</v>
      </c>
    </row>
    <row r="3502" spans="19:30">
      <c r="S3502" s="81" t="e">
        <f>HLOOKUP(L3502,データについて!$J$6:$M$18,13,FALSE)</f>
        <v>#N/A</v>
      </c>
      <c r="T3502" s="81" t="e">
        <f>HLOOKUP(M3502,データについて!$J$7:$M$18,12,FALSE)</f>
        <v>#N/A</v>
      </c>
      <c r="U3502" s="81" t="e">
        <f>HLOOKUP(N3502,データについて!$J$8:$M$18,11,FALSE)</f>
        <v>#N/A</v>
      </c>
      <c r="V3502" s="81" t="e">
        <f>HLOOKUP(O3502,データについて!$J$9:$M$18,10,FALSE)</f>
        <v>#N/A</v>
      </c>
      <c r="W3502" s="81" t="e">
        <f>HLOOKUP(P3502,データについて!$J$10:$M$18,9,FALSE)</f>
        <v>#N/A</v>
      </c>
      <c r="X3502" s="81" t="e">
        <f>HLOOKUP(Q3502,データについて!$J$11:$M$18,8,FALSE)</f>
        <v>#N/A</v>
      </c>
      <c r="Y3502" s="81" t="e">
        <f>HLOOKUP(R3502,データについて!$J$12:$M$18,7,FALSE)</f>
        <v>#N/A</v>
      </c>
      <c r="Z3502" s="81" t="e">
        <f>HLOOKUP(I3502,データについて!$J$3:$M$18,16,FALSE)</f>
        <v>#N/A</v>
      </c>
      <c r="AA3502" s="81" t="str">
        <f>IFERROR(HLOOKUP(J3502,データについて!$J$4:$AH$19,16,FALSE),"")</f>
        <v/>
      </c>
      <c r="AB3502" s="81" t="str">
        <f>IFERROR(HLOOKUP(K3502,データについて!$J$5:$AH$20,14,FALSE),"")</f>
        <v/>
      </c>
      <c r="AC3502" s="81" t="e">
        <f>IF(X3502=1,HLOOKUP(R3502,データについて!$J$12:$M$18,7,FALSE),"*")</f>
        <v>#N/A</v>
      </c>
      <c r="AD3502" s="81" t="e">
        <f>IF(X3502=2,HLOOKUP(R3502,データについて!$J$12:$M$18,7,FALSE),"*")</f>
        <v>#N/A</v>
      </c>
    </row>
    <row r="3503" spans="19:30">
      <c r="S3503" s="81" t="e">
        <f>HLOOKUP(L3503,データについて!$J$6:$M$18,13,FALSE)</f>
        <v>#N/A</v>
      </c>
      <c r="T3503" s="81" t="e">
        <f>HLOOKUP(M3503,データについて!$J$7:$M$18,12,FALSE)</f>
        <v>#N/A</v>
      </c>
      <c r="U3503" s="81" t="e">
        <f>HLOOKUP(N3503,データについて!$J$8:$M$18,11,FALSE)</f>
        <v>#N/A</v>
      </c>
      <c r="V3503" s="81" t="e">
        <f>HLOOKUP(O3503,データについて!$J$9:$M$18,10,FALSE)</f>
        <v>#N/A</v>
      </c>
      <c r="W3503" s="81" t="e">
        <f>HLOOKUP(P3503,データについて!$J$10:$M$18,9,FALSE)</f>
        <v>#N/A</v>
      </c>
      <c r="X3503" s="81" t="e">
        <f>HLOOKUP(Q3503,データについて!$J$11:$M$18,8,FALSE)</f>
        <v>#N/A</v>
      </c>
      <c r="Y3503" s="81" t="e">
        <f>HLOOKUP(R3503,データについて!$J$12:$M$18,7,FALSE)</f>
        <v>#N/A</v>
      </c>
      <c r="Z3503" s="81" t="e">
        <f>HLOOKUP(I3503,データについて!$J$3:$M$18,16,FALSE)</f>
        <v>#N/A</v>
      </c>
      <c r="AA3503" s="81" t="str">
        <f>IFERROR(HLOOKUP(J3503,データについて!$J$4:$AH$19,16,FALSE),"")</f>
        <v/>
      </c>
      <c r="AB3503" s="81" t="str">
        <f>IFERROR(HLOOKUP(K3503,データについて!$J$5:$AH$20,14,FALSE),"")</f>
        <v/>
      </c>
      <c r="AC3503" s="81" t="e">
        <f>IF(X3503=1,HLOOKUP(R3503,データについて!$J$12:$M$18,7,FALSE),"*")</f>
        <v>#N/A</v>
      </c>
      <c r="AD3503" s="81" t="e">
        <f>IF(X3503=2,HLOOKUP(R3503,データについて!$J$12:$M$18,7,FALSE),"*")</f>
        <v>#N/A</v>
      </c>
    </row>
    <row r="3504" spans="19:30">
      <c r="S3504" s="81" t="e">
        <f>HLOOKUP(L3504,データについて!$J$6:$M$18,13,FALSE)</f>
        <v>#N/A</v>
      </c>
      <c r="T3504" s="81" t="e">
        <f>HLOOKUP(M3504,データについて!$J$7:$M$18,12,FALSE)</f>
        <v>#N/A</v>
      </c>
      <c r="U3504" s="81" t="e">
        <f>HLOOKUP(N3504,データについて!$J$8:$M$18,11,FALSE)</f>
        <v>#N/A</v>
      </c>
      <c r="V3504" s="81" t="e">
        <f>HLOOKUP(O3504,データについて!$J$9:$M$18,10,FALSE)</f>
        <v>#N/A</v>
      </c>
      <c r="W3504" s="81" t="e">
        <f>HLOOKUP(P3504,データについて!$J$10:$M$18,9,FALSE)</f>
        <v>#N/A</v>
      </c>
      <c r="X3504" s="81" t="e">
        <f>HLOOKUP(Q3504,データについて!$J$11:$M$18,8,FALSE)</f>
        <v>#N/A</v>
      </c>
      <c r="Y3504" s="81" t="e">
        <f>HLOOKUP(R3504,データについて!$J$12:$M$18,7,FALSE)</f>
        <v>#N/A</v>
      </c>
      <c r="Z3504" s="81" t="e">
        <f>HLOOKUP(I3504,データについて!$J$3:$M$18,16,FALSE)</f>
        <v>#N/A</v>
      </c>
      <c r="AA3504" s="81" t="str">
        <f>IFERROR(HLOOKUP(J3504,データについて!$J$4:$AH$19,16,FALSE),"")</f>
        <v/>
      </c>
      <c r="AB3504" s="81" t="str">
        <f>IFERROR(HLOOKUP(K3504,データについて!$J$5:$AH$20,14,FALSE),"")</f>
        <v/>
      </c>
      <c r="AC3504" s="81" t="e">
        <f>IF(X3504=1,HLOOKUP(R3504,データについて!$J$12:$M$18,7,FALSE),"*")</f>
        <v>#N/A</v>
      </c>
      <c r="AD3504" s="81" t="e">
        <f>IF(X3504=2,HLOOKUP(R3504,データについて!$J$12:$M$18,7,FALSE),"*")</f>
        <v>#N/A</v>
      </c>
    </row>
    <row r="3505" spans="19:30">
      <c r="S3505" s="81" t="e">
        <f>HLOOKUP(L3505,データについて!$J$6:$M$18,13,FALSE)</f>
        <v>#N/A</v>
      </c>
      <c r="T3505" s="81" t="e">
        <f>HLOOKUP(M3505,データについて!$J$7:$M$18,12,FALSE)</f>
        <v>#N/A</v>
      </c>
      <c r="U3505" s="81" t="e">
        <f>HLOOKUP(N3505,データについて!$J$8:$M$18,11,FALSE)</f>
        <v>#N/A</v>
      </c>
      <c r="V3505" s="81" t="e">
        <f>HLOOKUP(O3505,データについて!$J$9:$M$18,10,FALSE)</f>
        <v>#N/A</v>
      </c>
      <c r="W3505" s="81" t="e">
        <f>HLOOKUP(P3505,データについて!$J$10:$M$18,9,FALSE)</f>
        <v>#N/A</v>
      </c>
      <c r="X3505" s="81" t="e">
        <f>HLOOKUP(Q3505,データについて!$J$11:$M$18,8,FALSE)</f>
        <v>#N/A</v>
      </c>
      <c r="Y3505" s="81" t="e">
        <f>HLOOKUP(R3505,データについて!$J$12:$M$18,7,FALSE)</f>
        <v>#N/A</v>
      </c>
      <c r="Z3505" s="81" t="e">
        <f>HLOOKUP(I3505,データについて!$J$3:$M$18,16,FALSE)</f>
        <v>#N/A</v>
      </c>
      <c r="AA3505" s="81" t="str">
        <f>IFERROR(HLOOKUP(J3505,データについて!$J$4:$AH$19,16,FALSE),"")</f>
        <v/>
      </c>
      <c r="AB3505" s="81" t="str">
        <f>IFERROR(HLOOKUP(K3505,データについて!$J$5:$AH$20,14,FALSE),"")</f>
        <v/>
      </c>
      <c r="AC3505" s="81" t="e">
        <f>IF(X3505=1,HLOOKUP(R3505,データについて!$J$12:$M$18,7,FALSE),"*")</f>
        <v>#N/A</v>
      </c>
      <c r="AD3505" s="81" t="e">
        <f>IF(X3505=2,HLOOKUP(R3505,データについて!$J$12:$M$18,7,FALSE),"*")</f>
        <v>#N/A</v>
      </c>
    </row>
    <row r="3506" spans="19:30">
      <c r="S3506" s="81" t="e">
        <f>HLOOKUP(L3506,データについて!$J$6:$M$18,13,FALSE)</f>
        <v>#N/A</v>
      </c>
      <c r="T3506" s="81" t="e">
        <f>HLOOKUP(M3506,データについて!$J$7:$M$18,12,FALSE)</f>
        <v>#N/A</v>
      </c>
      <c r="U3506" s="81" t="e">
        <f>HLOOKUP(N3506,データについて!$J$8:$M$18,11,FALSE)</f>
        <v>#N/A</v>
      </c>
      <c r="V3506" s="81" t="e">
        <f>HLOOKUP(O3506,データについて!$J$9:$M$18,10,FALSE)</f>
        <v>#N/A</v>
      </c>
      <c r="W3506" s="81" t="e">
        <f>HLOOKUP(P3506,データについて!$J$10:$M$18,9,FALSE)</f>
        <v>#N/A</v>
      </c>
      <c r="X3506" s="81" t="e">
        <f>HLOOKUP(Q3506,データについて!$J$11:$M$18,8,FALSE)</f>
        <v>#N/A</v>
      </c>
      <c r="Y3506" s="81" t="e">
        <f>HLOOKUP(R3506,データについて!$J$12:$M$18,7,FALSE)</f>
        <v>#N/A</v>
      </c>
      <c r="Z3506" s="81" t="e">
        <f>HLOOKUP(I3506,データについて!$J$3:$M$18,16,FALSE)</f>
        <v>#N/A</v>
      </c>
      <c r="AA3506" s="81" t="str">
        <f>IFERROR(HLOOKUP(J3506,データについて!$J$4:$AH$19,16,FALSE),"")</f>
        <v/>
      </c>
      <c r="AB3506" s="81" t="str">
        <f>IFERROR(HLOOKUP(K3506,データについて!$J$5:$AH$20,14,FALSE),"")</f>
        <v/>
      </c>
      <c r="AC3506" s="81" t="e">
        <f>IF(X3506=1,HLOOKUP(R3506,データについて!$J$12:$M$18,7,FALSE),"*")</f>
        <v>#N/A</v>
      </c>
      <c r="AD3506" s="81" t="e">
        <f>IF(X3506=2,HLOOKUP(R3506,データについて!$J$12:$M$18,7,FALSE),"*")</f>
        <v>#N/A</v>
      </c>
    </row>
    <row r="3507" spans="19:30">
      <c r="S3507" s="81" t="e">
        <f>HLOOKUP(L3507,データについて!$J$6:$M$18,13,FALSE)</f>
        <v>#N/A</v>
      </c>
      <c r="T3507" s="81" t="e">
        <f>HLOOKUP(M3507,データについて!$J$7:$M$18,12,FALSE)</f>
        <v>#N/A</v>
      </c>
      <c r="U3507" s="81" t="e">
        <f>HLOOKUP(N3507,データについて!$J$8:$M$18,11,FALSE)</f>
        <v>#N/A</v>
      </c>
      <c r="V3507" s="81" t="e">
        <f>HLOOKUP(O3507,データについて!$J$9:$M$18,10,FALSE)</f>
        <v>#N/A</v>
      </c>
      <c r="W3507" s="81" t="e">
        <f>HLOOKUP(P3507,データについて!$J$10:$M$18,9,FALSE)</f>
        <v>#N/A</v>
      </c>
      <c r="X3507" s="81" t="e">
        <f>HLOOKUP(Q3507,データについて!$J$11:$M$18,8,FALSE)</f>
        <v>#N/A</v>
      </c>
      <c r="Y3507" s="81" t="e">
        <f>HLOOKUP(R3507,データについて!$J$12:$M$18,7,FALSE)</f>
        <v>#N/A</v>
      </c>
      <c r="Z3507" s="81" t="e">
        <f>HLOOKUP(I3507,データについて!$J$3:$M$18,16,FALSE)</f>
        <v>#N/A</v>
      </c>
      <c r="AA3507" s="81" t="str">
        <f>IFERROR(HLOOKUP(J3507,データについて!$J$4:$AH$19,16,FALSE),"")</f>
        <v/>
      </c>
      <c r="AB3507" s="81" t="str">
        <f>IFERROR(HLOOKUP(K3507,データについて!$J$5:$AH$20,14,FALSE),"")</f>
        <v/>
      </c>
      <c r="AC3507" s="81" t="e">
        <f>IF(X3507=1,HLOOKUP(R3507,データについて!$J$12:$M$18,7,FALSE),"*")</f>
        <v>#N/A</v>
      </c>
      <c r="AD3507" s="81" t="e">
        <f>IF(X3507=2,HLOOKUP(R3507,データについて!$J$12:$M$18,7,FALSE),"*")</f>
        <v>#N/A</v>
      </c>
    </row>
    <row r="3508" spans="19:30">
      <c r="S3508" s="81" t="e">
        <f>HLOOKUP(L3508,データについて!$J$6:$M$18,13,FALSE)</f>
        <v>#N/A</v>
      </c>
      <c r="T3508" s="81" t="e">
        <f>HLOOKUP(M3508,データについて!$J$7:$M$18,12,FALSE)</f>
        <v>#N/A</v>
      </c>
      <c r="U3508" s="81" t="e">
        <f>HLOOKUP(N3508,データについて!$J$8:$M$18,11,FALSE)</f>
        <v>#N/A</v>
      </c>
      <c r="V3508" s="81" t="e">
        <f>HLOOKUP(O3508,データについて!$J$9:$M$18,10,FALSE)</f>
        <v>#N/A</v>
      </c>
      <c r="W3508" s="81" t="e">
        <f>HLOOKUP(P3508,データについて!$J$10:$M$18,9,FALSE)</f>
        <v>#N/A</v>
      </c>
      <c r="X3508" s="81" t="e">
        <f>HLOOKUP(Q3508,データについて!$J$11:$M$18,8,FALSE)</f>
        <v>#N/A</v>
      </c>
      <c r="Y3508" s="81" t="e">
        <f>HLOOKUP(R3508,データについて!$J$12:$M$18,7,FALSE)</f>
        <v>#N/A</v>
      </c>
      <c r="Z3508" s="81" t="e">
        <f>HLOOKUP(I3508,データについて!$J$3:$M$18,16,FALSE)</f>
        <v>#N/A</v>
      </c>
      <c r="AA3508" s="81" t="str">
        <f>IFERROR(HLOOKUP(J3508,データについて!$J$4:$AH$19,16,FALSE),"")</f>
        <v/>
      </c>
      <c r="AB3508" s="81" t="str">
        <f>IFERROR(HLOOKUP(K3508,データについて!$J$5:$AH$20,14,FALSE),"")</f>
        <v/>
      </c>
      <c r="AC3508" s="81" t="e">
        <f>IF(X3508=1,HLOOKUP(R3508,データについて!$J$12:$M$18,7,FALSE),"*")</f>
        <v>#N/A</v>
      </c>
      <c r="AD3508" s="81" t="e">
        <f>IF(X3508=2,HLOOKUP(R3508,データについて!$J$12:$M$18,7,FALSE),"*")</f>
        <v>#N/A</v>
      </c>
    </row>
    <row r="3509" spans="19:30">
      <c r="S3509" s="81" t="e">
        <f>HLOOKUP(L3509,データについて!$J$6:$M$18,13,FALSE)</f>
        <v>#N/A</v>
      </c>
      <c r="T3509" s="81" t="e">
        <f>HLOOKUP(M3509,データについて!$J$7:$M$18,12,FALSE)</f>
        <v>#N/A</v>
      </c>
      <c r="U3509" s="81" t="e">
        <f>HLOOKUP(N3509,データについて!$J$8:$M$18,11,FALSE)</f>
        <v>#N/A</v>
      </c>
      <c r="V3509" s="81" t="e">
        <f>HLOOKUP(O3509,データについて!$J$9:$M$18,10,FALSE)</f>
        <v>#N/A</v>
      </c>
      <c r="W3509" s="81" t="e">
        <f>HLOOKUP(P3509,データについて!$J$10:$M$18,9,FALSE)</f>
        <v>#N/A</v>
      </c>
      <c r="X3509" s="81" t="e">
        <f>HLOOKUP(Q3509,データについて!$J$11:$M$18,8,FALSE)</f>
        <v>#N/A</v>
      </c>
      <c r="Y3509" s="81" t="e">
        <f>HLOOKUP(R3509,データについて!$J$12:$M$18,7,FALSE)</f>
        <v>#N/A</v>
      </c>
      <c r="Z3509" s="81" t="e">
        <f>HLOOKUP(I3509,データについて!$J$3:$M$18,16,FALSE)</f>
        <v>#N/A</v>
      </c>
      <c r="AA3509" s="81" t="str">
        <f>IFERROR(HLOOKUP(J3509,データについて!$J$4:$AH$19,16,FALSE),"")</f>
        <v/>
      </c>
      <c r="AB3509" s="81" t="str">
        <f>IFERROR(HLOOKUP(K3509,データについて!$J$5:$AH$20,14,FALSE),"")</f>
        <v/>
      </c>
      <c r="AC3509" s="81" t="e">
        <f>IF(X3509=1,HLOOKUP(R3509,データについて!$J$12:$M$18,7,FALSE),"*")</f>
        <v>#N/A</v>
      </c>
      <c r="AD3509" s="81" t="e">
        <f>IF(X3509=2,HLOOKUP(R3509,データについて!$J$12:$M$18,7,FALSE),"*")</f>
        <v>#N/A</v>
      </c>
    </row>
    <row r="3510" spans="19:30">
      <c r="S3510" s="81" t="e">
        <f>HLOOKUP(L3510,データについて!$J$6:$M$18,13,FALSE)</f>
        <v>#N/A</v>
      </c>
      <c r="T3510" s="81" t="e">
        <f>HLOOKUP(M3510,データについて!$J$7:$M$18,12,FALSE)</f>
        <v>#N/A</v>
      </c>
      <c r="U3510" s="81" t="e">
        <f>HLOOKUP(N3510,データについて!$J$8:$M$18,11,FALSE)</f>
        <v>#N/A</v>
      </c>
      <c r="V3510" s="81" t="e">
        <f>HLOOKUP(O3510,データについて!$J$9:$M$18,10,FALSE)</f>
        <v>#N/A</v>
      </c>
      <c r="W3510" s="81" t="e">
        <f>HLOOKUP(P3510,データについて!$J$10:$M$18,9,FALSE)</f>
        <v>#N/A</v>
      </c>
      <c r="X3510" s="81" t="e">
        <f>HLOOKUP(Q3510,データについて!$J$11:$M$18,8,FALSE)</f>
        <v>#N/A</v>
      </c>
      <c r="Y3510" s="81" t="e">
        <f>HLOOKUP(R3510,データについて!$J$12:$M$18,7,FALSE)</f>
        <v>#N/A</v>
      </c>
      <c r="Z3510" s="81" t="e">
        <f>HLOOKUP(I3510,データについて!$J$3:$M$18,16,FALSE)</f>
        <v>#N/A</v>
      </c>
      <c r="AA3510" s="81" t="str">
        <f>IFERROR(HLOOKUP(J3510,データについて!$J$4:$AH$19,16,FALSE),"")</f>
        <v/>
      </c>
      <c r="AB3510" s="81" t="str">
        <f>IFERROR(HLOOKUP(K3510,データについて!$J$5:$AH$20,14,FALSE),"")</f>
        <v/>
      </c>
      <c r="AC3510" s="81" t="e">
        <f>IF(X3510=1,HLOOKUP(R3510,データについて!$J$12:$M$18,7,FALSE),"*")</f>
        <v>#N/A</v>
      </c>
      <c r="AD3510" s="81" t="e">
        <f>IF(X3510=2,HLOOKUP(R3510,データについて!$J$12:$M$18,7,FALSE),"*")</f>
        <v>#N/A</v>
      </c>
    </row>
    <row r="3511" spans="19:30">
      <c r="S3511" s="81" t="e">
        <f>HLOOKUP(L3511,データについて!$J$6:$M$18,13,FALSE)</f>
        <v>#N/A</v>
      </c>
      <c r="T3511" s="81" t="e">
        <f>HLOOKUP(M3511,データについて!$J$7:$M$18,12,FALSE)</f>
        <v>#N/A</v>
      </c>
      <c r="U3511" s="81" t="e">
        <f>HLOOKUP(N3511,データについて!$J$8:$M$18,11,FALSE)</f>
        <v>#N/A</v>
      </c>
      <c r="V3511" s="81" t="e">
        <f>HLOOKUP(O3511,データについて!$J$9:$M$18,10,FALSE)</f>
        <v>#N/A</v>
      </c>
      <c r="W3511" s="81" t="e">
        <f>HLOOKUP(P3511,データについて!$J$10:$M$18,9,FALSE)</f>
        <v>#N/A</v>
      </c>
      <c r="X3511" s="81" t="e">
        <f>HLOOKUP(Q3511,データについて!$J$11:$M$18,8,FALSE)</f>
        <v>#N/A</v>
      </c>
      <c r="Y3511" s="81" t="e">
        <f>HLOOKUP(R3511,データについて!$J$12:$M$18,7,FALSE)</f>
        <v>#N/A</v>
      </c>
      <c r="Z3511" s="81" t="e">
        <f>HLOOKUP(I3511,データについて!$J$3:$M$18,16,FALSE)</f>
        <v>#N/A</v>
      </c>
      <c r="AA3511" s="81" t="str">
        <f>IFERROR(HLOOKUP(J3511,データについて!$J$4:$AH$19,16,FALSE),"")</f>
        <v/>
      </c>
      <c r="AB3511" s="81" t="str">
        <f>IFERROR(HLOOKUP(K3511,データについて!$J$5:$AH$20,14,FALSE),"")</f>
        <v/>
      </c>
      <c r="AC3511" s="81" t="e">
        <f>IF(X3511=1,HLOOKUP(R3511,データについて!$J$12:$M$18,7,FALSE),"*")</f>
        <v>#N/A</v>
      </c>
      <c r="AD3511" s="81" t="e">
        <f>IF(X3511=2,HLOOKUP(R3511,データについて!$J$12:$M$18,7,FALSE),"*")</f>
        <v>#N/A</v>
      </c>
    </row>
    <row r="3512" spans="19:30">
      <c r="S3512" s="81" t="e">
        <f>HLOOKUP(L3512,データについて!$J$6:$M$18,13,FALSE)</f>
        <v>#N/A</v>
      </c>
      <c r="T3512" s="81" t="e">
        <f>HLOOKUP(M3512,データについて!$J$7:$M$18,12,FALSE)</f>
        <v>#N/A</v>
      </c>
      <c r="U3512" s="81" t="e">
        <f>HLOOKUP(N3512,データについて!$J$8:$M$18,11,FALSE)</f>
        <v>#N/A</v>
      </c>
      <c r="V3512" s="81" t="e">
        <f>HLOOKUP(O3512,データについて!$J$9:$M$18,10,FALSE)</f>
        <v>#N/A</v>
      </c>
      <c r="W3512" s="81" t="e">
        <f>HLOOKUP(P3512,データについて!$J$10:$M$18,9,FALSE)</f>
        <v>#N/A</v>
      </c>
      <c r="X3512" s="81" t="e">
        <f>HLOOKUP(Q3512,データについて!$J$11:$M$18,8,FALSE)</f>
        <v>#N/A</v>
      </c>
      <c r="Y3512" s="81" t="e">
        <f>HLOOKUP(R3512,データについて!$J$12:$M$18,7,FALSE)</f>
        <v>#N/A</v>
      </c>
      <c r="Z3512" s="81" t="e">
        <f>HLOOKUP(I3512,データについて!$J$3:$M$18,16,FALSE)</f>
        <v>#N/A</v>
      </c>
      <c r="AA3512" s="81" t="str">
        <f>IFERROR(HLOOKUP(J3512,データについて!$J$4:$AH$19,16,FALSE),"")</f>
        <v/>
      </c>
      <c r="AB3512" s="81" t="str">
        <f>IFERROR(HLOOKUP(K3512,データについて!$J$5:$AH$20,14,FALSE),"")</f>
        <v/>
      </c>
      <c r="AC3512" s="81" t="e">
        <f>IF(X3512=1,HLOOKUP(R3512,データについて!$J$12:$M$18,7,FALSE),"*")</f>
        <v>#N/A</v>
      </c>
      <c r="AD3512" s="81" t="e">
        <f>IF(X3512=2,HLOOKUP(R3512,データについて!$J$12:$M$18,7,FALSE),"*")</f>
        <v>#N/A</v>
      </c>
    </row>
    <row r="3513" spans="19:30">
      <c r="S3513" s="81" t="e">
        <f>HLOOKUP(L3513,データについて!$J$6:$M$18,13,FALSE)</f>
        <v>#N/A</v>
      </c>
      <c r="T3513" s="81" t="e">
        <f>HLOOKUP(M3513,データについて!$J$7:$M$18,12,FALSE)</f>
        <v>#N/A</v>
      </c>
      <c r="U3513" s="81" t="e">
        <f>HLOOKUP(N3513,データについて!$J$8:$M$18,11,FALSE)</f>
        <v>#N/A</v>
      </c>
      <c r="V3513" s="81" t="e">
        <f>HLOOKUP(O3513,データについて!$J$9:$M$18,10,FALSE)</f>
        <v>#N/A</v>
      </c>
      <c r="W3513" s="81" t="e">
        <f>HLOOKUP(P3513,データについて!$J$10:$M$18,9,FALSE)</f>
        <v>#N/A</v>
      </c>
      <c r="X3513" s="81" t="e">
        <f>HLOOKUP(Q3513,データについて!$J$11:$M$18,8,FALSE)</f>
        <v>#N/A</v>
      </c>
      <c r="Y3513" s="81" t="e">
        <f>HLOOKUP(R3513,データについて!$J$12:$M$18,7,FALSE)</f>
        <v>#N/A</v>
      </c>
      <c r="Z3513" s="81" t="e">
        <f>HLOOKUP(I3513,データについて!$J$3:$M$18,16,FALSE)</f>
        <v>#N/A</v>
      </c>
      <c r="AA3513" s="81" t="str">
        <f>IFERROR(HLOOKUP(J3513,データについて!$J$4:$AH$19,16,FALSE),"")</f>
        <v/>
      </c>
      <c r="AB3513" s="81" t="str">
        <f>IFERROR(HLOOKUP(K3513,データについて!$J$5:$AH$20,14,FALSE),"")</f>
        <v/>
      </c>
      <c r="AC3513" s="81" t="e">
        <f>IF(X3513=1,HLOOKUP(R3513,データについて!$J$12:$M$18,7,FALSE),"*")</f>
        <v>#N/A</v>
      </c>
      <c r="AD3513" s="81" t="e">
        <f>IF(X3513=2,HLOOKUP(R3513,データについて!$J$12:$M$18,7,FALSE),"*")</f>
        <v>#N/A</v>
      </c>
    </row>
    <row r="3514" spans="19:30">
      <c r="S3514" s="81" t="e">
        <f>HLOOKUP(L3514,データについて!$J$6:$M$18,13,FALSE)</f>
        <v>#N/A</v>
      </c>
      <c r="T3514" s="81" t="e">
        <f>HLOOKUP(M3514,データについて!$J$7:$M$18,12,FALSE)</f>
        <v>#N/A</v>
      </c>
      <c r="U3514" s="81" t="e">
        <f>HLOOKUP(N3514,データについて!$J$8:$M$18,11,FALSE)</f>
        <v>#N/A</v>
      </c>
      <c r="V3514" s="81" t="e">
        <f>HLOOKUP(O3514,データについて!$J$9:$M$18,10,FALSE)</f>
        <v>#N/A</v>
      </c>
      <c r="W3514" s="81" t="e">
        <f>HLOOKUP(P3514,データについて!$J$10:$M$18,9,FALSE)</f>
        <v>#N/A</v>
      </c>
      <c r="X3514" s="81" t="e">
        <f>HLOOKUP(Q3514,データについて!$J$11:$M$18,8,FALSE)</f>
        <v>#N/A</v>
      </c>
      <c r="Y3514" s="81" t="e">
        <f>HLOOKUP(R3514,データについて!$J$12:$M$18,7,FALSE)</f>
        <v>#N/A</v>
      </c>
      <c r="Z3514" s="81" t="e">
        <f>HLOOKUP(I3514,データについて!$J$3:$M$18,16,FALSE)</f>
        <v>#N/A</v>
      </c>
      <c r="AA3514" s="81" t="str">
        <f>IFERROR(HLOOKUP(J3514,データについて!$J$4:$AH$19,16,FALSE),"")</f>
        <v/>
      </c>
      <c r="AB3514" s="81" t="str">
        <f>IFERROR(HLOOKUP(K3514,データについて!$J$5:$AH$20,14,FALSE),"")</f>
        <v/>
      </c>
      <c r="AC3514" s="81" t="e">
        <f>IF(X3514=1,HLOOKUP(R3514,データについて!$J$12:$M$18,7,FALSE),"*")</f>
        <v>#N/A</v>
      </c>
      <c r="AD3514" s="81" t="e">
        <f>IF(X3514=2,HLOOKUP(R3514,データについて!$J$12:$M$18,7,FALSE),"*")</f>
        <v>#N/A</v>
      </c>
    </row>
    <row r="3515" spans="19:30">
      <c r="S3515" s="81" t="e">
        <f>HLOOKUP(L3515,データについて!$J$6:$M$18,13,FALSE)</f>
        <v>#N/A</v>
      </c>
      <c r="T3515" s="81" t="e">
        <f>HLOOKUP(M3515,データについて!$J$7:$M$18,12,FALSE)</f>
        <v>#N/A</v>
      </c>
      <c r="U3515" s="81" t="e">
        <f>HLOOKUP(N3515,データについて!$J$8:$M$18,11,FALSE)</f>
        <v>#N/A</v>
      </c>
      <c r="V3515" s="81" t="e">
        <f>HLOOKUP(O3515,データについて!$J$9:$M$18,10,FALSE)</f>
        <v>#N/A</v>
      </c>
      <c r="W3515" s="81" t="e">
        <f>HLOOKUP(P3515,データについて!$J$10:$M$18,9,FALSE)</f>
        <v>#N/A</v>
      </c>
      <c r="X3515" s="81" t="e">
        <f>HLOOKUP(Q3515,データについて!$J$11:$M$18,8,FALSE)</f>
        <v>#N/A</v>
      </c>
      <c r="Y3515" s="81" t="e">
        <f>HLOOKUP(R3515,データについて!$J$12:$M$18,7,FALSE)</f>
        <v>#N/A</v>
      </c>
      <c r="Z3515" s="81" t="e">
        <f>HLOOKUP(I3515,データについて!$J$3:$M$18,16,FALSE)</f>
        <v>#N/A</v>
      </c>
      <c r="AA3515" s="81" t="str">
        <f>IFERROR(HLOOKUP(J3515,データについて!$J$4:$AH$19,16,FALSE),"")</f>
        <v/>
      </c>
      <c r="AB3515" s="81" t="str">
        <f>IFERROR(HLOOKUP(K3515,データについて!$J$5:$AH$20,14,FALSE),"")</f>
        <v/>
      </c>
      <c r="AC3515" s="81" t="e">
        <f>IF(X3515=1,HLOOKUP(R3515,データについて!$J$12:$M$18,7,FALSE),"*")</f>
        <v>#N/A</v>
      </c>
      <c r="AD3515" s="81" t="e">
        <f>IF(X3515=2,HLOOKUP(R3515,データについて!$J$12:$M$18,7,FALSE),"*")</f>
        <v>#N/A</v>
      </c>
    </row>
    <row r="3516" spans="19:30">
      <c r="S3516" s="81" t="e">
        <f>HLOOKUP(L3516,データについて!$J$6:$M$18,13,FALSE)</f>
        <v>#N/A</v>
      </c>
      <c r="T3516" s="81" t="e">
        <f>HLOOKUP(M3516,データについて!$J$7:$M$18,12,FALSE)</f>
        <v>#N/A</v>
      </c>
      <c r="U3516" s="81" t="e">
        <f>HLOOKUP(N3516,データについて!$J$8:$M$18,11,FALSE)</f>
        <v>#N/A</v>
      </c>
      <c r="V3516" s="81" t="e">
        <f>HLOOKUP(O3516,データについて!$J$9:$M$18,10,FALSE)</f>
        <v>#N/A</v>
      </c>
      <c r="W3516" s="81" t="e">
        <f>HLOOKUP(P3516,データについて!$J$10:$M$18,9,FALSE)</f>
        <v>#N/A</v>
      </c>
      <c r="X3516" s="81" t="e">
        <f>HLOOKUP(Q3516,データについて!$J$11:$M$18,8,FALSE)</f>
        <v>#N/A</v>
      </c>
      <c r="Y3516" s="81" t="e">
        <f>HLOOKUP(R3516,データについて!$J$12:$M$18,7,FALSE)</f>
        <v>#N/A</v>
      </c>
      <c r="Z3516" s="81" t="e">
        <f>HLOOKUP(I3516,データについて!$J$3:$M$18,16,FALSE)</f>
        <v>#N/A</v>
      </c>
      <c r="AA3516" s="81" t="str">
        <f>IFERROR(HLOOKUP(J3516,データについて!$J$4:$AH$19,16,FALSE),"")</f>
        <v/>
      </c>
      <c r="AB3516" s="81" t="str">
        <f>IFERROR(HLOOKUP(K3516,データについて!$J$5:$AH$20,14,FALSE),"")</f>
        <v/>
      </c>
      <c r="AC3516" s="81" t="e">
        <f>IF(X3516=1,HLOOKUP(R3516,データについて!$J$12:$M$18,7,FALSE),"*")</f>
        <v>#N/A</v>
      </c>
      <c r="AD3516" s="81" t="e">
        <f>IF(X3516=2,HLOOKUP(R3516,データについて!$J$12:$M$18,7,FALSE),"*")</f>
        <v>#N/A</v>
      </c>
    </row>
    <row r="3517" spans="19:30">
      <c r="S3517" s="81" t="e">
        <f>HLOOKUP(L3517,データについて!$J$6:$M$18,13,FALSE)</f>
        <v>#N/A</v>
      </c>
      <c r="T3517" s="81" t="e">
        <f>HLOOKUP(M3517,データについて!$J$7:$M$18,12,FALSE)</f>
        <v>#N/A</v>
      </c>
      <c r="U3517" s="81" t="e">
        <f>HLOOKUP(N3517,データについて!$J$8:$M$18,11,FALSE)</f>
        <v>#N/A</v>
      </c>
      <c r="V3517" s="81" t="e">
        <f>HLOOKUP(O3517,データについて!$J$9:$M$18,10,FALSE)</f>
        <v>#N/A</v>
      </c>
      <c r="W3517" s="81" t="e">
        <f>HLOOKUP(P3517,データについて!$J$10:$M$18,9,FALSE)</f>
        <v>#N/A</v>
      </c>
      <c r="X3517" s="81" t="e">
        <f>HLOOKUP(Q3517,データについて!$J$11:$M$18,8,FALSE)</f>
        <v>#N/A</v>
      </c>
      <c r="Y3517" s="81" t="e">
        <f>HLOOKUP(R3517,データについて!$J$12:$M$18,7,FALSE)</f>
        <v>#N/A</v>
      </c>
      <c r="Z3517" s="81" t="e">
        <f>HLOOKUP(I3517,データについて!$J$3:$M$18,16,FALSE)</f>
        <v>#N/A</v>
      </c>
      <c r="AA3517" s="81" t="str">
        <f>IFERROR(HLOOKUP(J3517,データについて!$J$4:$AH$19,16,FALSE),"")</f>
        <v/>
      </c>
      <c r="AB3517" s="81" t="str">
        <f>IFERROR(HLOOKUP(K3517,データについて!$J$5:$AH$20,14,FALSE),"")</f>
        <v/>
      </c>
      <c r="AC3517" s="81" t="e">
        <f>IF(X3517=1,HLOOKUP(R3517,データについて!$J$12:$M$18,7,FALSE),"*")</f>
        <v>#N/A</v>
      </c>
      <c r="AD3517" s="81" t="e">
        <f>IF(X3517=2,HLOOKUP(R3517,データについて!$J$12:$M$18,7,FALSE),"*")</f>
        <v>#N/A</v>
      </c>
    </row>
    <row r="3518" spans="19:30">
      <c r="S3518" s="81" t="e">
        <f>HLOOKUP(L3518,データについて!$J$6:$M$18,13,FALSE)</f>
        <v>#N/A</v>
      </c>
      <c r="T3518" s="81" t="e">
        <f>HLOOKUP(M3518,データについて!$J$7:$M$18,12,FALSE)</f>
        <v>#N/A</v>
      </c>
      <c r="U3518" s="81" t="e">
        <f>HLOOKUP(N3518,データについて!$J$8:$M$18,11,FALSE)</f>
        <v>#N/A</v>
      </c>
      <c r="V3518" s="81" t="e">
        <f>HLOOKUP(O3518,データについて!$J$9:$M$18,10,FALSE)</f>
        <v>#N/A</v>
      </c>
      <c r="W3518" s="81" t="e">
        <f>HLOOKUP(P3518,データについて!$J$10:$M$18,9,FALSE)</f>
        <v>#N/A</v>
      </c>
      <c r="X3518" s="81" t="e">
        <f>HLOOKUP(Q3518,データについて!$J$11:$M$18,8,FALSE)</f>
        <v>#N/A</v>
      </c>
      <c r="Y3518" s="81" t="e">
        <f>HLOOKUP(R3518,データについて!$J$12:$M$18,7,FALSE)</f>
        <v>#N/A</v>
      </c>
      <c r="Z3518" s="81" t="e">
        <f>HLOOKUP(I3518,データについて!$J$3:$M$18,16,FALSE)</f>
        <v>#N/A</v>
      </c>
      <c r="AA3518" s="81" t="str">
        <f>IFERROR(HLOOKUP(J3518,データについて!$J$4:$AH$19,16,FALSE),"")</f>
        <v/>
      </c>
      <c r="AB3518" s="81" t="str">
        <f>IFERROR(HLOOKUP(K3518,データについて!$J$5:$AH$20,14,FALSE),"")</f>
        <v/>
      </c>
      <c r="AC3518" s="81" t="e">
        <f>IF(X3518=1,HLOOKUP(R3518,データについて!$J$12:$M$18,7,FALSE),"*")</f>
        <v>#N/A</v>
      </c>
      <c r="AD3518" s="81" t="e">
        <f>IF(X3518=2,HLOOKUP(R3518,データについて!$J$12:$M$18,7,FALSE),"*")</f>
        <v>#N/A</v>
      </c>
    </row>
    <row r="3519" spans="19:30">
      <c r="S3519" s="81" t="e">
        <f>HLOOKUP(L3519,データについて!$J$6:$M$18,13,FALSE)</f>
        <v>#N/A</v>
      </c>
      <c r="T3519" s="81" t="e">
        <f>HLOOKUP(M3519,データについて!$J$7:$M$18,12,FALSE)</f>
        <v>#N/A</v>
      </c>
      <c r="U3519" s="81" t="e">
        <f>HLOOKUP(N3519,データについて!$J$8:$M$18,11,FALSE)</f>
        <v>#N/A</v>
      </c>
      <c r="V3519" s="81" t="e">
        <f>HLOOKUP(O3519,データについて!$J$9:$M$18,10,FALSE)</f>
        <v>#N/A</v>
      </c>
      <c r="W3519" s="81" t="e">
        <f>HLOOKUP(P3519,データについて!$J$10:$M$18,9,FALSE)</f>
        <v>#N/A</v>
      </c>
      <c r="X3519" s="81" t="e">
        <f>HLOOKUP(Q3519,データについて!$J$11:$M$18,8,FALSE)</f>
        <v>#N/A</v>
      </c>
      <c r="Y3519" s="81" t="e">
        <f>HLOOKUP(R3519,データについて!$J$12:$M$18,7,FALSE)</f>
        <v>#N/A</v>
      </c>
      <c r="Z3519" s="81" t="e">
        <f>HLOOKUP(I3519,データについて!$J$3:$M$18,16,FALSE)</f>
        <v>#N/A</v>
      </c>
      <c r="AA3519" s="81" t="str">
        <f>IFERROR(HLOOKUP(J3519,データについて!$J$4:$AH$19,16,FALSE),"")</f>
        <v/>
      </c>
      <c r="AB3519" s="81" t="str">
        <f>IFERROR(HLOOKUP(K3519,データについて!$J$5:$AH$20,14,FALSE),"")</f>
        <v/>
      </c>
      <c r="AC3519" s="81" t="e">
        <f>IF(X3519=1,HLOOKUP(R3519,データについて!$J$12:$M$18,7,FALSE),"*")</f>
        <v>#N/A</v>
      </c>
      <c r="AD3519" s="81" t="e">
        <f>IF(X3519=2,HLOOKUP(R3519,データについて!$J$12:$M$18,7,FALSE),"*")</f>
        <v>#N/A</v>
      </c>
    </row>
    <row r="3520" spans="19:30">
      <c r="S3520" s="81" t="e">
        <f>HLOOKUP(L3520,データについて!$J$6:$M$18,13,FALSE)</f>
        <v>#N/A</v>
      </c>
      <c r="T3520" s="81" t="e">
        <f>HLOOKUP(M3520,データについて!$J$7:$M$18,12,FALSE)</f>
        <v>#N/A</v>
      </c>
      <c r="U3520" s="81" t="e">
        <f>HLOOKUP(N3520,データについて!$J$8:$M$18,11,FALSE)</f>
        <v>#N/A</v>
      </c>
      <c r="V3520" s="81" t="e">
        <f>HLOOKUP(O3520,データについて!$J$9:$M$18,10,FALSE)</f>
        <v>#N/A</v>
      </c>
      <c r="W3520" s="81" t="e">
        <f>HLOOKUP(P3520,データについて!$J$10:$M$18,9,FALSE)</f>
        <v>#N/A</v>
      </c>
      <c r="X3520" s="81" t="e">
        <f>HLOOKUP(Q3520,データについて!$J$11:$M$18,8,FALSE)</f>
        <v>#N/A</v>
      </c>
      <c r="Y3520" s="81" t="e">
        <f>HLOOKUP(R3520,データについて!$J$12:$M$18,7,FALSE)</f>
        <v>#N/A</v>
      </c>
      <c r="Z3520" s="81" t="e">
        <f>HLOOKUP(I3520,データについて!$J$3:$M$18,16,FALSE)</f>
        <v>#N/A</v>
      </c>
      <c r="AA3520" s="81" t="str">
        <f>IFERROR(HLOOKUP(J3520,データについて!$J$4:$AH$19,16,FALSE),"")</f>
        <v/>
      </c>
      <c r="AB3520" s="81" t="str">
        <f>IFERROR(HLOOKUP(K3520,データについて!$J$5:$AH$20,14,FALSE),"")</f>
        <v/>
      </c>
      <c r="AC3520" s="81" t="e">
        <f>IF(X3520=1,HLOOKUP(R3520,データについて!$J$12:$M$18,7,FALSE),"*")</f>
        <v>#N/A</v>
      </c>
      <c r="AD3520" s="81" t="e">
        <f>IF(X3520=2,HLOOKUP(R3520,データについて!$J$12:$M$18,7,FALSE),"*")</f>
        <v>#N/A</v>
      </c>
    </row>
    <row r="3521" spans="19:30">
      <c r="S3521" s="81" t="e">
        <f>HLOOKUP(L3521,データについて!$J$6:$M$18,13,FALSE)</f>
        <v>#N/A</v>
      </c>
      <c r="T3521" s="81" t="e">
        <f>HLOOKUP(M3521,データについて!$J$7:$M$18,12,FALSE)</f>
        <v>#N/A</v>
      </c>
      <c r="U3521" s="81" t="e">
        <f>HLOOKUP(N3521,データについて!$J$8:$M$18,11,FALSE)</f>
        <v>#N/A</v>
      </c>
      <c r="V3521" s="81" t="e">
        <f>HLOOKUP(O3521,データについて!$J$9:$M$18,10,FALSE)</f>
        <v>#N/A</v>
      </c>
      <c r="W3521" s="81" t="e">
        <f>HLOOKUP(P3521,データについて!$J$10:$M$18,9,FALSE)</f>
        <v>#N/A</v>
      </c>
      <c r="X3521" s="81" t="e">
        <f>HLOOKUP(Q3521,データについて!$J$11:$M$18,8,FALSE)</f>
        <v>#N/A</v>
      </c>
      <c r="Y3521" s="81" t="e">
        <f>HLOOKUP(R3521,データについて!$J$12:$M$18,7,FALSE)</f>
        <v>#N/A</v>
      </c>
      <c r="Z3521" s="81" t="e">
        <f>HLOOKUP(I3521,データについて!$J$3:$M$18,16,FALSE)</f>
        <v>#N/A</v>
      </c>
      <c r="AA3521" s="81" t="str">
        <f>IFERROR(HLOOKUP(J3521,データについて!$J$4:$AH$19,16,FALSE),"")</f>
        <v/>
      </c>
      <c r="AB3521" s="81" t="str">
        <f>IFERROR(HLOOKUP(K3521,データについて!$J$5:$AH$20,14,FALSE),"")</f>
        <v/>
      </c>
      <c r="AC3521" s="81" t="e">
        <f>IF(X3521=1,HLOOKUP(R3521,データについて!$J$12:$M$18,7,FALSE),"*")</f>
        <v>#N/A</v>
      </c>
      <c r="AD3521" s="81" t="e">
        <f>IF(X3521=2,HLOOKUP(R3521,データについて!$J$12:$M$18,7,FALSE),"*")</f>
        <v>#N/A</v>
      </c>
    </row>
    <row r="3522" spans="19:30">
      <c r="S3522" s="81" t="e">
        <f>HLOOKUP(L3522,データについて!$J$6:$M$18,13,FALSE)</f>
        <v>#N/A</v>
      </c>
      <c r="T3522" s="81" t="e">
        <f>HLOOKUP(M3522,データについて!$J$7:$M$18,12,FALSE)</f>
        <v>#N/A</v>
      </c>
      <c r="U3522" s="81" t="e">
        <f>HLOOKUP(N3522,データについて!$J$8:$M$18,11,FALSE)</f>
        <v>#N/A</v>
      </c>
      <c r="V3522" s="81" t="e">
        <f>HLOOKUP(O3522,データについて!$J$9:$M$18,10,FALSE)</f>
        <v>#N/A</v>
      </c>
      <c r="W3522" s="81" t="e">
        <f>HLOOKUP(P3522,データについて!$J$10:$M$18,9,FALSE)</f>
        <v>#N/A</v>
      </c>
      <c r="X3522" s="81" t="e">
        <f>HLOOKUP(Q3522,データについて!$J$11:$M$18,8,FALSE)</f>
        <v>#N/A</v>
      </c>
      <c r="Y3522" s="81" t="e">
        <f>HLOOKUP(R3522,データについて!$J$12:$M$18,7,FALSE)</f>
        <v>#N/A</v>
      </c>
      <c r="Z3522" s="81" t="e">
        <f>HLOOKUP(I3522,データについて!$J$3:$M$18,16,FALSE)</f>
        <v>#N/A</v>
      </c>
      <c r="AA3522" s="81" t="str">
        <f>IFERROR(HLOOKUP(J3522,データについて!$J$4:$AH$19,16,FALSE),"")</f>
        <v/>
      </c>
      <c r="AB3522" s="81" t="str">
        <f>IFERROR(HLOOKUP(K3522,データについて!$J$5:$AH$20,14,FALSE),"")</f>
        <v/>
      </c>
      <c r="AC3522" s="81" t="e">
        <f>IF(X3522=1,HLOOKUP(R3522,データについて!$J$12:$M$18,7,FALSE),"*")</f>
        <v>#N/A</v>
      </c>
      <c r="AD3522" s="81" t="e">
        <f>IF(X3522=2,HLOOKUP(R3522,データについて!$J$12:$M$18,7,FALSE),"*")</f>
        <v>#N/A</v>
      </c>
    </row>
    <row r="3523" spans="19:30">
      <c r="S3523" s="81" t="e">
        <f>HLOOKUP(L3523,データについて!$J$6:$M$18,13,FALSE)</f>
        <v>#N/A</v>
      </c>
      <c r="T3523" s="81" t="e">
        <f>HLOOKUP(M3523,データについて!$J$7:$M$18,12,FALSE)</f>
        <v>#N/A</v>
      </c>
      <c r="U3523" s="81" t="e">
        <f>HLOOKUP(N3523,データについて!$J$8:$M$18,11,FALSE)</f>
        <v>#N/A</v>
      </c>
      <c r="V3523" s="81" t="e">
        <f>HLOOKUP(O3523,データについて!$J$9:$M$18,10,FALSE)</f>
        <v>#N/A</v>
      </c>
      <c r="W3523" s="81" t="e">
        <f>HLOOKUP(P3523,データについて!$J$10:$M$18,9,FALSE)</f>
        <v>#N/A</v>
      </c>
      <c r="X3523" s="81" t="e">
        <f>HLOOKUP(Q3523,データについて!$J$11:$M$18,8,FALSE)</f>
        <v>#N/A</v>
      </c>
      <c r="Y3523" s="81" t="e">
        <f>HLOOKUP(R3523,データについて!$J$12:$M$18,7,FALSE)</f>
        <v>#N/A</v>
      </c>
      <c r="Z3523" s="81" t="e">
        <f>HLOOKUP(I3523,データについて!$J$3:$M$18,16,FALSE)</f>
        <v>#N/A</v>
      </c>
      <c r="AA3523" s="81" t="str">
        <f>IFERROR(HLOOKUP(J3523,データについて!$J$4:$AH$19,16,FALSE),"")</f>
        <v/>
      </c>
      <c r="AB3523" s="81" t="str">
        <f>IFERROR(HLOOKUP(K3523,データについて!$J$5:$AH$20,14,FALSE),"")</f>
        <v/>
      </c>
      <c r="AC3523" s="81" t="e">
        <f>IF(X3523=1,HLOOKUP(R3523,データについて!$J$12:$M$18,7,FALSE),"*")</f>
        <v>#N/A</v>
      </c>
      <c r="AD3523" s="81" t="e">
        <f>IF(X3523=2,HLOOKUP(R3523,データについて!$J$12:$M$18,7,FALSE),"*")</f>
        <v>#N/A</v>
      </c>
    </row>
    <row r="3524" spans="19:30">
      <c r="S3524" s="81" t="e">
        <f>HLOOKUP(L3524,データについて!$J$6:$M$18,13,FALSE)</f>
        <v>#N/A</v>
      </c>
      <c r="T3524" s="81" t="e">
        <f>HLOOKUP(M3524,データについて!$J$7:$M$18,12,FALSE)</f>
        <v>#N/A</v>
      </c>
      <c r="U3524" s="81" t="e">
        <f>HLOOKUP(N3524,データについて!$J$8:$M$18,11,FALSE)</f>
        <v>#N/A</v>
      </c>
      <c r="V3524" s="81" t="e">
        <f>HLOOKUP(O3524,データについて!$J$9:$M$18,10,FALSE)</f>
        <v>#N/A</v>
      </c>
      <c r="W3524" s="81" t="e">
        <f>HLOOKUP(P3524,データについて!$J$10:$M$18,9,FALSE)</f>
        <v>#N/A</v>
      </c>
      <c r="X3524" s="81" t="e">
        <f>HLOOKUP(Q3524,データについて!$J$11:$M$18,8,FALSE)</f>
        <v>#N/A</v>
      </c>
      <c r="Y3524" s="81" t="e">
        <f>HLOOKUP(R3524,データについて!$J$12:$M$18,7,FALSE)</f>
        <v>#N/A</v>
      </c>
      <c r="Z3524" s="81" t="e">
        <f>HLOOKUP(I3524,データについて!$J$3:$M$18,16,FALSE)</f>
        <v>#N/A</v>
      </c>
      <c r="AA3524" s="81" t="str">
        <f>IFERROR(HLOOKUP(J3524,データについて!$J$4:$AH$19,16,FALSE),"")</f>
        <v/>
      </c>
      <c r="AB3524" s="81" t="str">
        <f>IFERROR(HLOOKUP(K3524,データについて!$J$5:$AH$20,14,FALSE),"")</f>
        <v/>
      </c>
      <c r="AC3524" s="81" t="e">
        <f>IF(X3524=1,HLOOKUP(R3524,データについて!$J$12:$M$18,7,FALSE),"*")</f>
        <v>#N/A</v>
      </c>
      <c r="AD3524" s="81" t="e">
        <f>IF(X3524=2,HLOOKUP(R3524,データについて!$J$12:$M$18,7,FALSE),"*")</f>
        <v>#N/A</v>
      </c>
    </row>
    <row r="3525" spans="19:30">
      <c r="S3525" s="81" t="e">
        <f>HLOOKUP(L3525,データについて!$J$6:$M$18,13,FALSE)</f>
        <v>#N/A</v>
      </c>
      <c r="T3525" s="81" t="e">
        <f>HLOOKUP(M3525,データについて!$J$7:$M$18,12,FALSE)</f>
        <v>#N/A</v>
      </c>
      <c r="U3525" s="81" t="e">
        <f>HLOOKUP(N3525,データについて!$J$8:$M$18,11,FALSE)</f>
        <v>#N/A</v>
      </c>
      <c r="V3525" s="81" t="e">
        <f>HLOOKUP(O3525,データについて!$J$9:$M$18,10,FALSE)</f>
        <v>#N/A</v>
      </c>
      <c r="W3525" s="81" t="e">
        <f>HLOOKUP(P3525,データについて!$J$10:$M$18,9,FALSE)</f>
        <v>#N/A</v>
      </c>
      <c r="X3525" s="81" t="e">
        <f>HLOOKUP(Q3525,データについて!$J$11:$M$18,8,FALSE)</f>
        <v>#N/A</v>
      </c>
      <c r="Y3525" s="81" t="e">
        <f>HLOOKUP(R3525,データについて!$J$12:$M$18,7,FALSE)</f>
        <v>#N/A</v>
      </c>
      <c r="Z3525" s="81" t="e">
        <f>HLOOKUP(I3525,データについて!$J$3:$M$18,16,FALSE)</f>
        <v>#N/A</v>
      </c>
      <c r="AA3525" s="81" t="str">
        <f>IFERROR(HLOOKUP(J3525,データについて!$J$4:$AH$19,16,FALSE),"")</f>
        <v/>
      </c>
      <c r="AB3525" s="81" t="str">
        <f>IFERROR(HLOOKUP(K3525,データについて!$J$5:$AH$20,14,FALSE),"")</f>
        <v/>
      </c>
      <c r="AC3525" s="81" t="e">
        <f>IF(X3525=1,HLOOKUP(R3525,データについて!$J$12:$M$18,7,FALSE),"*")</f>
        <v>#N/A</v>
      </c>
      <c r="AD3525" s="81" t="e">
        <f>IF(X3525=2,HLOOKUP(R3525,データについて!$J$12:$M$18,7,FALSE),"*")</f>
        <v>#N/A</v>
      </c>
    </row>
    <row r="3526" spans="19:30">
      <c r="S3526" s="81" t="e">
        <f>HLOOKUP(L3526,データについて!$J$6:$M$18,13,FALSE)</f>
        <v>#N/A</v>
      </c>
      <c r="T3526" s="81" t="e">
        <f>HLOOKUP(M3526,データについて!$J$7:$M$18,12,FALSE)</f>
        <v>#N/A</v>
      </c>
      <c r="U3526" s="81" t="e">
        <f>HLOOKUP(N3526,データについて!$J$8:$M$18,11,FALSE)</f>
        <v>#N/A</v>
      </c>
      <c r="V3526" s="81" t="e">
        <f>HLOOKUP(O3526,データについて!$J$9:$M$18,10,FALSE)</f>
        <v>#N/A</v>
      </c>
      <c r="W3526" s="81" t="e">
        <f>HLOOKUP(P3526,データについて!$J$10:$M$18,9,FALSE)</f>
        <v>#N/A</v>
      </c>
      <c r="X3526" s="81" t="e">
        <f>HLOOKUP(Q3526,データについて!$J$11:$M$18,8,FALSE)</f>
        <v>#N/A</v>
      </c>
      <c r="Y3526" s="81" t="e">
        <f>HLOOKUP(R3526,データについて!$J$12:$M$18,7,FALSE)</f>
        <v>#N/A</v>
      </c>
      <c r="Z3526" s="81" t="e">
        <f>HLOOKUP(I3526,データについて!$J$3:$M$18,16,FALSE)</f>
        <v>#N/A</v>
      </c>
      <c r="AA3526" s="81" t="str">
        <f>IFERROR(HLOOKUP(J3526,データについて!$J$4:$AH$19,16,FALSE),"")</f>
        <v/>
      </c>
      <c r="AB3526" s="81" t="str">
        <f>IFERROR(HLOOKUP(K3526,データについて!$J$5:$AH$20,14,FALSE),"")</f>
        <v/>
      </c>
      <c r="AC3526" s="81" t="e">
        <f>IF(X3526=1,HLOOKUP(R3526,データについて!$J$12:$M$18,7,FALSE),"*")</f>
        <v>#N/A</v>
      </c>
      <c r="AD3526" s="81" t="e">
        <f>IF(X3526=2,HLOOKUP(R3526,データについて!$J$12:$M$18,7,FALSE),"*")</f>
        <v>#N/A</v>
      </c>
    </row>
    <row r="3527" spans="19:30">
      <c r="S3527" s="81" t="e">
        <f>HLOOKUP(L3527,データについて!$J$6:$M$18,13,FALSE)</f>
        <v>#N/A</v>
      </c>
      <c r="T3527" s="81" t="e">
        <f>HLOOKUP(M3527,データについて!$J$7:$M$18,12,FALSE)</f>
        <v>#N/A</v>
      </c>
      <c r="U3527" s="81" t="e">
        <f>HLOOKUP(N3527,データについて!$J$8:$M$18,11,FALSE)</f>
        <v>#N/A</v>
      </c>
      <c r="V3527" s="81" t="e">
        <f>HLOOKUP(O3527,データについて!$J$9:$M$18,10,FALSE)</f>
        <v>#N/A</v>
      </c>
      <c r="W3527" s="81" t="e">
        <f>HLOOKUP(P3527,データについて!$J$10:$M$18,9,FALSE)</f>
        <v>#N/A</v>
      </c>
      <c r="X3527" s="81" t="e">
        <f>HLOOKUP(Q3527,データについて!$J$11:$M$18,8,FALSE)</f>
        <v>#N/A</v>
      </c>
      <c r="Y3527" s="81" t="e">
        <f>HLOOKUP(R3527,データについて!$J$12:$M$18,7,FALSE)</f>
        <v>#N/A</v>
      </c>
      <c r="Z3527" s="81" t="e">
        <f>HLOOKUP(I3527,データについて!$J$3:$M$18,16,FALSE)</f>
        <v>#N/A</v>
      </c>
      <c r="AA3527" s="81" t="str">
        <f>IFERROR(HLOOKUP(J3527,データについて!$J$4:$AH$19,16,FALSE),"")</f>
        <v/>
      </c>
      <c r="AB3527" s="81" t="str">
        <f>IFERROR(HLOOKUP(K3527,データについて!$J$5:$AH$20,14,FALSE),"")</f>
        <v/>
      </c>
      <c r="AC3527" s="81" t="e">
        <f>IF(X3527=1,HLOOKUP(R3527,データについて!$J$12:$M$18,7,FALSE),"*")</f>
        <v>#N/A</v>
      </c>
      <c r="AD3527" s="81" t="e">
        <f>IF(X3527=2,HLOOKUP(R3527,データについて!$J$12:$M$18,7,FALSE),"*")</f>
        <v>#N/A</v>
      </c>
    </row>
    <row r="3528" spans="19:30">
      <c r="S3528" s="81" t="e">
        <f>HLOOKUP(L3528,データについて!$J$6:$M$18,13,FALSE)</f>
        <v>#N/A</v>
      </c>
      <c r="T3528" s="81" t="e">
        <f>HLOOKUP(M3528,データについて!$J$7:$M$18,12,FALSE)</f>
        <v>#N/A</v>
      </c>
      <c r="U3528" s="81" t="e">
        <f>HLOOKUP(N3528,データについて!$J$8:$M$18,11,FALSE)</f>
        <v>#N/A</v>
      </c>
      <c r="V3528" s="81" t="e">
        <f>HLOOKUP(O3528,データについて!$J$9:$M$18,10,FALSE)</f>
        <v>#N/A</v>
      </c>
      <c r="W3528" s="81" t="e">
        <f>HLOOKUP(P3528,データについて!$J$10:$M$18,9,FALSE)</f>
        <v>#N/A</v>
      </c>
      <c r="X3528" s="81" t="e">
        <f>HLOOKUP(Q3528,データについて!$J$11:$M$18,8,FALSE)</f>
        <v>#N/A</v>
      </c>
      <c r="Y3528" s="81" t="e">
        <f>HLOOKUP(R3528,データについて!$J$12:$M$18,7,FALSE)</f>
        <v>#N/A</v>
      </c>
      <c r="Z3528" s="81" t="e">
        <f>HLOOKUP(I3528,データについて!$J$3:$M$18,16,FALSE)</f>
        <v>#N/A</v>
      </c>
      <c r="AA3528" s="81" t="str">
        <f>IFERROR(HLOOKUP(J3528,データについて!$J$4:$AH$19,16,FALSE),"")</f>
        <v/>
      </c>
      <c r="AB3528" s="81" t="str">
        <f>IFERROR(HLOOKUP(K3528,データについて!$J$5:$AH$20,14,FALSE),"")</f>
        <v/>
      </c>
      <c r="AC3528" s="81" t="e">
        <f>IF(X3528=1,HLOOKUP(R3528,データについて!$J$12:$M$18,7,FALSE),"*")</f>
        <v>#N/A</v>
      </c>
      <c r="AD3528" s="81" t="e">
        <f>IF(X3528=2,HLOOKUP(R3528,データについて!$J$12:$M$18,7,FALSE),"*")</f>
        <v>#N/A</v>
      </c>
    </row>
    <row r="3529" spans="19:30">
      <c r="S3529" s="81" t="e">
        <f>HLOOKUP(L3529,データについて!$J$6:$M$18,13,FALSE)</f>
        <v>#N/A</v>
      </c>
      <c r="T3529" s="81" t="e">
        <f>HLOOKUP(M3529,データについて!$J$7:$M$18,12,FALSE)</f>
        <v>#N/A</v>
      </c>
      <c r="U3529" s="81" t="e">
        <f>HLOOKUP(N3529,データについて!$J$8:$M$18,11,FALSE)</f>
        <v>#N/A</v>
      </c>
      <c r="V3529" s="81" t="e">
        <f>HLOOKUP(O3529,データについて!$J$9:$M$18,10,FALSE)</f>
        <v>#N/A</v>
      </c>
      <c r="W3529" s="81" t="e">
        <f>HLOOKUP(P3529,データについて!$J$10:$M$18,9,FALSE)</f>
        <v>#N/A</v>
      </c>
      <c r="X3529" s="81" t="e">
        <f>HLOOKUP(Q3529,データについて!$J$11:$M$18,8,FALSE)</f>
        <v>#N/A</v>
      </c>
      <c r="Y3529" s="81" t="e">
        <f>HLOOKUP(R3529,データについて!$J$12:$M$18,7,FALSE)</f>
        <v>#N/A</v>
      </c>
      <c r="Z3529" s="81" t="e">
        <f>HLOOKUP(I3529,データについて!$J$3:$M$18,16,FALSE)</f>
        <v>#N/A</v>
      </c>
      <c r="AA3529" s="81" t="str">
        <f>IFERROR(HLOOKUP(J3529,データについて!$J$4:$AH$19,16,FALSE),"")</f>
        <v/>
      </c>
      <c r="AB3529" s="81" t="str">
        <f>IFERROR(HLOOKUP(K3529,データについて!$J$5:$AH$20,14,FALSE),"")</f>
        <v/>
      </c>
      <c r="AC3529" s="81" t="e">
        <f>IF(X3529=1,HLOOKUP(R3529,データについて!$J$12:$M$18,7,FALSE),"*")</f>
        <v>#N/A</v>
      </c>
      <c r="AD3529" s="81" t="e">
        <f>IF(X3529=2,HLOOKUP(R3529,データについて!$J$12:$M$18,7,FALSE),"*")</f>
        <v>#N/A</v>
      </c>
    </row>
    <row r="3530" spans="19:30">
      <c r="S3530" s="81" t="e">
        <f>HLOOKUP(L3530,データについて!$J$6:$M$18,13,FALSE)</f>
        <v>#N/A</v>
      </c>
      <c r="T3530" s="81" t="e">
        <f>HLOOKUP(M3530,データについて!$J$7:$M$18,12,FALSE)</f>
        <v>#N/A</v>
      </c>
      <c r="U3530" s="81" t="e">
        <f>HLOOKUP(N3530,データについて!$J$8:$M$18,11,FALSE)</f>
        <v>#N/A</v>
      </c>
      <c r="V3530" s="81" t="e">
        <f>HLOOKUP(O3530,データについて!$J$9:$M$18,10,FALSE)</f>
        <v>#N/A</v>
      </c>
      <c r="W3530" s="81" t="e">
        <f>HLOOKUP(P3530,データについて!$J$10:$M$18,9,FALSE)</f>
        <v>#N/A</v>
      </c>
      <c r="X3530" s="81" t="e">
        <f>HLOOKUP(Q3530,データについて!$J$11:$M$18,8,FALSE)</f>
        <v>#N/A</v>
      </c>
      <c r="Y3530" s="81" t="e">
        <f>HLOOKUP(R3530,データについて!$J$12:$M$18,7,FALSE)</f>
        <v>#N/A</v>
      </c>
      <c r="Z3530" s="81" t="e">
        <f>HLOOKUP(I3530,データについて!$J$3:$M$18,16,FALSE)</f>
        <v>#N/A</v>
      </c>
      <c r="AA3530" s="81" t="str">
        <f>IFERROR(HLOOKUP(J3530,データについて!$J$4:$AH$19,16,FALSE),"")</f>
        <v/>
      </c>
      <c r="AB3530" s="81" t="str">
        <f>IFERROR(HLOOKUP(K3530,データについて!$J$5:$AH$20,14,FALSE),"")</f>
        <v/>
      </c>
      <c r="AC3530" s="81" t="e">
        <f>IF(X3530=1,HLOOKUP(R3530,データについて!$J$12:$M$18,7,FALSE),"*")</f>
        <v>#N/A</v>
      </c>
      <c r="AD3530" s="81" t="e">
        <f>IF(X3530=2,HLOOKUP(R3530,データについて!$J$12:$M$18,7,FALSE),"*")</f>
        <v>#N/A</v>
      </c>
    </row>
    <row r="3531" spans="19:30">
      <c r="S3531" s="81" t="e">
        <f>HLOOKUP(L3531,データについて!$J$6:$M$18,13,FALSE)</f>
        <v>#N/A</v>
      </c>
      <c r="T3531" s="81" t="e">
        <f>HLOOKUP(M3531,データについて!$J$7:$M$18,12,FALSE)</f>
        <v>#N/A</v>
      </c>
      <c r="U3531" s="81" t="e">
        <f>HLOOKUP(N3531,データについて!$J$8:$M$18,11,FALSE)</f>
        <v>#N/A</v>
      </c>
      <c r="V3531" s="81" t="e">
        <f>HLOOKUP(O3531,データについて!$J$9:$M$18,10,FALSE)</f>
        <v>#N/A</v>
      </c>
      <c r="W3531" s="81" t="e">
        <f>HLOOKUP(P3531,データについて!$J$10:$M$18,9,FALSE)</f>
        <v>#N/A</v>
      </c>
      <c r="X3531" s="81" t="e">
        <f>HLOOKUP(Q3531,データについて!$J$11:$M$18,8,FALSE)</f>
        <v>#N/A</v>
      </c>
      <c r="Y3531" s="81" t="e">
        <f>HLOOKUP(R3531,データについて!$J$12:$M$18,7,FALSE)</f>
        <v>#N/A</v>
      </c>
      <c r="Z3531" s="81" t="e">
        <f>HLOOKUP(I3531,データについて!$J$3:$M$18,16,FALSE)</f>
        <v>#N/A</v>
      </c>
      <c r="AA3531" s="81" t="str">
        <f>IFERROR(HLOOKUP(J3531,データについて!$J$4:$AH$19,16,FALSE),"")</f>
        <v/>
      </c>
      <c r="AB3531" s="81" t="str">
        <f>IFERROR(HLOOKUP(K3531,データについて!$J$5:$AH$20,14,FALSE),"")</f>
        <v/>
      </c>
      <c r="AC3531" s="81" t="e">
        <f>IF(X3531=1,HLOOKUP(R3531,データについて!$J$12:$M$18,7,FALSE),"*")</f>
        <v>#N/A</v>
      </c>
      <c r="AD3531" s="81" t="e">
        <f>IF(X3531=2,HLOOKUP(R3531,データについて!$J$12:$M$18,7,FALSE),"*")</f>
        <v>#N/A</v>
      </c>
    </row>
    <row r="3532" spans="19:30">
      <c r="S3532" s="81" t="e">
        <f>HLOOKUP(L3532,データについて!$J$6:$M$18,13,FALSE)</f>
        <v>#N/A</v>
      </c>
      <c r="T3532" s="81" t="e">
        <f>HLOOKUP(M3532,データについて!$J$7:$M$18,12,FALSE)</f>
        <v>#N/A</v>
      </c>
      <c r="U3532" s="81" t="e">
        <f>HLOOKUP(N3532,データについて!$J$8:$M$18,11,FALSE)</f>
        <v>#N/A</v>
      </c>
      <c r="V3532" s="81" t="e">
        <f>HLOOKUP(O3532,データについて!$J$9:$M$18,10,FALSE)</f>
        <v>#N/A</v>
      </c>
      <c r="W3532" s="81" t="e">
        <f>HLOOKUP(P3532,データについて!$J$10:$M$18,9,FALSE)</f>
        <v>#N/A</v>
      </c>
      <c r="X3532" s="81" t="e">
        <f>HLOOKUP(Q3532,データについて!$J$11:$M$18,8,FALSE)</f>
        <v>#N/A</v>
      </c>
      <c r="Y3532" s="81" t="e">
        <f>HLOOKUP(R3532,データについて!$J$12:$M$18,7,FALSE)</f>
        <v>#N/A</v>
      </c>
      <c r="Z3532" s="81" t="e">
        <f>HLOOKUP(I3532,データについて!$J$3:$M$18,16,FALSE)</f>
        <v>#N/A</v>
      </c>
      <c r="AA3532" s="81" t="str">
        <f>IFERROR(HLOOKUP(J3532,データについて!$J$4:$AH$19,16,FALSE),"")</f>
        <v/>
      </c>
      <c r="AB3532" s="81" t="str">
        <f>IFERROR(HLOOKUP(K3532,データについて!$J$5:$AH$20,14,FALSE),"")</f>
        <v/>
      </c>
      <c r="AC3532" s="81" t="e">
        <f>IF(X3532=1,HLOOKUP(R3532,データについて!$J$12:$M$18,7,FALSE),"*")</f>
        <v>#N/A</v>
      </c>
      <c r="AD3532" s="81" t="e">
        <f>IF(X3532=2,HLOOKUP(R3532,データについて!$J$12:$M$18,7,FALSE),"*")</f>
        <v>#N/A</v>
      </c>
    </row>
    <row r="3533" spans="19:30">
      <c r="S3533" s="81" t="e">
        <f>HLOOKUP(L3533,データについて!$J$6:$M$18,13,FALSE)</f>
        <v>#N/A</v>
      </c>
      <c r="T3533" s="81" t="e">
        <f>HLOOKUP(M3533,データについて!$J$7:$M$18,12,FALSE)</f>
        <v>#N/A</v>
      </c>
      <c r="U3533" s="81" t="e">
        <f>HLOOKUP(N3533,データについて!$J$8:$M$18,11,FALSE)</f>
        <v>#N/A</v>
      </c>
      <c r="V3533" s="81" t="e">
        <f>HLOOKUP(O3533,データについて!$J$9:$M$18,10,FALSE)</f>
        <v>#N/A</v>
      </c>
      <c r="W3533" s="81" t="e">
        <f>HLOOKUP(P3533,データについて!$J$10:$M$18,9,FALSE)</f>
        <v>#N/A</v>
      </c>
      <c r="X3533" s="81" t="e">
        <f>HLOOKUP(Q3533,データについて!$J$11:$M$18,8,FALSE)</f>
        <v>#N/A</v>
      </c>
      <c r="Y3533" s="81" t="e">
        <f>HLOOKUP(R3533,データについて!$J$12:$M$18,7,FALSE)</f>
        <v>#N/A</v>
      </c>
      <c r="Z3533" s="81" t="e">
        <f>HLOOKUP(I3533,データについて!$J$3:$M$18,16,FALSE)</f>
        <v>#N/A</v>
      </c>
      <c r="AA3533" s="81" t="str">
        <f>IFERROR(HLOOKUP(J3533,データについて!$J$4:$AH$19,16,FALSE),"")</f>
        <v/>
      </c>
      <c r="AB3533" s="81" t="str">
        <f>IFERROR(HLOOKUP(K3533,データについて!$J$5:$AH$20,14,FALSE),"")</f>
        <v/>
      </c>
      <c r="AC3533" s="81" t="e">
        <f>IF(X3533=1,HLOOKUP(R3533,データについて!$J$12:$M$18,7,FALSE),"*")</f>
        <v>#N/A</v>
      </c>
      <c r="AD3533" s="81" t="e">
        <f>IF(X3533=2,HLOOKUP(R3533,データについて!$J$12:$M$18,7,FALSE),"*")</f>
        <v>#N/A</v>
      </c>
    </row>
    <row r="3534" spans="19:30">
      <c r="S3534" s="81" t="e">
        <f>HLOOKUP(L3534,データについて!$J$6:$M$18,13,FALSE)</f>
        <v>#N/A</v>
      </c>
      <c r="T3534" s="81" t="e">
        <f>HLOOKUP(M3534,データについて!$J$7:$M$18,12,FALSE)</f>
        <v>#N/A</v>
      </c>
      <c r="U3534" s="81" t="e">
        <f>HLOOKUP(N3534,データについて!$J$8:$M$18,11,FALSE)</f>
        <v>#N/A</v>
      </c>
      <c r="V3534" s="81" t="e">
        <f>HLOOKUP(O3534,データについて!$J$9:$M$18,10,FALSE)</f>
        <v>#N/A</v>
      </c>
      <c r="W3534" s="81" t="e">
        <f>HLOOKUP(P3534,データについて!$J$10:$M$18,9,FALSE)</f>
        <v>#N/A</v>
      </c>
      <c r="X3534" s="81" t="e">
        <f>HLOOKUP(Q3534,データについて!$J$11:$M$18,8,FALSE)</f>
        <v>#N/A</v>
      </c>
      <c r="Y3534" s="81" t="e">
        <f>HLOOKUP(R3534,データについて!$J$12:$M$18,7,FALSE)</f>
        <v>#N/A</v>
      </c>
      <c r="Z3534" s="81" t="e">
        <f>HLOOKUP(I3534,データについて!$J$3:$M$18,16,FALSE)</f>
        <v>#N/A</v>
      </c>
      <c r="AA3534" s="81" t="str">
        <f>IFERROR(HLOOKUP(J3534,データについて!$J$4:$AH$19,16,FALSE),"")</f>
        <v/>
      </c>
      <c r="AB3534" s="81" t="str">
        <f>IFERROR(HLOOKUP(K3534,データについて!$J$5:$AH$20,14,FALSE),"")</f>
        <v/>
      </c>
      <c r="AC3534" s="81" t="e">
        <f>IF(X3534=1,HLOOKUP(R3534,データについて!$J$12:$M$18,7,FALSE),"*")</f>
        <v>#N/A</v>
      </c>
      <c r="AD3534" s="81" t="e">
        <f>IF(X3534=2,HLOOKUP(R3534,データについて!$J$12:$M$18,7,FALSE),"*")</f>
        <v>#N/A</v>
      </c>
    </row>
    <row r="3535" spans="19:30">
      <c r="S3535" s="81" t="e">
        <f>HLOOKUP(L3535,データについて!$J$6:$M$18,13,FALSE)</f>
        <v>#N/A</v>
      </c>
      <c r="T3535" s="81" t="e">
        <f>HLOOKUP(M3535,データについて!$J$7:$M$18,12,FALSE)</f>
        <v>#N/A</v>
      </c>
      <c r="U3535" s="81" t="e">
        <f>HLOOKUP(N3535,データについて!$J$8:$M$18,11,FALSE)</f>
        <v>#N/A</v>
      </c>
      <c r="V3535" s="81" t="e">
        <f>HLOOKUP(O3535,データについて!$J$9:$M$18,10,FALSE)</f>
        <v>#N/A</v>
      </c>
      <c r="W3535" s="81" t="e">
        <f>HLOOKUP(P3535,データについて!$J$10:$M$18,9,FALSE)</f>
        <v>#N/A</v>
      </c>
      <c r="X3535" s="81" t="e">
        <f>HLOOKUP(Q3535,データについて!$J$11:$M$18,8,FALSE)</f>
        <v>#N/A</v>
      </c>
      <c r="Y3535" s="81" t="e">
        <f>HLOOKUP(R3535,データについて!$J$12:$M$18,7,FALSE)</f>
        <v>#N/A</v>
      </c>
      <c r="Z3535" s="81" t="e">
        <f>HLOOKUP(I3535,データについて!$J$3:$M$18,16,FALSE)</f>
        <v>#N/A</v>
      </c>
      <c r="AA3535" s="81" t="str">
        <f>IFERROR(HLOOKUP(J3535,データについて!$J$4:$AH$19,16,FALSE),"")</f>
        <v/>
      </c>
      <c r="AB3535" s="81" t="str">
        <f>IFERROR(HLOOKUP(K3535,データについて!$J$5:$AH$20,14,FALSE),"")</f>
        <v/>
      </c>
      <c r="AC3535" s="81" t="e">
        <f>IF(X3535=1,HLOOKUP(R3535,データについて!$J$12:$M$18,7,FALSE),"*")</f>
        <v>#N/A</v>
      </c>
      <c r="AD3535" s="81" t="e">
        <f>IF(X3535=2,HLOOKUP(R3535,データについて!$J$12:$M$18,7,FALSE),"*")</f>
        <v>#N/A</v>
      </c>
    </row>
    <row r="3536" spans="19:30">
      <c r="S3536" s="81" t="e">
        <f>HLOOKUP(L3536,データについて!$J$6:$M$18,13,FALSE)</f>
        <v>#N/A</v>
      </c>
      <c r="T3536" s="81" t="e">
        <f>HLOOKUP(M3536,データについて!$J$7:$M$18,12,FALSE)</f>
        <v>#N/A</v>
      </c>
      <c r="U3536" s="81" t="e">
        <f>HLOOKUP(N3536,データについて!$J$8:$M$18,11,FALSE)</f>
        <v>#N/A</v>
      </c>
      <c r="V3536" s="81" t="e">
        <f>HLOOKUP(O3536,データについて!$J$9:$M$18,10,FALSE)</f>
        <v>#N/A</v>
      </c>
      <c r="W3536" s="81" t="e">
        <f>HLOOKUP(P3536,データについて!$J$10:$M$18,9,FALSE)</f>
        <v>#N/A</v>
      </c>
      <c r="X3536" s="81" t="e">
        <f>HLOOKUP(Q3536,データについて!$J$11:$M$18,8,FALSE)</f>
        <v>#N/A</v>
      </c>
      <c r="Y3536" s="81" t="e">
        <f>HLOOKUP(R3536,データについて!$J$12:$M$18,7,FALSE)</f>
        <v>#N/A</v>
      </c>
      <c r="Z3536" s="81" t="e">
        <f>HLOOKUP(I3536,データについて!$J$3:$M$18,16,FALSE)</f>
        <v>#N/A</v>
      </c>
      <c r="AA3536" s="81" t="str">
        <f>IFERROR(HLOOKUP(J3536,データについて!$J$4:$AH$19,16,FALSE),"")</f>
        <v/>
      </c>
      <c r="AB3536" s="81" t="str">
        <f>IFERROR(HLOOKUP(K3536,データについて!$J$5:$AH$20,14,FALSE),"")</f>
        <v/>
      </c>
      <c r="AC3536" s="81" t="e">
        <f>IF(X3536=1,HLOOKUP(R3536,データについて!$J$12:$M$18,7,FALSE),"*")</f>
        <v>#N/A</v>
      </c>
      <c r="AD3536" s="81" t="e">
        <f>IF(X3536=2,HLOOKUP(R3536,データについて!$J$12:$M$18,7,FALSE),"*")</f>
        <v>#N/A</v>
      </c>
    </row>
    <row r="3537" spans="19:30">
      <c r="S3537" s="81" t="e">
        <f>HLOOKUP(L3537,データについて!$J$6:$M$18,13,FALSE)</f>
        <v>#N/A</v>
      </c>
      <c r="T3537" s="81" t="e">
        <f>HLOOKUP(M3537,データについて!$J$7:$M$18,12,FALSE)</f>
        <v>#N/A</v>
      </c>
      <c r="U3537" s="81" t="e">
        <f>HLOOKUP(N3537,データについて!$J$8:$M$18,11,FALSE)</f>
        <v>#N/A</v>
      </c>
      <c r="V3537" s="81" t="e">
        <f>HLOOKUP(O3537,データについて!$J$9:$M$18,10,FALSE)</f>
        <v>#N/A</v>
      </c>
      <c r="W3537" s="81" t="e">
        <f>HLOOKUP(P3537,データについて!$J$10:$M$18,9,FALSE)</f>
        <v>#N/A</v>
      </c>
      <c r="X3537" s="81" t="e">
        <f>HLOOKUP(Q3537,データについて!$J$11:$M$18,8,FALSE)</f>
        <v>#N/A</v>
      </c>
      <c r="Y3537" s="81" t="e">
        <f>HLOOKUP(R3537,データについて!$J$12:$M$18,7,FALSE)</f>
        <v>#N/A</v>
      </c>
      <c r="Z3537" s="81" t="e">
        <f>HLOOKUP(I3537,データについて!$J$3:$M$18,16,FALSE)</f>
        <v>#N/A</v>
      </c>
      <c r="AA3537" s="81" t="str">
        <f>IFERROR(HLOOKUP(J3537,データについて!$J$4:$AH$19,16,FALSE),"")</f>
        <v/>
      </c>
      <c r="AB3537" s="81" t="str">
        <f>IFERROR(HLOOKUP(K3537,データについて!$J$5:$AH$20,14,FALSE),"")</f>
        <v/>
      </c>
      <c r="AC3537" s="81" t="e">
        <f>IF(X3537=1,HLOOKUP(R3537,データについて!$J$12:$M$18,7,FALSE),"*")</f>
        <v>#N/A</v>
      </c>
      <c r="AD3537" s="81" t="e">
        <f>IF(X3537=2,HLOOKUP(R3537,データについて!$J$12:$M$18,7,FALSE),"*")</f>
        <v>#N/A</v>
      </c>
    </row>
    <row r="3538" spans="19:30">
      <c r="S3538" s="81" t="e">
        <f>HLOOKUP(L3538,データについて!$J$6:$M$18,13,FALSE)</f>
        <v>#N/A</v>
      </c>
      <c r="T3538" s="81" t="e">
        <f>HLOOKUP(M3538,データについて!$J$7:$M$18,12,FALSE)</f>
        <v>#N/A</v>
      </c>
      <c r="U3538" s="81" t="e">
        <f>HLOOKUP(N3538,データについて!$J$8:$M$18,11,FALSE)</f>
        <v>#N/A</v>
      </c>
      <c r="V3538" s="81" t="e">
        <f>HLOOKUP(O3538,データについて!$J$9:$M$18,10,FALSE)</f>
        <v>#N/A</v>
      </c>
      <c r="W3538" s="81" t="e">
        <f>HLOOKUP(P3538,データについて!$J$10:$M$18,9,FALSE)</f>
        <v>#N/A</v>
      </c>
      <c r="X3538" s="81" t="e">
        <f>HLOOKUP(Q3538,データについて!$J$11:$M$18,8,FALSE)</f>
        <v>#N/A</v>
      </c>
      <c r="Y3538" s="81" t="e">
        <f>HLOOKUP(R3538,データについて!$J$12:$M$18,7,FALSE)</f>
        <v>#N/A</v>
      </c>
      <c r="Z3538" s="81" t="e">
        <f>HLOOKUP(I3538,データについて!$J$3:$M$18,16,FALSE)</f>
        <v>#N/A</v>
      </c>
      <c r="AA3538" s="81" t="str">
        <f>IFERROR(HLOOKUP(J3538,データについて!$J$4:$AH$19,16,FALSE),"")</f>
        <v/>
      </c>
      <c r="AB3538" s="81" t="str">
        <f>IFERROR(HLOOKUP(K3538,データについて!$J$5:$AH$20,14,FALSE),"")</f>
        <v/>
      </c>
      <c r="AC3538" s="81" t="e">
        <f>IF(X3538=1,HLOOKUP(R3538,データについて!$J$12:$M$18,7,FALSE),"*")</f>
        <v>#N/A</v>
      </c>
      <c r="AD3538" s="81" t="e">
        <f>IF(X3538=2,HLOOKUP(R3538,データについて!$J$12:$M$18,7,FALSE),"*")</f>
        <v>#N/A</v>
      </c>
    </row>
    <row r="3539" spans="19:30">
      <c r="S3539" s="81" t="e">
        <f>HLOOKUP(L3539,データについて!$J$6:$M$18,13,FALSE)</f>
        <v>#N/A</v>
      </c>
      <c r="T3539" s="81" t="e">
        <f>HLOOKUP(M3539,データについて!$J$7:$M$18,12,FALSE)</f>
        <v>#N/A</v>
      </c>
      <c r="U3539" s="81" t="e">
        <f>HLOOKUP(N3539,データについて!$J$8:$M$18,11,FALSE)</f>
        <v>#N/A</v>
      </c>
      <c r="V3539" s="81" t="e">
        <f>HLOOKUP(O3539,データについて!$J$9:$M$18,10,FALSE)</f>
        <v>#N/A</v>
      </c>
      <c r="W3539" s="81" t="e">
        <f>HLOOKUP(P3539,データについて!$J$10:$M$18,9,FALSE)</f>
        <v>#N/A</v>
      </c>
      <c r="X3539" s="81" t="e">
        <f>HLOOKUP(Q3539,データについて!$J$11:$M$18,8,FALSE)</f>
        <v>#N/A</v>
      </c>
      <c r="Y3539" s="81" t="e">
        <f>HLOOKUP(R3539,データについて!$J$12:$M$18,7,FALSE)</f>
        <v>#N/A</v>
      </c>
      <c r="Z3539" s="81" t="e">
        <f>HLOOKUP(I3539,データについて!$J$3:$M$18,16,FALSE)</f>
        <v>#N/A</v>
      </c>
      <c r="AA3539" s="81" t="str">
        <f>IFERROR(HLOOKUP(J3539,データについて!$J$4:$AH$19,16,FALSE),"")</f>
        <v/>
      </c>
      <c r="AB3539" s="81" t="str">
        <f>IFERROR(HLOOKUP(K3539,データについて!$J$5:$AH$20,14,FALSE),"")</f>
        <v/>
      </c>
      <c r="AC3539" s="81" t="e">
        <f>IF(X3539=1,HLOOKUP(R3539,データについて!$J$12:$M$18,7,FALSE),"*")</f>
        <v>#N/A</v>
      </c>
      <c r="AD3539" s="81" t="e">
        <f>IF(X3539=2,HLOOKUP(R3539,データについて!$J$12:$M$18,7,FALSE),"*")</f>
        <v>#N/A</v>
      </c>
    </row>
    <row r="3540" spans="19:30">
      <c r="S3540" s="81" t="e">
        <f>HLOOKUP(L3540,データについて!$J$6:$M$18,13,FALSE)</f>
        <v>#N/A</v>
      </c>
      <c r="T3540" s="81" t="e">
        <f>HLOOKUP(M3540,データについて!$J$7:$M$18,12,FALSE)</f>
        <v>#N/A</v>
      </c>
      <c r="U3540" s="81" t="e">
        <f>HLOOKUP(N3540,データについて!$J$8:$M$18,11,FALSE)</f>
        <v>#N/A</v>
      </c>
      <c r="V3540" s="81" t="e">
        <f>HLOOKUP(O3540,データについて!$J$9:$M$18,10,FALSE)</f>
        <v>#N/A</v>
      </c>
      <c r="W3540" s="81" t="e">
        <f>HLOOKUP(P3540,データについて!$J$10:$M$18,9,FALSE)</f>
        <v>#N/A</v>
      </c>
      <c r="X3540" s="81" t="e">
        <f>HLOOKUP(Q3540,データについて!$J$11:$M$18,8,FALSE)</f>
        <v>#N/A</v>
      </c>
      <c r="Y3540" s="81" t="e">
        <f>HLOOKUP(R3540,データについて!$J$12:$M$18,7,FALSE)</f>
        <v>#N/A</v>
      </c>
      <c r="Z3540" s="81" t="e">
        <f>HLOOKUP(I3540,データについて!$J$3:$M$18,16,FALSE)</f>
        <v>#N/A</v>
      </c>
      <c r="AA3540" s="81" t="str">
        <f>IFERROR(HLOOKUP(J3540,データについて!$J$4:$AH$19,16,FALSE),"")</f>
        <v/>
      </c>
      <c r="AB3540" s="81" t="str">
        <f>IFERROR(HLOOKUP(K3540,データについて!$J$5:$AH$20,14,FALSE),"")</f>
        <v/>
      </c>
      <c r="AC3540" s="81" t="e">
        <f>IF(X3540=1,HLOOKUP(R3540,データについて!$J$12:$M$18,7,FALSE),"*")</f>
        <v>#N/A</v>
      </c>
      <c r="AD3540" s="81" t="e">
        <f>IF(X3540=2,HLOOKUP(R3540,データについて!$J$12:$M$18,7,FALSE),"*")</f>
        <v>#N/A</v>
      </c>
    </row>
    <row r="3541" spans="19:30">
      <c r="S3541" s="81" t="e">
        <f>HLOOKUP(L3541,データについて!$J$6:$M$18,13,FALSE)</f>
        <v>#N/A</v>
      </c>
      <c r="T3541" s="81" t="e">
        <f>HLOOKUP(M3541,データについて!$J$7:$M$18,12,FALSE)</f>
        <v>#N/A</v>
      </c>
      <c r="U3541" s="81" t="e">
        <f>HLOOKUP(N3541,データについて!$J$8:$M$18,11,FALSE)</f>
        <v>#N/A</v>
      </c>
      <c r="V3541" s="81" t="e">
        <f>HLOOKUP(O3541,データについて!$J$9:$M$18,10,FALSE)</f>
        <v>#N/A</v>
      </c>
      <c r="W3541" s="81" t="e">
        <f>HLOOKUP(P3541,データについて!$J$10:$M$18,9,FALSE)</f>
        <v>#N/A</v>
      </c>
      <c r="X3541" s="81" t="e">
        <f>HLOOKUP(Q3541,データについて!$J$11:$M$18,8,FALSE)</f>
        <v>#N/A</v>
      </c>
      <c r="Y3541" s="81" t="e">
        <f>HLOOKUP(R3541,データについて!$J$12:$M$18,7,FALSE)</f>
        <v>#N/A</v>
      </c>
      <c r="Z3541" s="81" t="e">
        <f>HLOOKUP(I3541,データについて!$J$3:$M$18,16,FALSE)</f>
        <v>#N/A</v>
      </c>
      <c r="AA3541" s="81" t="str">
        <f>IFERROR(HLOOKUP(J3541,データについて!$J$4:$AH$19,16,FALSE),"")</f>
        <v/>
      </c>
      <c r="AB3541" s="81" t="str">
        <f>IFERROR(HLOOKUP(K3541,データについて!$J$5:$AH$20,14,FALSE),"")</f>
        <v/>
      </c>
      <c r="AC3541" s="81" t="e">
        <f>IF(X3541=1,HLOOKUP(R3541,データについて!$J$12:$M$18,7,FALSE),"*")</f>
        <v>#N/A</v>
      </c>
      <c r="AD3541" s="81" t="e">
        <f>IF(X3541=2,HLOOKUP(R3541,データについて!$J$12:$M$18,7,FALSE),"*")</f>
        <v>#N/A</v>
      </c>
    </row>
    <row r="3542" spans="19:30">
      <c r="S3542" s="81" t="e">
        <f>HLOOKUP(L3542,データについて!$J$6:$M$18,13,FALSE)</f>
        <v>#N/A</v>
      </c>
      <c r="T3542" s="81" t="e">
        <f>HLOOKUP(M3542,データについて!$J$7:$M$18,12,FALSE)</f>
        <v>#N/A</v>
      </c>
      <c r="U3542" s="81" t="e">
        <f>HLOOKUP(N3542,データについて!$J$8:$M$18,11,FALSE)</f>
        <v>#N/A</v>
      </c>
      <c r="V3542" s="81" t="e">
        <f>HLOOKUP(O3542,データについて!$J$9:$M$18,10,FALSE)</f>
        <v>#N/A</v>
      </c>
      <c r="W3542" s="81" t="e">
        <f>HLOOKUP(P3542,データについて!$J$10:$M$18,9,FALSE)</f>
        <v>#N/A</v>
      </c>
      <c r="X3542" s="81" t="e">
        <f>HLOOKUP(Q3542,データについて!$J$11:$M$18,8,FALSE)</f>
        <v>#N/A</v>
      </c>
      <c r="Y3542" s="81" t="e">
        <f>HLOOKUP(R3542,データについて!$J$12:$M$18,7,FALSE)</f>
        <v>#N/A</v>
      </c>
      <c r="Z3542" s="81" t="e">
        <f>HLOOKUP(I3542,データについて!$J$3:$M$18,16,FALSE)</f>
        <v>#N/A</v>
      </c>
      <c r="AA3542" s="81" t="str">
        <f>IFERROR(HLOOKUP(J3542,データについて!$J$4:$AH$19,16,FALSE),"")</f>
        <v/>
      </c>
      <c r="AB3542" s="81" t="str">
        <f>IFERROR(HLOOKUP(K3542,データについて!$J$5:$AH$20,14,FALSE),"")</f>
        <v/>
      </c>
      <c r="AC3542" s="81" t="e">
        <f>IF(X3542=1,HLOOKUP(R3542,データについて!$J$12:$M$18,7,FALSE),"*")</f>
        <v>#N/A</v>
      </c>
      <c r="AD3542" s="81" t="e">
        <f>IF(X3542=2,HLOOKUP(R3542,データについて!$J$12:$M$18,7,FALSE),"*")</f>
        <v>#N/A</v>
      </c>
    </row>
    <row r="3543" spans="19:30">
      <c r="S3543" s="81" t="e">
        <f>HLOOKUP(L3543,データについて!$J$6:$M$18,13,FALSE)</f>
        <v>#N/A</v>
      </c>
      <c r="T3543" s="81" t="e">
        <f>HLOOKUP(M3543,データについて!$J$7:$M$18,12,FALSE)</f>
        <v>#N/A</v>
      </c>
      <c r="U3543" s="81" t="e">
        <f>HLOOKUP(N3543,データについて!$J$8:$M$18,11,FALSE)</f>
        <v>#N/A</v>
      </c>
      <c r="V3543" s="81" t="e">
        <f>HLOOKUP(O3543,データについて!$J$9:$M$18,10,FALSE)</f>
        <v>#N/A</v>
      </c>
      <c r="W3543" s="81" t="e">
        <f>HLOOKUP(P3543,データについて!$J$10:$M$18,9,FALSE)</f>
        <v>#N/A</v>
      </c>
      <c r="X3543" s="81" t="e">
        <f>HLOOKUP(Q3543,データについて!$J$11:$M$18,8,FALSE)</f>
        <v>#N/A</v>
      </c>
      <c r="Y3543" s="81" t="e">
        <f>HLOOKUP(R3543,データについて!$J$12:$M$18,7,FALSE)</f>
        <v>#N/A</v>
      </c>
      <c r="Z3543" s="81" t="e">
        <f>HLOOKUP(I3543,データについて!$J$3:$M$18,16,FALSE)</f>
        <v>#N/A</v>
      </c>
      <c r="AA3543" s="81" t="str">
        <f>IFERROR(HLOOKUP(J3543,データについて!$J$4:$AH$19,16,FALSE),"")</f>
        <v/>
      </c>
      <c r="AB3543" s="81" t="str">
        <f>IFERROR(HLOOKUP(K3543,データについて!$J$5:$AH$20,14,FALSE),"")</f>
        <v/>
      </c>
      <c r="AC3543" s="81" t="e">
        <f>IF(X3543=1,HLOOKUP(R3543,データについて!$J$12:$M$18,7,FALSE),"*")</f>
        <v>#N/A</v>
      </c>
      <c r="AD3543" s="81" t="e">
        <f>IF(X3543=2,HLOOKUP(R3543,データについて!$J$12:$M$18,7,FALSE),"*")</f>
        <v>#N/A</v>
      </c>
    </row>
    <row r="3544" spans="19:30">
      <c r="S3544" s="81" t="e">
        <f>HLOOKUP(L3544,データについて!$J$6:$M$18,13,FALSE)</f>
        <v>#N/A</v>
      </c>
      <c r="T3544" s="81" t="e">
        <f>HLOOKUP(M3544,データについて!$J$7:$M$18,12,FALSE)</f>
        <v>#N/A</v>
      </c>
      <c r="U3544" s="81" t="e">
        <f>HLOOKUP(N3544,データについて!$J$8:$M$18,11,FALSE)</f>
        <v>#N/A</v>
      </c>
      <c r="V3544" s="81" t="e">
        <f>HLOOKUP(O3544,データについて!$J$9:$M$18,10,FALSE)</f>
        <v>#N/A</v>
      </c>
      <c r="W3544" s="81" t="e">
        <f>HLOOKUP(P3544,データについて!$J$10:$M$18,9,FALSE)</f>
        <v>#N/A</v>
      </c>
      <c r="X3544" s="81" t="e">
        <f>HLOOKUP(Q3544,データについて!$J$11:$M$18,8,FALSE)</f>
        <v>#N/A</v>
      </c>
      <c r="Y3544" s="81" t="e">
        <f>HLOOKUP(R3544,データについて!$J$12:$M$18,7,FALSE)</f>
        <v>#N/A</v>
      </c>
      <c r="Z3544" s="81" t="e">
        <f>HLOOKUP(I3544,データについて!$J$3:$M$18,16,FALSE)</f>
        <v>#N/A</v>
      </c>
      <c r="AA3544" s="81" t="str">
        <f>IFERROR(HLOOKUP(J3544,データについて!$J$4:$AH$19,16,FALSE),"")</f>
        <v/>
      </c>
      <c r="AB3544" s="81" t="str">
        <f>IFERROR(HLOOKUP(K3544,データについて!$J$5:$AH$20,14,FALSE),"")</f>
        <v/>
      </c>
      <c r="AC3544" s="81" t="e">
        <f>IF(X3544=1,HLOOKUP(R3544,データについて!$J$12:$M$18,7,FALSE),"*")</f>
        <v>#N/A</v>
      </c>
      <c r="AD3544" s="81" t="e">
        <f>IF(X3544=2,HLOOKUP(R3544,データについて!$J$12:$M$18,7,FALSE),"*")</f>
        <v>#N/A</v>
      </c>
    </row>
    <row r="3545" spans="19:30">
      <c r="S3545" s="81" t="e">
        <f>HLOOKUP(L3545,データについて!$J$6:$M$18,13,FALSE)</f>
        <v>#N/A</v>
      </c>
      <c r="T3545" s="81" t="e">
        <f>HLOOKUP(M3545,データについて!$J$7:$M$18,12,FALSE)</f>
        <v>#N/A</v>
      </c>
      <c r="U3545" s="81" t="e">
        <f>HLOOKUP(N3545,データについて!$J$8:$M$18,11,FALSE)</f>
        <v>#N/A</v>
      </c>
      <c r="V3545" s="81" t="e">
        <f>HLOOKUP(O3545,データについて!$J$9:$M$18,10,FALSE)</f>
        <v>#N/A</v>
      </c>
      <c r="W3545" s="81" t="e">
        <f>HLOOKUP(P3545,データについて!$J$10:$M$18,9,FALSE)</f>
        <v>#N/A</v>
      </c>
      <c r="X3545" s="81" t="e">
        <f>HLOOKUP(Q3545,データについて!$J$11:$M$18,8,FALSE)</f>
        <v>#N/A</v>
      </c>
      <c r="Y3545" s="81" t="e">
        <f>HLOOKUP(R3545,データについて!$J$12:$M$18,7,FALSE)</f>
        <v>#N/A</v>
      </c>
      <c r="Z3545" s="81" t="e">
        <f>HLOOKUP(I3545,データについて!$J$3:$M$18,16,FALSE)</f>
        <v>#N/A</v>
      </c>
      <c r="AA3545" s="81" t="str">
        <f>IFERROR(HLOOKUP(J3545,データについて!$J$4:$AH$19,16,FALSE),"")</f>
        <v/>
      </c>
      <c r="AB3545" s="81" t="str">
        <f>IFERROR(HLOOKUP(K3545,データについて!$J$5:$AH$20,14,FALSE),"")</f>
        <v/>
      </c>
      <c r="AC3545" s="81" t="e">
        <f>IF(X3545=1,HLOOKUP(R3545,データについて!$J$12:$M$18,7,FALSE),"*")</f>
        <v>#N/A</v>
      </c>
      <c r="AD3545" s="81" t="e">
        <f>IF(X3545=2,HLOOKUP(R3545,データについて!$J$12:$M$18,7,FALSE),"*")</f>
        <v>#N/A</v>
      </c>
    </row>
    <row r="3546" spans="19:30">
      <c r="S3546" s="81" t="e">
        <f>HLOOKUP(L3546,データについて!$J$6:$M$18,13,FALSE)</f>
        <v>#N/A</v>
      </c>
      <c r="T3546" s="81" t="e">
        <f>HLOOKUP(M3546,データについて!$J$7:$M$18,12,FALSE)</f>
        <v>#N/A</v>
      </c>
      <c r="U3546" s="81" t="e">
        <f>HLOOKUP(N3546,データについて!$J$8:$M$18,11,FALSE)</f>
        <v>#N/A</v>
      </c>
      <c r="V3546" s="81" t="e">
        <f>HLOOKUP(O3546,データについて!$J$9:$M$18,10,FALSE)</f>
        <v>#N/A</v>
      </c>
      <c r="W3546" s="81" t="e">
        <f>HLOOKUP(P3546,データについて!$J$10:$M$18,9,FALSE)</f>
        <v>#N/A</v>
      </c>
      <c r="X3546" s="81" t="e">
        <f>HLOOKUP(Q3546,データについて!$J$11:$M$18,8,FALSE)</f>
        <v>#N/A</v>
      </c>
      <c r="Y3546" s="81" t="e">
        <f>HLOOKUP(R3546,データについて!$J$12:$M$18,7,FALSE)</f>
        <v>#N/A</v>
      </c>
      <c r="Z3546" s="81" t="e">
        <f>HLOOKUP(I3546,データについて!$J$3:$M$18,16,FALSE)</f>
        <v>#N/A</v>
      </c>
      <c r="AA3546" s="81" t="str">
        <f>IFERROR(HLOOKUP(J3546,データについて!$J$4:$AH$19,16,FALSE),"")</f>
        <v/>
      </c>
      <c r="AB3546" s="81" t="str">
        <f>IFERROR(HLOOKUP(K3546,データについて!$J$5:$AH$20,14,FALSE),"")</f>
        <v/>
      </c>
      <c r="AC3546" s="81" t="e">
        <f>IF(X3546=1,HLOOKUP(R3546,データについて!$J$12:$M$18,7,FALSE),"*")</f>
        <v>#N/A</v>
      </c>
      <c r="AD3546" s="81" t="e">
        <f>IF(X3546=2,HLOOKUP(R3546,データについて!$J$12:$M$18,7,FALSE),"*")</f>
        <v>#N/A</v>
      </c>
    </row>
    <row r="3547" spans="19:30">
      <c r="S3547" s="81" t="e">
        <f>HLOOKUP(L3547,データについて!$J$6:$M$18,13,FALSE)</f>
        <v>#N/A</v>
      </c>
      <c r="T3547" s="81" t="e">
        <f>HLOOKUP(M3547,データについて!$J$7:$M$18,12,FALSE)</f>
        <v>#N/A</v>
      </c>
      <c r="U3547" s="81" t="e">
        <f>HLOOKUP(N3547,データについて!$J$8:$M$18,11,FALSE)</f>
        <v>#N/A</v>
      </c>
      <c r="V3547" s="81" t="e">
        <f>HLOOKUP(O3547,データについて!$J$9:$M$18,10,FALSE)</f>
        <v>#N/A</v>
      </c>
      <c r="W3547" s="81" t="e">
        <f>HLOOKUP(P3547,データについて!$J$10:$M$18,9,FALSE)</f>
        <v>#N/A</v>
      </c>
      <c r="X3547" s="81" t="e">
        <f>HLOOKUP(Q3547,データについて!$J$11:$M$18,8,FALSE)</f>
        <v>#N/A</v>
      </c>
      <c r="Y3547" s="81" t="e">
        <f>HLOOKUP(R3547,データについて!$J$12:$M$18,7,FALSE)</f>
        <v>#N/A</v>
      </c>
      <c r="Z3547" s="81" t="e">
        <f>HLOOKUP(I3547,データについて!$J$3:$M$18,16,FALSE)</f>
        <v>#N/A</v>
      </c>
      <c r="AA3547" s="81" t="str">
        <f>IFERROR(HLOOKUP(J3547,データについて!$J$4:$AH$19,16,FALSE),"")</f>
        <v/>
      </c>
      <c r="AB3547" s="81" t="str">
        <f>IFERROR(HLOOKUP(K3547,データについて!$J$5:$AH$20,14,FALSE),"")</f>
        <v/>
      </c>
      <c r="AC3547" s="81" t="e">
        <f>IF(X3547=1,HLOOKUP(R3547,データについて!$J$12:$M$18,7,FALSE),"*")</f>
        <v>#N/A</v>
      </c>
      <c r="AD3547" s="81" t="e">
        <f>IF(X3547=2,HLOOKUP(R3547,データについて!$J$12:$M$18,7,FALSE),"*")</f>
        <v>#N/A</v>
      </c>
    </row>
    <row r="3548" spans="19:30">
      <c r="S3548" s="81" t="e">
        <f>HLOOKUP(L3548,データについて!$J$6:$M$18,13,FALSE)</f>
        <v>#N/A</v>
      </c>
      <c r="T3548" s="81" t="e">
        <f>HLOOKUP(M3548,データについて!$J$7:$M$18,12,FALSE)</f>
        <v>#N/A</v>
      </c>
      <c r="U3548" s="81" t="e">
        <f>HLOOKUP(N3548,データについて!$J$8:$M$18,11,FALSE)</f>
        <v>#N/A</v>
      </c>
      <c r="V3548" s="81" t="e">
        <f>HLOOKUP(O3548,データについて!$J$9:$M$18,10,FALSE)</f>
        <v>#N/A</v>
      </c>
      <c r="W3548" s="81" t="e">
        <f>HLOOKUP(P3548,データについて!$J$10:$M$18,9,FALSE)</f>
        <v>#N/A</v>
      </c>
      <c r="X3548" s="81" t="e">
        <f>HLOOKUP(Q3548,データについて!$J$11:$M$18,8,FALSE)</f>
        <v>#N/A</v>
      </c>
      <c r="Y3548" s="81" t="e">
        <f>HLOOKUP(R3548,データについて!$J$12:$M$18,7,FALSE)</f>
        <v>#N/A</v>
      </c>
      <c r="Z3548" s="81" t="e">
        <f>HLOOKUP(I3548,データについて!$J$3:$M$18,16,FALSE)</f>
        <v>#N/A</v>
      </c>
      <c r="AA3548" s="81" t="str">
        <f>IFERROR(HLOOKUP(J3548,データについて!$J$4:$AH$19,16,FALSE),"")</f>
        <v/>
      </c>
      <c r="AB3548" s="81" t="str">
        <f>IFERROR(HLOOKUP(K3548,データについて!$J$5:$AH$20,14,FALSE),"")</f>
        <v/>
      </c>
      <c r="AC3548" s="81" t="e">
        <f>IF(X3548=1,HLOOKUP(R3548,データについて!$J$12:$M$18,7,FALSE),"*")</f>
        <v>#N/A</v>
      </c>
      <c r="AD3548" s="81" t="e">
        <f>IF(X3548=2,HLOOKUP(R3548,データについて!$J$12:$M$18,7,FALSE),"*")</f>
        <v>#N/A</v>
      </c>
    </row>
    <row r="3549" spans="19:30">
      <c r="S3549" s="81" t="e">
        <f>HLOOKUP(L3549,データについて!$J$6:$M$18,13,FALSE)</f>
        <v>#N/A</v>
      </c>
      <c r="T3549" s="81" t="e">
        <f>HLOOKUP(M3549,データについて!$J$7:$M$18,12,FALSE)</f>
        <v>#N/A</v>
      </c>
      <c r="U3549" s="81" t="e">
        <f>HLOOKUP(N3549,データについて!$J$8:$M$18,11,FALSE)</f>
        <v>#N/A</v>
      </c>
      <c r="V3549" s="81" t="e">
        <f>HLOOKUP(O3549,データについて!$J$9:$M$18,10,FALSE)</f>
        <v>#N/A</v>
      </c>
      <c r="W3549" s="81" t="e">
        <f>HLOOKUP(P3549,データについて!$J$10:$M$18,9,FALSE)</f>
        <v>#N/A</v>
      </c>
      <c r="X3549" s="81" t="e">
        <f>HLOOKUP(Q3549,データについて!$J$11:$M$18,8,FALSE)</f>
        <v>#N/A</v>
      </c>
      <c r="Y3549" s="81" t="e">
        <f>HLOOKUP(R3549,データについて!$J$12:$M$18,7,FALSE)</f>
        <v>#N/A</v>
      </c>
      <c r="Z3549" s="81" t="e">
        <f>HLOOKUP(I3549,データについて!$J$3:$M$18,16,FALSE)</f>
        <v>#N/A</v>
      </c>
      <c r="AA3549" s="81" t="str">
        <f>IFERROR(HLOOKUP(J3549,データについて!$J$4:$AH$19,16,FALSE),"")</f>
        <v/>
      </c>
      <c r="AB3549" s="81" t="str">
        <f>IFERROR(HLOOKUP(K3549,データについて!$J$5:$AH$20,14,FALSE),"")</f>
        <v/>
      </c>
      <c r="AC3549" s="81" t="e">
        <f>IF(X3549=1,HLOOKUP(R3549,データについて!$J$12:$M$18,7,FALSE),"*")</f>
        <v>#N/A</v>
      </c>
      <c r="AD3549" s="81" t="e">
        <f>IF(X3549=2,HLOOKUP(R3549,データについて!$J$12:$M$18,7,FALSE),"*")</f>
        <v>#N/A</v>
      </c>
    </row>
    <row r="3550" spans="19:30">
      <c r="S3550" s="81" t="e">
        <f>HLOOKUP(L3550,データについて!$J$6:$M$18,13,FALSE)</f>
        <v>#N/A</v>
      </c>
      <c r="T3550" s="81" t="e">
        <f>HLOOKUP(M3550,データについて!$J$7:$M$18,12,FALSE)</f>
        <v>#N/A</v>
      </c>
      <c r="U3550" s="81" t="e">
        <f>HLOOKUP(N3550,データについて!$J$8:$M$18,11,FALSE)</f>
        <v>#N/A</v>
      </c>
      <c r="V3550" s="81" t="e">
        <f>HLOOKUP(O3550,データについて!$J$9:$M$18,10,FALSE)</f>
        <v>#N/A</v>
      </c>
      <c r="W3550" s="81" t="e">
        <f>HLOOKUP(P3550,データについて!$J$10:$M$18,9,FALSE)</f>
        <v>#N/A</v>
      </c>
      <c r="X3550" s="81" t="e">
        <f>HLOOKUP(Q3550,データについて!$J$11:$M$18,8,FALSE)</f>
        <v>#N/A</v>
      </c>
      <c r="Y3550" s="81" t="e">
        <f>HLOOKUP(R3550,データについて!$J$12:$M$18,7,FALSE)</f>
        <v>#N/A</v>
      </c>
      <c r="Z3550" s="81" t="e">
        <f>HLOOKUP(I3550,データについて!$J$3:$M$18,16,FALSE)</f>
        <v>#N/A</v>
      </c>
      <c r="AA3550" s="81" t="str">
        <f>IFERROR(HLOOKUP(J3550,データについて!$J$4:$AH$19,16,FALSE),"")</f>
        <v/>
      </c>
      <c r="AB3550" s="81" t="str">
        <f>IFERROR(HLOOKUP(K3550,データについて!$J$5:$AH$20,14,FALSE),"")</f>
        <v/>
      </c>
      <c r="AC3550" s="81" t="e">
        <f>IF(X3550=1,HLOOKUP(R3550,データについて!$J$12:$M$18,7,FALSE),"*")</f>
        <v>#N/A</v>
      </c>
      <c r="AD3550" s="81" t="e">
        <f>IF(X3550=2,HLOOKUP(R3550,データについて!$J$12:$M$18,7,FALSE),"*")</f>
        <v>#N/A</v>
      </c>
    </row>
    <row r="3551" spans="19:30">
      <c r="S3551" s="81" t="e">
        <f>HLOOKUP(L3551,データについて!$J$6:$M$18,13,FALSE)</f>
        <v>#N/A</v>
      </c>
      <c r="T3551" s="81" t="e">
        <f>HLOOKUP(M3551,データについて!$J$7:$M$18,12,FALSE)</f>
        <v>#N/A</v>
      </c>
      <c r="U3551" s="81" t="e">
        <f>HLOOKUP(N3551,データについて!$J$8:$M$18,11,FALSE)</f>
        <v>#N/A</v>
      </c>
      <c r="V3551" s="81" t="e">
        <f>HLOOKUP(O3551,データについて!$J$9:$M$18,10,FALSE)</f>
        <v>#N/A</v>
      </c>
      <c r="W3551" s="81" t="e">
        <f>HLOOKUP(P3551,データについて!$J$10:$M$18,9,FALSE)</f>
        <v>#N/A</v>
      </c>
      <c r="X3551" s="81" t="e">
        <f>HLOOKUP(Q3551,データについて!$J$11:$M$18,8,FALSE)</f>
        <v>#N/A</v>
      </c>
      <c r="Y3551" s="81" t="e">
        <f>HLOOKUP(R3551,データについて!$J$12:$M$18,7,FALSE)</f>
        <v>#N/A</v>
      </c>
      <c r="Z3551" s="81" t="e">
        <f>HLOOKUP(I3551,データについて!$J$3:$M$18,16,FALSE)</f>
        <v>#N/A</v>
      </c>
      <c r="AA3551" s="81" t="str">
        <f>IFERROR(HLOOKUP(J3551,データについて!$J$4:$AH$19,16,FALSE),"")</f>
        <v/>
      </c>
      <c r="AB3551" s="81" t="str">
        <f>IFERROR(HLOOKUP(K3551,データについて!$J$5:$AH$20,14,FALSE),"")</f>
        <v/>
      </c>
      <c r="AC3551" s="81" t="e">
        <f>IF(X3551=1,HLOOKUP(R3551,データについて!$J$12:$M$18,7,FALSE),"*")</f>
        <v>#N/A</v>
      </c>
      <c r="AD3551" s="81" t="e">
        <f>IF(X3551=2,HLOOKUP(R3551,データについて!$J$12:$M$18,7,FALSE),"*")</f>
        <v>#N/A</v>
      </c>
    </row>
    <row r="3552" spans="19:30">
      <c r="S3552" s="81" t="e">
        <f>HLOOKUP(L3552,データについて!$J$6:$M$18,13,FALSE)</f>
        <v>#N/A</v>
      </c>
      <c r="T3552" s="81" t="e">
        <f>HLOOKUP(M3552,データについて!$J$7:$M$18,12,FALSE)</f>
        <v>#N/A</v>
      </c>
      <c r="U3552" s="81" t="e">
        <f>HLOOKUP(N3552,データについて!$J$8:$M$18,11,FALSE)</f>
        <v>#N/A</v>
      </c>
      <c r="V3552" s="81" t="e">
        <f>HLOOKUP(O3552,データについて!$J$9:$M$18,10,FALSE)</f>
        <v>#N/A</v>
      </c>
      <c r="W3552" s="81" t="e">
        <f>HLOOKUP(P3552,データについて!$J$10:$M$18,9,FALSE)</f>
        <v>#N/A</v>
      </c>
      <c r="X3552" s="81" t="e">
        <f>HLOOKUP(Q3552,データについて!$J$11:$M$18,8,FALSE)</f>
        <v>#N/A</v>
      </c>
      <c r="Y3552" s="81" t="e">
        <f>HLOOKUP(R3552,データについて!$J$12:$M$18,7,FALSE)</f>
        <v>#N/A</v>
      </c>
      <c r="Z3552" s="81" t="e">
        <f>HLOOKUP(I3552,データについて!$J$3:$M$18,16,FALSE)</f>
        <v>#N/A</v>
      </c>
      <c r="AA3552" s="81" t="str">
        <f>IFERROR(HLOOKUP(J3552,データについて!$J$4:$AH$19,16,FALSE),"")</f>
        <v/>
      </c>
      <c r="AB3552" s="81" t="str">
        <f>IFERROR(HLOOKUP(K3552,データについて!$J$5:$AH$20,14,FALSE),"")</f>
        <v/>
      </c>
      <c r="AC3552" s="81" t="e">
        <f>IF(X3552=1,HLOOKUP(R3552,データについて!$J$12:$M$18,7,FALSE),"*")</f>
        <v>#N/A</v>
      </c>
      <c r="AD3552" s="81" t="e">
        <f>IF(X3552=2,HLOOKUP(R3552,データについて!$J$12:$M$18,7,FALSE),"*")</f>
        <v>#N/A</v>
      </c>
    </row>
    <row r="3553" spans="19:30">
      <c r="S3553" s="81" t="e">
        <f>HLOOKUP(L3553,データについて!$J$6:$M$18,13,FALSE)</f>
        <v>#N/A</v>
      </c>
      <c r="T3553" s="81" t="e">
        <f>HLOOKUP(M3553,データについて!$J$7:$M$18,12,FALSE)</f>
        <v>#N/A</v>
      </c>
      <c r="U3553" s="81" t="e">
        <f>HLOOKUP(N3553,データについて!$J$8:$M$18,11,FALSE)</f>
        <v>#N/A</v>
      </c>
      <c r="V3553" s="81" t="e">
        <f>HLOOKUP(O3553,データについて!$J$9:$M$18,10,FALSE)</f>
        <v>#N/A</v>
      </c>
      <c r="W3553" s="81" t="e">
        <f>HLOOKUP(P3553,データについて!$J$10:$M$18,9,FALSE)</f>
        <v>#N/A</v>
      </c>
      <c r="X3553" s="81" t="e">
        <f>HLOOKUP(Q3553,データについて!$J$11:$M$18,8,FALSE)</f>
        <v>#N/A</v>
      </c>
      <c r="Y3553" s="81" t="e">
        <f>HLOOKUP(R3553,データについて!$J$12:$M$18,7,FALSE)</f>
        <v>#N/A</v>
      </c>
      <c r="Z3553" s="81" t="e">
        <f>HLOOKUP(I3553,データについて!$J$3:$M$18,16,FALSE)</f>
        <v>#N/A</v>
      </c>
      <c r="AA3553" s="81" t="str">
        <f>IFERROR(HLOOKUP(J3553,データについて!$J$4:$AH$19,16,FALSE),"")</f>
        <v/>
      </c>
      <c r="AB3553" s="81" t="str">
        <f>IFERROR(HLOOKUP(K3553,データについて!$J$5:$AH$20,14,FALSE),"")</f>
        <v/>
      </c>
      <c r="AC3553" s="81" t="e">
        <f>IF(X3553=1,HLOOKUP(R3553,データについて!$J$12:$M$18,7,FALSE),"*")</f>
        <v>#N/A</v>
      </c>
      <c r="AD3553" s="81" t="e">
        <f>IF(X3553=2,HLOOKUP(R3553,データについて!$J$12:$M$18,7,FALSE),"*")</f>
        <v>#N/A</v>
      </c>
    </row>
    <row r="3554" spans="19:30">
      <c r="S3554" s="81" t="e">
        <f>HLOOKUP(L3554,データについて!$J$6:$M$18,13,FALSE)</f>
        <v>#N/A</v>
      </c>
      <c r="T3554" s="81" t="e">
        <f>HLOOKUP(M3554,データについて!$J$7:$M$18,12,FALSE)</f>
        <v>#N/A</v>
      </c>
      <c r="U3554" s="81" t="e">
        <f>HLOOKUP(N3554,データについて!$J$8:$M$18,11,FALSE)</f>
        <v>#N/A</v>
      </c>
      <c r="V3554" s="81" t="e">
        <f>HLOOKUP(O3554,データについて!$J$9:$M$18,10,FALSE)</f>
        <v>#N/A</v>
      </c>
      <c r="W3554" s="81" t="e">
        <f>HLOOKUP(P3554,データについて!$J$10:$M$18,9,FALSE)</f>
        <v>#N/A</v>
      </c>
      <c r="X3554" s="81" t="e">
        <f>HLOOKUP(Q3554,データについて!$J$11:$M$18,8,FALSE)</f>
        <v>#N/A</v>
      </c>
      <c r="Y3554" s="81" t="e">
        <f>HLOOKUP(R3554,データについて!$J$12:$M$18,7,FALSE)</f>
        <v>#N/A</v>
      </c>
      <c r="Z3554" s="81" t="e">
        <f>HLOOKUP(I3554,データについて!$J$3:$M$18,16,FALSE)</f>
        <v>#N/A</v>
      </c>
      <c r="AA3554" s="81" t="str">
        <f>IFERROR(HLOOKUP(J3554,データについて!$J$4:$AH$19,16,FALSE),"")</f>
        <v/>
      </c>
      <c r="AB3554" s="81" t="str">
        <f>IFERROR(HLOOKUP(K3554,データについて!$J$5:$AH$20,14,FALSE),"")</f>
        <v/>
      </c>
      <c r="AC3554" s="81" t="e">
        <f>IF(X3554=1,HLOOKUP(R3554,データについて!$J$12:$M$18,7,FALSE),"*")</f>
        <v>#N/A</v>
      </c>
      <c r="AD3554" s="81" t="e">
        <f>IF(X3554=2,HLOOKUP(R3554,データについて!$J$12:$M$18,7,FALSE),"*")</f>
        <v>#N/A</v>
      </c>
    </row>
    <row r="3555" spans="19:30">
      <c r="S3555" s="81" t="e">
        <f>HLOOKUP(L3555,データについて!$J$6:$M$18,13,FALSE)</f>
        <v>#N/A</v>
      </c>
      <c r="T3555" s="81" t="e">
        <f>HLOOKUP(M3555,データについて!$J$7:$M$18,12,FALSE)</f>
        <v>#N/A</v>
      </c>
      <c r="U3555" s="81" t="e">
        <f>HLOOKUP(N3555,データについて!$J$8:$M$18,11,FALSE)</f>
        <v>#N/A</v>
      </c>
      <c r="V3555" s="81" t="e">
        <f>HLOOKUP(O3555,データについて!$J$9:$M$18,10,FALSE)</f>
        <v>#N/A</v>
      </c>
      <c r="W3555" s="81" t="e">
        <f>HLOOKUP(P3555,データについて!$J$10:$M$18,9,FALSE)</f>
        <v>#N/A</v>
      </c>
      <c r="X3555" s="81" t="e">
        <f>HLOOKUP(Q3555,データについて!$J$11:$M$18,8,FALSE)</f>
        <v>#N/A</v>
      </c>
      <c r="Y3555" s="81" t="e">
        <f>HLOOKUP(R3555,データについて!$J$12:$M$18,7,FALSE)</f>
        <v>#N/A</v>
      </c>
      <c r="Z3555" s="81" t="e">
        <f>HLOOKUP(I3555,データについて!$J$3:$M$18,16,FALSE)</f>
        <v>#N/A</v>
      </c>
      <c r="AA3555" s="81" t="str">
        <f>IFERROR(HLOOKUP(J3555,データについて!$J$4:$AH$19,16,FALSE),"")</f>
        <v/>
      </c>
      <c r="AB3555" s="81" t="str">
        <f>IFERROR(HLOOKUP(K3555,データについて!$J$5:$AH$20,14,FALSE),"")</f>
        <v/>
      </c>
      <c r="AC3555" s="81" t="e">
        <f>IF(X3555=1,HLOOKUP(R3555,データについて!$J$12:$M$18,7,FALSE),"*")</f>
        <v>#N/A</v>
      </c>
      <c r="AD3555" s="81" t="e">
        <f>IF(X3555=2,HLOOKUP(R3555,データについて!$J$12:$M$18,7,FALSE),"*")</f>
        <v>#N/A</v>
      </c>
    </row>
    <row r="3556" spans="19:30">
      <c r="S3556" s="81" t="e">
        <f>HLOOKUP(L3556,データについて!$J$6:$M$18,13,FALSE)</f>
        <v>#N/A</v>
      </c>
      <c r="T3556" s="81" t="e">
        <f>HLOOKUP(M3556,データについて!$J$7:$M$18,12,FALSE)</f>
        <v>#N/A</v>
      </c>
      <c r="U3556" s="81" t="e">
        <f>HLOOKUP(N3556,データについて!$J$8:$M$18,11,FALSE)</f>
        <v>#N/A</v>
      </c>
      <c r="V3556" s="81" t="e">
        <f>HLOOKUP(O3556,データについて!$J$9:$M$18,10,FALSE)</f>
        <v>#N/A</v>
      </c>
      <c r="W3556" s="81" t="e">
        <f>HLOOKUP(P3556,データについて!$J$10:$M$18,9,FALSE)</f>
        <v>#N/A</v>
      </c>
      <c r="X3556" s="81" t="e">
        <f>HLOOKUP(Q3556,データについて!$J$11:$M$18,8,FALSE)</f>
        <v>#N/A</v>
      </c>
      <c r="Y3556" s="81" t="e">
        <f>HLOOKUP(R3556,データについて!$J$12:$M$18,7,FALSE)</f>
        <v>#N/A</v>
      </c>
      <c r="Z3556" s="81" t="e">
        <f>HLOOKUP(I3556,データについて!$J$3:$M$18,16,FALSE)</f>
        <v>#N/A</v>
      </c>
      <c r="AA3556" s="81" t="str">
        <f>IFERROR(HLOOKUP(J3556,データについて!$J$4:$AH$19,16,FALSE),"")</f>
        <v/>
      </c>
      <c r="AB3556" s="81" t="str">
        <f>IFERROR(HLOOKUP(K3556,データについて!$J$5:$AH$20,14,FALSE),"")</f>
        <v/>
      </c>
      <c r="AC3556" s="81" t="e">
        <f>IF(X3556=1,HLOOKUP(R3556,データについて!$J$12:$M$18,7,FALSE),"*")</f>
        <v>#N/A</v>
      </c>
      <c r="AD3556" s="81" t="e">
        <f>IF(X3556=2,HLOOKUP(R3556,データについて!$J$12:$M$18,7,FALSE),"*")</f>
        <v>#N/A</v>
      </c>
    </row>
    <row r="3557" spans="19:30">
      <c r="S3557" s="81" t="e">
        <f>HLOOKUP(L3557,データについて!$J$6:$M$18,13,FALSE)</f>
        <v>#N/A</v>
      </c>
      <c r="T3557" s="81" t="e">
        <f>HLOOKUP(M3557,データについて!$J$7:$M$18,12,FALSE)</f>
        <v>#N/A</v>
      </c>
      <c r="U3557" s="81" t="e">
        <f>HLOOKUP(N3557,データについて!$J$8:$M$18,11,FALSE)</f>
        <v>#N/A</v>
      </c>
      <c r="V3557" s="81" t="e">
        <f>HLOOKUP(O3557,データについて!$J$9:$M$18,10,FALSE)</f>
        <v>#N/A</v>
      </c>
      <c r="W3557" s="81" t="e">
        <f>HLOOKUP(P3557,データについて!$J$10:$M$18,9,FALSE)</f>
        <v>#N/A</v>
      </c>
      <c r="X3557" s="81" t="e">
        <f>HLOOKUP(Q3557,データについて!$J$11:$M$18,8,FALSE)</f>
        <v>#N/A</v>
      </c>
      <c r="Y3557" s="81" t="e">
        <f>HLOOKUP(R3557,データについて!$J$12:$M$18,7,FALSE)</f>
        <v>#N/A</v>
      </c>
      <c r="Z3557" s="81" t="e">
        <f>HLOOKUP(I3557,データについて!$J$3:$M$18,16,FALSE)</f>
        <v>#N/A</v>
      </c>
      <c r="AA3557" s="81" t="str">
        <f>IFERROR(HLOOKUP(J3557,データについて!$J$4:$AH$19,16,FALSE),"")</f>
        <v/>
      </c>
      <c r="AB3557" s="81" t="str">
        <f>IFERROR(HLOOKUP(K3557,データについて!$J$5:$AH$20,14,FALSE),"")</f>
        <v/>
      </c>
      <c r="AC3557" s="81" t="e">
        <f>IF(X3557=1,HLOOKUP(R3557,データについて!$J$12:$M$18,7,FALSE),"*")</f>
        <v>#N/A</v>
      </c>
      <c r="AD3557" s="81" t="e">
        <f>IF(X3557=2,HLOOKUP(R3557,データについて!$J$12:$M$18,7,FALSE),"*")</f>
        <v>#N/A</v>
      </c>
    </row>
    <row r="3558" spans="19:30">
      <c r="S3558" s="81" t="e">
        <f>HLOOKUP(L3558,データについて!$J$6:$M$18,13,FALSE)</f>
        <v>#N/A</v>
      </c>
      <c r="T3558" s="81" t="e">
        <f>HLOOKUP(M3558,データについて!$J$7:$M$18,12,FALSE)</f>
        <v>#N/A</v>
      </c>
      <c r="U3558" s="81" t="e">
        <f>HLOOKUP(N3558,データについて!$J$8:$M$18,11,FALSE)</f>
        <v>#N/A</v>
      </c>
      <c r="V3558" s="81" t="e">
        <f>HLOOKUP(O3558,データについて!$J$9:$M$18,10,FALSE)</f>
        <v>#N/A</v>
      </c>
      <c r="W3558" s="81" t="e">
        <f>HLOOKUP(P3558,データについて!$J$10:$M$18,9,FALSE)</f>
        <v>#N/A</v>
      </c>
      <c r="X3558" s="81" t="e">
        <f>HLOOKUP(Q3558,データについて!$J$11:$M$18,8,FALSE)</f>
        <v>#N/A</v>
      </c>
      <c r="Y3558" s="81" t="e">
        <f>HLOOKUP(R3558,データについて!$J$12:$M$18,7,FALSE)</f>
        <v>#N/A</v>
      </c>
      <c r="Z3558" s="81" t="e">
        <f>HLOOKUP(I3558,データについて!$J$3:$M$18,16,FALSE)</f>
        <v>#N/A</v>
      </c>
      <c r="AA3558" s="81" t="str">
        <f>IFERROR(HLOOKUP(J3558,データについて!$J$4:$AH$19,16,FALSE),"")</f>
        <v/>
      </c>
      <c r="AB3558" s="81" t="str">
        <f>IFERROR(HLOOKUP(K3558,データについて!$J$5:$AH$20,14,FALSE),"")</f>
        <v/>
      </c>
      <c r="AC3558" s="81" t="e">
        <f>IF(X3558=1,HLOOKUP(R3558,データについて!$J$12:$M$18,7,FALSE),"*")</f>
        <v>#N/A</v>
      </c>
      <c r="AD3558" s="81" t="e">
        <f>IF(X3558=2,HLOOKUP(R3558,データについて!$J$12:$M$18,7,FALSE),"*")</f>
        <v>#N/A</v>
      </c>
    </row>
    <row r="3559" spans="19:30">
      <c r="S3559" s="81" t="e">
        <f>HLOOKUP(L3559,データについて!$J$6:$M$18,13,FALSE)</f>
        <v>#N/A</v>
      </c>
      <c r="T3559" s="81" t="e">
        <f>HLOOKUP(M3559,データについて!$J$7:$M$18,12,FALSE)</f>
        <v>#N/A</v>
      </c>
      <c r="U3559" s="81" t="e">
        <f>HLOOKUP(N3559,データについて!$J$8:$M$18,11,FALSE)</f>
        <v>#N/A</v>
      </c>
      <c r="V3559" s="81" t="e">
        <f>HLOOKUP(O3559,データについて!$J$9:$M$18,10,FALSE)</f>
        <v>#N/A</v>
      </c>
      <c r="W3559" s="81" t="e">
        <f>HLOOKUP(P3559,データについて!$J$10:$M$18,9,FALSE)</f>
        <v>#N/A</v>
      </c>
      <c r="X3559" s="81" t="e">
        <f>HLOOKUP(Q3559,データについて!$J$11:$M$18,8,FALSE)</f>
        <v>#N/A</v>
      </c>
      <c r="Y3559" s="81" t="e">
        <f>HLOOKUP(R3559,データについて!$J$12:$M$18,7,FALSE)</f>
        <v>#N/A</v>
      </c>
      <c r="Z3559" s="81" t="e">
        <f>HLOOKUP(I3559,データについて!$J$3:$M$18,16,FALSE)</f>
        <v>#N/A</v>
      </c>
      <c r="AA3559" s="81" t="str">
        <f>IFERROR(HLOOKUP(J3559,データについて!$J$4:$AH$19,16,FALSE),"")</f>
        <v/>
      </c>
      <c r="AB3559" s="81" t="str">
        <f>IFERROR(HLOOKUP(K3559,データについて!$J$5:$AH$20,14,FALSE),"")</f>
        <v/>
      </c>
      <c r="AC3559" s="81" t="e">
        <f>IF(X3559=1,HLOOKUP(R3559,データについて!$J$12:$M$18,7,FALSE),"*")</f>
        <v>#N/A</v>
      </c>
      <c r="AD3559" s="81" t="e">
        <f>IF(X3559=2,HLOOKUP(R3559,データについて!$J$12:$M$18,7,FALSE),"*")</f>
        <v>#N/A</v>
      </c>
    </row>
    <row r="3560" spans="19:30">
      <c r="S3560" s="81" t="e">
        <f>HLOOKUP(L3560,データについて!$J$6:$M$18,13,FALSE)</f>
        <v>#N/A</v>
      </c>
      <c r="T3560" s="81" t="e">
        <f>HLOOKUP(M3560,データについて!$J$7:$M$18,12,FALSE)</f>
        <v>#N/A</v>
      </c>
      <c r="U3560" s="81" t="e">
        <f>HLOOKUP(N3560,データについて!$J$8:$M$18,11,FALSE)</f>
        <v>#N/A</v>
      </c>
      <c r="V3560" s="81" t="e">
        <f>HLOOKUP(O3560,データについて!$J$9:$M$18,10,FALSE)</f>
        <v>#N/A</v>
      </c>
      <c r="W3560" s="81" t="e">
        <f>HLOOKUP(P3560,データについて!$J$10:$M$18,9,FALSE)</f>
        <v>#N/A</v>
      </c>
      <c r="X3560" s="81" t="e">
        <f>HLOOKUP(Q3560,データについて!$J$11:$M$18,8,FALSE)</f>
        <v>#N/A</v>
      </c>
      <c r="Y3560" s="81" t="e">
        <f>HLOOKUP(R3560,データについて!$J$12:$M$18,7,FALSE)</f>
        <v>#N/A</v>
      </c>
      <c r="Z3560" s="81" t="e">
        <f>HLOOKUP(I3560,データについて!$J$3:$M$18,16,FALSE)</f>
        <v>#N/A</v>
      </c>
      <c r="AA3560" s="81" t="str">
        <f>IFERROR(HLOOKUP(J3560,データについて!$J$4:$AH$19,16,FALSE),"")</f>
        <v/>
      </c>
      <c r="AB3560" s="81" t="str">
        <f>IFERROR(HLOOKUP(K3560,データについて!$J$5:$AH$20,14,FALSE),"")</f>
        <v/>
      </c>
      <c r="AC3560" s="81" t="e">
        <f>IF(X3560=1,HLOOKUP(R3560,データについて!$J$12:$M$18,7,FALSE),"*")</f>
        <v>#N/A</v>
      </c>
      <c r="AD3560" s="81" t="e">
        <f>IF(X3560=2,HLOOKUP(R3560,データについて!$J$12:$M$18,7,FALSE),"*")</f>
        <v>#N/A</v>
      </c>
    </row>
    <row r="3561" spans="19:30">
      <c r="S3561" s="81" t="e">
        <f>HLOOKUP(L3561,データについて!$J$6:$M$18,13,FALSE)</f>
        <v>#N/A</v>
      </c>
      <c r="T3561" s="81" t="e">
        <f>HLOOKUP(M3561,データについて!$J$7:$M$18,12,FALSE)</f>
        <v>#N/A</v>
      </c>
      <c r="U3561" s="81" t="e">
        <f>HLOOKUP(N3561,データについて!$J$8:$M$18,11,FALSE)</f>
        <v>#N/A</v>
      </c>
      <c r="V3561" s="81" t="e">
        <f>HLOOKUP(O3561,データについて!$J$9:$M$18,10,FALSE)</f>
        <v>#N/A</v>
      </c>
      <c r="W3561" s="81" t="e">
        <f>HLOOKUP(P3561,データについて!$J$10:$M$18,9,FALSE)</f>
        <v>#N/A</v>
      </c>
      <c r="X3561" s="81" t="e">
        <f>HLOOKUP(Q3561,データについて!$J$11:$M$18,8,FALSE)</f>
        <v>#N/A</v>
      </c>
      <c r="Y3561" s="81" t="e">
        <f>HLOOKUP(R3561,データについて!$J$12:$M$18,7,FALSE)</f>
        <v>#N/A</v>
      </c>
      <c r="Z3561" s="81" t="e">
        <f>HLOOKUP(I3561,データについて!$J$3:$M$18,16,FALSE)</f>
        <v>#N/A</v>
      </c>
      <c r="AA3561" s="81" t="str">
        <f>IFERROR(HLOOKUP(J3561,データについて!$J$4:$AH$19,16,FALSE),"")</f>
        <v/>
      </c>
      <c r="AB3561" s="81" t="str">
        <f>IFERROR(HLOOKUP(K3561,データについて!$J$5:$AH$20,14,FALSE),"")</f>
        <v/>
      </c>
      <c r="AC3561" s="81" t="e">
        <f>IF(X3561=1,HLOOKUP(R3561,データについて!$J$12:$M$18,7,FALSE),"*")</f>
        <v>#N/A</v>
      </c>
      <c r="AD3561" s="81" t="e">
        <f>IF(X3561=2,HLOOKUP(R3561,データについて!$J$12:$M$18,7,FALSE),"*")</f>
        <v>#N/A</v>
      </c>
    </row>
    <row r="3562" spans="19:30">
      <c r="S3562" s="81" t="e">
        <f>HLOOKUP(L3562,データについて!$J$6:$M$18,13,FALSE)</f>
        <v>#N/A</v>
      </c>
      <c r="T3562" s="81" t="e">
        <f>HLOOKUP(M3562,データについて!$J$7:$M$18,12,FALSE)</f>
        <v>#N/A</v>
      </c>
      <c r="U3562" s="81" t="e">
        <f>HLOOKUP(N3562,データについて!$J$8:$M$18,11,FALSE)</f>
        <v>#N/A</v>
      </c>
      <c r="V3562" s="81" t="e">
        <f>HLOOKUP(O3562,データについて!$J$9:$M$18,10,FALSE)</f>
        <v>#N/A</v>
      </c>
      <c r="W3562" s="81" t="e">
        <f>HLOOKUP(P3562,データについて!$J$10:$M$18,9,FALSE)</f>
        <v>#N/A</v>
      </c>
      <c r="X3562" s="81" t="e">
        <f>HLOOKUP(Q3562,データについて!$J$11:$M$18,8,FALSE)</f>
        <v>#N/A</v>
      </c>
      <c r="Y3562" s="81" t="e">
        <f>HLOOKUP(R3562,データについて!$J$12:$M$18,7,FALSE)</f>
        <v>#N/A</v>
      </c>
      <c r="Z3562" s="81" t="e">
        <f>HLOOKUP(I3562,データについて!$J$3:$M$18,16,FALSE)</f>
        <v>#N/A</v>
      </c>
      <c r="AA3562" s="81" t="str">
        <f>IFERROR(HLOOKUP(J3562,データについて!$J$4:$AH$19,16,FALSE),"")</f>
        <v/>
      </c>
      <c r="AB3562" s="81" t="str">
        <f>IFERROR(HLOOKUP(K3562,データについて!$J$5:$AH$20,14,FALSE),"")</f>
        <v/>
      </c>
      <c r="AC3562" s="81" t="e">
        <f>IF(X3562=1,HLOOKUP(R3562,データについて!$J$12:$M$18,7,FALSE),"*")</f>
        <v>#N/A</v>
      </c>
      <c r="AD3562" s="81" t="e">
        <f>IF(X3562=2,HLOOKUP(R3562,データについて!$J$12:$M$18,7,FALSE),"*")</f>
        <v>#N/A</v>
      </c>
    </row>
    <row r="3563" spans="19:30">
      <c r="S3563" s="81" t="e">
        <f>HLOOKUP(L3563,データについて!$J$6:$M$18,13,FALSE)</f>
        <v>#N/A</v>
      </c>
      <c r="T3563" s="81" t="e">
        <f>HLOOKUP(M3563,データについて!$J$7:$M$18,12,FALSE)</f>
        <v>#N/A</v>
      </c>
      <c r="U3563" s="81" t="e">
        <f>HLOOKUP(N3563,データについて!$J$8:$M$18,11,FALSE)</f>
        <v>#N/A</v>
      </c>
      <c r="V3563" s="81" t="e">
        <f>HLOOKUP(O3563,データについて!$J$9:$M$18,10,FALSE)</f>
        <v>#N/A</v>
      </c>
      <c r="W3563" s="81" t="e">
        <f>HLOOKUP(P3563,データについて!$J$10:$M$18,9,FALSE)</f>
        <v>#N/A</v>
      </c>
      <c r="X3563" s="81" t="e">
        <f>HLOOKUP(Q3563,データについて!$J$11:$M$18,8,FALSE)</f>
        <v>#N/A</v>
      </c>
      <c r="Y3563" s="81" t="e">
        <f>HLOOKUP(R3563,データについて!$J$12:$M$18,7,FALSE)</f>
        <v>#N/A</v>
      </c>
      <c r="Z3563" s="81" t="e">
        <f>HLOOKUP(I3563,データについて!$J$3:$M$18,16,FALSE)</f>
        <v>#N/A</v>
      </c>
      <c r="AA3563" s="81" t="str">
        <f>IFERROR(HLOOKUP(J3563,データについて!$J$4:$AH$19,16,FALSE),"")</f>
        <v/>
      </c>
      <c r="AB3563" s="81" t="str">
        <f>IFERROR(HLOOKUP(K3563,データについて!$J$5:$AH$20,14,FALSE),"")</f>
        <v/>
      </c>
      <c r="AC3563" s="81" t="e">
        <f>IF(X3563=1,HLOOKUP(R3563,データについて!$J$12:$M$18,7,FALSE),"*")</f>
        <v>#N/A</v>
      </c>
      <c r="AD3563" s="81" t="e">
        <f>IF(X3563=2,HLOOKUP(R3563,データについて!$J$12:$M$18,7,FALSE),"*")</f>
        <v>#N/A</v>
      </c>
    </row>
    <row r="3564" spans="19:30">
      <c r="S3564" s="81" t="e">
        <f>HLOOKUP(L3564,データについて!$J$6:$M$18,13,FALSE)</f>
        <v>#N/A</v>
      </c>
      <c r="T3564" s="81" t="e">
        <f>HLOOKUP(M3564,データについて!$J$7:$M$18,12,FALSE)</f>
        <v>#N/A</v>
      </c>
      <c r="U3564" s="81" t="e">
        <f>HLOOKUP(N3564,データについて!$J$8:$M$18,11,FALSE)</f>
        <v>#N/A</v>
      </c>
      <c r="V3564" s="81" t="e">
        <f>HLOOKUP(O3564,データについて!$J$9:$M$18,10,FALSE)</f>
        <v>#N/A</v>
      </c>
      <c r="W3564" s="81" t="e">
        <f>HLOOKUP(P3564,データについて!$J$10:$M$18,9,FALSE)</f>
        <v>#N/A</v>
      </c>
      <c r="X3564" s="81" t="e">
        <f>HLOOKUP(Q3564,データについて!$J$11:$M$18,8,FALSE)</f>
        <v>#N/A</v>
      </c>
      <c r="Y3564" s="81" t="e">
        <f>HLOOKUP(R3564,データについて!$J$12:$M$18,7,FALSE)</f>
        <v>#N/A</v>
      </c>
      <c r="Z3564" s="81" t="e">
        <f>HLOOKUP(I3564,データについて!$J$3:$M$18,16,FALSE)</f>
        <v>#N/A</v>
      </c>
      <c r="AA3564" s="81" t="str">
        <f>IFERROR(HLOOKUP(J3564,データについて!$J$4:$AH$19,16,FALSE),"")</f>
        <v/>
      </c>
      <c r="AB3564" s="81" t="str">
        <f>IFERROR(HLOOKUP(K3564,データについて!$J$5:$AH$20,14,FALSE),"")</f>
        <v/>
      </c>
      <c r="AC3564" s="81" t="e">
        <f>IF(X3564=1,HLOOKUP(R3564,データについて!$J$12:$M$18,7,FALSE),"*")</f>
        <v>#N/A</v>
      </c>
      <c r="AD3564" s="81" t="e">
        <f>IF(X3564=2,HLOOKUP(R3564,データについて!$J$12:$M$18,7,FALSE),"*")</f>
        <v>#N/A</v>
      </c>
    </row>
    <row r="3565" spans="19:30">
      <c r="S3565" s="81" t="e">
        <f>HLOOKUP(L3565,データについて!$J$6:$M$18,13,FALSE)</f>
        <v>#N/A</v>
      </c>
      <c r="T3565" s="81" t="e">
        <f>HLOOKUP(M3565,データについて!$J$7:$M$18,12,FALSE)</f>
        <v>#N/A</v>
      </c>
      <c r="U3565" s="81" t="e">
        <f>HLOOKUP(N3565,データについて!$J$8:$M$18,11,FALSE)</f>
        <v>#N/A</v>
      </c>
      <c r="V3565" s="81" t="e">
        <f>HLOOKUP(O3565,データについて!$J$9:$M$18,10,FALSE)</f>
        <v>#N/A</v>
      </c>
      <c r="W3565" s="81" t="e">
        <f>HLOOKUP(P3565,データについて!$J$10:$M$18,9,FALSE)</f>
        <v>#N/A</v>
      </c>
      <c r="X3565" s="81" t="e">
        <f>HLOOKUP(Q3565,データについて!$J$11:$M$18,8,FALSE)</f>
        <v>#N/A</v>
      </c>
      <c r="Y3565" s="81" t="e">
        <f>HLOOKUP(R3565,データについて!$J$12:$M$18,7,FALSE)</f>
        <v>#N/A</v>
      </c>
      <c r="Z3565" s="81" t="e">
        <f>HLOOKUP(I3565,データについて!$J$3:$M$18,16,FALSE)</f>
        <v>#N/A</v>
      </c>
      <c r="AA3565" s="81" t="str">
        <f>IFERROR(HLOOKUP(J3565,データについて!$J$4:$AH$19,16,FALSE),"")</f>
        <v/>
      </c>
      <c r="AB3565" s="81" t="str">
        <f>IFERROR(HLOOKUP(K3565,データについて!$J$5:$AH$20,14,FALSE),"")</f>
        <v/>
      </c>
      <c r="AC3565" s="81" t="e">
        <f>IF(X3565=1,HLOOKUP(R3565,データについて!$J$12:$M$18,7,FALSE),"*")</f>
        <v>#N/A</v>
      </c>
      <c r="AD3565" s="81" t="e">
        <f>IF(X3565=2,HLOOKUP(R3565,データについて!$J$12:$M$18,7,FALSE),"*")</f>
        <v>#N/A</v>
      </c>
    </row>
    <row r="3566" spans="19:30">
      <c r="S3566" s="81" t="e">
        <f>HLOOKUP(L3566,データについて!$J$6:$M$18,13,FALSE)</f>
        <v>#N/A</v>
      </c>
      <c r="T3566" s="81" t="e">
        <f>HLOOKUP(M3566,データについて!$J$7:$M$18,12,FALSE)</f>
        <v>#N/A</v>
      </c>
      <c r="U3566" s="81" t="e">
        <f>HLOOKUP(N3566,データについて!$J$8:$M$18,11,FALSE)</f>
        <v>#N/A</v>
      </c>
      <c r="V3566" s="81" t="e">
        <f>HLOOKUP(O3566,データについて!$J$9:$M$18,10,FALSE)</f>
        <v>#N/A</v>
      </c>
      <c r="W3566" s="81" t="e">
        <f>HLOOKUP(P3566,データについて!$J$10:$M$18,9,FALSE)</f>
        <v>#N/A</v>
      </c>
      <c r="X3566" s="81" t="e">
        <f>HLOOKUP(Q3566,データについて!$J$11:$M$18,8,FALSE)</f>
        <v>#N/A</v>
      </c>
      <c r="Y3566" s="81" t="e">
        <f>HLOOKUP(R3566,データについて!$J$12:$M$18,7,FALSE)</f>
        <v>#N/A</v>
      </c>
      <c r="Z3566" s="81" t="e">
        <f>HLOOKUP(I3566,データについて!$J$3:$M$18,16,FALSE)</f>
        <v>#N/A</v>
      </c>
      <c r="AA3566" s="81" t="str">
        <f>IFERROR(HLOOKUP(J3566,データについて!$J$4:$AH$19,16,FALSE),"")</f>
        <v/>
      </c>
      <c r="AB3566" s="81" t="str">
        <f>IFERROR(HLOOKUP(K3566,データについて!$J$5:$AH$20,14,FALSE),"")</f>
        <v/>
      </c>
      <c r="AC3566" s="81" t="e">
        <f>IF(X3566=1,HLOOKUP(R3566,データについて!$J$12:$M$18,7,FALSE),"*")</f>
        <v>#N/A</v>
      </c>
      <c r="AD3566" s="81" t="e">
        <f>IF(X3566=2,HLOOKUP(R3566,データについて!$J$12:$M$18,7,FALSE),"*")</f>
        <v>#N/A</v>
      </c>
    </row>
    <row r="3567" spans="19:30">
      <c r="S3567" s="81" t="e">
        <f>HLOOKUP(L3567,データについて!$J$6:$M$18,13,FALSE)</f>
        <v>#N/A</v>
      </c>
      <c r="T3567" s="81" t="e">
        <f>HLOOKUP(M3567,データについて!$J$7:$M$18,12,FALSE)</f>
        <v>#N/A</v>
      </c>
      <c r="U3567" s="81" t="e">
        <f>HLOOKUP(N3567,データについて!$J$8:$M$18,11,FALSE)</f>
        <v>#N/A</v>
      </c>
      <c r="V3567" s="81" t="e">
        <f>HLOOKUP(O3567,データについて!$J$9:$M$18,10,FALSE)</f>
        <v>#N/A</v>
      </c>
      <c r="W3567" s="81" t="e">
        <f>HLOOKUP(P3567,データについて!$J$10:$M$18,9,FALSE)</f>
        <v>#N/A</v>
      </c>
      <c r="X3567" s="81" t="e">
        <f>HLOOKUP(Q3567,データについて!$J$11:$M$18,8,FALSE)</f>
        <v>#N/A</v>
      </c>
      <c r="Y3567" s="81" t="e">
        <f>HLOOKUP(R3567,データについて!$J$12:$M$18,7,FALSE)</f>
        <v>#N/A</v>
      </c>
      <c r="Z3567" s="81" t="e">
        <f>HLOOKUP(I3567,データについて!$J$3:$M$18,16,FALSE)</f>
        <v>#N/A</v>
      </c>
      <c r="AA3567" s="81" t="str">
        <f>IFERROR(HLOOKUP(J3567,データについて!$J$4:$AH$19,16,FALSE),"")</f>
        <v/>
      </c>
      <c r="AB3567" s="81" t="str">
        <f>IFERROR(HLOOKUP(K3567,データについて!$J$5:$AH$20,14,FALSE),"")</f>
        <v/>
      </c>
      <c r="AC3567" s="81" t="e">
        <f>IF(X3567=1,HLOOKUP(R3567,データについて!$J$12:$M$18,7,FALSE),"*")</f>
        <v>#N/A</v>
      </c>
      <c r="AD3567" s="81" t="e">
        <f>IF(X3567=2,HLOOKUP(R3567,データについて!$J$12:$M$18,7,FALSE),"*")</f>
        <v>#N/A</v>
      </c>
    </row>
    <row r="3568" spans="19:30">
      <c r="S3568" s="81" t="e">
        <f>HLOOKUP(L3568,データについて!$J$6:$M$18,13,FALSE)</f>
        <v>#N/A</v>
      </c>
      <c r="T3568" s="81" t="e">
        <f>HLOOKUP(M3568,データについて!$J$7:$M$18,12,FALSE)</f>
        <v>#N/A</v>
      </c>
      <c r="U3568" s="81" t="e">
        <f>HLOOKUP(N3568,データについて!$J$8:$M$18,11,FALSE)</f>
        <v>#N/A</v>
      </c>
      <c r="V3568" s="81" t="e">
        <f>HLOOKUP(O3568,データについて!$J$9:$M$18,10,FALSE)</f>
        <v>#N/A</v>
      </c>
      <c r="W3568" s="81" t="e">
        <f>HLOOKUP(P3568,データについて!$J$10:$M$18,9,FALSE)</f>
        <v>#N/A</v>
      </c>
      <c r="X3568" s="81" t="e">
        <f>HLOOKUP(Q3568,データについて!$J$11:$M$18,8,FALSE)</f>
        <v>#N/A</v>
      </c>
      <c r="Y3568" s="81" t="e">
        <f>HLOOKUP(R3568,データについて!$J$12:$M$18,7,FALSE)</f>
        <v>#N/A</v>
      </c>
      <c r="Z3568" s="81" t="e">
        <f>HLOOKUP(I3568,データについて!$J$3:$M$18,16,FALSE)</f>
        <v>#N/A</v>
      </c>
      <c r="AA3568" s="81" t="str">
        <f>IFERROR(HLOOKUP(J3568,データについて!$J$4:$AH$19,16,FALSE),"")</f>
        <v/>
      </c>
      <c r="AB3568" s="81" t="str">
        <f>IFERROR(HLOOKUP(K3568,データについて!$J$5:$AH$20,14,FALSE),"")</f>
        <v/>
      </c>
      <c r="AC3568" s="81" t="e">
        <f>IF(X3568=1,HLOOKUP(R3568,データについて!$J$12:$M$18,7,FALSE),"*")</f>
        <v>#N/A</v>
      </c>
      <c r="AD3568" s="81" t="e">
        <f>IF(X3568=2,HLOOKUP(R3568,データについて!$J$12:$M$18,7,FALSE),"*")</f>
        <v>#N/A</v>
      </c>
    </row>
    <row r="3569" spans="19:30">
      <c r="S3569" s="81" t="e">
        <f>HLOOKUP(L3569,データについて!$J$6:$M$18,13,FALSE)</f>
        <v>#N/A</v>
      </c>
      <c r="T3569" s="81" t="e">
        <f>HLOOKUP(M3569,データについて!$J$7:$M$18,12,FALSE)</f>
        <v>#N/A</v>
      </c>
      <c r="U3569" s="81" t="e">
        <f>HLOOKUP(N3569,データについて!$J$8:$M$18,11,FALSE)</f>
        <v>#N/A</v>
      </c>
      <c r="V3569" s="81" t="e">
        <f>HLOOKUP(O3569,データについて!$J$9:$M$18,10,FALSE)</f>
        <v>#N/A</v>
      </c>
      <c r="W3569" s="81" t="e">
        <f>HLOOKUP(P3569,データについて!$J$10:$M$18,9,FALSE)</f>
        <v>#N/A</v>
      </c>
      <c r="X3569" s="81" t="e">
        <f>HLOOKUP(Q3569,データについて!$J$11:$M$18,8,FALSE)</f>
        <v>#N/A</v>
      </c>
      <c r="Y3569" s="81" t="e">
        <f>HLOOKUP(R3569,データについて!$J$12:$M$18,7,FALSE)</f>
        <v>#N/A</v>
      </c>
      <c r="Z3569" s="81" t="e">
        <f>HLOOKUP(I3569,データについて!$J$3:$M$18,16,FALSE)</f>
        <v>#N/A</v>
      </c>
      <c r="AA3569" s="81" t="str">
        <f>IFERROR(HLOOKUP(J3569,データについて!$J$4:$AH$19,16,FALSE),"")</f>
        <v/>
      </c>
      <c r="AB3569" s="81" t="str">
        <f>IFERROR(HLOOKUP(K3569,データについて!$J$5:$AH$20,14,FALSE),"")</f>
        <v/>
      </c>
      <c r="AC3569" s="81" t="e">
        <f>IF(X3569=1,HLOOKUP(R3569,データについて!$J$12:$M$18,7,FALSE),"*")</f>
        <v>#N/A</v>
      </c>
      <c r="AD3569" s="81" t="e">
        <f>IF(X3569=2,HLOOKUP(R3569,データについて!$J$12:$M$18,7,FALSE),"*")</f>
        <v>#N/A</v>
      </c>
    </row>
    <row r="3570" spans="19:30">
      <c r="S3570" s="81" t="e">
        <f>HLOOKUP(L3570,データについて!$J$6:$M$18,13,FALSE)</f>
        <v>#N/A</v>
      </c>
      <c r="T3570" s="81" t="e">
        <f>HLOOKUP(M3570,データについて!$J$7:$M$18,12,FALSE)</f>
        <v>#N/A</v>
      </c>
      <c r="U3570" s="81" t="e">
        <f>HLOOKUP(N3570,データについて!$J$8:$M$18,11,FALSE)</f>
        <v>#N/A</v>
      </c>
      <c r="V3570" s="81" t="e">
        <f>HLOOKUP(O3570,データについて!$J$9:$M$18,10,FALSE)</f>
        <v>#N/A</v>
      </c>
      <c r="W3570" s="81" t="e">
        <f>HLOOKUP(P3570,データについて!$J$10:$M$18,9,FALSE)</f>
        <v>#N/A</v>
      </c>
      <c r="X3570" s="81" t="e">
        <f>HLOOKUP(Q3570,データについて!$J$11:$M$18,8,FALSE)</f>
        <v>#N/A</v>
      </c>
      <c r="Y3570" s="81" t="e">
        <f>HLOOKUP(R3570,データについて!$J$12:$M$18,7,FALSE)</f>
        <v>#N/A</v>
      </c>
      <c r="Z3570" s="81" t="e">
        <f>HLOOKUP(I3570,データについて!$J$3:$M$18,16,FALSE)</f>
        <v>#N/A</v>
      </c>
      <c r="AA3570" s="81" t="str">
        <f>IFERROR(HLOOKUP(J3570,データについて!$J$4:$AH$19,16,FALSE),"")</f>
        <v/>
      </c>
      <c r="AB3570" s="81" t="str">
        <f>IFERROR(HLOOKUP(K3570,データについて!$J$5:$AH$20,14,FALSE),"")</f>
        <v/>
      </c>
      <c r="AC3570" s="81" t="e">
        <f>IF(X3570=1,HLOOKUP(R3570,データについて!$J$12:$M$18,7,FALSE),"*")</f>
        <v>#N/A</v>
      </c>
      <c r="AD3570" s="81" t="e">
        <f>IF(X3570=2,HLOOKUP(R3570,データについて!$J$12:$M$18,7,FALSE),"*")</f>
        <v>#N/A</v>
      </c>
    </row>
    <row r="3571" spans="19:30">
      <c r="S3571" s="81" t="e">
        <f>HLOOKUP(L3571,データについて!$J$6:$M$18,13,FALSE)</f>
        <v>#N/A</v>
      </c>
      <c r="T3571" s="81" t="e">
        <f>HLOOKUP(M3571,データについて!$J$7:$M$18,12,FALSE)</f>
        <v>#N/A</v>
      </c>
      <c r="U3571" s="81" t="e">
        <f>HLOOKUP(N3571,データについて!$J$8:$M$18,11,FALSE)</f>
        <v>#N/A</v>
      </c>
      <c r="V3571" s="81" t="e">
        <f>HLOOKUP(O3571,データについて!$J$9:$M$18,10,FALSE)</f>
        <v>#N/A</v>
      </c>
      <c r="W3571" s="81" t="e">
        <f>HLOOKUP(P3571,データについて!$J$10:$M$18,9,FALSE)</f>
        <v>#N/A</v>
      </c>
      <c r="X3571" s="81" t="e">
        <f>HLOOKUP(Q3571,データについて!$J$11:$M$18,8,FALSE)</f>
        <v>#N/A</v>
      </c>
      <c r="Y3571" s="81" t="e">
        <f>HLOOKUP(R3571,データについて!$J$12:$M$18,7,FALSE)</f>
        <v>#N/A</v>
      </c>
      <c r="Z3571" s="81" t="e">
        <f>HLOOKUP(I3571,データについて!$J$3:$M$18,16,FALSE)</f>
        <v>#N/A</v>
      </c>
      <c r="AA3571" s="81" t="str">
        <f>IFERROR(HLOOKUP(J3571,データについて!$J$4:$AH$19,16,FALSE),"")</f>
        <v/>
      </c>
      <c r="AB3571" s="81" t="str">
        <f>IFERROR(HLOOKUP(K3571,データについて!$J$5:$AH$20,14,FALSE),"")</f>
        <v/>
      </c>
      <c r="AC3571" s="81" t="e">
        <f>IF(X3571=1,HLOOKUP(R3571,データについて!$J$12:$M$18,7,FALSE),"*")</f>
        <v>#N/A</v>
      </c>
      <c r="AD3571" s="81" t="e">
        <f>IF(X3571=2,HLOOKUP(R3571,データについて!$J$12:$M$18,7,FALSE),"*")</f>
        <v>#N/A</v>
      </c>
    </row>
    <row r="3572" spans="19:30">
      <c r="S3572" s="81" t="e">
        <f>HLOOKUP(L3572,データについて!$J$6:$M$18,13,FALSE)</f>
        <v>#N/A</v>
      </c>
      <c r="T3572" s="81" t="e">
        <f>HLOOKUP(M3572,データについて!$J$7:$M$18,12,FALSE)</f>
        <v>#N/A</v>
      </c>
      <c r="U3572" s="81" t="e">
        <f>HLOOKUP(N3572,データについて!$J$8:$M$18,11,FALSE)</f>
        <v>#N/A</v>
      </c>
      <c r="V3572" s="81" t="e">
        <f>HLOOKUP(O3572,データについて!$J$9:$M$18,10,FALSE)</f>
        <v>#N/A</v>
      </c>
      <c r="W3572" s="81" t="e">
        <f>HLOOKUP(P3572,データについて!$J$10:$M$18,9,FALSE)</f>
        <v>#N/A</v>
      </c>
      <c r="X3572" s="81" t="e">
        <f>HLOOKUP(Q3572,データについて!$J$11:$M$18,8,FALSE)</f>
        <v>#N/A</v>
      </c>
      <c r="Y3572" s="81" t="e">
        <f>HLOOKUP(R3572,データについて!$J$12:$M$18,7,FALSE)</f>
        <v>#N/A</v>
      </c>
      <c r="Z3572" s="81" t="e">
        <f>HLOOKUP(I3572,データについて!$J$3:$M$18,16,FALSE)</f>
        <v>#N/A</v>
      </c>
      <c r="AA3572" s="81" t="str">
        <f>IFERROR(HLOOKUP(J3572,データについて!$J$4:$AH$19,16,FALSE),"")</f>
        <v/>
      </c>
      <c r="AB3572" s="81" t="str">
        <f>IFERROR(HLOOKUP(K3572,データについて!$J$5:$AH$20,14,FALSE),"")</f>
        <v/>
      </c>
      <c r="AC3572" s="81" t="e">
        <f>IF(X3572=1,HLOOKUP(R3572,データについて!$J$12:$M$18,7,FALSE),"*")</f>
        <v>#N/A</v>
      </c>
      <c r="AD3572" s="81" t="e">
        <f>IF(X3572=2,HLOOKUP(R3572,データについて!$J$12:$M$18,7,FALSE),"*")</f>
        <v>#N/A</v>
      </c>
    </row>
    <row r="3573" spans="19:30">
      <c r="S3573" s="81" t="e">
        <f>HLOOKUP(L3573,データについて!$J$6:$M$18,13,FALSE)</f>
        <v>#N/A</v>
      </c>
      <c r="T3573" s="81" t="e">
        <f>HLOOKUP(M3573,データについて!$J$7:$M$18,12,FALSE)</f>
        <v>#N/A</v>
      </c>
      <c r="U3573" s="81" t="e">
        <f>HLOOKUP(N3573,データについて!$J$8:$M$18,11,FALSE)</f>
        <v>#N/A</v>
      </c>
      <c r="V3573" s="81" t="e">
        <f>HLOOKUP(O3573,データについて!$J$9:$M$18,10,FALSE)</f>
        <v>#N/A</v>
      </c>
      <c r="W3573" s="81" t="e">
        <f>HLOOKUP(P3573,データについて!$J$10:$M$18,9,FALSE)</f>
        <v>#N/A</v>
      </c>
      <c r="X3573" s="81" t="e">
        <f>HLOOKUP(Q3573,データについて!$J$11:$M$18,8,FALSE)</f>
        <v>#N/A</v>
      </c>
      <c r="Y3573" s="81" t="e">
        <f>HLOOKUP(R3573,データについて!$J$12:$M$18,7,FALSE)</f>
        <v>#N/A</v>
      </c>
      <c r="Z3573" s="81" t="e">
        <f>HLOOKUP(I3573,データについて!$J$3:$M$18,16,FALSE)</f>
        <v>#N/A</v>
      </c>
      <c r="AA3573" s="81" t="str">
        <f>IFERROR(HLOOKUP(J3573,データについて!$J$4:$AH$19,16,FALSE),"")</f>
        <v/>
      </c>
      <c r="AB3573" s="81" t="str">
        <f>IFERROR(HLOOKUP(K3573,データについて!$J$5:$AH$20,14,FALSE),"")</f>
        <v/>
      </c>
      <c r="AC3573" s="81" t="e">
        <f>IF(X3573=1,HLOOKUP(R3573,データについて!$J$12:$M$18,7,FALSE),"*")</f>
        <v>#N/A</v>
      </c>
      <c r="AD3573" s="81" t="e">
        <f>IF(X3573=2,HLOOKUP(R3573,データについて!$J$12:$M$18,7,FALSE),"*")</f>
        <v>#N/A</v>
      </c>
    </row>
    <row r="3574" spans="19:30">
      <c r="S3574" s="81" t="e">
        <f>HLOOKUP(L3574,データについて!$J$6:$M$18,13,FALSE)</f>
        <v>#N/A</v>
      </c>
      <c r="T3574" s="81" t="e">
        <f>HLOOKUP(M3574,データについて!$J$7:$M$18,12,FALSE)</f>
        <v>#N/A</v>
      </c>
      <c r="U3574" s="81" t="e">
        <f>HLOOKUP(N3574,データについて!$J$8:$M$18,11,FALSE)</f>
        <v>#N/A</v>
      </c>
      <c r="V3574" s="81" t="e">
        <f>HLOOKUP(O3574,データについて!$J$9:$M$18,10,FALSE)</f>
        <v>#N/A</v>
      </c>
      <c r="W3574" s="81" t="e">
        <f>HLOOKUP(P3574,データについて!$J$10:$M$18,9,FALSE)</f>
        <v>#N/A</v>
      </c>
      <c r="X3574" s="81" t="e">
        <f>HLOOKUP(Q3574,データについて!$J$11:$M$18,8,FALSE)</f>
        <v>#N/A</v>
      </c>
      <c r="Y3574" s="81" t="e">
        <f>HLOOKUP(R3574,データについて!$J$12:$M$18,7,FALSE)</f>
        <v>#N/A</v>
      </c>
      <c r="Z3574" s="81" t="e">
        <f>HLOOKUP(I3574,データについて!$J$3:$M$18,16,FALSE)</f>
        <v>#N/A</v>
      </c>
      <c r="AA3574" s="81" t="str">
        <f>IFERROR(HLOOKUP(J3574,データについて!$J$4:$AH$19,16,FALSE),"")</f>
        <v/>
      </c>
      <c r="AB3574" s="81" t="str">
        <f>IFERROR(HLOOKUP(K3574,データについて!$J$5:$AH$20,14,FALSE),"")</f>
        <v/>
      </c>
      <c r="AC3574" s="81" t="e">
        <f>IF(X3574=1,HLOOKUP(R3574,データについて!$J$12:$M$18,7,FALSE),"*")</f>
        <v>#N/A</v>
      </c>
      <c r="AD3574" s="81" t="e">
        <f>IF(X3574=2,HLOOKUP(R3574,データについて!$J$12:$M$18,7,FALSE),"*")</f>
        <v>#N/A</v>
      </c>
    </row>
    <row r="3575" spans="19:30">
      <c r="S3575" s="81" t="e">
        <f>HLOOKUP(L3575,データについて!$J$6:$M$18,13,FALSE)</f>
        <v>#N/A</v>
      </c>
      <c r="T3575" s="81" t="e">
        <f>HLOOKUP(M3575,データについて!$J$7:$M$18,12,FALSE)</f>
        <v>#N/A</v>
      </c>
      <c r="U3575" s="81" t="e">
        <f>HLOOKUP(N3575,データについて!$J$8:$M$18,11,FALSE)</f>
        <v>#N/A</v>
      </c>
      <c r="V3575" s="81" t="e">
        <f>HLOOKUP(O3575,データについて!$J$9:$M$18,10,FALSE)</f>
        <v>#N/A</v>
      </c>
      <c r="W3575" s="81" t="e">
        <f>HLOOKUP(P3575,データについて!$J$10:$M$18,9,FALSE)</f>
        <v>#N/A</v>
      </c>
      <c r="X3575" s="81" t="e">
        <f>HLOOKUP(Q3575,データについて!$J$11:$M$18,8,FALSE)</f>
        <v>#N/A</v>
      </c>
      <c r="Y3575" s="81" t="e">
        <f>HLOOKUP(R3575,データについて!$J$12:$M$18,7,FALSE)</f>
        <v>#N/A</v>
      </c>
      <c r="Z3575" s="81" t="e">
        <f>HLOOKUP(I3575,データについて!$J$3:$M$18,16,FALSE)</f>
        <v>#N/A</v>
      </c>
      <c r="AA3575" s="81" t="str">
        <f>IFERROR(HLOOKUP(J3575,データについて!$J$4:$AH$19,16,FALSE),"")</f>
        <v/>
      </c>
      <c r="AB3575" s="81" t="str">
        <f>IFERROR(HLOOKUP(K3575,データについて!$J$5:$AH$20,14,FALSE),"")</f>
        <v/>
      </c>
      <c r="AC3575" s="81" t="e">
        <f>IF(X3575=1,HLOOKUP(R3575,データについて!$J$12:$M$18,7,FALSE),"*")</f>
        <v>#N/A</v>
      </c>
      <c r="AD3575" s="81" t="e">
        <f>IF(X3575=2,HLOOKUP(R3575,データについて!$J$12:$M$18,7,FALSE),"*")</f>
        <v>#N/A</v>
      </c>
    </row>
    <row r="3576" spans="19:30">
      <c r="S3576" s="81" t="e">
        <f>HLOOKUP(L3576,データについて!$J$6:$M$18,13,FALSE)</f>
        <v>#N/A</v>
      </c>
      <c r="T3576" s="81" t="e">
        <f>HLOOKUP(M3576,データについて!$J$7:$M$18,12,FALSE)</f>
        <v>#N/A</v>
      </c>
      <c r="U3576" s="81" t="e">
        <f>HLOOKUP(N3576,データについて!$J$8:$M$18,11,FALSE)</f>
        <v>#N/A</v>
      </c>
      <c r="V3576" s="81" t="e">
        <f>HLOOKUP(O3576,データについて!$J$9:$M$18,10,FALSE)</f>
        <v>#N/A</v>
      </c>
      <c r="W3576" s="81" t="e">
        <f>HLOOKUP(P3576,データについて!$J$10:$M$18,9,FALSE)</f>
        <v>#N/A</v>
      </c>
      <c r="X3576" s="81" t="e">
        <f>HLOOKUP(Q3576,データについて!$J$11:$M$18,8,FALSE)</f>
        <v>#N/A</v>
      </c>
      <c r="Y3576" s="81" t="e">
        <f>HLOOKUP(R3576,データについて!$J$12:$M$18,7,FALSE)</f>
        <v>#N/A</v>
      </c>
      <c r="Z3576" s="81" t="e">
        <f>HLOOKUP(I3576,データについて!$J$3:$M$18,16,FALSE)</f>
        <v>#N/A</v>
      </c>
      <c r="AA3576" s="81" t="str">
        <f>IFERROR(HLOOKUP(J3576,データについて!$J$4:$AH$19,16,FALSE),"")</f>
        <v/>
      </c>
      <c r="AB3576" s="81" t="str">
        <f>IFERROR(HLOOKUP(K3576,データについて!$J$5:$AH$20,14,FALSE),"")</f>
        <v/>
      </c>
      <c r="AC3576" s="81" t="e">
        <f>IF(X3576=1,HLOOKUP(R3576,データについて!$J$12:$M$18,7,FALSE),"*")</f>
        <v>#N/A</v>
      </c>
      <c r="AD3576" s="81" t="e">
        <f>IF(X3576=2,HLOOKUP(R3576,データについて!$J$12:$M$18,7,FALSE),"*")</f>
        <v>#N/A</v>
      </c>
    </row>
    <row r="3577" spans="19:30">
      <c r="S3577" s="81" t="e">
        <f>HLOOKUP(L3577,データについて!$J$6:$M$18,13,FALSE)</f>
        <v>#N/A</v>
      </c>
      <c r="T3577" s="81" t="e">
        <f>HLOOKUP(M3577,データについて!$J$7:$M$18,12,FALSE)</f>
        <v>#N/A</v>
      </c>
      <c r="U3577" s="81" t="e">
        <f>HLOOKUP(N3577,データについて!$J$8:$M$18,11,FALSE)</f>
        <v>#N/A</v>
      </c>
      <c r="V3577" s="81" t="e">
        <f>HLOOKUP(O3577,データについて!$J$9:$M$18,10,FALSE)</f>
        <v>#N/A</v>
      </c>
      <c r="W3577" s="81" t="e">
        <f>HLOOKUP(P3577,データについて!$J$10:$M$18,9,FALSE)</f>
        <v>#N/A</v>
      </c>
      <c r="X3577" s="81" t="e">
        <f>HLOOKUP(Q3577,データについて!$J$11:$M$18,8,FALSE)</f>
        <v>#N/A</v>
      </c>
      <c r="Y3577" s="81" t="e">
        <f>HLOOKUP(R3577,データについて!$J$12:$M$18,7,FALSE)</f>
        <v>#N/A</v>
      </c>
      <c r="Z3577" s="81" t="e">
        <f>HLOOKUP(I3577,データについて!$J$3:$M$18,16,FALSE)</f>
        <v>#N/A</v>
      </c>
      <c r="AA3577" s="81" t="str">
        <f>IFERROR(HLOOKUP(J3577,データについて!$J$4:$AH$19,16,FALSE),"")</f>
        <v/>
      </c>
      <c r="AB3577" s="81" t="str">
        <f>IFERROR(HLOOKUP(K3577,データについて!$J$5:$AH$20,14,FALSE),"")</f>
        <v/>
      </c>
      <c r="AC3577" s="81" t="e">
        <f>IF(X3577=1,HLOOKUP(R3577,データについて!$J$12:$M$18,7,FALSE),"*")</f>
        <v>#N/A</v>
      </c>
      <c r="AD3577" s="81" t="e">
        <f>IF(X3577=2,HLOOKUP(R3577,データについて!$J$12:$M$18,7,FALSE),"*")</f>
        <v>#N/A</v>
      </c>
    </row>
    <row r="3578" spans="19:30">
      <c r="S3578" s="81" t="e">
        <f>HLOOKUP(L3578,データについて!$J$6:$M$18,13,FALSE)</f>
        <v>#N/A</v>
      </c>
      <c r="T3578" s="81" t="e">
        <f>HLOOKUP(M3578,データについて!$J$7:$M$18,12,FALSE)</f>
        <v>#N/A</v>
      </c>
      <c r="U3578" s="81" t="e">
        <f>HLOOKUP(N3578,データについて!$J$8:$M$18,11,FALSE)</f>
        <v>#N/A</v>
      </c>
      <c r="V3578" s="81" t="e">
        <f>HLOOKUP(O3578,データについて!$J$9:$M$18,10,FALSE)</f>
        <v>#N/A</v>
      </c>
      <c r="W3578" s="81" t="e">
        <f>HLOOKUP(P3578,データについて!$J$10:$M$18,9,FALSE)</f>
        <v>#N/A</v>
      </c>
      <c r="X3578" s="81" t="e">
        <f>HLOOKUP(Q3578,データについて!$J$11:$M$18,8,FALSE)</f>
        <v>#N/A</v>
      </c>
      <c r="Y3578" s="81" t="e">
        <f>HLOOKUP(R3578,データについて!$J$12:$M$18,7,FALSE)</f>
        <v>#N/A</v>
      </c>
      <c r="Z3578" s="81" t="e">
        <f>HLOOKUP(I3578,データについて!$J$3:$M$18,16,FALSE)</f>
        <v>#N/A</v>
      </c>
      <c r="AA3578" s="81" t="str">
        <f>IFERROR(HLOOKUP(J3578,データについて!$J$4:$AH$19,16,FALSE),"")</f>
        <v/>
      </c>
      <c r="AB3578" s="81" t="str">
        <f>IFERROR(HLOOKUP(K3578,データについて!$J$5:$AH$20,14,FALSE),"")</f>
        <v/>
      </c>
      <c r="AC3578" s="81" t="e">
        <f>IF(X3578=1,HLOOKUP(R3578,データについて!$J$12:$M$18,7,FALSE),"*")</f>
        <v>#N/A</v>
      </c>
      <c r="AD3578" s="81" t="e">
        <f>IF(X3578=2,HLOOKUP(R3578,データについて!$J$12:$M$18,7,FALSE),"*")</f>
        <v>#N/A</v>
      </c>
    </row>
    <row r="3579" spans="19:30">
      <c r="S3579" s="81" t="e">
        <f>HLOOKUP(L3579,データについて!$J$6:$M$18,13,FALSE)</f>
        <v>#N/A</v>
      </c>
      <c r="T3579" s="81" t="e">
        <f>HLOOKUP(M3579,データについて!$J$7:$M$18,12,FALSE)</f>
        <v>#N/A</v>
      </c>
      <c r="U3579" s="81" t="e">
        <f>HLOOKUP(N3579,データについて!$J$8:$M$18,11,FALSE)</f>
        <v>#N/A</v>
      </c>
      <c r="V3579" s="81" t="e">
        <f>HLOOKUP(O3579,データについて!$J$9:$M$18,10,FALSE)</f>
        <v>#N/A</v>
      </c>
      <c r="W3579" s="81" t="e">
        <f>HLOOKUP(P3579,データについて!$J$10:$M$18,9,FALSE)</f>
        <v>#N/A</v>
      </c>
      <c r="X3579" s="81" t="e">
        <f>HLOOKUP(Q3579,データについて!$J$11:$M$18,8,FALSE)</f>
        <v>#N/A</v>
      </c>
      <c r="Y3579" s="81" t="e">
        <f>HLOOKUP(R3579,データについて!$J$12:$M$18,7,FALSE)</f>
        <v>#N/A</v>
      </c>
      <c r="Z3579" s="81" t="e">
        <f>HLOOKUP(I3579,データについて!$J$3:$M$18,16,FALSE)</f>
        <v>#N/A</v>
      </c>
      <c r="AA3579" s="81" t="str">
        <f>IFERROR(HLOOKUP(J3579,データについて!$J$4:$AH$19,16,FALSE),"")</f>
        <v/>
      </c>
      <c r="AB3579" s="81" t="str">
        <f>IFERROR(HLOOKUP(K3579,データについて!$J$5:$AH$20,14,FALSE),"")</f>
        <v/>
      </c>
      <c r="AC3579" s="81" t="e">
        <f>IF(X3579=1,HLOOKUP(R3579,データについて!$J$12:$M$18,7,FALSE),"*")</f>
        <v>#N/A</v>
      </c>
      <c r="AD3579" s="81" t="e">
        <f>IF(X3579=2,HLOOKUP(R3579,データについて!$J$12:$M$18,7,FALSE),"*")</f>
        <v>#N/A</v>
      </c>
    </row>
    <row r="3580" spans="19:30">
      <c r="S3580" s="81" t="e">
        <f>HLOOKUP(L3580,データについて!$J$6:$M$18,13,FALSE)</f>
        <v>#N/A</v>
      </c>
      <c r="T3580" s="81" t="e">
        <f>HLOOKUP(M3580,データについて!$J$7:$M$18,12,FALSE)</f>
        <v>#N/A</v>
      </c>
      <c r="U3580" s="81" t="e">
        <f>HLOOKUP(N3580,データについて!$J$8:$M$18,11,FALSE)</f>
        <v>#N/A</v>
      </c>
      <c r="V3580" s="81" t="e">
        <f>HLOOKUP(O3580,データについて!$J$9:$M$18,10,FALSE)</f>
        <v>#N/A</v>
      </c>
      <c r="W3580" s="81" t="e">
        <f>HLOOKUP(P3580,データについて!$J$10:$M$18,9,FALSE)</f>
        <v>#N/A</v>
      </c>
      <c r="X3580" s="81" t="e">
        <f>HLOOKUP(Q3580,データについて!$J$11:$M$18,8,FALSE)</f>
        <v>#N/A</v>
      </c>
      <c r="Y3580" s="81" t="e">
        <f>HLOOKUP(R3580,データについて!$J$12:$M$18,7,FALSE)</f>
        <v>#N/A</v>
      </c>
      <c r="Z3580" s="81" t="e">
        <f>HLOOKUP(I3580,データについて!$J$3:$M$18,16,FALSE)</f>
        <v>#N/A</v>
      </c>
      <c r="AA3580" s="81" t="str">
        <f>IFERROR(HLOOKUP(J3580,データについて!$J$4:$AH$19,16,FALSE),"")</f>
        <v/>
      </c>
      <c r="AB3580" s="81" t="str">
        <f>IFERROR(HLOOKUP(K3580,データについて!$J$5:$AH$20,14,FALSE),"")</f>
        <v/>
      </c>
      <c r="AC3580" s="81" t="e">
        <f>IF(X3580=1,HLOOKUP(R3580,データについて!$J$12:$M$18,7,FALSE),"*")</f>
        <v>#N/A</v>
      </c>
      <c r="AD3580" s="81" t="e">
        <f>IF(X3580=2,HLOOKUP(R3580,データについて!$J$12:$M$18,7,FALSE),"*")</f>
        <v>#N/A</v>
      </c>
    </row>
    <row r="3581" spans="19:30">
      <c r="S3581" s="81" t="e">
        <f>HLOOKUP(L3581,データについて!$J$6:$M$18,13,FALSE)</f>
        <v>#N/A</v>
      </c>
      <c r="T3581" s="81" t="e">
        <f>HLOOKUP(M3581,データについて!$J$7:$M$18,12,FALSE)</f>
        <v>#N/A</v>
      </c>
      <c r="U3581" s="81" t="e">
        <f>HLOOKUP(N3581,データについて!$J$8:$M$18,11,FALSE)</f>
        <v>#N/A</v>
      </c>
      <c r="V3581" s="81" t="e">
        <f>HLOOKUP(O3581,データについて!$J$9:$M$18,10,FALSE)</f>
        <v>#N/A</v>
      </c>
      <c r="W3581" s="81" t="e">
        <f>HLOOKUP(P3581,データについて!$J$10:$M$18,9,FALSE)</f>
        <v>#N/A</v>
      </c>
      <c r="X3581" s="81" t="e">
        <f>HLOOKUP(Q3581,データについて!$J$11:$M$18,8,FALSE)</f>
        <v>#N/A</v>
      </c>
      <c r="Y3581" s="81" t="e">
        <f>HLOOKUP(R3581,データについて!$J$12:$M$18,7,FALSE)</f>
        <v>#N/A</v>
      </c>
      <c r="Z3581" s="81" t="e">
        <f>HLOOKUP(I3581,データについて!$J$3:$M$18,16,FALSE)</f>
        <v>#N/A</v>
      </c>
      <c r="AA3581" s="81" t="str">
        <f>IFERROR(HLOOKUP(J3581,データについて!$J$4:$AH$19,16,FALSE),"")</f>
        <v/>
      </c>
      <c r="AB3581" s="81" t="str">
        <f>IFERROR(HLOOKUP(K3581,データについて!$J$5:$AH$20,14,FALSE),"")</f>
        <v/>
      </c>
      <c r="AC3581" s="81" t="e">
        <f>IF(X3581=1,HLOOKUP(R3581,データについて!$J$12:$M$18,7,FALSE),"*")</f>
        <v>#N/A</v>
      </c>
      <c r="AD3581" s="81" t="e">
        <f>IF(X3581=2,HLOOKUP(R3581,データについて!$J$12:$M$18,7,FALSE),"*")</f>
        <v>#N/A</v>
      </c>
    </row>
    <row r="3582" spans="19:30">
      <c r="S3582" s="81" t="e">
        <f>HLOOKUP(L3582,データについて!$J$6:$M$18,13,FALSE)</f>
        <v>#N/A</v>
      </c>
      <c r="T3582" s="81" t="e">
        <f>HLOOKUP(M3582,データについて!$J$7:$M$18,12,FALSE)</f>
        <v>#N/A</v>
      </c>
      <c r="U3582" s="81" t="e">
        <f>HLOOKUP(N3582,データについて!$J$8:$M$18,11,FALSE)</f>
        <v>#N/A</v>
      </c>
      <c r="V3582" s="81" t="e">
        <f>HLOOKUP(O3582,データについて!$J$9:$M$18,10,FALSE)</f>
        <v>#N/A</v>
      </c>
      <c r="W3582" s="81" t="e">
        <f>HLOOKUP(P3582,データについて!$J$10:$M$18,9,FALSE)</f>
        <v>#N/A</v>
      </c>
      <c r="X3582" s="81" t="e">
        <f>HLOOKUP(Q3582,データについて!$J$11:$M$18,8,FALSE)</f>
        <v>#N/A</v>
      </c>
      <c r="Y3582" s="81" t="e">
        <f>HLOOKUP(R3582,データについて!$J$12:$M$18,7,FALSE)</f>
        <v>#N/A</v>
      </c>
      <c r="Z3582" s="81" t="e">
        <f>HLOOKUP(I3582,データについて!$J$3:$M$18,16,FALSE)</f>
        <v>#N/A</v>
      </c>
      <c r="AA3582" s="81" t="str">
        <f>IFERROR(HLOOKUP(J3582,データについて!$J$4:$AH$19,16,FALSE),"")</f>
        <v/>
      </c>
      <c r="AB3582" s="81" t="str">
        <f>IFERROR(HLOOKUP(K3582,データについて!$J$5:$AH$20,14,FALSE),"")</f>
        <v/>
      </c>
      <c r="AC3582" s="81" t="e">
        <f>IF(X3582=1,HLOOKUP(R3582,データについて!$J$12:$M$18,7,FALSE),"*")</f>
        <v>#N/A</v>
      </c>
      <c r="AD3582" s="81" t="e">
        <f>IF(X3582=2,HLOOKUP(R3582,データについて!$J$12:$M$18,7,FALSE),"*")</f>
        <v>#N/A</v>
      </c>
    </row>
    <row r="3583" spans="19:30">
      <c r="S3583" s="81" t="e">
        <f>HLOOKUP(L3583,データについて!$J$6:$M$18,13,FALSE)</f>
        <v>#N/A</v>
      </c>
      <c r="T3583" s="81" t="e">
        <f>HLOOKUP(M3583,データについて!$J$7:$M$18,12,FALSE)</f>
        <v>#N/A</v>
      </c>
      <c r="U3583" s="81" t="e">
        <f>HLOOKUP(N3583,データについて!$J$8:$M$18,11,FALSE)</f>
        <v>#N/A</v>
      </c>
      <c r="V3583" s="81" t="e">
        <f>HLOOKUP(O3583,データについて!$J$9:$M$18,10,FALSE)</f>
        <v>#N/A</v>
      </c>
      <c r="W3583" s="81" t="e">
        <f>HLOOKUP(P3583,データについて!$J$10:$M$18,9,FALSE)</f>
        <v>#N/A</v>
      </c>
      <c r="X3583" s="81" t="e">
        <f>HLOOKUP(Q3583,データについて!$J$11:$M$18,8,FALSE)</f>
        <v>#N/A</v>
      </c>
      <c r="Y3583" s="81" t="e">
        <f>HLOOKUP(R3583,データについて!$J$12:$M$18,7,FALSE)</f>
        <v>#N/A</v>
      </c>
      <c r="Z3583" s="81" t="e">
        <f>HLOOKUP(I3583,データについて!$J$3:$M$18,16,FALSE)</f>
        <v>#N/A</v>
      </c>
      <c r="AA3583" s="81" t="str">
        <f>IFERROR(HLOOKUP(J3583,データについて!$J$4:$AH$19,16,FALSE),"")</f>
        <v/>
      </c>
      <c r="AB3583" s="81" t="str">
        <f>IFERROR(HLOOKUP(K3583,データについて!$J$5:$AH$20,14,FALSE),"")</f>
        <v/>
      </c>
      <c r="AC3583" s="81" t="e">
        <f>IF(X3583=1,HLOOKUP(R3583,データについて!$J$12:$M$18,7,FALSE),"*")</f>
        <v>#N/A</v>
      </c>
      <c r="AD3583" s="81" t="e">
        <f>IF(X3583=2,HLOOKUP(R3583,データについて!$J$12:$M$18,7,FALSE),"*")</f>
        <v>#N/A</v>
      </c>
    </row>
    <row r="3584" spans="19:30">
      <c r="S3584" s="81" t="e">
        <f>HLOOKUP(L3584,データについて!$J$6:$M$18,13,FALSE)</f>
        <v>#N/A</v>
      </c>
      <c r="T3584" s="81" t="e">
        <f>HLOOKUP(M3584,データについて!$J$7:$M$18,12,FALSE)</f>
        <v>#N/A</v>
      </c>
      <c r="U3584" s="81" t="e">
        <f>HLOOKUP(N3584,データについて!$J$8:$M$18,11,FALSE)</f>
        <v>#N/A</v>
      </c>
      <c r="V3584" s="81" t="e">
        <f>HLOOKUP(O3584,データについて!$J$9:$M$18,10,FALSE)</f>
        <v>#N/A</v>
      </c>
      <c r="W3584" s="81" t="e">
        <f>HLOOKUP(P3584,データについて!$J$10:$M$18,9,FALSE)</f>
        <v>#N/A</v>
      </c>
      <c r="X3584" s="81" t="e">
        <f>HLOOKUP(Q3584,データについて!$J$11:$M$18,8,FALSE)</f>
        <v>#N/A</v>
      </c>
      <c r="Y3584" s="81" t="e">
        <f>HLOOKUP(R3584,データについて!$J$12:$M$18,7,FALSE)</f>
        <v>#N/A</v>
      </c>
      <c r="Z3584" s="81" t="e">
        <f>HLOOKUP(I3584,データについて!$J$3:$M$18,16,FALSE)</f>
        <v>#N/A</v>
      </c>
      <c r="AA3584" s="81" t="str">
        <f>IFERROR(HLOOKUP(J3584,データについて!$J$4:$AH$19,16,FALSE),"")</f>
        <v/>
      </c>
      <c r="AB3584" s="81" t="str">
        <f>IFERROR(HLOOKUP(K3584,データについて!$J$5:$AH$20,14,FALSE),"")</f>
        <v/>
      </c>
      <c r="AC3584" s="81" t="e">
        <f>IF(X3584=1,HLOOKUP(R3584,データについて!$J$12:$M$18,7,FALSE),"*")</f>
        <v>#N/A</v>
      </c>
      <c r="AD3584" s="81" t="e">
        <f>IF(X3584=2,HLOOKUP(R3584,データについて!$J$12:$M$18,7,FALSE),"*")</f>
        <v>#N/A</v>
      </c>
    </row>
    <row r="3585" spans="19:30">
      <c r="S3585" s="81" t="e">
        <f>HLOOKUP(L3585,データについて!$J$6:$M$18,13,FALSE)</f>
        <v>#N/A</v>
      </c>
      <c r="T3585" s="81" t="e">
        <f>HLOOKUP(M3585,データについて!$J$7:$M$18,12,FALSE)</f>
        <v>#N/A</v>
      </c>
      <c r="U3585" s="81" t="e">
        <f>HLOOKUP(N3585,データについて!$J$8:$M$18,11,FALSE)</f>
        <v>#N/A</v>
      </c>
      <c r="V3585" s="81" t="e">
        <f>HLOOKUP(O3585,データについて!$J$9:$M$18,10,FALSE)</f>
        <v>#N/A</v>
      </c>
      <c r="W3585" s="81" t="e">
        <f>HLOOKUP(P3585,データについて!$J$10:$M$18,9,FALSE)</f>
        <v>#N/A</v>
      </c>
      <c r="X3585" s="81" t="e">
        <f>HLOOKUP(Q3585,データについて!$J$11:$M$18,8,FALSE)</f>
        <v>#N/A</v>
      </c>
      <c r="Y3585" s="81" t="e">
        <f>HLOOKUP(R3585,データについて!$J$12:$M$18,7,FALSE)</f>
        <v>#N/A</v>
      </c>
      <c r="Z3585" s="81" t="e">
        <f>HLOOKUP(I3585,データについて!$J$3:$M$18,16,FALSE)</f>
        <v>#N/A</v>
      </c>
      <c r="AA3585" s="81" t="str">
        <f>IFERROR(HLOOKUP(J3585,データについて!$J$4:$AH$19,16,FALSE),"")</f>
        <v/>
      </c>
      <c r="AB3585" s="81" t="str">
        <f>IFERROR(HLOOKUP(K3585,データについて!$J$5:$AH$20,14,FALSE),"")</f>
        <v/>
      </c>
      <c r="AC3585" s="81" t="e">
        <f>IF(X3585=1,HLOOKUP(R3585,データについて!$J$12:$M$18,7,FALSE),"*")</f>
        <v>#N/A</v>
      </c>
      <c r="AD3585" s="81" t="e">
        <f>IF(X3585=2,HLOOKUP(R3585,データについて!$J$12:$M$18,7,FALSE),"*")</f>
        <v>#N/A</v>
      </c>
    </row>
    <row r="3586" spans="19:30">
      <c r="S3586" s="81" t="e">
        <f>HLOOKUP(L3586,データについて!$J$6:$M$18,13,FALSE)</f>
        <v>#N/A</v>
      </c>
      <c r="T3586" s="81" t="e">
        <f>HLOOKUP(M3586,データについて!$J$7:$M$18,12,FALSE)</f>
        <v>#N/A</v>
      </c>
      <c r="U3586" s="81" t="e">
        <f>HLOOKUP(N3586,データについて!$J$8:$M$18,11,FALSE)</f>
        <v>#N/A</v>
      </c>
      <c r="V3586" s="81" t="e">
        <f>HLOOKUP(O3586,データについて!$J$9:$M$18,10,FALSE)</f>
        <v>#N/A</v>
      </c>
      <c r="W3586" s="81" t="e">
        <f>HLOOKUP(P3586,データについて!$J$10:$M$18,9,FALSE)</f>
        <v>#N/A</v>
      </c>
      <c r="X3586" s="81" t="e">
        <f>HLOOKUP(Q3586,データについて!$J$11:$M$18,8,FALSE)</f>
        <v>#N/A</v>
      </c>
      <c r="Y3586" s="81" t="e">
        <f>HLOOKUP(R3586,データについて!$J$12:$M$18,7,FALSE)</f>
        <v>#N/A</v>
      </c>
      <c r="Z3586" s="81" t="e">
        <f>HLOOKUP(I3586,データについて!$J$3:$M$18,16,FALSE)</f>
        <v>#N/A</v>
      </c>
      <c r="AA3586" s="81" t="str">
        <f>IFERROR(HLOOKUP(J3586,データについて!$J$4:$AH$19,16,FALSE),"")</f>
        <v/>
      </c>
      <c r="AB3586" s="81" t="str">
        <f>IFERROR(HLOOKUP(K3586,データについて!$J$5:$AH$20,14,FALSE),"")</f>
        <v/>
      </c>
      <c r="AC3586" s="81" t="e">
        <f>IF(X3586=1,HLOOKUP(R3586,データについて!$J$12:$M$18,7,FALSE),"*")</f>
        <v>#N/A</v>
      </c>
      <c r="AD3586" s="81" t="e">
        <f>IF(X3586=2,HLOOKUP(R3586,データについて!$J$12:$M$18,7,FALSE),"*")</f>
        <v>#N/A</v>
      </c>
    </row>
    <row r="3587" spans="19:30">
      <c r="S3587" s="81" t="e">
        <f>HLOOKUP(L3587,データについて!$J$6:$M$18,13,FALSE)</f>
        <v>#N/A</v>
      </c>
      <c r="T3587" s="81" t="e">
        <f>HLOOKUP(M3587,データについて!$J$7:$M$18,12,FALSE)</f>
        <v>#N/A</v>
      </c>
      <c r="U3587" s="81" t="e">
        <f>HLOOKUP(N3587,データについて!$J$8:$M$18,11,FALSE)</f>
        <v>#N/A</v>
      </c>
      <c r="V3587" s="81" t="e">
        <f>HLOOKUP(O3587,データについて!$J$9:$M$18,10,FALSE)</f>
        <v>#N/A</v>
      </c>
      <c r="W3587" s="81" t="e">
        <f>HLOOKUP(P3587,データについて!$J$10:$M$18,9,FALSE)</f>
        <v>#N/A</v>
      </c>
      <c r="X3587" s="81" t="e">
        <f>HLOOKUP(Q3587,データについて!$J$11:$M$18,8,FALSE)</f>
        <v>#N/A</v>
      </c>
      <c r="Y3587" s="81" t="e">
        <f>HLOOKUP(R3587,データについて!$J$12:$M$18,7,FALSE)</f>
        <v>#N/A</v>
      </c>
      <c r="Z3587" s="81" t="e">
        <f>HLOOKUP(I3587,データについて!$J$3:$M$18,16,FALSE)</f>
        <v>#N/A</v>
      </c>
      <c r="AA3587" s="81" t="str">
        <f>IFERROR(HLOOKUP(J3587,データについて!$J$4:$AH$19,16,FALSE),"")</f>
        <v/>
      </c>
      <c r="AB3587" s="81" t="str">
        <f>IFERROR(HLOOKUP(K3587,データについて!$J$5:$AH$20,14,FALSE),"")</f>
        <v/>
      </c>
      <c r="AC3587" s="81" t="e">
        <f>IF(X3587=1,HLOOKUP(R3587,データについて!$J$12:$M$18,7,FALSE),"*")</f>
        <v>#N/A</v>
      </c>
      <c r="AD3587" s="81" t="e">
        <f>IF(X3587=2,HLOOKUP(R3587,データについて!$J$12:$M$18,7,FALSE),"*")</f>
        <v>#N/A</v>
      </c>
    </row>
    <row r="3588" spans="19:30">
      <c r="S3588" s="81" t="e">
        <f>HLOOKUP(L3588,データについて!$J$6:$M$18,13,FALSE)</f>
        <v>#N/A</v>
      </c>
      <c r="T3588" s="81" t="e">
        <f>HLOOKUP(M3588,データについて!$J$7:$M$18,12,FALSE)</f>
        <v>#N/A</v>
      </c>
      <c r="U3588" s="81" t="e">
        <f>HLOOKUP(N3588,データについて!$J$8:$M$18,11,FALSE)</f>
        <v>#N/A</v>
      </c>
      <c r="V3588" s="81" t="e">
        <f>HLOOKUP(O3588,データについて!$J$9:$M$18,10,FALSE)</f>
        <v>#N/A</v>
      </c>
      <c r="W3588" s="81" t="e">
        <f>HLOOKUP(P3588,データについて!$J$10:$M$18,9,FALSE)</f>
        <v>#N/A</v>
      </c>
      <c r="X3588" s="81" t="e">
        <f>HLOOKUP(Q3588,データについて!$J$11:$M$18,8,FALSE)</f>
        <v>#N/A</v>
      </c>
      <c r="Y3588" s="81" t="e">
        <f>HLOOKUP(R3588,データについて!$J$12:$M$18,7,FALSE)</f>
        <v>#N/A</v>
      </c>
      <c r="Z3588" s="81" t="e">
        <f>HLOOKUP(I3588,データについて!$J$3:$M$18,16,FALSE)</f>
        <v>#N/A</v>
      </c>
      <c r="AA3588" s="81" t="str">
        <f>IFERROR(HLOOKUP(J3588,データについて!$J$4:$AH$19,16,FALSE),"")</f>
        <v/>
      </c>
      <c r="AB3588" s="81" t="str">
        <f>IFERROR(HLOOKUP(K3588,データについて!$J$5:$AH$20,14,FALSE),"")</f>
        <v/>
      </c>
      <c r="AC3588" s="81" t="e">
        <f>IF(X3588=1,HLOOKUP(R3588,データについて!$J$12:$M$18,7,FALSE),"*")</f>
        <v>#N/A</v>
      </c>
      <c r="AD3588" s="81" t="e">
        <f>IF(X3588=2,HLOOKUP(R3588,データについて!$J$12:$M$18,7,FALSE),"*")</f>
        <v>#N/A</v>
      </c>
    </row>
    <row r="3589" spans="19:30">
      <c r="S3589" s="81" t="e">
        <f>HLOOKUP(L3589,データについて!$J$6:$M$18,13,FALSE)</f>
        <v>#N/A</v>
      </c>
      <c r="T3589" s="81" t="e">
        <f>HLOOKUP(M3589,データについて!$J$7:$M$18,12,FALSE)</f>
        <v>#N/A</v>
      </c>
      <c r="U3589" s="81" t="e">
        <f>HLOOKUP(N3589,データについて!$J$8:$M$18,11,FALSE)</f>
        <v>#N/A</v>
      </c>
      <c r="V3589" s="81" t="e">
        <f>HLOOKUP(O3589,データについて!$J$9:$M$18,10,FALSE)</f>
        <v>#N/A</v>
      </c>
      <c r="W3589" s="81" t="e">
        <f>HLOOKUP(P3589,データについて!$J$10:$M$18,9,FALSE)</f>
        <v>#N/A</v>
      </c>
      <c r="X3589" s="81" t="e">
        <f>HLOOKUP(Q3589,データについて!$J$11:$M$18,8,FALSE)</f>
        <v>#N/A</v>
      </c>
      <c r="Y3589" s="81" t="e">
        <f>HLOOKUP(R3589,データについて!$J$12:$M$18,7,FALSE)</f>
        <v>#N/A</v>
      </c>
      <c r="Z3589" s="81" t="e">
        <f>HLOOKUP(I3589,データについて!$J$3:$M$18,16,FALSE)</f>
        <v>#N/A</v>
      </c>
      <c r="AA3589" s="81" t="str">
        <f>IFERROR(HLOOKUP(J3589,データについて!$J$4:$AH$19,16,FALSE),"")</f>
        <v/>
      </c>
      <c r="AB3589" s="81" t="str">
        <f>IFERROR(HLOOKUP(K3589,データについて!$J$5:$AH$20,14,FALSE),"")</f>
        <v/>
      </c>
      <c r="AC3589" s="81" t="e">
        <f>IF(X3589=1,HLOOKUP(R3589,データについて!$J$12:$M$18,7,FALSE),"*")</f>
        <v>#N/A</v>
      </c>
      <c r="AD3589" s="81" t="e">
        <f>IF(X3589=2,HLOOKUP(R3589,データについて!$J$12:$M$18,7,FALSE),"*")</f>
        <v>#N/A</v>
      </c>
    </row>
    <row r="3590" spans="19:30">
      <c r="S3590" s="81" t="e">
        <f>HLOOKUP(L3590,データについて!$J$6:$M$18,13,FALSE)</f>
        <v>#N/A</v>
      </c>
      <c r="T3590" s="81" t="e">
        <f>HLOOKUP(M3590,データについて!$J$7:$M$18,12,FALSE)</f>
        <v>#N/A</v>
      </c>
      <c r="U3590" s="81" t="e">
        <f>HLOOKUP(N3590,データについて!$J$8:$M$18,11,FALSE)</f>
        <v>#N/A</v>
      </c>
      <c r="V3590" s="81" t="e">
        <f>HLOOKUP(O3590,データについて!$J$9:$M$18,10,FALSE)</f>
        <v>#N/A</v>
      </c>
      <c r="W3590" s="81" t="e">
        <f>HLOOKUP(P3590,データについて!$J$10:$M$18,9,FALSE)</f>
        <v>#N/A</v>
      </c>
      <c r="X3590" s="81" t="e">
        <f>HLOOKUP(Q3590,データについて!$J$11:$M$18,8,FALSE)</f>
        <v>#N/A</v>
      </c>
      <c r="Y3590" s="81" t="e">
        <f>HLOOKUP(R3590,データについて!$J$12:$M$18,7,FALSE)</f>
        <v>#N/A</v>
      </c>
      <c r="Z3590" s="81" t="e">
        <f>HLOOKUP(I3590,データについて!$J$3:$M$18,16,FALSE)</f>
        <v>#N/A</v>
      </c>
      <c r="AA3590" s="81" t="str">
        <f>IFERROR(HLOOKUP(J3590,データについて!$J$4:$AH$19,16,FALSE),"")</f>
        <v/>
      </c>
      <c r="AB3590" s="81" t="str">
        <f>IFERROR(HLOOKUP(K3590,データについて!$J$5:$AH$20,14,FALSE),"")</f>
        <v/>
      </c>
      <c r="AC3590" s="81" t="e">
        <f>IF(X3590=1,HLOOKUP(R3590,データについて!$J$12:$M$18,7,FALSE),"*")</f>
        <v>#N/A</v>
      </c>
      <c r="AD3590" s="81" t="e">
        <f>IF(X3590=2,HLOOKUP(R3590,データについて!$J$12:$M$18,7,FALSE),"*")</f>
        <v>#N/A</v>
      </c>
    </row>
    <row r="3591" spans="19:30">
      <c r="S3591" s="81" t="e">
        <f>HLOOKUP(L3591,データについて!$J$6:$M$18,13,FALSE)</f>
        <v>#N/A</v>
      </c>
      <c r="T3591" s="81" t="e">
        <f>HLOOKUP(M3591,データについて!$J$7:$M$18,12,FALSE)</f>
        <v>#N/A</v>
      </c>
      <c r="U3591" s="81" t="e">
        <f>HLOOKUP(N3591,データについて!$J$8:$M$18,11,FALSE)</f>
        <v>#N/A</v>
      </c>
      <c r="V3591" s="81" t="e">
        <f>HLOOKUP(O3591,データについて!$J$9:$M$18,10,FALSE)</f>
        <v>#N/A</v>
      </c>
      <c r="W3591" s="81" t="e">
        <f>HLOOKUP(P3591,データについて!$J$10:$M$18,9,FALSE)</f>
        <v>#N/A</v>
      </c>
      <c r="X3591" s="81" t="e">
        <f>HLOOKUP(Q3591,データについて!$J$11:$M$18,8,FALSE)</f>
        <v>#N/A</v>
      </c>
      <c r="Y3591" s="81" t="e">
        <f>HLOOKUP(R3591,データについて!$J$12:$M$18,7,FALSE)</f>
        <v>#N/A</v>
      </c>
      <c r="Z3591" s="81" t="e">
        <f>HLOOKUP(I3591,データについて!$J$3:$M$18,16,FALSE)</f>
        <v>#N/A</v>
      </c>
      <c r="AA3591" s="81" t="str">
        <f>IFERROR(HLOOKUP(J3591,データについて!$J$4:$AH$19,16,FALSE),"")</f>
        <v/>
      </c>
      <c r="AB3591" s="81" t="str">
        <f>IFERROR(HLOOKUP(K3591,データについて!$J$5:$AH$20,14,FALSE),"")</f>
        <v/>
      </c>
      <c r="AC3591" s="81" t="e">
        <f>IF(X3591=1,HLOOKUP(R3591,データについて!$J$12:$M$18,7,FALSE),"*")</f>
        <v>#N/A</v>
      </c>
      <c r="AD3591" s="81" t="e">
        <f>IF(X3591=2,HLOOKUP(R3591,データについて!$J$12:$M$18,7,FALSE),"*")</f>
        <v>#N/A</v>
      </c>
    </row>
    <row r="3592" spans="19:30">
      <c r="S3592" s="81" t="e">
        <f>HLOOKUP(L3592,データについて!$J$6:$M$18,13,FALSE)</f>
        <v>#N/A</v>
      </c>
      <c r="T3592" s="81" t="e">
        <f>HLOOKUP(M3592,データについて!$J$7:$M$18,12,FALSE)</f>
        <v>#N/A</v>
      </c>
      <c r="U3592" s="81" t="e">
        <f>HLOOKUP(N3592,データについて!$J$8:$M$18,11,FALSE)</f>
        <v>#N/A</v>
      </c>
      <c r="V3592" s="81" t="e">
        <f>HLOOKUP(O3592,データについて!$J$9:$M$18,10,FALSE)</f>
        <v>#N/A</v>
      </c>
      <c r="W3592" s="81" t="e">
        <f>HLOOKUP(P3592,データについて!$J$10:$M$18,9,FALSE)</f>
        <v>#N/A</v>
      </c>
      <c r="X3592" s="81" t="e">
        <f>HLOOKUP(Q3592,データについて!$J$11:$M$18,8,FALSE)</f>
        <v>#N/A</v>
      </c>
      <c r="Y3592" s="81" t="e">
        <f>HLOOKUP(R3592,データについて!$J$12:$M$18,7,FALSE)</f>
        <v>#N/A</v>
      </c>
      <c r="Z3592" s="81" t="e">
        <f>HLOOKUP(I3592,データについて!$J$3:$M$18,16,FALSE)</f>
        <v>#N/A</v>
      </c>
      <c r="AA3592" s="81" t="str">
        <f>IFERROR(HLOOKUP(J3592,データについて!$J$4:$AH$19,16,FALSE),"")</f>
        <v/>
      </c>
      <c r="AB3592" s="81" t="str">
        <f>IFERROR(HLOOKUP(K3592,データについて!$J$5:$AH$20,14,FALSE),"")</f>
        <v/>
      </c>
      <c r="AC3592" s="81" t="e">
        <f>IF(X3592=1,HLOOKUP(R3592,データについて!$J$12:$M$18,7,FALSE),"*")</f>
        <v>#N/A</v>
      </c>
      <c r="AD3592" s="81" t="e">
        <f>IF(X3592=2,HLOOKUP(R3592,データについて!$J$12:$M$18,7,FALSE),"*")</f>
        <v>#N/A</v>
      </c>
    </row>
    <row r="3593" spans="19:30">
      <c r="S3593" s="81" t="e">
        <f>HLOOKUP(L3593,データについて!$J$6:$M$18,13,FALSE)</f>
        <v>#N/A</v>
      </c>
      <c r="T3593" s="81" t="e">
        <f>HLOOKUP(M3593,データについて!$J$7:$M$18,12,FALSE)</f>
        <v>#N/A</v>
      </c>
      <c r="U3593" s="81" t="e">
        <f>HLOOKUP(N3593,データについて!$J$8:$M$18,11,FALSE)</f>
        <v>#N/A</v>
      </c>
      <c r="V3593" s="81" t="e">
        <f>HLOOKUP(O3593,データについて!$J$9:$M$18,10,FALSE)</f>
        <v>#N/A</v>
      </c>
      <c r="W3593" s="81" t="e">
        <f>HLOOKUP(P3593,データについて!$J$10:$M$18,9,FALSE)</f>
        <v>#N/A</v>
      </c>
      <c r="X3593" s="81" t="e">
        <f>HLOOKUP(Q3593,データについて!$J$11:$M$18,8,FALSE)</f>
        <v>#N/A</v>
      </c>
      <c r="Y3593" s="81" t="e">
        <f>HLOOKUP(R3593,データについて!$J$12:$M$18,7,FALSE)</f>
        <v>#N/A</v>
      </c>
      <c r="Z3593" s="81" t="e">
        <f>HLOOKUP(I3593,データについて!$J$3:$M$18,16,FALSE)</f>
        <v>#N/A</v>
      </c>
      <c r="AA3593" s="81" t="str">
        <f>IFERROR(HLOOKUP(J3593,データについて!$J$4:$AH$19,16,FALSE),"")</f>
        <v/>
      </c>
      <c r="AB3593" s="81" t="str">
        <f>IFERROR(HLOOKUP(K3593,データについて!$J$5:$AH$20,14,FALSE),"")</f>
        <v/>
      </c>
      <c r="AC3593" s="81" t="e">
        <f>IF(X3593=1,HLOOKUP(R3593,データについて!$J$12:$M$18,7,FALSE),"*")</f>
        <v>#N/A</v>
      </c>
      <c r="AD3593" s="81" t="e">
        <f>IF(X3593=2,HLOOKUP(R3593,データについて!$J$12:$M$18,7,FALSE),"*")</f>
        <v>#N/A</v>
      </c>
    </row>
    <row r="3594" spans="19:30">
      <c r="S3594" s="81" t="e">
        <f>HLOOKUP(L3594,データについて!$J$6:$M$18,13,FALSE)</f>
        <v>#N/A</v>
      </c>
      <c r="T3594" s="81" t="e">
        <f>HLOOKUP(M3594,データについて!$J$7:$M$18,12,FALSE)</f>
        <v>#N/A</v>
      </c>
      <c r="U3594" s="81" t="e">
        <f>HLOOKUP(N3594,データについて!$J$8:$M$18,11,FALSE)</f>
        <v>#N/A</v>
      </c>
      <c r="V3594" s="81" t="e">
        <f>HLOOKUP(O3594,データについて!$J$9:$M$18,10,FALSE)</f>
        <v>#N/A</v>
      </c>
      <c r="W3594" s="81" t="e">
        <f>HLOOKUP(P3594,データについて!$J$10:$M$18,9,FALSE)</f>
        <v>#N/A</v>
      </c>
      <c r="X3594" s="81" t="e">
        <f>HLOOKUP(Q3594,データについて!$J$11:$M$18,8,FALSE)</f>
        <v>#N/A</v>
      </c>
      <c r="Y3594" s="81" t="e">
        <f>HLOOKUP(R3594,データについて!$J$12:$M$18,7,FALSE)</f>
        <v>#N/A</v>
      </c>
      <c r="Z3594" s="81" t="e">
        <f>HLOOKUP(I3594,データについて!$J$3:$M$18,16,FALSE)</f>
        <v>#N/A</v>
      </c>
      <c r="AA3594" s="81" t="str">
        <f>IFERROR(HLOOKUP(J3594,データについて!$J$4:$AH$19,16,FALSE),"")</f>
        <v/>
      </c>
      <c r="AB3594" s="81" t="str">
        <f>IFERROR(HLOOKUP(K3594,データについて!$J$5:$AH$20,14,FALSE),"")</f>
        <v/>
      </c>
      <c r="AC3594" s="81" t="e">
        <f>IF(X3594=1,HLOOKUP(R3594,データについて!$J$12:$M$18,7,FALSE),"*")</f>
        <v>#N/A</v>
      </c>
      <c r="AD3594" s="81" t="e">
        <f>IF(X3594=2,HLOOKUP(R3594,データについて!$J$12:$M$18,7,FALSE),"*")</f>
        <v>#N/A</v>
      </c>
    </row>
    <row r="3595" spans="19:30">
      <c r="S3595" s="81" t="e">
        <f>HLOOKUP(L3595,データについて!$J$6:$M$18,13,FALSE)</f>
        <v>#N/A</v>
      </c>
      <c r="T3595" s="81" t="e">
        <f>HLOOKUP(M3595,データについて!$J$7:$M$18,12,FALSE)</f>
        <v>#N/A</v>
      </c>
      <c r="U3595" s="81" t="e">
        <f>HLOOKUP(N3595,データについて!$J$8:$M$18,11,FALSE)</f>
        <v>#N/A</v>
      </c>
      <c r="V3595" s="81" t="e">
        <f>HLOOKUP(O3595,データについて!$J$9:$M$18,10,FALSE)</f>
        <v>#N/A</v>
      </c>
      <c r="W3595" s="81" t="e">
        <f>HLOOKUP(P3595,データについて!$J$10:$M$18,9,FALSE)</f>
        <v>#N/A</v>
      </c>
      <c r="X3595" s="81" t="e">
        <f>HLOOKUP(Q3595,データについて!$J$11:$M$18,8,FALSE)</f>
        <v>#N/A</v>
      </c>
      <c r="Y3595" s="81" t="e">
        <f>HLOOKUP(R3595,データについて!$J$12:$M$18,7,FALSE)</f>
        <v>#N/A</v>
      </c>
      <c r="Z3595" s="81" t="e">
        <f>HLOOKUP(I3595,データについて!$J$3:$M$18,16,FALSE)</f>
        <v>#N/A</v>
      </c>
      <c r="AA3595" s="81" t="str">
        <f>IFERROR(HLOOKUP(J3595,データについて!$J$4:$AH$19,16,FALSE),"")</f>
        <v/>
      </c>
      <c r="AB3595" s="81" t="str">
        <f>IFERROR(HLOOKUP(K3595,データについて!$J$5:$AH$20,14,FALSE),"")</f>
        <v/>
      </c>
      <c r="AC3595" s="81" t="e">
        <f>IF(X3595=1,HLOOKUP(R3595,データについて!$J$12:$M$18,7,FALSE),"*")</f>
        <v>#N/A</v>
      </c>
      <c r="AD3595" s="81" t="e">
        <f>IF(X3595=2,HLOOKUP(R3595,データについて!$J$12:$M$18,7,FALSE),"*")</f>
        <v>#N/A</v>
      </c>
    </row>
    <row r="3596" spans="19:30">
      <c r="S3596" s="81" t="e">
        <f>HLOOKUP(L3596,データについて!$J$6:$M$18,13,FALSE)</f>
        <v>#N/A</v>
      </c>
      <c r="T3596" s="81" t="e">
        <f>HLOOKUP(M3596,データについて!$J$7:$M$18,12,FALSE)</f>
        <v>#N/A</v>
      </c>
      <c r="U3596" s="81" t="e">
        <f>HLOOKUP(N3596,データについて!$J$8:$M$18,11,FALSE)</f>
        <v>#N/A</v>
      </c>
      <c r="V3596" s="81" t="e">
        <f>HLOOKUP(O3596,データについて!$J$9:$M$18,10,FALSE)</f>
        <v>#N/A</v>
      </c>
      <c r="W3596" s="81" t="e">
        <f>HLOOKUP(P3596,データについて!$J$10:$M$18,9,FALSE)</f>
        <v>#N/A</v>
      </c>
      <c r="X3596" s="81" t="e">
        <f>HLOOKUP(Q3596,データについて!$J$11:$M$18,8,FALSE)</f>
        <v>#N/A</v>
      </c>
      <c r="Y3596" s="81" t="e">
        <f>HLOOKUP(R3596,データについて!$J$12:$M$18,7,FALSE)</f>
        <v>#N/A</v>
      </c>
      <c r="Z3596" s="81" t="e">
        <f>HLOOKUP(I3596,データについて!$J$3:$M$18,16,FALSE)</f>
        <v>#N/A</v>
      </c>
      <c r="AA3596" s="81" t="str">
        <f>IFERROR(HLOOKUP(J3596,データについて!$J$4:$AH$19,16,FALSE),"")</f>
        <v/>
      </c>
      <c r="AB3596" s="81" t="str">
        <f>IFERROR(HLOOKUP(K3596,データについて!$J$5:$AH$20,14,FALSE),"")</f>
        <v/>
      </c>
      <c r="AC3596" s="81" t="e">
        <f>IF(X3596=1,HLOOKUP(R3596,データについて!$J$12:$M$18,7,FALSE),"*")</f>
        <v>#N/A</v>
      </c>
      <c r="AD3596" s="81" t="e">
        <f>IF(X3596=2,HLOOKUP(R3596,データについて!$J$12:$M$18,7,FALSE),"*")</f>
        <v>#N/A</v>
      </c>
    </row>
    <row r="3597" spans="19:30">
      <c r="S3597" s="81" t="e">
        <f>HLOOKUP(L3597,データについて!$J$6:$M$18,13,FALSE)</f>
        <v>#N/A</v>
      </c>
      <c r="T3597" s="81" t="e">
        <f>HLOOKUP(M3597,データについて!$J$7:$M$18,12,FALSE)</f>
        <v>#N/A</v>
      </c>
      <c r="U3597" s="81" t="e">
        <f>HLOOKUP(N3597,データについて!$J$8:$M$18,11,FALSE)</f>
        <v>#N/A</v>
      </c>
      <c r="V3597" s="81" t="e">
        <f>HLOOKUP(O3597,データについて!$J$9:$M$18,10,FALSE)</f>
        <v>#N/A</v>
      </c>
      <c r="W3597" s="81" t="e">
        <f>HLOOKUP(P3597,データについて!$J$10:$M$18,9,FALSE)</f>
        <v>#N/A</v>
      </c>
      <c r="X3597" s="81" t="e">
        <f>HLOOKUP(Q3597,データについて!$J$11:$M$18,8,FALSE)</f>
        <v>#N/A</v>
      </c>
      <c r="Y3597" s="81" t="e">
        <f>HLOOKUP(R3597,データについて!$J$12:$M$18,7,FALSE)</f>
        <v>#N/A</v>
      </c>
      <c r="Z3597" s="81" t="e">
        <f>HLOOKUP(I3597,データについて!$J$3:$M$18,16,FALSE)</f>
        <v>#N/A</v>
      </c>
      <c r="AA3597" s="81" t="str">
        <f>IFERROR(HLOOKUP(J3597,データについて!$J$4:$AH$19,16,FALSE),"")</f>
        <v/>
      </c>
      <c r="AB3597" s="81" t="str">
        <f>IFERROR(HLOOKUP(K3597,データについて!$J$5:$AH$20,14,FALSE),"")</f>
        <v/>
      </c>
      <c r="AC3597" s="81" t="e">
        <f>IF(X3597=1,HLOOKUP(R3597,データについて!$J$12:$M$18,7,FALSE),"*")</f>
        <v>#N/A</v>
      </c>
      <c r="AD3597" s="81" t="e">
        <f>IF(X3597=2,HLOOKUP(R3597,データについて!$J$12:$M$18,7,FALSE),"*")</f>
        <v>#N/A</v>
      </c>
    </row>
    <row r="3598" spans="19:30">
      <c r="S3598" s="81" t="e">
        <f>HLOOKUP(L3598,データについて!$J$6:$M$18,13,FALSE)</f>
        <v>#N/A</v>
      </c>
      <c r="T3598" s="81" t="e">
        <f>HLOOKUP(M3598,データについて!$J$7:$M$18,12,FALSE)</f>
        <v>#N/A</v>
      </c>
      <c r="U3598" s="81" t="e">
        <f>HLOOKUP(N3598,データについて!$J$8:$M$18,11,FALSE)</f>
        <v>#N/A</v>
      </c>
      <c r="V3598" s="81" t="e">
        <f>HLOOKUP(O3598,データについて!$J$9:$M$18,10,FALSE)</f>
        <v>#N/A</v>
      </c>
      <c r="W3598" s="81" t="e">
        <f>HLOOKUP(P3598,データについて!$J$10:$M$18,9,FALSE)</f>
        <v>#N/A</v>
      </c>
      <c r="X3598" s="81" t="e">
        <f>HLOOKUP(Q3598,データについて!$J$11:$M$18,8,FALSE)</f>
        <v>#N/A</v>
      </c>
      <c r="Y3598" s="81" t="e">
        <f>HLOOKUP(R3598,データについて!$J$12:$M$18,7,FALSE)</f>
        <v>#N/A</v>
      </c>
      <c r="Z3598" s="81" t="e">
        <f>HLOOKUP(I3598,データについて!$J$3:$M$18,16,FALSE)</f>
        <v>#N/A</v>
      </c>
      <c r="AA3598" s="81" t="str">
        <f>IFERROR(HLOOKUP(J3598,データについて!$J$4:$AH$19,16,FALSE),"")</f>
        <v/>
      </c>
      <c r="AB3598" s="81" t="str">
        <f>IFERROR(HLOOKUP(K3598,データについて!$J$5:$AH$20,14,FALSE),"")</f>
        <v/>
      </c>
      <c r="AC3598" s="81" t="e">
        <f>IF(X3598=1,HLOOKUP(R3598,データについて!$J$12:$M$18,7,FALSE),"*")</f>
        <v>#N/A</v>
      </c>
      <c r="AD3598" s="81" t="e">
        <f>IF(X3598=2,HLOOKUP(R3598,データについて!$J$12:$M$18,7,FALSE),"*")</f>
        <v>#N/A</v>
      </c>
    </row>
    <row r="3599" spans="19:30">
      <c r="S3599" s="81" t="e">
        <f>HLOOKUP(L3599,データについて!$J$6:$M$18,13,FALSE)</f>
        <v>#N/A</v>
      </c>
      <c r="T3599" s="81" t="e">
        <f>HLOOKUP(M3599,データについて!$J$7:$M$18,12,FALSE)</f>
        <v>#N/A</v>
      </c>
      <c r="U3599" s="81" t="e">
        <f>HLOOKUP(N3599,データについて!$J$8:$M$18,11,FALSE)</f>
        <v>#N/A</v>
      </c>
      <c r="V3599" s="81" t="e">
        <f>HLOOKUP(O3599,データについて!$J$9:$M$18,10,FALSE)</f>
        <v>#N/A</v>
      </c>
      <c r="W3599" s="81" t="e">
        <f>HLOOKUP(P3599,データについて!$J$10:$M$18,9,FALSE)</f>
        <v>#N/A</v>
      </c>
      <c r="X3599" s="81" t="e">
        <f>HLOOKUP(Q3599,データについて!$J$11:$M$18,8,FALSE)</f>
        <v>#N/A</v>
      </c>
      <c r="Y3599" s="81" t="e">
        <f>HLOOKUP(R3599,データについて!$J$12:$M$18,7,FALSE)</f>
        <v>#N/A</v>
      </c>
      <c r="Z3599" s="81" t="e">
        <f>HLOOKUP(I3599,データについて!$J$3:$M$18,16,FALSE)</f>
        <v>#N/A</v>
      </c>
      <c r="AA3599" s="81" t="str">
        <f>IFERROR(HLOOKUP(J3599,データについて!$J$4:$AH$19,16,FALSE),"")</f>
        <v/>
      </c>
      <c r="AB3599" s="81" t="str">
        <f>IFERROR(HLOOKUP(K3599,データについて!$J$5:$AH$20,14,FALSE),"")</f>
        <v/>
      </c>
      <c r="AC3599" s="81" t="e">
        <f>IF(X3599=1,HLOOKUP(R3599,データについて!$J$12:$M$18,7,FALSE),"*")</f>
        <v>#N/A</v>
      </c>
      <c r="AD3599" s="81" t="e">
        <f>IF(X3599=2,HLOOKUP(R3599,データについて!$J$12:$M$18,7,FALSE),"*")</f>
        <v>#N/A</v>
      </c>
    </row>
    <row r="3600" spans="19:30">
      <c r="S3600" s="81" t="e">
        <f>HLOOKUP(L3600,データについて!$J$6:$M$18,13,FALSE)</f>
        <v>#N/A</v>
      </c>
      <c r="T3600" s="81" t="e">
        <f>HLOOKUP(M3600,データについて!$J$7:$M$18,12,FALSE)</f>
        <v>#N/A</v>
      </c>
      <c r="U3600" s="81" t="e">
        <f>HLOOKUP(N3600,データについて!$J$8:$M$18,11,FALSE)</f>
        <v>#N/A</v>
      </c>
      <c r="V3600" s="81" t="e">
        <f>HLOOKUP(O3600,データについて!$J$9:$M$18,10,FALSE)</f>
        <v>#N/A</v>
      </c>
      <c r="W3600" s="81" t="e">
        <f>HLOOKUP(P3600,データについて!$J$10:$M$18,9,FALSE)</f>
        <v>#N/A</v>
      </c>
      <c r="X3600" s="81" t="e">
        <f>HLOOKUP(Q3600,データについて!$J$11:$M$18,8,FALSE)</f>
        <v>#N/A</v>
      </c>
      <c r="Y3600" s="81" t="e">
        <f>HLOOKUP(R3600,データについて!$J$12:$M$18,7,FALSE)</f>
        <v>#N/A</v>
      </c>
      <c r="Z3600" s="81" t="e">
        <f>HLOOKUP(I3600,データについて!$J$3:$M$18,16,FALSE)</f>
        <v>#N/A</v>
      </c>
      <c r="AA3600" s="81" t="str">
        <f>IFERROR(HLOOKUP(J3600,データについて!$J$4:$AH$19,16,FALSE),"")</f>
        <v/>
      </c>
      <c r="AB3600" s="81" t="str">
        <f>IFERROR(HLOOKUP(K3600,データについて!$J$5:$AH$20,14,FALSE),"")</f>
        <v/>
      </c>
      <c r="AC3600" s="81" t="e">
        <f>IF(X3600=1,HLOOKUP(R3600,データについて!$J$12:$M$18,7,FALSE),"*")</f>
        <v>#N/A</v>
      </c>
      <c r="AD3600" s="81" t="e">
        <f>IF(X3600=2,HLOOKUP(R3600,データについて!$J$12:$M$18,7,FALSE),"*")</f>
        <v>#N/A</v>
      </c>
    </row>
    <row r="3601" spans="19:30">
      <c r="S3601" s="81" t="e">
        <f>HLOOKUP(L3601,データについて!$J$6:$M$18,13,FALSE)</f>
        <v>#N/A</v>
      </c>
      <c r="T3601" s="81" t="e">
        <f>HLOOKUP(M3601,データについて!$J$7:$M$18,12,FALSE)</f>
        <v>#N/A</v>
      </c>
      <c r="U3601" s="81" t="e">
        <f>HLOOKUP(N3601,データについて!$J$8:$M$18,11,FALSE)</f>
        <v>#N/A</v>
      </c>
      <c r="V3601" s="81" t="e">
        <f>HLOOKUP(O3601,データについて!$J$9:$M$18,10,FALSE)</f>
        <v>#N/A</v>
      </c>
      <c r="W3601" s="81" t="e">
        <f>HLOOKUP(P3601,データについて!$J$10:$M$18,9,FALSE)</f>
        <v>#N/A</v>
      </c>
      <c r="X3601" s="81" t="e">
        <f>HLOOKUP(Q3601,データについて!$J$11:$M$18,8,FALSE)</f>
        <v>#N/A</v>
      </c>
      <c r="Y3601" s="81" t="e">
        <f>HLOOKUP(R3601,データについて!$J$12:$M$18,7,FALSE)</f>
        <v>#N/A</v>
      </c>
      <c r="Z3601" s="81" t="e">
        <f>HLOOKUP(I3601,データについて!$J$3:$M$18,16,FALSE)</f>
        <v>#N/A</v>
      </c>
      <c r="AA3601" s="81" t="str">
        <f>IFERROR(HLOOKUP(J3601,データについて!$J$4:$AH$19,16,FALSE),"")</f>
        <v/>
      </c>
      <c r="AB3601" s="81" t="str">
        <f>IFERROR(HLOOKUP(K3601,データについて!$J$5:$AH$20,14,FALSE),"")</f>
        <v/>
      </c>
      <c r="AC3601" s="81" t="e">
        <f>IF(X3601=1,HLOOKUP(R3601,データについて!$J$12:$M$18,7,FALSE),"*")</f>
        <v>#N/A</v>
      </c>
      <c r="AD3601" s="81" t="e">
        <f>IF(X3601=2,HLOOKUP(R3601,データについて!$J$12:$M$18,7,FALSE),"*")</f>
        <v>#N/A</v>
      </c>
    </row>
    <row r="3602" spans="19:30">
      <c r="S3602" s="81" t="e">
        <f>HLOOKUP(L3602,データについて!$J$6:$M$18,13,FALSE)</f>
        <v>#N/A</v>
      </c>
      <c r="T3602" s="81" t="e">
        <f>HLOOKUP(M3602,データについて!$J$7:$M$18,12,FALSE)</f>
        <v>#N/A</v>
      </c>
      <c r="U3602" s="81" t="e">
        <f>HLOOKUP(N3602,データについて!$J$8:$M$18,11,FALSE)</f>
        <v>#N/A</v>
      </c>
      <c r="V3602" s="81" t="e">
        <f>HLOOKUP(O3602,データについて!$J$9:$M$18,10,FALSE)</f>
        <v>#N/A</v>
      </c>
      <c r="W3602" s="81" t="e">
        <f>HLOOKUP(P3602,データについて!$J$10:$M$18,9,FALSE)</f>
        <v>#N/A</v>
      </c>
      <c r="X3602" s="81" t="e">
        <f>HLOOKUP(Q3602,データについて!$J$11:$M$18,8,FALSE)</f>
        <v>#N/A</v>
      </c>
      <c r="Y3602" s="81" t="e">
        <f>HLOOKUP(R3602,データについて!$J$12:$M$18,7,FALSE)</f>
        <v>#N/A</v>
      </c>
      <c r="Z3602" s="81" t="e">
        <f>HLOOKUP(I3602,データについて!$J$3:$M$18,16,FALSE)</f>
        <v>#N/A</v>
      </c>
      <c r="AA3602" s="81" t="str">
        <f>IFERROR(HLOOKUP(J3602,データについて!$J$4:$AH$19,16,FALSE),"")</f>
        <v/>
      </c>
      <c r="AB3602" s="81" t="str">
        <f>IFERROR(HLOOKUP(K3602,データについて!$J$5:$AH$20,14,FALSE),"")</f>
        <v/>
      </c>
      <c r="AC3602" s="81" t="e">
        <f>IF(X3602=1,HLOOKUP(R3602,データについて!$J$12:$M$18,7,FALSE),"*")</f>
        <v>#N/A</v>
      </c>
      <c r="AD3602" s="81" t="e">
        <f>IF(X3602=2,HLOOKUP(R3602,データについて!$J$12:$M$18,7,FALSE),"*")</f>
        <v>#N/A</v>
      </c>
    </row>
    <row r="3603" spans="19:30">
      <c r="S3603" s="81" t="e">
        <f>HLOOKUP(L3603,データについて!$J$6:$M$18,13,FALSE)</f>
        <v>#N/A</v>
      </c>
      <c r="T3603" s="81" t="e">
        <f>HLOOKUP(M3603,データについて!$J$7:$M$18,12,FALSE)</f>
        <v>#N/A</v>
      </c>
      <c r="U3603" s="81" t="e">
        <f>HLOOKUP(N3603,データについて!$J$8:$M$18,11,FALSE)</f>
        <v>#N/A</v>
      </c>
      <c r="V3603" s="81" t="e">
        <f>HLOOKUP(O3603,データについて!$J$9:$M$18,10,FALSE)</f>
        <v>#N/A</v>
      </c>
      <c r="W3603" s="81" t="e">
        <f>HLOOKUP(P3603,データについて!$J$10:$M$18,9,FALSE)</f>
        <v>#N/A</v>
      </c>
      <c r="X3603" s="81" t="e">
        <f>HLOOKUP(Q3603,データについて!$J$11:$M$18,8,FALSE)</f>
        <v>#N/A</v>
      </c>
      <c r="Y3603" s="81" t="e">
        <f>HLOOKUP(R3603,データについて!$J$12:$M$18,7,FALSE)</f>
        <v>#N/A</v>
      </c>
      <c r="Z3603" s="81" t="e">
        <f>HLOOKUP(I3603,データについて!$J$3:$M$18,16,FALSE)</f>
        <v>#N/A</v>
      </c>
      <c r="AA3603" s="81" t="str">
        <f>IFERROR(HLOOKUP(J3603,データについて!$J$4:$AH$19,16,FALSE),"")</f>
        <v/>
      </c>
      <c r="AB3603" s="81" t="str">
        <f>IFERROR(HLOOKUP(K3603,データについて!$J$5:$AH$20,14,FALSE),"")</f>
        <v/>
      </c>
      <c r="AC3603" s="81" t="e">
        <f>IF(X3603=1,HLOOKUP(R3603,データについて!$J$12:$M$18,7,FALSE),"*")</f>
        <v>#N/A</v>
      </c>
      <c r="AD3603" s="81" t="e">
        <f>IF(X3603=2,HLOOKUP(R3603,データについて!$J$12:$M$18,7,FALSE),"*")</f>
        <v>#N/A</v>
      </c>
    </row>
    <row r="3604" spans="19:30">
      <c r="S3604" s="81" t="e">
        <f>HLOOKUP(L3604,データについて!$J$6:$M$18,13,FALSE)</f>
        <v>#N/A</v>
      </c>
      <c r="T3604" s="81" t="e">
        <f>HLOOKUP(M3604,データについて!$J$7:$M$18,12,FALSE)</f>
        <v>#N/A</v>
      </c>
      <c r="U3604" s="81" t="e">
        <f>HLOOKUP(N3604,データについて!$J$8:$M$18,11,FALSE)</f>
        <v>#N/A</v>
      </c>
      <c r="V3604" s="81" t="e">
        <f>HLOOKUP(O3604,データについて!$J$9:$M$18,10,FALSE)</f>
        <v>#N/A</v>
      </c>
      <c r="W3604" s="81" t="e">
        <f>HLOOKUP(P3604,データについて!$J$10:$M$18,9,FALSE)</f>
        <v>#N/A</v>
      </c>
      <c r="X3604" s="81" t="e">
        <f>HLOOKUP(Q3604,データについて!$J$11:$M$18,8,FALSE)</f>
        <v>#N/A</v>
      </c>
      <c r="Y3604" s="81" t="e">
        <f>HLOOKUP(R3604,データについて!$J$12:$M$18,7,FALSE)</f>
        <v>#N/A</v>
      </c>
      <c r="Z3604" s="81" t="e">
        <f>HLOOKUP(I3604,データについて!$J$3:$M$18,16,FALSE)</f>
        <v>#N/A</v>
      </c>
      <c r="AA3604" s="81" t="str">
        <f>IFERROR(HLOOKUP(J3604,データについて!$J$4:$AH$19,16,FALSE),"")</f>
        <v/>
      </c>
      <c r="AB3604" s="81" t="str">
        <f>IFERROR(HLOOKUP(K3604,データについて!$J$5:$AH$20,14,FALSE),"")</f>
        <v/>
      </c>
      <c r="AC3604" s="81" t="e">
        <f>IF(X3604=1,HLOOKUP(R3604,データについて!$J$12:$M$18,7,FALSE),"*")</f>
        <v>#N/A</v>
      </c>
      <c r="AD3604" s="81" t="e">
        <f>IF(X3604=2,HLOOKUP(R3604,データについて!$J$12:$M$18,7,FALSE),"*")</f>
        <v>#N/A</v>
      </c>
    </row>
    <row r="3605" spans="19:30">
      <c r="S3605" s="81" t="e">
        <f>HLOOKUP(L3605,データについて!$J$6:$M$18,13,FALSE)</f>
        <v>#N/A</v>
      </c>
      <c r="T3605" s="81" t="e">
        <f>HLOOKUP(M3605,データについて!$J$7:$M$18,12,FALSE)</f>
        <v>#N/A</v>
      </c>
      <c r="U3605" s="81" t="e">
        <f>HLOOKUP(N3605,データについて!$J$8:$M$18,11,FALSE)</f>
        <v>#N/A</v>
      </c>
      <c r="V3605" s="81" t="e">
        <f>HLOOKUP(O3605,データについて!$J$9:$M$18,10,FALSE)</f>
        <v>#N/A</v>
      </c>
      <c r="W3605" s="81" t="e">
        <f>HLOOKUP(P3605,データについて!$J$10:$M$18,9,FALSE)</f>
        <v>#N/A</v>
      </c>
      <c r="X3605" s="81" t="e">
        <f>HLOOKUP(Q3605,データについて!$J$11:$M$18,8,FALSE)</f>
        <v>#N/A</v>
      </c>
      <c r="Y3605" s="81" t="e">
        <f>HLOOKUP(R3605,データについて!$J$12:$M$18,7,FALSE)</f>
        <v>#N/A</v>
      </c>
      <c r="Z3605" s="81" t="e">
        <f>HLOOKUP(I3605,データについて!$J$3:$M$18,16,FALSE)</f>
        <v>#N/A</v>
      </c>
      <c r="AA3605" s="81" t="str">
        <f>IFERROR(HLOOKUP(J3605,データについて!$J$4:$AH$19,16,FALSE),"")</f>
        <v/>
      </c>
      <c r="AB3605" s="81" t="str">
        <f>IFERROR(HLOOKUP(K3605,データについて!$J$5:$AH$20,14,FALSE),"")</f>
        <v/>
      </c>
      <c r="AC3605" s="81" t="e">
        <f>IF(X3605=1,HLOOKUP(R3605,データについて!$J$12:$M$18,7,FALSE),"*")</f>
        <v>#N/A</v>
      </c>
      <c r="AD3605" s="81" t="e">
        <f>IF(X3605=2,HLOOKUP(R3605,データについて!$J$12:$M$18,7,FALSE),"*")</f>
        <v>#N/A</v>
      </c>
    </row>
    <row r="3606" spans="19:30">
      <c r="S3606" s="81" t="e">
        <f>HLOOKUP(L3606,データについて!$J$6:$M$18,13,FALSE)</f>
        <v>#N/A</v>
      </c>
      <c r="T3606" s="81" t="e">
        <f>HLOOKUP(M3606,データについて!$J$7:$M$18,12,FALSE)</f>
        <v>#N/A</v>
      </c>
      <c r="U3606" s="81" t="e">
        <f>HLOOKUP(N3606,データについて!$J$8:$M$18,11,FALSE)</f>
        <v>#N/A</v>
      </c>
      <c r="V3606" s="81" t="e">
        <f>HLOOKUP(O3606,データについて!$J$9:$M$18,10,FALSE)</f>
        <v>#N/A</v>
      </c>
      <c r="W3606" s="81" t="e">
        <f>HLOOKUP(P3606,データについて!$J$10:$M$18,9,FALSE)</f>
        <v>#N/A</v>
      </c>
      <c r="X3606" s="81" t="e">
        <f>HLOOKUP(Q3606,データについて!$J$11:$M$18,8,FALSE)</f>
        <v>#N/A</v>
      </c>
      <c r="Y3606" s="81" t="e">
        <f>HLOOKUP(R3606,データについて!$J$12:$M$18,7,FALSE)</f>
        <v>#N/A</v>
      </c>
      <c r="Z3606" s="81" t="e">
        <f>HLOOKUP(I3606,データについて!$J$3:$M$18,16,FALSE)</f>
        <v>#N/A</v>
      </c>
      <c r="AA3606" s="81" t="str">
        <f>IFERROR(HLOOKUP(J3606,データについて!$J$4:$AH$19,16,FALSE),"")</f>
        <v/>
      </c>
      <c r="AB3606" s="81" t="str">
        <f>IFERROR(HLOOKUP(K3606,データについて!$J$5:$AH$20,14,FALSE),"")</f>
        <v/>
      </c>
      <c r="AC3606" s="81" t="e">
        <f>IF(X3606=1,HLOOKUP(R3606,データについて!$J$12:$M$18,7,FALSE),"*")</f>
        <v>#N/A</v>
      </c>
      <c r="AD3606" s="81" t="e">
        <f>IF(X3606=2,HLOOKUP(R3606,データについて!$J$12:$M$18,7,FALSE),"*")</f>
        <v>#N/A</v>
      </c>
    </row>
    <row r="3607" spans="19:30">
      <c r="S3607" s="81" t="e">
        <f>HLOOKUP(L3607,データについて!$J$6:$M$18,13,FALSE)</f>
        <v>#N/A</v>
      </c>
      <c r="T3607" s="81" t="e">
        <f>HLOOKUP(M3607,データについて!$J$7:$M$18,12,FALSE)</f>
        <v>#N/A</v>
      </c>
      <c r="U3607" s="81" t="e">
        <f>HLOOKUP(N3607,データについて!$J$8:$M$18,11,FALSE)</f>
        <v>#N/A</v>
      </c>
      <c r="V3607" s="81" t="e">
        <f>HLOOKUP(O3607,データについて!$J$9:$M$18,10,FALSE)</f>
        <v>#N/A</v>
      </c>
      <c r="W3607" s="81" t="e">
        <f>HLOOKUP(P3607,データについて!$J$10:$M$18,9,FALSE)</f>
        <v>#N/A</v>
      </c>
      <c r="X3607" s="81" t="e">
        <f>HLOOKUP(Q3607,データについて!$J$11:$M$18,8,FALSE)</f>
        <v>#N/A</v>
      </c>
      <c r="Y3607" s="81" t="e">
        <f>HLOOKUP(R3607,データについて!$J$12:$M$18,7,FALSE)</f>
        <v>#N/A</v>
      </c>
      <c r="Z3607" s="81" t="e">
        <f>HLOOKUP(I3607,データについて!$J$3:$M$18,16,FALSE)</f>
        <v>#N/A</v>
      </c>
      <c r="AA3607" s="81" t="str">
        <f>IFERROR(HLOOKUP(J3607,データについて!$J$4:$AH$19,16,FALSE),"")</f>
        <v/>
      </c>
      <c r="AB3607" s="81" t="str">
        <f>IFERROR(HLOOKUP(K3607,データについて!$J$5:$AH$20,14,FALSE),"")</f>
        <v/>
      </c>
      <c r="AC3607" s="81" t="e">
        <f>IF(X3607=1,HLOOKUP(R3607,データについて!$J$12:$M$18,7,FALSE),"*")</f>
        <v>#N/A</v>
      </c>
      <c r="AD3607" s="81" t="e">
        <f>IF(X3607=2,HLOOKUP(R3607,データについて!$J$12:$M$18,7,FALSE),"*")</f>
        <v>#N/A</v>
      </c>
    </row>
    <row r="3608" spans="19:30">
      <c r="S3608" s="81" t="e">
        <f>HLOOKUP(L3608,データについて!$J$6:$M$18,13,FALSE)</f>
        <v>#N/A</v>
      </c>
      <c r="T3608" s="81" t="e">
        <f>HLOOKUP(M3608,データについて!$J$7:$M$18,12,FALSE)</f>
        <v>#N/A</v>
      </c>
      <c r="U3608" s="81" t="e">
        <f>HLOOKUP(N3608,データについて!$J$8:$M$18,11,FALSE)</f>
        <v>#N/A</v>
      </c>
      <c r="V3608" s="81" t="e">
        <f>HLOOKUP(O3608,データについて!$J$9:$M$18,10,FALSE)</f>
        <v>#N/A</v>
      </c>
      <c r="W3608" s="81" t="e">
        <f>HLOOKUP(P3608,データについて!$J$10:$M$18,9,FALSE)</f>
        <v>#N/A</v>
      </c>
      <c r="X3608" s="81" t="e">
        <f>HLOOKUP(Q3608,データについて!$J$11:$M$18,8,FALSE)</f>
        <v>#N/A</v>
      </c>
      <c r="Y3608" s="81" t="e">
        <f>HLOOKUP(R3608,データについて!$J$12:$M$18,7,FALSE)</f>
        <v>#N/A</v>
      </c>
      <c r="Z3608" s="81" t="e">
        <f>HLOOKUP(I3608,データについて!$J$3:$M$18,16,FALSE)</f>
        <v>#N/A</v>
      </c>
      <c r="AA3608" s="81" t="str">
        <f>IFERROR(HLOOKUP(J3608,データについて!$J$4:$AH$19,16,FALSE),"")</f>
        <v/>
      </c>
      <c r="AB3608" s="81" t="str">
        <f>IFERROR(HLOOKUP(K3608,データについて!$J$5:$AH$20,14,FALSE),"")</f>
        <v/>
      </c>
      <c r="AC3608" s="81" t="e">
        <f>IF(X3608=1,HLOOKUP(R3608,データについて!$J$12:$M$18,7,FALSE),"*")</f>
        <v>#N/A</v>
      </c>
      <c r="AD3608" s="81" t="e">
        <f>IF(X3608=2,HLOOKUP(R3608,データについて!$J$12:$M$18,7,FALSE),"*")</f>
        <v>#N/A</v>
      </c>
    </row>
    <row r="3609" spans="19:30">
      <c r="S3609" s="81" t="e">
        <f>HLOOKUP(L3609,データについて!$J$6:$M$18,13,FALSE)</f>
        <v>#N/A</v>
      </c>
      <c r="T3609" s="81" t="e">
        <f>HLOOKUP(M3609,データについて!$J$7:$M$18,12,FALSE)</f>
        <v>#N/A</v>
      </c>
      <c r="U3609" s="81" t="e">
        <f>HLOOKUP(N3609,データについて!$J$8:$M$18,11,FALSE)</f>
        <v>#N/A</v>
      </c>
      <c r="V3609" s="81" t="e">
        <f>HLOOKUP(O3609,データについて!$J$9:$M$18,10,FALSE)</f>
        <v>#N/A</v>
      </c>
      <c r="W3609" s="81" t="e">
        <f>HLOOKUP(P3609,データについて!$J$10:$M$18,9,FALSE)</f>
        <v>#N/A</v>
      </c>
      <c r="X3609" s="81" t="e">
        <f>HLOOKUP(Q3609,データについて!$J$11:$M$18,8,FALSE)</f>
        <v>#N/A</v>
      </c>
      <c r="Y3609" s="81" t="e">
        <f>HLOOKUP(R3609,データについて!$J$12:$M$18,7,FALSE)</f>
        <v>#N/A</v>
      </c>
      <c r="Z3609" s="81" t="e">
        <f>HLOOKUP(I3609,データについて!$J$3:$M$18,16,FALSE)</f>
        <v>#N/A</v>
      </c>
      <c r="AA3609" s="81" t="str">
        <f>IFERROR(HLOOKUP(J3609,データについて!$J$4:$AH$19,16,FALSE),"")</f>
        <v/>
      </c>
      <c r="AB3609" s="81" t="str">
        <f>IFERROR(HLOOKUP(K3609,データについて!$J$5:$AH$20,14,FALSE),"")</f>
        <v/>
      </c>
      <c r="AC3609" s="81" t="e">
        <f>IF(X3609=1,HLOOKUP(R3609,データについて!$J$12:$M$18,7,FALSE),"*")</f>
        <v>#N/A</v>
      </c>
      <c r="AD3609" s="81" t="e">
        <f>IF(X3609=2,HLOOKUP(R3609,データについて!$J$12:$M$18,7,FALSE),"*")</f>
        <v>#N/A</v>
      </c>
    </row>
    <row r="3610" spans="19:30">
      <c r="S3610" s="81" t="e">
        <f>HLOOKUP(L3610,データについて!$J$6:$M$18,13,FALSE)</f>
        <v>#N/A</v>
      </c>
      <c r="T3610" s="81" t="e">
        <f>HLOOKUP(M3610,データについて!$J$7:$M$18,12,FALSE)</f>
        <v>#N/A</v>
      </c>
      <c r="U3610" s="81" t="e">
        <f>HLOOKUP(N3610,データについて!$J$8:$M$18,11,FALSE)</f>
        <v>#N/A</v>
      </c>
      <c r="V3610" s="81" t="e">
        <f>HLOOKUP(O3610,データについて!$J$9:$M$18,10,FALSE)</f>
        <v>#N/A</v>
      </c>
      <c r="W3610" s="81" t="e">
        <f>HLOOKUP(P3610,データについて!$J$10:$M$18,9,FALSE)</f>
        <v>#N/A</v>
      </c>
      <c r="X3610" s="81" t="e">
        <f>HLOOKUP(Q3610,データについて!$J$11:$M$18,8,FALSE)</f>
        <v>#N/A</v>
      </c>
      <c r="Y3610" s="81" t="e">
        <f>HLOOKUP(R3610,データについて!$J$12:$M$18,7,FALSE)</f>
        <v>#N/A</v>
      </c>
      <c r="Z3610" s="81" t="e">
        <f>HLOOKUP(I3610,データについて!$J$3:$M$18,16,FALSE)</f>
        <v>#N/A</v>
      </c>
      <c r="AA3610" s="81" t="str">
        <f>IFERROR(HLOOKUP(J3610,データについて!$J$4:$AH$19,16,FALSE),"")</f>
        <v/>
      </c>
      <c r="AB3610" s="81" t="str">
        <f>IFERROR(HLOOKUP(K3610,データについて!$J$5:$AH$20,14,FALSE),"")</f>
        <v/>
      </c>
      <c r="AC3610" s="81" t="e">
        <f>IF(X3610=1,HLOOKUP(R3610,データについて!$J$12:$M$18,7,FALSE),"*")</f>
        <v>#N/A</v>
      </c>
      <c r="AD3610" s="81" t="e">
        <f>IF(X3610=2,HLOOKUP(R3610,データについて!$J$12:$M$18,7,FALSE),"*")</f>
        <v>#N/A</v>
      </c>
    </row>
    <row r="3611" spans="19:30">
      <c r="S3611" s="81" t="e">
        <f>HLOOKUP(L3611,データについて!$J$6:$M$18,13,FALSE)</f>
        <v>#N/A</v>
      </c>
      <c r="T3611" s="81" t="e">
        <f>HLOOKUP(M3611,データについて!$J$7:$M$18,12,FALSE)</f>
        <v>#N/A</v>
      </c>
      <c r="U3611" s="81" t="e">
        <f>HLOOKUP(N3611,データについて!$J$8:$M$18,11,FALSE)</f>
        <v>#N/A</v>
      </c>
      <c r="V3611" s="81" t="e">
        <f>HLOOKUP(O3611,データについて!$J$9:$M$18,10,FALSE)</f>
        <v>#N/A</v>
      </c>
      <c r="W3611" s="81" t="e">
        <f>HLOOKUP(P3611,データについて!$J$10:$M$18,9,FALSE)</f>
        <v>#N/A</v>
      </c>
      <c r="X3611" s="81" t="e">
        <f>HLOOKUP(Q3611,データについて!$J$11:$M$18,8,FALSE)</f>
        <v>#N/A</v>
      </c>
      <c r="Y3611" s="81" t="e">
        <f>HLOOKUP(R3611,データについて!$J$12:$M$18,7,FALSE)</f>
        <v>#N/A</v>
      </c>
      <c r="Z3611" s="81" t="e">
        <f>HLOOKUP(I3611,データについて!$J$3:$M$18,16,FALSE)</f>
        <v>#N/A</v>
      </c>
      <c r="AA3611" s="81" t="str">
        <f>IFERROR(HLOOKUP(J3611,データについて!$J$4:$AH$19,16,FALSE),"")</f>
        <v/>
      </c>
      <c r="AB3611" s="81" t="str">
        <f>IFERROR(HLOOKUP(K3611,データについて!$J$5:$AH$20,14,FALSE),"")</f>
        <v/>
      </c>
      <c r="AC3611" s="81" t="e">
        <f>IF(X3611=1,HLOOKUP(R3611,データについて!$J$12:$M$18,7,FALSE),"*")</f>
        <v>#N/A</v>
      </c>
      <c r="AD3611" s="81" t="e">
        <f>IF(X3611=2,HLOOKUP(R3611,データについて!$J$12:$M$18,7,FALSE),"*")</f>
        <v>#N/A</v>
      </c>
    </row>
    <row r="3612" spans="19:30">
      <c r="S3612" s="81" t="e">
        <f>HLOOKUP(L3612,データについて!$J$6:$M$18,13,FALSE)</f>
        <v>#N/A</v>
      </c>
      <c r="T3612" s="81" t="e">
        <f>HLOOKUP(M3612,データについて!$J$7:$M$18,12,FALSE)</f>
        <v>#N/A</v>
      </c>
      <c r="U3612" s="81" t="e">
        <f>HLOOKUP(N3612,データについて!$J$8:$M$18,11,FALSE)</f>
        <v>#N/A</v>
      </c>
      <c r="V3612" s="81" t="e">
        <f>HLOOKUP(O3612,データについて!$J$9:$M$18,10,FALSE)</f>
        <v>#N/A</v>
      </c>
      <c r="W3612" s="81" t="e">
        <f>HLOOKUP(P3612,データについて!$J$10:$M$18,9,FALSE)</f>
        <v>#N/A</v>
      </c>
      <c r="X3612" s="81" t="e">
        <f>HLOOKUP(Q3612,データについて!$J$11:$M$18,8,FALSE)</f>
        <v>#N/A</v>
      </c>
      <c r="Y3612" s="81" t="e">
        <f>HLOOKUP(R3612,データについて!$J$12:$M$18,7,FALSE)</f>
        <v>#N/A</v>
      </c>
      <c r="Z3612" s="81" t="e">
        <f>HLOOKUP(I3612,データについて!$J$3:$M$18,16,FALSE)</f>
        <v>#N/A</v>
      </c>
      <c r="AA3612" s="81" t="str">
        <f>IFERROR(HLOOKUP(J3612,データについて!$J$4:$AH$19,16,FALSE),"")</f>
        <v/>
      </c>
      <c r="AB3612" s="81" t="str">
        <f>IFERROR(HLOOKUP(K3612,データについて!$J$5:$AH$20,14,FALSE),"")</f>
        <v/>
      </c>
      <c r="AC3612" s="81" t="e">
        <f>IF(X3612=1,HLOOKUP(R3612,データについて!$J$12:$M$18,7,FALSE),"*")</f>
        <v>#N/A</v>
      </c>
      <c r="AD3612" s="81" t="e">
        <f>IF(X3612=2,HLOOKUP(R3612,データについて!$J$12:$M$18,7,FALSE),"*")</f>
        <v>#N/A</v>
      </c>
    </row>
    <row r="3613" spans="19:30">
      <c r="S3613" s="81" t="e">
        <f>HLOOKUP(L3613,データについて!$J$6:$M$18,13,FALSE)</f>
        <v>#N/A</v>
      </c>
      <c r="T3613" s="81" t="e">
        <f>HLOOKUP(M3613,データについて!$J$7:$M$18,12,FALSE)</f>
        <v>#N/A</v>
      </c>
      <c r="U3613" s="81" t="e">
        <f>HLOOKUP(N3613,データについて!$J$8:$M$18,11,FALSE)</f>
        <v>#N/A</v>
      </c>
      <c r="V3613" s="81" t="e">
        <f>HLOOKUP(O3613,データについて!$J$9:$M$18,10,FALSE)</f>
        <v>#N/A</v>
      </c>
      <c r="W3613" s="81" t="e">
        <f>HLOOKUP(P3613,データについて!$J$10:$M$18,9,FALSE)</f>
        <v>#N/A</v>
      </c>
      <c r="X3613" s="81" t="e">
        <f>HLOOKUP(Q3613,データについて!$J$11:$M$18,8,FALSE)</f>
        <v>#N/A</v>
      </c>
      <c r="Y3613" s="81" t="e">
        <f>HLOOKUP(R3613,データについて!$J$12:$M$18,7,FALSE)</f>
        <v>#N/A</v>
      </c>
      <c r="Z3613" s="81" t="e">
        <f>HLOOKUP(I3613,データについて!$J$3:$M$18,16,FALSE)</f>
        <v>#N/A</v>
      </c>
      <c r="AA3613" s="81" t="str">
        <f>IFERROR(HLOOKUP(J3613,データについて!$J$4:$AH$19,16,FALSE),"")</f>
        <v/>
      </c>
      <c r="AB3613" s="81" t="str">
        <f>IFERROR(HLOOKUP(K3613,データについて!$J$5:$AH$20,14,FALSE),"")</f>
        <v/>
      </c>
      <c r="AC3613" s="81" t="e">
        <f>IF(X3613=1,HLOOKUP(R3613,データについて!$J$12:$M$18,7,FALSE),"*")</f>
        <v>#N/A</v>
      </c>
      <c r="AD3613" s="81" t="e">
        <f>IF(X3613=2,HLOOKUP(R3613,データについて!$J$12:$M$18,7,FALSE),"*")</f>
        <v>#N/A</v>
      </c>
    </row>
    <row r="3614" spans="19:30">
      <c r="S3614" s="81" t="e">
        <f>HLOOKUP(L3614,データについて!$J$6:$M$18,13,FALSE)</f>
        <v>#N/A</v>
      </c>
      <c r="T3614" s="81" t="e">
        <f>HLOOKUP(M3614,データについて!$J$7:$M$18,12,FALSE)</f>
        <v>#N/A</v>
      </c>
      <c r="U3614" s="81" t="e">
        <f>HLOOKUP(N3614,データについて!$J$8:$M$18,11,FALSE)</f>
        <v>#N/A</v>
      </c>
      <c r="V3614" s="81" t="e">
        <f>HLOOKUP(O3614,データについて!$J$9:$M$18,10,FALSE)</f>
        <v>#N/A</v>
      </c>
      <c r="W3614" s="81" t="e">
        <f>HLOOKUP(P3614,データについて!$J$10:$M$18,9,FALSE)</f>
        <v>#N/A</v>
      </c>
      <c r="X3614" s="81" t="e">
        <f>HLOOKUP(Q3614,データについて!$J$11:$M$18,8,FALSE)</f>
        <v>#N/A</v>
      </c>
      <c r="Y3614" s="81" t="e">
        <f>HLOOKUP(R3614,データについて!$J$12:$M$18,7,FALSE)</f>
        <v>#N/A</v>
      </c>
      <c r="Z3614" s="81" t="e">
        <f>HLOOKUP(I3614,データについて!$J$3:$M$18,16,FALSE)</f>
        <v>#N/A</v>
      </c>
      <c r="AA3614" s="81" t="str">
        <f>IFERROR(HLOOKUP(J3614,データについて!$J$4:$AH$19,16,FALSE),"")</f>
        <v/>
      </c>
      <c r="AB3614" s="81" t="str">
        <f>IFERROR(HLOOKUP(K3614,データについて!$J$5:$AH$20,14,FALSE),"")</f>
        <v/>
      </c>
      <c r="AC3614" s="81" t="e">
        <f>IF(X3614=1,HLOOKUP(R3614,データについて!$J$12:$M$18,7,FALSE),"*")</f>
        <v>#N/A</v>
      </c>
      <c r="AD3614" s="81" t="e">
        <f>IF(X3614=2,HLOOKUP(R3614,データについて!$J$12:$M$18,7,FALSE),"*")</f>
        <v>#N/A</v>
      </c>
    </row>
    <row r="3615" spans="19:30">
      <c r="S3615" s="81" t="e">
        <f>HLOOKUP(L3615,データについて!$J$6:$M$18,13,FALSE)</f>
        <v>#N/A</v>
      </c>
      <c r="T3615" s="81" t="e">
        <f>HLOOKUP(M3615,データについて!$J$7:$M$18,12,FALSE)</f>
        <v>#N/A</v>
      </c>
      <c r="U3615" s="81" t="e">
        <f>HLOOKUP(N3615,データについて!$J$8:$M$18,11,FALSE)</f>
        <v>#N/A</v>
      </c>
      <c r="V3615" s="81" t="e">
        <f>HLOOKUP(O3615,データについて!$J$9:$M$18,10,FALSE)</f>
        <v>#N/A</v>
      </c>
      <c r="W3615" s="81" t="e">
        <f>HLOOKUP(P3615,データについて!$J$10:$M$18,9,FALSE)</f>
        <v>#N/A</v>
      </c>
      <c r="X3615" s="81" t="e">
        <f>HLOOKUP(Q3615,データについて!$J$11:$M$18,8,FALSE)</f>
        <v>#N/A</v>
      </c>
      <c r="Y3615" s="81" t="e">
        <f>HLOOKUP(R3615,データについて!$J$12:$M$18,7,FALSE)</f>
        <v>#N/A</v>
      </c>
      <c r="Z3615" s="81" t="e">
        <f>HLOOKUP(I3615,データについて!$J$3:$M$18,16,FALSE)</f>
        <v>#N/A</v>
      </c>
      <c r="AA3615" s="81" t="str">
        <f>IFERROR(HLOOKUP(J3615,データについて!$J$4:$AH$19,16,FALSE),"")</f>
        <v/>
      </c>
      <c r="AB3615" s="81" t="str">
        <f>IFERROR(HLOOKUP(K3615,データについて!$J$5:$AH$20,14,FALSE),"")</f>
        <v/>
      </c>
      <c r="AC3615" s="81" t="e">
        <f>IF(X3615=1,HLOOKUP(R3615,データについて!$J$12:$M$18,7,FALSE),"*")</f>
        <v>#N/A</v>
      </c>
      <c r="AD3615" s="81" t="e">
        <f>IF(X3615=2,HLOOKUP(R3615,データについて!$J$12:$M$18,7,FALSE),"*")</f>
        <v>#N/A</v>
      </c>
    </row>
    <row r="3616" spans="19:30">
      <c r="S3616" s="81" t="e">
        <f>HLOOKUP(L3616,データについて!$J$6:$M$18,13,FALSE)</f>
        <v>#N/A</v>
      </c>
      <c r="T3616" s="81" t="e">
        <f>HLOOKUP(M3616,データについて!$J$7:$M$18,12,FALSE)</f>
        <v>#N/A</v>
      </c>
      <c r="U3616" s="81" t="e">
        <f>HLOOKUP(N3616,データについて!$J$8:$M$18,11,FALSE)</f>
        <v>#N/A</v>
      </c>
      <c r="V3616" s="81" t="e">
        <f>HLOOKUP(O3616,データについて!$J$9:$M$18,10,FALSE)</f>
        <v>#N/A</v>
      </c>
      <c r="W3616" s="81" t="e">
        <f>HLOOKUP(P3616,データについて!$J$10:$M$18,9,FALSE)</f>
        <v>#N/A</v>
      </c>
      <c r="X3616" s="81" t="e">
        <f>HLOOKUP(Q3616,データについて!$J$11:$M$18,8,FALSE)</f>
        <v>#N/A</v>
      </c>
      <c r="Y3616" s="81" t="e">
        <f>HLOOKUP(R3616,データについて!$J$12:$M$18,7,FALSE)</f>
        <v>#N/A</v>
      </c>
      <c r="Z3616" s="81" t="e">
        <f>HLOOKUP(I3616,データについて!$J$3:$M$18,16,FALSE)</f>
        <v>#N/A</v>
      </c>
      <c r="AA3616" s="81" t="str">
        <f>IFERROR(HLOOKUP(J3616,データについて!$J$4:$AH$19,16,FALSE),"")</f>
        <v/>
      </c>
      <c r="AB3616" s="81" t="str">
        <f>IFERROR(HLOOKUP(K3616,データについて!$J$5:$AH$20,14,FALSE),"")</f>
        <v/>
      </c>
      <c r="AC3616" s="81" t="e">
        <f>IF(X3616=1,HLOOKUP(R3616,データについて!$J$12:$M$18,7,FALSE),"*")</f>
        <v>#N/A</v>
      </c>
      <c r="AD3616" s="81" t="e">
        <f>IF(X3616=2,HLOOKUP(R3616,データについて!$J$12:$M$18,7,FALSE),"*")</f>
        <v>#N/A</v>
      </c>
    </row>
    <row r="3617" spans="19:30">
      <c r="S3617" s="81" t="e">
        <f>HLOOKUP(L3617,データについて!$J$6:$M$18,13,FALSE)</f>
        <v>#N/A</v>
      </c>
      <c r="T3617" s="81" t="e">
        <f>HLOOKUP(M3617,データについて!$J$7:$M$18,12,FALSE)</f>
        <v>#N/A</v>
      </c>
      <c r="U3617" s="81" t="e">
        <f>HLOOKUP(N3617,データについて!$J$8:$M$18,11,FALSE)</f>
        <v>#N/A</v>
      </c>
      <c r="V3617" s="81" t="e">
        <f>HLOOKUP(O3617,データについて!$J$9:$M$18,10,FALSE)</f>
        <v>#N/A</v>
      </c>
      <c r="W3617" s="81" t="e">
        <f>HLOOKUP(P3617,データについて!$J$10:$M$18,9,FALSE)</f>
        <v>#N/A</v>
      </c>
      <c r="X3617" s="81" t="e">
        <f>HLOOKUP(Q3617,データについて!$J$11:$M$18,8,FALSE)</f>
        <v>#N/A</v>
      </c>
      <c r="Y3617" s="81" t="e">
        <f>HLOOKUP(R3617,データについて!$J$12:$M$18,7,FALSE)</f>
        <v>#N/A</v>
      </c>
      <c r="Z3617" s="81" t="e">
        <f>HLOOKUP(I3617,データについて!$J$3:$M$18,16,FALSE)</f>
        <v>#N/A</v>
      </c>
      <c r="AA3617" s="81" t="str">
        <f>IFERROR(HLOOKUP(J3617,データについて!$J$4:$AH$19,16,FALSE),"")</f>
        <v/>
      </c>
      <c r="AB3617" s="81" t="str">
        <f>IFERROR(HLOOKUP(K3617,データについて!$J$5:$AH$20,14,FALSE),"")</f>
        <v/>
      </c>
      <c r="AC3617" s="81" t="e">
        <f>IF(X3617=1,HLOOKUP(R3617,データについて!$J$12:$M$18,7,FALSE),"*")</f>
        <v>#N/A</v>
      </c>
      <c r="AD3617" s="81" t="e">
        <f>IF(X3617=2,HLOOKUP(R3617,データについて!$J$12:$M$18,7,FALSE),"*")</f>
        <v>#N/A</v>
      </c>
    </row>
    <row r="3618" spans="19:30">
      <c r="S3618" s="81" t="e">
        <f>HLOOKUP(L3618,データについて!$J$6:$M$18,13,FALSE)</f>
        <v>#N/A</v>
      </c>
      <c r="T3618" s="81" t="e">
        <f>HLOOKUP(M3618,データについて!$J$7:$M$18,12,FALSE)</f>
        <v>#N/A</v>
      </c>
      <c r="U3618" s="81" t="e">
        <f>HLOOKUP(N3618,データについて!$J$8:$M$18,11,FALSE)</f>
        <v>#N/A</v>
      </c>
      <c r="V3618" s="81" t="e">
        <f>HLOOKUP(O3618,データについて!$J$9:$M$18,10,FALSE)</f>
        <v>#N/A</v>
      </c>
      <c r="W3618" s="81" t="e">
        <f>HLOOKUP(P3618,データについて!$J$10:$M$18,9,FALSE)</f>
        <v>#N/A</v>
      </c>
      <c r="X3618" s="81" t="e">
        <f>HLOOKUP(Q3618,データについて!$J$11:$M$18,8,FALSE)</f>
        <v>#N/A</v>
      </c>
      <c r="Y3618" s="81" t="e">
        <f>HLOOKUP(R3618,データについて!$J$12:$M$18,7,FALSE)</f>
        <v>#N/A</v>
      </c>
      <c r="Z3618" s="81" t="e">
        <f>HLOOKUP(I3618,データについて!$J$3:$M$18,16,FALSE)</f>
        <v>#N/A</v>
      </c>
      <c r="AA3618" s="81" t="str">
        <f>IFERROR(HLOOKUP(J3618,データについて!$J$4:$AH$19,16,FALSE),"")</f>
        <v/>
      </c>
      <c r="AB3618" s="81" t="str">
        <f>IFERROR(HLOOKUP(K3618,データについて!$J$5:$AH$20,14,FALSE),"")</f>
        <v/>
      </c>
      <c r="AC3618" s="81" t="e">
        <f>IF(X3618=1,HLOOKUP(R3618,データについて!$J$12:$M$18,7,FALSE),"*")</f>
        <v>#N/A</v>
      </c>
      <c r="AD3618" s="81" t="e">
        <f>IF(X3618=2,HLOOKUP(R3618,データについて!$J$12:$M$18,7,FALSE),"*")</f>
        <v>#N/A</v>
      </c>
    </row>
    <row r="3619" spans="19:30">
      <c r="S3619" s="81" t="e">
        <f>HLOOKUP(L3619,データについて!$J$6:$M$18,13,FALSE)</f>
        <v>#N/A</v>
      </c>
      <c r="T3619" s="81" t="e">
        <f>HLOOKUP(M3619,データについて!$J$7:$M$18,12,FALSE)</f>
        <v>#N/A</v>
      </c>
      <c r="U3619" s="81" t="e">
        <f>HLOOKUP(N3619,データについて!$J$8:$M$18,11,FALSE)</f>
        <v>#N/A</v>
      </c>
      <c r="V3619" s="81" t="e">
        <f>HLOOKUP(O3619,データについて!$J$9:$M$18,10,FALSE)</f>
        <v>#N/A</v>
      </c>
      <c r="W3619" s="81" t="e">
        <f>HLOOKUP(P3619,データについて!$J$10:$M$18,9,FALSE)</f>
        <v>#N/A</v>
      </c>
      <c r="X3619" s="81" t="e">
        <f>HLOOKUP(Q3619,データについて!$J$11:$M$18,8,FALSE)</f>
        <v>#N/A</v>
      </c>
      <c r="Y3619" s="81" t="e">
        <f>HLOOKUP(R3619,データについて!$J$12:$M$18,7,FALSE)</f>
        <v>#N/A</v>
      </c>
      <c r="Z3619" s="81" t="e">
        <f>HLOOKUP(I3619,データについて!$J$3:$M$18,16,FALSE)</f>
        <v>#N/A</v>
      </c>
      <c r="AA3619" s="81" t="str">
        <f>IFERROR(HLOOKUP(J3619,データについて!$J$4:$AH$19,16,FALSE),"")</f>
        <v/>
      </c>
      <c r="AB3619" s="81" t="str">
        <f>IFERROR(HLOOKUP(K3619,データについて!$J$5:$AH$20,14,FALSE),"")</f>
        <v/>
      </c>
      <c r="AC3619" s="81" t="e">
        <f>IF(X3619=1,HLOOKUP(R3619,データについて!$J$12:$M$18,7,FALSE),"*")</f>
        <v>#N/A</v>
      </c>
      <c r="AD3619" s="81" t="e">
        <f>IF(X3619=2,HLOOKUP(R3619,データについて!$J$12:$M$18,7,FALSE),"*")</f>
        <v>#N/A</v>
      </c>
    </row>
    <row r="3620" spans="19:30">
      <c r="S3620" s="81" t="e">
        <f>HLOOKUP(L3620,データについて!$J$6:$M$18,13,FALSE)</f>
        <v>#N/A</v>
      </c>
      <c r="T3620" s="81" t="e">
        <f>HLOOKUP(M3620,データについて!$J$7:$M$18,12,FALSE)</f>
        <v>#N/A</v>
      </c>
      <c r="U3620" s="81" t="e">
        <f>HLOOKUP(N3620,データについて!$J$8:$M$18,11,FALSE)</f>
        <v>#N/A</v>
      </c>
      <c r="V3620" s="81" t="e">
        <f>HLOOKUP(O3620,データについて!$J$9:$M$18,10,FALSE)</f>
        <v>#N/A</v>
      </c>
      <c r="W3620" s="81" t="e">
        <f>HLOOKUP(P3620,データについて!$J$10:$M$18,9,FALSE)</f>
        <v>#N/A</v>
      </c>
      <c r="X3620" s="81" t="e">
        <f>HLOOKUP(Q3620,データについて!$J$11:$M$18,8,FALSE)</f>
        <v>#N/A</v>
      </c>
      <c r="Y3620" s="81" t="e">
        <f>HLOOKUP(R3620,データについて!$J$12:$M$18,7,FALSE)</f>
        <v>#N/A</v>
      </c>
      <c r="Z3620" s="81" t="e">
        <f>HLOOKUP(I3620,データについて!$J$3:$M$18,16,FALSE)</f>
        <v>#N/A</v>
      </c>
      <c r="AA3620" s="81" t="str">
        <f>IFERROR(HLOOKUP(J3620,データについて!$J$4:$AH$19,16,FALSE),"")</f>
        <v/>
      </c>
      <c r="AB3620" s="81" t="str">
        <f>IFERROR(HLOOKUP(K3620,データについて!$J$5:$AH$20,14,FALSE),"")</f>
        <v/>
      </c>
      <c r="AC3620" s="81" t="e">
        <f>IF(X3620=1,HLOOKUP(R3620,データについて!$J$12:$M$18,7,FALSE),"*")</f>
        <v>#N/A</v>
      </c>
      <c r="AD3620" s="81" t="e">
        <f>IF(X3620=2,HLOOKUP(R3620,データについて!$J$12:$M$18,7,FALSE),"*")</f>
        <v>#N/A</v>
      </c>
    </row>
    <row r="3621" spans="19:30">
      <c r="S3621" s="81" t="e">
        <f>HLOOKUP(L3621,データについて!$J$6:$M$18,13,FALSE)</f>
        <v>#N/A</v>
      </c>
      <c r="T3621" s="81" t="e">
        <f>HLOOKUP(M3621,データについて!$J$7:$M$18,12,FALSE)</f>
        <v>#N/A</v>
      </c>
      <c r="U3621" s="81" t="e">
        <f>HLOOKUP(N3621,データについて!$J$8:$M$18,11,FALSE)</f>
        <v>#N/A</v>
      </c>
      <c r="V3621" s="81" t="e">
        <f>HLOOKUP(O3621,データについて!$J$9:$M$18,10,FALSE)</f>
        <v>#N/A</v>
      </c>
      <c r="W3621" s="81" t="e">
        <f>HLOOKUP(P3621,データについて!$J$10:$M$18,9,FALSE)</f>
        <v>#N/A</v>
      </c>
      <c r="X3621" s="81" t="e">
        <f>HLOOKUP(Q3621,データについて!$J$11:$M$18,8,FALSE)</f>
        <v>#N/A</v>
      </c>
      <c r="Y3621" s="81" t="e">
        <f>HLOOKUP(R3621,データについて!$J$12:$M$18,7,FALSE)</f>
        <v>#N/A</v>
      </c>
      <c r="Z3621" s="81" t="e">
        <f>HLOOKUP(I3621,データについて!$J$3:$M$18,16,FALSE)</f>
        <v>#N/A</v>
      </c>
      <c r="AA3621" s="81" t="str">
        <f>IFERROR(HLOOKUP(J3621,データについて!$J$4:$AH$19,16,FALSE),"")</f>
        <v/>
      </c>
      <c r="AB3621" s="81" t="str">
        <f>IFERROR(HLOOKUP(K3621,データについて!$J$5:$AH$20,14,FALSE),"")</f>
        <v/>
      </c>
      <c r="AC3621" s="81" t="e">
        <f>IF(X3621=1,HLOOKUP(R3621,データについて!$J$12:$M$18,7,FALSE),"*")</f>
        <v>#N/A</v>
      </c>
      <c r="AD3621" s="81" t="e">
        <f>IF(X3621=2,HLOOKUP(R3621,データについて!$J$12:$M$18,7,FALSE),"*")</f>
        <v>#N/A</v>
      </c>
    </row>
    <row r="3622" spans="19:30">
      <c r="S3622" s="81" t="e">
        <f>HLOOKUP(L3622,データについて!$J$6:$M$18,13,FALSE)</f>
        <v>#N/A</v>
      </c>
      <c r="T3622" s="81" t="e">
        <f>HLOOKUP(M3622,データについて!$J$7:$M$18,12,FALSE)</f>
        <v>#N/A</v>
      </c>
      <c r="U3622" s="81" t="e">
        <f>HLOOKUP(N3622,データについて!$J$8:$M$18,11,FALSE)</f>
        <v>#N/A</v>
      </c>
      <c r="V3622" s="81" t="e">
        <f>HLOOKUP(O3622,データについて!$J$9:$M$18,10,FALSE)</f>
        <v>#N/A</v>
      </c>
      <c r="W3622" s="81" t="e">
        <f>HLOOKUP(P3622,データについて!$J$10:$M$18,9,FALSE)</f>
        <v>#N/A</v>
      </c>
      <c r="X3622" s="81" t="e">
        <f>HLOOKUP(Q3622,データについて!$J$11:$M$18,8,FALSE)</f>
        <v>#N/A</v>
      </c>
      <c r="Y3622" s="81" t="e">
        <f>HLOOKUP(R3622,データについて!$J$12:$M$18,7,FALSE)</f>
        <v>#N/A</v>
      </c>
      <c r="Z3622" s="81" t="e">
        <f>HLOOKUP(I3622,データについて!$J$3:$M$18,16,FALSE)</f>
        <v>#N/A</v>
      </c>
      <c r="AA3622" s="81" t="str">
        <f>IFERROR(HLOOKUP(J3622,データについて!$J$4:$AH$19,16,FALSE),"")</f>
        <v/>
      </c>
      <c r="AB3622" s="81" t="str">
        <f>IFERROR(HLOOKUP(K3622,データについて!$J$5:$AH$20,14,FALSE),"")</f>
        <v/>
      </c>
      <c r="AC3622" s="81" t="e">
        <f>IF(X3622=1,HLOOKUP(R3622,データについて!$J$12:$M$18,7,FALSE),"*")</f>
        <v>#N/A</v>
      </c>
      <c r="AD3622" s="81" t="e">
        <f>IF(X3622=2,HLOOKUP(R3622,データについて!$J$12:$M$18,7,FALSE),"*")</f>
        <v>#N/A</v>
      </c>
    </row>
    <row r="3623" spans="19:30">
      <c r="S3623" s="81" t="e">
        <f>HLOOKUP(L3623,データについて!$J$6:$M$18,13,FALSE)</f>
        <v>#N/A</v>
      </c>
      <c r="T3623" s="81" t="e">
        <f>HLOOKUP(M3623,データについて!$J$7:$M$18,12,FALSE)</f>
        <v>#N/A</v>
      </c>
      <c r="U3623" s="81" t="e">
        <f>HLOOKUP(N3623,データについて!$J$8:$M$18,11,FALSE)</f>
        <v>#N/A</v>
      </c>
      <c r="V3623" s="81" t="e">
        <f>HLOOKUP(O3623,データについて!$J$9:$M$18,10,FALSE)</f>
        <v>#N/A</v>
      </c>
      <c r="W3623" s="81" t="e">
        <f>HLOOKUP(P3623,データについて!$J$10:$M$18,9,FALSE)</f>
        <v>#N/A</v>
      </c>
      <c r="X3623" s="81" t="e">
        <f>HLOOKUP(Q3623,データについて!$J$11:$M$18,8,FALSE)</f>
        <v>#N/A</v>
      </c>
      <c r="Y3623" s="81" t="e">
        <f>HLOOKUP(R3623,データについて!$J$12:$M$18,7,FALSE)</f>
        <v>#N/A</v>
      </c>
      <c r="Z3623" s="81" t="e">
        <f>HLOOKUP(I3623,データについて!$J$3:$M$18,16,FALSE)</f>
        <v>#N/A</v>
      </c>
      <c r="AA3623" s="81" t="str">
        <f>IFERROR(HLOOKUP(J3623,データについて!$J$4:$AH$19,16,FALSE),"")</f>
        <v/>
      </c>
      <c r="AB3623" s="81" t="str">
        <f>IFERROR(HLOOKUP(K3623,データについて!$J$5:$AH$20,14,FALSE),"")</f>
        <v/>
      </c>
      <c r="AC3623" s="81" t="e">
        <f>IF(X3623=1,HLOOKUP(R3623,データについて!$J$12:$M$18,7,FALSE),"*")</f>
        <v>#N/A</v>
      </c>
      <c r="AD3623" s="81" t="e">
        <f>IF(X3623=2,HLOOKUP(R3623,データについて!$J$12:$M$18,7,FALSE),"*")</f>
        <v>#N/A</v>
      </c>
    </row>
    <row r="3624" spans="19:30">
      <c r="S3624" s="81" t="e">
        <f>HLOOKUP(L3624,データについて!$J$6:$M$18,13,FALSE)</f>
        <v>#N/A</v>
      </c>
      <c r="T3624" s="81" t="e">
        <f>HLOOKUP(M3624,データについて!$J$7:$M$18,12,FALSE)</f>
        <v>#N/A</v>
      </c>
      <c r="U3624" s="81" t="e">
        <f>HLOOKUP(N3624,データについて!$J$8:$M$18,11,FALSE)</f>
        <v>#N/A</v>
      </c>
      <c r="V3624" s="81" t="e">
        <f>HLOOKUP(O3624,データについて!$J$9:$M$18,10,FALSE)</f>
        <v>#N/A</v>
      </c>
      <c r="W3624" s="81" t="e">
        <f>HLOOKUP(P3624,データについて!$J$10:$M$18,9,FALSE)</f>
        <v>#N/A</v>
      </c>
      <c r="X3624" s="81" t="e">
        <f>HLOOKUP(Q3624,データについて!$J$11:$M$18,8,FALSE)</f>
        <v>#N/A</v>
      </c>
      <c r="Y3624" s="81" t="e">
        <f>HLOOKUP(R3624,データについて!$J$12:$M$18,7,FALSE)</f>
        <v>#N/A</v>
      </c>
      <c r="Z3624" s="81" t="e">
        <f>HLOOKUP(I3624,データについて!$J$3:$M$18,16,FALSE)</f>
        <v>#N/A</v>
      </c>
      <c r="AA3624" s="81" t="str">
        <f>IFERROR(HLOOKUP(J3624,データについて!$J$4:$AH$19,16,FALSE),"")</f>
        <v/>
      </c>
      <c r="AB3624" s="81" t="str">
        <f>IFERROR(HLOOKUP(K3624,データについて!$J$5:$AH$20,14,FALSE),"")</f>
        <v/>
      </c>
      <c r="AC3624" s="81" t="e">
        <f>IF(X3624=1,HLOOKUP(R3624,データについて!$J$12:$M$18,7,FALSE),"*")</f>
        <v>#N/A</v>
      </c>
      <c r="AD3624" s="81" t="e">
        <f>IF(X3624=2,HLOOKUP(R3624,データについて!$J$12:$M$18,7,FALSE),"*")</f>
        <v>#N/A</v>
      </c>
    </row>
    <row r="3625" spans="19:30">
      <c r="S3625" s="81" t="e">
        <f>HLOOKUP(L3625,データについて!$J$6:$M$18,13,FALSE)</f>
        <v>#N/A</v>
      </c>
      <c r="T3625" s="81" t="e">
        <f>HLOOKUP(M3625,データについて!$J$7:$M$18,12,FALSE)</f>
        <v>#N/A</v>
      </c>
      <c r="U3625" s="81" t="e">
        <f>HLOOKUP(N3625,データについて!$J$8:$M$18,11,FALSE)</f>
        <v>#N/A</v>
      </c>
      <c r="V3625" s="81" t="e">
        <f>HLOOKUP(O3625,データについて!$J$9:$M$18,10,FALSE)</f>
        <v>#N/A</v>
      </c>
      <c r="W3625" s="81" t="e">
        <f>HLOOKUP(P3625,データについて!$J$10:$M$18,9,FALSE)</f>
        <v>#N/A</v>
      </c>
      <c r="X3625" s="81" t="e">
        <f>HLOOKUP(Q3625,データについて!$J$11:$M$18,8,FALSE)</f>
        <v>#N/A</v>
      </c>
      <c r="Y3625" s="81" t="e">
        <f>HLOOKUP(R3625,データについて!$J$12:$M$18,7,FALSE)</f>
        <v>#N/A</v>
      </c>
      <c r="Z3625" s="81" t="e">
        <f>HLOOKUP(I3625,データについて!$J$3:$M$18,16,FALSE)</f>
        <v>#N/A</v>
      </c>
      <c r="AA3625" s="81" t="str">
        <f>IFERROR(HLOOKUP(J3625,データについて!$J$4:$AH$19,16,FALSE),"")</f>
        <v/>
      </c>
      <c r="AB3625" s="81" t="str">
        <f>IFERROR(HLOOKUP(K3625,データについて!$J$5:$AH$20,14,FALSE),"")</f>
        <v/>
      </c>
      <c r="AC3625" s="81" t="e">
        <f>IF(X3625=1,HLOOKUP(R3625,データについて!$J$12:$M$18,7,FALSE),"*")</f>
        <v>#N/A</v>
      </c>
      <c r="AD3625" s="81" t="e">
        <f>IF(X3625=2,HLOOKUP(R3625,データについて!$J$12:$M$18,7,FALSE),"*")</f>
        <v>#N/A</v>
      </c>
    </row>
    <row r="3626" spans="19:30">
      <c r="S3626" s="81" t="e">
        <f>HLOOKUP(L3626,データについて!$J$6:$M$18,13,FALSE)</f>
        <v>#N/A</v>
      </c>
      <c r="T3626" s="81" t="e">
        <f>HLOOKUP(M3626,データについて!$J$7:$M$18,12,FALSE)</f>
        <v>#N/A</v>
      </c>
      <c r="U3626" s="81" t="e">
        <f>HLOOKUP(N3626,データについて!$J$8:$M$18,11,FALSE)</f>
        <v>#N/A</v>
      </c>
      <c r="V3626" s="81" t="e">
        <f>HLOOKUP(O3626,データについて!$J$9:$M$18,10,FALSE)</f>
        <v>#N/A</v>
      </c>
      <c r="W3626" s="81" t="e">
        <f>HLOOKUP(P3626,データについて!$J$10:$M$18,9,FALSE)</f>
        <v>#N/A</v>
      </c>
      <c r="X3626" s="81" t="e">
        <f>HLOOKUP(Q3626,データについて!$J$11:$M$18,8,FALSE)</f>
        <v>#N/A</v>
      </c>
      <c r="Y3626" s="81" t="e">
        <f>HLOOKUP(R3626,データについて!$J$12:$M$18,7,FALSE)</f>
        <v>#N/A</v>
      </c>
      <c r="Z3626" s="81" t="e">
        <f>HLOOKUP(I3626,データについて!$J$3:$M$18,16,FALSE)</f>
        <v>#N/A</v>
      </c>
      <c r="AA3626" s="81" t="str">
        <f>IFERROR(HLOOKUP(J3626,データについて!$J$4:$AH$19,16,FALSE),"")</f>
        <v/>
      </c>
      <c r="AB3626" s="81" t="str">
        <f>IFERROR(HLOOKUP(K3626,データについて!$J$5:$AH$20,14,FALSE),"")</f>
        <v/>
      </c>
      <c r="AC3626" s="81" t="e">
        <f>IF(X3626=1,HLOOKUP(R3626,データについて!$J$12:$M$18,7,FALSE),"*")</f>
        <v>#N/A</v>
      </c>
      <c r="AD3626" s="81" t="e">
        <f>IF(X3626=2,HLOOKUP(R3626,データについて!$J$12:$M$18,7,FALSE),"*")</f>
        <v>#N/A</v>
      </c>
    </row>
    <row r="3627" spans="19:30">
      <c r="S3627" s="81" t="e">
        <f>HLOOKUP(L3627,データについて!$J$6:$M$18,13,FALSE)</f>
        <v>#N/A</v>
      </c>
      <c r="T3627" s="81" t="e">
        <f>HLOOKUP(M3627,データについて!$J$7:$M$18,12,FALSE)</f>
        <v>#N/A</v>
      </c>
      <c r="U3627" s="81" t="e">
        <f>HLOOKUP(N3627,データについて!$J$8:$M$18,11,FALSE)</f>
        <v>#N/A</v>
      </c>
      <c r="V3627" s="81" t="e">
        <f>HLOOKUP(O3627,データについて!$J$9:$M$18,10,FALSE)</f>
        <v>#N/A</v>
      </c>
      <c r="W3627" s="81" t="e">
        <f>HLOOKUP(P3627,データについて!$J$10:$M$18,9,FALSE)</f>
        <v>#N/A</v>
      </c>
      <c r="X3627" s="81" t="e">
        <f>HLOOKUP(Q3627,データについて!$J$11:$M$18,8,FALSE)</f>
        <v>#N/A</v>
      </c>
      <c r="Y3627" s="81" t="e">
        <f>HLOOKUP(R3627,データについて!$J$12:$M$18,7,FALSE)</f>
        <v>#N/A</v>
      </c>
      <c r="Z3627" s="81" t="e">
        <f>HLOOKUP(I3627,データについて!$J$3:$M$18,16,FALSE)</f>
        <v>#N/A</v>
      </c>
      <c r="AA3627" s="81" t="str">
        <f>IFERROR(HLOOKUP(J3627,データについて!$J$4:$AH$19,16,FALSE),"")</f>
        <v/>
      </c>
      <c r="AB3627" s="81" t="str">
        <f>IFERROR(HLOOKUP(K3627,データについて!$J$5:$AH$20,14,FALSE),"")</f>
        <v/>
      </c>
      <c r="AC3627" s="81" t="e">
        <f>IF(X3627=1,HLOOKUP(R3627,データについて!$J$12:$M$18,7,FALSE),"*")</f>
        <v>#N/A</v>
      </c>
      <c r="AD3627" s="81" t="e">
        <f>IF(X3627=2,HLOOKUP(R3627,データについて!$J$12:$M$18,7,FALSE),"*")</f>
        <v>#N/A</v>
      </c>
    </row>
    <row r="3628" spans="19:30">
      <c r="S3628" s="81" t="e">
        <f>HLOOKUP(L3628,データについて!$J$6:$M$18,13,FALSE)</f>
        <v>#N/A</v>
      </c>
      <c r="T3628" s="81" t="e">
        <f>HLOOKUP(M3628,データについて!$J$7:$M$18,12,FALSE)</f>
        <v>#N/A</v>
      </c>
      <c r="U3628" s="81" t="e">
        <f>HLOOKUP(N3628,データについて!$J$8:$M$18,11,FALSE)</f>
        <v>#N/A</v>
      </c>
      <c r="V3628" s="81" t="e">
        <f>HLOOKUP(O3628,データについて!$J$9:$M$18,10,FALSE)</f>
        <v>#N/A</v>
      </c>
      <c r="W3628" s="81" t="e">
        <f>HLOOKUP(P3628,データについて!$J$10:$M$18,9,FALSE)</f>
        <v>#N/A</v>
      </c>
      <c r="X3628" s="81" t="e">
        <f>HLOOKUP(Q3628,データについて!$J$11:$M$18,8,FALSE)</f>
        <v>#N/A</v>
      </c>
      <c r="Y3628" s="81" t="e">
        <f>HLOOKUP(R3628,データについて!$J$12:$M$18,7,FALSE)</f>
        <v>#N/A</v>
      </c>
      <c r="Z3628" s="81" t="e">
        <f>HLOOKUP(I3628,データについて!$J$3:$M$18,16,FALSE)</f>
        <v>#N/A</v>
      </c>
      <c r="AA3628" s="81" t="str">
        <f>IFERROR(HLOOKUP(J3628,データについて!$J$4:$AH$19,16,FALSE),"")</f>
        <v/>
      </c>
      <c r="AB3628" s="81" t="str">
        <f>IFERROR(HLOOKUP(K3628,データについて!$J$5:$AH$20,14,FALSE),"")</f>
        <v/>
      </c>
      <c r="AC3628" s="81" t="e">
        <f>IF(X3628=1,HLOOKUP(R3628,データについて!$J$12:$M$18,7,FALSE),"*")</f>
        <v>#N/A</v>
      </c>
      <c r="AD3628" s="81" t="e">
        <f>IF(X3628=2,HLOOKUP(R3628,データについて!$J$12:$M$18,7,FALSE),"*")</f>
        <v>#N/A</v>
      </c>
    </row>
    <row r="3629" spans="19:30">
      <c r="S3629" s="81" t="e">
        <f>HLOOKUP(L3629,データについて!$J$6:$M$18,13,FALSE)</f>
        <v>#N/A</v>
      </c>
      <c r="T3629" s="81" t="e">
        <f>HLOOKUP(M3629,データについて!$J$7:$M$18,12,FALSE)</f>
        <v>#N/A</v>
      </c>
      <c r="U3629" s="81" t="e">
        <f>HLOOKUP(N3629,データについて!$J$8:$M$18,11,FALSE)</f>
        <v>#N/A</v>
      </c>
      <c r="V3629" s="81" t="e">
        <f>HLOOKUP(O3629,データについて!$J$9:$M$18,10,FALSE)</f>
        <v>#N/A</v>
      </c>
      <c r="W3629" s="81" t="e">
        <f>HLOOKUP(P3629,データについて!$J$10:$M$18,9,FALSE)</f>
        <v>#N/A</v>
      </c>
      <c r="X3629" s="81" t="e">
        <f>HLOOKUP(Q3629,データについて!$J$11:$M$18,8,FALSE)</f>
        <v>#N/A</v>
      </c>
      <c r="Y3629" s="81" t="e">
        <f>HLOOKUP(R3629,データについて!$J$12:$M$18,7,FALSE)</f>
        <v>#N/A</v>
      </c>
      <c r="Z3629" s="81" t="e">
        <f>HLOOKUP(I3629,データについて!$J$3:$M$18,16,FALSE)</f>
        <v>#N/A</v>
      </c>
      <c r="AA3629" s="81" t="str">
        <f>IFERROR(HLOOKUP(J3629,データについて!$J$4:$AH$19,16,FALSE),"")</f>
        <v/>
      </c>
      <c r="AB3629" s="81" t="str">
        <f>IFERROR(HLOOKUP(K3629,データについて!$J$5:$AH$20,14,FALSE),"")</f>
        <v/>
      </c>
      <c r="AC3629" s="81" t="e">
        <f>IF(X3629=1,HLOOKUP(R3629,データについて!$J$12:$M$18,7,FALSE),"*")</f>
        <v>#N/A</v>
      </c>
      <c r="AD3629" s="81" t="e">
        <f>IF(X3629=2,HLOOKUP(R3629,データについて!$J$12:$M$18,7,FALSE),"*")</f>
        <v>#N/A</v>
      </c>
    </row>
    <row r="3630" spans="19:30">
      <c r="S3630" s="81" t="e">
        <f>HLOOKUP(L3630,データについて!$J$6:$M$18,13,FALSE)</f>
        <v>#N/A</v>
      </c>
      <c r="T3630" s="81" t="e">
        <f>HLOOKUP(M3630,データについて!$J$7:$M$18,12,FALSE)</f>
        <v>#N/A</v>
      </c>
      <c r="U3630" s="81" t="e">
        <f>HLOOKUP(N3630,データについて!$J$8:$M$18,11,FALSE)</f>
        <v>#N/A</v>
      </c>
      <c r="V3630" s="81" t="e">
        <f>HLOOKUP(O3630,データについて!$J$9:$M$18,10,FALSE)</f>
        <v>#N/A</v>
      </c>
      <c r="W3630" s="81" t="e">
        <f>HLOOKUP(P3630,データについて!$J$10:$M$18,9,FALSE)</f>
        <v>#N/A</v>
      </c>
      <c r="X3630" s="81" t="e">
        <f>HLOOKUP(Q3630,データについて!$J$11:$M$18,8,FALSE)</f>
        <v>#N/A</v>
      </c>
      <c r="Y3630" s="81" t="e">
        <f>HLOOKUP(R3630,データについて!$J$12:$M$18,7,FALSE)</f>
        <v>#N/A</v>
      </c>
      <c r="Z3630" s="81" t="e">
        <f>HLOOKUP(I3630,データについて!$J$3:$M$18,16,FALSE)</f>
        <v>#N/A</v>
      </c>
      <c r="AA3630" s="81" t="str">
        <f>IFERROR(HLOOKUP(J3630,データについて!$J$4:$AH$19,16,FALSE),"")</f>
        <v/>
      </c>
      <c r="AB3630" s="81" t="str">
        <f>IFERROR(HLOOKUP(K3630,データについて!$J$5:$AH$20,14,FALSE),"")</f>
        <v/>
      </c>
      <c r="AC3630" s="81" t="e">
        <f>IF(X3630=1,HLOOKUP(R3630,データについて!$J$12:$M$18,7,FALSE),"*")</f>
        <v>#N/A</v>
      </c>
      <c r="AD3630" s="81" t="e">
        <f>IF(X3630=2,HLOOKUP(R3630,データについて!$J$12:$M$18,7,FALSE),"*")</f>
        <v>#N/A</v>
      </c>
    </row>
    <row r="3631" spans="19:30">
      <c r="S3631" s="81" t="e">
        <f>HLOOKUP(L3631,データについて!$J$6:$M$18,13,FALSE)</f>
        <v>#N/A</v>
      </c>
      <c r="T3631" s="81" t="e">
        <f>HLOOKUP(M3631,データについて!$J$7:$M$18,12,FALSE)</f>
        <v>#N/A</v>
      </c>
      <c r="U3631" s="81" t="e">
        <f>HLOOKUP(N3631,データについて!$J$8:$M$18,11,FALSE)</f>
        <v>#N/A</v>
      </c>
      <c r="V3631" s="81" t="e">
        <f>HLOOKUP(O3631,データについて!$J$9:$M$18,10,FALSE)</f>
        <v>#N/A</v>
      </c>
      <c r="W3631" s="81" t="e">
        <f>HLOOKUP(P3631,データについて!$J$10:$M$18,9,FALSE)</f>
        <v>#N/A</v>
      </c>
      <c r="X3631" s="81" t="e">
        <f>HLOOKUP(Q3631,データについて!$J$11:$M$18,8,FALSE)</f>
        <v>#N/A</v>
      </c>
      <c r="Y3631" s="81" t="e">
        <f>HLOOKUP(R3631,データについて!$J$12:$M$18,7,FALSE)</f>
        <v>#N/A</v>
      </c>
      <c r="Z3631" s="81" t="e">
        <f>HLOOKUP(I3631,データについて!$J$3:$M$18,16,FALSE)</f>
        <v>#N/A</v>
      </c>
      <c r="AA3631" s="81" t="str">
        <f>IFERROR(HLOOKUP(J3631,データについて!$J$4:$AH$19,16,FALSE),"")</f>
        <v/>
      </c>
      <c r="AB3631" s="81" t="str">
        <f>IFERROR(HLOOKUP(K3631,データについて!$J$5:$AH$20,14,FALSE),"")</f>
        <v/>
      </c>
      <c r="AC3631" s="81" t="e">
        <f>IF(X3631=1,HLOOKUP(R3631,データについて!$J$12:$M$18,7,FALSE),"*")</f>
        <v>#N/A</v>
      </c>
      <c r="AD3631" s="81" t="e">
        <f>IF(X3631=2,HLOOKUP(R3631,データについて!$J$12:$M$18,7,FALSE),"*")</f>
        <v>#N/A</v>
      </c>
    </row>
    <row r="3632" spans="19:30">
      <c r="S3632" s="81" t="e">
        <f>HLOOKUP(L3632,データについて!$J$6:$M$18,13,FALSE)</f>
        <v>#N/A</v>
      </c>
      <c r="T3632" s="81" t="e">
        <f>HLOOKUP(M3632,データについて!$J$7:$M$18,12,FALSE)</f>
        <v>#N/A</v>
      </c>
      <c r="U3632" s="81" t="e">
        <f>HLOOKUP(N3632,データについて!$J$8:$M$18,11,FALSE)</f>
        <v>#N/A</v>
      </c>
      <c r="V3632" s="81" t="e">
        <f>HLOOKUP(O3632,データについて!$J$9:$M$18,10,FALSE)</f>
        <v>#N/A</v>
      </c>
      <c r="W3632" s="81" t="e">
        <f>HLOOKUP(P3632,データについて!$J$10:$M$18,9,FALSE)</f>
        <v>#N/A</v>
      </c>
      <c r="X3632" s="81" t="e">
        <f>HLOOKUP(Q3632,データについて!$J$11:$M$18,8,FALSE)</f>
        <v>#N/A</v>
      </c>
      <c r="Y3632" s="81" t="e">
        <f>HLOOKUP(R3632,データについて!$J$12:$M$18,7,FALSE)</f>
        <v>#N/A</v>
      </c>
      <c r="Z3632" s="81" t="e">
        <f>HLOOKUP(I3632,データについて!$J$3:$M$18,16,FALSE)</f>
        <v>#N/A</v>
      </c>
      <c r="AA3632" s="81" t="str">
        <f>IFERROR(HLOOKUP(J3632,データについて!$J$4:$AH$19,16,FALSE),"")</f>
        <v/>
      </c>
      <c r="AB3632" s="81" t="str">
        <f>IFERROR(HLOOKUP(K3632,データについて!$J$5:$AH$20,14,FALSE),"")</f>
        <v/>
      </c>
      <c r="AC3632" s="81" t="e">
        <f>IF(X3632=1,HLOOKUP(R3632,データについて!$J$12:$M$18,7,FALSE),"*")</f>
        <v>#N/A</v>
      </c>
      <c r="AD3632" s="81" t="e">
        <f>IF(X3632=2,HLOOKUP(R3632,データについて!$J$12:$M$18,7,FALSE),"*")</f>
        <v>#N/A</v>
      </c>
    </row>
    <row r="3633" spans="19:30">
      <c r="S3633" s="81" t="e">
        <f>HLOOKUP(L3633,データについて!$J$6:$M$18,13,FALSE)</f>
        <v>#N/A</v>
      </c>
      <c r="T3633" s="81" t="e">
        <f>HLOOKUP(M3633,データについて!$J$7:$M$18,12,FALSE)</f>
        <v>#N/A</v>
      </c>
      <c r="U3633" s="81" t="e">
        <f>HLOOKUP(N3633,データについて!$J$8:$M$18,11,FALSE)</f>
        <v>#N/A</v>
      </c>
      <c r="V3633" s="81" t="e">
        <f>HLOOKUP(O3633,データについて!$J$9:$M$18,10,FALSE)</f>
        <v>#N/A</v>
      </c>
      <c r="W3633" s="81" t="e">
        <f>HLOOKUP(P3633,データについて!$J$10:$M$18,9,FALSE)</f>
        <v>#N/A</v>
      </c>
      <c r="X3633" s="81" t="e">
        <f>HLOOKUP(Q3633,データについて!$J$11:$M$18,8,FALSE)</f>
        <v>#N/A</v>
      </c>
      <c r="Y3633" s="81" t="e">
        <f>HLOOKUP(R3633,データについて!$J$12:$M$18,7,FALSE)</f>
        <v>#N/A</v>
      </c>
      <c r="Z3633" s="81" t="e">
        <f>HLOOKUP(I3633,データについて!$J$3:$M$18,16,FALSE)</f>
        <v>#N/A</v>
      </c>
      <c r="AA3633" s="81" t="str">
        <f>IFERROR(HLOOKUP(J3633,データについて!$J$4:$AH$19,16,FALSE),"")</f>
        <v/>
      </c>
      <c r="AB3633" s="81" t="str">
        <f>IFERROR(HLOOKUP(K3633,データについて!$J$5:$AH$20,14,FALSE),"")</f>
        <v/>
      </c>
      <c r="AC3633" s="81" t="e">
        <f>IF(X3633=1,HLOOKUP(R3633,データについて!$J$12:$M$18,7,FALSE),"*")</f>
        <v>#N/A</v>
      </c>
      <c r="AD3633" s="81" t="e">
        <f>IF(X3633=2,HLOOKUP(R3633,データについて!$J$12:$M$18,7,FALSE),"*")</f>
        <v>#N/A</v>
      </c>
    </row>
    <row r="3634" spans="19:30">
      <c r="S3634" s="81" t="e">
        <f>HLOOKUP(L3634,データについて!$J$6:$M$18,13,FALSE)</f>
        <v>#N/A</v>
      </c>
      <c r="T3634" s="81" t="e">
        <f>HLOOKUP(M3634,データについて!$J$7:$M$18,12,FALSE)</f>
        <v>#N/A</v>
      </c>
      <c r="U3634" s="81" t="e">
        <f>HLOOKUP(N3634,データについて!$J$8:$M$18,11,FALSE)</f>
        <v>#N/A</v>
      </c>
      <c r="V3634" s="81" t="e">
        <f>HLOOKUP(O3634,データについて!$J$9:$M$18,10,FALSE)</f>
        <v>#N/A</v>
      </c>
      <c r="W3634" s="81" t="e">
        <f>HLOOKUP(P3634,データについて!$J$10:$M$18,9,FALSE)</f>
        <v>#N/A</v>
      </c>
      <c r="X3634" s="81" t="e">
        <f>HLOOKUP(Q3634,データについて!$J$11:$M$18,8,FALSE)</f>
        <v>#N/A</v>
      </c>
      <c r="Y3634" s="81" t="e">
        <f>HLOOKUP(R3634,データについて!$J$12:$M$18,7,FALSE)</f>
        <v>#N/A</v>
      </c>
      <c r="Z3634" s="81" t="e">
        <f>HLOOKUP(I3634,データについて!$J$3:$M$18,16,FALSE)</f>
        <v>#N/A</v>
      </c>
      <c r="AA3634" s="81" t="str">
        <f>IFERROR(HLOOKUP(J3634,データについて!$J$4:$AH$19,16,FALSE),"")</f>
        <v/>
      </c>
      <c r="AB3634" s="81" t="str">
        <f>IFERROR(HLOOKUP(K3634,データについて!$J$5:$AH$20,14,FALSE),"")</f>
        <v/>
      </c>
      <c r="AC3634" s="81" t="e">
        <f>IF(X3634=1,HLOOKUP(R3634,データについて!$J$12:$M$18,7,FALSE),"*")</f>
        <v>#N/A</v>
      </c>
      <c r="AD3634" s="81" t="e">
        <f>IF(X3634=2,HLOOKUP(R3634,データについて!$J$12:$M$18,7,FALSE),"*")</f>
        <v>#N/A</v>
      </c>
    </row>
    <row r="3635" spans="19:30">
      <c r="S3635" s="81" t="e">
        <f>HLOOKUP(L3635,データについて!$J$6:$M$18,13,FALSE)</f>
        <v>#N/A</v>
      </c>
      <c r="T3635" s="81" t="e">
        <f>HLOOKUP(M3635,データについて!$J$7:$M$18,12,FALSE)</f>
        <v>#N/A</v>
      </c>
      <c r="U3635" s="81" t="e">
        <f>HLOOKUP(N3635,データについて!$J$8:$M$18,11,FALSE)</f>
        <v>#N/A</v>
      </c>
      <c r="V3635" s="81" t="e">
        <f>HLOOKUP(O3635,データについて!$J$9:$M$18,10,FALSE)</f>
        <v>#N/A</v>
      </c>
      <c r="W3635" s="81" t="e">
        <f>HLOOKUP(P3635,データについて!$J$10:$M$18,9,FALSE)</f>
        <v>#N/A</v>
      </c>
      <c r="X3635" s="81" t="e">
        <f>HLOOKUP(Q3635,データについて!$J$11:$M$18,8,FALSE)</f>
        <v>#N/A</v>
      </c>
      <c r="Y3635" s="81" t="e">
        <f>HLOOKUP(R3635,データについて!$J$12:$M$18,7,FALSE)</f>
        <v>#N/A</v>
      </c>
      <c r="Z3635" s="81" t="e">
        <f>HLOOKUP(I3635,データについて!$J$3:$M$18,16,FALSE)</f>
        <v>#N/A</v>
      </c>
      <c r="AA3635" s="81" t="str">
        <f>IFERROR(HLOOKUP(J3635,データについて!$J$4:$AH$19,16,FALSE),"")</f>
        <v/>
      </c>
      <c r="AB3635" s="81" t="str">
        <f>IFERROR(HLOOKUP(K3635,データについて!$J$5:$AH$20,14,FALSE),"")</f>
        <v/>
      </c>
      <c r="AC3635" s="81" t="e">
        <f>IF(X3635=1,HLOOKUP(R3635,データについて!$J$12:$M$18,7,FALSE),"*")</f>
        <v>#N/A</v>
      </c>
      <c r="AD3635" s="81" t="e">
        <f>IF(X3635=2,HLOOKUP(R3635,データについて!$J$12:$M$18,7,FALSE),"*")</f>
        <v>#N/A</v>
      </c>
    </row>
    <row r="3636" spans="19:30">
      <c r="S3636" s="81" t="e">
        <f>HLOOKUP(L3636,データについて!$J$6:$M$18,13,FALSE)</f>
        <v>#N/A</v>
      </c>
      <c r="T3636" s="81" t="e">
        <f>HLOOKUP(M3636,データについて!$J$7:$M$18,12,FALSE)</f>
        <v>#N/A</v>
      </c>
      <c r="U3636" s="81" t="e">
        <f>HLOOKUP(N3636,データについて!$J$8:$M$18,11,FALSE)</f>
        <v>#N/A</v>
      </c>
      <c r="V3636" s="81" t="e">
        <f>HLOOKUP(O3636,データについて!$J$9:$M$18,10,FALSE)</f>
        <v>#N/A</v>
      </c>
      <c r="W3636" s="81" t="e">
        <f>HLOOKUP(P3636,データについて!$J$10:$M$18,9,FALSE)</f>
        <v>#N/A</v>
      </c>
      <c r="X3636" s="81" t="e">
        <f>HLOOKUP(Q3636,データについて!$J$11:$M$18,8,FALSE)</f>
        <v>#N/A</v>
      </c>
      <c r="Y3636" s="81" t="e">
        <f>HLOOKUP(R3636,データについて!$J$12:$M$18,7,FALSE)</f>
        <v>#N/A</v>
      </c>
      <c r="Z3636" s="81" t="e">
        <f>HLOOKUP(I3636,データについて!$J$3:$M$18,16,FALSE)</f>
        <v>#N/A</v>
      </c>
      <c r="AA3636" s="81" t="str">
        <f>IFERROR(HLOOKUP(J3636,データについて!$J$4:$AH$19,16,FALSE),"")</f>
        <v/>
      </c>
      <c r="AB3636" s="81" t="str">
        <f>IFERROR(HLOOKUP(K3636,データについて!$J$5:$AH$20,14,FALSE),"")</f>
        <v/>
      </c>
      <c r="AC3636" s="81" t="e">
        <f>IF(X3636=1,HLOOKUP(R3636,データについて!$J$12:$M$18,7,FALSE),"*")</f>
        <v>#N/A</v>
      </c>
      <c r="AD3636" s="81" t="e">
        <f>IF(X3636=2,HLOOKUP(R3636,データについて!$J$12:$M$18,7,FALSE),"*")</f>
        <v>#N/A</v>
      </c>
    </row>
    <row r="3637" spans="19:30">
      <c r="S3637" s="81" t="e">
        <f>HLOOKUP(L3637,データについて!$J$6:$M$18,13,FALSE)</f>
        <v>#N/A</v>
      </c>
      <c r="T3637" s="81" t="e">
        <f>HLOOKUP(M3637,データについて!$J$7:$M$18,12,FALSE)</f>
        <v>#N/A</v>
      </c>
      <c r="U3637" s="81" t="e">
        <f>HLOOKUP(N3637,データについて!$J$8:$M$18,11,FALSE)</f>
        <v>#N/A</v>
      </c>
      <c r="V3637" s="81" t="e">
        <f>HLOOKUP(O3637,データについて!$J$9:$M$18,10,FALSE)</f>
        <v>#N/A</v>
      </c>
      <c r="W3637" s="81" t="e">
        <f>HLOOKUP(P3637,データについて!$J$10:$M$18,9,FALSE)</f>
        <v>#N/A</v>
      </c>
      <c r="X3637" s="81" t="e">
        <f>HLOOKUP(Q3637,データについて!$J$11:$M$18,8,FALSE)</f>
        <v>#N/A</v>
      </c>
      <c r="Y3637" s="81" t="e">
        <f>HLOOKUP(R3637,データについて!$J$12:$M$18,7,FALSE)</f>
        <v>#N/A</v>
      </c>
      <c r="Z3637" s="81" t="e">
        <f>HLOOKUP(I3637,データについて!$J$3:$M$18,16,FALSE)</f>
        <v>#N/A</v>
      </c>
      <c r="AA3637" s="81" t="str">
        <f>IFERROR(HLOOKUP(J3637,データについて!$J$4:$AH$19,16,FALSE),"")</f>
        <v/>
      </c>
      <c r="AB3637" s="81" t="str">
        <f>IFERROR(HLOOKUP(K3637,データについて!$J$5:$AH$20,14,FALSE),"")</f>
        <v/>
      </c>
      <c r="AC3637" s="81" t="e">
        <f>IF(X3637=1,HLOOKUP(R3637,データについて!$J$12:$M$18,7,FALSE),"*")</f>
        <v>#N/A</v>
      </c>
      <c r="AD3637" s="81" t="e">
        <f>IF(X3637=2,HLOOKUP(R3637,データについて!$J$12:$M$18,7,FALSE),"*")</f>
        <v>#N/A</v>
      </c>
    </row>
    <row r="3638" spans="19:30">
      <c r="S3638" s="81" t="e">
        <f>HLOOKUP(L3638,データについて!$J$6:$M$18,13,FALSE)</f>
        <v>#N/A</v>
      </c>
      <c r="T3638" s="81" t="e">
        <f>HLOOKUP(M3638,データについて!$J$7:$M$18,12,FALSE)</f>
        <v>#N/A</v>
      </c>
      <c r="U3638" s="81" t="e">
        <f>HLOOKUP(N3638,データについて!$J$8:$M$18,11,FALSE)</f>
        <v>#N/A</v>
      </c>
      <c r="V3638" s="81" t="e">
        <f>HLOOKUP(O3638,データについて!$J$9:$M$18,10,FALSE)</f>
        <v>#N/A</v>
      </c>
      <c r="W3638" s="81" t="e">
        <f>HLOOKUP(P3638,データについて!$J$10:$M$18,9,FALSE)</f>
        <v>#N/A</v>
      </c>
      <c r="X3638" s="81" t="e">
        <f>HLOOKUP(Q3638,データについて!$J$11:$M$18,8,FALSE)</f>
        <v>#N/A</v>
      </c>
      <c r="Y3638" s="81" t="e">
        <f>HLOOKUP(R3638,データについて!$J$12:$M$18,7,FALSE)</f>
        <v>#N/A</v>
      </c>
      <c r="Z3638" s="81" t="e">
        <f>HLOOKUP(I3638,データについて!$J$3:$M$18,16,FALSE)</f>
        <v>#N/A</v>
      </c>
      <c r="AA3638" s="81" t="str">
        <f>IFERROR(HLOOKUP(J3638,データについて!$J$4:$AH$19,16,FALSE),"")</f>
        <v/>
      </c>
      <c r="AB3638" s="81" t="str">
        <f>IFERROR(HLOOKUP(K3638,データについて!$J$5:$AH$20,14,FALSE),"")</f>
        <v/>
      </c>
      <c r="AC3638" s="81" t="e">
        <f>IF(X3638=1,HLOOKUP(R3638,データについて!$J$12:$M$18,7,FALSE),"*")</f>
        <v>#N/A</v>
      </c>
      <c r="AD3638" s="81" t="e">
        <f>IF(X3638=2,HLOOKUP(R3638,データについて!$J$12:$M$18,7,FALSE),"*")</f>
        <v>#N/A</v>
      </c>
    </row>
    <row r="3639" spans="19:30">
      <c r="S3639" s="81" t="e">
        <f>HLOOKUP(L3639,データについて!$J$6:$M$18,13,FALSE)</f>
        <v>#N/A</v>
      </c>
      <c r="T3639" s="81" t="e">
        <f>HLOOKUP(M3639,データについて!$J$7:$M$18,12,FALSE)</f>
        <v>#N/A</v>
      </c>
      <c r="U3639" s="81" t="e">
        <f>HLOOKUP(N3639,データについて!$J$8:$M$18,11,FALSE)</f>
        <v>#N/A</v>
      </c>
      <c r="V3639" s="81" t="e">
        <f>HLOOKUP(O3639,データについて!$J$9:$M$18,10,FALSE)</f>
        <v>#N/A</v>
      </c>
      <c r="W3639" s="81" t="e">
        <f>HLOOKUP(P3639,データについて!$J$10:$M$18,9,FALSE)</f>
        <v>#N/A</v>
      </c>
      <c r="X3639" s="81" t="e">
        <f>HLOOKUP(Q3639,データについて!$J$11:$M$18,8,FALSE)</f>
        <v>#N/A</v>
      </c>
      <c r="Y3639" s="81" t="e">
        <f>HLOOKUP(R3639,データについて!$J$12:$M$18,7,FALSE)</f>
        <v>#N/A</v>
      </c>
      <c r="Z3639" s="81" t="e">
        <f>HLOOKUP(I3639,データについて!$J$3:$M$18,16,FALSE)</f>
        <v>#N/A</v>
      </c>
      <c r="AA3639" s="81" t="str">
        <f>IFERROR(HLOOKUP(J3639,データについて!$J$4:$AH$19,16,FALSE),"")</f>
        <v/>
      </c>
      <c r="AB3639" s="81" t="str">
        <f>IFERROR(HLOOKUP(K3639,データについて!$J$5:$AH$20,14,FALSE),"")</f>
        <v/>
      </c>
      <c r="AC3639" s="81" t="e">
        <f>IF(X3639=1,HLOOKUP(R3639,データについて!$J$12:$M$18,7,FALSE),"*")</f>
        <v>#N/A</v>
      </c>
      <c r="AD3639" s="81" t="e">
        <f>IF(X3639=2,HLOOKUP(R3639,データについて!$J$12:$M$18,7,FALSE),"*")</f>
        <v>#N/A</v>
      </c>
    </row>
    <row r="3640" spans="19:30">
      <c r="S3640" s="81" t="e">
        <f>HLOOKUP(L3640,データについて!$J$6:$M$18,13,FALSE)</f>
        <v>#N/A</v>
      </c>
      <c r="T3640" s="81" t="e">
        <f>HLOOKUP(M3640,データについて!$J$7:$M$18,12,FALSE)</f>
        <v>#N/A</v>
      </c>
      <c r="U3640" s="81" t="e">
        <f>HLOOKUP(N3640,データについて!$J$8:$M$18,11,FALSE)</f>
        <v>#N/A</v>
      </c>
      <c r="V3640" s="81" t="e">
        <f>HLOOKUP(O3640,データについて!$J$9:$M$18,10,FALSE)</f>
        <v>#N/A</v>
      </c>
      <c r="W3640" s="81" t="e">
        <f>HLOOKUP(P3640,データについて!$J$10:$M$18,9,FALSE)</f>
        <v>#N/A</v>
      </c>
      <c r="X3640" s="81" t="e">
        <f>HLOOKUP(Q3640,データについて!$J$11:$M$18,8,FALSE)</f>
        <v>#N/A</v>
      </c>
      <c r="Y3640" s="81" t="e">
        <f>HLOOKUP(R3640,データについて!$J$12:$M$18,7,FALSE)</f>
        <v>#N/A</v>
      </c>
      <c r="Z3640" s="81" t="e">
        <f>HLOOKUP(I3640,データについて!$J$3:$M$18,16,FALSE)</f>
        <v>#N/A</v>
      </c>
      <c r="AA3640" s="81" t="str">
        <f>IFERROR(HLOOKUP(J3640,データについて!$J$4:$AH$19,16,FALSE),"")</f>
        <v/>
      </c>
      <c r="AB3640" s="81" t="str">
        <f>IFERROR(HLOOKUP(K3640,データについて!$J$5:$AH$20,14,FALSE),"")</f>
        <v/>
      </c>
      <c r="AC3640" s="81" t="e">
        <f>IF(X3640=1,HLOOKUP(R3640,データについて!$J$12:$M$18,7,FALSE),"*")</f>
        <v>#N/A</v>
      </c>
      <c r="AD3640" s="81" t="e">
        <f>IF(X3640=2,HLOOKUP(R3640,データについて!$J$12:$M$18,7,FALSE),"*")</f>
        <v>#N/A</v>
      </c>
    </row>
    <row r="3641" spans="19:30">
      <c r="S3641" s="81" t="e">
        <f>HLOOKUP(L3641,データについて!$J$6:$M$18,13,FALSE)</f>
        <v>#N/A</v>
      </c>
      <c r="T3641" s="81" t="e">
        <f>HLOOKUP(M3641,データについて!$J$7:$M$18,12,FALSE)</f>
        <v>#N/A</v>
      </c>
      <c r="U3641" s="81" t="e">
        <f>HLOOKUP(N3641,データについて!$J$8:$M$18,11,FALSE)</f>
        <v>#N/A</v>
      </c>
      <c r="V3641" s="81" t="e">
        <f>HLOOKUP(O3641,データについて!$J$9:$M$18,10,FALSE)</f>
        <v>#N/A</v>
      </c>
      <c r="W3641" s="81" t="e">
        <f>HLOOKUP(P3641,データについて!$J$10:$M$18,9,FALSE)</f>
        <v>#N/A</v>
      </c>
      <c r="X3641" s="81" t="e">
        <f>HLOOKUP(Q3641,データについて!$J$11:$M$18,8,FALSE)</f>
        <v>#N/A</v>
      </c>
      <c r="Y3641" s="81" t="e">
        <f>HLOOKUP(R3641,データについて!$J$12:$M$18,7,FALSE)</f>
        <v>#N/A</v>
      </c>
      <c r="Z3641" s="81" t="e">
        <f>HLOOKUP(I3641,データについて!$J$3:$M$18,16,FALSE)</f>
        <v>#N/A</v>
      </c>
      <c r="AA3641" s="81" t="str">
        <f>IFERROR(HLOOKUP(J3641,データについて!$J$4:$AH$19,16,FALSE),"")</f>
        <v/>
      </c>
      <c r="AB3641" s="81" t="str">
        <f>IFERROR(HLOOKUP(K3641,データについて!$J$5:$AH$20,14,FALSE),"")</f>
        <v/>
      </c>
      <c r="AC3641" s="81" t="e">
        <f>IF(X3641=1,HLOOKUP(R3641,データについて!$J$12:$M$18,7,FALSE),"*")</f>
        <v>#N/A</v>
      </c>
      <c r="AD3641" s="81" t="e">
        <f>IF(X3641=2,HLOOKUP(R3641,データについて!$J$12:$M$18,7,FALSE),"*")</f>
        <v>#N/A</v>
      </c>
    </row>
    <row r="3642" spans="19:30">
      <c r="S3642" s="81" t="e">
        <f>HLOOKUP(L3642,データについて!$J$6:$M$18,13,FALSE)</f>
        <v>#N/A</v>
      </c>
      <c r="T3642" s="81" t="e">
        <f>HLOOKUP(M3642,データについて!$J$7:$M$18,12,FALSE)</f>
        <v>#N/A</v>
      </c>
      <c r="U3642" s="81" t="e">
        <f>HLOOKUP(N3642,データについて!$J$8:$M$18,11,FALSE)</f>
        <v>#N/A</v>
      </c>
      <c r="V3642" s="81" t="e">
        <f>HLOOKUP(O3642,データについて!$J$9:$M$18,10,FALSE)</f>
        <v>#N/A</v>
      </c>
      <c r="W3642" s="81" t="e">
        <f>HLOOKUP(P3642,データについて!$J$10:$M$18,9,FALSE)</f>
        <v>#N/A</v>
      </c>
      <c r="X3642" s="81" t="e">
        <f>HLOOKUP(Q3642,データについて!$J$11:$M$18,8,FALSE)</f>
        <v>#N/A</v>
      </c>
      <c r="Y3642" s="81" t="e">
        <f>HLOOKUP(R3642,データについて!$J$12:$M$18,7,FALSE)</f>
        <v>#N/A</v>
      </c>
      <c r="Z3642" s="81" t="e">
        <f>HLOOKUP(I3642,データについて!$J$3:$M$18,16,FALSE)</f>
        <v>#N/A</v>
      </c>
      <c r="AA3642" s="81" t="str">
        <f>IFERROR(HLOOKUP(J3642,データについて!$J$4:$AH$19,16,FALSE),"")</f>
        <v/>
      </c>
      <c r="AB3642" s="81" t="str">
        <f>IFERROR(HLOOKUP(K3642,データについて!$J$5:$AH$20,14,FALSE),"")</f>
        <v/>
      </c>
      <c r="AC3642" s="81" t="e">
        <f>IF(X3642=1,HLOOKUP(R3642,データについて!$J$12:$M$18,7,FALSE),"*")</f>
        <v>#N/A</v>
      </c>
      <c r="AD3642" s="81" t="e">
        <f>IF(X3642=2,HLOOKUP(R3642,データについて!$J$12:$M$18,7,FALSE),"*")</f>
        <v>#N/A</v>
      </c>
    </row>
    <row r="3643" spans="19:30">
      <c r="S3643" s="81" t="e">
        <f>HLOOKUP(L3643,データについて!$J$6:$M$18,13,FALSE)</f>
        <v>#N/A</v>
      </c>
      <c r="T3643" s="81" t="e">
        <f>HLOOKUP(M3643,データについて!$J$7:$M$18,12,FALSE)</f>
        <v>#N/A</v>
      </c>
      <c r="U3643" s="81" t="e">
        <f>HLOOKUP(N3643,データについて!$J$8:$M$18,11,FALSE)</f>
        <v>#N/A</v>
      </c>
      <c r="V3643" s="81" t="e">
        <f>HLOOKUP(O3643,データについて!$J$9:$M$18,10,FALSE)</f>
        <v>#N/A</v>
      </c>
      <c r="W3643" s="81" t="e">
        <f>HLOOKUP(P3643,データについて!$J$10:$M$18,9,FALSE)</f>
        <v>#N/A</v>
      </c>
      <c r="X3643" s="81" t="e">
        <f>HLOOKUP(Q3643,データについて!$J$11:$M$18,8,FALSE)</f>
        <v>#N/A</v>
      </c>
      <c r="Y3643" s="81" t="e">
        <f>HLOOKUP(R3643,データについて!$J$12:$M$18,7,FALSE)</f>
        <v>#N/A</v>
      </c>
      <c r="Z3643" s="81" t="e">
        <f>HLOOKUP(I3643,データについて!$J$3:$M$18,16,FALSE)</f>
        <v>#N/A</v>
      </c>
      <c r="AA3643" s="81" t="str">
        <f>IFERROR(HLOOKUP(J3643,データについて!$J$4:$AH$19,16,FALSE),"")</f>
        <v/>
      </c>
      <c r="AB3643" s="81" t="str">
        <f>IFERROR(HLOOKUP(K3643,データについて!$J$5:$AH$20,14,FALSE),"")</f>
        <v/>
      </c>
      <c r="AC3643" s="81" t="e">
        <f>IF(X3643=1,HLOOKUP(R3643,データについて!$J$12:$M$18,7,FALSE),"*")</f>
        <v>#N/A</v>
      </c>
      <c r="AD3643" s="81" t="e">
        <f>IF(X3643=2,HLOOKUP(R3643,データについて!$J$12:$M$18,7,FALSE),"*")</f>
        <v>#N/A</v>
      </c>
    </row>
    <row r="3644" spans="19:30">
      <c r="S3644" s="81" t="e">
        <f>HLOOKUP(L3644,データについて!$J$6:$M$18,13,FALSE)</f>
        <v>#N/A</v>
      </c>
      <c r="T3644" s="81" t="e">
        <f>HLOOKUP(M3644,データについて!$J$7:$M$18,12,FALSE)</f>
        <v>#N/A</v>
      </c>
      <c r="U3644" s="81" t="e">
        <f>HLOOKUP(N3644,データについて!$J$8:$M$18,11,FALSE)</f>
        <v>#N/A</v>
      </c>
      <c r="V3644" s="81" t="e">
        <f>HLOOKUP(O3644,データについて!$J$9:$M$18,10,FALSE)</f>
        <v>#N/A</v>
      </c>
      <c r="W3644" s="81" t="e">
        <f>HLOOKUP(P3644,データについて!$J$10:$M$18,9,FALSE)</f>
        <v>#N/A</v>
      </c>
      <c r="X3644" s="81" t="e">
        <f>HLOOKUP(Q3644,データについて!$J$11:$M$18,8,FALSE)</f>
        <v>#N/A</v>
      </c>
      <c r="Y3644" s="81" t="e">
        <f>HLOOKUP(R3644,データについて!$J$12:$M$18,7,FALSE)</f>
        <v>#N/A</v>
      </c>
      <c r="Z3644" s="81" t="e">
        <f>HLOOKUP(I3644,データについて!$J$3:$M$18,16,FALSE)</f>
        <v>#N/A</v>
      </c>
      <c r="AA3644" s="81" t="str">
        <f>IFERROR(HLOOKUP(J3644,データについて!$J$4:$AH$19,16,FALSE),"")</f>
        <v/>
      </c>
      <c r="AB3644" s="81" t="str">
        <f>IFERROR(HLOOKUP(K3644,データについて!$J$5:$AH$20,14,FALSE),"")</f>
        <v/>
      </c>
      <c r="AC3644" s="81" t="e">
        <f>IF(X3644=1,HLOOKUP(R3644,データについて!$J$12:$M$18,7,FALSE),"*")</f>
        <v>#N/A</v>
      </c>
      <c r="AD3644" s="81" t="e">
        <f>IF(X3644=2,HLOOKUP(R3644,データについて!$J$12:$M$18,7,FALSE),"*")</f>
        <v>#N/A</v>
      </c>
    </row>
    <row r="3645" spans="19:30">
      <c r="S3645" s="81" t="e">
        <f>HLOOKUP(L3645,データについて!$J$6:$M$18,13,FALSE)</f>
        <v>#N/A</v>
      </c>
      <c r="T3645" s="81" t="e">
        <f>HLOOKUP(M3645,データについて!$J$7:$M$18,12,FALSE)</f>
        <v>#N/A</v>
      </c>
      <c r="U3645" s="81" t="e">
        <f>HLOOKUP(N3645,データについて!$J$8:$M$18,11,FALSE)</f>
        <v>#N/A</v>
      </c>
      <c r="V3645" s="81" t="e">
        <f>HLOOKUP(O3645,データについて!$J$9:$M$18,10,FALSE)</f>
        <v>#N/A</v>
      </c>
      <c r="W3645" s="81" t="e">
        <f>HLOOKUP(P3645,データについて!$J$10:$M$18,9,FALSE)</f>
        <v>#N/A</v>
      </c>
      <c r="X3645" s="81" t="e">
        <f>HLOOKUP(Q3645,データについて!$J$11:$M$18,8,FALSE)</f>
        <v>#N/A</v>
      </c>
      <c r="Y3645" s="81" t="e">
        <f>HLOOKUP(R3645,データについて!$J$12:$M$18,7,FALSE)</f>
        <v>#N/A</v>
      </c>
      <c r="Z3645" s="81" t="e">
        <f>HLOOKUP(I3645,データについて!$J$3:$M$18,16,FALSE)</f>
        <v>#N/A</v>
      </c>
      <c r="AA3645" s="81" t="str">
        <f>IFERROR(HLOOKUP(J3645,データについて!$J$4:$AH$19,16,FALSE),"")</f>
        <v/>
      </c>
      <c r="AB3645" s="81" t="str">
        <f>IFERROR(HLOOKUP(K3645,データについて!$J$5:$AH$20,14,FALSE),"")</f>
        <v/>
      </c>
      <c r="AC3645" s="81" t="e">
        <f>IF(X3645=1,HLOOKUP(R3645,データについて!$J$12:$M$18,7,FALSE),"*")</f>
        <v>#N/A</v>
      </c>
      <c r="AD3645" s="81" t="e">
        <f>IF(X3645=2,HLOOKUP(R3645,データについて!$J$12:$M$18,7,FALSE),"*")</f>
        <v>#N/A</v>
      </c>
    </row>
    <row r="3646" spans="19:30">
      <c r="S3646" s="81" t="e">
        <f>HLOOKUP(L3646,データについて!$J$6:$M$18,13,FALSE)</f>
        <v>#N/A</v>
      </c>
      <c r="T3646" s="81" t="e">
        <f>HLOOKUP(M3646,データについて!$J$7:$M$18,12,FALSE)</f>
        <v>#N/A</v>
      </c>
      <c r="U3646" s="81" t="e">
        <f>HLOOKUP(N3646,データについて!$J$8:$M$18,11,FALSE)</f>
        <v>#N/A</v>
      </c>
      <c r="V3646" s="81" t="e">
        <f>HLOOKUP(O3646,データについて!$J$9:$M$18,10,FALSE)</f>
        <v>#N/A</v>
      </c>
      <c r="W3646" s="81" t="e">
        <f>HLOOKUP(P3646,データについて!$J$10:$M$18,9,FALSE)</f>
        <v>#N/A</v>
      </c>
      <c r="X3646" s="81" t="e">
        <f>HLOOKUP(Q3646,データについて!$J$11:$M$18,8,FALSE)</f>
        <v>#N/A</v>
      </c>
      <c r="Y3646" s="81" t="e">
        <f>HLOOKUP(R3646,データについて!$J$12:$M$18,7,FALSE)</f>
        <v>#N/A</v>
      </c>
      <c r="Z3646" s="81" t="e">
        <f>HLOOKUP(I3646,データについて!$J$3:$M$18,16,FALSE)</f>
        <v>#N/A</v>
      </c>
      <c r="AA3646" s="81" t="str">
        <f>IFERROR(HLOOKUP(J3646,データについて!$J$4:$AH$19,16,FALSE),"")</f>
        <v/>
      </c>
      <c r="AB3646" s="81" t="str">
        <f>IFERROR(HLOOKUP(K3646,データについて!$J$5:$AH$20,14,FALSE),"")</f>
        <v/>
      </c>
      <c r="AC3646" s="81" t="e">
        <f>IF(X3646=1,HLOOKUP(R3646,データについて!$J$12:$M$18,7,FALSE),"*")</f>
        <v>#N/A</v>
      </c>
      <c r="AD3646" s="81" t="e">
        <f>IF(X3646=2,HLOOKUP(R3646,データについて!$J$12:$M$18,7,FALSE),"*")</f>
        <v>#N/A</v>
      </c>
    </row>
    <row r="3647" spans="19:30">
      <c r="S3647" s="81" t="e">
        <f>HLOOKUP(L3647,データについて!$J$6:$M$18,13,FALSE)</f>
        <v>#N/A</v>
      </c>
      <c r="T3647" s="81" t="e">
        <f>HLOOKUP(M3647,データについて!$J$7:$M$18,12,FALSE)</f>
        <v>#N/A</v>
      </c>
      <c r="U3647" s="81" t="e">
        <f>HLOOKUP(N3647,データについて!$J$8:$M$18,11,FALSE)</f>
        <v>#N/A</v>
      </c>
      <c r="V3647" s="81" t="e">
        <f>HLOOKUP(O3647,データについて!$J$9:$M$18,10,FALSE)</f>
        <v>#N/A</v>
      </c>
      <c r="W3647" s="81" t="e">
        <f>HLOOKUP(P3647,データについて!$J$10:$M$18,9,FALSE)</f>
        <v>#N/A</v>
      </c>
      <c r="X3647" s="81" t="e">
        <f>HLOOKUP(Q3647,データについて!$J$11:$M$18,8,FALSE)</f>
        <v>#N/A</v>
      </c>
      <c r="Y3647" s="81" t="e">
        <f>HLOOKUP(R3647,データについて!$J$12:$M$18,7,FALSE)</f>
        <v>#N/A</v>
      </c>
      <c r="Z3647" s="81" t="e">
        <f>HLOOKUP(I3647,データについて!$J$3:$M$18,16,FALSE)</f>
        <v>#N/A</v>
      </c>
      <c r="AA3647" s="81" t="str">
        <f>IFERROR(HLOOKUP(J3647,データについて!$J$4:$AH$19,16,FALSE),"")</f>
        <v/>
      </c>
      <c r="AB3647" s="81" t="str">
        <f>IFERROR(HLOOKUP(K3647,データについて!$J$5:$AH$20,14,FALSE),"")</f>
        <v/>
      </c>
      <c r="AC3647" s="81" t="e">
        <f>IF(X3647=1,HLOOKUP(R3647,データについて!$J$12:$M$18,7,FALSE),"*")</f>
        <v>#N/A</v>
      </c>
      <c r="AD3647" s="81" t="e">
        <f>IF(X3647=2,HLOOKUP(R3647,データについて!$J$12:$M$18,7,FALSE),"*")</f>
        <v>#N/A</v>
      </c>
    </row>
    <row r="3648" spans="19:30">
      <c r="S3648" s="81" t="e">
        <f>HLOOKUP(L3648,データについて!$J$6:$M$18,13,FALSE)</f>
        <v>#N/A</v>
      </c>
      <c r="T3648" s="81" t="e">
        <f>HLOOKUP(M3648,データについて!$J$7:$M$18,12,FALSE)</f>
        <v>#N/A</v>
      </c>
      <c r="U3648" s="81" t="e">
        <f>HLOOKUP(N3648,データについて!$J$8:$M$18,11,FALSE)</f>
        <v>#N/A</v>
      </c>
      <c r="V3648" s="81" t="e">
        <f>HLOOKUP(O3648,データについて!$J$9:$M$18,10,FALSE)</f>
        <v>#N/A</v>
      </c>
      <c r="W3648" s="81" t="e">
        <f>HLOOKUP(P3648,データについて!$J$10:$M$18,9,FALSE)</f>
        <v>#N/A</v>
      </c>
      <c r="X3648" s="81" t="e">
        <f>HLOOKUP(Q3648,データについて!$J$11:$M$18,8,FALSE)</f>
        <v>#N/A</v>
      </c>
      <c r="Y3648" s="81" t="e">
        <f>HLOOKUP(R3648,データについて!$J$12:$M$18,7,FALSE)</f>
        <v>#N/A</v>
      </c>
      <c r="Z3648" s="81" t="e">
        <f>HLOOKUP(I3648,データについて!$J$3:$M$18,16,FALSE)</f>
        <v>#N/A</v>
      </c>
      <c r="AA3648" s="81" t="str">
        <f>IFERROR(HLOOKUP(J3648,データについて!$J$4:$AH$19,16,FALSE),"")</f>
        <v/>
      </c>
      <c r="AB3648" s="81" t="str">
        <f>IFERROR(HLOOKUP(K3648,データについて!$J$5:$AH$20,14,FALSE),"")</f>
        <v/>
      </c>
      <c r="AC3648" s="81" t="e">
        <f>IF(X3648=1,HLOOKUP(R3648,データについて!$J$12:$M$18,7,FALSE),"*")</f>
        <v>#N/A</v>
      </c>
      <c r="AD3648" s="81" t="e">
        <f>IF(X3648=2,HLOOKUP(R3648,データについて!$J$12:$M$18,7,FALSE),"*")</f>
        <v>#N/A</v>
      </c>
    </row>
    <row r="3649" spans="19:30">
      <c r="S3649" s="81" t="e">
        <f>HLOOKUP(L3649,データについて!$J$6:$M$18,13,FALSE)</f>
        <v>#N/A</v>
      </c>
      <c r="T3649" s="81" t="e">
        <f>HLOOKUP(M3649,データについて!$J$7:$M$18,12,FALSE)</f>
        <v>#N/A</v>
      </c>
      <c r="U3649" s="81" t="e">
        <f>HLOOKUP(N3649,データについて!$J$8:$M$18,11,FALSE)</f>
        <v>#N/A</v>
      </c>
      <c r="V3649" s="81" t="e">
        <f>HLOOKUP(O3649,データについて!$J$9:$M$18,10,FALSE)</f>
        <v>#N/A</v>
      </c>
      <c r="W3649" s="81" t="e">
        <f>HLOOKUP(P3649,データについて!$J$10:$M$18,9,FALSE)</f>
        <v>#N/A</v>
      </c>
      <c r="X3649" s="81" t="e">
        <f>HLOOKUP(Q3649,データについて!$J$11:$M$18,8,FALSE)</f>
        <v>#N/A</v>
      </c>
      <c r="Y3649" s="81" t="e">
        <f>HLOOKUP(R3649,データについて!$J$12:$M$18,7,FALSE)</f>
        <v>#N/A</v>
      </c>
      <c r="Z3649" s="81" t="e">
        <f>HLOOKUP(I3649,データについて!$J$3:$M$18,16,FALSE)</f>
        <v>#N/A</v>
      </c>
      <c r="AA3649" s="81" t="str">
        <f>IFERROR(HLOOKUP(J3649,データについて!$J$4:$AH$19,16,FALSE),"")</f>
        <v/>
      </c>
      <c r="AB3649" s="81" t="str">
        <f>IFERROR(HLOOKUP(K3649,データについて!$J$5:$AH$20,14,FALSE),"")</f>
        <v/>
      </c>
      <c r="AC3649" s="81" t="e">
        <f>IF(X3649=1,HLOOKUP(R3649,データについて!$J$12:$M$18,7,FALSE),"*")</f>
        <v>#N/A</v>
      </c>
      <c r="AD3649" s="81" t="e">
        <f>IF(X3649=2,HLOOKUP(R3649,データについて!$J$12:$M$18,7,FALSE),"*")</f>
        <v>#N/A</v>
      </c>
    </row>
    <row r="3650" spans="19:30">
      <c r="S3650" s="81" t="e">
        <f>HLOOKUP(L3650,データについて!$J$6:$M$18,13,FALSE)</f>
        <v>#N/A</v>
      </c>
      <c r="T3650" s="81" t="e">
        <f>HLOOKUP(M3650,データについて!$J$7:$M$18,12,FALSE)</f>
        <v>#N/A</v>
      </c>
      <c r="U3650" s="81" t="e">
        <f>HLOOKUP(N3650,データについて!$J$8:$M$18,11,FALSE)</f>
        <v>#N/A</v>
      </c>
      <c r="V3650" s="81" t="e">
        <f>HLOOKUP(O3650,データについて!$J$9:$M$18,10,FALSE)</f>
        <v>#N/A</v>
      </c>
      <c r="W3650" s="81" t="e">
        <f>HLOOKUP(P3650,データについて!$J$10:$M$18,9,FALSE)</f>
        <v>#N/A</v>
      </c>
      <c r="X3650" s="81" t="e">
        <f>HLOOKUP(Q3650,データについて!$J$11:$M$18,8,FALSE)</f>
        <v>#N/A</v>
      </c>
      <c r="Y3650" s="81" t="e">
        <f>HLOOKUP(R3650,データについて!$J$12:$M$18,7,FALSE)</f>
        <v>#N/A</v>
      </c>
      <c r="Z3650" s="81" t="e">
        <f>HLOOKUP(I3650,データについて!$J$3:$M$18,16,FALSE)</f>
        <v>#N/A</v>
      </c>
      <c r="AA3650" s="81" t="str">
        <f>IFERROR(HLOOKUP(J3650,データについて!$J$4:$AH$19,16,FALSE),"")</f>
        <v/>
      </c>
      <c r="AB3650" s="81" t="str">
        <f>IFERROR(HLOOKUP(K3650,データについて!$J$5:$AH$20,14,FALSE),"")</f>
        <v/>
      </c>
      <c r="AC3650" s="81" t="e">
        <f>IF(X3650=1,HLOOKUP(R3650,データについて!$J$12:$M$18,7,FALSE),"*")</f>
        <v>#N/A</v>
      </c>
      <c r="AD3650" s="81" t="e">
        <f>IF(X3650=2,HLOOKUP(R3650,データについて!$J$12:$M$18,7,FALSE),"*")</f>
        <v>#N/A</v>
      </c>
    </row>
    <row r="3651" spans="19:30">
      <c r="S3651" s="81" t="e">
        <f>HLOOKUP(L3651,データについて!$J$6:$M$18,13,FALSE)</f>
        <v>#N/A</v>
      </c>
      <c r="T3651" s="81" t="e">
        <f>HLOOKUP(M3651,データについて!$J$7:$M$18,12,FALSE)</f>
        <v>#N/A</v>
      </c>
      <c r="U3651" s="81" t="e">
        <f>HLOOKUP(N3651,データについて!$J$8:$M$18,11,FALSE)</f>
        <v>#N/A</v>
      </c>
      <c r="V3651" s="81" t="e">
        <f>HLOOKUP(O3651,データについて!$J$9:$M$18,10,FALSE)</f>
        <v>#N/A</v>
      </c>
      <c r="W3651" s="81" t="e">
        <f>HLOOKUP(P3651,データについて!$J$10:$M$18,9,FALSE)</f>
        <v>#N/A</v>
      </c>
      <c r="X3651" s="81" t="e">
        <f>HLOOKUP(Q3651,データについて!$J$11:$M$18,8,FALSE)</f>
        <v>#N/A</v>
      </c>
      <c r="Y3651" s="81" t="e">
        <f>HLOOKUP(R3651,データについて!$J$12:$M$18,7,FALSE)</f>
        <v>#N/A</v>
      </c>
      <c r="Z3651" s="81" t="e">
        <f>HLOOKUP(I3651,データについて!$J$3:$M$18,16,FALSE)</f>
        <v>#N/A</v>
      </c>
      <c r="AA3651" s="81" t="str">
        <f>IFERROR(HLOOKUP(J3651,データについて!$J$4:$AH$19,16,FALSE),"")</f>
        <v/>
      </c>
      <c r="AB3651" s="81" t="str">
        <f>IFERROR(HLOOKUP(K3651,データについて!$J$5:$AH$20,14,FALSE),"")</f>
        <v/>
      </c>
      <c r="AC3651" s="81" t="e">
        <f>IF(X3651=1,HLOOKUP(R3651,データについて!$J$12:$M$18,7,FALSE),"*")</f>
        <v>#N/A</v>
      </c>
      <c r="AD3651" s="81" t="e">
        <f>IF(X3651=2,HLOOKUP(R3651,データについて!$J$12:$M$18,7,FALSE),"*")</f>
        <v>#N/A</v>
      </c>
    </row>
    <row r="3652" spans="19:30">
      <c r="S3652" s="81" t="e">
        <f>HLOOKUP(L3652,データについて!$J$6:$M$18,13,FALSE)</f>
        <v>#N/A</v>
      </c>
      <c r="T3652" s="81" t="e">
        <f>HLOOKUP(M3652,データについて!$J$7:$M$18,12,FALSE)</f>
        <v>#N/A</v>
      </c>
      <c r="U3652" s="81" t="e">
        <f>HLOOKUP(N3652,データについて!$J$8:$M$18,11,FALSE)</f>
        <v>#N/A</v>
      </c>
      <c r="V3652" s="81" t="e">
        <f>HLOOKUP(O3652,データについて!$J$9:$M$18,10,FALSE)</f>
        <v>#N/A</v>
      </c>
      <c r="W3652" s="81" t="e">
        <f>HLOOKUP(P3652,データについて!$J$10:$M$18,9,FALSE)</f>
        <v>#N/A</v>
      </c>
      <c r="X3652" s="81" t="e">
        <f>HLOOKUP(Q3652,データについて!$J$11:$M$18,8,FALSE)</f>
        <v>#N/A</v>
      </c>
      <c r="Y3652" s="81" t="e">
        <f>HLOOKUP(R3652,データについて!$J$12:$M$18,7,FALSE)</f>
        <v>#N/A</v>
      </c>
      <c r="Z3652" s="81" t="e">
        <f>HLOOKUP(I3652,データについて!$J$3:$M$18,16,FALSE)</f>
        <v>#N/A</v>
      </c>
      <c r="AA3652" s="81" t="str">
        <f>IFERROR(HLOOKUP(J3652,データについて!$J$4:$AH$19,16,FALSE),"")</f>
        <v/>
      </c>
      <c r="AB3652" s="81" t="str">
        <f>IFERROR(HLOOKUP(K3652,データについて!$J$5:$AH$20,14,FALSE),"")</f>
        <v/>
      </c>
      <c r="AC3652" s="81" t="e">
        <f>IF(X3652=1,HLOOKUP(R3652,データについて!$J$12:$M$18,7,FALSE),"*")</f>
        <v>#N/A</v>
      </c>
      <c r="AD3652" s="81" t="e">
        <f>IF(X3652=2,HLOOKUP(R3652,データについて!$J$12:$M$18,7,FALSE),"*")</f>
        <v>#N/A</v>
      </c>
    </row>
    <row r="3653" spans="19:30">
      <c r="S3653" s="81" t="e">
        <f>HLOOKUP(L3653,データについて!$J$6:$M$18,13,FALSE)</f>
        <v>#N/A</v>
      </c>
      <c r="T3653" s="81" t="e">
        <f>HLOOKUP(M3653,データについて!$J$7:$M$18,12,FALSE)</f>
        <v>#N/A</v>
      </c>
      <c r="U3653" s="81" t="e">
        <f>HLOOKUP(N3653,データについて!$J$8:$M$18,11,FALSE)</f>
        <v>#N/A</v>
      </c>
      <c r="V3653" s="81" t="e">
        <f>HLOOKUP(O3653,データについて!$J$9:$M$18,10,FALSE)</f>
        <v>#N/A</v>
      </c>
      <c r="W3653" s="81" t="e">
        <f>HLOOKUP(P3653,データについて!$J$10:$M$18,9,FALSE)</f>
        <v>#N/A</v>
      </c>
      <c r="X3653" s="81" t="e">
        <f>HLOOKUP(Q3653,データについて!$J$11:$M$18,8,FALSE)</f>
        <v>#N/A</v>
      </c>
      <c r="Y3653" s="81" t="e">
        <f>HLOOKUP(R3653,データについて!$J$12:$M$18,7,FALSE)</f>
        <v>#N/A</v>
      </c>
      <c r="Z3653" s="81" t="e">
        <f>HLOOKUP(I3653,データについて!$J$3:$M$18,16,FALSE)</f>
        <v>#N/A</v>
      </c>
      <c r="AA3653" s="81" t="str">
        <f>IFERROR(HLOOKUP(J3653,データについて!$J$4:$AH$19,16,FALSE),"")</f>
        <v/>
      </c>
      <c r="AB3653" s="81" t="str">
        <f>IFERROR(HLOOKUP(K3653,データについて!$J$5:$AH$20,14,FALSE),"")</f>
        <v/>
      </c>
      <c r="AC3653" s="81" t="e">
        <f>IF(X3653=1,HLOOKUP(R3653,データについて!$J$12:$M$18,7,FALSE),"*")</f>
        <v>#N/A</v>
      </c>
      <c r="AD3653" s="81" t="e">
        <f>IF(X3653=2,HLOOKUP(R3653,データについて!$J$12:$M$18,7,FALSE),"*")</f>
        <v>#N/A</v>
      </c>
    </row>
    <row r="3654" spans="19:30">
      <c r="S3654" s="81" t="e">
        <f>HLOOKUP(L3654,データについて!$J$6:$M$18,13,FALSE)</f>
        <v>#N/A</v>
      </c>
      <c r="T3654" s="81" t="e">
        <f>HLOOKUP(M3654,データについて!$J$7:$M$18,12,FALSE)</f>
        <v>#N/A</v>
      </c>
      <c r="U3654" s="81" t="e">
        <f>HLOOKUP(N3654,データについて!$J$8:$M$18,11,FALSE)</f>
        <v>#N/A</v>
      </c>
      <c r="V3654" s="81" t="e">
        <f>HLOOKUP(O3654,データについて!$J$9:$M$18,10,FALSE)</f>
        <v>#N/A</v>
      </c>
      <c r="W3654" s="81" t="e">
        <f>HLOOKUP(P3654,データについて!$J$10:$M$18,9,FALSE)</f>
        <v>#N/A</v>
      </c>
      <c r="X3654" s="81" t="e">
        <f>HLOOKUP(Q3654,データについて!$J$11:$M$18,8,FALSE)</f>
        <v>#N/A</v>
      </c>
      <c r="Y3654" s="81" t="e">
        <f>HLOOKUP(R3654,データについて!$J$12:$M$18,7,FALSE)</f>
        <v>#N/A</v>
      </c>
      <c r="Z3654" s="81" t="e">
        <f>HLOOKUP(I3654,データについて!$J$3:$M$18,16,FALSE)</f>
        <v>#N/A</v>
      </c>
      <c r="AA3654" s="81" t="str">
        <f>IFERROR(HLOOKUP(J3654,データについて!$J$4:$AH$19,16,FALSE),"")</f>
        <v/>
      </c>
      <c r="AB3654" s="81" t="str">
        <f>IFERROR(HLOOKUP(K3654,データについて!$J$5:$AH$20,14,FALSE),"")</f>
        <v/>
      </c>
      <c r="AC3654" s="81" t="e">
        <f>IF(X3654=1,HLOOKUP(R3654,データについて!$J$12:$M$18,7,FALSE),"*")</f>
        <v>#N/A</v>
      </c>
      <c r="AD3654" s="81" t="e">
        <f>IF(X3654=2,HLOOKUP(R3654,データについて!$J$12:$M$18,7,FALSE),"*")</f>
        <v>#N/A</v>
      </c>
    </row>
    <row r="3655" spans="19:30">
      <c r="S3655" s="81" t="e">
        <f>HLOOKUP(L3655,データについて!$J$6:$M$18,13,FALSE)</f>
        <v>#N/A</v>
      </c>
      <c r="T3655" s="81" t="e">
        <f>HLOOKUP(M3655,データについて!$J$7:$M$18,12,FALSE)</f>
        <v>#N/A</v>
      </c>
      <c r="U3655" s="81" t="e">
        <f>HLOOKUP(N3655,データについて!$J$8:$M$18,11,FALSE)</f>
        <v>#N/A</v>
      </c>
      <c r="V3655" s="81" t="e">
        <f>HLOOKUP(O3655,データについて!$J$9:$M$18,10,FALSE)</f>
        <v>#N/A</v>
      </c>
      <c r="W3655" s="81" t="e">
        <f>HLOOKUP(P3655,データについて!$J$10:$M$18,9,FALSE)</f>
        <v>#N/A</v>
      </c>
      <c r="X3655" s="81" t="e">
        <f>HLOOKUP(Q3655,データについて!$J$11:$M$18,8,FALSE)</f>
        <v>#N/A</v>
      </c>
      <c r="Y3655" s="81" t="e">
        <f>HLOOKUP(R3655,データについて!$J$12:$M$18,7,FALSE)</f>
        <v>#N/A</v>
      </c>
      <c r="Z3655" s="81" t="e">
        <f>HLOOKUP(I3655,データについて!$J$3:$M$18,16,FALSE)</f>
        <v>#N/A</v>
      </c>
      <c r="AA3655" s="81" t="str">
        <f>IFERROR(HLOOKUP(J3655,データについて!$J$4:$AH$19,16,FALSE),"")</f>
        <v/>
      </c>
      <c r="AB3655" s="81" t="str">
        <f>IFERROR(HLOOKUP(K3655,データについて!$J$5:$AH$20,14,FALSE),"")</f>
        <v/>
      </c>
      <c r="AC3655" s="81" t="e">
        <f>IF(X3655=1,HLOOKUP(R3655,データについて!$J$12:$M$18,7,FALSE),"*")</f>
        <v>#N/A</v>
      </c>
      <c r="AD3655" s="81" t="e">
        <f>IF(X3655=2,HLOOKUP(R3655,データについて!$J$12:$M$18,7,FALSE),"*")</f>
        <v>#N/A</v>
      </c>
    </row>
    <row r="3656" spans="19:30">
      <c r="S3656" s="81" t="e">
        <f>HLOOKUP(L3656,データについて!$J$6:$M$18,13,FALSE)</f>
        <v>#N/A</v>
      </c>
      <c r="T3656" s="81" t="e">
        <f>HLOOKUP(M3656,データについて!$J$7:$M$18,12,FALSE)</f>
        <v>#N/A</v>
      </c>
      <c r="U3656" s="81" t="e">
        <f>HLOOKUP(N3656,データについて!$J$8:$M$18,11,FALSE)</f>
        <v>#N/A</v>
      </c>
      <c r="V3656" s="81" t="e">
        <f>HLOOKUP(O3656,データについて!$J$9:$M$18,10,FALSE)</f>
        <v>#N/A</v>
      </c>
      <c r="W3656" s="81" t="e">
        <f>HLOOKUP(P3656,データについて!$J$10:$M$18,9,FALSE)</f>
        <v>#N/A</v>
      </c>
      <c r="X3656" s="81" t="e">
        <f>HLOOKUP(Q3656,データについて!$J$11:$M$18,8,FALSE)</f>
        <v>#N/A</v>
      </c>
      <c r="Y3656" s="81" t="e">
        <f>HLOOKUP(R3656,データについて!$J$12:$M$18,7,FALSE)</f>
        <v>#N/A</v>
      </c>
      <c r="Z3656" s="81" t="e">
        <f>HLOOKUP(I3656,データについて!$J$3:$M$18,16,FALSE)</f>
        <v>#N/A</v>
      </c>
      <c r="AA3656" s="81" t="str">
        <f>IFERROR(HLOOKUP(J3656,データについて!$J$4:$AH$19,16,FALSE),"")</f>
        <v/>
      </c>
      <c r="AB3656" s="81" t="str">
        <f>IFERROR(HLOOKUP(K3656,データについて!$J$5:$AH$20,14,FALSE),"")</f>
        <v/>
      </c>
      <c r="AC3656" s="81" t="e">
        <f>IF(X3656=1,HLOOKUP(R3656,データについて!$J$12:$M$18,7,FALSE),"*")</f>
        <v>#N/A</v>
      </c>
      <c r="AD3656" s="81" t="e">
        <f>IF(X3656=2,HLOOKUP(R3656,データについて!$J$12:$M$18,7,FALSE),"*")</f>
        <v>#N/A</v>
      </c>
    </row>
    <row r="3657" spans="19:30">
      <c r="S3657" s="81" t="e">
        <f>HLOOKUP(L3657,データについて!$J$6:$M$18,13,FALSE)</f>
        <v>#N/A</v>
      </c>
      <c r="T3657" s="81" t="e">
        <f>HLOOKUP(M3657,データについて!$J$7:$M$18,12,FALSE)</f>
        <v>#N/A</v>
      </c>
      <c r="U3657" s="81" t="e">
        <f>HLOOKUP(N3657,データについて!$J$8:$M$18,11,FALSE)</f>
        <v>#N/A</v>
      </c>
      <c r="V3657" s="81" t="e">
        <f>HLOOKUP(O3657,データについて!$J$9:$M$18,10,FALSE)</f>
        <v>#N/A</v>
      </c>
      <c r="W3657" s="81" t="e">
        <f>HLOOKUP(P3657,データについて!$J$10:$M$18,9,FALSE)</f>
        <v>#N/A</v>
      </c>
      <c r="X3657" s="81" t="e">
        <f>HLOOKUP(Q3657,データについて!$J$11:$M$18,8,FALSE)</f>
        <v>#N/A</v>
      </c>
      <c r="Y3657" s="81" t="e">
        <f>HLOOKUP(R3657,データについて!$J$12:$M$18,7,FALSE)</f>
        <v>#N/A</v>
      </c>
      <c r="Z3657" s="81" t="e">
        <f>HLOOKUP(I3657,データについて!$J$3:$M$18,16,FALSE)</f>
        <v>#N/A</v>
      </c>
      <c r="AA3657" s="81" t="str">
        <f>IFERROR(HLOOKUP(J3657,データについて!$J$4:$AH$19,16,FALSE),"")</f>
        <v/>
      </c>
      <c r="AB3657" s="81" t="str">
        <f>IFERROR(HLOOKUP(K3657,データについて!$J$5:$AH$20,14,FALSE),"")</f>
        <v/>
      </c>
      <c r="AC3657" s="81" t="e">
        <f>IF(X3657=1,HLOOKUP(R3657,データについて!$J$12:$M$18,7,FALSE),"*")</f>
        <v>#N/A</v>
      </c>
      <c r="AD3657" s="81" t="e">
        <f>IF(X3657=2,HLOOKUP(R3657,データについて!$J$12:$M$18,7,FALSE),"*")</f>
        <v>#N/A</v>
      </c>
    </row>
    <row r="3658" spans="19:30">
      <c r="S3658" s="81" t="e">
        <f>HLOOKUP(L3658,データについて!$J$6:$M$18,13,FALSE)</f>
        <v>#N/A</v>
      </c>
      <c r="T3658" s="81" t="e">
        <f>HLOOKUP(M3658,データについて!$J$7:$M$18,12,FALSE)</f>
        <v>#N/A</v>
      </c>
      <c r="U3658" s="81" t="e">
        <f>HLOOKUP(N3658,データについて!$J$8:$M$18,11,FALSE)</f>
        <v>#N/A</v>
      </c>
      <c r="V3658" s="81" t="e">
        <f>HLOOKUP(O3658,データについて!$J$9:$M$18,10,FALSE)</f>
        <v>#N/A</v>
      </c>
      <c r="W3658" s="81" t="e">
        <f>HLOOKUP(P3658,データについて!$J$10:$M$18,9,FALSE)</f>
        <v>#N/A</v>
      </c>
      <c r="X3658" s="81" t="e">
        <f>HLOOKUP(Q3658,データについて!$J$11:$M$18,8,FALSE)</f>
        <v>#N/A</v>
      </c>
      <c r="Y3658" s="81" t="e">
        <f>HLOOKUP(R3658,データについて!$J$12:$M$18,7,FALSE)</f>
        <v>#N/A</v>
      </c>
      <c r="Z3658" s="81" t="e">
        <f>HLOOKUP(I3658,データについて!$J$3:$M$18,16,FALSE)</f>
        <v>#N/A</v>
      </c>
      <c r="AA3658" s="81" t="str">
        <f>IFERROR(HLOOKUP(J3658,データについて!$J$4:$AH$19,16,FALSE),"")</f>
        <v/>
      </c>
      <c r="AB3658" s="81" t="str">
        <f>IFERROR(HLOOKUP(K3658,データについて!$J$5:$AH$20,14,FALSE),"")</f>
        <v/>
      </c>
      <c r="AC3658" s="81" t="e">
        <f>IF(X3658=1,HLOOKUP(R3658,データについて!$J$12:$M$18,7,FALSE),"*")</f>
        <v>#N/A</v>
      </c>
      <c r="AD3658" s="81" t="e">
        <f>IF(X3658=2,HLOOKUP(R3658,データについて!$J$12:$M$18,7,FALSE),"*")</f>
        <v>#N/A</v>
      </c>
    </row>
    <row r="3659" spans="19:30">
      <c r="S3659" s="81" t="e">
        <f>HLOOKUP(L3659,データについて!$J$6:$M$18,13,FALSE)</f>
        <v>#N/A</v>
      </c>
      <c r="T3659" s="81" t="e">
        <f>HLOOKUP(M3659,データについて!$J$7:$M$18,12,FALSE)</f>
        <v>#N/A</v>
      </c>
      <c r="U3659" s="81" t="e">
        <f>HLOOKUP(N3659,データについて!$J$8:$M$18,11,FALSE)</f>
        <v>#N/A</v>
      </c>
      <c r="V3659" s="81" t="e">
        <f>HLOOKUP(O3659,データについて!$J$9:$M$18,10,FALSE)</f>
        <v>#N/A</v>
      </c>
      <c r="W3659" s="81" t="e">
        <f>HLOOKUP(P3659,データについて!$J$10:$M$18,9,FALSE)</f>
        <v>#N/A</v>
      </c>
      <c r="X3659" s="81" t="e">
        <f>HLOOKUP(Q3659,データについて!$J$11:$M$18,8,FALSE)</f>
        <v>#N/A</v>
      </c>
      <c r="Y3659" s="81" t="e">
        <f>HLOOKUP(R3659,データについて!$J$12:$M$18,7,FALSE)</f>
        <v>#N/A</v>
      </c>
      <c r="Z3659" s="81" t="e">
        <f>HLOOKUP(I3659,データについて!$J$3:$M$18,16,FALSE)</f>
        <v>#N/A</v>
      </c>
      <c r="AA3659" s="81" t="str">
        <f>IFERROR(HLOOKUP(J3659,データについて!$J$4:$AH$19,16,FALSE),"")</f>
        <v/>
      </c>
      <c r="AB3659" s="81" t="str">
        <f>IFERROR(HLOOKUP(K3659,データについて!$J$5:$AH$20,14,FALSE),"")</f>
        <v/>
      </c>
      <c r="AC3659" s="81" t="e">
        <f>IF(X3659=1,HLOOKUP(R3659,データについて!$J$12:$M$18,7,FALSE),"*")</f>
        <v>#N/A</v>
      </c>
      <c r="AD3659" s="81" t="e">
        <f>IF(X3659=2,HLOOKUP(R3659,データについて!$J$12:$M$18,7,FALSE),"*")</f>
        <v>#N/A</v>
      </c>
    </row>
    <row r="3660" spans="19:30">
      <c r="S3660" s="81" t="e">
        <f>HLOOKUP(L3660,データについて!$J$6:$M$18,13,FALSE)</f>
        <v>#N/A</v>
      </c>
      <c r="T3660" s="81" t="e">
        <f>HLOOKUP(M3660,データについて!$J$7:$M$18,12,FALSE)</f>
        <v>#N/A</v>
      </c>
      <c r="U3660" s="81" t="e">
        <f>HLOOKUP(N3660,データについて!$J$8:$M$18,11,FALSE)</f>
        <v>#N/A</v>
      </c>
      <c r="V3660" s="81" t="e">
        <f>HLOOKUP(O3660,データについて!$J$9:$M$18,10,FALSE)</f>
        <v>#N/A</v>
      </c>
      <c r="W3660" s="81" t="e">
        <f>HLOOKUP(P3660,データについて!$J$10:$M$18,9,FALSE)</f>
        <v>#N/A</v>
      </c>
      <c r="X3660" s="81" t="e">
        <f>HLOOKUP(Q3660,データについて!$J$11:$M$18,8,FALSE)</f>
        <v>#N/A</v>
      </c>
      <c r="Y3660" s="81" t="e">
        <f>HLOOKUP(R3660,データについて!$J$12:$M$18,7,FALSE)</f>
        <v>#N/A</v>
      </c>
      <c r="Z3660" s="81" t="e">
        <f>HLOOKUP(I3660,データについて!$J$3:$M$18,16,FALSE)</f>
        <v>#N/A</v>
      </c>
      <c r="AA3660" s="81" t="str">
        <f>IFERROR(HLOOKUP(J3660,データについて!$J$4:$AH$19,16,FALSE),"")</f>
        <v/>
      </c>
      <c r="AB3660" s="81" t="str">
        <f>IFERROR(HLOOKUP(K3660,データについて!$J$5:$AH$20,14,FALSE),"")</f>
        <v/>
      </c>
      <c r="AC3660" s="81" t="e">
        <f>IF(X3660=1,HLOOKUP(R3660,データについて!$J$12:$M$18,7,FALSE),"*")</f>
        <v>#N/A</v>
      </c>
      <c r="AD3660" s="81" t="e">
        <f>IF(X3660=2,HLOOKUP(R3660,データについて!$J$12:$M$18,7,FALSE),"*")</f>
        <v>#N/A</v>
      </c>
    </row>
    <row r="3661" spans="19:30">
      <c r="S3661" s="81" t="e">
        <f>HLOOKUP(L3661,データについて!$J$6:$M$18,13,FALSE)</f>
        <v>#N/A</v>
      </c>
      <c r="T3661" s="81" t="e">
        <f>HLOOKUP(M3661,データについて!$J$7:$M$18,12,FALSE)</f>
        <v>#N/A</v>
      </c>
      <c r="U3661" s="81" t="e">
        <f>HLOOKUP(N3661,データについて!$J$8:$M$18,11,FALSE)</f>
        <v>#N/A</v>
      </c>
      <c r="V3661" s="81" t="e">
        <f>HLOOKUP(O3661,データについて!$J$9:$M$18,10,FALSE)</f>
        <v>#N/A</v>
      </c>
      <c r="W3661" s="81" t="e">
        <f>HLOOKUP(P3661,データについて!$J$10:$M$18,9,FALSE)</f>
        <v>#N/A</v>
      </c>
      <c r="X3661" s="81" t="e">
        <f>HLOOKUP(Q3661,データについて!$J$11:$M$18,8,FALSE)</f>
        <v>#N/A</v>
      </c>
      <c r="Y3661" s="81" t="e">
        <f>HLOOKUP(R3661,データについて!$J$12:$M$18,7,FALSE)</f>
        <v>#N/A</v>
      </c>
      <c r="Z3661" s="81" t="e">
        <f>HLOOKUP(I3661,データについて!$J$3:$M$18,16,FALSE)</f>
        <v>#N/A</v>
      </c>
      <c r="AA3661" s="81" t="str">
        <f>IFERROR(HLOOKUP(J3661,データについて!$J$4:$AH$19,16,FALSE),"")</f>
        <v/>
      </c>
      <c r="AB3661" s="81" t="str">
        <f>IFERROR(HLOOKUP(K3661,データについて!$J$5:$AH$20,14,FALSE),"")</f>
        <v/>
      </c>
      <c r="AC3661" s="81" t="e">
        <f>IF(X3661=1,HLOOKUP(R3661,データについて!$J$12:$M$18,7,FALSE),"*")</f>
        <v>#N/A</v>
      </c>
      <c r="AD3661" s="81" t="e">
        <f>IF(X3661=2,HLOOKUP(R3661,データについて!$J$12:$M$18,7,FALSE),"*")</f>
        <v>#N/A</v>
      </c>
    </row>
    <row r="3662" spans="19:30">
      <c r="S3662" s="81" t="e">
        <f>HLOOKUP(L3662,データについて!$J$6:$M$18,13,FALSE)</f>
        <v>#N/A</v>
      </c>
      <c r="T3662" s="81" t="e">
        <f>HLOOKUP(M3662,データについて!$J$7:$M$18,12,FALSE)</f>
        <v>#N/A</v>
      </c>
      <c r="U3662" s="81" t="e">
        <f>HLOOKUP(N3662,データについて!$J$8:$M$18,11,FALSE)</f>
        <v>#N/A</v>
      </c>
      <c r="V3662" s="81" t="e">
        <f>HLOOKUP(O3662,データについて!$J$9:$M$18,10,FALSE)</f>
        <v>#N/A</v>
      </c>
      <c r="W3662" s="81" t="e">
        <f>HLOOKUP(P3662,データについて!$J$10:$M$18,9,FALSE)</f>
        <v>#N/A</v>
      </c>
      <c r="X3662" s="81" t="e">
        <f>HLOOKUP(Q3662,データについて!$J$11:$M$18,8,FALSE)</f>
        <v>#N/A</v>
      </c>
      <c r="Y3662" s="81" t="e">
        <f>HLOOKUP(R3662,データについて!$J$12:$M$18,7,FALSE)</f>
        <v>#N/A</v>
      </c>
      <c r="Z3662" s="81" t="e">
        <f>HLOOKUP(I3662,データについて!$J$3:$M$18,16,FALSE)</f>
        <v>#N/A</v>
      </c>
      <c r="AA3662" s="81" t="str">
        <f>IFERROR(HLOOKUP(J3662,データについて!$J$4:$AH$19,16,FALSE),"")</f>
        <v/>
      </c>
      <c r="AB3662" s="81" t="str">
        <f>IFERROR(HLOOKUP(K3662,データについて!$J$5:$AH$20,14,FALSE),"")</f>
        <v/>
      </c>
      <c r="AC3662" s="81" t="e">
        <f>IF(X3662=1,HLOOKUP(R3662,データについて!$J$12:$M$18,7,FALSE),"*")</f>
        <v>#N/A</v>
      </c>
      <c r="AD3662" s="81" t="e">
        <f>IF(X3662=2,HLOOKUP(R3662,データについて!$J$12:$M$18,7,FALSE),"*")</f>
        <v>#N/A</v>
      </c>
    </row>
    <row r="3663" spans="19:30">
      <c r="S3663" s="81" t="e">
        <f>HLOOKUP(L3663,データについて!$J$6:$M$18,13,FALSE)</f>
        <v>#N/A</v>
      </c>
      <c r="T3663" s="81" t="e">
        <f>HLOOKUP(M3663,データについて!$J$7:$M$18,12,FALSE)</f>
        <v>#N/A</v>
      </c>
      <c r="U3663" s="81" t="e">
        <f>HLOOKUP(N3663,データについて!$J$8:$M$18,11,FALSE)</f>
        <v>#N/A</v>
      </c>
      <c r="V3663" s="81" t="e">
        <f>HLOOKUP(O3663,データについて!$J$9:$M$18,10,FALSE)</f>
        <v>#N/A</v>
      </c>
      <c r="W3663" s="81" t="e">
        <f>HLOOKUP(P3663,データについて!$J$10:$M$18,9,FALSE)</f>
        <v>#N/A</v>
      </c>
      <c r="X3663" s="81" t="e">
        <f>HLOOKUP(Q3663,データについて!$J$11:$M$18,8,FALSE)</f>
        <v>#N/A</v>
      </c>
      <c r="Y3663" s="81" t="e">
        <f>HLOOKUP(R3663,データについて!$J$12:$M$18,7,FALSE)</f>
        <v>#N/A</v>
      </c>
      <c r="Z3663" s="81" t="e">
        <f>HLOOKUP(I3663,データについて!$J$3:$M$18,16,FALSE)</f>
        <v>#N/A</v>
      </c>
      <c r="AA3663" s="81" t="str">
        <f>IFERROR(HLOOKUP(J3663,データについて!$J$4:$AH$19,16,FALSE),"")</f>
        <v/>
      </c>
      <c r="AB3663" s="81" t="str">
        <f>IFERROR(HLOOKUP(K3663,データについて!$J$5:$AH$20,14,FALSE),"")</f>
        <v/>
      </c>
      <c r="AC3663" s="81" t="e">
        <f>IF(X3663=1,HLOOKUP(R3663,データについて!$J$12:$M$18,7,FALSE),"*")</f>
        <v>#N/A</v>
      </c>
      <c r="AD3663" s="81" t="e">
        <f>IF(X3663=2,HLOOKUP(R3663,データについて!$J$12:$M$18,7,FALSE),"*")</f>
        <v>#N/A</v>
      </c>
    </row>
    <row r="3664" spans="19:30">
      <c r="S3664" s="81" t="e">
        <f>HLOOKUP(L3664,データについて!$J$6:$M$18,13,FALSE)</f>
        <v>#N/A</v>
      </c>
      <c r="T3664" s="81" t="e">
        <f>HLOOKUP(M3664,データについて!$J$7:$M$18,12,FALSE)</f>
        <v>#N/A</v>
      </c>
      <c r="U3664" s="81" t="e">
        <f>HLOOKUP(N3664,データについて!$J$8:$M$18,11,FALSE)</f>
        <v>#N/A</v>
      </c>
      <c r="V3664" s="81" t="e">
        <f>HLOOKUP(O3664,データについて!$J$9:$M$18,10,FALSE)</f>
        <v>#N/A</v>
      </c>
      <c r="W3664" s="81" t="e">
        <f>HLOOKUP(P3664,データについて!$J$10:$M$18,9,FALSE)</f>
        <v>#N/A</v>
      </c>
      <c r="X3664" s="81" t="e">
        <f>HLOOKUP(Q3664,データについて!$J$11:$M$18,8,FALSE)</f>
        <v>#N/A</v>
      </c>
      <c r="Y3664" s="81" t="e">
        <f>HLOOKUP(R3664,データについて!$J$12:$M$18,7,FALSE)</f>
        <v>#N/A</v>
      </c>
      <c r="Z3664" s="81" t="e">
        <f>HLOOKUP(I3664,データについて!$J$3:$M$18,16,FALSE)</f>
        <v>#N/A</v>
      </c>
      <c r="AA3664" s="81" t="str">
        <f>IFERROR(HLOOKUP(J3664,データについて!$J$4:$AH$19,16,FALSE),"")</f>
        <v/>
      </c>
      <c r="AB3664" s="81" t="str">
        <f>IFERROR(HLOOKUP(K3664,データについて!$J$5:$AH$20,14,FALSE),"")</f>
        <v/>
      </c>
      <c r="AC3664" s="81" t="e">
        <f>IF(X3664=1,HLOOKUP(R3664,データについて!$J$12:$M$18,7,FALSE),"*")</f>
        <v>#N/A</v>
      </c>
      <c r="AD3664" s="81" t="e">
        <f>IF(X3664=2,HLOOKUP(R3664,データについて!$J$12:$M$18,7,FALSE),"*")</f>
        <v>#N/A</v>
      </c>
    </row>
    <row r="3665" spans="19:30">
      <c r="S3665" s="81" t="e">
        <f>HLOOKUP(L3665,データについて!$J$6:$M$18,13,FALSE)</f>
        <v>#N/A</v>
      </c>
      <c r="T3665" s="81" t="e">
        <f>HLOOKUP(M3665,データについて!$J$7:$M$18,12,FALSE)</f>
        <v>#N/A</v>
      </c>
      <c r="U3665" s="81" t="e">
        <f>HLOOKUP(N3665,データについて!$J$8:$M$18,11,FALSE)</f>
        <v>#N/A</v>
      </c>
      <c r="V3665" s="81" t="e">
        <f>HLOOKUP(O3665,データについて!$J$9:$M$18,10,FALSE)</f>
        <v>#N/A</v>
      </c>
      <c r="W3665" s="81" t="e">
        <f>HLOOKUP(P3665,データについて!$J$10:$M$18,9,FALSE)</f>
        <v>#N/A</v>
      </c>
      <c r="X3665" s="81" t="e">
        <f>HLOOKUP(Q3665,データについて!$J$11:$M$18,8,FALSE)</f>
        <v>#N/A</v>
      </c>
      <c r="Y3665" s="81" t="e">
        <f>HLOOKUP(R3665,データについて!$J$12:$M$18,7,FALSE)</f>
        <v>#N/A</v>
      </c>
      <c r="Z3665" s="81" t="e">
        <f>HLOOKUP(I3665,データについて!$J$3:$M$18,16,FALSE)</f>
        <v>#N/A</v>
      </c>
      <c r="AA3665" s="81" t="str">
        <f>IFERROR(HLOOKUP(J3665,データについて!$J$4:$AH$19,16,FALSE),"")</f>
        <v/>
      </c>
      <c r="AB3665" s="81" t="str">
        <f>IFERROR(HLOOKUP(K3665,データについて!$J$5:$AH$20,14,FALSE),"")</f>
        <v/>
      </c>
      <c r="AC3665" s="81" t="e">
        <f>IF(X3665=1,HLOOKUP(R3665,データについて!$J$12:$M$18,7,FALSE),"*")</f>
        <v>#N/A</v>
      </c>
      <c r="AD3665" s="81" t="e">
        <f>IF(X3665=2,HLOOKUP(R3665,データについて!$J$12:$M$18,7,FALSE),"*")</f>
        <v>#N/A</v>
      </c>
    </row>
    <row r="3666" spans="19:30">
      <c r="S3666" s="81" t="e">
        <f>HLOOKUP(L3666,データについて!$J$6:$M$18,13,FALSE)</f>
        <v>#N/A</v>
      </c>
      <c r="T3666" s="81" t="e">
        <f>HLOOKUP(M3666,データについて!$J$7:$M$18,12,FALSE)</f>
        <v>#N/A</v>
      </c>
      <c r="U3666" s="81" t="e">
        <f>HLOOKUP(N3666,データについて!$J$8:$M$18,11,FALSE)</f>
        <v>#N/A</v>
      </c>
      <c r="V3666" s="81" t="e">
        <f>HLOOKUP(O3666,データについて!$J$9:$M$18,10,FALSE)</f>
        <v>#N/A</v>
      </c>
      <c r="W3666" s="81" t="e">
        <f>HLOOKUP(P3666,データについて!$J$10:$M$18,9,FALSE)</f>
        <v>#N/A</v>
      </c>
      <c r="X3666" s="81" t="e">
        <f>HLOOKUP(Q3666,データについて!$J$11:$M$18,8,FALSE)</f>
        <v>#N/A</v>
      </c>
      <c r="Y3666" s="81" t="e">
        <f>HLOOKUP(R3666,データについて!$J$12:$M$18,7,FALSE)</f>
        <v>#N/A</v>
      </c>
      <c r="Z3666" s="81" t="e">
        <f>HLOOKUP(I3666,データについて!$J$3:$M$18,16,FALSE)</f>
        <v>#N/A</v>
      </c>
      <c r="AA3666" s="81" t="str">
        <f>IFERROR(HLOOKUP(J3666,データについて!$J$4:$AH$19,16,FALSE),"")</f>
        <v/>
      </c>
      <c r="AB3666" s="81" t="str">
        <f>IFERROR(HLOOKUP(K3666,データについて!$J$5:$AH$20,14,FALSE),"")</f>
        <v/>
      </c>
      <c r="AC3666" s="81" t="e">
        <f>IF(X3666=1,HLOOKUP(R3666,データについて!$J$12:$M$18,7,FALSE),"*")</f>
        <v>#N/A</v>
      </c>
      <c r="AD3666" s="81" t="e">
        <f>IF(X3666=2,HLOOKUP(R3666,データについて!$J$12:$M$18,7,FALSE),"*")</f>
        <v>#N/A</v>
      </c>
    </row>
    <row r="3667" spans="19:30">
      <c r="S3667" s="81" t="e">
        <f>HLOOKUP(L3667,データについて!$J$6:$M$18,13,FALSE)</f>
        <v>#N/A</v>
      </c>
      <c r="T3667" s="81" t="e">
        <f>HLOOKUP(M3667,データについて!$J$7:$M$18,12,FALSE)</f>
        <v>#N/A</v>
      </c>
      <c r="U3667" s="81" t="e">
        <f>HLOOKUP(N3667,データについて!$J$8:$M$18,11,FALSE)</f>
        <v>#N/A</v>
      </c>
      <c r="V3667" s="81" t="e">
        <f>HLOOKUP(O3667,データについて!$J$9:$M$18,10,FALSE)</f>
        <v>#N/A</v>
      </c>
      <c r="W3667" s="81" t="e">
        <f>HLOOKUP(P3667,データについて!$J$10:$M$18,9,FALSE)</f>
        <v>#N/A</v>
      </c>
      <c r="X3667" s="81" t="e">
        <f>HLOOKUP(Q3667,データについて!$J$11:$M$18,8,FALSE)</f>
        <v>#N/A</v>
      </c>
      <c r="Y3667" s="81" t="e">
        <f>HLOOKUP(R3667,データについて!$J$12:$M$18,7,FALSE)</f>
        <v>#N/A</v>
      </c>
      <c r="Z3667" s="81" t="e">
        <f>HLOOKUP(I3667,データについて!$J$3:$M$18,16,FALSE)</f>
        <v>#N/A</v>
      </c>
      <c r="AA3667" s="81" t="str">
        <f>IFERROR(HLOOKUP(J3667,データについて!$J$4:$AH$19,16,FALSE),"")</f>
        <v/>
      </c>
      <c r="AB3667" s="81" t="str">
        <f>IFERROR(HLOOKUP(K3667,データについて!$J$5:$AH$20,14,FALSE),"")</f>
        <v/>
      </c>
      <c r="AC3667" s="81" t="e">
        <f>IF(X3667=1,HLOOKUP(R3667,データについて!$J$12:$M$18,7,FALSE),"*")</f>
        <v>#N/A</v>
      </c>
      <c r="AD3667" s="81" t="e">
        <f>IF(X3667=2,HLOOKUP(R3667,データについて!$J$12:$M$18,7,FALSE),"*")</f>
        <v>#N/A</v>
      </c>
    </row>
    <row r="3668" spans="19:30">
      <c r="S3668" s="81" t="e">
        <f>HLOOKUP(L3668,データについて!$J$6:$M$18,13,FALSE)</f>
        <v>#N/A</v>
      </c>
      <c r="T3668" s="81" t="e">
        <f>HLOOKUP(M3668,データについて!$J$7:$M$18,12,FALSE)</f>
        <v>#N/A</v>
      </c>
      <c r="U3668" s="81" t="e">
        <f>HLOOKUP(N3668,データについて!$J$8:$M$18,11,FALSE)</f>
        <v>#N/A</v>
      </c>
      <c r="V3668" s="81" t="e">
        <f>HLOOKUP(O3668,データについて!$J$9:$M$18,10,FALSE)</f>
        <v>#N/A</v>
      </c>
      <c r="W3668" s="81" t="e">
        <f>HLOOKUP(P3668,データについて!$J$10:$M$18,9,FALSE)</f>
        <v>#N/A</v>
      </c>
      <c r="X3668" s="81" t="e">
        <f>HLOOKUP(Q3668,データについて!$J$11:$M$18,8,FALSE)</f>
        <v>#N/A</v>
      </c>
      <c r="Y3668" s="81" t="e">
        <f>HLOOKUP(R3668,データについて!$J$12:$M$18,7,FALSE)</f>
        <v>#N/A</v>
      </c>
      <c r="Z3668" s="81" t="e">
        <f>HLOOKUP(I3668,データについて!$J$3:$M$18,16,FALSE)</f>
        <v>#N/A</v>
      </c>
      <c r="AA3668" s="81" t="str">
        <f>IFERROR(HLOOKUP(J3668,データについて!$J$4:$AH$19,16,FALSE),"")</f>
        <v/>
      </c>
      <c r="AB3668" s="81" t="str">
        <f>IFERROR(HLOOKUP(K3668,データについて!$J$5:$AH$20,14,FALSE),"")</f>
        <v/>
      </c>
      <c r="AC3668" s="81" t="e">
        <f>IF(X3668=1,HLOOKUP(R3668,データについて!$J$12:$M$18,7,FALSE),"*")</f>
        <v>#N/A</v>
      </c>
      <c r="AD3668" s="81" t="e">
        <f>IF(X3668=2,HLOOKUP(R3668,データについて!$J$12:$M$18,7,FALSE),"*")</f>
        <v>#N/A</v>
      </c>
    </row>
    <row r="3669" spans="19:30">
      <c r="S3669" s="81" t="e">
        <f>HLOOKUP(L3669,データについて!$J$6:$M$18,13,FALSE)</f>
        <v>#N/A</v>
      </c>
      <c r="T3669" s="81" t="e">
        <f>HLOOKUP(M3669,データについて!$J$7:$M$18,12,FALSE)</f>
        <v>#N/A</v>
      </c>
      <c r="U3669" s="81" t="e">
        <f>HLOOKUP(N3669,データについて!$J$8:$M$18,11,FALSE)</f>
        <v>#N/A</v>
      </c>
      <c r="V3669" s="81" t="e">
        <f>HLOOKUP(O3669,データについて!$J$9:$M$18,10,FALSE)</f>
        <v>#N/A</v>
      </c>
      <c r="W3669" s="81" t="e">
        <f>HLOOKUP(P3669,データについて!$J$10:$M$18,9,FALSE)</f>
        <v>#N/A</v>
      </c>
      <c r="X3669" s="81" t="e">
        <f>HLOOKUP(Q3669,データについて!$J$11:$M$18,8,FALSE)</f>
        <v>#N/A</v>
      </c>
      <c r="Y3669" s="81" t="e">
        <f>HLOOKUP(R3669,データについて!$J$12:$M$18,7,FALSE)</f>
        <v>#N/A</v>
      </c>
      <c r="Z3669" s="81" t="e">
        <f>HLOOKUP(I3669,データについて!$J$3:$M$18,16,FALSE)</f>
        <v>#N/A</v>
      </c>
      <c r="AA3669" s="81" t="str">
        <f>IFERROR(HLOOKUP(J3669,データについて!$J$4:$AH$19,16,FALSE),"")</f>
        <v/>
      </c>
      <c r="AB3669" s="81" t="str">
        <f>IFERROR(HLOOKUP(K3669,データについて!$J$5:$AH$20,14,FALSE),"")</f>
        <v/>
      </c>
      <c r="AC3669" s="81" t="e">
        <f>IF(X3669=1,HLOOKUP(R3669,データについて!$J$12:$M$18,7,FALSE),"*")</f>
        <v>#N/A</v>
      </c>
      <c r="AD3669" s="81" t="e">
        <f>IF(X3669=2,HLOOKUP(R3669,データについて!$J$12:$M$18,7,FALSE),"*")</f>
        <v>#N/A</v>
      </c>
    </row>
    <row r="3670" spans="19:30">
      <c r="S3670" s="81" t="e">
        <f>HLOOKUP(L3670,データについて!$J$6:$M$18,13,FALSE)</f>
        <v>#N/A</v>
      </c>
      <c r="T3670" s="81" t="e">
        <f>HLOOKUP(M3670,データについて!$J$7:$M$18,12,FALSE)</f>
        <v>#N/A</v>
      </c>
      <c r="U3670" s="81" t="e">
        <f>HLOOKUP(N3670,データについて!$J$8:$M$18,11,FALSE)</f>
        <v>#N/A</v>
      </c>
      <c r="V3670" s="81" t="e">
        <f>HLOOKUP(O3670,データについて!$J$9:$M$18,10,FALSE)</f>
        <v>#N/A</v>
      </c>
      <c r="W3670" s="81" t="e">
        <f>HLOOKUP(P3670,データについて!$J$10:$M$18,9,FALSE)</f>
        <v>#N/A</v>
      </c>
      <c r="X3670" s="81" t="e">
        <f>HLOOKUP(Q3670,データについて!$J$11:$M$18,8,FALSE)</f>
        <v>#N/A</v>
      </c>
      <c r="Y3670" s="81" t="e">
        <f>HLOOKUP(R3670,データについて!$J$12:$M$18,7,FALSE)</f>
        <v>#N/A</v>
      </c>
      <c r="Z3670" s="81" t="e">
        <f>HLOOKUP(I3670,データについて!$J$3:$M$18,16,FALSE)</f>
        <v>#N/A</v>
      </c>
      <c r="AA3670" s="81" t="str">
        <f>IFERROR(HLOOKUP(J3670,データについて!$J$4:$AH$19,16,FALSE),"")</f>
        <v/>
      </c>
      <c r="AB3670" s="81" t="str">
        <f>IFERROR(HLOOKUP(K3670,データについて!$J$5:$AH$20,14,FALSE),"")</f>
        <v/>
      </c>
      <c r="AC3670" s="81" t="e">
        <f>IF(X3670=1,HLOOKUP(R3670,データについて!$J$12:$M$18,7,FALSE),"*")</f>
        <v>#N/A</v>
      </c>
      <c r="AD3670" s="81" t="e">
        <f>IF(X3670=2,HLOOKUP(R3670,データについて!$J$12:$M$18,7,FALSE),"*")</f>
        <v>#N/A</v>
      </c>
    </row>
    <row r="3671" spans="19:30">
      <c r="S3671" s="81" t="e">
        <f>HLOOKUP(L3671,データについて!$J$6:$M$18,13,FALSE)</f>
        <v>#N/A</v>
      </c>
      <c r="T3671" s="81" t="e">
        <f>HLOOKUP(M3671,データについて!$J$7:$M$18,12,FALSE)</f>
        <v>#N/A</v>
      </c>
      <c r="U3671" s="81" t="e">
        <f>HLOOKUP(N3671,データについて!$J$8:$M$18,11,FALSE)</f>
        <v>#N/A</v>
      </c>
      <c r="V3671" s="81" t="e">
        <f>HLOOKUP(O3671,データについて!$J$9:$M$18,10,FALSE)</f>
        <v>#N/A</v>
      </c>
      <c r="W3671" s="81" t="e">
        <f>HLOOKUP(P3671,データについて!$J$10:$M$18,9,FALSE)</f>
        <v>#N/A</v>
      </c>
      <c r="X3671" s="81" t="e">
        <f>HLOOKUP(Q3671,データについて!$J$11:$M$18,8,FALSE)</f>
        <v>#N/A</v>
      </c>
      <c r="Y3671" s="81" t="e">
        <f>HLOOKUP(R3671,データについて!$J$12:$M$18,7,FALSE)</f>
        <v>#N/A</v>
      </c>
      <c r="Z3671" s="81" t="e">
        <f>HLOOKUP(I3671,データについて!$J$3:$M$18,16,FALSE)</f>
        <v>#N/A</v>
      </c>
      <c r="AA3671" s="81" t="str">
        <f>IFERROR(HLOOKUP(J3671,データについて!$J$4:$AH$19,16,FALSE),"")</f>
        <v/>
      </c>
      <c r="AB3671" s="81" t="str">
        <f>IFERROR(HLOOKUP(K3671,データについて!$J$5:$AH$20,14,FALSE),"")</f>
        <v/>
      </c>
      <c r="AC3671" s="81" t="e">
        <f>IF(X3671=1,HLOOKUP(R3671,データについて!$J$12:$M$18,7,FALSE),"*")</f>
        <v>#N/A</v>
      </c>
      <c r="AD3671" s="81" t="e">
        <f>IF(X3671=2,HLOOKUP(R3671,データについて!$J$12:$M$18,7,FALSE),"*")</f>
        <v>#N/A</v>
      </c>
    </row>
    <row r="3672" spans="19:30">
      <c r="S3672" s="81" t="e">
        <f>HLOOKUP(L3672,データについて!$J$6:$M$18,13,FALSE)</f>
        <v>#N/A</v>
      </c>
      <c r="T3672" s="81" t="e">
        <f>HLOOKUP(M3672,データについて!$J$7:$M$18,12,FALSE)</f>
        <v>#N/A</v>
      </c>
      <c r="U3672" s="81" t="e">
        <f>HLOOKUP(N3672,データについて!$J$8:$M$18,11,FALSE)</f>
        <v>#N/A</v>
      </c>
      <c r="V3672" s="81" t="e">
        <f>HLOOKUP(O3672,データについて!$J$9:$M$18,10,FALSE)</f>
        <v>#N/A</v>
      </c>
      <c r="W3672" s="81" t="e">
        <f>HLOOKUP(P3672,データについて!$J$10:$M$18,9,FALSE)</f>
        <v>#N/A</v>
      </c>
      <c r="X3672" s="81" t="e">
        <f>HLOOKUP(Q3672,データについて!$J$11:$M$18,8,FALSE)</f>
        <v>#N/A</v>
      </c>
      <c r="Y3672" s="81" t="e">
        <f>HLOOKUP(R3672,データについて!$J$12:$M$18,7,FALSE)</f>
        <v>#N/A</v>
      </c>
      <c r="Z3672" s="81" t="e">
        <f>HLOOKUP(I3672,データについて!$J$3:$M$18,16,FALSE)</f>
        <v>#N/A</v>
      </c>
      <c r="AA3672" s="81" t="str">
        <f>IFERROR(HLOOKUP(J3672,データについて!$J$4:$AH$19,16,FALSE),"")</f>
        <v/>
      </c>
      <c r="AB3672" s="81" t="str">
        <f>IFERROR(HLOOKUP(K3672,データについて!$J$5:$AH$20,14,FALSE),"")</f>
        <v/>
      </c>
      <c r="AC3672" s="81" t="e">
        <f>IF(X3672=1,HLOOKUP(R3672,データについて!$J$12:$M$18,7,FALSE),"*")</f>
        <v>#N/A</v>
      </c>
      <c r="AD3672" s="81" t="e">
        <f>IF(X3672=2,HLOOKUP(R3672,データについて!$J$12:$M$18,7,FALSE),"*")</f>
        <v>#N/A</v>
      </c>
    </row>
    <row r="3673" spans="19:30">
      <c r="S3673" s="81" t="e">
        <f>HLOOKUP(L3673,データについて!$J$6:$M$18,13,FALSE)</f>
        <v>#N/A</v>
      </c>
      <c r="T3673" s="81" t="e">
        <f>HLOOKUP(M3673,データについて!$J$7:$M$18,12,FALSE)</f>
        <v>#N/A</v>
      </c>
      <c r="U3673" s="81" t="e">
        <f>HLOOKUP(N3673,データについて!$J$8:$M$18,11,FALSE)</f>
        <v>#N/A</v>
      </c>
      <c r="V3673" s="81" t="e">
        <f>HLOOKUP(O3673,データについて!$J$9:$M$18,10,FALSE)</f>
        <v>#N/A</v>
      </c>
      <c r="W3673" s="81" t="e">
        <f>HLOOKUP(P3673,データについて!$J$10:$M$18,9,FALSE)</f>
        <v>#N/A</v>
      </c>
      <c r="X3673" s="81" t="e">
        <f>HLOOKUP(Q3673,データについて!$J$11:$M$18,8,FALSE)</f>
        <v>#N/A</v>
      </c>
      <c r="Y3673" s="81" t="e">
        <f>HLOOKUP(R3673,データについて!$J$12:$M$18,7,FALSE)</f>
        <v>#N/A</v>
      </c>
      <c r="Z3673" s="81" t="e">
        <f>HLOOKUP(I3673,データについて!$J$3:$M$18,16,FALSE)</f>
        <v>#N/A</v>
      </c>
      <c r="AA3673" s="81" t="str">
        <f>IFERROR(HLOOKUP(J3673,データについて!$J$4:$AH$19,16,FALSE),"")</f>
        <v/>
      </c>
      <c r="AB3673" s="81" t="str">
        <f>IFERROR(HLOOKUP(K3673,データについて!$J$5:$AH$20,14,FALSE),"")</f>
        <v/>
      </c>
      <c r="AC3673" s="81" t="e">
        <f>IF(X3673=1,HLOOKUP(R3673,データについて!$J$12:$M$18,7,FALSE),"*")</f>
        <v>#N/A</v>
      </c>
      <c r="AD3673" s="81" t="e">
        <f>IF(X3673=2,HLOOKUP(R3673,データについて!$J$12:$M$18,7,FALSE),"*")</f>
        <v>#N/A</v>
      </c>
    </row>
    <row r="3674" spans="19:30">
      <c r="S3674" s="81" t="e">
        <f>HLOOKUP(L3674,データについて!$J$6:$M$18,13,FALSE)</f>
        <v>#N/A</v>
      </c>
      <c r="T3674" s="81" t="e">
        <f>HLOOKUP(M3674,データについて!$J$7:$M$18,12,FALSE)</f>
        <v>#N/A</v>
      </c>
      <c r="U3674" s="81" t="e">
        <f>HLOOKUP(N3674,データについて!$J$8:$M$18,11,FALSE)</f>
        <v>#N/A</v>
      </c>
      <c r="V3674" s="81" t="e">
        <f>HLOOKUP(O3674,データについて!$J$9:$M$18,10,FALSE)</f>
        <v>#N/A</v>
      </c>
      <c r="W3674" s="81" t="e">
        <f>HLOOKUP(P3674,データについて!$J$10:$M$18,9,FALSE)</f>
        <v>#N/A</v>
      </c>
      <c r="X3674" s="81" t="e">
        <f>HLOOKUP(Q3674,データについて!$J$11:$M$18,8,FALSE)</f>
        <v>#N/A</v>
      </c>
      <c r="Y3674" s="81" t="e">
        <f>HLOOKUP(R3674,データについて!$J$12:$M$18,7,FALSE)</f>
        <v>#N/A</v>
      </c>
      <c r="Z3674" s="81" t="e">
        <f>HLOOKUP(I3674,データについて!$J$3:$M$18,16,FALSE)</f>
        <v>#N/A</v>
      </c>
      <c r="AA3674" s="81" t="str">
        <f>IFERROR(HLOOKUP(J3674,データについて!$J$4:$AH$19,16,FALSE),"")</f>
        <v/>
      </c>
      <c r="AB3674" s="81" t="str">
        <f>IFERROR(HLOOKUP(K3674,データについて!$J$5:$AH$20,14,FALSE),"")</f>
        <v/>
      </c>
      <c r="AC3674" s="81" t="e">
        <f>IF(X3674=1,HLOOKUP(R3674,データについて!$J$12:$M$18,7,FALSE),"*")</f>
        <v>#N/A</v>
      </c>
      <c r="AD3674" s="81" t="e">
        <f>IF(X3674=2,HLOOKUP(R3674,データについて!$J$12:$M$18,7,FALSE),"*")</f>
        <v>#N/A</v>
      </c>
    </row>
    <row r="3675" spans="19:30">
      <c r="S3675" s="81" t="e">
        <f>HLOOKUP(L3675,データについて!$J$6:$M$18,13,FALSE)</f>
        <v>#N/A</v>
      </c>
      <c r="T3675" s="81" t="e">
        <f>HLOOKUP(M3675,データについて!$J$7:$M$18,12,FALSE)</f>
        <v>#N/A</v>
      </c>
      <c r="U3675" s="81" t="e">
        <f>HLOOKUP(N3675,データについて!$J$8:$M$18,11,FALSE)</f>
        <v>#N/A</v>
      </c>
      <c r="V3675" s="81" t="e">
        <f>HLOOKUP(O3675,データについて!$J$9:$M$18,10,FALSE)</f>
        <v>#N/A</v>
      </c>
      <c r="W3675" s="81" t="e">
        <f>HLOOKUP(P3675,データについて!$J$10:$M$18,9,FALSE)</f>
        <v>#N/A</v>
      </c>
      <c r="X3675" s="81" t="e">
        <f>HLOOKUP(Q3675,データについて!$J$11:$M$18,8,FALSE)</f>
        <v>#N/A</v>
      </c>
      <c r="Y3675" s="81" t="e">
        <f>HLOOKUP(R3675,データについて!$J$12:$M$18,7,FALSE)</f>
        <v>#N/A</v>
      </c>
      <c r="Z3675" s="81" t="e">
        <f>HLOOKUP(I3675,データについて!$J$3:$M$18,16,FALSE)</f>
        <v>#N/A</v>
      </c>
      <c r="AA3675" s="81" t="str">
        <f>IFERROR(HLOOKUP(J3675,データについて!$J$4:$AH$19,16,FALSE),"")</f>
        <v/>
      </c>
      <c r="AB3675" s="81" t="str">
        <f>IFERROR(HLOOKUP(K3675,データについて!$J$5:$AH$20,14,FALSE),"")</f>
        <v/>
      </c>
      <c r="AC3675" s="81" t="e">
        <f>IF(X3675=1,HLOOKUP(R3675,データについて!$J$12:$M$18,7,FALSE),"*")</f>
        <v>#N/A</v>
      </c>
      <c r="AD3675" s="81" t="e">
        <f>IF(X3675=2,HLOOKUP(R3675,データについて!$J$12:$M$18,7,FALSE),"*")</f>
        <v>#N/A</v>
      </c>
    </row>
    <row r="3676" spans="19:30">
      <c r="S3676" s="81" t="e">
        <f>HLOOKUP(L3676,データについて!$J$6:$M$18,13,FALSE)</f>
        <v>#N/A</v>
      </c>
      <c r="T3676" s="81" t="e">
        <f>HLOOKUP(M3676,データについて!$J$7:$M$18,12,FALSE)</f>
        <v>#N/A</v>
      </c>
      <c r="U3676" s="81" t="e">
        <f>HLOOKUP(N3676,データについて!$J$8:$M$18,11,FALSE)</f>
        <v>#N/A</v>
      </c>
      <c r="V3676" s="81" t="e">
        <f>HLOOKUP(O3676,データについて!$J$9:$M$18,10,FALSE)</f>
        <v>#N/A</v>
      </c>
      <c r="W3676" s="81" t="e">
        <f>HLOOKUP(P3676,データについて!$J$10:$M$18,9,FALSE)</f>
        <v>#N/A</v>
      </c>
      <c r="X3676" s="81" t="e">
        <f>HLOOKUP(Q3676,データについて!$J$11:$M$18,8,FALSE)</f>
        <v>#N/A</v>
      </c>
      <c r="Y3676" s="81" t="e">
        <f>HLOOKUP(R3676,データについて!$J$12:$M$18,7,FALSE)</f>
        <v>#N/A</v>
      </c>
      <c r="Z3676" s="81" t="e">
        <f>HLOOKUP(I3676,データについて!$J$3:$M$18,16,FALSE)</f>
        <v>#N/A</v>
      </c>
      <c r="AA3676" s="81" t="str">
        <f>IFERROR(HLOOKUP(J3676,データについて!$J$4:$AH$19,16,FALSE),"")</f>
        <v/>
      </c>
      <c r="AB3676" s="81" t="str">
        <f>IFERROR(HLOOKUP(K3676,データについて!$J$5:$AH$20,14,FALSE),"")</f>
        <v/>
      </c>
      <c r="AC3676" s="81" t="e">
        <f>IF(X3676=1,HLOOKUP(R3676,データについて!$J$12:$M$18,7,FALSE),"*")</f>
        <v>#N/A</v>
      </c>
      <c r="AD3676" s="81" t="e">
        <f>IF(X3676=2,HLOOKUP(R3676,データについて!$J$12:$M$18,7,FALSE),"*")</f>
        <v>#N/A</v>
      </c>
    </row>
    <row r="3677" spans="19:30">
      <c r="S3677" s="81" t="e">
        <f>HLOOKUP(L3677,データについて!$J$6:$M$18,13,FALSE)</f>
        <v>#N/A</v>
      </c>
      <c r="T3677" s="81" t="e">
        <f>HLOOKUP(M3677,データについて!$J$7:$M$18,12,FALSE)</f>
        <v>#N/A</v>
      </c>
      <c r="U3677" s="81" t="e">
        <f>HLOOKUP(N3677,データについて!$J$8:$M$18,11,FALSE)</f>
        <v>#N/A</v>
      </c>
      <c r="V3677" s="81" t="e">
        <f>HLOOKUP(O3677,データについて!$J$9:$M$18,10,FALSE)</f>
        <v>#N/A</v>
      </c>
      <c r="W3677" s="81" t="e">
        <f>HLOOKUP(P3677,データについて!$J$10:$M$18,9,FALSE)</f>
        <v>#N/A</v>
      </c>
      <c r="X3677" s="81" t="e">
        <f>HLOOKUP(Q3677,データについて!$J$11:$M$18,8,FALSE)</f>
        <v>#N/A</v>
      </c>
      <c r="Y3677" s="81" t="e">
        <f>HLOOKUP(R3677,データについて!$J$12:$M$18,7,FALSE)</f>
        <v>#N/A</v>
      </c>
      <c r="Z3677" s="81" t="e">
        <f>HLOOKUP(I3677,データについて!$J$3:$M$18,16,FALSE)</f>
        <v>#N/A</v>
      </c>
      <c r="AA3677" s="81" t="str">
        <f>IFERROR(HLOOKUP(J3677,データについて!$J$4:$AH$19,16,FALSE),"")</f>
        <v/>
      </c>
      <c r="AB3677" s="81" t="str">
        <f>IFERROR(HLOOKUP(K3677,データについて!$J$5:$AH$20,14,FALSE),"")</f>
        <v/>
      </c>
      <c r="AC3677" s="81" t="e">
        <f>IF(X3677=1,HLOOKUP(R3677,データについて!$J$12:$M$18,7,FALSE),"*")</f>
        <v>#N/A</v>
      </c>
      <c r="AD3677" s="81" t="e">
        <f>IF(X3677=2,HLOOKUP(R3677,データについて!$J$12:$M$18,7,FALSE),"*")</f>
        <v>#N/A</v>
      </c>
    </row>
    <row r="3678" spans="19:30">
      <c r="S3678" s="81" t="e">
        <f>HLOOKUP(L3678,データについて!$J$6:$M$18,13,FALSE)</f>
        <v>#N/A</v>
      </c>
      <c r="T3678" s="81" t="e">
        <f>HLOOKUP(M3678,データについて!$J$7:$M$18,12,FALSE)</f>
        <v>#N/A</v>
      </c>
      <c r="U3678" s="81" t="e">
        <f>HLOOKUP(N3678,データについて!$J$8:$M$18,11,FALSE)</f>
        <v>#N/A</v>
      </c>
      <c r="V3678" s="81" t="e">
        <f>HLOOKUP(O3678,データについて!$J$9:$M$18,10,FALSE)</f>
        <v>#N/A</v>
      </c>
      <c r="W3678" s="81" t="e">
        <f>HLOOKUP(P3678,データについて!$J$10:$M$18,9,FALSE)</f>
        <v>#N/A</v>
      </c>
      <c r="X3678" s="81" t="e">
        <f>HLOOKUP(Q3678,データについて!$J$11:$M$18,8,FALSE)</f>
        <v>#N/A</v>
      </c>
      <c r="Y3678" s="81" t="e">
        <f>HLOOKUP(R3678,データについて!$J$12:$M$18,7,FALSE)</f>
        <v>#N/A</v>
      </c>
      <c r="Z3678" s="81" t="e">
        <f>HLOOKUP(I3678,データについて!$J$3:$M$18,16,FALSE)</f>
        <v>#N/A</v>
      </c>
      <c r="AA3678" s="81" t="str">
        <f>IFERROR(HLOOKUP(J3678,データについて!$J$4:$AH$19,16,FALSE),"")</f>
        <v/>
      </c>
      <c r="AB3678" s="81" t="str">
        <f>IFERROR(HLOOKUP(K3678,データについて!$J$5:$AH$20,14,FALSE),"")</f>
        <v/>
      </c>
      <c r="AC3678" s="81" t="e">
        <f>IF(X3678=1,HLOOKUP(R3678,データについて!$J$12:$M$18,7,FALSE),"*")</f>
        <v>#N/A</v>
      </c>
      <c r="AD3678" s="81" t="e">
        <f>IF(X3678=2,HLOOKUP(R3678,データについて!$J$12:$M$18,7,FALSE),"*")</f>
        <v>#N/A</v>
      </c>
    </row>
    <row r="3679" spans="19:30">
      <c r="S3679" s="81" t="e">
        <f>HLOOKUP(L3679,データについて!$J$6:$M$18,13,FALSE)</f>
        <v>#N/A</v>
      </c>
      <c r="T3679" s="81" t="e">
        <f>HLOOKUP(M3679,データについて!$J$7:$M$18,12,FALSE)</f>
        <v>#N/A</v>
      </c>
      <c r="U3679" s="81" t="e">
        <f>HLOOKUP(N3679,データについて!$J$8:$M$18,11,FALSE)</f>
        <v>#N/A</v>
      </c>
      <c r="V3679" s="81" t="e">
        <f>HLOOKUP(O3679,データについて!$J$9:$M$18,10,FALSE)</f>
        <v>#N/A</v>
      </c>
      <c r="W3679" s="81" t="e">
        <f>HLOOKUP(P3679,データについて!$J$10:$M$18,9,FALSE)</f>
        <v>#N/A</v>
      </c>
      <c r="X3679" s="81" t="e">
        <f>HLOOKUP(Q3679,データについて!$J$11:$M$18,8,FALSE)</f>
        <v>#N/A</v>
      </c>
      <c r="Y3679" s="81" t="e">
        <f>HLOOKUP(R3679,データについて!$J$12:$M$18,7,FALSE)</f>
        <v>#N/A</v>
      </c>
      <c r="Z3679" s="81" t="e">
        <f>HLOOKUP(I3679,データについて!$J$3:$M$18,16,FALSE)</f>
        <v>#N/A</v>
      </c>
      <c r="AA3679" s="81" t="str">
        <f>IFERROR(HLOOKUP(J3679,データについて!$J$4:$AH$19,16,FALSE),"")</f>
        <v/>
      </c>
      <c r="AB3679" s="81" t="str">
        <f>IFERROR(HLOOKUP(K3679,データについて!$J$5:$AH$20,14,FALSE),"")</f>
        <v/>
      </c>
      <c r="AC3679" s="81" t="e">
        <f>IF(X3679=1,HLOOKUP(R3679,データについて!$J$12:$M$18,7,FALSE),"*")</f>
        <v>#N/A</v>
      </c>
      <c r="AD3679" s="81" t="e">
        <f>IF(X3679=2,HLOOKUP(R3679,データについて!$J$12:$M$18,7,FALSE),"*")</f>
        <v>#N/A</v>
      </c>
    </row>
    <row r="3680" spans="19:30">
      <c r="S3680" s="81" t="e">
        <f>HLOOKUP(L3680,データについて!$J$6:$M$18,13,FALSE)</f>
        <v>#N/A</v>
      </c>
      <c r="T3680" s="81" t="e">
        <f>HLOOKUP(M3680,データについて!$J$7:$M$18,12,FALSE)</f>
        <v>#N/A</v>
      </c>
      <c r="U3680" s="81" t="e">
        <f>HLOOKUP(N3680,データについて!$J$8:$M$18,11,FALSE)</f>
        <v>#N/A</v>
      </c>
      <c r="V3680" s="81" t="e">
        <f>HLOOKUP(O3680,データについて!$J$9:$M$18,10,FALSE)</f>
        <v>#N/A</v>
      </c>
      <c r="W3680" s="81" t="e">
        <f>HLOOKUP(P3680,データについて!$J$10:$M$18,9,FALSE)</f>
        <v>#N/A</v>
      </c>
      <c r="X3680" s="81" t="e">
        <f>HLOOKUP(Q3680,データについて!$J$11:$M$18,8,FALSE)</f>
        <v>#N/A</v>
      </c>
      <c r="Y3680" s="81" t="e">
        <f>HLOOKUP(R3680,データについて!$J$12:$M$18,7,FALSE)</f>
        <v>#N/A</v>
      </c>
      <c r="Z3680" s="81" t="e">
        <f>HLOOKUP(I3680,データについて!$J$3:$M$18,16,FALSE)</f>
        <v>#N/A</v>
      </c>
      <c r="AA3680" s="81" t="str">
        <f>IFERROR(HLOOKUP(J3680,データについて!$J$4:$AH$19,16,FALSE),"")</f>
        <v/>
      </c>
      <c r="AB3680" s="81" t="str">
        <f>IFERROR(HLOOKUP(K3680,データについて!$J$5:$AH$20,14,FALSE),"")</f>
        <v/>
      </c>
      <c r="AC3680" s="81" t="e">
        <f>IF(X3680=1,HLOOKUP(R3680,データについて!$J$12:$M$18,7,FALSE),"*")</f>
        <v>#N/A</v>
      </c>
      <c r="AD3680" s="81" t="e">
        <f>IF(X3680=2,HLOOKUP(R3680,データについて!$J$12:$M$18,7,FALSE),"*")</f>
        <v>#N/A</v>
      </c>
    </row>
    <row r="3681" spans="19:30">
      <c r="S3681" s="81" t="e">
        <f>HLOOKUP(L3681,データについて!$J$6:$M$18,13,FALSE)</f>
        <v>#N/A</v>
      </c>
      <c r="T3681" s="81" t="e">
        <f>HLOOKUP(M3681,データについて!$J$7:$M$18,12,FALSE)</f>
        <v>#N/A</v>
      </c>
      <c r="U3681" s="81" t="e">
        <f>HLOOKUP(N3681,データについて!$J$8:$M$18,11,FALSE)</f>
        <v>#N/A</v>
      </c>
      <c r="V3681" s="81" t="e">
        <f>HLOOKUP(O3681,データについて!$J$9:$M$18,10,FALSE)</f>
        <v>#N/A</v>
      </c>
      <c r="W3681" s="81" t="e">
        <f>HLOOKUP(P3681,データについて!$J$10:$M$18,9,FALSE)</f>
        <v>#N/A</v>
      </c>
      <c r="X3681" s="81" t="e">
        <f>HLOOKUP(Q3681,データについて!$J$11:$M$18,8,FALSE)</f>
        <v>#N/A</v>
      </c>
      <c r="Y3681" s="81" t="e">
        <f>HLOOKUP(R3681,データについて!$J$12:$M$18,7,FALSE)</f>
        <v>#N/A</v>
      </c>
      <c r="Z3681" s="81" t="e">
        <f>HLOOKUP(I3681,データについて!$J$3:$M$18,16,FALSE)</f>
        <v>#N/A</v>
      </c>
      <c r="AA3681" s="81" t="str">
        <f>IFERROR(HLOOKUP(J3681,データについて!$J$4:$AH$19,16,FALSE),"")</f>
        <v/>
      </c>
      <c r="AB3681" s="81" t="str">
        <f>IFERROR(HLOOKUP(K3681,データについて!$J$5:$AH$20,14,FALSE),"")</f>
        <v/>
      </c>
      <c r="AC3681" s="81" t="e">
        <f>IF(X3681=1,HLOOKUP(R3681,データについて!$J$12:$M$18,7,FALSE),"*")</f>
        <v>#N/A</v>
      </c>
      <c r="AD3681" s="81" t="e">
        <f>IF(X3681=2,HLOOKUP(R3681,データについて!$J$12:$M$18,7,FALSE),"*")</f>
        <v>#N/A</v>
      </c>
    </row>
    <row r="3682" spans="19:30">
      <c r="S3682" s="81" t="e">
        <f>HLOOKUP(L3682,データについて!$J$6:$M$18,13,FALSE)</f>
        <v>#N/A</v>
      </c>
      <c r="T3682" s="81" t="e">
        <f>HLOOKUP(M3682,データについて!$J$7:$M$18,12,FALSE)</f>
        <v>#N/A</v>
      </c>
      <c r="U3682" s="81" t="e">
        <f>HLOOKUP(N3682,データについて!$J$8:$M$18,11,FALSE)</f>
        <v>#N/A</v>
      </c>
      <c r="V3682" s="81" t="e">
        <f>HLOOKUP(O3682,データについて!$J$9:$M$18,10,FALSE)</f>
        <v>#N/A</v>
      </c>
      <c r="W3682" s="81" t="e">
        <f>HLOOKUP(P3682,データについて!$J$10:$M$18,9,FALSE)</f>
        <v>#N/A</v>
      </c>
      <c r="X3682" s="81" t="e">
        <f>HLOOKUP(Q3682,データについて!$J$11:$M$18,8,FALSE)</f>
        <v>#N/A</v>
      </c>
      <c r="Y3682" s="81" t="e">
        <f>HLOOKUP(R3682,データについて!$J$12:$M$18,7,FALSE)</f>
        <v>#N/A</v>
      </c>
      <c r="Z3682" s="81" t="e">
        <f>HLOOKUP(I3682,データについて!$J$3:$M$18,16,FALSE)</f>
        <v>#N/A</v>
      </c>
      <c r="AA3682" s="81" t="str">
        <f>IFERROR(HLOOKUP(J3682,データについて!$J$4:$AH$19,16,FALSE),"")</f>
        <v/>
      </c>
      <c r="AB3682" s="81" t="str">
        <f>IFERROR(HLOOKUP(K3682,データについて!$J$5:$AH$20,14,FALSE),"")</f>
        <v/>
      </c>
      <c r="AC3682" s="81" t="e">
        <f>IF(X3682=1,HLOOKUP(R3682,データについて!$J$12:$M$18,7,FALSE),"*")</f>
        <v>#N/A</v>
      </c>
      <c r="AD3682" s="81" t="e">
        <f>IF(X3682=2,HLOOKUP(R3682,データについて!$J$12:$M$18,7,FALSE),"*")</f>
        <v>#N/A</v>
      </c>
    </row>
    <row r="3683" spans="19:30">
      <c r="S3683" s="81" t="e">
        <f>HLOOKUP(L3683,データについて!$J$6:$M$18,13,FALSE)</f>
        <v>#N/A</v>
      </c>
      <c r="T3683" s="81" t="e">
        <f>HLOOKUP(M3683,データについて!$J$7:$M$18,12,FALSE)</f>
        <v>#N/A</v>
      </c>
      <c r="U3683" s="81" t="e">
        <f>HLOOKUP(N3683,データについて!$J$8:$M$18,11,FALSE)</f>
        <v>#N/A</v>
      </c>
      <c r="V3683" s="81" t="e">
        <f>HLOOKUP(O3683,データについて!$J$9:$M$18,10,FALSE)</f>
        <v>#N/A</v>
      </c>
      <c r="W3683" s="81" t="e">
        <f>HLOOKUP(P3683,データについて!$J$10:$M$18,9,FALSE)</f>
        <v>#N/A</v>
      </c>
      <c r="X3683" s="81" t="e">
        <f>HLOOKUP(Q3683,データについて!$J$11:$M$18,8,FALSE)</f>
        <v>#N/A</v>
      </c>
      <c r="Y3683" s="81" t="e">
        <f>HLOOKUP(R3683,データについて!$J$12:$M$18,7,FALSE)</f>
        <v>#N/A</v>
      </c>
      <c r="Z3683" s="81" t="e">
        <f>HLOOKUP(I3683,データについて!$J$3:$M$18,16,FALSE)</f>
        <v>#N/A</v>
      </c>
      <c r="AA3683" s="81" t="str">
        <f>IFERROR(HLOOKUP(J3683,データについて!$J$4:$AH$19,16,FALSE),"")</f>
        <v/>
      </c>
      <c r="AB3683" s="81" t="str">
        <f>IFERROR(HLOOKUP(K3683,データについて!$J$5:$AH$20,14,FALSE),"")</f>
        <v/>
      </c>
      <c r="AC3683" s="81" t="e">
        <f>IF(X3683=1,HLOOKUP(R3683,データについて!$J$12:$M$18,7,FALSE),"*")</f>
        <v>#N/A</v>
      </c>
      <c r="AD3683" s="81" t="e">
        <f>IF(X3683=2,HLOOKUP(R3683,データについて!$J$12:$M$18,7,FALSE),"*")</f>
        <v>#N/A</v>
      </c>
    </row>
    <row r="3684" spans="19:30">
      <c r="S3684" s="81" t="e">
        <f>HLOOKUP(L3684,データについて!$J$6:$M$18,13,FALSE)</f>
        <v>#N/A</v>
      </c>
      <c r="T3684" s="81" t="e">
        <f>HLOOKUP(M3684,データについて!$J$7:$M$18,12,FALSE)</f>
        <v>#N/A</v>
      </c>
      <c r="U3684" s="81" t="e">
        <f>HLOOKUP(N3684,データについて!$J$8:$M$18,11,FALSE)</f>
        <v>#N/A</v>
      </c>
      <c r="V3684" s="81" t="e">
        <f>HLOOKUP(O3684,データについて!$J$9:$M$18,10,FALSE)</f>
        <v>#N/A</v>
      </c>
      <c r="W3684" s="81" t="e">
        <f>HLOOKUP(P3684,データについて!$J$10:$M$18,9,FALSE)</f>
        <v>#N/A</v>
      </c>
      <c r="X3684" s="81" t="e">
        <f>HLOOKUP(Q3684,データについて!$J$11:$M$18,8,FALSE)</f>
        <v>#N/A</v>
      </c>
      <c r="Y3684" s="81" t="e">
        <f>HLOOKUP(R3684,データについて!$J$12:$M$18,7,FALSE)</f>
        <v>#N/A</v>
      </c>
      <c r="Z3684" s="81" t="e">
        <f>HLOOKUP(I3684,データについて!$J$3:$M$18,16,FALSE)</f>
        <v>#N/A</v>
      </c>
      <c r="AA3684" s="81" t="str">
        <f>IFERROR(HLOOKUP(J3684,データについて!$J$4:$AH$19,16,FALSE),"")</f>
        <v/>
      </c>
      <c r="AB3684" s="81" t="str">
        <f>IFERROR(HLOOKUP(K3684,データについて!$J$5:$AH$20,14,FALSE),"")</f>
        <v/>
      </c>
      <c r="AC3684" s="81" t="e">
        <f>IF(X3684=1,HLOOKUP(R3684,データについて!$J$12:$M$18,7,FALSE),"*")</f>
        <v>#N/A</v>
      </c>
      <c r="AD3684" s="81" t="e">
        <f>IF(X3684=2,HLOOKUP(R3684,データについて!$J$12:$M$18,7,FALSE),"*")</f>
        <v>#N/A</v>
      </c>
    </row>
    <row r="3685" spans="19:30">
      <c r="S3685" s="81" t="e">
        <f>HLOOKUP(L3685,データについて!$J$6:$M$18,13,FALSE)</f>
        <v>#N/A</v>
      </c>
      <c r="T3685" s="81" t="e">
        <f>HLOOKUP(M3685,データについて!$J$7:$M$18,12,FALSE)</f>
        <v>#N/A</v>
      </c>
      <c r="U3685" s="81" t="e">
        <f>HLOOKUP(N3685,データについて!$J$8:$M$18,11,FALSE)</f>
        <v>#N/A</v>
      </c>
      <c r="V3685" s="81" t="e">
        <f>HLOOKUP(O3685,データについて!$J$9:$M$18,10,FALSE)</f>
        <v>#N/A</v>
      </c>
      <c r="W3685" s="81" t="e">
        <f>HLOOKUP(P3685,データについて!$J$10:$M$18,9,FALSE)</f>
        <v>#N/A</v>
      </c>
      <c r="X3685" s="81" t="e">
        <f>HLOOKUP(Q3685,データについて!$J$11:$M$18,8,FALSE)</f>
        <v>#N/A</v>
      </c>
      <c r="Y3685" s="81" t="e">
        <f>HLOOKUP(R3685,データについて!$J$12:$M$18,7,FALSE)</f>
        <v>#N/A</v>
      </c>
      <c r="Z3685" s="81" t="e">
        <f>HLOOKUP(I3685,データについて!$J$3:$M$18,16,FALSE)</f>
        <v>#N/A</v>
      </c>
      <c r="AA3685" s="81" t="str">
        <f>IFERROR(HLOOKUP(J3685,データについて!$J$4:$AH$19,16,FALSE),"")</f>
        <v/>
      </c>
      <c r="AB3685" s="81" t="str">
        <f>IFERROR(HLOOKUP(K3685,データについて!$J$5:$AH$20,14,FALSE),"")</f>
        <v/>
      </c>
      <c r="AC3685" s="81" t="e">
        <f>IF(X3685=1,HLOOKUP(R3685,データについて!$J$12:$M$18,7,FALSE),"*")</f>
        <v>#N/A</v>
      </c>
      <c r="AD3685" s="81" t="e">
        <f>IF(X3685=2,HLOOKUP(R3685,データについて!$J$12:$M$18,7,FALSE),"*")</f>
        <v>#N/A</v>
      </c>
    </row>
    <row r="3686" spans="19:30">
      <c r="S3686" s="81" t="e">
        <f>HLOOKUP(L3686,データについて!$J$6:$M$18,13,FALSE)</f>
        <v>#N/A</v>
      </c>
      <c r="T3686" s="81" t="e">
        <f>HLOOKUP(M3686,データについて!$J$7:$M$18,12,FALSE)</f>
        <v>#N/A</v>
      </c>
      <c r="U3686" s="81" t="e">
        <f>HLOOKUP(N3686,データについて!$J$8:$M$18,11,FALSE)</f>
        <v>#N/A</v>
      </c>
      <c r="V3686" s="81" t="e">
        <f>HLOOKUP(O3686,データについて!$J$9:$M$18,10,FALSE)</f>
        <v>#N/A</v>
      </c>
      <c r="W3686" s="81" t="e">
        <f>HLOOKUP(P3686,データについて!$J$10:$M$18,9,FALSE)</f>
        <v>#N/A</v>
      </c>
      <c r="X3686" s="81" t="e">
        <f>HLOOKUP(Q3686,データについて!$J$11:$M$18,8,FALSE)</f>
        <v>#N/A</v>
      </c>
      <c r="Y3686" s="81" t="e">
        <f>HLOOKUP(R3686,データについて!$J$12:$M$18,7,FALSE)</f>
        <v>#N/A</v>
      </c>
      <c r="Z3686" s="81" t="e">
        <f>HLOOKUP(I3686,データについて!$J$3:$M$18,16,FALSE)</f>
        <v>#N/A</v>
      </c>
      <c r="AA3686" s="81" t="str">
        <f>IFERROR(HLOOKUP(J3686,データについて!$J$4:$AH$19,16,FALSE),"")</f>
        <v/>
      </c>
      <c r="AB3686" s="81" t="str">
        <f>IFERROR(HLOOKUP(K3686,データについて!$J$5:$AH$20,14,FALSE),"")</f>
        <v/>
      </c>
      <c r="AC3686" s="81" t="e">
        <f>IF(X3686=1,HLOOKUP(R3686,データについて!$J$12:$M$18,7,FALSE),"*")</f>
        <v>#N/A</v>
      </c>
      <c r="AD3686" s="81" t="e">
        <f>IF(X3686=2,HLOOKUP(R3686,データについて!$J$12:$M$18,7,FALSE),"*")</f>
        <v>#N/A</v>
      </c>
    </row>
    <row r="3687" spans="19:30">
      <c r="S3687" s="81" t="e">
        <f>HLOOKUP(L3687,データについて!$J$6:$M$18,13,FALSE)</f>
        <v>#N/A</v>
      </c>
      <c r="T3687" s="81" t="e">
        <f>HLOOKUP(M3687,データについて!$J$7:$M$18,12,FALSE)</f>
        <v>#N/A</v>
      </c>
      <c r="U3687" s="81" t="e">
        <f>HLOOKUP(N3687,データについて!$J$8:$M$18,11,FALSE)</f>
        <v>#N/A</v>
      </c>
      <c r="V3687" s="81" t="e">
        <f>HLOOKUP(O3687,データについて!$J$9:$M$18,10,FALSE)</f>
        <v>#N/A</v>
      </c>
      <c r="W3687" s="81" t="e">
        <f>HLOOKUP(P3687,データについて!$J$10:$M$18,9,FALSE)</f>
        <v>#N/A</v>
      </c>
      <c r="X3687" s="81" t="e">
        <f>HLOOKUP(Q3687,データについて!$J$11:$M$18,8,FALSE)</f>
        <v>#N/A</v>
      </c>
      <c r="Y3687" s="81" t="e">
        <f>HLOOKUP(R3687,データについて!$J$12:$M$18,7,FALSE)</f>
        <v>#N/A</v>
      </c>
      <c r="Z3687" s="81" t="e">
        <f>HLOOKUP(I3687,データについて!$J$3:$M$18,16,FALSE)</f>
        <v>#N/A</v>
      </c>
      <c r="AA3687" s="81" t="str">
        <f>IFERROR(HLOOKUP(J3687,データについて!$J$4:$AH$19,16,FALSE),"")</f>
        <v/>
      </c>
      <c r="AB3687" s="81" t="str">
        <f>IFERROR(HLOOKUP(K3687,データについて!$J$5:$AH$20,14,FALSE),"")</f>
        <v/>
      </c>
      <c r="AC3687" s="81" t="e">
        <f>IF(X3687=1,HLOOKUP(R3687,データについて!$J$12:$M$18,7,FALSE),"*")</f>
        <v>#N/A</v>
      </c>
      <c r="AD3687" s="81" t="e">
        <f>IF(X3687=2,HLOOKUP(R3687,データについて!$J$12:$M$18,7,FALSE),"*")</f>
        <v>#N/A</v>
      </c>
    </row>
    <row r="3688" spans="19:30">
      <c r="S3688" s="81" t="e">
        <f>HLOOKUP(L3688,データについて!$J$6:$M$18,13,FALSE)</f>
        <v>#N/A</v>
      </c>
      <c r="T3688" s="81" t="e">
        <f>HLOOKUP(M3688,データについて!$J$7:$M$18,12,FALSE)</f>
        <v>#N/A</v>
      </c>
      <c r="U3688" s="81" t="e">
        <f>HLOOKUP(N3688,データについて!$J$8:$M$18,11,FALSE)</f>
        <v>#N/A</v>
      </c>
      <c r="V3688" s="81" t="e">
        <f>HLOOKUP(O3688,データについて!$J$9:$M$18,10,FALSE)</f>
        <v>#N/A</v>
      </c>
      <c r="W3688" s="81" t="e">
        <f>HLOOKUP(P3688,データについて!$J$10:$M$18,9,FALSE)</f>
        <v>#N/A</v>
      </c>
      <c r="X3688" s="81" t="e">
        <f>HLOOKUP(Q3688,データについて!$J$11:$M$18,8,FALSE)</f>
        <v>#N/A</v>
      </c>
      <c r="Y3688" s="81" t="e">
        <f>HLOOKUP(R3688,データについて!$J$12:$M$18,7,FALSE)</f>
        <v>#N/A</v>
      </c>
      <c r="Z3688" s="81" t="e">
        <f>HLOOKUP(I3688,データについて!$J$3:$M$18,16,FALSE)</f>
        <v>#N/A</v>
      </c>
      <c r="AA3688" s="81" t="str">
        <f>IFERROR(HLOOKUP(J3688,データについて!$J$4:$AH$19,16,FALSE),"")</f>
        <v/>
      </c>
      <c r="AB3688" s="81" t="str">
        <f>IFERROR(HLOOKUP(K3688,データについて!$J$5:$AH$20,14,FALSE),"")</f>
        <v/>
      </c>
      <c r="AC3688" s="81" t="e">
        <f>IF(X3688=1,HLOOKUP(R3688,データについて!$J$12:$M$18,7,FALSE),"*")</f>
        <v>#N/A</v>
      </c>
      <c r="AD3688" s="81" t="e">
        <f>IF(X3688=2,HLOOKUP(R3688,データについて!$J$12:$M$18,7,FALSE),"*")</f>
        <v>#N/A</v>
      </c>
    </row>
    <row r="3689" spans="19:30">
      <c r="S3689" s="81" t="e">
        <f>HLOOKUP(L3689,データについて!$J$6:$M$18,13,FALSE)</f>
        <v>#N/A</v>
      </c>
      <c r="T3689" s="81" t="e">
        <f>HLOOKUP(M3689,データについて!$J$7:$M$18,12,FALSE)</f>
        <v>#N/A</v>
      </c>
      <c r="U3689" s="81" t="e">
        <f>HLOOKUP(N3689,データについて!$J$8:$M$18,11,FALSE)</f>
        <v>#N/A</v>
      </c>
      <c r="V3689" s="81" t="e">
        <f>HLOOKUP(O3689,データについて!$J$9:$M$18,10,FALSE)</f>
        <v>#N/A</v>
      </c>
      <c r="W3689" s="81" t="e">
        <f>HLOOKUP(P3689,データについて!$J$10:$M$18,9,FALSE)</f>
        <v>#N/A</v>
      </c>
      <c r="X3689" s="81" t="e">
        <f>HLOOKUP(Q3689,データについて!$J$11:$M$18,8,FALSE)</f>
        <v>#N/A</v>
      </c>
      <c r="Y3689" s="81" t="e">
        <f>HLOOKUP(R3689,データについて!$J$12:$M$18,7,FALSE)</f>
        <v>#N/A</v>
      </c>
      <c r="Z3689" s="81" t="e">
        <f>HLOOKUP(I3689,データについて!$J$3:$M$18,16,FALSE)</f>
        <v>#N/A</v>
      </c>
      <c r="AA3689" s="81" t="str">
        <f>IFERROR(HLOOKUP(J3689,データについて!$J$4:$AH$19,16,FALSE),"")</f>
        <v/>
      </c>
      <c r="AB3689" s="81" t="str">
        <f>IFERROR(HLOOKUP(K3689,データについて!$J$5:$AH$20,14,FALSE),"")</f>
        <v/>
      </c>
      <c r="AC3689" s="81" t="e">
        <f>IF(X3689=1,HLOOKUP(R3689,データについて!$J$12:$M$18,7,FALSE),"*")</f>
        <v>#N/A</v>
      </c>
      <c r="AD3689" s="81" t="e">
        <f>IF(X3689=2,HLOOKUP(R3689,データについて!$J$12:$M$18,7,FALSE),"*")</f>
        <v>#N/A</v>
      </c>
    </row>
    <row r="3690" spans="19:30">
      <c r="S3690" s="81" t="e">
        <f>HLOOKUP(L3690,データについて!$J$6:$M$18,13,FALSE)</f>
        <v>#N/A</v>
      </c>
      <c r="T3690" s="81" t="e">
        <f>HLOOKUP(M3690,データについて!$J$7:$M$18,12,FALSE)</f>
        <v>#N/A</v>
      </c>
      <c r="U3690" s="81" t="e">
        <f>HLOOKUP(N3690,データについて!$J$8:$M$18,11,FALSE)</f>
        <v>#N/A</v>
      </c>
      <c r="V3690" s="81" t="e">
        <f>HLOOKUP(O3690,データについて!$J$9:$M$18,10,FALSE)</f>
        <v>#N/A</v>
      </c>
      <c r="W3690" s="81" t="e">
        <f>HLOOKUP(P3690,データについて!$J$10:$M$18,9,FALSE)</f>
        <v>#N/A</v>
      </c>
      <c r="X3690" s="81" t="e">
        <f>HLOOKUP(Q3690,データについて!$J$11:$M$18,8,FALSE)</f>
        <v>#N/A</v>
      </c>
      <c r="Y3690" s="81" t="e">
        <f>HLOOKUP(R3690,データについて!$J$12:$M$18,7,FALSE)</f>
        <v>#N/A</v>
      </c>
      <c r="Z3690" s="81" t="e">
        <f>HLOOKUP(I3690,データについて!$J$3:$M$18,16,FALSE)</f>
        <v>#N/A</v>
      </c>
      <c r="AA3690" s="81" t="str">
        <f>IFERROR(HLOOKUP(J3690,データについて!$J$4:$AH$19,16,FALSE),"")</f>
        <v/>
      </c>
      <c r="AB3690" s="81" t="str">
        <f>IFERROR(HLOOKUP(K3690,データについて!$J$5:$AH$20,14,FALSE),"")</f>
        <v/>
      </c>
      <c r="AC3690" s="81" t="e">
        <f>IF(X3690=1,HLOOKUP(R3690,データについて!$J$12:$M$18,7,FALSE),"*")</f>
        <v>#N/A</v>
      </c>
      <c r="AD3690" s="81" t="e">
        <f>IF(X3690=2,HLOOKUP(R3690,データについて!$J$12:$M$18,7,FALSE),"*")</f>
        <v>#N/A</v>
      </c>
    </row>
    <row r="3691" spans="19:30">
      <c r="S3691" s="81" t="e">
        <f>HLOOKUP(L3691,データについて!$J$6:$M$18,13,FALSE)</f>
        <v>#N/A</v>
      </c>
      <c r="T3691" s="81" t="e">
        <f>HLOOKUP(M3691,データについて!$J$7:$M$18,12,FALSE)</f>
        <v>#N/A</v>
      </c>
      <c r="U3691" s="81" t="e">
        <f>HLOOKUP(N3691,データについて!$J$8:$M$18,11,FALSE)</f>
        <v>#N/A</v>
      </c>
      <c r="V3691" s="81" t="e">
        <f>HLOOKUP(O3691,データについて!$J$9:$M$18,10,FALSE)</f>
        <v>#N/A</v>
      </c>
      <c r="W3691" s="81" t="e">
        <f>HLOOKUP(P3691,データについて!$J$10:$M$18,9,FALSE)</f>
        <v>#N/A</v>
      </c>
      <c r="X3691" s="81" t="e">
        <f>HLOOKUP(Q3691,データについて!$J$11:$M$18,8,FALSE)</f>
        <v>#N/A</v>
      </c>
      <c r="Y3691" s="81" t="e">
        <f>HLOOKUP(R3691,データについて!$J$12:$M$18,7,FALSE)</f>
        <v>#N/A</v>
      </c>
      <c r="Z3691" s="81" t="e">
        <f>HLOOKUP(I3691,データについて!$J$3:$M$18,16,FALSE)</f>
        <v>#N/A</v>
      </c>
      <c r="AA3691" s="81" t="str">
        <f>IFERROR(HLOOKUP(J3691,データについて!$J$4:$AH$19,16,FALSE),"")</f>
        <v/>
      </c>
      <c r="AB3691" s="81" t="str">
        <f>IFERROR(HLOOKUP(K3691,データについて!$J$5:$AH$20,14,FALSE),"")</f>
        <v/>
      </c>
      <c r="AC3691" s="81" t="e">
        <f>IF(X3691=1,HLOOKUP(R3691,データについて!$J$12:$M$18,7,FALSE),"*")</f>
        <v>#N/A</v>
      </c>
      <c r="AD3691" s="81" t="e">
        <f>IF(X3691=2,HLOOKUP(R3691,データについて!$J$12:$M$18,7,FALSE),"*")</f>
        <v>#N/A</v>
      </c>
    </row>
    <row r="3692" spans="19:30">
      <c r="S3692" s="81" t="e">
        <f>HLOOKUP(L3692,データについて!$J$6:$M$18,13,FALSE)</f>
        <v>#N/A</v>
      </c>
      <c r="T3692" s="81" t="e">
        <f>HLOOKUP(M3692,データについて!$J$7:$M$18,12,FALSE)</f>
        <v>#N/A</v>
      </c>
      <c r="U3692" s="81" t="e">
        <f>HLOOKUP(N3692,データについて!$J$8:$M$18,11,FALSE)</f>
        <v>#N/A</v>
      </c>
      <c r="V3692" s="81" t="e">
        <f>HLOOKUP(O3692,データについて!$J$9:$M$18,10,FALSE)</f>
        <v>#N/A</v>
      </c>
      <c r="W3692" s="81" t="e">
        <f>HLOOKUP(P3692,データについて!$J$10:$M$18,9,FALSE)</f>
        <v>#N/A</v>
      </c>
      <c r="X3692" s="81" t="e">
        <f>HLOOKUP(Q3692,データについて!$J$11:$M$18,8,FALSE)</f>
        <v>#N/A</v>
      </c>
      <c r="Y3692" s="81" t="e">
        <f>HLOOKUP(R3692,データについて!$J$12:$M$18,7,FALSE)</f>
        <v>#N/A</v>
      </c>
      <c r="Z3692" s="81" t="e">
        <f>HLOOKUP(I3692,データについて!$J$3:$M$18,16,FALSE)</f>
        <v>#N/A</v>
      </c>
      <c r="AA3692" s="81" t="str">
        <f>IFERROR(HLOOKUP(J3692,データについて!$J$4:$AH$19,16,FALSE),"")</f>
        <v/>
      </c>
      <c r="AB3692" s="81" t="str">
        <f>IFERROR(HLOOKUP(K3692,データについて!$J$5:$AH$20,14,FALSE),"")</f>
        <v/>
      </c>
      <c r="AC3692" s="81" t="e">
        <f>IF(X3692=1,HLOOKUP(R3692,データについて!$J$12:$M$18,7,FALSE),"*")</f>
        <v>#N/A</v>
      </c>
      <c r="AD3692" s="81" t="e">
        <f>IF(X3692=2,HLOOKUP(R3692,データについて!$J$12:$M$18,7,FALSE),"*")</f>
        <v>#N/A</v>
      </c>
    </row>
    <row r="3693" spans="19:30">
      <c r="S3693" s="81" t="e">
        <f>HLOOKUP(L3693,データについて!$J$6:$M$18,13,FALSE)</f>
        <v>#N/A</v>
      </c>
      <c r="T3693" s="81" t="e">
        <f>HLOOKUP(M3693,データについて!$J$7:$M$18,12,FALSE)</f>
        <v>#N/A</v>
      </c>
      <c r="U3693" s="81" t="e">
        <f>HLOOKUP(N3693,データについて!$J$8:$M$18,11,FALSE)</f>
        <v>#N/A</v>
      </c>
      <c r="V3693" s="81" t="e">
        <f>HLOOKUP(O3693,データについて!$J$9:$M$18,10,FALSE)</f>
        <v>#N/A</v>
      </c>
      <c r="W3693" s="81" t="e">
        <f>HLOOKUP(P3693,データについて!$J$10:$M$18,9,FALSE)</f>
        <v>#N/A</v>
      </c>
      <c r="X3693" s="81" t="e">
        <f>HLOOKUP(Q3693,データについて!$J$11:$M$18,8,FALSE)</f>
        <v>#N/A</v>
      </c>
      <c r="Y3693" s="81" t="e">
        <f>HLOOKUP(R3693,データについて!$J$12:$M$18,7,FALSE)</f>
        <v>#N/A</v>
      </c>
      <c r="Z3693" s="81" t="e">
        <f>HLOOKUP(I3693,データについて!$J$3:$M$18,16,FALSE)</f>
        <v>#N/A</v>
      </c>
      <c r="AA3693" s="81" t="str">
        <f>IFERROR(HLOOKUP(J3693,データについて!$J$4:$AH$19,16,FALSE),"")</f>
        <v/>
      </c>
      <c r="AB3693" s="81" t="str">
        <f>IFERROR(HLOOKUP(K3693,データについて!$J$5:$AH$20,14,FALSE),"")</f>
        <v/>
      </c>
      <c r="AC3693" s="81" t="e">
        <f>IF(X3693=1,HLOOKUP(R3693,データについて!$J$12:$M$18,7,FALSE),"*")</f>
        <v>#N/A</v>
      </c>
      <c r="AD3693" s="81" t="e">
        <f>IF(X3693=2,HLOOKUP(R3693,データについて!$J$12:$M$18,7,FALSE),"*")</f>
        <v>#N/A</v>
      </c>
    </row>
    <row r="3694" spans="19:30">
      <c r="S3694" s="81" t="e">
        <f>HLOOKUP(L3694,データについて!$J$6:$M$18,13,FALSE)</f>
        <v>#N/A</v>
      </c>
      <c r="T3694" s="81" t="e">
        <f>HLOOKUP(M3694,データについて!$J$7:$M$18,12,FALSE)</f>
        <v>#N/A</v>
      </c>
      <c r="U3694" s="81" t="e">
        <f>HLOOKUP(N3694,データについて!$J$8:$M$18,11,FALSE)</f>
        <v>#N/A</v>
      </c>
      <c r="V3694" s="81" t="e">
        <f>HLOOKUP(O3694,データについて!$J$9:$M$18,10,FALSE)</f>
        <v>#N/A</v>
      </c>
      <c r="W3694" s="81" t="e">
        <f>HLOOKUP(P3694,データについて!$J$10:$M$18,9,FALSE)</f>
        <v>#N/A</v>
      </c>
      <c r="X3694" s="81" t="e">
        <f>HLOOKUP(Q3694,データについて!$J$11:$M$18,8,FALSE)</f>
        <v>#N/A</v>
      </c>
      <c r="Y3694" s="81" t="e">
        <f>HLOOKUP(R3694,データについて!$J$12:$M$18,7,FALSE)</f>
        <v>#N/A</v>
      </c>
      <c r="Z3694" s="81" t="e">
        <f>HLOOKUP(I3694,データについて!$J$3:$M$18,16,FALSE)</f>
        <v>#N/A</v>
      </c>
      <c r="AA3694" s="81" t="str">
        <f>IFERROR(HLOOKUP(J3694,データについて!$J$4:$AH$19,16,FALSE),"")</f>
        <v/>
      </c>
      <c r="AB3694" s="81" t="str">
        <f>IFERROR(HLOOKUP(K3694,データについて!$J$5:$AH$20,14,FALSE),"")</f>
        <v/>
      </c>
      <c r="AC3694" s="81" t="e">
        <f>IF(X3694=1,HLOOKUP(R3694,データについて!$J$12:$M$18,7,FALSE),"*")</f>
        <v>#N/A</v>
      </c>
      <c r="AD3694" s="81" t="e">
        <f>IF(X3694=2,HLOOKUP(R3694,データについて!$J$12:$M$18,7,FALSE),"*")</f>
        <v>#N/A</v>
      </c>
    </row>
    <row r="3695" spans="19:30">
      <c r="S3695" s="81" t="e">
        <f>HLOOKUP(L3695,データについて!$J$6:$M$18,13,FALSE)</f>
        <v>#N/A</v>
      </c>
      <c r="T3695" s="81" t="e">
        <f>HLOOKUP(M3695,データについて!$J$7:$M$18,12,FALSE)</f>
        <v>#N/A</v>
      </c>
      <c r="U3695" s="81" t="e">
        <f>HLOOKUP(N3695,データについて!$J$8:$M$18,11,FALSE)</f>
        <v>#N/A</v>
      </c>
      <c r="V3695" s="81" t="e">
        <f>HLOOKUP(O3695,データについて!$J$9:$M$18,10,FALSE)</f>
        <v>#N/A</v>
      </c>
      <c r="W3695" s="81" t="e">
        <f>HLOOKUP(P3695,データについて!$J$10:$M$18,9,FALSE)</f>
        <v>#N/A</v>
      </c>
      <c r="X3695" s="81" t="e">
        <f>HLOOKUP(Q3695,データについて!$J$11:$M$18,8,FALSE)</f>
        <v>#N/A</v>
      </c>
      <c r="Y3695" s="81" t="e">
        <f>HLOOKUP(R3695,データについて!$J$12:$M$18,7,FALSE)</f>
        <v>#N/A</v>
      </c>
      <c r="Z3695" s="81" t="e">
        <f>HLOOKUP(I3695,データについて!$J$3:$M$18,16,FALSE)</f>
        <v>#N/A</v>
      </c>
      <c r="AA3695" s="81" t="str">
        <f>IFERROR(HLOOKUP(J3695,データについて!$J$4:$AH$19,16,FALSE),"")</f>
        <v/>
      </c>
      <c r="AB3695" s="81" t="str">
        <f>IFERROR(HLOOKUP(K3695,データについて!$J$5:$AH$20,14,FALSE),"")</f>
        <v/>
      </c>
      <c r="AC3695" s="81" t="e">
        <f>IF(X3695=1,HLOOKUP(R3695,データについて!$J$12:$M$18,7,FALSE),"*")</f>
        <v>#N/A</v>
      </c>
      <c r="AD3695" s="81" t="e">
        <f>IF(X3695=2,HLOOKUP(R3695,データについて!$J$12:$M$18,7,FALSE),"*")</f>
        <v>#N/A</v>
      </c>
    </row>
    <row r="3696" spans="19:30">
      <c r="S3696" s="81" t="e">
        <f>HLOOKUP(L3696,データについて!$J$6:$M$18,13,FALSE)</f>
        <v>#N/A</v>
      </c>
      <c r="T3696" s="81" t="e">
        <f>HLOOKUP(M3696,データについて!$J$7:$M$18,12,FALSE)</f>
        <v>#N/A</v>
      </c>
      <c r="U3696" s="81" t="e">
        <f>HLOOKUP(N3696,データについて!$J$8:$M$18,11,FALSE)</f>
        <v>#N/A</v>
      </c>
      <c r="V3696" s="81" t="e">
        <f>HLOOKUP(O3696,データについて!$J$9:$M$18,10,FALSE)</f>
        <v>#N/A</v>
      </c>
      <c r="W3696" s="81" t="e">
        <f>HLOOKUP(P3696,データについて!$J$10:$M$18,9,FALSE)</f>
        <v>#N/A</v>
      </c>
      <c r="X3696" s="81" t="e">
        <f>HLOOKUP(Q3696,データについて!$J$11:$M$18,8,FALSE)</f>
        <v>#N/A</v>
      </c>
      <c r="Y3696" s="81" t="e">
        <f>HLOOKUP(R3696,データについて!$J$12:$M$18,7,FALSE)</f>
        <v>#N/A</v>
      </c>
      <c r="Z3696" s="81" t="e">
        <f>HLOOKUP(I3696,データについて!$J$3:$M$18,16,FALSE)</f>
        <v>#N/A</v>
      </c>
      <c r="AA3696" s="81" t="str">
        <f>IFERROR(HLOOKUP(J3696,データについて!$J$4:$AH$19,16,FALSE),"")</f>
        <v/>
      </c>
      <c r="AB3696" s="81" t="str">
        <f>IFERROR(HLOOKUP(K3696,データについて!$J$5:$AH$20,14,FALSE),"")</f>
        <v/>
      </c>
      <c r="AC3696" s="81" t="e">
        <f>IF(X3696=1,HLOOKUP(R3696,データについて!$J$12:$M$18,7,FALSE),"*")</f>
        <v>#N/A</v>
      </c>
      <c r="AD3696" s="81" t="e">
        <f>IF(X3696=2,HLOOKUP(R3696,データについて!$J$12:$M$18,7,FALSE),"*")</f>
        <v>#N/A</v>
      </c>
    </row>
    <row r="3697" spans="19:30">
      <c r="S3697" s="81" t="e">
        <f>HLOOKUP(L3697,データについて!$J$6:$M$18,13,FALSE)</f>
        <v>#N/A</v>
      </c>
      <c r="T3697" s="81" t="e">
        <f>HLOOKUP(M3697,データについて!$J$7:$M$18,12,FALSE)</f>
        <v>#N/A</v>
      </c>
      <c r="U3697" s="81" t="e">
        <f>HLOOKUP(N3697,データについて!$J$8:$M$18,11,FALSE)</f>
        <v>#N/A</v>
      </c>
      <c r="V3697" s="81" t="e">
        <f>HLOOKUP(O3697,データについて!$J$9:$M$18,10,FALSE)</f>
        <v>#N/A</v>
      </c>
      <c r="W3697" s="81" t="e">
        <f>HLOOKUP(P3697,データについて!$J$10:$M$18,9,FALSE)</f>
        <v>#N/A</v>
      </c>
      <c r="X3697" s="81" t="e">
        <f>HLOOKUP(Q3697,データについて!$J$11:$M$18,8,FALSE)</f>
        <v>#N/A</v>
      </c>
      <c r="Y3697" s="81" t="e">
        <f>HLOOKUP(R3697,データについて!$J$12:$M$18,7,FALSE)</f>
        <v>#N/A</v>
      </c>
      <c r="Z3697" s="81" t="e">
        <f>HLOOKUP(I3697,データについて!$J$3:$M$18,16,FALSE)</f>
        <v>#N/A</v>
      </c>
      <c r="AA3697" s="81" t="str">
        <f>IFERROR(HLOOKUP(J3697,データについて!$J$4:$AH$19,16,FALSE),"")</f>
        <v/>
      </c>
      <c r="AB3697" s="81" t="str">
        <f>IFERROR(HLOOKUP(K3697,データについて!$J$5:$AH$20,14,FALSE),"")</f>
        <v/>
      </c>
      <c r="AC3697" s="81" t="e">
        <f>IF(X3697=1,HLOOKUP(R3697,データについて!$J$12:$M$18,7,FALSE),"*")</f>
        <v>#N/A</v>
      </c>
      <c r="AD3697" s="81" t="e">
        <f>IF(X3697=2,HLOOKUP(R3697,データについて!$J$12:$M$18,7,FALSE),"*")</f>
        <v>#N/A</v>
      </c>
    </row>
    <row r="3698" spans="19:30">
      <c r="S3698" s="81" t="e">
        <f>HLOOKUP(L3698,データについて!$J$6:$M$18,13,FALSE)</f>
        <v>#N/A</v>
      </c>
      <c r="T3698" s="81" t="e">
        <f>HLOOKUP(M3698,データについて!$J$7:$M$18,12,FALSE)</f>
        <v>#N/A</v>
      </c>
      <c r="U3698" s="81" t="e">
        <f>HLOOKUP(N3698,データについて!$J$8:$M$18,11,FALSE)</f>
        <v>#N/A</v>
      </c>
      <c r="V3698" s="81" t="e">
        <f>HLOOKUP(O3698,データについて!$J$9:$M$18,10,FALSE)</f>
        <v>#N/A</v>
      </c>
      <c r="W3698" s="81" t="e">
        <f>HLOOKUP(P3698,データについて!$J$10:$M$18,9,FALSE)</f>
        <v>#N/A</v>
      </c>
      <c r="X3698" s="81" t="e">
        <f>HLOOKUP(Q3698,データについて!$J$11:$M$18,8,FALSE)</f>
        <v>#N/A</v>
      </c>
      <c r="Y3698" s="81" t="e">
        <f>HLOOKUP(R3698,データについて!$J$12:$M$18,7,FALSE)</f>
        <v>#N/A</v>
      </c>
      <c r="Z3698" s="81" t="e">
        <f>HLOOKUP(I3698,データについて!$J$3:$M$18,16,FALSE)</f>
        <v>#N/A</v>
      </c>
      <c r="AA3698" s="81" t="str">
        <f>IFERROR(HLOOKUP(J3698,データについて!$J$4:$AH$19,16,FALSE),"")</f>
        <v/>
      </c>
      <c r="AB3698" s="81" t="str">
        <f>IFERROR(HLOOKUP(K3698,データについて!$J$5:$AH$20,14,FALSE),"")</f>
        <v/>
      </c>
      <c r="AC3698" s="81" t="e">
        <f>IF(X3698=1,HLOOKUP(R3698,データについて!$J$12:$M$18,7,FALSE),"*")</f>
        <v>#N/A</v>
      </c>
      <c r="AD3698" s="81" t="e">
        <f>IF(X3698=2,HLOOKUP(R3698,データについて!$J$12:$M$18,7,FALSE),"*")</f>
        <v>#N/A</v>
      </c>
    </row>
    <row r="3699" spans="19:30">
      <c r="S3699" s="81" t="e">
        <f>HLOOKUP(L3699,データについて!$J$6:$M$18,13,FALSE)</f>
        <v>#N/A</v>
      </c>
      <c r="T3699" s="81" t="e">
        <f>HLOOKUP(M3699,データについて!$J$7:$M$18,12,FALSE)</f>
        <v>#N/A</v>
      </c>
      <c r="U3699" s="81" t="e">
        <f>HLOOKUP(N3699,データについて!$J$8:$M$18,11,FALSE)</f>
        <v>#N/A</v>
      </c>
      <c r="V3699" s="81" t="e">
        <f>HLOOKUP(O3699,データについて!$J$9:$M$18,10,FALSE)</f>
        <v>#N/A</v>
      </c>
      <c r="W3699" s="81" t="e">
        <f>HLOOKUP(P3699,データについて!$J$10:$M$18,9,FALSE)</f>
        <v>#N/A</v>
      </c>
      <c r="X3699" s="81" t="e">
        <f>HLOOKUP(Q3699,データについて!$J$11:$M$18,8,FALSE)</f>
        <v>#N/A</v>
      </c>
      <c r="Y3699" s="81" t="e">
        <f>HLOOKUP(R3699,データについて!$J$12:$M$18,7,FALSE)</f>
        <v>#N/A</v>
      </c>
      <c r="Z3699" s="81" t="e">
        <f>HLOOKUP(I3699,データについて!$J$3:$M$18,16,FALSE)</f>
        <v>#N/A</v>
      </c>
      <c r="AA3699" s="81" t="str">
        <f>IFERROR(HLOOKUP(J3699,データについて!$J$4:$AH$19,16,FALSE),"")</f>
        <v/>
      </c>
      <c r="AB3699" s="81" t="str">
        <f>IFERROR(HLOOKUP(K3699,データについて!$J$5:$AH$20,14,FALSE),"")</f>
        <v/>
      </c>
      <c r="AC3699" s="81" t="e">
        <f>IF(X3699=1,HLOOKUP(R3699,データについて!$J$12:$M$18,7,FALSE),"*")</f>
        <v>#N/A</v>
      </c>
      <c r="AD3699" s="81" t="e">
        <f>IF(X3699=2,HLOOKUP(R3699,データについて!$J$12:$M$18,7,FALSE),"*")</f>
        <v>#N/A</v>
      </c>
    </row>
    <row r="3700" spans="19:30">
      <c r="S3700" s="81" t="e">
        <f>HLOOKUP(L3700,データについて!$J$6:$M$18,13,FALSE)</f>
        <v>#N/A</v>
      </c>
      <c r="T3700" s="81" t="e">
        <f>HLOOKUP(M3700,データについて!$J$7:$M$18,12,FALSE)</f>
        <v>#N/A</v>
      </c>
      <c r="U3700" s="81" t="e">
        <f>HLOOKUP(N3700,データについて!$J$8:$M$18,11,FALSE)</f>
        <v>#N/A</v>
      </c>
      <c r="V3700" s="81" t="e">
        <f>HLOOKUP(O3700,データについて!$J$9:$M$18,10,FALSE)</f>
        <v>#N/A</v>
      </c>
      <c r="W3700" s="81" t="e">
        <f>HLOOKUP(P3700,データについて!$J$10:$M$18,9,FALSE)</f>
        <v>#N/A</v>
      </c>
      <c r="X3700" s="81" t="e">
        <f>HLOOKUP(Q3700,データについて!$J$11:$M$18,8,FALSE)</f>
        <v>#N/A</v>
      </c>
      <c r="Y3700" s="81" t="e">
        <f>HLOOKUP(R3700,データについて!$J$12:$M$18,7,FALSE)</f>
        <v>#N/A</v>
      </c>
      <c r="Z3700" s="81" t="e">
        <f>HLOOKUP(I3700,データについて!$J$3:$M$18,16,FALSE)</f>
        <v>#N/A</v>
      </c>
      <c r="AA3700" s="81" t="str">
        <f>IFERROR(HLOOKUP(J3700,データについて!$J$4:$AH$19,16,FALSE),"")</f>
        <v/>
      </c>
      <c r="AB3700" s="81" t="str">
        <f>IFERROR(HLOOKUP(K3700,データについて!$J$5:$AH$20,14,FALSE),"")</f>
        <v/>
      </c>
      <c r="AC3700" s="81" t="e">
        <f>IF(X3700=1,HLOOKUP(R3700,データについて!$J$12:$M$18,7,FALSE),"*")</f>
        <v>#N/A</v>
      </c>
      <c r="AD3700" s="81" t="e">
        <f>IF(X3700=2,HLOOKUP(R3700,データについて!$J$12:$M$18,7,FALSE),"*")</f>
        <v>#N/A</v>
      </c>
    </row>
    <row r="3701" spans="19:30">
      <c r="S3701" s="81" t="e">
        <f>HLOOKUP(L3701,データについて!$J$6:$M$18,13,FALSE)</f>
        <v>#N/A</v>
      </c>
      <c r="T3701" s="81" t="e">
        <f>HLOOKUP(M3701,データについて!$J$7:$M$18,12,FALSE)</f>
        <v>#N/A</v>
      </c>
      <c r="U3701" s="81" t="e">
        <f>HLOOKUP(N3701,データについて!$J$8:$M$18,11,FALSE)</f>
        <v>#N/A</v>
      </c>
      <c r="V3701" s="81" t="e">
        <f>HLOOKUP(O3701,データについて!$J$9:$M$18,10,FALSE)</f>
        <v>#N/A</v>
      </c>
      <c r="W3701" s="81" t="e">
        <f>HLOOKUP(P3701,データについて!$J$10:$M$18,9,FALSE)</f>
        <v>#N/A</v>
      </c>
      <c r="X3701" s="81" t="e">
        <f>HLOOKUP(Q3701,データについて!$J$11:$M$18,8,FALSE)</f>
        <v>#N/A</v>
      </c>
      <c r="Y3701" s="81" t="e">
        <f>HLOOKUP(R3701,データについて!$J$12:$M$18,7,FALSE)</f>
        <v>#N/A</v>
      </c>
      <c r="Z3701" s="81" t="e">
        <f>HLOOKUP(I3701,データについて!$J$3:$M$18,16,FALSE)</f>
        <v>#N/A</v>
      </c>
      <c r="AA3701" s="81" t="str">
        <f>IFERROR(HLOOKUP(J3701,データについて!$J$4:$AH$19,16,FALSE),"")</f>
        <v/>
      </c>
      <c r="AB3701" s="81" t="str">
        <f>IFERROR(HLOOKUP(K3701,データについて!$J$5:$AH$20,14,FALSE),"")</f>
        <v/>
      </c>
      <c r="AC3701" s="81" t="e">
        <f>IF(X3701=1,HLOOKUP(R3701,データについて!$J$12:$M$18,7,FALSE),"*")</f>
        <v>#N/A</v>
      </c>
      <c r="AD3701" s="81" t="e">
        <f>IF(X3701=2,HLOOKUP(R3701,データについて!$J$12:$M$18,7,FALSE),"*")</f>
        <v>#N/A</v>
      </c>
    </row>
    <row r="3702" spans="19:30">
      <c r="S3702" s="81" t="e">
        <f>HLOOKUP(L3702,データについて!$J$6:$M$18,13,FALSE)</f>
        <v>#N/A</v>
      </c>
      <c r="T3702" s="81" t="e">
        <f>HLOOKUP(M3702,データについて!$J$7:$M$18,12,FALSE)</f>
        <v>#N/A</v>
      </c>
      <c r="U3702" s="81" t="e">
        <f>HLOOKUP(N3702,データについて!$J$8:$M$18,11,FALSE)</f>
        <v>#N/A</v>
      </c>
      <c r="V3702" s="81" t="e">
        <f>HLOOKUP(O3702,データについて!$J$9:$M$18,10,FALSE)</f>
        <v>#N/A</v>
      </c>
      <c r="W3702" s="81" t="e">
        <f>HLOOKUP(P3702,データについて!$J$10:$M$18,9,FALSE)</f>
        <v>#N/A</v>
      </c>
      <c r="X3702" s="81" t="e">
        <f>HLOOKUP(Q3702,データについて!$J$11:$M$18,8,FALSE)</f>
        <v>#N/A</v>
      </c>
      <c r="Y3702" s="81" t="e">
        <f>HLOOKUP(R3702,データについて!$J$12:$M$18,7,FALSE)</f>
        <v>#N/A</v>
      </c>
      <c r="Z3702" s="81" t="e">
        <f>HLOOKUP(I3702,データについて!$J$3:$M$18,16,FALSE)</f>
        <v>#N/A</v>
      </c>
      <c r="AA3702" s="81" t="str">
        <f>IFERROR(HLOOKUP(J3702,データについて!$J$4:$AH$19,16,FALSE),"")</f>
        <v/>
      </c>
      <c r="AB3702" s="81" t="str">
        <f>IFERROR(HLOOKUP(K3702,データについて!$J$5:$AH$20,14,FALSE),"")</f>
        <v/>
      </c>
      <c r="AC3702" s="81" t="e">
        <f>IF(X3702=1,HLOOKUP(R3702,データについて!$J$12:$M$18,7,FALSE),"*")</f>
        <v>#N/A</v>
      </c>
      <c r="AD3702" s="81" t="e">
        <f>IF(X3702=2,HLOOKUP(R3702,データについて!$J$12:$M$18,7,FALSE),"*")</f>
        <v>#N/A</v>
      </c>
    </row>
    <row r="3703" spans="19:30">
      <c r="S3703" s="81" t="e">
        <f>HLOOKUP(L3703,データについて!$J$6:$M$18,13,FALSE)</f>
        <v>#N/A</v>
      </c>
      <c r="T3703" s="81" t="e">
        <f>HLOOKUP(M3703,データについて!$J$7:$M$18,12,FALSE)</f>
        <v>#N/A</v>
      </c>
      <c r="U3703" s="81" t="e">
        <f>HLOOKUP(N3703,データについて!$J$8:$M$18,11,FALSE)</f>
        <v>#N/A</v>
      </c>
      <c r="V3703" s="81" t="e">
        <f>HLOOKUP(O3703,データについて!$J$9:$M$18,10,FALSE)</f>
        <v>#N/A</v>
      </c>
      <c r="W3703" s="81" t="e">
        <f>HLOOKUP(P3703,データについて!$J$10:$M$18,9,FALSE)</f>
        <v>#N/A</v>
      </c>
      <c r="X3703" s="81" t="e">
        <f>HLOOKUP(Q3703,データについて!$J$11:$M$18,8,FALSE)</f>
        <v>#N/A</v>
      </c>
      <c r="Y3703" s="81" t="e">
        <f>HLOOKUP(R3703,データについて!$J$12:$M$18,7,FALSE)</f>
        <v>#N/A</v>
      </c>
      <c r="Z3703" s="81" t="e">
        <f>HLOOKUP(I3703,データについて!$J$3:$M$18,16,FALSE)</f>
        <v>#N/A</v>
      </c>
      <c r="AA3703" s="81" t="str">
        <f>IFERROR(HLOOKUP(J3703,データについて!$J$4:$AH$19,16,FALSE),"")</f>
        <v/>
      </c>
      <c r="AB3703" s="81" t="str">
        <f>IFERROR(HLOOKUP(K3703,データについて!$J$5:$AH$20,14,FALSE),"")</f>
        <v/>
      </c>
      <c r="AC3703" s="81" t="e">
        <f>IF(X3703=1,HLOOKUP(R3703,データについて!$J$12:$M$18,7,FALSE),"*")</f>
        <v>#N/A</v>
      </c>
      <c r="AD3703" s="81" t="e">
        <f>IF(X3703=2,HLOOKUP(R3703,データについて!$J$12:$M$18,7,FALSE),"*")</f>
        <v>#N/A</v>
      </c>
    </row>
    <row r="3704" spans="19:30">
      <c r="S3704" s="81" t="e">
        <f>HLOOKUP(L3704,データについて!$J$6:$M$18,13,FALSE)</f>
        <v>#N/A</v>
      </c>
      <c r="T3704" s="81" t="e">
        <f>HLOOKUP(M3704,データについて!$J$7:$M$18,12,FALSE)</f>
        <v>#N/A</v>
      </c>
      <c r="U3704" s="81" t="e">
        <f>HLOOKUP(N3704,データについて!$J$8:$M$18,11,FALSE)</f>
        <v>#N/A</v>
      </c>
      <c r="V3704" s="81" t="e">
        <f>HLOOKUP(O3704,データについて!$J$9:$M$18,10,FALSE)</f>
        <v>#N/A</v>
      </c>
      <c r="W3704" s="81" t="e">
        <f>HLOOKUP(P3704,データについて!$J$10:$M$18,9,FALSE)</f>
        <v>#N/A</v>
      </c>
      <c r="X3704" s="81" t="e">
        <f>HLOOKUP(Q3704,データについて!$J$11:$M$18,8,FALSE)</f>
        <v>#N/A</v>
      </c>
      <c r="Y3704" s="81" t="e">
        <f>HLOOKUP(R3704,データについて!$J$12:$M$18,7,FALSE)</f>
        <v>#N/A</v>
      </c>
      <c r="Z3704" s="81" t="e">
        <f>HLOOKUP(I3704,データについて!$J$3:$M$18,16,FALSE)</f>
        <v>#N/A</v>
      </c>
      <c r="AA3704" s="81" t="str">
        <f>IFERROR(HLOOKUP(J3704,データについて!$J$4:$AH$19,16,FALSE),"")</f>
        <v/>
      </c>
      <c r="AB3704" s="81" t="str">
        <f>IFERROR(HLOOKUP(K3704,データについて!$J$5:$AH$20,14,FALSE),"")</f>
        <v/>
      </c>
      <c r="AC3704" s="81" t="e">
        <f>IF(X3704=1,HLOOKUP(R3704,データについて!$J$12:$M$18,7,FALSE),"*")</f>
        <v>#N/A</v>
      </c>
      <c r="AD3704" s="81" t="e">
        <f>IF(X3704=2,HLOOKUP(R3704,データについて!$J$12:$M$18,7,FALSE),"*")</f>
        <v>#N/A</v>
      </c>
    </row>
    <row r="3705" spans="19:30">
      <c r="S3705" s="81" t="e">
        <f>HLOOKUP(L3705,データについて!$J$6:$M$18,13,FALSE)</f>
        <v>#N/A</v>
      </c>
      <c r="T3705" s="81" t="e">
        <f>HLOOKUP(M3705,データについて!$J$7:$M$18,12,FALSE)</f>
        <v>#N/A</v>
      </c>
      <c r="U3705" s="81" t="e">
        <f>HLOOKUP(N3705,データについて!$J$8:$M$18,11,FALSE)</f>
        <v>#N/A</v>
      </c>
      <c r="V3705" s="81" t="e">
        <f>HLOOKUP(O3705,データについて!$J$9:$M$18,10,FALSE)</f>
        <v>#N/A</v>
      </c>
      <c r="W3705" s="81" t="e">
        <f>HLOOKUP(P3705,データについて!$J$10:$M$18,9,FALSE)</f>
        <v>#N/A</v>
      </c>
      <c r="X3705" s="81" t="e">
        <f>HLOOKUP(Q3705,データについて!$J$11:$M$18,8,FALSE)</f>
        <v>#N/A</v>
      </c>
      <c r="Y3705" s="81" t="e">
        <f>HLOOKUP(R3705,データについて!$J$12:$M$18,7,FALSE)</f>
        <v>#N/A</v>
      </c>
      <c r="Z3705" s="81" t="e">
        <f>HLOOKUP(I3705,データについて!$J$3:$M$18,16,FALSE)</f>
        <v>#N/A</v>
      </c>
      <c r="AA3705" s="81" t="str">
        <f>IFERROR(HLOOKUP(J3705,データについて!$J$4:$AH$19,16,FALSE),"")</f>
        <v/>
      </c>
      <c r="AB3705" s="81" t="str">
        <f>IFERROR(HLOOKUP(K3705,データについて!$J$5:$AH$20,14,FALSE),"")</f>
        <v/>
      </c>
      <c r="AC3705" s="81" t="e">
        <f>IF(X3705=1,HLOOKUP(R3705,データについて!$J$12:$M$18,7,FALSE),"*")</f>
        <v>#N/A</v>
      </c>
      <c r="AD3705" s="81" t="e">
        <f>IF(X3705=2,HLOOKUP(R3705,データについて!$J$12:$M$18,7,FALSE),"*")</f>
        <v>#N/A</v>
      </c>
    </row>
    <row r="3706" spans="19:30">
      <c r="S3706" s="81" t="e">
        <f>HLOOKUP(L3706,データについて!$J$6:$M$18,13,FALSE)</f>
        <v>#N/A</v>
      </c>
      <c r="T3706" s="81" t="e">
        <f>HLOOKUP(M3706,データについて!$J$7:$M$18,12,FALSE)</f>
        <v>#N/A</v>
      </c>
      <c r="U3706" s="81" t="e">
        <f>HLOOKUP(N3706,データについて!$J$8:$M$18,11,FALSE)</f>
        <v>#N/A</v>
      </c>
      <c r="V3706" s="81" t="e">
        <f>HLOOKUP(O3706,データについて!$J$9:$M$18,10,FALSE)</f>
        <v>#N/A</v>
      </c>
      <c r="W3706" s="81" t="e">
        <f>HLOOKUP(P3706,データについて!$J$10:$M$18,9,FALSE)</f>
        <v>#N/A</v>
      </c>
      <c r="X3706" s="81" t="e">
        <f>HLOOKUP(Q3706,データについて!$J$11:$M$18,8,FALSE)</f>
        <v>#N/A</v>
      </c>
      <c r="Y3706" s="81" t="e">
        <f>HLOOKUP(R3706,データについて!$J$12:$M$18,7,FALSE)</f>
        <v>#N/A</v>
      </c>
      <c r="Z3706" s="81" t="e">
        <f>HLOOKUP(I3706,データについて!$J$3:$M$18,16,FALSE)</f>
        <v>#N/A</v>
      </c>
      <c r="AA3706" s="81" t="str">
        <f>IFERROR(HLOOKUP(J3706,データについて!$J$4:$AH$19,16,FALSE),"")</f>
        <v/>
      </c>
      <c r="AB3706" s="81" t="str">
        <f>IFERROR(HLOOKUP(K3706,データについて!$J$5:$AH$20,14,FALSE),"")</f>
        <v/>
      </c>
      <c r="AC3706" s="81" t="e">
        <f>IF(X3706=1,HLOOKUP(R3706,データについて!$J$12:$M$18,7,FALSE),"*")</f>
        <v>#N/A</v>
      </c>
      <c r="AD3706" s="81" t="e">
        <f>IF(X3706=2,HLOOKUP(R3706,データについて!$J$12:$M$18,7,FALSE),"*")</f>
        <v>#N/A</v>
      </c>
    </row>
    <row r="3707" spans="19:30">
      <c r="S3707" s="81" t="e">
        <f>HLOOKUP(L3707,データについて!$J$6:$M$18,13,FALSE)</f>
        <v>#N/A</v>
      </c>
      <c r="T3707" s="81" t="e">
        <f>HLOOKUP(M3707,データについて!$J$7:$M$18,12,FALSE)</f>
        <v>#N/A</v>
      </c>
      <c r="U3707" s="81" t="e">
        <f>HLOOKUP(N3707,データについて!$J$8:$M$18,11,FALSE)</f>
        <v>#N/A</v>
      </c>
      <c r="V3707" s="81" t="e">
        <f>HLOOKUP(O3707,データについて!$J$9:$M$18,10,FALSE)</f>
        <v>#N/A</v>
      </c>
      <c r="W3707" s="81" t="e">
        <f>HLOOKUP(P3707,データについて!$J$10:$M$18,9,FALSE)</f>
        <v>#N/A</v>
      </c>
      <c r="X3707" s="81" t="e">
        <f>HLOOKUP(Q3707,データについて!$J$11:$M$18,8,FALSE)</f>
        <v>#N/A</v>
      </c>
      <c r="Y3707" s="81" t="e">
        <f>HLOOKUP(R3707,データについて!$J$12:$M$18,7,FALSE)</f>
        <v>#N/A</v>
      </c>
      <c r="Z3707" s="81" t="e">
        <f>HLOOKUP(I3707,データについて!$J$3:$M$18,16,FALSE)</f>
        <v>#N/A</v>
      </c>
      <c r="AA3707" s="81" t="str">
        <f>IFERROR(HLOOKUP(J3707,データについて!$J$4:$AH$19,16,FALSE),"")</f>
        <v/>
      </c>
      <c r="AB3707" s="81" t="str">
        <f>IFERROR(HLOOKUP(K3707,データについて!$J$5:$AH$20,14,FALSE),"")</f>
        <v/>
      </c>
      <c r="AC3707" s="81" t="e">
        <f>IF(X3707=1,HLOOKUP(R3707,データについて!$J$12:$M$18,7,FALSE),"*")</f>
        <v>#N/A</v>
      </c>
      <c r="AD3707" s="81" t="e">
        <f>IF(X3707=2,HLOOKUP(R3707,データについて!$J$12:$M$18,7,FALSE),"*")</f>
        <v>#N/A</v>
      </c>
    </row>
    <row r="3708" spans="19:30">
      <c r="S3708" s="81" t="e">
        <f>HLOOKUP(L3708,データについて!$J$6:$M$18,13,FALSE)</f>
        <v>#N/A</v>
      </c>
      <c r="T3708" s="81" t="e">
        <f>HLOOKUP(M3708,データについて!$J$7:$M$18,12,FALSE)</f>
        <v>#N/A</v>
      </c>
      <c r="U3708" s="81" t="e">
        <f>HLOOKUP(N3708,データについて!$J$8:$M$18,11,FALSE)</f>
        <v>#N/A</v>
      </c>
      <c r="V3708" s="81" t="e">
        <f>HLOOKUP(O3708,データについて!$J$9:$M$18,10,FALSE)</f>
        <v>#N/A</v>
      </c>
      <c r="W3708" s="81" t="e">
        <f>HLOOKUP(P3708,データについて!$J$10:$M$18,9,FALSE)</f>
        <v>#N/A</v>
      </c>
      <c r="X3708" s="81" t="e">
        <f>HLOOKUP(Q3708,データについて!$J$11:$M$18,8,FALSE)</f>
        <v>#N/A</v>
      </c>
      <c r="Y3708" s="81" t="e">
        <f>HLOOKUP(R3708,データについて!$J$12:$M$18,7,FALSE)</f>
        <v>#N/A</v>
      </c>
      <c r="Z3708" s="81" t="e">
        <f>HLOOKUP(I3708,データについて!$J$3:$M$18,16,FALSE)</f>
        <v>#N/A</v>
      </c>
      <c r="AA3708" s="81" t="str">
        <f>IFERROR(HLOOKUP(J3708,データについて!$J$4:$AH$19,16,FALSE),"")</f>
        <v/>
      </c>
      <c r="AB3708" s="81" t="str">
        <f>IFERROR(HLOOKUP(K3708,データについて!$J$5:$AH$20,14,FALSE),"")</f>
        <v/>
      </c>
      <c r="AC3708" s="81" t="e">
        <f>IF(X3708=1,HLOOKUP(R3708,データについて!$J$12:$M$18,7,FALSE),"*")</f>
        <v>#N/A</v>
      </c>
      <c r="AD3708" s="81" t="e">
        <f>IF(X3708=2,HLOOKUP(R3708,データについて!$J$12:$M$18,7,FALSE),"*")</f>
        <v>#N/A</v>
      </c>
    </row>
    <row r="3709" spans="19:30">
      <c r="S3709" s="81" t="e">
        <f>HLOOKUP(L3709,データについて!$J$6:$M$18,13,FALSE)</f>
        <v>#N/A</v>
      </c>
      <c r="T3709" s="81" t="e">
        <f>HLOOKUP(M3709,データについて!$J$7:$M$18,12,FALSE)</f>
        <v>#N/A</v>
      </c>
      <c r="U3709" s="81" t="e">
        <f>HLOOKUP(N3709,データについて!$J$8:$M$18,11,FALSE)</f>
        <v>#N/A</v>
      </c>
      <c r="V3709" s="81" t="e">
        <f>HLOOKUP(O3709,データについて!$J$9:$M$18,10,FALSE)</f>
        <v>#N/A</v>
      </c>
      <c r="W3709" s="81" t="e">
        <f>HLOOKUP(P3709,データについて!$J$10:$M$18,9,FALSE)</f>
        <v>#N/A</v>
      </c>
      <c r="X3709" s="81" t="e">
        <f>HLOOKUP(Q3709,データについて!$J$11:$M$18,8,FALSE)</f>
        <v>#N/A</v>
      </c>
      <c r="Y3709" s="81" t="e">
        <f>HLOOKUP(R3709,データについて!$J$12:$M$18,7,FALSE)</f>
        <v>#N/A</v>
      </c>
      <c r="Z3709" s="81" t="e">
        <f>HLOOKUP(I3709,データについて!$J$3:$M$18,16,FALSE)</f>
        <v>#N/A</v>
      </c>
      <c r="AA3709" s="81" t="str">
        <f>IFERROR(HLOOKUP(J3709,データについて!$J$4:$AH$19,16,FALSE),"")</f>
        <v/>
      </c>
      <c r="AB3709" s="81" t="str">
        <f>IFERROR(HLOOKUP(K3709,データについて!$J$5:$AH$20,14,FALSE),"")</f>
        <v/>
      </c>
      <c r="AC3709" s="81" t="e">
        <f>IF(X3709=1,HLOOKUP(R3709,データについて!$J$12:$M$18,7,FALSE),"*")</f>
        <v>#N/A</v>
      </c>
      <c r="AD3709" s="81" t="e">
        <f>IF(X3709=2,HLOOKUP(R3709,データについて!$J$12:$M$18,7,FALSE),"*")</f>
        <v>#N/A</v>
      </c>
    </row>
    <row r="3710" spans="19:30">
      <c r="S3710" s="81" t="e">
        <f>HLOOKUP(L3710,データについて!$J$6:$M$18,13,FALSE)</f>
        <v>#N/A</v>
      </c>
      <c r="T3710" s="81" t="e">
        <f>HLOOKUP(M3710,データについて!$J$7:$M$18,12,FALSE)</f>
        <v>#N/A</v>
      </c>
      <c r="U3710" s="81" t="e">
        <f>HLOOKUP(N3710,データについて!$J$8:$M$18,11,FALSE)</f>
        <v>#N/A</v>
      </c>
      <c r="V3710" s="81" t="e">
        <f>HLOOKUP(O3710,データについて!$J$9:$M$18,10,FALSE)</f>
        <v>#N/A</v>
      </c>
      <c r="W3710" s="81" t="e">
        <f>HLOOKUP(P3710,データについて!$J$10:$M$18,9,FALSE)</f>
        <v>#N/A</v>
      </c>
      <c r="X3710" s="81" t="e">
        <f>HLOOKUP(Q3710,データについて!$J$11:$M$18,8,FALSE)</f>
        <v>#N/A</v>
      </c>
      <c r="Y3710" s="81" t="e">
        <f>HLOOKUP(R3710,データについて!$J$12:$M$18,7,FALSE)</f>
        <v>#N/A</v>
      </c>
      <c r="Z3710" s="81" t="e">
        <f>HLOOKUP(I3710,データについて!$J$3:$M$18,16,FALSE)</f>
        <v>#N/A</v>
      </c>
      <c r="AA3710" s="81" t="str">
        <f>IFERROR(HLOOKUP(J3710,データについて!$J$4:$AH$19,16,FALSE),"")</f>
        <v/>
      </c>
      <c r="AB3710" s="81" t="str">
        <f>IFERROR(HLOOKUP(K3710,データについて!$J$5:$AH$20,14,FALSE),"")</f>
        <v/>
      </c>
      <c r="AC3710" s="81" t="e">
        <f>IF(X3710=1,HLOOKUP(R3710,データについて!$J$12:$M$18,7,FALSE),"*")</f>
        <v>#N/A</v>
      </c>
      <c r="AD3710" s="81" t="e">
        <f>IF(X3710=2,HLOOKUP(R3710,データについて!$J$12:$M$18,7,FALSE),"*")</f>
        <v>#N/A</v>
      </c>
    </row>
    <row r="3711" spans="19:30">
      <c r="S3711" s="81" t="e">
        <f>HLOOKUP(L3711,データについて!$J$6:$M$18,13,FALSE)</f>
        <v>#N/A</v>
      </c>
      <c r="T3711" s="81" t="e">
        <f>HLOOKUP(M3711,データについて!$J$7:$M$18,12,FALSE)</f>
        <v>#N/A</v>
      </c>
      <c r="U3711" s="81" t="e">
        <f>HLOOKUP(N3711,データについて!$J$8:$M$18,11,FALSE)</f>
        <v>#N/A</v>
      </c>
      <c r="V3711" s="81" t="e">
        <f>HLOOKUP(O3711,データについて!$J$9:$M$18,10,FALSE)</f>
        <v>#N/A</v>
      </c>
      <c r="W3711" s="81" t="e">
        <f>HLOOKUP(P3711,データについて!$J$10:$M$18,9,FALSE)</f>
        <v>#N/A</v>
      </c>
      <c r="X3711" s="81" t="e">
        <f>HLOOKUP(Q3711,データについて!$J$11:$M$18,8,FALSE)</f>
        <v>#N/A</v>
      </c>
      <c r="Y3711" s="81" t="e">
        <f>HLOOKUP(R3711,データについて!$J$12:$M$18,7,FALSE)</f>
        <v>#N/A</v>
      </c>
      <c r="Z3711" s="81" t="e">
        <f>HLOOKUP(I3711,データについて!$J$3:$M$18,16,FALSE)</f>
        <v>#N/A</v>
      </c>
      <c r="AA3711" s="81" t="str">
        <f>IFERROR(HLOOKUP(J3711,データについて!$J$4:$AH$19,16,FALSE),"")</f>
        <v/>
      </c>
      <c r="AB3711" s="81" t="str">
        <f>IFERROR(HLOOKUP(K3711,データについて!$J$5:$AH$20,14,FALSE),"")</f>
        <v/>
      </c>
      <c r="AC3711" s="81" t="e">
        <f>IF(X3711=1,HLOOKUP(R3711,データについて!$J$12:$M$18,7,FALSE),"*")</f>
        <v>#N/A</v>
      </c>
      <c r="AD3711" s="81" t="e">
        <f>IF(X3711=2,HLOOKUP(R3711,データについて!$J$12:$M$18,7,FALSE),"*")</f>
        <v>#N/A</v>
      </c>
    </row>
    <row r="3712" spans="19:30">
      <c r="S3712" s="81" t="e">
        <f>HLOOKUP(L3712,データについて!$J$6:$M$18,13,FALSE)</f>
        <v>#N/A</v>
      </c>
      <c r="T3712" s="81" t="e">
        <f>HLOOKUP(M3712,データについて!$J$7:$M$18,12,FALSE)</f>
        <v>#N/A</v>
      </c>
      <c r="U3712" s="81" t="e">
        <f>HLOOKUP(N3712,データについて!$J$8:$M$18,11,FALSE)</f>
        <v>#N/A</v>
      </c>
      <c r="V3712" s="81" t="e">
        <f>HLOOKUP(O3712,データについて!$J$9:$M$18,10,FALSE)</f>
        <v>#N/A</v>
      </c>
      <c r="W3712" s="81" t="e">
        <f>HLOOKUP(P3712,データについて!$J$10:$M$18,9,FALSE)</f>
        <v>#N/A</v>
      </c>
      <c r="X3712" s="81" t="e">
        <f>HLOOKUP(Q3712,データについて!$J$11:$M$18,8,FALSE)</f>
        <v>#N/A</v>
      </c>
      <c r="Y3712" s="81" t="e">
        <f>HLOOKUP(R3712,データについて!$J$12:$M$18,7,FALSE)</f>
        <v>#N/A</v>
      </c>
      <c r="Z3712" s="81" t="e">
        <f>HLOOKUP(I3712,データについて!$J$3:$M$18,16,FALSE)</f>
        <v>#N/A</v>
      </c>
      <c r="AA3712" s="81" t="str">
        <f>IFERROR(HLOOKUP(J3712,データについて!$J$4:$AH$19,16,FALSE),"")</f>
        <v/>
      </c>
      <c r="AB3712" s="81" t="str">
        <f>IFERROR(HLOOKUP(K3712,データについて!$J$5:$AH$20,14,FALSE),"")</f>
        <v/>
      </c>
      <c r="AC3712" s="81" t="e">
        <f>IF(X3712=1,HLOOKUP(R3712,データについて!$J$12:$M$18,7,FALSE),"*")</f>
        <v>#N/A</v>
      </c>
      <c r="AD3712" s="81" t="e">
        <f>IF(X3712=2,HLOOKUP(R3712,データについて!$J$12:$M$18,7,FALSE),"*")</f>
        <v>#N/A</v>
      </c>
    </row>
    <row r="3713" spans="19:30">
      <c r="S3713" s="81" t="e">
        <f>HLOOKUP(L3713,データについて!$J$6:$M$18,13,FALSE)</f>
        <v>#N/A</v>
      </c>
      <c r="T3713" s="81" t="e">
        <f>HLOOKUP(M3713,データについて!$J$7:$M$18,12,FALSE)</f>
        <v>#N/A</v>
      </c>
      <c r="U3713" s="81" t="e">
        <f>HLOOKUP(N3713,データについて!$J$8:$M$18,11,FALSE)</f>
        <v>#N/A</v>
      </c>
      <c r="V3713" s="81" t="e">
        <f>HLOOKUP(O3713,データについて!$J$9:$M$18,10,FALSE)</f>
        <v>#N/A</v>
      </c>
      <c r="W3713" s="81" t="e">
        <f>HLOOKUP(P3713,データについて!$J$10:$M$18,9,FALSE)</f>
        <v>#N/A</v>
      </c>
      <c r="X3713" s="81" t="e">
        <f>HLOOKUP(Q3713,データについて!$J$11:$M$18,8,FALSE)</f>
        <v>#N/A</v>
      </c>
      <c r="Y3713" s="81" t="e">
        <f>HLOOKUP(R3713,データについて!$J$12:$M$18,7,FALSE)</f>
        <v>#N/A</v>
      </c>
      <c r="Z3713" s="81" t="e">
        <f>HLOOKUP(I3713,データについて!$J$3:$M$18,16,FALSE)</f>
        <v>#N/A</v>
      </c>
      <c r="AA3713" s="81" t="str">
        <f>IFERROR(HLOOKUP(J3713,データについて!$J$4:$AH$19,16,FALSE),"")</f>
        <v/>
      </c>
      <c r="AB3713" s="81" t="str">
        <f>IFERROR(HLOOKUP(K3713,データについて!$J$5:$AH$20,14,FALSE),"")</f>
        <v/>
      </c>
      <c r="AC3713" s="81" t="e">
        <f>IF(X3713=1,HLOOKUP(R3713,データについて!$J$12:$M$18,7,FALSE),"*")</f>
        <v>#N/A</v>
      </c>
      <c r="AD3713" s="81" t="e">
        <f>IF(X3713=2,HLOOKUP(R3713,データについて!$J$12:$M$18,7,FALSE),"*")</f>
        <v>#N/A</v>
      </c>
    </row>
    <row r="3714" spans="19:30">
      <c r="S3714" s="81" t="e">
        <f>HLOOKUP(L3714,データについて!$J$6:$M$18,13,FALSE)</f>
        <v>#N/A</v>
      </c>
      <c r="T3714" s="81" t="e">
        <f>HLOOKUP(M3714,データについて!$J$7:$M$18,12,FALSE)</f>
        <v>#N/A</v>
      </c>
      <c r="U3714" s="81" t="e">
        <f>HLOOKUP(N3714,データについて!$J$8:$M$18,11,FALSE)</f>
        <v>#N/A</v>
      </c>
      <c r="V3714" s="81" t="e">
        <f>HLOOKUP(O3714,データについて!$J$9:$M$18,10,FALSE)</f>
        <v>#N/A</v>
      </c>
      <c r="W3714" s="81" t="e">
        <f>HLOOKUP(P3714,データについて!$J$10:$M$18,9,FALSE)</f>
        <v>#N/A</v>
      </c>
      <c r="X3714" s="81" t="e">
        <f>HLOOKUP(Q3714,データについて!$J$11:$M$18,8,FALSE)</f>
        <v>#N/A</v>
      </c>
      <c r="Y3714" s="81" t="e">
        <f>HLOOKUP(R3714,データについて!$J$12:$M$18,7,FALSE)</f>
        <v>#N/A</v>
      </c>
      <c r="Z3714" s="81" t="e">
        <f>HLOOKUP(I3714,データについて!$J$3:$M$18,16,FALSE)</f>
        <v>#N/A</v>
      </c>
      <c r="AA3714" s="81" t="str">
        <f>IFERROR(HLOOKUP(J3714,データについて!$J$4:$AH$19,16,FALSE),"")</f>
        <v/>
      </c>
      <c r="AB3714" s="81" t="str">
        <f>IFERROR(HLOOKUP(K3714,データについて!$J$5:$AH$20,14,FALSE),"")</f>
        <v/>
      </c>
      <c r="AC3714" s="81" t="e">
        <f>IF(X3714=1,HLOOKUP(R3714,データについて!$J$12:$M$18,7,FALSE),"*")</f>
        <v>#N/A</v>
      </c>
      <c r="AD3714" s="81" t="e">
        <f>IF(X3714=2,HLOOKUP(R3714,データについて!$J$12:$M$18,7,FALSE),"*")</f>
        <v>#N/A</v>
      </c>
    </row>
    <row r="3715" spans="19:30">
      <c r="S3715" s="81" t="e">
        <f>HLOOKUP(L3715,データについて!$J$6:$M$18,13,FALSE)</f>
        <v>#N/A</v>
      </c>
      <c r="T3715" s="81" t="e">
        <f>HLOOKUP(M3715,データについて!$J$7:$M$18,12,FALSE)</f>
        <v>#N/A</v>
      </c>
      <c r="U3715" s="81" t="e">
        <f>HLOOKUP(N3715,データについて!$J$8:$M$18,11,FALSE)</f>
        <v>#N/A</v>
      </c>
      <c r="V3715" s="81" t="e">
        <f>HLOOKUP(O3715,データについて!$J$9:$M$18,10,FALSE)</f>
        <v>#N/A</v>
      </c>
      <c r="W3715" s="81" t="e">
        <f>HLOOKUP(P3715,データについて!$J$10:$M$18,9,FALSE)</f>
        <v>#N/A</v>
      </c>
      <c r="X3715" s="81" t="e">
        <f>HLOOKUP(Q3715,データについて!$J$11:$M$18,8,FALSE)</f>
        <v>#N/A</v>
      </c>
      <c r="Y3715" s="81" t="e">
        <f>HLOOKUP(R3715,データについて!$J$12:$M$18,7,FALSE)</f>
        <v>#N/A</v>
      </c>
      <c r="Z3715" s="81" t="e">
        <f>HLOOKUP(I3715,データについて!$J$3:$M$18,16,FALSE)</f>
        <v>#N/A</v>
      </c>
      <c r="AA3715" s="81" t="str">
        <f>IFERROR(HLOOKUP(J3715,データについて!$J$4:$AH$19,16,FALSE),"")</f>
        <v/>
      </c>
      <c r="AB3715" s="81" t="str">
        <f>IFERROR(HLOOKUP(K3715,データについて!$J$5:$AH$20,14,FALSE),"")</f>
        <v/>
      </c>
      <c r="AC3715" s="81" t="e">
        <f>IF(X3715=1,HLOOKUP(R3715,データについて!$J$12:$M$18,7,FALSE),"*")</f>
        <v>#N/A</v>
      </c>
      <c r="AD3715" s="81" t="e">
        <f>IF(X3715=2,HLOOKUP(R3715,データについて!$J$12:$M$18,7,FALSE),"*")</f>
        <v>#N/A</v>
      </c>
    </row>
    <row r="3716" spans="19:30">
      <c r="S3716" s="81" t="e">
        <f>HLOOKUP(L3716,データについて!$J$6:$M$18,13,FALSE)</f>
        <v>#N/A</v>
      </c>
      <c r="T3716" s="81" t="e">
        <f>HLOOKUP(M3716,データについて!$J$7:$M$18,12,FALSE)</f>
        <v>#N/A</v>
      </c>
      <c r="U3716" s="81" t="e">
        <f>HLOOKUP(N3716,データについて!$J$8:$M$18,11,FALSE)</f>
        <v>#N/A</v>
      </c>
      <c r="V3716" s="81" t="e">
        <f>HLOOKUP(O3716,データについて!$J$9:$M$18,10,FALSE)</f>
        <v>#N/A</v>
      </c>
      <c r="W3716" s="81" t="e">
        <f>HLOOKUP(P3716,データについて!$J$10:$M$18,9,FALSE)</f>
        <v>#N/A</v>
      </c>
      <c r="X3716" s="81" t="e">
        <f>HLOOKUP(Q3716,データについて!$J$11:$M$18,8,FALSE)</f>
        <v>#N/A</v>
      </c>
      <c r="Y3716" s="81" t="e">
        <f>HLOOKUP(R3716,データについて!$J$12:$M$18,7,FALSE)</f>
        <v>#N/A</v>
      </c>
      <c r="Z3716" s="81" t="e">
        <f>HLOOKUP(I3716,データについて!$J$3:$M$18,16,FALSE)</f>
        <v>#N/A</v>
      </c>
      <c r="AA3716" s="81" t="str">
        <f>IFERROR(HLOOKUP(J3716,データについて!$J$4:$AH$19,16,FALSE),"")</f>
        <v/>
      </c>
      <c r="AB3716" s="81" t="str">
        <f>IFERROR(HLOOKUP(K3716,データについて!$J$5:$AH$20,14,FALSE),"")</f>
        <v/>
      </c>
      <c r="AC3716" s="81" t="e">
        <f>IF(X3716=1,HLOOKUP(R3716,データについて!$J$12:$M$18,7,FALSE),"*")</f>
        <v>#N/A</v>
      </c>
      <c r="AD3716" s="81" t="e">
        <f>IF(X3716=2,HLOOKUP(R3716,データについて!$J$12:$M$18,7,FALSE),"*")</f>
        <v>#N/A</v>
      </c>
    </row>
    <row r="3717" spans="19:30">
      <c r="S3717" s="81" t="e">
        <f>HLOOKUP(L3717,データについて!$J$6:$M$18,13,FALSE)</f>
        <v>#N/A</v>
      </c>
      <c r="T3717" s="81" t="e">
        <f>HLOOKUP(M3717,データについて!$J$7:$M$18,12,FALSE)</f>
        <v>#N/A</v>
      </c>
      <c r="U3717" s="81" t="e">
        <f>HLOOKUP(N3717,データについて!$J$8:$M$18,11,FALSE)</f>
        <v>#N/A</v>
      </c>
      <c r="V3717" s="81" t="e">
        <f>HLOOKUP(O3717,データについて!$J$9:$M$18,10,FALSE)</f>
        <v>#N/A</v>
      </c>
      <c r="W3717" s="81" t="e">
        <f>HLOOKUP(P3717,データについて!$J$10:$M$18,9,FALSE)</f>
        <v>#N/A</v>
      </c>
      <c r="X3717" s="81" t="e">
        <f>HLOOKUP(Q3717,データについて!$J$11:$M$18,8,FALSE)</f>
        <v>#N/A</v>
      </c>
      <c r="Y3717" s="81" t="e">
        <f>HLOOKUP(R3717,データについて!$J$12:$M$18,7,FALSE)</f>
        <v>#N/A</v>
      </c>
      <c r="Z3717" s="81" t="e">
        <f>HLOOKUP(I3717,データについて!$J$3:$M$18,16,FALSE)</f>
        <v>#N/A</v>
      </c>
      <c r="AA3717" s="81" t="str">
        <f>IFERROR(HLOOKUP(J3717,データについて!$J$4:$AH$19,16,FALSE),"")</f>
        <v/>
      </c>
      <c r="AB3717" s="81" t="str">
        <f>IFERROR(HLOOKUP(K3717,データについて!$J$5:$AH$20,14,FALSE),"")</f>
        <v/>
      </c>
      <c r="AC3717" s="81" t="e">
        <f>IF(X3717=1,HLOOKUP(R3717,データについて!$J$12:$M$18,7,FALSE),"*")</f>
        <v>#N/A</v>
      </c>
      <c r="AD3717" s="81" t="e">
        <f>IF(X3717=2,HLOOKUP(R3717,データについて!$J$12:$M$18,7,FALSE),"*")</f>
        <v>#N/A</v>
      </c>
    </row>
    <row r="3718" spans="19:30">
      <c r="S3718" s="81" t="e">
        <f>HLOOKUP(L3718,データについて!$J$6:$M$18,13,FALSE)</f>
        <v>#N/A</v>
      </c>
      <c r="T3718" s="81" t="e">
        <f>HLOOKUP(M3718,データについて!$J$7:$M$18,12,FALSE)</f>
        <v>#N/A</v>
      </c>
      <c r="U3718" s="81" t="e">
        <f>HLOOKUP(N3718,データについて!$J$8:$M$18,11,FALSE)</f>
        <v>#N/A</v>
      </c>
      <c r="V3718" s="81" t="e">
        <f>HLOOKUP(O3718,データについて!$J$9:$M$18,10,FALSE)</f>
        <v>#N/A</v>
      </c>
      <c r="W3718" s="81" t="e">
        <f>HLOOKUP(P3718,データについて!$J$10:$M$18,9,FALSE)</f>
        <v>#N/A</v>
      </c>
      <c r="X3718" s="81" t="e">
        <f>HLOOKUP(Q3718,データについて!$J$11:$M$18,8,FALSE)</f>
        <v>#N/A</v>
      </c>
      <c r="Y3718" s="81" t="e">
        <f>HLOOKUP(R3718,データについて!$J$12:$M$18,7,FALSE)</f>
        <v>#N/A</v>
      </c>
      <c r="Z3718" s="81" t="e">
        <f>HLOOKUP(I3718,データについて!$J$3:$M$18,16,FALSE)</f>
        <v>#N/A</v>
      </c>
      <c r="AA3718" s="81" t="str">
        <f>IFERROR(HLOOKUP(J3718,データについて!$J$4:$AH$19,16,FALSE),"")</f>
        <v/>
      </c>
      <c r="AB3718" s="81" t="str">
        <f>IFERROR(HLOOKUP(K3718,データについて!$J$5:$AH$20,14,FALSE),"")</f>
        <v/>
      </c>
      <c r="AC3718" s="81" t="e">
        <f>IF(X3718=1,HLOOKUP(R3718,データについて!$J$12:$M$18,7,FALSE),"*")</f>
        <v>#N/A</v>
      </c>
      <c r="AD3718" s="81" t="e">
        <f>IF(X3718=2,HLOOKUP(R3718,データについて!$J$12:$M$18,7,FALSE),"*")</f>
        <v>#N/A</v>
      </c>
    </row>
    <row r="3719" spans="19:30">
      <c r="S3719" s="81" t="e">
        <f>HLOOKUP(L3719,データについて!$J$6:$M$18,13,FALSE)</f>
        <v>#N/A</v>
      </c>
      <c r="T3719" s="81" t="e">
        <f>HLOOKUP(M3719,データについて!$J$7:$M$18,12,FALSE)</f>
        <v>#N/A</v>
      </c>
      <c r="U3719" s="81" t="e">
        <f>HLOOKUP(N3719,データについて!$J$8:$M$18,11,FALSE)</f>
        <v>#N/A</v>
      </c>
      <c r="V3719" s="81" t="e">
        <f>HLOOKUP(O3719,データについて!$J$9:$M$18,10,FALSE)</f>
        <v>#N/A</v>
      </c>
      <c r="W3719" s="81" t="e">
        <f>HLOOKUP(P3719,データについて!$J$10:$M$18,9,FALSE)</f>
        <v>#N/A</v>
      </c>
      <c r="X3719" s="81" t="e">
        <f>HLOOKUP(Q3719,データについて!$J$11:$M$18,8,FALSE)</f>
        <v>#N/A</v>
      </c>
      <c r="Y3719" s="81" t="e">
        <f>HLOOKUP(R3719,データについて!$J$12:$M$18,7,FALSE)</f>
        <v>#N/A</v>
      </c>
      <c r="Z3719" s="81" t="e">
        <f>HLOOKUP(I3719,データについて!$J$3:$M$18,16,FALSE)</f>
        <v>#N/A</v>
      </c>
      <c r="AA3719" s="81" t="str">
        <f>IFERROR(HLOOKUP(J3719,データについて!$J$4:$AH$19,16,FALSE),"")</f>
        <v/>
      </c>
      <c r="AB3719" s="81" t="str">
        <f>IFERROR(HLOOKUP(K3719,データについて!$J$5:$AH$20,14,FALSE),"")</f>
        <v/>
      </c>
      <c r="AC3719" s="81" t="e">
        <f>IF(X3719=1,HLOOKUP(R3719,データについて!$J$12:$M$18,7,FALSE),"*")</f>
        <v>#N/A</v>
      </c>
      <c r="AD3719" s="81" t="e">
        <f>IF(X3719=2,HLOOKUP(R3719,データについて!$J$12:$M$18,7,FALSE),"*")</f>
        <v>#N/A</v>
      </c>
    </row>
    <row r="3720" spans="19:30">
      <c r="S3720" s="81" t="e">
        <f>HLOOKUP(L3720,データについて!$J$6:$M$18,13,FALSE)</f>
        <v>#N/A</v>
      </c>
      <c r="T3720" s="81" t="e">
        <f>HLOOKUP(M3720,データについて!$J$7:$M$18,12,FALSE)</f>
        <v>#N/A</v>
      </c>
      <c r="U3720" s="81" t="e">
        <f>HLOOKUP(N3720,データについて!$J$8:$M$18,11,FALSE)</f>
        <v>#N/A</v>
      </c>
      <c r="V3720" s="81" t="e">
        <f>HLOOKUP(O3720,データについて!$J$9:$M$18,10,FALSE)</f>
        <v>#N/A</v>
      </c>
      <c r="W3720" s="81" t="e">
        <f>HLOOKUP(P3720,データについて!$J$10:$M$18,9,FALSE)</f>
        <v>#N/A</v>
      </c>
      <c r="X3720" s="81" t="e">
        <f>HLOOKUP(Q3720,データについて!$J$11:$M$18,8,FALSE)</f>
        <v>#N/A</v>
      </c>
      <c r="Y3720" s="81" t="e">
        <f>HLOOKUP(R3720,データについて!$J$12:$M$18,7,FALSE)</f>
        <v>#N/A</v>
      </c>
      <c r="Z3720" s="81" t="e">
        <f>HLOOKUP(I3720,データについて!$J$3:$M$18,16,FALSE)</f>
        <v>#N/A</v>
      </c>
      <c r="AA3720" s="81" t="str">
        <f>IFERROR(HLOOKUP(J3720,データについて!$J$4:$AH$19,16,FALSE),"")</f>
        <v/>
      </c>
      <c r="AB3720" s="81" t="str">
        <f>IFERROR(HLOOKUP(K3720,データについて!$J$5:$AH$20,14,FALSE),"")</f>
        <v/>
      </c>
      <c r="AC3720" s="81" t="e">
        <f>IF(X3720=1,HLOOKUP(R3720,データについて!$J$12:$M$18,7,FALSE),"*")</f>
        <v>#N/A</v>
      </c>
      <c r="AD3720" s="81" t="e">
        <f>IF(X3720=2,HLOOKUP(R3720,データについて!$J$12:$M$18,7,FALSE),"*")</f>
        <v>#N/A</v>
      </c>
    </row>
    <row r="3721" spans="19:30">
      <c r="S3721" s="81" t="e">
        <f>HLOOKUP(L3721,データについて!$J$6:$M$18,13,FALSE)</f>
        <v>#N/A</v>
      </c>
      <c r="T3721" s="81" t="e">
        <f>HLOOKUP(M3721,データについて!$J$7:$M$18,12,FALSE)</f>
        <v>#N/A</v>
      </c>
      <c r="U3721" s="81" t="e">
        <f>HLOOKUP(N3721,データについて!$J$8:$M$18,11,FALSE)</f>
        <v>#N/A</v>
      </c>
      <c r="V3721" s="81" t="e">
        <f>HLOOKUP(O3721,データについて!$J$9:$M$18,10,FALSE)</f>
        <v>#N/A</v>
      </c>
      <c r="W3721" s="81" t="e">
        <f>HLOOKUP(P3721,データについて!$J$10:$M$18,9,FALSE)</f>
        <v>#N/A</v>
      </c>
      <c r="X3721" s="81" t="e">
        <f>HLOOKUP(Q3721,データについて!$J$11:$M$18,8,FALSE)</f>
        <v>#N/A</v>
      </c>
      <c r="Y3721" s="81" t="e">
        <f>HLOOKUP(R3721,データについて!$J$12:$M$18,7,FALSE)</f>
        <v>#N/A</v>
      </c>
      <c r="Z3721" s="81" t="e">
        <f>HLOOKUP(I3721,データについて!$J$3:$M$18,16,FALSE)</f>
        <v>#N/A</v>
      </c>
      <c r="AA3721" s="81" t="str">
        <f>IFERROR(HLOOKUP(J3721,データについて!$J$4:$AH$19,16,FALSE),"")</f>
        <v/>
      </c>
      <c r="AB3721" s="81" t="str">
        <f>IFERROR(HLOOKUP(K3721,データについて!$J$5:$AH$20,14,FALSE),"")</f>
        <v/>
      </c>
      <c r="AC3721" s="81" t="e">
        <f>IF(X3721=1,HLOOKUP(R3721,データについて!$J$12:$M$18,7,FALSE),"*")</f>
        <v>#N/A</v>
      </c>
      <c r="AD3721" s="81" t="e">
        <f>IF(X3721=2,HLOOKUP(R3721,データについて!$J$12:$M$18,7,FALSE),"*")</f>
        <v>#N/A</v>
      </c>
    </row>
    <row r="3722" spans="19:30">
      <c r="S3722" s="81" t="e">
        <f>HLOOKUP(L3722,データについて!$J$6:$M$18,13,FALSE)</f>
        <v>#N/A</v>
      </c>
      <c r="T3722" s="81" t="e">
        <f>HLOOKUP(M3722,データについて!$J$7:$M$18,12,FALSE)</f>
        <v>#N/A</v>
      </c>
      <c r="U3722" s="81" t="e">
        <f>HLOOKUP(N3722,データについて!$J$8:$M$18,11,FALSE)</f>
        <v>#N/A</v>
      </c>
      <c r="V3722" s="81" t="e">
        <f>HLOOKUP(O3722,データについて!$J$9:$M$18,10,FALSE)</f>
        <v>#N/A</v>
      </c>
      <c r="W3722" s="81" t="e">
        <f>HLOOKUP(P3722,データについて!$J$10:$M$18,9,FALSE)</f>
        <v>#N/A</v>
      </c>
      <c r="X3722" s="81" t="e">
        <f>HLOOKUP(Q3722,データについて!$J$11:$M$18,8,FALSE)</f>
        <v>#N/A</v>
      </c>
      <c r="Y3722" s="81" t="e">
        <f>HLOOKUP(R3722,データについて!$J$12:$M$18,7,FALSE)</f>
        <v>#N/A</v>
      </c>
      <c r="Z3722" s="81" t="e">
        <f>HLOOKUP(I3722,データについて!$J$3:$M$18,16,FALSE)</f>
        <v>#N/A</v>
      </c>
      <c r="AA3722" s="81" t="str">
        <f>IFERROR(HLOOKUP(J3722,データについて!$J$4:$AH$19,16,FALSE),"")</f>
        <v/>
      </c>
      <c r="AB3722" s="81" t="str">
        <f>IFERROR(HLOOKUP(K3722,データについて!$J$5:$AH$20,14,FALSE),"")</f>
        <v/>
      </c>
      <c r="AC3722" s="81" t="e">
        <f>IF(X3722=1,HLOOKUP(R3722,データについて!$J$12:$M$18,7,FALSE),"*")</f>
        <v>#N/A</v>
      </c>
      <c r="AD3722" s="81" t="e">
        <f>IF(X3722=2,HLOOKUP(R3722,データについて!$J$12:$M$18,7,FALSE),"*")</f>
        <v>#N/A</v>
      </c>
    </row>
    <row r="3723" spans="19:30">
      <c r="S3723" s="81" t="e">
        <f>HLOOKUP(L3723,データについて!$J$6:$M$18,13,FALSE)</f>
        <v>#N/A</v>
      </c>
      <c r="T3723" s="81" t="e">
        <f>HLOOKUP(M3723,データについて!$J$7:$M$18,12,FALSE)</f>
        <v>#N/A</v>
      </c>
      <c r="U3723" s="81" t="e">
        <f>HLOOKUP(N3723,データについて!$J$8:$M$18,11,FALSE)</f>
        <v>#N/A</v>
      </c>
      <c r="V3723" s="81" t="e">
        <f>HLOOKUP(O3723,データについて!$J$9:$M$18,10,FALSE)</f>
        <v>#N/A</v>
      </c>
      <c r="W3723" s="81" t="e">
        <f>HLOOKUP(P3723,データについて!$J$10:$M$18,9,FALSE)</f>
        <v>#N/A</v>
      </c>
      <c r="X3723" s="81" t="e">
        <f>HLOOKUP(Q3723,データについて!$J$11:$M$18,8,FALSE)</f>
        <v>#N/A</v>
      </c>
      <c r="Y3723" s="81" t="e">
        <f>HLOOKUP(R3723,データについて!$J$12:$M$18,7,FALSE)</f>
        <v>#N/A</v>
      </c>
      <c r="Z3723" s="81" t="e">
        <f>HLOOKUP(I3723,データについて!$J$3:$M$18,16,FALSE)</f>
        <v>#N/A</v>
      </c>
      <c r="AA3723" s="81" t="str">
        <f>IFERROR(HLOOKUP(J3723,データについて!$J$4:$AH$19,16,FALSE),"")</f>
        <v/>
      </c>
      <c r="AB3723" s="81" t="str">
        <f>IFERROR(HLOOKUP(K3723,データについて!$J$5:$AH$20,14,FALSE),"")</f>
        <v/>
      </c>
      <c r="AC3723" s="81" t="e">
        <f>IF(X3723=1,HLOOKUP(R3723,データについて!$J$12:$M$18,7,FALSE),"*")</f>
        <v>#N/A</v>
      </c>
      <c r="AD3723" s="81" t="e">
        <f>IF(X3723=2,HLOOKUP(R3723,データについて!$J$12:$M$18,7,FALSE),"*")</f>
        <v>#N/A</v>
      </c>
    </row>
    <row r="3724" spans="19:30">
      <c r="S3724" s="81" t="e">
        <f>HLOOKUP(L3724,データについて!$J$6:$M$18,13,FALSE)</f>
        <v>#N/A</v>
      </c>
      <c r="T3724" s="81" t="e">
        <f>HLOOKUP(M3724,データについて!$J$7:$M$18,12,FALSE)</f>
        <v>#N/A</v>
      </c>
      <c r="U3724" s="81" t="e">
        <f>HLOOKUP(N3724,データについて!$J$8:$M$18,11,FALSE)</f>
        <v>#N/A</v>
      </c>
      <c r="V3724" s="81" t="e">
        <f>HLOOKUP(O3724,データについて!$J$9:$M$18,10,FALSE)</f>
        <v>#N/A</v>
      </c>
      <c r="W3724" s="81" t="e">
        <f>HLOOKUP(P3724,データについて!$J$10:$M$18,9,FALSE)</f>
        <v>#N/A</v>
      </c>
      <c r="X3724" s="81" t="e">
        <f>HLOOKUP(Q3724,データについて!$J$11:$M$18,8,FALSE)</f>
        <v>#N/A</v>
      </c>
      <c r="Y3724" s="81" t="e">
        <f>HLOOKUP(R3724,データについて!$J$12:$M$18,7,FALSE)</f>
        <v>#N/A</v>
      </c>
      <c r="Z3724" s="81" t="e">
        <f>HLOOKUP(I3724,データについて!$J$3:$M$18,16,FALSE)</f>
        <v>#N/A</v>
      </c>
      <c r="AA3724" s="81" t="str">
        <f>IFERROR(HLOOKUP(J3724,データについて!$J$4:$AH$19,16,FALSE),"")</f>
        <v/>
      </c>
      <c r="AB3724" s="81" t="str">
        <f>IFERROR(HLOOKUP(K3724,データについて!$J$5:$AH$20,14,FALSE),"")</f>
        <v/>
      </c>
      <c r="AC3724" s="81" t="e">
        <f>IF(X3724=1,HLOOKUP(R3724,データについて!$J$12:$M$18,7,FALSE),"*")</f>
        <v>#N/A</v>
      </c>
      <c r="AD3724" s="81" t="e">
        <f>IF(X3724=2,HLOOKUP(R3724,データについて!$J$12:$M$18,7,FALSE),"*")</f>
        <v>#N/A</v>
      </c>
    </row>
    <row r="3725" spans="19:30">
      <c r="S3725" s="81" t="e">
        <f>HLOOKUP(L3725,データについて!$J$6:$M$18,13,FALSE)</f>
        <v>#N/A</v>
      </c>
      <c r="T3725" s="81" t="e">
        <f>HLOOKUP(M3725,データについて!$J$7:$M$18,12,FALSE)</f>
        <v>#N/A</v>
      </c>
      <c r="U3725" s="81" t="e">
        <f>HLOOKUP(N3725,データについて!$J$8:$M$18,11,FALSE)</f>
        <v>#N/A</v>
      </c>
      <c r="V3725" s="81" t="e">
        <f>HLOOKUP(O3725,データについて!$J$9:$M$18,10,FALSE)</f>
        <v>#N/A</v>
      </c>
      <c r="W3725" s="81" t="e">
        <f>HLOOKUP(P3725,データについて!$J$10:$M$18,9,FALSE)</f>
        <v>#N/A</v>
      </c>
      <c r="X3725" s="81" t="e">
        <f>HLOOKUP(Q3725,データについて!$J$11:$M$18,8,FALSE)</f>
        <v>#N/A</v>
      </c>
      <c r="Y3725" s="81" t="e">
        <f>HLOOKUP(R3725,データについて!$J$12:$M$18,7,FALSE)</f>
        <v>#N/A</v>
      </c>
      <c r="Z3725" s="81" t="e">
        <f>HLOOKUP(I3725,データについて!$J$3:$M$18,16,FALSE)</f>
        <v>#N/A</v>
      </c>
      <c r="AA3725" s="81" t="str">
        <f>IFERROR(HLOOKUP(J3725,データについて!$J$4:$AH$19,16,FALSE),"")</f>
        <v/>
      </c>
      <c r="AB3725" s="81" t="str">
        <f>IFERROR(HLOOKUP(K3725,データについて!$J$5:$AH$20,14,FALSE),"")</f>
        <v/>
      </c>
      <c r="AC3725" s="81" t="e">
        <f>IF(X3725=1,HLOOKUP(R3725,データについて!$J$12:$M$18,7,FALSE),"*")</f>
        <v>#N/A</v>
      </c>
      <c r="AD3725" s="81" t="e">
        <f>IF(X3725=2,HLOOKUP(R3725,データについて!$J$12:$M$18,7,FALSE),"*")</f>
        <v>#N/A</v>
      </c>
    </row>
    <row r="3726" spans="19:30">
      <c r="S3726" s="81" t="e">
        <f>HLOOKUP(L3726,データについて!$J$6:$M$18,13,FALSE)</f>
        <v>#N/A</v>
      </c>
      <c r="T3726" s="81" t="e">
        <f>HLOOKUP(M3726,データについて!$J$7:$M$18,12,FALSE)</f>
        <v>#N/A</v>
      </c>
      <c r="U3726" s="81" t="e">
        <f>HLOOKUP(N3726,データについて!$J$8:$M$18,11,FALSE)</f>
        <v>#N/A</v>
      </c>
      <c r="V3726" s="81" t="e">
        <f>HLOOKUP(O3726,データについて!$J$9:$M$18,10,FALSE)</f>
        <v>#N/A</v>
      </c>
      <c r="W3726" s="81" t="e">
        <f>HLOOKUP(P3726,データについて!$J$10:$M$18,9,FALSE)</f>
        <v>#N/A</v>
      </c>
      <c r="X3726" s="81" t="e">
        <f>HLOOKUP(Q3726,データについて!$J$11:$M$18,8,FALSE)</f>
        <v>#N/A</v>
      </c>
      <c r="Y3726" s="81" t="e">
        <f>HLOOKUP(R3726,データについて!$J$12:$M$18,7,FALSE)</f>
        <v>#N/A</v>
      </c>
      <c r="Z3726" s="81" t="e">
        <f>HLOOKUP(I3726,データについて!$J$3:$M$18,16,FALSE)</f>
        <v>#N/A</v>
      </c>
      <c r="AA3726" s="81" t="str">
        <f>IFERROR(HLOOKUP(J3726,データについて!$J$4:$AH$19,16,FALSE),"")</f>
        <v/>
      </c>
      <c r="AB3726" s="81" t="str">
        <f>IFERROR(HLOOKUP(K3726,データについて!$J$5:$AH$20,14,FALSE),"")</f>
        <v/>
      </c>
      <c r="AC3726" s="81" t="e">
        <f>IF(X3726=1,HLOOKUP(R3726,データについて!$J$12:$M$18,7,FALSE),"*")</f>
        <v>#N/A</v>
      </c>
      <c r="AD3726" s="81" t="e">
        <f>IF(X3726=2,HLOOKUP(R3726,データについて!$J$12:$M$18,7,FALSE),"*")</f>
        <v>#N/A</v>
      </c>
    </row>
    <row r="3727" spans="19:30">
      <c r="S3727" s="81" t="e">
        <f>HLOOKUP(L3727,データについて!$J$6:$M$18,13,FALSE)</f>
        <v>#N/A</v>
      </c>
      <c r="T3727" s="81" t="e">
        <f>HLOOKUP(M3727,データについて!$J$7:$M$18,12,FALSE)</f>
        <v>#N/A</v>
      </c>
      <c r="U3727" s="81" t="e">
        <f>HLOOKUP(N3727,データについて!$J$8:$M$18,11,FALSE)</f>
        <v>#N/A</v>
      </c>
      <c r="V3727" s="81" t="e">
        <f>HLOOKUP(O3727,データについて!$J$9:$M$18,10,FALSE)</f>
        <v>#N/A</v>
      </c>
      <c r="W3727" s="81" t="e">
        <f>HLOOKUP(P3727,データについて!$J$10:$M$18,9,FALSE)</f>
        <v>#N/A</v>
      </c>
      <c r="X3727" s="81" t="e">
        <f>HLOOKUP(Q3727,データについて!$J$11:$M$18,8,FALSE)</f>
        <v>#N/A</v>
      </c>
      <c r="Y3727" s="81" t="e">
        <f>HLOOKUP(R3727,データについて!$J$12:$M$18,7,FALSE)</f>
        <v>#N/A</v>
      </c>
      <c r="Z3727" s="81" t="e">
        <f>HLOOKUP(I3727,データについて!$J$3:$M$18,16,FALSE)</f>
        <v>#N/A</v>
      </c>
      <c r="AA3727" s="81" t="str">
        <f>IFERROR(HLOOKUP(J3727,データについて!$J$4:$AH$19,16,FALSE),"")</f>
        <v/>
      </c>
      <c r="AB3727" s="81" t="str">
        <f>IFERROR(HLOOKUP(K3727,データについて!$J$5:$AH$20,14,FALSE),"")</f>
        <v/>
      </c>
      <c r="AC3727" s="81" t="e">
        <f>IF(X3727=1,HLOOKUP(R3727,データについて!$J$12:$M$18,7,FALSE),"*")</f>
        <v>#N/A</v>
      </c>
      <c r="AD3727" s="81" t="e">
        <f>IF(X3727=2,HLOOKUP(R3727,データについて!$J$12:$M$18,7,FALSE),"*")</f>
        <v>#N/A</v>
      </c>
    </row>
    <row r="3728" spans="19:30">
      <c r="S3728" s="81" t="e">
        <f>HLOOKUP(L3728,データについて!$J$6:$M$18,13,FALSE)</f>
        <v>#N/A</v>
      </c>
      <c r="T3728" s="81" t="e">
        <f>HLOOKUP(M3728,データについて!$J$7:$M$18,12,FALSE)</f>
        <v>#N/A</v>
      </c>
      <c r="U3728" s="81" t="e">
        <f>HLOOKUP(N3728,データについて!$J$8:$M$18,11,FALSE)</f>
        <v>#N/A</v>
      </c>
      <c r="V3728" s="81" t="e">
        <f>HLOOKUP(O3728,データについて!$J$9:$M$18,10,FALSE)</f>
        <v>#N/A</v>
      </c>
      <c r="W3728" s="81" t="e">
        <f>HLOOKUP(P3728,データについて!$J$10:$M$18,9,FALSE)</f>
        <v>#N/A</v>
      </c>
      <c r="X3728" s="81" t="e">
        <f>HLOOKUP(Q3728,データについて!$J$11:$M$18,8,FALSE)</f>
        <v>#N/A</v>
      </c>
      <c r="Y3728" s="81" t="e">
        <f>HLOOKUP(R3728,データについて!$J$12:$M$18,7,FALSE)</f>
        <v>#N/A</v>
      </c>
      <c r="Z3728" s="81" t="e">
        <f>HLOOKUP(I3728,データについて!$J$3:$M$18,16,FALSE)</f>
        <v>#N/A</v>
      </c>
      <c r="AA3728" s="81" t="str">
        <f>IFERROR(HLOOKUP(J3728,データについて!$J$4:$AH$19,16,FALSE),"")</f>
        <v/>
      </c>
      <c r="AB3728" s="81" t="str">
        <f>IFERROR(HLOOKUP(K3728,データについて!$J$5:$AH$20,14,FALSE),"")</f>
        <v/>
      </c>
      <c r="AC3728" s="81" t="e">
        <f>IF(X3728=1,HLOOKUP(R3728,データについて!$J$12:$M$18,7,FALSE),"*")</f>
        <v>#N/A</v>
      </c>
      <c r="AD3728" s="81" t="e">
        <f>IF(X3728=2,HLOOKUP(R3728,データについて!$J$12:$M$18,7,FALSE),"*")</f>
        <v>#N/A</v>
      </c>
    </row>
    <row r="3729" spans="19:30">
      <c r="S3729" s="81" t="e">
        <f>HLOOKUP(L3729,データについて!$J$6:$M$18,13,FALSE)</f>
        <v>#N/A</v>
      </c>
      <c r="T3729" s="81" t="e">
        <f>HLOOKUP(M3729,データについて!$J$7:$M$18,12,FALSE)</f>
        <v>#N/A</v>
      </c>
      <c r="U3729" s="81" t="e">
        <f>HLOOKUP(N3729,データについて!$J$8:$M$18,11,FALSE)</f>
        <v>#N/A</v>
      </c>
      <c r="V3729" s="81" t="e">
        <f>HLOOKUP(O3729,データについて!$J$9:$M$18,10,FALSE)</f>
        <v>#N/A</v>
      </c>
      <c r="W3729" s="81" t="e">
        <f>HLOOKUP(P3729,データについて!$J$10:$M$18,9,FALSE)</f>
        <v>#N/A</v>
      </c>
      <c r="X3729" s="81" t="e">
        <f>HLOOKUP(Q3729,データについて!$J$11:$M$18,8,FALSE)</f>
        <v>#N/A</v>
      </c>
      <c r="Y3729" s="81" t="e">
        <f>HLOOKUP(R3729,データについて!$J$12:$M$18,7,FALSE)</f>
        <v>#N/A</v>
      </c>
      <c r="Z3729" s="81" t="e">
        <f>HLOOKUP(I3729,データについて!$J$3:$M$18,16,FALSE)</f>
        <v>#N/A</v>
      </c>
      <c r="AA3729" s="81" t="str">
        <f>IFERROR(HLOOKUP(J3729,データについて!$J$4:$AH$19,16,FALSE),"")</f>
        <v/>
      </c>
      <c r="AB3729" s="81" t="str">
        <f>IFERROR(HLOOKUP(K3729,データについて!$J$5:$AH$20,14,FALSE),"")</f>
        <v/>
      </c>
      <c r="AC3729" s="81" t="e">
        <f>IF(X3729=1,HLOOKUP(R3729,データについて!$J$12:$M$18,7,FALSE),"*")</f>
        <v>#N/A</v>
      </c>
      <c r="AD3729" s="81" t="e">
        <f>IF(X3729=2,HLOOKUP(R3729,データについて!$J$12:$M$18,7,FALSE),"*")</f>
        <v>#N/A</v>
      </c>
    </row>
    <row r="3730" spans="19:30">
      <c r="S3730" s="81" t="e">
        <f>HLOOKUP(L3730,データについて!$J$6:$M$18,13,FALSE)</f>
        <v>#N/A</v>
      </c>
      <c r="T3730" s="81" t="e">
        <f>HLOOKUP(M3730,データについて!$J$7:$M$18,12,FALSE)</f>
        <v>#N/A</v>
      </c>
      <c r="U3730" s="81" t="e">
        <f>HLOOKUP(N3730,データについて!$J$8:$M$18,11,FALSE)</f>
        <v>#N/A</v>
      </c>
      <c r="V3730" s="81" t="e">
        <f>HLOOKUP(O3730,データについて!$J$9:$M$18,10,FALSE)</f>
        <v>#N/A</v>
      </c>
      <c r="W3730" s="81" t="e">
        <f>HLOOKUP(P3730,データについて!$J$10:$M$18,9,FALSE)</f>
        <v>#N/A</v>
      </c>
      <c r="X3730" s="81" t="e">
        <f>HLOOKUP(Q3730,データについて!$J$11:$M$18,8,FALSE)</f>
        <v>#N/A</v>
      </c>
      <c r="Y3730" s="81" t="e">
        <f>HLOOKUP(R3730,データについて!$J$12:$M$18,7,FALSE)</f>
        <v>#N/A</v>
      </c>
      <c r="Z3730" s="81" t="e">
        <f>HLOOKUP(I3730,データについて!$J$3:$M$18,16,FALSE)</f>
        <v>#N/A</v>
      </c>
      <c r="AA3730" s="81" t="str">
        <f>IFERROR(HLOOKUP(J3730,データについて!$J$4:$AH$19,16,FALSE),"")</f>
        <v/>
      </c>
      <c r="AB3730" s="81" t="str">
        <f>IFERROR(HLOOKUP(K3730,データについて!$J$5:$AH$20,14,FALSE),"")</f>
        <v/>
      </c>
      <c r="AC3730" s="81" t="e">
        <f>IF(X3730=1,HLOOKUP(R3730,データについて!$J$12:$M$18,7,FALSE),"*")</f>
        <v>#N/A</v>
      </c>
      <c r="AD3730" s="81" t="e">
        <f>IF(X3730=2,HLOOKUP(R3730,データについて!$J$12:$M$18,7,FALSE),"*")</f>
        <v>#N/A</v>
      </c>
    </row>
    <row r="3731" spans="19:30">
      <c r="S3731" s="81" t="e">
        <f>HLOOKUP(L3731,データについて!$J$6:$M$18,13,FALSE)</f>
        <v>#N/A</v>
      </c>
      <c r="T3731" s="81" t="e">
        <f>HLOOKUP(M3731,データについて!$J$7:$M$18,12,FALSE)</f>
        <v>#N/A</v>
      </c>
      <c r="U3731" s="81" t="e">
        <f>HLOOKUP(N3731,データについて!$J$8:$M$18,11,FALSE)</f>
        <v>#N/A</v>
      </c>
      <c r="V3731" s="81" t="e">
        <f>HLOOKUP(O3731,データについて!$J$9:$M$18,10,FALSE)</f>
        <v>#N/A</v>
      </c>
      <c r="W3731" s="81" t="e">
        <f>HLOOKUP(P3731,データについて!$J$10:$M$18,9,FALSE)</f>
        <v>#N/A</v>
      </c>
      <c r="X3731" s="81" t="e">
        <f>HLOOKUP(Q3731,データについて!$J$11:$M$18,8,FALSE)</f>
        <v>#N/A</v>
      </c>
      <c r="Y3731" s="81" t="e">
        <f>HLOOKUP(R3731,データについて!$J$12:$M$18,7,FALSE)</f>
        <v>#N/A</v>
      </c>
      <c r="Z3731" s="81" t="e">
        <f>HLOOKUP(I3731,データについて!$J$3:$M$18,16,FALSE)</f>
        <v>#N/A</v>
      </c>
      <c r="AA3731" s="81" t="str">
        <f>IFERROR(HLOOKUP(J3731,データについて!$J$4:$AH$19,16,FALSE),"")</f>
        <v/>
      </c>
      <c r="AB3731" s="81" t="str">
        <f>IFERROR(HLOOKUP(K3731,データについて!$J$5:$AH$20,14,FALSE),"")</f>
        <v/>
      </c>
      <c r="AC3731" s="81" t="e">
        <f>IF(X3731=1,HLOOKUP(R3731,データについて!$J$12:$M$18,7,FALSE),"*")</f>
        <v>#N/A</v>
      </c>
      <c r="AD3731" s="81" t="e">
        <f>IF(X3731=2,HLOOKUP(R3731,データについて!$J$12:$M$18,7,FALSE),"*")</f>
        <v>#N/A</v>
      </c>
    </row>
    <row r="3732" spans="19:30">
      <c r="S3732" s="81" t="e">
        <f>HLOOKUP(L3732,データについて!$J$6:$M$18,13,FALSE)</f>
        <v>#N/A</v>
      </c>
      <c r="T3732" s="81" t="e">
        <f>HLOOKUP(M3732,データについて!$J$7:$M$18,12,FALSE)</f>
        <v>#N/A</v>
      </c>
      <c r="U3732" s="81" t="e">
        <f>HLOOKUP(N3732,データについて!$J$8:$M$18,11,FALSE)</f>
        <v>#N/A</v>
      </c>
      <c r="V3732" s="81" t="e">
        <f>HLOOKUP(O3732,データについて!$J$9:$M$18,10,FALSE)</f>
        <v>#N/A</v>
      </c>
      <c r="W3732" s="81" t="e">
        <f>HLOOKUP(P3732,データについて!$J$10:$M$18,9,FALSE)</f>
        <v>#N/A</v>
      </c>
      <c r="X3732" s="81" t="e">
        <f>HLOOKUP(Q3732,データについて!$J$11:$M$18,8,FALSE)</f>
        <v>#N/A</v>
      </c>
      <c r="Y3732" s="81" t="e">
        <f>HLOOKUP(R3732,データについて!$J$12:$M$18,7,FALSE)</f>
        <v>#N/A</v>
      </c>
      <c r="Z3732" s="81" t="e">
        <f>HLOOKUP(I3732,データについて!$J$3:$M$18,16,FALSE)</f>
        <v>#N/A</v>
      </c>
      <c r="AA3732" s="81" t="str">
        <f>IFERROR(HLOOKUP(J3732,データについて!$J$4:$AH$19,16,FALSE),"")</f>
        <v/>
      </c>
      <c r="AB3732" s="81" t="str">
        <f>IFERROR(HLOOKUP(K3732,データについて!$J$5:$AH$20,14,FALSE),"")</f>
        <v/>
      </c>
      <c r="AC3732" s="81" t="e">
        <f>IF(X3732=1,HLOOKUP(R3732,データについて!$J$12:$M$18,7,FALSE),"*")</f>
        <v>#N/A</v>
      </c>
      <c r="AD3732" s="81" t="e">
        <f>IF(X3732=2,HLOOKUP(R3732,データについて!$J$12:$M$18,7,FALSE),"*")</f>
        <v>#N/A</v>
      </c>
    </row>
    <row r="3733" spans="19:30">
      <c r="S3733" s="81" t="e">
        <f>HLOOKUP(L3733,データについて!$J$6:$M$18,13,FALSE)</f>
        <v>#N/A</v>
      </c>
      <c r="T3733" s="81" t="e">
        <f>HLOOKUP(M3733,データについて!$J$7:$M$18,12,FALSE)</f>
        <v>#N/A</v>
      </c>
      <c r="U3733" s="81" t="e">
        <f>HLOOKUP(N3733,データについて!$J$8:$M$18,11,FALSE)</f>
        <v>#N/A</v>
      </c>
      <c r="V3733" s="81" t="e">
        <f>HLOOKUP(O3733,データについて!$J$9:$M$18,10,FALSE)</f>
        <v>#N/A</v>
      </c>
      <c r="W3733" s="81" t="e">
        <f>HLOOKUP(P3733,データについて!$J$10:$M$18,9,FALSE)</f>
        <v>#N/A</v>
      </c>
      <c r="X3733" s="81" t="e">
        <f>HLOOKUP(Q3733,データについて!$J$11:$M$18,8,FALSE)</f>
        <v>#N/A</v>
      </c>
      <c r="Y3733" s="81" t="e">
        <f>HLOOKUP(R3733,データについて!$J$12:$M$18,7,FALSE)</f>
        <v>#N/A</v>
      </c>
      <c r="Z3733" s="81" t="e">
        <f>HLOOKUP(I3733,データについて!$J$3:$M$18,16,FALSE)</f>
        <v>#N/A</v>
      </c>
      <c r="AA3733" s="81" t="str">
        <f>IFERROR(HLOOKUP(J3733,データについて!$J$4:$AH$19,16,FALSE),"")</f>
        <v/>
      </c>
      <c r="AB3733" s="81" t="str">
        <f>IFERROR(HLOOKUP(K3733,データについて!$J$5:$AH$20,14,FALSE),"")</f>
        <v/>
      </c>
      <c r="AC3733" s="81" t="e">
        <f>IF(X3733=1,HLOOKUP(R3733,データについて!$J$12:$M$18,7,FALSE),"*")</f>
        <v>#N/A</v>
      </c>
      <c r="AD3733" s="81" t="e">
        <f>IF(X3733=2,HLOOKUP(R3733,データについて!$J$12:$M$18,7,FALSE),"*")</f>
        <v>#N/A</v>
      </c>
    </row>
    <row r="3734" spans="19:30">
      <c r="S3734" s="81" t="e">
        <f>HLOOKUP(L3734,データについて!$J$6:$M$18,13,FALSE)</f>
        <v>#N/A</v>
      </c>
      <c r="T3734" s="81" t="e">
        <f>HLOOKUP(M3734,データについて!$J$7:$M$18,12,FALSE)</f>
        <v>#N/A</v>
      </c>
      <c r="U3734" s="81" t="e">
        <f>HLOOKUP(N3734,データについて!$J$8:$M$18,11,FALSE)</f>
        <v>#N/A</v>
      </c>
      <c r="V3734" s="81" t="e">
        <f>HLOOKUP(O3734,データについて!$J$9:$M$18,10,FALSE)</f>
        <v>#N/A</v>
      </c>
      <c r="W3734" s="81" t="e">
        <f>HLOOKUP(P3734,データについて!$J$10:$M$18,9,FALSE)</f>
        <v>#N/A</v>
      </c>
      <c r="X3734" s="81" t="e">
        <f>HLOOKUP(Q3734,データについて!$J$11:$M$18,8,FALSE)</f>
        <v>#N/A</v>
      </c>
      <c r="Y3734" s="81" t="e">
        <f>HLOOKUP(R3734,データについて!$J$12:$M$18,7,FALSE)</f>
        <v>#N/A</v>
      </c>
      <c r="Z3734" s="81" t="e">
        <f>HLOOKUP(I3734,データについて!$J$3:$M$18,16,FALSE)</f>
        <v>#N/A</v>
      </c>
      <c r="AA3734" s="81" t="str">
        <f>IFERROR(HLOOKUP(J3734,データについて!$J$4:$AH$19,16,FALSE),"")</f>
        <v/>
      </c>
      <c r="AB3734" s="81" t="str">
        <f>IFERROR(HLOOKUP(K3734,データについて!$J$5:$AH$20,14,FALSE),"")</f>
        <v/>
      </c>
      <c r="AC3734" s="81" t="e">
        <f>IF(X3734=1,HLOOKUP(R3734,データについて!$J$12:$M$18,7,FALSE),"*")</f>
        <v>#N/A</v>
      </c>
      <c r="AD3734" s="81" t="e">
        <f>IF(X3734=2,HLOOKUP(R3734,データについて!$J$12:$M$18,7,FALSE),"*")</f>
        <v>#N/A</v>
      </c>
    </row>
    <row r="3735" spans="19:30">
      <c r="S3735" s="81" t="e">
        <f>HLOOKUP(L3735,データについて!$J$6:$M$18,13,FALSE)</f>
        <v>#N/A</v>
      </c>
      <c r="T3735" s="81" t="e">
        <f>HLOOKUP(M3735,データについて!$J$7:$M$18,12,FALSE)</f>
        <v>#N/A</v>
      </c>
      <c r="U3735" s="81" t="e">
        <f>HLOOKUP(N3735,データについて!$J$8:$M$18,11,FALSE)</f>
        <v>#N/A</v>
      </c>
      <c r="V3735" s="81" t="e">
        <f>HLOOKUP(O3735,データについて!$J$9:$M$18,10,FALSE)</f>
        <v>#N/A</v>
      </c>
      <c r="W3735" s="81" t="e">
        <f>HLOOKUP(P3735,データについて!$J$10:$M$18,9,FALSE)</f>
        <v>#N/A</v>
      </c>
      <c r="X3735" s="81" t="e">
        <f>HLOOKUP(Q3735,データについて!$J$11:$M$18,8,FALSE)</f>
        <v>#N/A</v>
      </c>
      <c r="Y3735" s="81" t="e">
        <f>HLOOKUP(R3735,データについて!$J$12:$M$18,7,FALSE)</f>
        <v>#N/A</v>
      </c>
      <c r="Z3735" s="81" t="e">
        <f>HLOOKUP(I3735,データについて!$J$3:$M$18,16,FALSE)</f>
        <v>#N/A</v>
      </c>
      <c r="AA3735" s="81" t="str">
        <f>IFERROR(HLOOKUP(J3735,データについて!$J$4:$AH$19,16,FALSE),"")</f>
        <v/>
      </c>
      <c r="AB3735" s="81" t="str">
        <f>IFERROR(HLOOKUP(K3735,データについて!$J$5:$AH$20,14,FALSE),"")</f>
        <v/>
      </c>
      <c r="AC3735" s="81" t="e">
        <f>IF(X3735=1,HLOOKUP(R3735,データについて!$J$12:$M$18,7,FALSE),"*")</f>
        <v>#N/A</v>
      </c>
      <c r="AD3735" s="81" t="e">
        <f>IF(X3735=2,HLOOKUP(R3735,データについて!$J$12:$M$18,7,FALSE),"*")</f>
        <v>#N/A</v>
      </c>
    </row>
    <row r="3736" spans="19:30">
      <c r="S3736" s="81" t="e">
        <f>HLOOKUP(L3736,データについて!$J$6:$M$18,13,FALSE)</f>
        <v>#N/A</v>
      </c>
      <c r="T3736" s="81" t="e">
        <f>HLOOKUP(M3736,データについて!$J$7:$M$18,12,FALSE)</f>
        <v>#N/A</v>
      </c>
      <c r="U3736" s="81" t="e">
        <f>HLOOKUP(N3736,データについて!$J$8:$M$18,11,FALSE)</f>
        <v>#N/A</v>
      </c>
      <c r="V3736" s="81" t="e">
        <f>HLOOKUP(O3736,データについて!$J$9:$M$18,10,FALSE)</f>
        <v>#N/A</v>
      </c>
      <c r="W3736" s="81" t="e">
        <f>HLOOKUP(P3736,データについて!$J$10:$M$18,9,FALSE)</f>
        <v>#N/A</v>
      </c>
      <c r="X3736" s="81" t="e">
        <f>HLOOKUP(Q3736,データについて!$J$11:$M$18,8,FALSE)</f>
        <v>#N/A</v>
      </c>
      <c r="Y3736" s="81" t="e">
        <f>HLOOKUP(R3736,データについて!$J$12:$M$18,7,FALSE)</f>
        <v>#N/A</v>
      </c>
      <c r="Z3736" s="81" t="e">
        <f>HLOOKUP(I3736,データについて!$J$3:$M$18,16,FALSE)</f>
        <v>#N/A</v>
      </c>
      <c r="AA3736" s="81" t="str">
        <f>IFERROR(HLOOKUP(J3736,データについて!$J$4:$AH$19,16,FALSE),"")</f>
        <v/>
      </c>
      <c r="AB3736" s="81" t="str">
        <f>IFERROR(HLOOKUP(K3736,データについて!$J$5:$AH$20,14,FALSE),"")</f>
        <v/>
      </c>
      <c r="AC3736" s="81" t="e">
        <f>IF(X3736=1,HLOOKUP(R3736,データについて!$J$12:$M$18,7,FALSE),"*")</f>
        <v>#N/A</v>
      </c>
      <c r="AD3736" s="81" t="e">
        <f>IF(X3736=2,HLOOKUP(R3736,データについて!$J$12:$M$18,7,FALSE),"*")</f>
        <v>#N/A</v>
      </c>
    </row>
    <row r="3737" spans="19:30">
      <c r="S3737" s="81" t="e">
        <f>HLOOKUP(L3737,データについて!$J$6:$M$18,13,FALSE)</f>
        <v>#N/A</v>
      </c>
      <c r="T3737" s="81" t="e">
        <f>HLOOKUP(M3737,データについて!$J$7:$M$18,12,FALSE)</f>
        <v>#N/A</v>
      </c>
      <c r="U3737" s="81" t="e">
        <f>HLOOKUP(N3737,データについて!$J$8:$M$18,11,FALSE)</f>
        <v>#N/A</v>
      </c>
      <c r="V3737" s="81" t="e">
        <f>HLOOKUP(O3737,データについて!$J$9:$M$18,10,FALSE)</f>
        <v>#N/A</v>
      </c>
      <c r="W3737" s="81" t="e">
        <f>HLOOKUP(P3737,データについて!$J$10:$M$18,9,FALSE)</f>
        <v>#N/A</v>
      </c>
      <c r="X3737" s="81" t="e">
        <f>HLOOKUP(Q3737,データについて!$J$11:$M$18,8,FALSE)</f>
        <v>#N/A</v>
      </c>
      <c r="Y3737" s="81" t="e">
        <f>HLOOKUP(R3737,データについて!$J$12:$M$18,7,FALSE)</f>
        <v>#N/A</v>
      </c>
      <c r="Z3737" s="81" t="e">
        <f>HLOOKUP(I3737,データについて!$J$3:$M$18,16,FALSE)</f>
        <v>#N/A</v>
      </c>
      <c r="AA3737" s="81" t="str">
        <f>IFERROR(HLOOKUP(J3737,データについて!$J$4:$AH$19,16,FALSE),"")</f>
        <v/>
      </c>
      <c r="AB3737" s="81" t="str">
        <f>IFERROR(HLOOKUP(K3737,データについて!$J$5:$AH$20,14,FALSE),"")</f>
        <v/>
      </c>
      <c r="AC3737" s="81" t="e">
        <f>IF(X3737=1,HLOOKUP(R3737,データについて!$J$12:$M$18,7,FALSE),"*")</f>
        <v>#N/A</v>
      </c>
      <c r="AD3737" s="81" t="e">
        <f>IF(X3737=2,HLOOKUP(R3737,データについて!$J$12:$M$18,7,FALSE),"*")</f>
        <v>#N/A</v>
      </c>
    </row>
    <row r="3738" spans="19:30">
      <c r="S3738" s="81" t="e">
        <f>HLOOKUP(L3738,データについて!$J$6:$M$18,13,FALSE)</f>
        <v>#N/A</v>
      </c>
      <c r="T3738" s="81" t="e">
        <f>HLOOKUP(M3738,データについて!$J$7:$M$18,12,FALSE)</f>
        <v>#N/A</v>
      </c>
      <c r="U3738" s="81" t="e">
        <f>HLOOKUP(N3738,データについて!$J$8:$M$18,11,FALSE)</f>
        <v>#N/A</v>
      </c>
      <c r="V3738" s="81" t="e">
        <f>HLOOKUP(O3738,データについて!$J$9:$M$18,10,FALSE)</f>
        <v>#N/A</v>
      </c>
      <c r="W3738" s="81" t="e">
        <f>HLOOKUP(P3738,データについて!$J$10:$M$18,9,FALSE)</f>
        <v>#N/A</v>
      </c>
      <c r="X3738" s="81" t="e">
        <f>HLOOKUP(Q3738,データについて!$J$11:$M$18,8,FALSE)</f>
        <v>#N/A</v>
      </c>
      <c r="Y3738" s="81" t="e">
        <f>HLOOKUP(R3738,データについて!$J$12:$M$18,7,FALSE)</f>
        <v>#N/A</v>
      </c>
      <c r="Z3738" s="81" t="e">
        <f>HLOOKUP(I3738,データについて!$J$3:$M$18,16,FALSE)</f>
        <v>#N/A</v>
      </c>
      <c r="AA3738" s="81" t="str">
        <f>IFERROR(HLOOKUP(J3738,データについて!$J$4:$AH$19,16,FALSE),"")</f>
        <v/>
      </c>
      <c r="AB3738" s="81" t="str">
        <f>IFERROR(HLOOKUP(K3738,データについて!$J$5:$AH$20,14,FALSE),"")</f>
        <v/>
      </c>
      <c r="AC3738" s="81" t="e">
        <f>IF(X3738=1,HLOOKUP(R3738,データについて!$J$12:$M$18,7,FALSE),"*")</f>
        <v>#N/A</v>
      </c>
      <c r="AD3738" s="81" t="e">
        <f>IF(X3738=2,HLOOKUP(R3738,データについて!$J$12:$M$18,7,FALSE),"*")</f>
        <v>#N/A</v>
      </c>
    </row>
    <row r="3739" spans="19:30">
      <c r="S3739" s="81" t="e">
        <f>HLOOKUP(L3739,データについて!$J$6:$M$18,13,FALSE)</f>
        <v>#N/A</v>
      </c>
      <c r="T3739" s="81" t="e">
        <f>HLOOKUP(M3739,データについて!$J$7:$M$18,12,FALSE)</f>
        <v>#N/A</v>
      </c>
      <c r="U3739" s="81" t="e">
        <f>HLOOKUP(N3739,データについて!$J$8:$M$18,11,FALSE)</f>
        <v>#N/A</v>
      </c>
      <c r="V3739" s="81" t="e">
        <f>HLOOKUP(O3739,データについて!$J$9:$M$18,10,FALSE)</f>
        <v>#N/A</v>
      </c>
      <c r="W3739" s="81" t="e">
        <f>HLOOKUP(P3739,データについて!$J$10:$M$18,9,FALSE)</f>
        <v>#N/A</v>
      </c>
      <c r="X3739" s="81" t="e">
        <f>HLOOKUP(Q3739,データについて!$J$11:$M$18,8,FALSE)</f>
        <v>#N/A</v>
      </c>
      <c r="Y3739" s="81" t="e">
        <f>HLOOKUP(R3739,データについて!$J$12:$M$18,7,FALSE)</f>
        <v>#N/A</v>
      </c>
      <c r="Z3739" s="81" t="e">
        <f>HLOOKUP(I3739,データについて!$J$3:$M$18,16,FALSE)</f>
        <v>#N/A</v>
      </c>
      <c r="AA3739" s="81" t="str">
        <f>IFERROR(HLOOKUP(J3739,データについて!$J$4:$AH$19,16,FALSE),"")</f>
        <v/>
      </c>
      <c r="AB3739" s="81" t="str">
        <f>IFERROR(HLOOKUP(K3739,データについて!$J$5:$AH$20,14,FALSE),"")</f>
        <v/>
      </c>
      <c r="AC3739" s="81" t="e">
        <f>IF(X3739=1,HLOOKUP(R3739,データについて!$J$12:$M$18,7,FALSE),"*")</f>
        <v>#N/A</v>
      </c>
      <c r="AD3739" s="81" t="e">
        <f>IF(X3739=2,HLOOKUP(R3739,データについて!$J$12:$M$18,7,FALSE),"*")</f>
        <v>#N/A</v>
      </c>
    </row>
    <row r="3740" spans="19:30">
      <c r="S3740" s="81" t="e">
        <f>HLOOKUP(L3740,データについて!$J$6:$M$18,13,FALSE)</f>
        <v>#N/A</v>
      </c>
      <c r="T3740" s="81" t="e">
        <f>HLOOKUP(M3740,データについて!$J$7:$M$18,12,FALSE)</f>
        <v>#N/A</v>
      </c>
      <c r="U3740" s="81" t="e">
        <f>HLOOKUP(N3740,データについて!$J$8:$M$18,11,FALSE)</f>
        <v>#N/A</v>
      </c>
      <c r="V3740" s="81" t="e">
        <f>HLOOKUP(O3740,データについて!$J$9:$M$18,10,FALSE)</f>
        <v>#N/A</v>
      </c>
      <c r="W3740" s="81" t="e">
        <f>HLOOKUP(P3740,データについて!$J$10:$M$18,9,FALSE)</f>
        <v>#N/A</v>
      </c>
      <c r="X3740" s="81" t="e">
        <f>HLOOKUP(Q3740,データについて!$J$11:$M$18,8,FALSE)</f>
        <v>#N/A</v>
      </c>
      <c r="Y3740" s="81" t="e">
        <f>HLOOKUP(R3740,データについて!$J$12:$M$18,7,FALSE)</f>
        <v>#N/A</v>
      </c>
      <c r="Z3740" s="81" t="e">
        <f>HLOOKUP(I3740,データについて!$J$3:$M$18,16,FALSE)</f>
        <v>#N/A</v>
      </c>
      <c r="AA3740" s="81" t="str">
        <f>IFERROR(HLOOKUP(J3740,データについて!$J$4:$AH$19,16,FALSE),"")</f>
        <v/>
      </c>
      <c r="AB3740" s="81" t="str">
        <f>IFERROR(HLOOKUP(K3740,データについて!$J$5:$AH$20,14,FALSE),"")</f>
        <v/>
      </c>
      <c r="AC3740" s="81" t="e">
        <f>IF(X3740=1,HLOOKUP(R3740,データについて!$J$12:$M$18,7,FALSE),"*")</f>
        <v>#N/A</v>
      </c>
      <c r="AD3740" s="81" t="e">
        <f>IF(X3740=2,HLOOKUP(R3740,データについて!$J$12:$M$18,7,FALSE),"*")</f>
        <v>#N/A</v>
      </c>
    </row>
    <row r="3741" spans="19:30">
      <c r="S3741" s="81" t="e">
        <f>HLOOKUP(L3741,データについて!$J$6:$M$18,13,FALSE)</f>
        <v>#N/A</v>
      </c>
      <c r="T3741" s="81" t="e">
        <f>HLOOKUP(M3741,データについて!$J$7:$M$18,12,FALSE)</f>
        <v>#N/A</v>
      </c>
      <c r="U3741" s="81" t="e">
        <f>HLOOKUP(N3741,データについて!$J$8:$M$18,11,FALSE)</f>
        <v>#N/A</v>
      </c>
      <c r="V3741" s="81" t="e">
        <f>HLOOKUP(O3741,データについて!$J$9:$M$18,10,FALSE)</f>
        <v>#N/A</v>
      </c>
      <c r="W3741" s="81" t="e">
        <f>HLOOKUP(P3741,データについて!$J$10:$M$18,9,FALSE)</f>
        <v>#N/A</v>
      </c>
      <c r="X3741" s="81" t="e">
        <f>HLOOKUP(Q3741,データについて!$J$11:$M$18,8,FALSE)</f>
        <v>#N/A</v>
      </c>
      <c r="Y3741" s="81" t="e">
        <f>HLOOKUP(R3741,データについて!$J$12:$M$18,7,FALSE)</f>
        <v>#N/A</v>
      </c>
      <c r="Z3741" s="81" t="e">
        <f>HLOOKUP(I3741,データについて!$J$3:$M$18,16,FALSE)</f>
        <v>#N/A</v>
      </c>
      <c r="AA3741" s="81" t="str">
        <f>IFERROR(HLOOKUP(J3741,データについて!$J$4:$AH$19,16,FALSE),"")</f>
        <v/>
      </c>
      <c r="AB3741" s="81" t="str">
        <f>IFERROR(HLOOKUP(K3741,データについて!$J$5:$AH$20,14,FALSE),"")</f>
        <v/>
      </c>
      <c r="AC3741" s="81" t="e">
        <f>IF(X3741=1,HLOOKUP(R3741,データについて!$J$12:$M$18,7,FALSE),"*")</f>
        <v>#N/A</v>
      </c>
      <c r="AD3741" s="81" t="e">
        <f>IF(X3741=2,HLOOKUP(R3741,データについて!$J$12:$M$18,7,FALSE),"*")</f>
        <v>#N/A</v>
      </c>
    </row>
    <row r="3742" spans="19:30">
      <c r="S3742" s="81" t="e">
        <f>HLOOKUP(L3742,データについて!$J$6:$M$18,13,FALSE)</f>
        <v>#N/A</v>
      </c>
      <c r="T3742" s="81" t="e">
        <f>HLOOKUP(M3742,データについて!$J$7:$M$18,12,FALSE)</f>
        <v>#N/A</v>
      </c>
      <c r="U3742" s="81" t="e">
        <f>HLOOKUP(N3742,データについて!$J$8:$M$18,11,FALSE)</f>
        <v>#N/A</v>
      </c>
      <c r="V3742" s="81" t="e">
        <f>HLOOKUP(O3742,データについて!$J$9:$M$18,10,FALSE)</f>
        <v>#N/A</v>
      </c>
      <c r="W3742" s="81" t="e">
        <f>HLOOKUP(P3742,データについて!$J$10:$M$18,9,FALSE)</f>
        <v>#N/A</v>
      </c>
      <c r="X3742" s="81" t="e">
        <f>HLOOKUP(Q3742,データについて!$J$11:$M$18,8,FALSE)</f>
        <v>#N/A</v>
      </c>
      <c r="Y3742" s="81" t="e">
        <f>HLOOKUP(R3742,データについて!$J$12:$M$18,7,FALSE)</f>
        <v>#N/A</v>
      </c>
      <c r="Z3742" s="81" t="e">
        <f>HLOOKUP(I3742,データについて!$J$3:$M$18,16,FALSE)</f>
        <v>#N/A</v>
      </c>
      <c r="AA3742" s="81" t="str">
        <f>IFERROR(HLOOKUP(J3742,データについて!$J$4:$AH$19,16,FALSE),"")</f>
        <v/>
      </c>
      <c r="AB3742" s="81" t="str">
        <f>IFERROR(HLOOKUP(K3742,データについて!$J$5:$AH$20,14,FALSE),"")</f>
        <v/>
      </c>
      <c r="AC3742" s="81" t="e">
        <f>IF(X3742=1,HLOOKUP(R3742,データについて!$J$12:$M$18,7,FALSE),"*")</f>
        <v>#N/A</v>
      </c>
      <c r="AD3742" s="81" t="e">
        <f>IF(X3742=2,HLOOKUP(R3742,データについて!$J$12:$M$18,7,FALSE),"*")</f>
        <v>#N/A</v>
      </c>
    </row>
    <row r="3743" spans="19:30">
      <c r="S3743" s="81" t="e">
        <f>HLOOKUP(L3743,データについて!$J$6:$M$18,13,FALSE)</f>
        <v>#N/A</v>
      </c>
      <c r="T3743" s="81" t="e">
        <f>HLOOKUP(M3743,データについて!$J$7:$M$18,12,FALSE)</f>
        <v>#N/A</v>
      </c>
      <c r="U3743" s="81" t="e">
        <f>HLOOKUP(N3743,データについて!$J$8:$M$18,11,FALSE)</f>
        <v>#N/A</v>
      </c>
      <c r="V3743" s="81" t="e">
        <f>HLOOKUP(O3743,データについて!$J$9:$M$18,10,FALSE)</f>
        <v>#N/A</v>
      </c>
      <c r="W3743" s="81" t="e">
        <f>HLOOKUP(P3743,データについて!$J$10:$M$18,9,FALSE)</f>
        <v>#N/A</v>
      </c>
      <c r="X3743" s="81" t="e">
        <f>HLOOKUP(Q3743,データについて!$J$11:$M$18,8,FALSE)</f>
        <v>#N/A</v>
      </c>
      <c r="Y3743" s="81" t="e">
        <f>HLOOKUP(R3743,データについて!$J$12:$M$18,7,FALSE)</f>
        <v>#N/A</v>
      </c>
      <c r="Z3743" s="81" t="e">
        <f>HLOOKUP(I3743,データについて!$J$3:$M$18,16,FALSE)</f>
        <v>#N/A</v>
      </c>
      <c r="AA3743" s="81" t="str">
        <f>IFERROR(HLOOKUP(J3743,データについて!$J$4:$AH$19,16,FALSE),"")</f>
        <v/>
      </c>
      <c r="AB3743" s="81" t="str">
        <f>IFERROR(HLOOKUP(K3743,データについて!$J$5:$AH$20,14,FALSE),"")</f>
        <v/>
      </c>
      <c r="AC3743" s="81" t="e">
        <f>IF(X3743=1,HLOOKUP(R3743,データについて!$J$12:$M$18,7,FALSE),"*")</f>
        <v>#N/A</v>
      </c>
      <c r="AD3743" s="81" t="e">
        <f>IF(X3743=2,HLOOKUP(R3743,データについて!$J$12:$M$18,7,FALSE),"*")</f>
        <v>#N/A</v>
      </c>
    </row>
    <row r="3744" spans="19:30">
      <c r="S3744" s="81" t="e">
        <f>HLOOKUP(L3744,データについて!$J$6:$M$18,13,FALSE)</f>
        <v>#N/A</v>
      </c>
      <c r="T3744" s="81" t="e">
        <f>HLOOKUP(M3744,データについて!$J$7:$M$18,12,FALSE)</f>
        <v>#N/A</v>
      </c>
      <c r="U3744" s="81" t="e">
        <f>HLOOKUP(N3744,データについて!$J$8:$M$18,11,FALSE)</f>
        <v>#N/A</v>
      </c>
      <c r="V3744" s="81" t="e">
        <f>HLOOKUP(O3744,データについて!$J$9:$M$18,10,FALSE)</f>
        <v>#N/A</v>
      </c>
      <c r="W3744" s="81" t="e">
        <f>HLOOKUP(P3744,データについて!$J$10:$M$18,9,FALSE)</f>
        <v>#N/A</v>
      </c>
      <c r="X3744" s="81" t="e">
        <f>HLOOKUP(Q3744,データについて!$J$11:$M$18,8,FALSE)</f>
        <v>#N/A</v>
      </c>
      <c r="Y3744" s="81" t="e">
        <f>HLOOKUP(R3744,データについて!$J$12:$M$18,7,FALSE)</f>
        <v>#N/A</v>
      </c>
      <c r="Z3744" s="81" t="e">
        <f>HLOOKUP(I3744,データについて!$J$3:$M$18,16,FALSE)</f>
        <v>#N/A</v>
      </c>
      <c r="AA3744" s="81" t="str">
        <f>IFERROR(HLOOKUP(J3744,データについて!$J$4:$AH$19,16,FALSE),"")</f>
        <v/>
      </c>
      <c r="AB3744" s="81" t="str">
        <f>IFERROR(HLOOKUP(K3744,データについて!$J$5:$AH$20,14,FALSE),"")</f>
        <v/>
      </c>
      <c r="AC3744" s="81" t="e">
        <f>IF(X3744=1,HLOOKUP(R3744,データについて!$J$12:$M$18,7,FALSE),"*")</f>
        <v>#N/A</v>
      </c>
      <c r="AD3744" s="81" t="e">
        <f>IF(X3744=2,HLOOKUP(R3744,データについて!$J$12:$M$18,7,FALSE),"*")</f>
        <v>#N/A</v>
      </c>
    </row>
    <row r="3745" spans="19:30">
      <c r="S3745" s="81" t="e">
        <f>HLOOKUP(L3745,データについて!$J$6:$M$18,13,FALSE)</f>
        <v>#N/A</v>
      </c>
      <c r="T3745" s="81" t="e">
        <f>HLOOKUP(M3745,データについて!$J$7:$M$18,12,FALSE)</f>
        <v>#N/A</v>
      </c>
      <c r="U3745" s="81" t="e">
        <f>HLOOKUP(N3745,データについて!$J$8:$M$18,11,FALSE)</f>
        <v>#N/A</v>
      </c>
      <c r="V3745" s="81" t="e">
        <f>HLOOKUP(O3745,データについて!$J$9:$M$18,10,FALSE)</f>
        <v>#N/A</v>
      </c>
      <c r="W3745" s="81" t="e">
        <f>HLOOKUP(P3745,データについて!$J$10:$M$18,9,FALSE)</f>
        <v>#N/A</v>
      </c>
      <c r="X3745" s="81" t="e">
        <f>HLOOKUP(Q3745,データについて!$J$11:$M$18,8,FALSE)</f>
        <v>#N/A</v>
      </c>
      <c r="Y3745" s="81" t="e">
        <f>HLOOKUP(R3745,データについて!$J$12:$M$18,7,FALSE)</f>
        <v>#N/A</v>
      </c>
      <c r="Z3745" s="81" t="e">
        <f>HLOOKUP(I3745,データについて!$J$3:$M$18,16,FALSE)</f>
        <v>#N/A</v>
      </c>
      <c r="AA3745" s="81" t="str">
        <f>IFERROR(HLOOKUP(J3745,データについて!$J$4:$AH$19,16,FALSE),"")</f>
        <v/>
      </c>
      <c r="AB3745" s="81" t="str">
        <f>IFERROR(HLOOKUP(K3745,データについて!$J$5:$AH$20,14,FALSE),"")</f>
        <v/>
      </c>
      <c r="AC3745" s="81" t="e">
        <f>IF(X3745=1,HLOOKUP(R3745,データについて!$J$12:$M$18,7,FALSE),"*")</f>
        <v>#N/A</v>
      </c>
      <c r="AD3745" s="81" t="e">
        <f>IF(X3745=2,HLOOKUP(R3745,データについて!$J$12:$M$18,7,FALSE),"*")</f>
        <v>#N/A</v>
      </c>
    </row>
    <row r="3746" spans="19:30">
      <c r="S3746" s="81" t="e">
        <f>HLOOKUP(L3746,データについて!$J$6:$M$18,13,FALSE)</f>
        <v>#N/A</v>
      </c>
      <c r="T3746" s="81" t="e">
        <f>HLOOKUP(M3746,データについて!$J$7:$M$18,12,FALSE)</f>
        <v>#N/A</v>
      </c>
      <c r="U3746" s="81" t="e">
        <f>HLOOKUP(N3746,データについて!$J$8:$M$18,11,FALSE)</f>
        <v>#N/A</v>
      </c>
      <c r="V3746" s="81" t="e">
        <f>HLOOKUP(O3746,データについて!$J$9:$M$18,10,FALSE)</f>
        <v>#N/A</v>
      </c>
      <c r="W3746" s="81" t="e">
        <f>HLOOKUP(P3746,データについて!$J$10:$M$18,9,FALSE)</f>
        <v>#N/A</v>
      </c>
      <c r="X3746" s="81" t="e">
        <f>HLOOKUP(Q3746,データについて!$J$11:$M$18,8,FALSE)</f>
        <v>#N/A</v>
      </c>
      <c r="Y3746" s="81" t="e">
        <f>HLOOKUP(R3746,データについて!$J$12:$M$18,7,FALSE)</f>
        <v>#N/A</v>
      </c>
      <c r="Z3746" s="81" t="e">
        <f>HLOOKUP(I3746,データについて!$J$3:$M$18,16,FALSE)</f>
        <v>#N/A</v>
      </c>
      <c r="AA3746" s="81" t="str">
        <f>IFERROR(HLOOKUP(J3746,データについて!$J$4:$AH$19,16,FALSE),"")</f>
        <v/>
      </c>
      <c r="AB3746" s="81" t="str">
        <f>IFERROR(HLOOKUP(K3746,データについて!$J$5:$AH$20,14,FALSE),"")</f>
        <v/>
      </c>
      <c r="AC3746" s="81" t="e">
        <f>IF(X3746=1,HLOOKUP(R3746,データについて!$J$12:$M$18,7,FALSE),"*")</f>
        <v>#N/A</v>
      </c>
      <c r="AD3746" s="81" t="e">
        <f>IF(X3746=2,HLOOKUP(R3746,データについて!$J$12:$M$18,7,FALSE),"*")</f>
        <v>#N/A</v>
      </c>
    </row>
    <row r="3747" spans="19:30">
      <c r="S3747" s="81" t="e">
        <f>HLOOKUP(L3747,データについて!$J$6:$M$18,13,FALSE)</f>
        <v>#N/A</v>
      </c>
      <c r="T3747" s="81" t="e">
        <f>HLOOKUP(M3747,データについて!$J$7:$M$18,12,FALSE)</f>
        <v>#N/A</v>
      </c>
      <c r="U3747" s="81" t="e">
        <f>HLOOKUP(N3747,データについて!$J$8:$M$18,11,FALSE)</f>
        <v>#N/A</v>
      </c>
      <c r="V3747" s="81" t="e">
        <f>HLOOKUP(O3747,データについて!$J$9:$M$18,10,FALSE)</f>
        <v>#N/A</v>
      </c>
      <c r="W3747" s="81" t="e">
        <f>HLOOKUP(P3747,データについて!$J$10:$M$18,9,FALSE)</f>
        <v>#N/A</v>
      </c>
      <c r="X3747" s="81" t="e">
        <f>HLOOKUP(Q3747,データについて!$J$11:$M$18,8,FALSE)</f>
        <v>#N/A</v>
      </c>
      <c r="Y3747" s="81" t="e">
        <f>HLOOKUP(R3747,データについて!$J$12:$M$18,7,FALSE)</f>
        <v>#N/A</v>
      </c>
      <c r="Z3747" s="81" t="e">
        <f>HLOOKUP(I3747,データについて!$J$3:$M$18,16,FALSE)</f>
        <v>#N/A</v>
      </c>
      <c r="AA3747" s="81" t="str">
        <f>IFERROR(HLOOKUP(J3747,データについて!$J$4:$AH$19,16,FALSE),"")</f>
        <v/>
      </c>
      <c r="AB3747" s="81" t="str">
        <f>IFERROR(HLOOKUP(K3747,データについて!$J$5:$AH$20,14,FALSE),"")</f>
        <v/>
      </c>
      <c r="AC3747" s="81" t="e">
        <f>IF(X3747=1,HLOOKUP(R3747,データについて!$J$12:$M$18,7,FALSE),"*")</f>
        <v>#N/A</v>
      </c>
      <c r="AD3747" s="81" t="e">
        <f>IF(X3747=2,HLOOKUP(R3747,データについて!$J$12:$M$18,7,FALSE),"*")</f>
        <v>#N/A</v>
      </c>
    </row>
    <row r="3748" spans="19:30">
      <c r="S3748" s="81" t="e">
        <f>HLOOKUP(L3748,データについて!$J$6:$M$18,13,FALSE)</f>
        <v>#N/A</v>
      </c>
      <c r="T3748" s="81" t="e">
        <f>HLOOKUP(M3748,データについて!$J$7:$M$18,12,FALSE)</f>
        <v>#N/A</v>
      </c>
      <c r="U3748" s="81" t="e">
        <f>HLOOKUP(N3748,データについて!$J$8:$M$18,11,FALSE)</f>
        <v>#N/A</v>
      </c>
      <c r="V3748" s="81" t="e">
        <f>HLOOKUP(O3748,データについて!$J$9:$M$18,10,FALSE)</f>
        <v>#N/A</v>
      </c>
      <c r="W3748" s="81" t="e">
        <f>HLOOKUP(P3748,データについて!$J$10:$M$18,9,FALSE)</f>
        <v>#N/A</v>
      </c>
      <c r="X3748" s="81" t="e">
        <f>HLOOKUP(Q3748,データについて!$J$11:$M$18,8,FALSE)</f>
        <v>#N/A</v>
      </c>
      <c r="Y3748" s="81" t="e">
        <f>HLOOKUP(R3748,データについて!$J$12:$M$18,7,FALSE)</f>
        <v>#N/A</v>
      </c>
      <c r="Z3748" s="81" t="e">
        <f>HLOOKUP(I3748,データについて!$J$3:$M$18,16,FALSE)</f>
        <v>#N/A</v>
      </c>
      <c r="AA3748" s="81" t="str">
        <f>IFERROR(HLOOKUP(J3748,データについて!$J$4:$AH$19,16,FALSE),"")</f>
        <v/>
      </c>
      <c r="AB3748" s="81" t="str">
        <f>IFERROR(HLOOKUP(K3748,データについて!$J$5:$AH$20,14,FALSE),"")</f>
        <v/>
      </c>
      <c r="AC3748" s="81" t="e">
        <f>IF(X3748=1,HLOOKUP(R3748,データについて!$J$12:$M$18,7,FALSE),"*")</f>
        <v>#N/A</v>
      </c>
      <c r="AD3748" s="81" t="e">
        <f>IF(X3748=2,HLOOKUP(R3748,データについて!$J$12:$M$18,7,FALSE),"*")</f>
        <v>#N/A</v>
      </c>
    </row>
    <row r="3749" spans="19:30">
      <c r="S3749" s="81" t="e">
        <f>HLOOKUP(L3749,データについて!$J$6:$M$18,13,FALSE)</f>
        <v>#N/A</v>
      </c>
      <c r="T3749" s="81" t="e">
        <f>HLOOKUP(M3749,データについて!$J$7:$M$18,12,FALSE)</f>
        <v>#N/A</v>
      </c>
      <c r="U3749" s="81" t="e">
        <f>HLOOKUP(N3749,データについて!$J$8:$M$18,11,FALSE)</f>
        <v>#N/A</v>
      </c>
      <c r="V3749" s="81" t="e">
        <f>HLOOKUP(O3749,データについて!$J$9:$M$18,10,FALSE)</f>
        <v>#N/A</v>
      </c>
      <c r="W3749" s="81" t="e">
        <f>HLOOKUP(P3749,データについて!$J$10:$M$18,9,FALSE)</f>
        <v>#N/A</v>
      </c>
      <c r="X3749" s="81" t="e">
        <f>HLOOKUP(Q3749,データについて!$J$11:$M$18,8,FALSE)</f>
        <v>#N/A</v>
      </c>
      <c r="Y3749" s="81" t="e">
        <f>HLOOKUP(R3749,データについて!$J$12:$M$18,7,FALSE)</f>
        <v>#N/A</v>
      </c>
      <c r="Z3749" s="81" t="e">
        <f>HLOOKUP(I3749,データについて!$J$3:$M$18,16,FALSE)</f>
        <v>#N/A</v>
      </c>
      <c r="AA3749" s="81" t="str">
        <f>IFERROR(HLOOKUP(J3749,データについて!$J$4:$AH$19,16,FALSE),"")</f>
        <v/>
      </c>
      <c r="AB3749" s="81" t="str">
        <f>IFERROR(HLOOKUP(K3749,データについて!$J$5:$AH$20,14,FALSE),"")</f>
        <v/>
      </c>
      <c r="AC3749" s="81" t="e">
        <f>IF(X3749=1,HLOOKUP(R3749,データについて!$J$12:$M$18,7,FALSE),"*")</f>
        <v>#N/A</v>
      </c>
      <c r="AD3749" s="81" t="e">
        <f>IF(X3749=2,HLOOKUP(R3749,データについて!$J$12:$M$18,7,FALSE),"*")</f>
        <v>#N/A</v>
      </c>
    </row>
    <row r="3750" spans="19:30">
      <c r="S3750" s="81" t="e">
        <f>HLOOKUP(L3750,データについて!$J$6:$M$18,13,FALSE)</f>
        <v>#N/A</v>
      </c>
      <c r="T3750" s="81" t="e">
        <f>HLOOKUP(M3750,データについて!$J$7:$M$18,12,FALSE)</f>
        <v>#N/A</v>
      </c>
      <c r="U3750" s="81" t="e">
        <f>HLOOKUP(N3750,データについて!$J$8:$M$18,11,FALSE)</f>
        <v>#N/A</v>
      </c>
      <c r="V3750" s="81" t="e">
        <f>HLOOKUP(O3750,データについて!$J$9:$M$18,10,FALSE)</f>
        <v>#N/A</v>
      </c>
      <c r="W3750" s="81" t="e">
        <f>HLOOKUP(P3750,データについて!$J$10:$M$18,9,FALSE)</f>
        <v>#N/A</v>
      </c>
      <c r="X3750" s="81" t="e">
        <f>HLOOKUP(Q3750,データについて!$J$11:$M$18,8,FALSE)</f>
        <v>#N/A</v>
      </c>
      <c r="Y3750" s="81" t="e">
        <f>HLOOKUP(R3750,データについて!$J$12:$M$18,7,FALSE)</f>
        <v>#N/A</v>
      </c>
      <c r="Z3750" s="81" t="e">
        <f>HLOOKUP(I3750,データについて!$J$3:$M$18,16,FALSE)</f>
        <v>#N/A</v>
      </c>
      <c r="AA3750" s="81" t="str">
        <f>IFERROR(HLOOKUP(J3750,データについて!$J$4:$AH$19,16,FALSE),"")</f>
        <v/>
      </c>
      <c r="AB3750" s="81" t="str">
        <f>IFERROR(HLOOKUP(K3750,データについて!$J$5:$AH$20,14,FALSE),"")</f>
        <v/>
      </c>
      <c r="AC3750" s="81" t="e">
        <f>IF(X3750=1,HLOOKUP(R3750,データについて!$J$12:$M$18,7,FALSE),"*")</f>
        <v>#N/A</v>
      </c>
      <c r="AD3750" s="81" t="e">
        <f>IF(X3750=2,HLOOKUP(R3750,データについて!$J$12:$M$18,7,FALSE),"*")</f>
        <v>#N/A</v>
      </c>
    </row>
    <row r="3751" spans="19:30">
      <c r="S3751" s="81" t="e">
        <f>HLOOKUP(L3751,データについて!$J$6:$M$18,13,FALSE)</f>
        <v>#N/A</v>
      </c>
      <c r="T3751" s="81" t="e">
        <f>HLOOKUP(M3751,データについて!$J$7:$M$18,12,FALSE)</f>
        <v>#N/A</v>
      </c>
      <c r="U3751" s="81" t="e">
        <f>HLOOKUP(N3751,データについて!$J$8:$M$18,11,FALSE)</f>
        <v>#N/A</v>
      </c>
      <c r="V3751" s="81" t="e">
        <f>HLOOKUP(O3751,データについて!$J$9:$M$18,10,FALSE)</f>
        <v>#N/A</v>
      </c>
      <c r="W3751" s="81" t="e">
        <f>HLOOKUP(P3751,データについて!$J$10:$M$18,9,FALSE)</f>
        <v>#N/A</v>
      </c>
      <c r="X3751" s="81" t="e">
        <f>HLOOKUP(Q3751,データについて!$J$11:$M$18,8,FALSE)</f>
        <v>#N/A</v>
      </c>
      <c r="Y3751" s="81" t="e">
        <f>HLOOKUP(R3751,データについて!$J$12:$M$18,7,FALSE)</f>
        <v>#N/A</v>
      </c>
      <c r="Z3751" s="81" t="e">
        <f>HLOOKUP(I3751,データについて!$J$3:$M$18,16,FALSE)</f>
        <v>#N/A</v>
      </c>
      <c r="AA3751" s="81" t="str">
        <f>IFERROR(HLOOKUP(J3751,データについて!$J$4:$AH$19,16,FALSE),"")</f>
        <v/>
      </c>
      <c r="AB3751" s="81" t="str">
        <f>IFERROR(HLOOKUP(K3751,データについて!$J$5:$AH$20,14,FALSE),"")</f>
        <v/>
      </c>
      <c r="AC3751" s="81" t="e">
        <f>IF(X3751=1,HLOOKUP(R3751,データについて!$J$12:$M$18,7,FALSE),"*")</f>
        <v>#N/A</v>
      </c>
      <c r="AD3751" s="81" t="e">
        <f>IF(X3751=2,HLOOKUP(R3751,データについて!$J$12:$M$18,7,FALSE),"*")</f>
        <v>#N/A</v>
      </c>
    </row>
    <row r="3752" spans="19:30">
      <c r="S3752" s="81" t="e">
        <f>HLOOKUP(L3752,データについて!$J$6:$M$18,13,FALSE)</f>
        <v>#N/A</v>
      </c>
      <c r="T3752" s="81" t="e">
        <f>HLOOKUP(M3752,データについて!$J$7:$M$18,12,FALSE)</f>
        <v>#N/A</v>
      </c>
      <c r="U3752" s="81" t="e">
        <f>HLOOKUP(N3752,データについて!$J$8:$M$18,11,FALSE)</f>
        <v>#N/A</v>
      </c>
      <c r="V3752" s="81" t="e">
        <f>HLOOKUP(O3752,データについて!$J$9:$M$18,10,FALSE)</f>
        <v>#N/A</v>
      </c>
      <c r="W3752" s="81" t="e">
        <f>HLOOKUP(P3752,データについて!$J$10:$M$18,9,FALSE)</f>
        <v>#N/A</v>
      </c>
      <c r="X3752" s="81" t="e">
        <f>HLOOKUP(Q3752,データについて!$J$11:$M$18,8,FALSE)</f>
        <v>#N/A</v>
      </c>
      <c r="Y3752" s="81" t="e">
        <f>HLOOKUP(R3752,データについて!$J$12:$M$18,7,FALSE)</f>
        <v>#N/A</v>
      </c>
      <c r="Z3752" s="81" t="e">
        <f>HLOOKUP(I3752,データについて!$J$3:$M$18,16,FALSE)</f>
        <v>#N/A</v>
      </c>
      <c r="AA3752" s="81" t="str">
        <f>IFERROR(HLOOKUP(J3752,データについて!$J$4:$AH$19,16,FALSE),"")</f>
        <v/>
      </c>
      <c r="AB3752" s="81" t="str">
        <f>IFERROR(HLOOKUP(K3752,データについて!$J$5:$AH$20,14,FALSE),"")</f>
        <v/>
      </c>
      <c r="AC3752" s="81" t="e">
        <f>IF(X3752=1,HLOOKUP(R3752,データについて!$J$12:$M$18,7,FALSE),"*")</f>
        <v>#N/A</v>
      </c>
      <c r="AD3752" s="81" t="e">
        <f>IF(X3752=2,HLOOKUP(R3752,データについて!$J$12:$M$18,7,FALSE),"*")</f>
        <v>#N/A</v>
      </c>
    </row>
    <row r="3753" spans="19:30">
      <c r="S3753" s="81" t="e">
        <f>HLOOKUP(L3753,データについて!$J$6:$M$18,13,FALSE)</f>
        <v>#N/A</v>
      </c>
      <c r="T3753" s="81" t="e">
        <f>HLOOKUP(M3753,データについて!$J$7:$M$18,12,FALSE)</f>
        <v>#N/A</v>
      </c>
      <c r="U3753" s="81" t="e">
        <f>HLOOKUP(N3753,データについて!$J$8:$M$18,11,FALSE)</f>
        <v>#N/A</v>
      </c>
      <c r="V3753" s="81" t="e">
        <f>HLOOKUP(O3753,データについて!$J$9:$M$18,10,FALSE)</f>
        <v>#N/A</v>
      </c>
      <c r="W3753" s="81" t="e">
        <f>HLOOKUP(P3753,データについて!$J$10:$M$18,9,FALSE)</f>
        <v>#N/A</v>
      </c>
      <c r="X3753" s="81" t="e">
        <f>HLOOKUP(Q3753,データについて!$J$11:$M$18,8,FALSE)</f>
        <v>#N/A</v>
      </c>
      <c r="Y3753" s="81" t="e">
        <f>HLOOKUP(R3753,データについて!$J$12:$M$18,7,FALSE)</f>
        <v>#N/A</v>
      </c>
      <c r="Z3753" s="81" t="e">
        <f>HLOOKUP(I3753,データについて!$J$3:$M$18,16,FALSE)</f>
        <v>#N/A</v>
      </c>
      <c r="AA3753" s="81" t="str">
        <f>IFERROR(HLOOKUP(J3753,データについて!$J$4:$AH$19,16,FALSE),"")</f>
        <v/>
      </c>
      <c r="AB3753" s="81" t="str">
        <f>IFERROR(HLOOKUP(K3753,データについて!$J$5:$AH$20,14,FALSE),"")</f>
        <v/>
      </c>
      <c r="AC3753" s="81" t="e">
        <f>IF(X3753=1,HLOOKUP(R3753,データについて!$J$12:$M$18,7,FALSE),"*")</f>
        <v>#N/A</v>
      </c>
      <c r="AD3753" s="81" t="e">
        <f>IF(X3753=2,HLOOKUP(R3753,データについて!$J$12:$M$18,7,FALSE),"*")</f>
        <v>#N/A</v>
      </c>
    </row>
    <row r="3754" spans="19:30">
      <c r="S3754" s="81" t="e">
        <f>HLOOKUP(L3754,データについて!$J$6:$M$18,13,FALSE)</f>
        <v>#N/A</v>
      </c>
      <c r="T3754" s="81" t="e">
        <f>HLOOKUP(M3754,データについて!$J$7:$M$18,12,FALSE)</f>
        <v>#N/A</v>
      </c>
      <c r="U3754" s="81" t="e">
        <f>HLOOKUP(N3754,データについて!$J$8:$M$18,11,FALSE)</f>
        <v>#N/A</v>
      </c>
      <c r="V3754" s="81" t="e">
        <f>HLOOKUP(O3754,データについて!$J$9:$M$18,10,FALSE)</f>
        <v>#N/A</v>
      </c>
      <c r="W3754" s="81" t="e">
        <f>HLOOKUP(P3754,データについて!$J$10:$M$18,9,FALSE)</f>
        <v>#N/A</v>
      </c>
      <c r="X3754" s="81" t="e">
        <f>HLOOKUP(Q3754,データについて!$J$11:$M$18,8,FALSE)</f>
        <v>#N/A</v>
      </c>
      <c r="Y3754" s="81" t="e">
        <f>HLOOKUP(R3754,データについて!$J$12:$M$18,7,FALSE)</f>
        <v>#N/A</v>
      </c>
      <c r="Z3754" s="81" t="e">
        <f>HLOOKUP(I3754,データについて!$J$3:$M$18,16,FALSE)</f>
        <v>#N/A</v>
      </c>
      <c r="AA3754" s="81" t="str">
        <f>IFERROR(HLOOKUP(J3754,データについて!$J$4:$AH$19,16,FALSE),"")</f>
        <v/>
      </c>
      <c r="AB3754" s="81" t="str">
        <f>IFERROR(HLOOKUP(K3754,データについて!$J$5:$AH$20,14,FALSE),"")</f>
        <v/>
      </c>
      <c r="AC3754" s="81" t="e">
        <f>IF(X3754=1,HLOOKUP(R3754,データについて!$J$12:$M$18,7,FALSE),"*")</f>
        <v>#N/A</v>
      </c>
      <c r="AD3754" s="81" t="e">
        <f>IF(X3754=2,HLOOKUP(R3754,データについて!$J$12:$M$18,7,FALSE),"*")</f>
        <v>#N/A</v>
      </c>
    </row>
    <row r="3755" spans="19:30">
      <c r="S3755" s="81" t="e">
        <f>HLOOKUP(L3755,データについて!$J$6:$M$18,13,FALSE)</f>
        <v>#N/A</v>
      </c>
      <c r="T3755" s="81" t="e">
        <f>HLOOKUP(M3755,データについて!$J$7:$M$18,12,FALSE)</f>
        <v>#N/A</v>
      </c>
      <c r="U3755" s="81" t="e">
        <f>HLOOKUP(N3755,データについて!$J$8:$M$18,11,FALSE)</f>
        <v>#N/A</v>
      </c>
      <c r="V3755" s="81" t="e">
        <f>HLOOKUP(O3755,データについて!$J$9:$M$18,10,FALSE)</f>
        <v>#N/A</v>
      </c>
      <c r="W3755" s="81" t="e">
        <f>HLOOKUP(P3755,データについて!$J$10:$M$18,9,FALSE)</f>
        <v>#N/A</v>
      </c>
      <c r="X3755" s="81" t="e">
        <f>HLOOKUP(Q3755,データについて!$J$11:$M$18,8,FALSE)</f>
        <v>#N/A</v>
      </c>
      <c r="Y3755" s="81" t="e">
        <f>HLOOKUP(R3755,データについて!$J$12:$M$18,7,FALSE)</f>
        <v>#N/A</v>
      </c>
      <c r="Z3755" s="81" t="e">
        <f>HLOOKUP(I3755,データについて!$J$3:$M$18,16,FALSE)</f>
        <v>#N/A</v>
      </c>
      <c r="AA3755" s="81" t="str">
        <f>IFERROR(HLOOKUP(J3755,データについて!$J$4:$AH$19,16,FALSE),"")</f>
        <v/>
      </c>
      <c r="AB3755" s="81" t="str">
        <f>IFERROR(HLOOKUP(K3755,データについて!$J$5:$AH$20,14,FALSE),"")</f>
        <v/>
      </c>
      <c r="AC3755" s="81" t="e">
        <f>IF(X3755=1,HLOOKUP(R3755,データについて!$J$12:$M$18,7,FALSE),"*")</f>
        <v>#N/A</v>
      </c>
      <c r="AD3755" s="81" t="e">
        <f>IF(X3755=2,HLOOKUP(R3755,データについて!$J$12:$M$18,7,FALSE),"*")</f>
        <v>#N/A</v>
      </c>
    </row>
    <row r="3756" spans="19:30">
      <c r="S3756" s="81" t="e">
        <f>HLOOKUP(L3756,データについて!$J$6:$M$18,13,FALSE)</f>
        <v>#N/A</v>
      </c>
      <c r="T3756" s="81" t="e">
        <f>HLOOKUP(M3756,データについて!$J$7:$M$18,12,FALSE)</f>
        <v>#N/A</v>
      </c>
      <c r="U3756" s="81" t="e">
        <f>HLOOKUP(N3756,データについて!$J$8:$M$18,11,FALSE)</f>
        <v>#N/A</v>
      </c>
      <c r="V3756" s="81" t="e">
        <f>HLOOKUP(O3756,データについて!$J$9:$M$18,10,FALSE)</f>
        <v>#N/A</v>
      </c>
      <c r="W3756" s="81" t="e">
        <f>HLOOKUP(P3756,データについて!$J$10:$M$18,9,FALSE)</f>
        <v>#N/A</v>
      </c>
      <c r="X3756" s="81" t="e">
        <f>HLOOKUP(Q3756,データについて!$J$11:$M$18,8,FALSE)</f>
        <v>#N/A</v>
      </c>
      <c r="Y3756" s="81" t="e">
        <f>HLOOKUP(R3756,データについて!$J$12:$M$18,7,FALSE)</f>
        <v>#N/A</v>
      </c>
      <c r="Z3756" s="81" t="e">
        <f>HLOOKUP(I3756,データについて!$J$3:$M$18,16,FALSE)</f>
        <v>#N/A</v>
      </c>
      <c r="AA3756" s="81" t="str">
        <f>IFERROR(HLOOKUP(J3756,データについて!$J$4:$AH$19,16,FALSE),"")</f>
        <v/>
      </c>
      <c r="AB3756" s="81" t="str">
        <f>IFERROR(HLOOKUP(K3756,データについて!$J$5:$AH$20,14,FALSE),"")</f>
        <v/>
      </c>
      <c r="AC3756" s="81" t="e">
        <f>IF(X3756=1,HLOOKUP(R3756,データについて!$J$12:$M$18,7,FALSE),"*")</f>
        <v>#N/A</v>
      </c>
      <c r="AD3756" s="81" t="e">
        <f>IF(X3756=2,HLOOKUP(R3756,データについて!$J$12:$M$18,7,FALSE),"*")</f>
        <v>#N/A</v>
      </c>
    </row>
    <row r="3757" spans="19:30">
      <c r="S3757" s="81" t="e">
        <f>HLOOKUP(L3757,データについて!$J$6:$M$18,13,FALSE)</f>
        <v>#N/A</v>
      </c>
      <c r="T3757" s="81" t="e">
        <f>HLOOKUP(M3757,データについて!$J$7:$M$18,12,FALSE)</f>
        <v>#N/A</v>
      </c>
      <c r="U3757" s="81" t="e">
        <f>HLOOKUP(N3757,データについて!$J$8:$M$18,11,FALSE)</f>
        <v>#N/A</v>
      </c>
      <c r="V3757" s="81" t="e">
        <f>HLOOKUP(O3757,データについて!$J$9:$M$18,10,FALSE)</f>
        <v>#N/A</v>
      </c>
      <c r="W3757" s="81" t="e">
        <f>HLOOKUP(P3757,データについて!$J$10:$M$18,9,FALSE)</f>
        <v>#N/A</v>
      </c>
      <c r="X3757" s="81" t="e">
        <f>HLOOKUP(Q3757,データについて!$J$11:$M$18,8,FALSE)</f>
        <v>#N/A</v>
      </c>
      <c r="Y3757" s="81" t="e">
        <f>HLOOKUP(R3757,データについて!$J$12:$M$18,7,FALSE)</f>
        <v>#N/A</v>
      </c>
      <c r="Z3757" s="81" t="e">
        <f>HLOOKUP(I3757,データについて!$J$3:$M$18,16,FALSE)</f>
        <v>#N/A</v>
      </c>
      <c r="AA3757" s="81" t="str">
        <f>IFERROR(HLOOKUP(J3757,データについて!$J$4:$AH$19,16,FALSE),"")</f>
        <v/>
      </c>
      <c r="AB3757" s="81" t="str">
        <f>IFERROR(HLOOKUP(K3757,データについて!$J$5:$AH$20,14,FALSE),"")</f>
        <v/>
      </c>
      <c r="AC3757" s="81" t="e">
        <f>IF(X3757=1,HLOOKUP(R3757,データについて!$J$12:$M$18,7,FALSE),"*")</f>
        <v>#N/A</v>
      </c>
      <c r="AD3757" s="81" t="e">
        <f>IF(X3757=2,HLOOKUP(R3757,データについて!$J$12:$M$18,7,FALSE),"*")</f>
        <v>#N/A</v>
      </c>
    </row>
    <row r="3758" spans="19:30">
      <c r="S3758" s="81" t="e">
        <f>HLOOKUP(L3758,データについて!$J$6:$M$18,13,FALSE)</f>
        <v>#N/A</v>
      </c>
      <c r="T3758" s="81" t="e">
        <f>HLOOKUP(M3758,データについて!$J$7:$M$18,12,FALSE)</f>
        <v>#N/A</v>
      </c>
      <c r="U3758" s="81" t="e">
        <f>HLOOKUP(N3758,データについて!$J$8:$M$18,11,FALSE)</f>
        <v>#N/A</v>
      </c>
      <c r="V3758" s="81" t="e">
        <f>HLOOKUP(O3758,データについて!$J$9:$M$18,10,FALSE)</f>
        <v>#N/A</v>
      </c>
      <c r="W3758" s="81" t="e">
        <f>HLOOKUP(P3758,データについて!$J$10:$M$18,9,FALSE)</f>
        <v>#N/A</v>
      </c>
      <c r="X3758" s="81" t="e">
        <f>HLOOKUP(Q3758,データについて!$J$11:$M$18,8,FALSE)</f>
        <v>#N/A</v>
      </c>
      <c r="Y3758" s="81" t="e">
        <f>HLOOKUP(R3758,データについて!$J$12:$M$18,7,FALSE)</f>
        <v>#N/A</v>
      </c>
      <c r="Z3758" s="81" t="e">
        <f>HLOOKUP(I3758,データについて!$J$3:$M$18,16,FALSE)</f>
        <v>#N/A</v>
      </c>
      <c r="AA3758" s="81" t="str">
        <f>IFERROR(HLOOKUP(J3758,データについて!$J$4:$AH$19,16,FALSE),"")</f>
        <v/>
      </c>
      <c r="AB3758" s="81" t="str">
        <f>IFERROR(HLOOKUP(K3758,データについて!$J$5:$AH$20,14,FALSE),"")</f>
        <v/>
      </c>
      <c r="AC3758" s="81" t="e">
        <f>IF(X3758=1,HLOOKUP(R3758,データについて!$J$12:$M$18,7,FALSE),"*")</f>
        <v>#N/A</v>
      </c>
      <c r="AD3758" s="81" t="e">
        <f>IF(X3758=2,HLOOKUP(R3758,データについて!$J$12:$M$18,7,FALSE),"*")</f>
        <v>#N/A</v>
      </c>
    </row>
    <row r="3759" spans="19:30">
      <c r="S3759" s="81" t="e">
        <f>HLOOKUP(L3759,データについて!$J$6:$M$18,13,FALSE)</f>
        <v>#N/A</v>
      </c>
      <c r="T3759" s="81" t="e">
        <f>HLOOKUP(M3759,データについて!$J$7:$M$18,12,FALSE)</f>
        <v>#N/A</v>
      </c>
      <c r="U3759" s="81" t="e">
        <f>HLOOKUP(N3759,データについて!$J$8:$M$18,11,FALSE)</f>
        <v>#N/A</v>
      </c>
      <c r="V3759" s="81" t="e">
        <f>HLOOKUP(O3759,データについて!$J$9:$M$18,10,FALSE)</f>
        <v>#N/A</v>
      </c>
      <c r="W3759" s="81" t="e">
        <f>HLOOKUP(P3759,データについて!$J$10:$M$18,9,FALSE)</f>
        <v>#N/A</v>
      </c>
      <c r="X3759" s="81" t="e">
        <f>HLOOKUP(Q3759,データについて!$J$11:$M$18,8,FALSE)</f>
        <v>#N/A</v>
      </c>
      <c r="Y3759" s="81" t="e">
        <f>HLOOKUP(R3759,データについて!$J$12:$M$18,7,FALSE)</f>
        <v>#N/A</v>
      </c>
      <c r="Z3759" s="81" t="e">
        <f>HLOOKUP(I3759,データについて!$J$3:$M$18,16,FALSE)</f>
        <v>#N/A</v>
      </c>
      <c r="AA3759" s="81" t="str">
        <f>IFERROR(HLOOKUP(J3759,データについて!$J$4:$AH$19,16,FALSE),"")</f>
        <v/>
      </c>
      <c r="AB3759" s="81" t="str">
        <f>IFERROR(HLOOKUP(K3759,データについて!$J$5:$AH$20,14,FALSE),"")</f>
        <v/>
      </c>
      <c r="AC3759" s="81" t="e">
        <f>IF(X3759=1,HLOOKUP(R3759,データについて!$J$12:$M$18,7,FALSE),"*")</f>
        <v>#N/A</v>
      </c>
      <c r="AD3759" s="81" t="e">
        <f>IF(X3759=2,HLOOKUP(R3759,データについて!$J$12:$M$18,7,FALSE),"*")</f>
        <v>#N/A</v>
      </c>
    </row>
    <row r="3760" spans="19:30">
      <c r="S3760" s="81" t="e">
        <f>HLOOKUP(L3760,データについて!$J$6:$M$18,13,FALSE)</f>
        <v>#N/A</v>
      </c>
      <c r="T3760" s="81" t="e">
        <f>HLOOKUP(M3760,データについて!$J$7:$M$18,12,FALSE)</f>
        <v>#N/A</v>
      </c>
      <c r="U3760" s="81" t="e">
        <f>HLOOKUP(N3760,データについて!$J$8:$M$18,11,FALSE)</f>
        <v>#N/A</v>
      </c>
      <c r="V3760" s="81" t="e">
        <f>HLOOKUP(O3760,データについて!$J$9:$M$18,10,FALSE)</f>
        <v>#N/A</v>
      </c>
      <c r="W3760" s="81" t="e">
        <f>HLOOKUP(P3760,データについて!$J$10:$M$18,9,FALSE)</f>
        <v>#N/A</v>
      </c>
      <c r="X3760" s="81" t="e">
        <f>HLOOKUP(Q3760,データについて!$J$11:$M$18,8,FALSE)</f>
        <v>#N/A</v>
      </c>
      <c r="Y3760" s="81" t="e">
        <f>HLOOKUP(R3760,データについて!$J$12:$M$18,7,FALSE)</f>
        <v>#N/A</v>
      </c>
      <c r="Z3760" s="81" t="e">
        <f>HLOOKUP(I3760,データについて!$J$3:$M$18,16,FALSE)</f>
        <v>#N/A</v>
      </c>
      <c r="AA3760" s="81" t="str">
        <f>IFERROR(HLOOKUP(J3760,データについて!$J$4:$AH$19,16,FALSE),"")</f>
        <v/>
      </c>
      <c r="AB3760" s="81" t="str">
        <f>IFERROR(HLOOKUP(K3760,データについて!$J$5:$AH$20,14,FALSE),"")</f>
        <v/>
      </c>
      <c r="AC3760" s="81" t="e">
        <f>IF(X3760=1,HLOOKUP(R3760,データについて!$J$12:$M$18,7,FALSE),"*")</f>
        <v>#N/A</v>
      </c>
      <c r="AD3760" s="81" t="e">
        <f>IF(X3760=2,HLOOKUP(R3760,データについて!$J$12:$M$18,7,FALSE),"*")</f>
        <v>#N/A</v>
      </c>
    </row>
    <row r="3761" spans="19:30">
      <c r="S3761" s="81" t="e">
        <f>HLOOKUP(L3761,データについて!$J$6:$M$18,13,FALSE)</f>
        <v>#N/A</v>
      </c>
      <c r="T3761" s="81" t="e">
        <f>HLOOKUP(M3761,データについて!$J$7:$M$18,12,FALSE)</f>
        <v>#N/A</v>
      </c>
      <c r="U3761" s="81" t="e">
        <f>HLOOKUP(N3761,データについて!$J$8:$M$18,11,FALSE)</f>
        <v>#N/A</v>
      </c>
      <c r="V3761" s="81" t="e">
        <f>HLOOKUP(O3761,データについて!$J$9:$M$18,10,FALSE)</f>
        <v>#N/A</v>
      </c>
      <c r="W3761" s="81" t="e">
        <f>HLOOKUP(P3761,データについて!$J$10:$M$18,9,FALSE)</f>
        <v>#N/A</v>
      </c>
      <c r="X3761" s="81" t="e">
        <f>HLOOKUP(Q3761,データについて!$J$11:$M$18,8,FALSE)</f>
        <v>#N/A</v>
      </c>
      <c r="Y3761" s="81" t="e">
        <f>HLOOKUP(R3761,データについて!$J$12:$M$18,7,FALSE)</f>
        <v>#N/A</v>
      </c>
      <c r="Z3761" s="81" t="e">
        <f>HLOOKUP(I3761,データについて!$J$3:$M$18,16,FALSE)</f>
        <v>#N/A</v>
      </c>
      <c r="AA3761" s="81" t="str">
        <f>IFERROR(HLOOKUP(J3761,データについて!$J$4:$AH$19,16,FALSE),"")</f>
        <v/>
      </c>
      <c r="AB3761" s="81" t="str">
        <f>IFERROR(HLOOKUP(K3761,データについて!$J$5:$AH$20,14,FALSE),"")</f>
        <v/>
      </c>
      <c r="AC3761" s="81" t="e">
        <f>IF(X3761=1,HLOOKUP(R3761,データについて!$J$12:$M$18,7,FALSE),"*")</f>
        <v>#N/A</v>
      </c>
      <c r="AD3761" s="81" t="e">
        <f>IF(X3761=2,HLOOKUP(R3761,データについて!$J$12:$M$18,7,FALSE),"*")</f>
        <v>#N/A</v>
      </c>
    </row>
    <row r="3762" spans="19:30">
      <c r="S3762" s="81" t="e">
        <f>HLOOKUP(L3762,データについて!$J$6:$M$18,13,FALSE)</f>
        <v>#N/A</v>
      </c>
      <c r="T3762" s="81" t="e">
        <f>HLOOKUP(M3762,データについて!$J$7:$M$18,12,FALSE)</f>
        <v>#N/A</v>
      </c>
      <c r="U3762" s="81" t="e">
        <f>HLOOKUP(N3762,データについて!$J$8:$M$18,11,FALSE)</f>
        <v>#N/A</v>
      </c>
      <c r="V3762" s="81" t="e">
        <f>HLOOKUP(O3762,データについて!$J$9:$M$18,10,FALSE)</f>
        <v>#N/A</v>
      </c>
      <c r="W3762" s="81" t="e">
        <f>HLOOKUP(P3762,データについて!$J$10:$M$18,9,FALSE)</f>
        <v>#N/A</v>
      </c>
      <c r="X3762" s="81" t="e">
        <f>HLOOKUP(Q3762,データについて!$J$11:$M$18,8,FALSE)</f>
        <v>#N/A</v>
      </c>
      <c r="Y3762" s="81" t="e">
        <f>HLOOKUP(R3762,データについて!$J$12:$M$18,7,FALSE)</f>
        <v>#N/A</v>
      </c>
      <c r="Z3762" s="81" t="e">
        <f>HLOOKUP(I3762,データについて!$J$3:$M$18,16,FALSE)</f>
        <v>#N/A</v>
      </c>
      <c r="AA3762" s="81" t="str">
        <f>IFERROR(HLOOKUP(J3762,データについて!$J$4:$AH$19,16,FALSE),"")</f>
        <v/>
      </c>
      <c r="AB3762" s="81" t="str">
        <f>IFERROR(HLOOKUP(K3762,データについて!$J$5:$AH$20,14,FALSE),"")</f>
        <v/>
      </c>
      <c r="AC3762" s="81" t="e">
        <f>IF(X3762=1,HLOOKUP(R3762,データについて!$J$12:$M$18,7,FALSE),"*")</f>
        <v>#N/A</v>
      </c>
      <c r="AD3762" s="81" t="e">
        <f>IF(X3762=2,HLOOKUP(R3762,データについて!$J$12:$M$18,7,FALSE),"*")</f>
        <v>#N/A</v>
      </c>
    </row>
    <row r="3763" spans="19:30">
      <c r="S3763" s="81" t="e">
        <f>HLOOKUP(L3763,データについて!$J$6:$M$18,13,FALSE)</f>
        <v>#N/A</v>
      </c>
      <c r="T3763" s="81" t="e">
        <f>HLOOKUP(M3763,データについて!$J$7:$M$18,12,FALSE)</f>
        <v>#N/A</v>
      </c>
      <c r="U3763" s="81" t="e">
        <f>HLOOKUP(N3763,データについて!$J$8:$M$18,11,FALSE)</f>
        <v>#N/A</v>
      </c>
      <c r="V3763" s="81" t="e">
        <f>HLOOKUP(O3763,データについて!$J$9:$M$18,10,FALSE)</f>
        <v>#N/A</v>
      </c>
      <c r="W3763" s="81" t="e">
        <f>HLOOKUP(P3763,データについて!$J$10:$M$18,9,FALSE)</f>
        <v>#N/A</v>
      </c>
      <c r="X3763" s="81" t="e">
        <f>HLOOKUP(Q3763,データについて!$J$11:$M$18,8,FALSE)</f>
        <v>#N/A</v>
      </c>
      <c r="Y3763" s="81" t="e">
        <f>HLOOKUP(R3763,データについて!$J$12:$M$18,7,FALSE)</f>
        <v>#N/A</v>
      </c>
      <c r="Z3763" s="81" t="e">
        <f>HLOOKUP(I3763,データについて!$J$3:$M$18,16,FALSE)</f>
        <v>#N/A</v>
      </c>
      <c r="AA3763" s="81" t="str">
        <f>IFERROR(HLOOKUP(J3763,データについて!$J$4:$AH$19,16,FALSE),"")</f>
        <v/>
      </c>
      <c r="AB3763" s="81" t="str">
        <f>IFERROR(HLOOKUP(K3763,データについて!$J$5:$AH$20,14,FALSE),"")</f>
        <v/>
      </c>
      <c r="AC3763" s="81" t="e">
        <f>IF(X3763=1,HLOOKUP(R3763,データについて!$J$12:$M$18,7,FALSE),"*")</f>
        <v>#N/A</v>
      </c>
      <c r="AD3763" s="81" t="e">
        <f>IF(X3763=2,HLOOKUP(R3763,データについて!$J$12:$M$18,7,FALSE),"*")</f>
        <v>#N/A</v>
      </c>
    </row>
    <row r="3764" spans="19:30">
      <c r="S3764" s="81" t="e">
        <f>HLOOKUP(L3764,データについて!$J$6:$M$18,13,FALSE)</f>
        <v>#N/A</v>
      </c>
      <c r="T3764" s="81" t="e">
        <f>HLOOKUP(M3764,データについて!$J$7:$M$18,12,FALSE)</f>
        <v>#N/A</v>
      </c>
      <c r="U3764" s="81" t="e">
        <f>HLOOKUP(N3764,データについて!$J$8:$M$18,11,FALSE)</f>
        <v>#N/A</v>
      </c>
      <c r="V3764" s="81" t="e">
        <f>HLOOKUP(O3764,データについて!$J$9:$M$18,10,FALSE)</f>
        <v>#N/A</v>
      </c>
      <c r="W3764" s="81" t="e">
        <f>HLOOKUP(P3764,データについて!$J$10:$M$18,9,FALSE)</f>
        <v>#N/A</v>
      </c>
      <c r="X3764" s="81" t="e">
        <f>HLOOKUP(Q3764,データについて!$J$11:$M$18,8,FALSE)</f>
        <v>#N/A</v>
      </c>
      <c r="Y3764" s="81" t="e">
        <f>HLOOKUP(R3764,データについて!$J$12:$M$18,7,FALSE)</f>
        <v>#N/A</v>
      </c>
      <c r="Z3764" s="81" t="e">
        <f>HLOOKUP(I3764,データについて!$J$3:$M$18,16,FALSE)</f>
        <v>#N/A</v>
      </c>
      <c r="AA3764" s="81" t="str">
        <f>IFERROR(HLOOKUP(J3764,データについて!$J$4:$AH$19,16,FALSE),"")</f>
        <v/>
      </c>
      <c r="AB3764" s="81" t="str">
        <f>IFERROR(HLOOKUP(K3764,データについて!$J$5:$AH$20,14,FALSE),"")</f>
        <v/>
      </c>
      <c r="AC3764" s="81" t="e">
        <f>IF(X3764=1,HLOOKUP(R3764,データについて!$J$12:$M$18,7,FALSE),"*")</f>
        <v>#N/A</v>
      </c>
      <c r="AD3764" s="81" t="e">
        <f>IF(X3764=2,HLOOKUP(R3764,データについて!$J$12:$M$18,7,FALSE),"*")</f>
        <v>#N/A</v>
      </c>
    </row>
    <row r="3765" spans="19:30">
      <c r="S3765" s="81" t="e">
        <f>HLOOKUP(L3765,データについて!$J$6:$M$18,13,FALSE)</f>
        <v>#N/A</v>
      </c>
      <c r="T3765" s="81" t="e">
        <f>HLOOKUP(M3765,データについて!$J$7:$M$18,12,FALSE)</f>
        <v>#N/A</v>
      </c>
      <c r="U3765" s="81" t="e">
        <f>HLOOKUP(N3765,データについて!$J$8:$M$18,11,FALSE)</f>
        <v>#N/A</v>
      </c>
      <c r="V3765" s="81" t="e">
        <f>HLOOKUP(O3765,データについて!$J$9:$M$18,10,FALSE)</f>
        <v>#N/A</v>
      </c>
      <c r="W3765" s="81" t="e">
        <f>HLOOKUP(P3765,データについて!$J$10:$M$18,9,FALSE)</f>
        <v>#N/A</v>
      </c>
      <c r="X3765" s="81" t="e">
        <f>HLOOKUP(Q3765,データについて!$J$11:$M$18,8,FALSE)</f>
        <v>#N/A</v>
      </c>
      <c r="Y3765" s="81" t="e">
        <f>HLOOKUP(R3765,データについて!$J$12:$M$18,7,FALSE)</f>
        <v>#N/A</v>
      </c>
      <c r="Z3765" s="81" t="e">
        <f>HLOOKUP(I3765,データについて!$J$3:$M$18,16,FALSE)</f>
        <v>#N/A</v>
      </c>
      <c r="AA3765" s="81" t="str">
        <f>IFERROR(HLOOKUP(J3765,データについて!$J$4:$AH$19,16,FALSE),"")</f>
        <v/>
      </c>
      <c r="AB3765" s="81" t="str">
        <f>IFERROR(HLOOKUP(K3765,データについて!$J$5:$AH$20,14,FALSE),"")</f>
        <v/>
      </c>
      <c r="AC3765" s="81" t="e">
        <f>IF(X3765=1,HLOOKUP(R3765,データについて!$J$12:$M$18,7,FALSE),"*")</f>
        <v>#N/A</v>
      </c>
      <c r="AD3765" s="81" t="e">
        <f>IF(X3765=2,HLOOKUP(R3765,データについて!$J$12:$M$18,7,FALSE),"*")</f>
        <v>#N/A</v>
      </c>
    </row>
    <row r="3766" spans="19:30">
      <c r="S3766" s="81" t="e">
        <f>HLOOKUP(L3766,データについて!$J$6:$M$18,13,FALSE)</f>
        <v>#N/A</v>
      </c>
      <c r="T3766" s="81" t="e">
        <f>HLOOKUP(M3766,データについて!$J$7:$M$18,12,FALSE)</f>
        <v>#N/A</v>
      </c>
      <c r="U3766" s="81" t="e">
        <f>HLOOKUP(N3766,データについて!$J$8:$M$18,11,FALSE)</f>
        <v>#N/A</v>
      </c>
      <c r="V3766" s="81" t="e">
        <f>HLOOKUP(O3766,データについて!$J$9:$M$18,10,FALSE)</f>
        <v>#N/A</v>
      </c>
      <c r="W3766" s="81" t="e">
        <f>HLOOKUP(P3766,データについて!$J$10:$M$18,9,FALSE)</f>
        <v>#N/A</v>
      </c>
      <c r="X3766" s="81" t="e">
        <f>HLOOKUP(Q3766,データについて!$J$11:$M$18,8,FALSE)</f>
        <v>#N/A</v>
      </c>
      <c r="Y3766" s="81" t="e">
        <f>HLOOKUP(R3766,データについて!$J$12:$M$18,7,FALSE)</f>
        <v>#N/A</v>
      </c>
      <c r="Z3766" s="81" t="e">
        <f>HLOOKUP(I3766,データについて!$J$3:$M$18,16,FALSE)</f>
        <v>#N/A</v>
      </c>
      <c r="AA3766" s="81" t="str">
        <f>IFERROR(HLOOKUP(J3766,データについて!$J$4:$AH$19,16,FALSE),"")</f>
        <v/>
      </c>
      <c r="AB3766" s="81" t="str">
        <f>IFERROR(HLOOKUP(K3766,データについて!$J$5:$AH$20,14,FALSE),"")</f>
        <v/>
      </c>
      <c r="AC3766" s="81" t="e">
        <f>IF(X3766=1,HLOOKUP(R3766,データについて!$J$12:$M$18,7,FALSE),"*")</f>
        <v>#N/A</v>
      </c>
      <c r="AD3766" s="81" t="e">
        <f>IF(X3766=2,HLOOKUP(R3766,データについて!$J$12:$M$18,7,FALSE),"*")</f>
        <v>#N/A</v>
      </c>
    </row>
    <row r="3767" spans="19:30">
      <c r="S3767" s="81" t="e">
        <f>HLOOKUP(L3767,データについて!$J$6:$M$18,13,FALSE)</f>
        <v>#N/A</v>
      </c>
      <c r="T3767" s="81" t="e">
        <f>HLOOKUP(M3767,データについて!$J$7:$M$18,12,FALSE)</f>
        <v>#N/A</v>
      </c>
      <c r="U3767" s="81" t="e">
        <f>HLOOKUP(N3767,データについて!$J$8:$M$18,11,FALSE)</f>
        <v>#N/A</v>
      </c>
      <c r="V3767" s="81" t="e">
        <f>HLOOKUP(O3767,データについて!$J$9:$M$18,10,FALSE)</f>
        <v>#N/A</v>
      </c>
      <c r="W3767" s="81" t="e">
        <f>HLOOKUP(P3767,データについて!$J$10:$M$18,9,FALSE)</f>
        <v>#N/A</v>
      </c>
      <c r="X3767" s="81" t="e">
        <f>HLOOKUP(Q3767,データについて!$J$11:$M$18,8,FALSE)</f>
        <v>#N/A</v>
      </c>
      <c r="Y3767" s="81" t="e">
        <f>HLOOKUP(R3767,データについて!$J$12:$M$18,7,FALSE)</f>
        <v>#N/A</v>
      </c>
      <c r="Z3767" s="81" t="e">
        <f>HLOOKUP(I3767,データについて!$J$3:$M$18,16,FALSE)</f>
        <v>#N/A</v>
      </c>
      <c r="AA3767" s="81" t="str">
        <f>IFERROR(HLOOKUP(J3767,データについて!$J$4:$AH$19,16,FALSE),"")</f>
        <v/>
      </c>
      <c r="AB3767" s="81" t="str">
        <f>IFERROR(HLOOKUP(K3767,データについて!$J$5:$AH$20,14,FALSE),"")</f>
        <v/>
      </c>
      <c r="AC3767" s="81" t="e">
        <f>IF(X3767=1,HLOOKUP(R3767,データについて!$J$12:$M$18,7,FALSE),"*")</f>
        <v>#N/A</v>
      </c>
      <c r="AD3767" s="81" t="e">
        <f>IF(X3767=2,HLOOKUP(R3767,データについて!$J$12:$M$18,7,FALSE),"*")</f>
        <v>#N/A</v>
      </c>
    </row>
    <row r="3768" spans="19:30">
      <c r="S3768" s="81" t="e">
        <f>HLOOKUP(L3768,データについて!$J$6:$M$18,13,FALSE)</f>
        <v>#N/A</v>
      </c>
      <c r="T3768" s="81" t="e">
        <f>HLOOKUP(M3768,データについて!$J$7:$M$18,12,FALSE)</f>
        <v>#N/A</v>
      </c>
      <c r="U3768" s="81" t="e">
        <f>HLOOKUP(N3768,データについて!$J$8:$M$18,11,FALSE)</f>
        <v>#N/A</v>
      </c>
      <c r="V3768" s="81" t="e">
        <f>HLOOKUP(O3768,データについて!$J$9:$M$18,10,FALSE)</f>
        <v>#N/A</v>
      </c>
      <c r="W3768" s="81" t="e">
        <f>HLOOKUP(P3768,データについて!$J$10:$M$18,9,FALSE)</f>
        <v>#N/A</v>
      </c>
      <c r="X3768" s="81" t="e">
        <f>HLOOKUP(Q3768,データについて!$J$11:$M$18,8,FALSE)</f>
        <v>#N/A</v>
      </c>
      <c r="Y3768" s="81" t="e">
        <f>HLOOKUP(R3768,データについて!$J$12:$M$18,7,FALSE)</f>
        <v>#N/A</v>
      </c>
      <c r="Z3768" s="81" t="e">
        <f>HLOOKUP(I3768,データについて!$J$3:$M$18,16,FALSE)</f>
        <v>#N/A</v>
      </c>
      <c r="AA3768" s="81" t="str">
        <f>IFERROR(HLOOKUP(J3768,データについて!$J$4:$AH$19,16,FALSE),"")</f>
        <v/>
      </c>
      <c r="AB3768" s="81" t="str">
        <f>IFERROR(HLOOKUP(K3768,データについて!$J$5:$AH$20,14,FALSE),"")</f>
        <v/>
      </c>
      <c r="AC3768" s="81" t="e">
        <f>IF(X3768=1,HLOOKUP(R3768,データについて!$J$12:$M$18,7,FALSE),"*")</f>
        <v>#N/A</v>
      </c>
      <c r="AD3768" s="81" t="e">
        <f>IF(X3768=2,HLOOKUP(R3768,データについて!$J$12:$M$18,7,FALSE),"*")</f>
        <v>#N/A</v>
      </c>
    </row>
    <row r="3769" spans="19:30">
      <c r="S3769" s="81" t="e">
        <f>HLOOKUP(L3769,データについて!$J$6:$M$18,13,FALSE)</f>
        <v>#N/A</v>
      </c>
      <c r="T3769" s="81" t="e">
        <f>HLOOKUP(M3769,データについて!$J$7:$M$18,12,FALSE)</f>
        <v>#N/A</v>
      </c>
      <c r="U3769" s="81" t="e">
        <f>HLOOKUP(N3769,データについて!$J$8:$M$18,11,FALSE)</f>
        <v>#N/A</v>
      </c>
      <c r="V3769" s="81" t="e">
        <f>HLOOKUP(O3769,データについて!$J$9:$M$18,10,FALSE)</f>
        <v>#N/A</v>
      </c>
      <c r="W3769" s="81" t="e">
        <f>HLOOKUP(P3769,データについて!$J$10:$M$18,9,FALSE)</f>
        <v>#N/A</v>
      </c>
      <c r="X3769" s="81" t="e">
        <f>HLOOKUP(Q3769,データについて!$J$11:$M$18,8,FALSE)</f>
        <v>#N/A</v>
      </c>
      <c r="Y3769" s="81" t="e">
        <f>HLOOKUP(R3769,データについて!$J$12:$M$18,7,FALSE)</f>
        <v>#N/A</v>
      </c>
      <c r="Z3769" s="81" t="e">
        <f>HLOOKUP(I3769,データについて!$J$3:$M$18,16,FALSE)</f>
        <v>#N/A</v>
      </c>
      <c r="AA3769" s="81" t="str">
        <f>IFERROR(HLOOKUP(J3769,データについて!$J$4:$AH$19,16,FALSE),"")</f>
        <v/>
      </c>
      <c r="AB3769" s="81" t="str">
        <f>IFERROR(HLOOKUP(K3769,データについて!$J$5:$AH$20,14,FALSE),"")</f>
        <v/>
      </c>
      <c r="AC3769" s="81" t="e">
        <f>IF(X3769=1,HLOOKUP(R3769,データについて!$J$12:$M$18,7,FALSE),"*")</f>
        <v>#N/A</v>
      </c>
      <c r="AD3769" s="81" t="e">
        <f>IF(X3769=2,HLOOKUP(R3769,データについて!$J$12:$M$18,7,FALSE),"*")</f>
        <v>#N/A</v>
      </c>
    </row>
    <row r="3770" spans="19:30">
      <c r="S3770" s="81" t="e">
        <f>HLOOKUP(L3770,データについて!$J$6:$M$18,13,FALSE)</f>
        <v>#N/A</v>
      </c>
      <c r="T3770" s="81" t="e">
        <f>HLOOKUP(M3770,データについて!$J$7:$M$18,12,FALSE)</f>
        <v>#N/A</v>
      </c>
      <c r="U3770" s="81" t="e">
        <f>HLOOKUP(N3770,データについて!$J$8:$M$18,11,FALSE)</f>
        <v>#N/A</v>
      </c>
      <c r="V3770" s="81" t="e">
        <f>HLOOKUP(O3770,データについて!$J$9:$M$18,10,FALSE)</f>
        <v>#N/A</v>
      </c>
      <c r="W3770" s="81" t="e">
        <f>HLOOKUP(P3770,データについて!$J$10:$M$18,9,FALSE)</f>
        <v>#N/A</v>
      </c>
      <c r="X3770" s="81" t="e">
        <f>HLOOKUP(Q3770,データについて!$J$11:$M$18,8,FALSE)</f>
        <v>#N/A</v>
      </c>
      <c r="Y3770" s="81" t="e">
        <f>HLOOKUP(R3770,データについて!$J$12:$M$18,7,FALSE)</f>
        <v>#N/A</v>
      </c>
      <c r="Z3770" s="81" t="e">
        <f>HLOOKUP(I3770,データについて!$J$3:$M$18,16,FALSE)</f>
        <v>#N/A</v>
      </c>
      <c r="AA3770" s="81" t="str">
        <f>IFERROR(HLOOKUP(J3770,データについて!$J$4:$AH$19,16,FALSE),"")</f>
        <v/>
      </c>
      <c r="AB3770" s="81" t="str">
        <f>IFERROR(HLOOKUP(K3770,データについて!$J$5:$AH$20,14,FALSE),"")</f>
        <v/>
      </c>
      <c r="AC3770" s="81" t="e">
        <f>IF(X3770=1,HLOOKUP(R3770,データについて!$J$12:$M$18,7,FALSE),"*")</f>
        <v>#N/A</v>
      </c>
      <c r="AD3770" s="81" t="e">
        <f>IF(X3770=2,HLOOKUP(R3770,データについて!$J$12:$M$18,7,FALSE),"*")</f>
        <v>#N/A</v>
      </c>
    </row>
    <row r="3771" spans="19:30">
      <c r="S3771" s="81" t="e">
        <f>HLOOKUP(L3771,データについて!$J$6:$M$18,13,FALSE)</f>
        <v>#N/A</v>
      </c>
      <c r="T3771" s="81" t="e">
        <f>HLOOKUP(M3771,データについて!$J$7:$M$18,12,FALSE)</f>
        <v>#N/A</v>
      </c>
      <c r="U3771" s="81" t="e">
        <f>HLOOKUP(N3771,データについて!$J$8:$M$18,11,FALSE)</f>
        <v>#N/A</v>
      </c>
      <c r="V3771" s="81" t="e">
        <f>HLOOKUP(O3771,データについて!$J$9:$M$18,10,FALSE)</f>
        <v>#N/A</v>
      </c>
      <c r="W3771" s="81" t="e">
        <f>HLOOKUP(P3771,データについて!$J$10:$M$18,9,FALSE)</f>
        <v>#N/A</v>
      </c>
      <c r="X3771" s="81" t="e">
        <f>HLOOKUP(Q3771,データについて!$J$11:$M$18,8,FALSE)</f>
        <v>#N/A</v>
      </c>
      <c r="Y3771" s="81" t="e">
        <f>HLOOKUP(R3771,データについて!$J$12:$M$18,7,FALSE)</f>
        <v>#N/A</v>
      </c>
      <c r="Z3771" s="81" t="e">
        <f>HLOOKUP(I3771,データについて!$J$3:$M$18,16,FALSE)</f>
        <v>#N/A</v>
      </c>
      <c r="AA3771" s="81" t="str">
        <f>IFERROR(HLOOKUP(J3771,データについて!$J$4:$AH$19,16,FALSE),"")</f>
        <v/>
      </c>
      <c r="AB3771" s="81" t="str">
        <f>IFERROR(HLOOKUP(K3771,データについて!$J$5:$AH$20,14,FALSE),"")</f>
        <v/>
      </c>
      <c r="AC3771" s="81" t="e">
        <f>IF(X3771=1,HLOOKUP(R3771,データについて!$J$12:$M$18,7,FALSE),"*")</f>
        <v>#N/A</v>
      </c>
      <c r="AD3771" s="81" t="e">
        <f>IF(X3771=2,HLOOKUP(R3771,データについて!$J$12:$M$18,7,FALSE),"*")</f>
        <v>#N/A</v>
      </c>
    </row>
    <row r="3772" spans="19:30">
      <c r="S3772" s="81" t="e">
        <f>HLOOKUP(L3772,データについて!$J$6:$M$18,13,FALSE)</f>
        <v>#N/A</v>
      </c>
      <c r="T3772" s="81" t="e">
        <f>HLOOKUP(M3772,データについて!$J$7:$M$18,12,FALSE)</f>
        <v>#N/A</v>
      </c>
      <c r="U3772" s="81" t="e">
        <f>HLOOKUP(N3772,データについて!$J$8:$M$18,11,FALSE)</f>
        <v>#N/A</v>
      </c>
      <c r="V3772" s="81" t="e">
        <f>HLOOKUP(O3772,データについて!$J$9:$M$18,10,FALSE)</f>
        <v>#N/A</v>
      </c>
      <c r="W3772" s="81" t="e">
        <f>HLOOKUP(P3772,データについて!$J$10:$M$18,9,FALSE)</f>
        <v>#N/A</v>
      </c>
      <c r="X3772" s="81" t="e">
        <f>HLOOKUP(Q3772,データについて!$J$11:$M$18,8,FALSE)</f>
        <v>#N/A</v>
      </c>
      <c r="Y3772" s="81" t="e">
        <f>HLOOKUP(R3772,データについて!$J$12:$M$18,7,FALSE)</f>
        <v>#N/A</v>
      </c>
      <c r="Z3772" s="81" t="e">
        <f>HLOOKUP(I3772,データについて!$J$3:$M$18,16,FALSE)</f>
        <v>#N/A</v>
      </c>
      <c r="AA3772" s="81" t="str">
        <f>IFERROR(HLOOKUP(J3772,データについて!$J$4:$AH$19,16,FALSE),"")</f>
        <v/>
      </c>
      <c r="AB3772" s="81" t="str">
        <f>IFERROR(HLOOKUP(K3772,データについて!$J$5:$AH$20,14,FALSE),"")</f>
        <v/>
      </c>
      <c r="AC3772" s="81" t="e">
        <f>IF(X3772=1,HLOOKUP(R3772,データについて!$J$12:$M$18,7,FALSE),"*")</f>
        <v>#N/A</v>
      </c>
      <c r="AD3772" s="81" t="e">
        <f>IF(X3772=2,HLOOKUP(R3772,データについて!$J$12:$M$18,7,FALSE),"*")</f>
        <v>#N/A</v>
      </c>
    </row>
    <row r="3773" spans="19:30">
      <c r="S3773" s="81" t="e">
        <f>HLOOKUP(L3773,データについて!$J$6:$M$18,13,FALSE)</f>
        <v>#N/A</v>
      </c>
      <c r="T3773" s="81" t="e">
        <f>HLOOKUP(M3773,データについて!$J$7:$M$18,12,FALSE)</f>
        <v>#N/A</v>
      </c>
      <c r="U3773" s="81" t="e">
        <f>HLOOKUP(N3773,データについて!$J$8:$M$18,11,FALSE)</f>
        <v>#N/A</v>
      </c>
      <c r="V3773" s="81" t="e">
        <f>HLOOKUP(O3773,データについて!$J$9:$M$18,10,FALSE)</f>
        <v>#N/A</v>
      </c>
      <c r="W3773" s="81" t="e">
        <f>HLOOKUP(P3773,データについて!$J$10:$M$18,9,FALSE)</f>
        <v>#N/A</v>
      </c>
      <c r="X3773" s="81" t="e">
        <f>HLOOKUP(Q3773,データについて!$J$11:$M$18,8,FALSE)</f>
        <v>#N/A</v>
      </c>
      <c r="Y3773" s="81" t="e">
        <f>HLOOKUP(R3773,データについて!$J$12:$M$18,7,FALSE)</f>
        <v>#N/A</v>
      </c>
      <c r="Z3773" s="81" t="e">
        <f>HLOOKUP(I3773,データについて!$J$3:$M$18,16,FALSE)</f>
        <v>#N/A</v>
      </c>
      <c r="AA3773" s="81" t="str">
        <f>IFERROR(HLOOKUP(J3773,データについて!$J$4:$AH$19,16,FALSE),"")</f>
        <v/>
      </c>
      <c r="AB3773" s="81" t="str">
        <f>IFERROR(HLOOKUP(K3773,データについて!$J$5:$AH$20,14,FALSE),"")</f>
        <v/>
      </c>
      <c r="AC3773" s="81" t="e">
        <f>IF(X3773=1,HLOOKUP(R3773,データについて!$J$12:$M$18,7,FALSE),"*")</f>
        <v>#N/A</v>
      </c>
      <c r="AD3773" s="81" t="e">
        <f>IF(X3773=2,HLOOKUP(R3773,データについて!$J$12:$M$18,7,FALSE),"*")</f>
        <v>#N/A</v>
      </c>
    </row>
    <row r="3774" spans="19:30">
      <c r="S3774" s="81" t="e">
        <f>HLOOKUP(L3774,データについて!$J$6:$M$18,13,FALSE)</f>
        <v>#N/A</v>
      </c>
      <c r="T3774" s="81" t="e">
        <f>HLOOKUP(M3774,データについて!$J$7:$M$18,12,FALSE)</f>
        <v>#N/A</v>
      </c>
      <c r="U3774" s="81" t="e">
        <f>HLOOKUP(N3774,データについて!$J$8:$M$18,11,FALSE)</f>
        <v>#N/A</v>
      </c>
      <c r="V3774" s="81" t="e">
        <f>HLOOKUP(O3774,データについて!$J$9:$M$18,10,FALSE)</f>
        <v>#N/A</v>
      </c>
      <c r="W3774" s="81" t="e">
        <f>HLOOKUP(P3774,データについて!$J$10:$M$18,9,FALSE)</f>
        <v>#N/A</v>
      </c>
      <c r="X3774" s="81" t="e">
        <f>HLOOKUP(Q3774,データについて!$J$11:$M$18,8,FALSE)</f>
        <v>#N/A</v>
      </c>
      <c r="Y3774" s="81" t="e">
        <f>HLOOKUP(R3774,データについて!$J$12:$M$18,7,FALSE)</f>
        <v>#N/A</v>
      </c>
      <c r="Z3774" s="81" t="e">
        <f>HLOOKUP(I3774,データについて!$J$3:$M$18,16,FALSE)</f>
        <v>#N/A</v>
      </c>
      <c r="AA3774" s="81" t="str">
        <f>IFERROR(HLOOKUP(J3774,データについて!$J$4:$AH$19,16,FALSE),"")</f>
        <v/>
      </c>
      <c r="AB3774" s="81" t="str">
        <f>IFERROR(HLOOKUP(K3774,データについて!$J$5:$AH$20,14,FALSE),"")</f>
        <v/>
      </c>
      <c r="AC3774" s="81" t="e">
        <f>IF(X3774=1,HLOOKUP(R3774,データについて!$J$12:$M$18,7,FALSE),"*")</f>
        <v>#N/A</v>
      </c>
      <c r="AD3774" s="81" t="e">
        <f>IF(X3774=2,HLOOKUP(R3774,データについて!$J$12:$M$18,7,FALSE),"*")</f>
        <v>#N/A</v>
      </c>
    </row>
    <row r="3775" spans="19:30">
      <c r="S3775" s="81" t="e">
        <f>HLOOKUP(L3775,データについて!$J$6:$M$18,13,FALSE)</f>
        <v>#N/A</v>
      </c>
      <c r="T3775" s="81" t="e">
        <f>HLOOKUP(M3775,データについて!$J$7:$M$18,12,FALSE)</f>
        <v>#N/A</v>
      </c>
      <c r="U3775" s="81" t="e">
        <f>HLOOKUP(N3775,データについて!$J$8:$M$18,11,FALSE)</f>
        <v>#N/A</v>
      </c>
      <c r="V3775" s="81" t="e">
        <f>HLOOKUP(O3775,データについて!$J$9:$M$18,10,FALSE)</f>
        <v>#N/A</v>
      </c>
      <c r="W3775" s="81" t="e">
        <f>HLOOKUP(P3775,データについて!$J$10:$M$18,9,FALSE)</f>
        <v>#N/A</v>
      </c>
      <c r="X3775" s="81" t="e">
        <f>HLOOKUP(Q3775,データについて!$J$11:$M$18,8,FALSE)</f>
        <v>#N/A</v>
      </c>
      <c r="Y3775" s="81" t="e">
        <f>HLOOKUP(R3775,データについて!$J$12:$M$18,7,FALSE)</f>
        <v>#N/A</v>
      </c>
      <c r="Z3775" s="81" t="e">
        <f>HLOOKUP(I3775,データについて!$J$3:$M$18,16,FALSE)</f>
        <v>#N/A</v>
      </c>
      <c r="AA3775" s="81" t="str">
        <f>IFERROR(HLOOKUP(J3775,データについて!$J$4:$AH$19,16,FALSE),"")</f>
        <v/>
      </c>
      <c r="AB3775" s="81" t="str">
        <f>IFERROR(HLOOKUP(K3775,データについて!$J$5:$AH$20,14,FALSE),"")</f>
        <v/>
      </c>
      <c r="AC3775" s="81" t="e">
        <f>IF(X3775=1,HLOOKUP(R3775,データについて!$J$12:$M$18,7,FALSE),"*")</f>
        <v>#N/A</v>
      </c>
      <c r="AD3775" s="81" t="e">
        <f>IF(X3775=2,HLOOKUP(R3775,データについて!$J$12:$M$18,7,FALSE),"*")</f>
        <v>#N/A</v>
      </c>
    </row>
    <row r="3776" spans="19:30">
      <c r="S3776" s="81" t="e">
        <f>HLOOKUP(L3776,データについて!$J$6:$M$18,13,FALSE)</f>
        <v>#N/A</v>
      </c>
      <c r="T3776" s="81" t="e">
        <f>HLOOKUP(M3776,データについて!$J$7:$M$18,12,FALSE)</f>
        <v>#N/A</v>
      </c>
      <c r="U3776" s="81" t="e">
        <f>HLOOKUP(N3776,データについて!$J$8:$M$18,11,FALSE)</f>
        <v>#N/A</v>
      </c>
      <c r="V3776" s="81" t="e">
        <f>HLOOKUP(O3776,データについて!$J$9:$M$18,10,FALSE)</f>
        <v>#N/A</v>
      </c>
      <c r="W3776" s="81" t="e">
        <f>HLOOKUP(P3776,データについて!$J$10:$M$18,9,FALSE)</f>
        <v>#N/A</v>
      </c>
      <c r="X3776" s="81" t="e">
        <f>HLOOKUP(Q3776,データについて!$J$11:$M$18,8,FALSE)</f>
        <v>#N/A</v>
      </c>
      <c r="Y3776" s="81" t="e">
        <f>HLOOKUP(R3776,データについて!$J$12:$M$18,7,FALSE)</f>
        <v>#N/A</v>
      </c>
      <c r="Z3776" s="81" t="e">
        <f>HLOOKUP(I3776,データについて!$J$3:$M$18,16,FALSE)</f>
        <v>#N/A</v>
      </c>
      <c r="AA3776" s="81" t="str">
        <f>IFERROR(HLOOKUP(J3776,データについて!$J$4:$AH$19,16,FALSE),"")</f>
        <v/>
      </c>
      <c r="AB3776" s="81" t="str">
        <f>IFERROR(HLOOKUP(K3776,データについて!$J$5:$AH$20,14,FALSE),"")</f>
        <v/>
      </c>
      <c r="AC3776" s="81" t="e">
        <f>IF(X3776=1,HLOOKUP(R3776,データについて!$J$12:$M$18,7,FALSE),"*")</f>
        <v>#N/A</v>
      </c>
      <c r="AD3776" s="81" t="e">
        <f>IF(X3776=2,HLOOKUP(R3776,データについて!$J$12:$M$18,7,FALSE),"*")</f>
        <v>#N/A</v>
      </c>
    </row>
    <row r="3777" spans="19:30">
      <c r="S3777" s="81" t="e">
        <f>HLOOKUP(L3777,データについて!$J$6:$M$18,13,FALSE)</f>
        <v>#N/A</v>
      </c>
      <c r="T3777" s="81" t="e">
        <f>HLOOKUP(M3777,データについて!$J$7:$M$18,12,FALSE)</f>
        <v>#N/A</v>
      </c>
      <c r="U3777" s="81" t="e">
        <f>HLOOKUP(N3777,データについて!$J$8:$M$18,11,FALSE)</f>
        <v>#N/A</v>
      </c>
      <c r="V3777" s="81" t="e">
        <f>HLOOKUP(O3777,データについて!$J$9:$M$18,10,FALSE)</f>
        <v>#N/A</v>
      </c>
      <c r="W3777" s="81" t="e">
        <f>HLOOKUP(P3777,データについて!$J$10:$M$18,9,FALSE)</f>
        <v>#N/A</v>
      </c>
      <c r="X3777" s="81" t="e">
        <f>HLOOKUP(Q3777,データについて!$J$11:$M$18,8,FALSE)</f>
        <v>#N/A</v>
      </c>
      <c r="Y3777" s="81" t="e">
        <f>HLOOKUP(R3777,データについて!$J$12:$M$18,7,FALSE)</f>
        <v>#N/A</v>
      </c>
      <c r="Z3777" s="81" t="e">
        <f>HLOOKUP(I3777,データについて!$J$3:$M$18,16,FALSE)</f>
        <v>#N/A</v>
      </c>
      <c r="AA3777" s="81" t="str">
        <f>IFERROR(HLOOKUP(J3777,データについて!$J$4:$AH$19,16,FALSE),"")</f>
        <v/>
      </c>
      <c r="AB3777" s="81" t="str">
        <f>IFERROR(HLOOKUP(K3777,データについて!$J$5:$AH$20,14,FALSE),"")</f>
        <v/>
      </c>
      <c r="AC3777" s="81" t="e">
        <f>IF(X3777=1,HLOOKUP(R3777,データについて!$J$12:$M$18,7,FALSE),"*")</f>
        <v>#N/A</v>
      </c>
      <c r="AD3777" s="81" t="e">
        <f>IF(X3777=2,HLOOKUP(R3777,データについて!$J$12:$M$18,7,FALSE),"*")</f>
        <v>#N/A</v>
      </c>
    </row>
    <row r="3778" spans="19:30">
      <c r="S3778" s="81" t="e">
        <f>HLOOKUP(L3778,データについて!$J$6:$M$18,13,FALSE)</f>
        <v>#N/A</v>
      </c>
      <c r="T3778" s="81" t="e">
        <f>HLOOKUP(M3778,データについて!$J$7:$M$18,12,FALSE)</f>
        <v>#N/A</v>
      </c>
      <c r="U3778" s="81" t="e">
        <f>HLOOKUP(N3778,データについて!$J$8:$M$18,11,FALSE)</f>
        <v>#N/A</v>
      </c>
      <c r="V3778" s="81" t="e">
        <f>HLOOKUP(O3778,データについて!$J$9:$M$18,10,FALSE)</f>
        <v>#N/A</v>
      </c>
      <c r="W3778" s="81" t="e">
        <f>HLOOKUP(P3778,データについて!$J$10:$M$18,9,FALSE)</f>
        <v>#N/A</v>
      </c>
      <c r="X3778" s="81" t="e">
        <f>HLOOKUP(Q3778,データについて!$J$11:$M$18,8,FALSE)</f>
        <v>#N/A</v>
      </c>
      <c r="Y3778" s="81" t="e">
        <f>HLOOKUP(R3778,データについて!$J$12:$M$18,7,FALSE)</f>
        <v>#N/A</v>
      </c>
      <c r="Z3778" s="81" t="e">
        <f>HLOOKUP(I3778,データについて!$J$3:$M$18,16,FALSE)</f>
        <v>#N/A</v>
      </c>
      <c r="AA3778" s="81" t="str">
        <f>IFERROR(HLOOKUP(J3778,データについて!$J$4:$AH$19,16,FALSE),"")</f>
        <v/>
      </c>
      <c r="AB3778" s="81" t="str">
        <f>IFERROR(HLOOKUP(K3778,データについて!$J$5:$AH$20,14,FALSE),"")</f>
        <v/>
      </c>
      <c r="AC3778" s="81" t="e">
        <f>IF(X3778=1,HLOOKUP(R3778,データについて!$J$12:$M$18,7,FALSE),"*")</f>
        <v>#N/A</v>
      </c>
      <c r="AD3778" s="81" t="e">
        <f>IF(X3778=2,HLOOKUP(R3778,データについて!$J$12:$M$18,7,FALSE),"*")</f>
        <v>#N/A</v>
      </c>
    </row>
    <row r="3779" spans="19:30">
      <c r="S3779" s="81" t="e">
        <f>HLOOKUP(L3779,データについて!$J$6:$M$18,13,FALSE)</f>
        <v>#N/A</v>
      </c>
      <c r="T3779" s="81" t="e">
        <f>HLOOKUP(M3779,データについて!$J$7:$M$18,12,FALSE)</f>
        <v>#N/A</v>
      </c>
      <c r="U3779" s="81" t="e">
        <f>HLOOKUP(N3779,データについて!$J$8:$M$18,11,FALSE)</f>
        <v>#N/A</v>
      </c>
      <c r="V3779" s="81" t="e">
        <f>HLOOKUP(O3779,データについて!$J$9:$M$18,10,FALSE)</f>
        <v>#N/A</v>
      </c>
      <c r="W3779" s="81" t="e">
        <f>HLOOKUP(P3779,データについて!$J$10:$M$18,9,FALSE)</f>
        <v>#N/A</v>
      </c>
      <c r="X3779" s="81" t="e">
        <f>HLOOKUP(Q3779,データについて!$J$11:$M$18,8,FALSE)</f>
        <v>#N/A</v>
      </c>
      <c r="Y3779" s="81" t="e">
        <f>HLOOKUP(R3779,データについて!$J$12:$M$18,7,FALSE)</f>
        <v>#N/A</v>
      </c>
      <c r="Z3779" s="81" t="e">
        <f>HLOOKUP(I3779,データについて!$J$3:$M$18,16,FALSE)</f>
        <v>#N/A</v>
      </c>
      <c r="AA3779" s="81" t="str">
        <f>IFERROR(HLOOKUP(J3779,データについて!$J$4:$AH$19,16,FALSE),"")</f>
        <v/>
      </c>
      <c r="AB3779" s="81" t="str">
        <f>IFERROR(HLOOKUP(K3779,データについて!$J$5:$AH$20,14,FALSE),"")</f>
        <v/>
      </c>
      <c r="AC3779" s="81" t="e">
        <f>IF(X3779=1,HLOOKUP(R3779,データについて!$J$12:$M$18,7,FALSE),"*")</f>
        <v>#N/A</v>
      </c>
      <c r="AD3779" s="81" t="e">
        <f>IF(X3779=2,HLOOKUP(R3779,データについて!$J$12:$M$18,7,FALSE),"*")</f>
        <v>#N/A</v>
      </c>
    </row>
    <row r="3780" spans="19:30">
      <c r="S3780" s="81" t="e">
        <f>HLOOKUP(L3780,データについて!$J$6:$M$18,13,FALSE)</f>
        <v>#N/A</v>
      </c>
      <c r="T3780" s="81" t="e">
        <f>HLOOKUP(M3780,データについて!$J$7:$M$18,12,FALSE)</f>
        <v>#N/A</v>
      </c>
      <c r="U3780" s="81" t="e">
        <f>HLOOKUP(N3780,データについて!$J$8:$M$18,11,FALSE)</f>
        <v>#N/A</v>
      </c>
      <c r="V3780" s="81" t="e">
        <f>HLOOKUP(O3780,データについて!$J$9:$M$18,10,FALSE)</f>
        <v>#N/A</v>
      </c>
      <c r="W3780" s="81" t="e">
        <f>HLOOKUP(P3780,データについて!$J$10:$M$18,9,FALSE)</f>
        <v>#N/A</v>
      </c>
      <c r="X3780" s="81" t="e">
        <f>HLOOKUP(Q3780,データについて!$J$11:$M$18,8,FALSE)</f>
        <v>#N/A</v>
      </c>
      <c r="Y3780" s="81" t="e">
        <f>HLOOKUP(R3780,データについて!$J$12:$M$18,7,FALSE)</f>
        <v>#N/A</v>
      </c>
      <c r="Z3780" s="81" t="e">
        <f>HLOOKUP(I3780,データについて!$J$3:$M$18,16,FALSE)</f>
        <v>#N/A</v>
      </c>
      <c r="AA3780" s="81" t="str">
        <f>IFERROR(HLOOKUP(J3780,データについて!$J$4:$AH$19,16,FALSE),"")</f>
        <v/>
      </c>
      <c r="AB3780" s="81" t="str">
        <f>IFERROR(HLOOKUP(K3780,データについて!$J$5:$AH$20,14,FALSE),"")</f>
        <v/>
      </c>
      <c r="AC3780" s="81" t="e">
        <f>IF(X3780=1,HLOOKUP(R3780,データについて!$J$12:$M$18,7,FALSE),"*")</f>
        <v>#N/A</v>
      </c>
      <c r="AD3780" s="81" t="e">
        <f>IF(X3780=2,HLOOKUP(R3780,データについて!$J$12:$M$18,7,FALSE),"*")</f>
        <v>#N/A</v>
      </c>
    </row>
    <row r="3781" spans="19:30">
      <c r="S3781" s="81" t="e">
        <f>HLOOKUP(L3781,データについて!$J$6:$M$18,13,FALSE)</f>
        <v>#N/A</v>
      </c>
      <c r="T3781" s="81" t="e">
        <f>HLOOKUP(M3781,データについて!$J$7:$M$18,12,FALSE)</f>
        <v>#N/A</v>
      </c>
      <c r="U3781" s="81" t="e">
        <f>HLOOKUP(N3781,データについて!$J$8:$M$18,11,FALSE)</f>
        <v>#N/A</v>
      </c>
      <c r="V3781" s="81" t="e">
        <f>HLOOKUP(O3781,データについて!$J$9:$M$18,10,FALSE)</f>
        <v>#N/A</v>
      </c>
      <c r="W3781" s="81" t="e">
        <f>HLOOKUP(P3781,データについて!$J$10:$M$18,9,FALSE)</f>
        <v>#N/A</v>
      </c>
      <c r="X3781" s="81" t="e">
        <f>HLOOKUP(Q3781,データについて!$J$11:$M$18,8,FALSE)</f>
        <v>#N/A</v>
      </c>
      <c r="Y3781" s="81" t="e">
        <f>HLOOKUP(R3781,データについて!$J$12:$M$18,7,FALSE)</f>
        <v>#N/A</v>
      </c>
      <c r="Z3781" s="81" t="e">
        <f>HLOOKUP(I3781,データについて!$J$3:$M$18,16,FALSE)</f>
        <v>#N/A</v>
      </c>
      <c r="AA3781" s="81" t="str">
        <f>IFERROR(HLOOKUP(J3781,データについて!$J$4:$AH$19,16,FALSE),"")</f>
        <v/>
      </c>
      <c r="AB3781" s="81" t="str">
        <f>IFERROR(HLOOKUP(K3781,データについて!$J$5:$AH$20,14,FALSE),"")</f>
        <v/>
      </c>
      <c r="AC3781" s="81" t="e">
        <f>IF(X3781=1,HLOOKUP(R3781,データについて!$J$12:$M$18,7,FALSE),"*")</f>
        <v>#N/A</v>
      </c>
      <c r="AD3781" s="81" t="e">
        <f>IF(X3781=2,HLOOKUP(R3781,データについて!$J$12:$M$18,7,FALSE),"*")</f>
        <v>#N/A</v>
      </c>
    </row>
    <row r="3782" spans="19:30">
      <c r="S3782" s="81" t="e">
        <f>HLOOKUP(L3782,データについて!$J$6:$M$18,13,FALSE)</f>
        <v>#N/A</v>
      </c>
      <c r="T3782" s="81" t="e">
        <f>HLOOKUP(M3782,データについて!$J$7:$M$18,12,FALSE)</f>
        <v>#N/A</v>
      </c>
      <c r="U3782" s="81" t="e">
        <f>HLOOKUP(N3782,データについて!$J$8:$M$18,11,FALSE)</f>
        <v>#N/A</v>
      </c>
      <c r="V3782" s="81" t="e">
        <f>HLOOKUP(O3782,データについて!$J$9:$M$18,10,FALSE)</f>
        <v>#N/A</v>
      </c>
      <c r="W3782" s="81" t="e">
        <f>HLOOKUP(P3782,データについて!$J$10:$M$18,9,FALSE)</f>
        <v>#N/A</v>
      </c>
      <c r="X3782" s="81" t="e">
        <f>HLOOKUP(Q3782,データについて!$J$11:$M$18,8,FALSE)</f>
        <v>#N/A</v>
      </c>
      <c r="Y3782" s="81" t="e">
        <f>HLOOKUP(R3782,データについて!$J$12:$M$18,7,FALSE)</f>
        <v>#N/A</v>
      </c>
      <c r="Z3782" s="81" t="e">
        <f>HLOOKUP(I3782,データについて!$J$3:$M$18,16,FALSE)</f>
        <v>#N/A</v>
      </c>
      <c r="AA3782" s="81" t="str">
        <f>IFERROR(HLOOKUP(J3782,データについて!$J$4:$AH$19,16,FALSE),"")</f>
        <v/>
      </c>
      <c r="AB3782" s="81" t="str">
        <f>IFERROR(HLOOKUP(K3782,データについて!$J$5:$AH$20,14,FALSE),"")</f>
        <v/>
      </c>
      <c r="AC3782" s="81" t="e">
        <f>IF(X3782=1,HLOOKUP(R3782,データについて!$J$12:$M$18,7,FALSE),"*")</f>
        <v>#N/A</v>
      </c>
      <c r="AD3782" s="81" t="e">
        <f>IF(X3782=2,HLOOKUP(R3782,データについて!$J$12:$M$18,7,FALSE),"*")</f>
        <v>#N/A</v>
      </c>
    </row>
    <row r="3783" spans="19:30">
      <c r="S3783" s="81" t="e">
        <f>HLOOKUP(L3783,データについて!$J$6:$M$18,13,FALSE)</f>
        <v>#N/A</v>
      </c>
      <c r="T3783" s="81" t="e">
        <f>HLOOKUP(M3783,データについて!$J$7:$M$18,12,FALSE)</f>
        <v>#N/A</v>
      </c>
      <c r="U3783" s="81" t="e">
        <f>HLOOKUP(N3783,データについて!$J$8:$M$18,11,FALSE)</f>
        <v>#N/A</v>
      </c>
      <c r="V3783" s="81" t="e">
        <f>HLOOKUP(O3783,データについて!$J$9:$M$18,10,FALSE)</f>
        <v>#N/A</v>
      </c>
      <c r="W3783" s="81" t="e">
        <f>HLOOKUP(P3783,データについて!$J$10:$M$18,9,FALSE)</f>
        <v>#N/A</v>
      </c>
      <c r="X3783" s="81" t="e">
        <f>HLOOKUP(Q3783,データについて!$J$11:$M$18,8,FALSE)</f>
        <v>#N/A</v>
      </c>
      <c r="Y3783" s="81" t="e">
        <f>HLOOKUP(R3783,データについて!$J$12:$M$18,7,FALSE)</f>
        <v>#N/A</v>
      </c>
      <c r="Z3783" s="81" t="e">
        <f>HLOOKUP(I3783,データについて!$J$3:$M$18,16,FALSE)</f>
        <v>#N/A</v>
      </c>
      <c r="AA3783" s="81" t="str">
        <f>IFERROR(HLOOKUP(J3783,データについて!$J$4:$AH$19,16,FALSE),"")</f>
        <v/>
      </c>
      <c r="AB3783" s="81" t="str">
        <f>IFERROR(HLOOKUP(K3783,データについて!$J$5:$AH$20,14,FALSE),"")</f>
        <v/>
      </c>
      <c r="AC3783" s="81" t="e">
        <f>IF(X3783=1,HLOOKUP(R3783,データについて!$J$12:$M$18,7,FALSE),"*")</f>
        <v>#N/A</v>
      </c>
      <c r="AD3783" s="81" t="e">
        <f>IF(X3783=2,HLOOKUP(R3783,データについて!$J$12:$M$18,7,FALSE),"*")</f>
        <v>#N/A</v>
      </c>
    </row>
    <row r="3784" spans="19:30">
      <c r="S3784" s="81" t="e">
        <f>HLOOKUP(L3784,データについて!$J$6:$M$18,13,FALSE)</f>
        <v>#N/A</v>
      </c>
      <c r="T3784" s="81" t="e">
        <f>HLOOKUP(M3784,データについて!$J$7:$M$18,12,FALSE)</f>
        <v>#N/A</v>
      </c>
      <c r="U3784" s="81" t="e">
        <f>HLOOKUP(N3784,データについて!$J$8:$M$18,11,FALSE)</f>
        <v>#N/A</v>
      </c>
      <c r="V3784" s="81" t="e">
        <f>HLOOKUP(O3784,データについて!$J$9:$M$18,10,FALSE)</f>
        <v>#N/A</v>
      </c>
      <c r="W3784" s="81" t="e">
        <f>HLOOKUP(P3784,データについて!$J$10:$M$18,9,FALSE)</f>
        <v>#N/A</v>
      </c>
      <c r="X3784" s="81" t="e">
        <f>HLOOKUP(Q3784,データについて!$J$11:$M$18,8,FALSE)</f>
        <v>#N/A</v>
      </c>
      <c r="Y3784" s="81" t="e">
        <f>HLOOKUP(R3784,データについて!$J$12:$M$18,7,FALSE)</f>
        <v>#N/A</v>
      </c>
      <c r="Z3784" s="81" t="e">
        <f>HLOOKUP(I3784,データについて!$J$3:$M$18,16,FALSE)</f>
        <v>#N/A</v>
      </c>
      <c r="AA3784" s="81" t="str">
        <f>IFERROR(HLOOKUP(J3784,データについて!$J$4:$AH$19,16,FALSE),"")</f>
        <v/>
      </c>
      <c r="AB3784" s="81" t="str">
        <f>IFERROR(HLOOKUP(K3784,データについて!$J$5:$AH$20,14,FALSE),"")</f>
        <v/>
      </c>
      <c r="AC3784" s="81" t="e">
        <f>IF(X3784=1,HLOOKUP(R3784,データについて!$J$12:$M$18,7,FALSE),"*")</f>
        <v>#N/A</v>
      </c>
      <c r="AD3784" s="81" t="e">
        <f>IF(X3784=2,HLOOKUP(R3784,データについて!$J$12:$M$18,7,FALSE),"*")</f>
        <v>#N/A</v>
      </c>
    </row>
    <row r="3785" spans="19:30">
      <c r="S3785" s="81" t="e">
        <f>HLOOKUP(L3785,データについて!$J$6:$M$18,13,FALSE)</f>
        <v>#N/A</v>
      </c>
      <c r="T3785" s="81" t="e">
        <f>HLOOKUP(M3785,データについて!$J$7:$M$18,12,FALSE)</f>
        <v>#N/A</v>
      </c>
      <c r="U3785" s="81" t="e">
        <f>HLOOKUP(N3785,データについて!$J$8:$M$18,11,FALSE)</f>
        <v>#N/A</v>
      </c>
      <c r="V3785" s="81" t="e">
        <f>HLOOKUP(O3785,データについて!$J$9:$M$18,10,FALSE)</f>
        <v>#N/A</v>
      </c>
      <c r="W3785" s="81" t="e">
        <f>HLOOKUP(P3785,データについて!$J$10:$M$18,9,FALSE)</f>
        <v>#N/A</v>
      </c>
      <c r="X3785" s="81" t="e">
        <f>HLOOKUP(Q3785,データについて!$J$11:$M$18,8,FALSE)</f>
        <v>#N/A</v>
      </c>
      <c r="Y3785" s="81" t="e">
        <f>HLOOKUP(R3785,データについて!$J$12:$M$18,7,FALSE)</f>
        <v>#N/A</v>
      </c>
      <c r="Z3785" s="81" t="e">
        <f>HLOOKUP(I3785,データについて!$J$3:$M$18,16,FALSE)</f>
        <v>#N/A</v>
      </c>
      <c r="AA3785" s="81" t="str">
        <f>IFERROR(HLOOKUP(J3785,データについて!$J$4:$AH$19,16,FALSE),"")</f>
        <v/>
      </c>
      <c r="AB3785" s="81" t="str">
        <f>IFERROR(HLOOKUP(K3785,データについて!$J$5:$AH$20,14,FALSE),"")</f>
        <v/>
      </c>
      <c r="AC3785" s="81" t="e">
        <f>IF(X3785=1,HLOOKUP(R3785,データについて!$J$12:$M$18,7,FALSE),"*")</f>
        <v>#N/A</v>
      </c>
      <c r="AD3785" s="81" t="e">
        <f>IF(X3785=2,HLOOKUP(R3785,データについて!$J$12:$M$18,7,FALSE),"*")</f>
        <v>#N/A</v>
      </c>
    </row>
    <row r="3786" spans="19:30">
      <c r="S3786" s="81" t="e">
        <f>HLOOKUP(L3786,データについて!$J$6:$M$18,13,FALSE)</f>
        <v>#N/A</v>
      </c>
      <c r="T3786" s="81" t="e">
        <f>HLOOKUP(M3786,データについて!$J$7:$M$18,12,FALSE)</f>
        <v>#N/A</v>
      </c>
      <c r="U3786" s="81" t="e">
        <f>HLOOKUP(N3786,データについて!$J$8:$M$18,11,FALSE)</f>
        <v>#N/A</v>
      </c>
      <c r="V3786" s="81" t="e">
        <f>HLOOKUP(O3786,データについて!$J$9:$M$18,10,FALSE)</f>
        <v>#N/A</v>
      </c>
      <c r="W3786" s="81" t="e">
        <f>HLOOKUP(P3786,データについて!$J$10:$M$18,9,FALSE)</f>
        <v>#N/A</v>
      </c>
      <c r="X3786" s="81" t="e">
        <f>HLOOKUP(Q3786,データについて!$J$11:$M$18,8,FALSE)</f>
        <v>#N/A</v>
      </c>
      <c r="Y3786" s="81" t="e">
        <f>HLOOKUP(R3786,データについて!$J$12:$M$18,7,FALSE)</f>
        <v>#N/A</v>
      </c>
      <c r="Z3786" s="81" t="e">
        <f>HLOOKUP(I3786,データについて!$J$3:$M$18,16,FALSE)</f>
        <v>#N/A</v>
      </c>
      <c r="AA3786" s="81" t="str">
        <f>IFERROR(HLOOKUP(J3786,データについて!$J$4:$AH$19,16,FALSE),"")</f>
        <v/>
      </c>
      <c r="AB3786" s="81" t="str">
        <f>IFERROR(HLOOKUP(K3786,データについて!$J$5:$AH$20,14,FALSE),"")</f>
        <v/>
      </c>
      <c r="AC3786" s="81" t="e">
        <f>IF(X3786=1,HLOOKUP(R3786,データについて!$J$12:$M$18,7,FALSE),"*")</f>
        <v>#N/A</v>
      </c>
      <c r="AD3786" s="81" t="e">
        <f>IF(X3786=2,HLOOKUP(R3786,データについて!$J$12:$M$18,7,FALSE),"*")</f>
        <v>#N/A</v>
      </c>
    </row>
    <row r="3787" spans="19:30">
      <c r="S3787" s="81" t="e">
        <f>HLOOKUP(L3787,データについて!$J$6:$M$18,13,FALSE)</f>
        <v>#N/A</v>
      </c>
      <c r="T3787" s="81" t="e">
        <f>HLOOKUP(M3787,データについて!$J$7:$M$18,12,FALSE)</f>
        <v>#N/A</v>
      </c>
      <c r="U3787" s="81" t="e">
        <f>HLOOKUP(N3787,データについて!$J$8:$M$18,11,FALSE)</f>
        <v>#N/A</v>
      </c>
      <c r="V3787" s="81" t="e">
        <f>HLOOKUP(O3787,データについて!$J$9:$M$18,10,FALSE)</f>
        <v>#N/A</v>
      </c>
      <c r="W3787" s="81" t="e">
        <f>HLOOKUP(P3787,データについて!$J$10:$M$18,9,FALSE)</f>
        <v>#N/A</v>
      </c>
      <c r="X3787" s="81" t="e">
        <f>HLOOKUP(Q3787,データについて!$J$11:$M$18,8,FALSE)</f>
        <v>#N/A</v>
      </c>
      <c r="Y3787" s="81" t="e">
        <f>HLOOKUP(R3787,データについて!$J$12:$M$18,7,FALSE)</f>
        <v>#N/A</v>
      </c>
      <c r="Z3787" s="81" t="e">
        <f>HLOOKUP(I3787,データについて!$J$3:$M$18,16,FALSE)</f>
        <v>#N/A</v>
      </c>
      <c r="AA3787" s="81" t="str">
        <f>IFERROR(HLOOKUP(J3787,データについて!$J$4:$AH$19,16,FALSE),"")</f>
        <v/>
      </c>
      <c r="AB3787" s="81" t="str">
        <f>IFERROR(HLOOKUP(K3787,データについて!$J$5:$AH$20,14,FALSE),"")</f>
        <v/>
      </c>
      <c r="AC3787" s="81" t="e">
        <f>IF(X3787=1,HLOOKUP(R3787,データについて!$J$12:$M$18,7,FALSE),"*")</f>
        <v>#N/A</v>
      </c>
      <c r="AD3787" s="81" t="e">
        <f>IF(X3787=2,HLOOKUP(R3787,データについて!$J$12:$M$18,7,FALSE),"*")</f>
        <v>#N/A</v>
      </c>
    </row>
    <row r="3788" spans="19:30">
      <c r="S3788" s="81" t="e">
        <f>HLOOKUP(L3788,データについて!$J$6:$M$18,13,FALSE)</f>
        <v>#N/A</v>
      </c>
      <c r="T3788" s="81" t="e">
        <f>HLOOKUP(M3788,データについて!$J$7:$M$18,12,FALSE)</f>
        <v>#N/A</v>
      </c>
      <c r="U3788" s="81" t="e">
        <f>HLOOKUP(N3788,データについて!$J$8:$M$18,11,FALSE)</f>
        <v>#N/A</v>
      </c>
      <c r="V3788" s="81" t="e">
        <f>HLOOKUP(O3788,データについて!$J$9:$M$18,10,FALSE)</f>
        <v>#N/A</v>
      </c>
      <c r="W3788" s="81" t="e">
        <f>HLOOKUP(P3788,データについて!$J$10:$M$18,9,FALSE)</f>
        <v>#N/A</v>
      </c>
      <c r="X3788" s="81" t="e">
        <f>HLOOKUP(Q3788,データについて!$J$11:$M$18,8,FALSE)</f>
        <v>#N/A</v>
      </c>
      <c r="Y3788" s="81" t="e">
        <f>HLOOKUP(R3788,データについて!$J$12:$M$18,7,FALSE)</f>
        <v>#N/A</v>
      </c>
      <c r="Z3788" s="81" t="e">
        <f>HLOOKUP(I3788,データについて!$J$3:$M$18,16,FALSE)</f>
        <v>#N/A</v>
      </c>
      <c r="AA3788" s="81" t="str">
        <f>IFERROR(HLOOKUP(J3788,データについて!$J$4:$AH$19,16,FALSE),"")</f>
        <v/>
      </c>
      <c r="AB3788" s="81" t="str">
        <f>IFERROR(HLOOKUP(K3788,データについて!$J$5:$AH$20,14,FALSE),"")</f>
        <v/>
      </c>
      <c r="AC3788" s="81" t="e">
        <f>IF(X3788=1,HLOOKUP(R3788,データについて!$J$12:$M$18,7,FALSE),"*")</f>
        <v>#N/A</v>
      </c>
      <c r="AD3788" s="81" t="e">
        <f>IF(X3788=2,HLOOKUP(R3788,データについて!$J$12:$M$18,7,FALSE),"*")</f>
        <v>#N/A</v>
      </c>
    </row>
    <row r="3789" spans="19:30">
      <c r="S3789" s="81" t="e">
        <f>HLOOKUP(L3789,データについて!$J$6:$M$18,13,FALSE)</f>
        <v>#N/A</v>
      </c>
      <c r="T3789" s="81" t="e">
        <f>HLOOKUP(M3789,データについて!$J$7:$M$18,12,FALSE)</f>
        <v>#N/A</v>
      </c>
      <c r="U3789" s="81" t="e">
        <f>HLOOKUP(N3789,データについて!$J$8:$M$18,11,FALSE)</f>
        <v>#N/A</v>
      </c>
      <c r="V3789" s="81" t="e">
        <f>HLOOKUP(O3789,データについて!$J$9:$M$18,10,FALSE)</f>
        <v>#N/A</v>
      </c>
      <c r="W3789" s="81" t="e">
        <f>HLOOKUP(P3789,データについて!$J$10:$M$18,9,FALSE)</f>
        <v>#N/A</v>
      </c>
      <c r="X3789" s="81" t="e">
        <f>HLOOKUP(Q3789,データについて!$J$11:$M$18,8,FALSE)</f>
        <v>#N/A</v>
      </c>
      <c r="Y3789" s="81" t="e">
        <f>HLOOKUP(R3789,データについて!$J$12:$M$18,7,FALSE)</f>
        <v>#N/A</v>
      </c>
      <c r="Z3789" s="81" t="e">
        <f>HLOOKUP(I3789,データについて!$J$3:$M$18,16,FALSE)</f>
        <v>#N/A</v>
      </c>
      <c r="AA3789" s="81" t="str">
        <f>IFERROR(HLOOKUP(J3789,データについて!$J$4:$AH$19,16,FALSE),"")</f>
        <v/>
      </c>
      <c r="AB3789" s="81" t="str">
        <f>IFERROR(HLOOKUP(K3789,データについて!$J$5:$AH$20,14,FALSE),"")</f>
        <v/>
      </c>
      <c r="AC3789" s="81" t="e">
        <f>IF(X3789=1,HLOOKUP(R3789,データについて!$J$12:$M$18,7,FALSE),"*")</f>
        <v>#N/A</v>
      </c>
      <c r="AD3789" s="81" t="e">
        <f>IF(X3789=2,HLOOKUP(R3789,データについて!$J$12:$M$18,7,FALSE),"*")</f>
        <v>#N/A</v>
      </c>
    </row>
    <row r="3790" spans="19:30">
      <c r="S3790" s="81" t="e">
        <f>HLOOKUP(L3790,データについて!$J$6:$M$18,13,FALSE)</f>
        <v>#N/A</v>
      </c>
      <c r="T3790" s="81" t="e">
        <f>HLOOKUP(M3790,データについて!$J$7:$M$18,12,FALSE)</f>
        <v>#N/A</v>
      </c>
      <c r="U3790" s="81" t="e">
        <f>HLOOKUP(N3790,データについて!$J$8:$M$18,11,FALSE)</f>
        <v>#N/A</v>
      </c>
      <c r="V3790" s="81" t="e">
        <f>HLOOKUP(O3790,データについて!$J$9:$M$18,10,FALSE)</f>
        <v>#N/A</v>
      </c>
      <c r="W3790" s="81" t="e">
        <f>HLOOKUP(P3790,データについて!$J$10:$M$18,9,FALSE)</f>
        <v>#N/A</v>
      </c>
      <c r="X3790" s="81" t="e">
        <f>HLOOKUP(Q3790,データについて!$J$11:$M$18,8,FALSE)</f>
        <v>#N/A</v>
      </c>
      <c r="Y3790" s="81" t="e">
        <f>HLOOKUP(R3790,データについて!$J$12:$M$18,7,FALSE)</f>
        <v>#N/A</v>
      </c>
      <c r="Z3790" s="81" t="e">
        <f>HLOOKUP(I3790,データについて!$J$3:$M$18,16,FALSE)</f>
        <v>#N/A</v>
      </c>
      <c r="AA3790" s="81" t="str">
        <f>IFERROR(HLOOKUP(J3790,データについて!$J$4:$AH$19,16,FALSE),"")</f>
        <v/>
      </c>
      <c r="AB3790" s="81" t="str">
        <f>IFERROR(HLOOKUP(K3790,データについて!$J$5:$AH$20,14,FALSE),"")</f>
        <v/>
      </c>
      <c r="AC3790" s="81" t="e">
        <f>IF(X3790=1,HLOOKUP(R3790,データについて!$J$12:$M$18,7,FALSE),"*")</f>
        <v>#N/A</v>
      </c>
      <c r="AD3790" s="81" t="e">
        <f>IF(X3790=2,HLOOKUP(R3790,データについて!$J$12:$M$18,7,FALSE),"*")</f>
        <v>#N/A</v>
      </c>
    </row>
    <row r="3791" spans="19:30">
      <c r="S3791" s="81" t="e">
        <f>HLOOKUP(L3791,データについて!$J$6:$M$18,13,FALSE)</f>
        <v>#N/A</v>
      </c>
      <c r="T3791" s="81" t="e">
        <f>HLOOKUP(M3791,データについて!$J$7:$M$18,12,FALSE)</f>
        <v>#N/A</v>
      </c>
      <c r="U3791" s="81" t="e">
        <f>HLOOKUP(N3791,データについて!$J$8:$M$18,11,FALSE)</f>
        <v>#N/A</v>
      </c>
      <c r="V3791" s="81" t="e">
        <f>HLOOKUP(O3791,データについて!$J$9:$M$18,10,FALSE)</f>
        <v>#N/A</v>
      </c>
      <c r="W3791" s="81" t="e">
        <f>HLOOKUP(P3791,データについて!$J$10:$M$18,9,FALSE)</f>
        <v>#N/A</v>
      </c>
      <c r="X3791" s="81" t="e">
        <f>HLOOKUP(Q3791,データについて!$J$11:$M$18,8,FALSE)</f>
        <v>#N/A</v>
      </c>
      <c r="Y3791" s="81" t="e">
        <f>HLOOKUP(R3791,データについて!$J$12:$M$18,7,FALSE)</f>
        <v>#N/A</v>
      </c>
      <c r="Z3791" s="81" t="e">
        <f>HLOOKUP(I3791,データについて!$J$3:$M$18,16,FALSE)</f>
        <v>#N/A</v>
      </c>
      <c r="AA3791" s="81" t="str">
        <f>IFERROR(HLOOKUP(J3791,データについて!$J$4:$AH$19,16,FALSE),"")</f>
        <v/>
      </c>
      <c r="AB3791" s="81" t="str">
        <f>IFERROR(HLOOKUP(K3791,データについて!$J$5:$AH$20,14,FALSE),"")</f>
        <v/>
      </c>
      <c r="AC3791" s="81" t="e">
        <f>IF(X3791=1,HLOOKUP(R3791,データについて!$J$12:$M$18,7,FALSE),"*")</f>
        <v>#N/A</v>
      </c>
      <c r="AD3791" s="81" t="e">
        <f>IF(X3791=2,HLOOKUP(R3791,データについて!$J$12:$M$18,7,FALSE),"*")</f>
        <v>#N/A</v>
      </c>
    </row>
    <row r="3792" spans="19:30">
      <c r="S3792" s="81" t="e">
        <f>HLOOKUP(L3792,データについて!$J$6:$M$18,13,FALSE)</f>
        <v>#N/A</v>
      </c>
      <c r="T3792" s="81" t="e">
        <f>HLOOKUP(M3792,データについて!$J$7:$M$18,12,FALSE)</f>
        <v>#N/A</v>
      </c>
      <c r="U3792" s="81" t="e">
        <f>HLOOKUP(N3792,データについて!$J$8:$M$18,11,FALSE)</f>
        <v>#N/A</v>
      </c>
      <c r="V3792" s="81" t="e">
        <f>HLOOKUP(O3792,データについて!$J$9:$M$18,10,FALSE)</f>
        <v>#N/A</v>
      </c>
      <c r="W3792" s="81" t="e">
        <f>HLOOKUP(P3792,データについて!$J$10:$M$18,9,FALSE)</f>
        <v>#N/A</v>
      </c>
      <c r="X3792" s="81" t="e">
        <f>HLOOKUP(Q3792,データについて!$J$11:$M$18,8,FALSE)</f>
        <v>#N/A</v>
      </c>
      <c r="Y3792" s="81" t="e">
        <f>HLOOKUP(R3792,データについて!$J$12:$M$18,7,FALSE)</f>
        <v>#N/A</v>
      </c>
      <c r="Z3792" s="81" t="e">
        <f>HLOOKUP(I3792,データについて!$J$3:$M$18,16,FALSE)</f>
        <v>#N/A</v>
      </c>
      <c r="AA3792" s="81" t="str">
        <f>IFERROR(HLOOKUP(J3792,データについて!$J$4:$AH$19,16,FALSE),"")</f>
        <v/>
      </c>
      <c r="AB3792" s="81" t="str">
        <f>IFERROR(HLOOKUP(K3792,データについて!$J$5:$AH$20,14,FALSE),"")</f>
        <v/>
      </c>
      <c r="AC3792" s="81" t="e">
        <f>IF(X3792=1,HLOOKUP(R3792,データについて!$J$12:$M$18,7,FALSE),"*")</f>
        <v>#N/A</v>
      </c>
      <c r="AD3792" s="81" t="e">
        <f>IF(X3792=2,HLOOKUP(R3792,データについて!$J$12:$M$18,7,FALSE),"*")</f>
        <v>#N/A</v>
      </c>
    </row>
    <row r="3793" spans="19:30">
      <c r="S3793" s="81" t="e">
        <f>HLOOKUP(L3793,データについて!$J$6:$M$18,13,FALSE)</f>
        <v>#N/A</v>
      </c>
      <c r="T3793" s="81" t="e">
        <f>HLOOKUP(M3793,データについて!$J$7:$M$18,12,FALSE)</f>
        <v>#N/A</v>
      </c>
      <c r="U3793" s="81" t="e">
        <f>HLOOKUP(N3793,データについて!$J$8:$M$18,11,FALSE)</f>
        <v>#N/A</v>
      </c>
      <c r="V3793" s="81" t="e">
        <f>HLOOKUP(O3793,データについて!$J$9:$M$18,10,FALSE)</f>
        <v>#N/A</v>
      </c>
      <c r="W3793" s="81" t="e">
        <f>HLOOKUP(P3793,データについて!$J$10:$M$18,9,FALSE)</f>
        <v>#N/A</v>
      </c>
      <c r="X3793" s="81" t="e">
        <f>HLOOKUP(Q3793,データについて!$J$11:$M$18,8,FALSE)</f>
        <v>#N/A</v>
      </c>
      <c r="Y3793" s="81" t="e">
        <f>HLOOKUP(R3793,データについて!$J$12:$M$18,7,FALSE)</f>
        <v>#N/A</v>
      </c>
      <c r="Z3793" s="81" t="e">
        <f>HLOOKUP(I3793,データについて!$J$3:$M$18,16,FALSE)</f>
        <v>#N/A</v>
      </c>
      <c r="AA3793" s="81" t="str">
        <f>IFERROR(HLOOKUP(J3793,データについて!$J$4:$AH$19,16,FALSE),"")</f>
        <v/>
      </c>
      <c r="AB3793" s="81" t="str">
        <f>IFERROR(HLOOKUP(K3793,データについて!$J$5:$AH$20,14,FALSE),"")</f>
        <v/>
      </c>
      <c r="AC3793" s="81" t="e">
        <f>IF(X3793=1,HLOOKUP(R3793,データについて!$J$12:$M$18,7,FALSE),"*")</f>
        <v>#N/A</v>
      </c>
      <c r="AD3793" s="81" t="e">
        <f>IF(X3793=2,HLOOKUP(R3793,データについて!$J$12:$M$18,7,FALSE),"*")</f>
        <v>#N/A</v>
      </c>
    </row>
    <row r="3794" spans="19:30">
      <c r="S3794" s="81" t="e">
        <f>HLOOKUP(L3794,データについて!$J$6:$M$18,13,FALSE)</f>
        <v>#N/A</v>
      </c>
      <c r="T3794" s="81" t="e">
        <f>HLOOKUP(M3794,データについて!$J$7:$M$18,12,FALSE)</f>
        <v>#N/A</v>
      </c>
      <c r="U3794" s="81" t="e">
        <f>HLOOKUP(N3794,データについて!$J$8:$M$18,11,FALSE)</f>
        <v>#N/A</v>
      </c>
      <c r="V3794" s="81" t="e">
        <f>HLOOKUP(O3794,データについて!$J$9:$M$18,10,FALSE)</f>
        <v>#N/A</v>
      </c>
      <c r="W3794" s="81" t="e">
        <f>HLOOKUP(P3794,データについて!$J$10:$M$18,9,FALSE)</f>
        <v>#N/A</v>
      </c>
      <c r="X3794" s="81" t="e">
        <f>HLOOKUP(Q3794,データについて!$J$11:$M$18,8,FALSE)</f>
        <v>#N/A</v>
      </c>
      <c r="Y3794" s="81" t="e">
        <f>HLOOKUP(R3794,データについて!$J$12:$M$18,7,FALSE)</f>
        <v>#N/A</v>
      </c>
      <c r="Z3794" s="81" t="e">
        <f>HLOOKUP(I3794,データについて!$J$3:$M$18,16,FALSE)</f>
        <v>#N/A</v>
      </c>
      <c r="AA3794" s="81" t="str">
        <f>IFERROR(HLOOKUP(J3794,データについて!$J$4:$AH$19,16,FALSE),"")</f>
        <v/>
      </c>
      <c r="AB3794" s="81" t="str">
        <f>IFERROR(HLOOKUP(K3794,データについて!$J$5:$AH$20,14,FALSE),"")</f>
        <v/>
      </c>
      <c r="AC3794" s="81" t="e">
        <f>IF(X3794=1,HLOOKUP(R3794,データについて!$J$12:$M$18,7,FALSE),"*")</f>
        <v>#N/A</v>
      </c>
      <c r="AD3794" s="81" t="e">
        <f>IF(X3794=2,HLOOKUP(R3794,データについて!$J$12:$M$18,7,FALSE),"*")</f>
        <v>#N/A</v>
      </c>
    </row>
    <row r="3795" spans="19:30">
      <c r="S3795" s="81" t="e">
        <f>HLOOKUP(L3795,データについて!$J$6:$M$18,13,FALSE)</f>
        <v>#N/A</v>
      </c>
      <c r="T3795" s="81" t="e">
        <f>HLOOKUP(M3795,データについて!$J$7:$M$18,12,FALSE)</f>
        <v>#N/A</v>
      </c>
      <c r="U3795" s="81" t="e">
        <f>HLOOKUP(N3795,データについて!$J$8:$M$18,11,FALSE)</f>
        <v>#N/A</v>
      </c>
      <c r="V3795" s="81" t="e">
        <f>HLOOKUP(O3795,データについて!$J$9:$M$18,10,FALSE)</f>
        <v>#N/A</v>
      </c>
      <c r="W3795" s="81" t="e">
        <f>HLOOKUP(P3795,データについて!$J$10:$M$18,9,FALSE)</f>
        <v>#N/A</v>
      </c>
      <c r="X3795" s="81" t="e">
        <f>HLOOKUP(Q3795,データについて!$J$11:$M$18,8,FALSE)</f>
        <v>#N/A</v>
      </c>
      <c r="Y3795" s="81" t="e">
        <f>HLOOKUP(R3795,データについて!$J$12:$M$18,7,FALSE)</f>
        <v>#N/A</v>
      </c>
      <c r="Z3795" s="81" t="e">
        <f>HLOOKUP(I3795,データについて!$J$3:$M$18,16,FALSE)</f>
        <v>#N/A</v>
      </c>
      <c r="AA3795" s="81" t="str">
        <f>IFERROR(HLOOKUP(J3795,データについて!$J$4:$AH$19,16,FALSE),"")</f>
        <v/>
      </c>
      <c r="AB3795" s="81" t="str">
        <f>IFERROR(HLOOKUP(K3795,データについて!$J$5:$AH$20,14,FALSE),"")</f>
        <v/>
      </c>
      <c r="AC3795" s="81" t="e">
        <f>IF(X3795=1,HLOOKUP(R3795,データについて!$J$12:$M$18,7,FALSE),"*")</f>
        <v>#N/A</v>
      </c>
      <c r="AD3795" s="81" t="e">
        <f>IF(X3795=2,HLOOKUP(R3795,データについて!$J$12:$M$18,7,FALSE),"*")</f>
        <v>#N/A</v>
      </c>
    </row>
    <row r="3796" spans="19:30">
      <c r="S3796" s="81" t="e">
        <f>HLOOKUP(L3796,データについて!$J$6:$M$18,13,FALSE)</f>
        <v>#N/A</v>
      </c>
      <c r="T3796" s="81" t="e">
        <f>HLOOKUP(M3796,データについて!$J$7:$M$18,12,FALSE)</f>
        <v>#N/A</v>
      </c>
      <c r="U3796" s="81" t="e">
        <f>HLOOKUP(N3796,データについて!$J$8:$M$18,11,FALSE)</f>
        <v>#N/A</v>
      </c>
      <c r="V3796" s="81" t="e">
        <f>HLOOKUP(O3796,データについて!$J$9:$M$18,10,FALSE)</f>
        <v>#N/A</v>
      </c>
      <c r="W3796" s="81" t="e">
        <f>HLOOKUP(P3796,データについて!$J$10:$M$18,9,FALSE)</f>
        <v>#N/A</v>
      </c>
      <c r="X3796" s="81" t="e">
        <f>HLOOKUP(Q3796,データについて!$J$11:$M$18,8,FALSE)</f>
        <v>#N/A</v>
      </c>
      <c r="Y3796" s="81" t="e">
        <f>HLOOKUP(R3796,データについて!$J$12:$M$18,7,FALSE)</f>
        <v>#N/A</v>
      </c>
      <c r="Z3796" s="81" t="e">
        <f>HLOOKUP(I3796,データについて!$J$3:$M$18,16,FALSE)</f>
        <v>#N/A</v>
      </c>
      <c r="AA3796" s="81" t="str">
        <f>IFERROR(HLOOKUP(J3796,データについて!$J$4:$AH$19,16,FALSE),"")</f>
        <v/>
      </c>
      <c r="AB3796" s="81" t="str">
        <f>IFERROR(HLOOKUP(K3796,データについて!$J$5:$AH$20,14,FALSE),"")</f>
        <v/>
      </c>
      <c r="AC3796" s="81" t="e">
        <f>IF(X3796=1,HLOOKUP(R3796,データについて!$J$12:$M$18,7,FALSE),"*")</f>
        <v>#N/A</v>
      </c>
      <c r="AD3796" s="81" t="e">
        <f>IF(X3796=2,HLOOKUP(R3796,データについて!$J$12:$M$18,7,FALSE),"*")</f>
        <v>#N/A</v>
      </c>
    </row>
    <row r="3797" spans="19:30">
      <c r="S3797" s="81" t="e">
        <f>HLOOKUP(L3797,データについて!$J$6:$M$18,13,FALSE)</f>
        <v>#N/A</v>
      </c>
      <c r="T3797" s="81" t="e">
        <f>HLOOKUP(M3797,データについて!$J$7:$M$18,12,FALSE)</f>
        <v>#N/A</v>
      </c>
      <c r="U3797" s="81" t="e">
        <f>HLOOKUP(N3797,データについて!$J$8:$M$18,11,FALSE)</f>
        <v>#N/A</v>
      </c>
      <c r="V3797" s="81" t="e">
        <f>HLOOKUP(O3797,データについて!$J$9:$M$18,10,FALSE)</f>
        <v>#N/A</v>
      </c>
      <c r="W3797" s="81" t="e">
        <f>HLOOKUP(P3797,データについて!$J$10:$M$18,9,FALSE)</f>
        <v>#N/A</v>
      </c>
      <c r="X3797" s="81" t="e">
        <f>HLOOKUP(Q3797,データについて!$J$11:$M$18,8,FALSE)</f>
        <v>#N/A</v>
      </c>
      <c r="Y3797" s="81" t="e">
        <f>HLOOKUP(R3797,データについて!$J$12:$M$18,7,FALSE)</f>
        <v>#N/A</v>
      </c>
      <c r="Z3797" s="81" t="e">
        <f>HLOOKUP(I3797,データについて!$J$3:$M$18,16,FALSE)</f>
        <v>#N/A</v>
      </c>
      <c r="AA3797" s="81" t="str">
        <f>IFERROR(HLOOKUP(J3797,データについて!$J$4:$AH$19,16,FALSE),"")</f>
        <v/>
      </c>
      <c r="AB3797" s="81" t="str">
        <f>IFERROR(HLOOKUP(K3797,データについて!$J$5:$AH$20,14,FALSE),"")</f>
        <v/>
      </c>
      <c r="AC3797" s="81" t="e">
        <f>IF(X3797=1,HLOOKUP(R3797,データについて!$J$12:$M$18,7,FALSE),"*")</f>
        <v>#N/A</v>
      </c>
      <c r="AD3797" s="81" t="e">
        <f>IF(X3797=2,HLOOKUP(R3797,データについて!$J$12:$M$18,7,FALSE),"*")</f>
        <v>#N/A</v>
      </c>
    </row>
    <row r="3798" spans="19:30">
      <c r="S3798" s="81" t="e">
        <f>HLOOKUP(L3798,データについて!$J$6:$M$18,13,FALSE)</f>
        <v>#N/A</v>
      </c>
      <c r="T3798" s="81" t="e">
        <f>HLOOKUP(M3798,データについて!$J$7:$M$18,12,FALSE)</f>
        <v>#N/A</v>
      </c>
      <c r="U3798" s="81" t="e">
        <f>HLOOKUP(N3798,データについて!$J$8:$M$18,11,FALSE)</f>
        <v>#N/A</v>
      </c>
      <c r="V3798" s="81" t="e">
        <f>HLOOKUP(O3798,データについて!$J$9:$M$18,10,FALSE)</f>
        <v>#N/A</v>
      </c>
      <c r="W3798" s="81" t="e">
        <f>HLOOKUP(P3798,データについて!$J$10:$M$18,9,FALSE)</f>
        <v>#N/A</v>
      </c>
      <c r="X3798" s="81" t="e">
        <f>HLOOKUP(Q3798,データについて!$J$11:$M$18,8,FALSE)</f>
        <v>#N/A</v>
      </c>
      <c r="Y3798" s="81" t="e">
        <f>HLOOKUP(R3798,データについて!$J$12:$M$18,7,FALSE)</f>
        <v>#N/A</v>
      </c>
      <c r="Z3798" s="81" t="e">
        <f>HLOOKUP(I3798,データについて!$J$3:$M$18,16,FALSE)</f>
        <v>#N/A</v>
      </c>
      <c r="AA3798" s="81" t="str">
        <f>IFERROR(HLOOKUP(J3798,データについて!$J$4:$AH$19,16,FALSE),"")</f>
        <v/>
      </c>
      <c r="AB3798" s="81" t="str">
        <f>IFERROR(HLOOKUP(K3798,データについて!$J$5:$AH$20,14,FALSE),"")</f>
        <v/>
      </c>
      <c r="AC3798" s="81" t="e">
        <f>IF(X3798=1,HLOOKUP(R3798,データについて!$J$12:$M$18,7,FALSE),"*")</f>
        <v>#N/A</v>
      </c>
      <c r="AD3798" s="81" t="e">
        <f>IF(X3798=2,HLOOKUP(R3798,データについて!$J$12:$M$18,7,FALSE),"*")</f>
        <v>#N/A</v>
      </c>
    </row>
    <row r="3799" spans="19:30">
      <c r="S3799" s="81" t="e">
        <f>HLOOKUP(L3799,データについて!$J$6:$M$18,13,FALSE)</f>
        <v>#N/A</v>
      </c>
      <c r="T3799" s="81" t="e">
        <f>HLOOKUP(M3799,データについて!$J$7:$M$18,12,FALSE)</f>
        <v>#N/A</v>
      </c>
      <c r="U3799" s="81" t="e">
        <f>HLOOKUP(N3799,データについて!$J$8:$M$18,11,FALSE)</f>
        <v>#N/A</v>
      </c>
      <c r="V3799" s="81" t="e">
        <f>HLOOKUP(O3799,データについて!$J$9:$M$18,10,FALSE)</f>
        <v>#N/A</v>
      </c>
      <c r="W3799" s="81" t="e">
        <f>HLOOKUP(P3799,データについて!$J$10:$M$18,9,FALSE)</f>
        <v>#N/A</v>
      </c>
      <c r="X3799" s="81" t="e">
        <f>HLOOKUP(Q3799,データについて!$J$11:$M$18,8,FALSE)</f>
        <v>#N/A</v>
      </c>
      <c r="Y3799" s="81" t="e">
        <f>HLOOKUP(R3799,データについて!$J$12:$M$18,7,FALSE)</f>
        <v>#N/A</v>
      </c>
      <c r="Z3799" s="81" t="e">
        <f>HLOOKUP(I3799,データについて!$J$3:$M$18,16,FALSE)</f>
        <v>#N/A</v>
      </c>
      <c r="AA3799" s="81" t="str">
        <f>IFERROR(HLOOKUP(J3799,データについて!$J$4:$AH$19,16,FALSE),"")</f>
        <v/>
      </c>
      <c r="AB3799" s="81" t="str">
        <f>IFERROR(HLOOKUP(K3799,データについて!$J$5:$AH$20,14,FALSE),"")</f>
        <v/>
      </c>
      <c r="AC3799" s="81" t="e">
        <f>IF(X3799=1,HLOOKUP(R3799,データについて!$J$12:$M$18,7,FALSE),"*")</f>
        <v>#N/A</v>
      </c>
      <c r="AD3799" s="81" t="e">
        <f>IF(X3799=2,HLOOKUP(R3799,データについて!$J$12:$M$18,7,FALSE),"*")</f>
        <v>#N/A</v>
      </c>
    </row>
    <row r="3800" spans="19:30">
      <c r="S3800" s="81" t="e">
        <f>HLOOKUP(L3800,データについて!$J$6:$M$18,13,FALSE)</f>
        <v>#N/A</v>
      </c>
      <c r="T3800" s="81" t="e">
        <f>HLOOKUP(M3800,データについて!$J$7:$M$18,12,FALSE)</f>
        <v>#N/A</v>
      </c>
      <c r="U3800" s="81" t="e">
        <f>HLOOKUP(N3800,データについて!$J$8:$M$18,11,FALSE)</f>
        <v>#N/A</v>
      </c>
      <c r="V3800" s="81" t="e">
        <f>HLOOKUP(O3800,データについて!$J$9:$M$18,10,FALSE)</f>
        <v>#N/A</v>
      </c>
      <c r="W3800" s="81" t="e">
        <f>HLOOKUP(P3800,データについて!$J$10:$M$18,9,FALSE)</f>
        <v>#N/A</v>
      </c>
      <c r="X3800" s="81" t="e">
        <f>HLOOKUP(Q3800,データについて!$J$11:$M$18,8,FALSE)</f>
        <v>#N/A</v>
      </c>
      <c r="Y3800" s="81" t="e">
        <f>HLOOKUP(R3800,データについて!$J$12:$M$18,7,FALSE)</f>
        <v>#N/A</v>
      </c>
      <c r="Z3800" s="81" t="e">
        <f>HLOOKUP(I3800,データについて!$J$3:$M$18,16,FALSE)</f>
        <v>#N/A</v>
      </c>
      <c r="AA3800" s="81" t="str">
        <f>IFERROR(HLOOKUP(J3800,データについて!$J$4:$AH$19,16,FALSE),"")</f>
        <v/>
      </c>
      <c r="AB3800" s="81" t="str">
        <f>IFERROR(HLOOKUP(K3800,データについて!$J$5:$AH$20,14,FALSE),"")</f>
        <v/>
      </c>
      <c r="AC3800" s="81" t="e">
        <f>IF(X3800=1,HLOOKUP(R3800,データについて!$J$12:$M$18,7,FALSE),"*")</f>
        <v>#N/A</v>
      </c>
      <c r="AD3800" s="81" t="e">
        <f>IF(X3800=2,HLOOKUP(R3800,データについて!$J$12:$M$18,7,FALSE),"*")</f>
        <v>#N/A</v>
      </c>
    </row>
    <row r="3801" spans="19:30">
      <c r="S3801" s="81" t="e">
        <f>HLOOKUP(L3801,データについて!$J$6:$M$18,13,FALSE)</f>
        <v>#N/A</v>
      </c>
      <c r="T3801" s="81" t="e">
        <f>HLOOKUP(M3801,データについて!$J$7:$M$18,12,FALSE)</f>
        <v>#N/A</v>
      </c>
      <c r="U3801" s="81" t="e">
        <f>HLOOKUP(N3801,データについて!$J$8:$M$18,11,FALSE)</f>
        <v>#N/A</v>
      </c>
      <c r="V3801" s="81" t="e">
        <f>HLOOKUP(O3801,データについて!$J$9:$M$18,10,FALSE)</f>
        <v>#N/A</v>
      </c>
      <c r="W3801" s="81" t="e">
        <f>HLOOKUP(P3801,データについて!$J$10:$M$18,9,FALSE)</f>
        <v>#N/A</v>
      </c>
      <c r="X3801" s="81" t="e">
        <f>HLOOKUP(Q3801,データについて!$J$11:$M$18,8,FALSE)</f>
        <v>#N/A</v>
      </c>
      <c r="Y3801" s="81" t="e">
        <f>HLOOKUP(R3801,データについて!$J$12:$M$18,7,FALSE)</f>
        <v>#N/A</v>
      </c>
      <c r="Z3801" s="81" t="e">
        <f>HLOOKUP(I3801,データについて!$J$3:$M$18,16,FALSE)</f>
        <v>#N/A</v>
      </c>
      <c r="AA3801" s="81" t="str">
        <f>IFERROR(HLOOKUP(J3801,データについて!$J$4:$AH$19,16,FALSE),"")</f>
        <v/>
      </c>
      <c r="AB3801" s="81" t="str">
        <f>IFERROR(HLOOKUP(K3801,データについて!$J$5:$AH$20,14,FALSE),"")</f>
        <v/>
      </c>
      <c r="AC3801" s="81" t="e">
        <f>IF(X3801=1,HLOOKUP(R3801,データについて!$J$12:$M$18,7,FALSE),"*")</f>
        <v>#N/A</v>
      </c>
      <c r="AD3801" s="81" t="e">
        <f>IF(X3801=2,HLOOKUP(R3801,データについて!$J$12:$M$18,7,FALSE),"*")</f>
        <v>#N/A</v>
      </c>
    </row>
    <row r="3802" spans="19:30">
      <c r="S3802" s="81" t="e">
        <f>HLOOKUP(L3802,データについて!$J$6:$M$18,13,FALSE)</f>
        <v>#N/A</v>
      </c>
      <c r="T3802" s="81" t="e">
        <f>HLOOKUP(M3802,データについて!$J$7:$M$18,12,FALSE)</f>
        <v>#N/A</v>
      </c>
      <c r="U3802" s="81" t="e">
        <f>HLOOKUP(N3802,データについて!$J$8:$M$18,11,FALSE)</f>
        <v>#N/A</v>
      </c>
      <c r="V3802" s="81" t="e">
        <f>HLOOKUP(O3802,データについて!$J$9:$M$18,10,FALSE)</f>
        <v>#N/A</v>
      </c>
      <c r="W3802" s="81" t="e">
        <f>HLOOKUP(P3802,データについて!$J$10:$M$18,9,FALSE)</f>
        <v>#N/A</v>
      </c>
      <c r="X3802" s="81" t="e">
        <f>HLOOKUP(Q3802,データについて!$J$11:$M$18,8,FALSE)</f>
        <v>#N/A</v>
      </c>
      <c r="Y3802" s="81" t="e">
        <f>HLOOKUP(R3802,データについて!$J$12:$M$18,7,FALSE)</f>
        <v>#N/A</v>
      </c>
      <c r="Z3802" s="81" t="e">
        <f>HLOOKUP(I3802,データについて!$J$3:$M$18,16,FALSE)</f>
        <v>#N/A</v>
      </c>
      <c r="AA3802" s="81" t="str">
        <f>IFERROR(HLOOKUP(J3802,データについて!$J$4:$AH$19,16,FALSE),"")</f>
        <v/>
      </c>
      <c r="AB3802" s="81" t="str">
        <f>IFERROR(HLOOKUP(K3802,データについて!$J$5:$AH$20,14,FALSE),"")</f>
        <v/>
      </c>
      <c r="AC3802" s="81" t="e">
        <f>IF(X3802=1,HLOOKUP(R3802,データについて!$J$12:$M$18,7,FALSE),"*")</f>
        <v>#N/A</v>
      </c>
      <c r="AD3802" s="81" t="e">
        <f>IF(X3802=2,HLOOKUP(R3802,データについて!$J$12:$M$18,7,FALSE),"*")</f>
        <v>#N/A</v>
      </c>
    </row>
    <row r="3803" spans="19:30">
      <c r="S3803" s="81" t="e">
        <f>HLOOKUP(L3803,データについて!$J$6:$M$18,13,FALSE)</f>
        <v>#N/A</v>
      </c>
      <c r="T3803" s="81" t="e">
        <f>HLOOKUP(M3803,データについて!$J$7:$M$18,12,FALSE)</f>
        <v>#N/A</v>
      </c>
      <c r="U3803" s="81" t="e">
        <f>HLOOKUP(N3803,データについて!$J$8:$M$18,11,FALSE)</f>
        <v>#N/A</v>
      </c>
      <c r="V3803" s="81" t="e">
        <f>HLOOKUP(O3803,データについて!$J$9:$M$18,10,FALSE)</f>
        <v>#N/A</v>
      </c>
      <c r="W3803" s="81" t="e">
        <f>HLOOKUP(P3803,データについて!$J$10:$M$18,9,FALSE)</f>
        <v>#N/A</v>
      </c>
      <c r="X3803" s="81" t="e">
        <f>HLOOKUP(Q3803,データについて!$J$11:$M$18,8,FALSE)</f>
        <v>#N/A</v>
      </c>
      <c r="Y3803" s="81" t="e">
        <f>HLOOKUP(R3803,データについて!$J$12:$M$18,7,FALSE)</f>
        <v>#N/A</v>
      </c>
      <c r="Z3803" s="81" t="e">
        <f>HLOOKUP(I3803,データについて!$J$3:$M$18,16,FALSE)</f>
        <v>#N/A</v>
      </c>
      <c r="AA3803" s="81" t="str">
        <f>IFERROR(HLOOKUP(J3803,データについて!$J$4:$AH$19,16,FALSE),"")</f>
        <v/>
      </c>
      <c r="AB3803" s="81" t="str">
        <f>IFERROR(HLOOKUP(K3803,データについて!$J$5:$AH$20,14,FALSE),"")</f>
        <v/>
      </c>
      <c r="AC3803" s="81" t="e">
        <f>IF(X3803=1,HLOOKUP(R3803,データについて!$J$12:$M$18,7,FALSE),"*")</f>
        <v>#N/A</v>
      </c>
      <c r="AD3803" s="81" t="e">
        <f>IF(X3803=2,HLOOKUP(R3803,データについて!$J$12:$M$18,7,FALSE),"*")</f>
        <v>#N/A</v>
      </c>
    </row>
    <row r="3804" spans="19:30">
      <c r="S3804" s="81" t="e">
        <f>HLOOKUP(L3804,データについて!$J$6:$M$18,13,FALSE)</f>
        <v>#N/A</v>
      </c>
      <c r="T3804" s="81" t="e">
        <f>HLOOKUP(M3804,データについて!$J$7:$M$18,12,FALSE)</f>
        <v>#N/A</v>
      </c>
      <c r="U3804" s="81" t="e">
        <f>HLOOKUP(N3804,データについて!$J$8:$M$18,11,FALSE)</f>
        <v>#N/A</v>
      </c>
      <c r="V3804" s="81" t="e">
        <f>HLOOKUP(O3804,データについて!$J$9:$M$18,10,FALSE)</f>
        <v>#N/A</v>
      </c>
      <c r="W3804" s="81" t="e">
        <f>HLOOKUP(P3804,データについて!$J$10:$M$18,9,FALSE)</f>
        <v>#N/A</v>
      </c>
      <c r="X3804" s="81" t="e">
        <f>HLOOKUP(Q3804,データについて!$J$11:$M$18,8,FALSE)</f>
        <v>#N/A</v>
      </c>
      <c r="Y3804" s="81" t="e">
        <f>HLOOKUP(R3804,データについて!$J$12:$M$18,7,FALSE)</f>
        <v>#N/A</v>
      </c>
      <c r="Z3804" s="81" t="e">
        <f>HLOOKUP(I3804,データについて!$J$3:$M$18,16,FALSE)</f>
        <v>#N/A</v>
      </c>
      <c r="AA3804" s="81" t="str">
        <f>IFERROR(HLOOKUP(J3804,データについて!$J$4:$AH$19,16,FALSE),"")</f>
        <v/>
      </c>
      <c r="AB3804" s="81" t="str">
        <f>IFERROR(HLOOKUP(K3804,データについて!$J$5:$AH$20,14,FALSE),"")</f>
        <v/>
      </c>
      <c r="AC3804" s="81" t="e">
        <f>IF(X3804=1,HLOOKUP(R3804,データについて!$J$12:$M$18,7,FALSE),"*")</f>
        <v>#N/A</v>
      </c>
      <c r="AD3804" s="81" t="e">
        <f>IF(X3804=2,HLOOKUP(R3804,データについて!$J$12:$M$18,7,FALSE),"*")</f>
        <v>#N/A</v>
      </c>
    </row>
    <row r="3805" spans="19:30">
      <c r="S3805" s="81" t="e">
        <f>HLOOKUP(L3805,データについて!$J$6:$M$18,13,FALSE)</f>
        <v>#N/A</v>
      </c>
      <c r="T3805" s="81" t="e">
        <f>HLOOKUP(M3805,データについて!$J$7:$M$18,12,FALSE)</f>
        <v>#N/A</v>
      </c>
      <c r="U3805" s="81" t="e">
        <f>HLOOKUP(N3805,データについて!$J$8:$M$18,11,FALSE)</f>
        <v>#N/A</v>
      </c>
      <c r="V3805" s="81" t="e">
        <f>HLOOKUP(O3805,データについて!$J$9:$M$18,10,FALSE)</f>
        <v>#N/A</v>
      </c>
      <c r="W3805" s="81" t="e">
        <f>HLOOKUP(P3805,データについて!$J$10:$M$18,9,FALSE)</f>
        <v>#N/A</v>
      </c>
      <c r="X3805" s="81" t="e">
        <f>HLOOKUP(Q3805,データについて!$J$11:$M$18,8,FALSE)</f>
        <v>#N/A</v>
      </c>
      <c r="Y3805" s="81" t="e">
        <f>HLOOKUP(R3805,データについて!$J$12:$M$18,7,FALSE)</f>
        <v>#N/A</v>
      </c>
      <c r="Z3805" s="81" t="e">
        <f>HLOOKUP(I3805,データについて!$J$3:$M$18,16,FALSE)</f>
        <v>#N/A</v>
      </c>
      <c r="AA3805" s="81" t="str">
        <f>IFERROR(HLOOKUP(J3805,データについて!$J$4:$AH$19,16,FALSE),"")</f>
        <v/>
      </c>
      <c r="AB3805" s="81" t="str">
        <f>IFERROR(HLOOKUP(K3805,データについて!$J$5:$AH$20,14,FALSE),"")</f>
        <v/>
      </c>
      <c r="AC3805" s="81" t="e">
        <f>IF(X3805=1,HLOOKUP(R3805,データについて!$J$12:$M$18,7,FALSE),"*")</f>
        <v>#N/A</v>
      </c>
      <c r="AD3805" s="81" t="e">
        <f>IF(X3805=2,HLOOKUP(R3805,データについて!$J$12:$M$18,7,FALSE),"*")</f>
        <v>#N/A</v>
      </c>
    </row>
    <row r="3806" spans="19:30">
      <c r="S3806" s="81" t="e">
        <f>HLOOKUP(L3806,データについて!$J$6:$M$18,13,FALSE)</f>
        <v>#N/A</v>
      </c>
      <c r="T3806" s="81" t="e">
        <f>HLOOKUP(M3806,データについて!$J$7:$M$18,12,FALSE)</f>
        <v>#N/A</v>
      </c>
      <c r="U3806" s="81" t="e">
        <f>HLOOKUP(N3806,データについて!$J$8:$M$18,11,FALSE)</f>
        <v>#N/A</v>
      </c>
      <c r="V3806" s="81" t="e">
        <f>HLOOKUP(O3806,データについて!$J$9:$M$18,10,FALSE)</f>
        <v>#N/A</v>
      </c>
      <c r="W3806" s="81" t="e">
        <f>HLOOKUP(P3806,データについて!$J$10:$M$18,9,FALSE)</f>
        <v>#N/A</v>
      </c>
      <c r="X3806" s="81" t="e">
        <f>HLOOKUP(Q3806,データについて!$J$11:$M$18,8,FALSE)</f>
        <v>#N/A</v>
      </c>
      <c r="Y3806" s="81" t="e">
        <f>HLOOKUP(R3806,データについて!$J$12:$M$18,7,FALSE)</f>
        <v>#N/A</v>
      </c>
      <c r="Z3806" s="81" t="e">
        <f>HLOOKUP(I3806,データについて!$J$3:$M$18,16,FALSE)</f>
        <v>#N/A</v>
      </c>
      <c r="AA3806" s="81" t="str">
        <f>IFERROR(HLOOKUP(J3806,データについて!$J$4:$AH$19,16,FALSE),"")</f>
        <v/>
      </c>
      <c r="AB3806" s="81" t="str">
        <f>IFERROR(HLOOKUP(K3806,データについて!$J$5:$AH$20,14,FALSE),"")</f>
        <v/>
      </c>
      <c r="AC3806" s="81" t="e">
        <f>IF(X3806=1,HLOOKUP(R3806,データについて!$J$12:$M$18,7,FALSE),"*")</f>
        <v>#N/A</v>
      </c>
      <c r="AD3806" s="81" t="e">
        <f>IF(X3806=2,HLOOKUP(R3806,データについて!$J$12:$M$18,7,FALSE),"*")</f>
        <v>#N/A</v>
      </c>
    </row>
    <row r="3807" spans="19:30">
      <c r="S3807" s="81" t="e">
        <f>HLOOKUP(L3807,データについて!$J$6:$M$18,13,FALSE)</f>
        <v>#N/A</v>
      </c>
      <c r="T3807" s="81" t="e">
        <f>HLOOKUP(M3807,データについて!$J$7:$M$18,12,FALSE)</f>
        <v>#N/A</v>
      </c>
      <c r="U3807" s="81" t="e">
        <f>HLOOKUP(N3807,データについて!$J$8:$M$18,11,FALSE)</f>
        <v>#N/A</v>
      </c>
      <c r="V3807" s="81" t="e">
        <f>HLOOKUP(O3807,データについて!$J$9:$M$18,10,FALSE)</f>
        <v>#N/A</v>
      </c>
      <c r="W3807" s="81" t="e">
        <f>HLOOKUP(P3807,データについて!$J$10:$M$18,9,FALSE)</f>
        <v>#N/A</v>
      </c>
      <c r="X3807" s="81" t="e">
        <f>HLOOKUP(Q3807,データについて!$J$11:$M$18,8,FALSE)</f>
        <v>#N/A</v>
      </c>
      <c r="Y3807" s="81" t="e">
        <f>HLOOKUP(R3807,データについて!$J$12:$M$18,7,FALSE)</f>
        <v>#N/A</v>
      </c>
      <c r="Z3807" s="81" t="e">
        <f>HLOOKUP(I3807,データについて!$J$3:$M$18,16,FALSE)</f>
        <v>#N/A</v>
      </c>
      <c r="AA3807" s="81" t="str">
        <f>IFERROR(HLOOKUP(J3807,データについて!$J$4:$AH$19,16,FALSE),"")</f>
        <v/>
      </c>
      <c r="AB3807" s="81" t="str">
        <f>IFERROR(HLOOKUP(K3807,データについて!$J$5:$AH$20,14,FALSE),"")</f>
        <v/>
      </c>
      <c r="AC3807" s="81" t="e">
        <f>IF(X3807=1,HLOOKUP(R3807,データについて!$J$12:$M$18,7,FALSE),"*")</f>
        <v>#N/A</v>
      </c>
      <c r="AD3807" s="81" t="e">
        <f>IF(X3807=2,HLOOKUP(R3807,データについて!$J$12:$M$18,7,FALSE),"*")</f>
        <v>#N/A</v>
      </c>
    </row>
    <row r="3808" spans="19:30">
      <c r="S3808" s="81" t="e">
        <f>HLOOKUP(L3808,データについて!$J$6:$M$18,13,FALSE)</f>
        <v>#N/A</v>
      </c>
      <c r="T3808" s="81" t="e">
        <f>HLOOKUP(M3808,データについて!$J$7:$M$18,12,FALSE)</f>
        <v>#N/A</v>
      </c>
      <c r="U3808" s="81" t="e">
        <f>HLOOKUP(N3808,データについて!$J$8:$M$18,11,FALSE)</f>
        <v>#N/A</v>
      </c>
      <c r="V3808" s="81" t="e">
        <f>HLOOKUP(O3808,データについて!$J$9:$M$18,10,FALSE)</f>
        <v>#N/A</v>
      </c>
      <c r="W3808" s="81" t="e">
        <f>HLOOKUP(P3808,データについて!$J$10:$M$18,9,FALSE)</f>
        <v>#N/A</v>
      </c>
      <c r="X3808" s="81" t="e">
        <f>HLOOKUP(Q3808,データについて!$J$11:$M$18,8,FALSE)</f>
        <v>#N/A</v>
      </c>
      <c r="Y3808" s="81" t="e">
        <f>HLOOKUP(R3808,データについて!$J$12:$M$18,7,FALSE)</f>
        <v>#N/A</v>
      </c>
      <c r="Z3808" s="81" t="e">
        <f>HLOOKUP(I3808,データについて!$J$3:$M$18,16,FALSE)</f>
        <v>#N/A</v>
      </c>
      <c r="AA3808" s="81" t="str">
        <f>IFERROR(HLOOKUP(J3808,データについて!$J$4:$AH$19,16,FALSE),"")</f>
        <v/>
      </c>
      <c r="AB3808" s="81" t="str">
        <f>IFERROR(HLOOKUP(K3808,データについて!$J$5:$AH$20,14,FALSE),"")</f>
        <v/>
      </c>
      <c r="AC3808" s="81" t="e">
        <f>IF(X3808=1,HLOOKUP(R3808,データについて!$J$12:$M$18,7,FALSE),"*")</f>
        <v>#N/A</v>
      </c>
      <c r="AD3808" s="81" t="e">
        <f>IF(X3808=2,HLOOKUP(R3808,データについて!$J$12:$M$18,7,FALSE),"*")</f>
        <v>#N/A</v>
      </c>
    </row>
    <row r="3809" spans="19:30">
      <c r="S3809" s="81" t="e">
        <f>HLOOKUP(L3809,データについて!$J$6:$M$18,13,FALSE)</f>
        <v>#N/A</v>
      </c>
      <c r="T3809" s="81" t="e">
        <f>HLOOKUP(M3809,データについて!$J$7:$M$18,12,FALSE)</f>
        <v>#N/A</v>
      </c>
      <c r="U3809" s="81" t="e">
        <f>HLOOKUP(N3809,データについて!$J$8:$M$18,11,FALSE)</f>
        <v>#N/A</v>
      </c>
      <c r="V3809" s="81" t="e">
        <f>HLOOKUP(O3809,データについて!$J$9:$M$18,10,FALSE)</f>
        <v>#N/A</v>
      </c>
      <c r="W3809" s="81" t="e">
        <f>HLOOKUP(P3809,データについて!$J$10:$M$18,9,FALSE)</f>
        <v>#N/A</v>
      </c>
      <c r="X3809" s="81" t="e">
        <f>HLOOKUP(Q3809,データについて!$J$11:$M$18,8,FALSE)</f>
        <v>#N/A</v>
      </c>
      <c r="Y3809" s="81" t="e">
        <f>HLOOKUP(R3809,データについて!$J$12:$M$18,7,FALSE)</f>
        <v>#N/A</v>
      </c>
      <c r="Z3809" s="81" t="e">
        <f>HLOOKUP(I3809,データについて!$J$3:$M$18,16,FALSE)</f>
        <v>#N/A</v>
      </c>
      <c r="AA3809" s="81" t="str">
        <f>IFERROR(HLOOKUP(J3809,データについて!$J$4:$AH$19,16,FALSE),"")</f>
        <v/>
      </c>
      <c r="AB3809" s="81" t="str">
        <f>IFERROR(HLOOKUP(K3809,データについて!$J$5:$AH$20,14,FALSE),"")</f>
        <v/>
      </c>
      <c r="AC3809" s="81" t="e">
        <f>IF(X3809=1,HLOOKUP(R3809,データについて!$J$12:$M$18,7,FALSE),"*")</f>
        <v>#N/A</v>
      </c>
      <c r="AD3809" s="81" t="e">
        <f>IF(X3809=2,HLOOKUP(R3809,データについて!$J$12:$M$18,7,FALSE),"*")</f>
        <v>#N/A</v>
      </c>
    </row>
    <row r="3810" spans="19:30">
      <c r="S3810" s="81" t="e">
        <f>HLOOKUP(L3810,データについて!$J$6:$M$18,13,FALSE)</f>
        <v>#N/A</v>
      </c>
      <c r="T3810" s="81" t="e">
        <f>HLOOKUP(M3810,データについて!$J$7:$M$18,12,FALSE)</f>
        <v>#N/A</v>
      </c>
      <c r="U3810" s="81" t="e">
        <f>HLOOKUP(N3810,データについて!$J$8:$M$18,11,FALSE)</f>
        <v>#N/A</v>
      </c>
      <c r="V3810" s="81" t="e">
        <f>HLOOKUP(O3810,データについて!$J$9:$M$18,10,FALSE)</f>
        <v>#N/A</v>
      </c>
      <c r="W3810" s="81" t="e">
        <f>HLOOKUP(P3810,データについて!$J$10:$M$18,9,FALSE)</f>
        <v>#N/A</v>
      </c>
      <c r="X3810" s="81" t="e">
        <f>HLOOKUP(Q3810,データについて!$J$11:$M$18,8,FALSE)</f>
        <v>#N/A</v>
      </c>
      <c r="Y3810" s="81" t="e">
        <f>HLOOKUP(R3810,データについて!$J$12:$M$18,7,FALSE)</f>
        <v>#N/A</v>
      </c>
      <c r="Z3810" s="81" t="e">
        <f>HLOOKUP(I3810,データについて!$J$3:$M$18,16,FALSE)</f>
        <v>#N/A</v>
      </c>
      <c r="AA3810" s="81" t="str">
        <f>IFERROR(HLOOKUP(J3810,データについて!$J$4:$AH$19,16,FALSE),"")</f>
        <v/>
      </c>
      <c r="AB3810" s="81" t="str">
        <f>IFERROR(HLOOKUP(K3810,データについて!$J$5:$AH$20,14,FALSE),"")</f>
        <v/>
      </c>
      <c r="AC3810" s="81" t="e">
        <f>IF(X3810=1,HLOOKUP(R3810,データについて!$J$12:$M$18,7,FALSE),"*")</f>
        <v>#N/A</v>
      </c>
      <c r="AD3810" s="81" t="e">
        <f>IF(X3810=2,HLOOKUP(R3810,データについて!$J$12:$M$18,7,FALSE),"*")</f>
        <v>#N/A</v>
      </c>
    </row>
    <row r="3811" spans="19:30">
      <c r="S3811" s="81" t="e">
        <f>HLOOKUP(L3811,データについて!$J$6:$M$18,13,FALSE)</f>
        <v>#N/A</v>
      </c>
      <c r="T3811" s="81" t="e">
        <f>HLOOKUP(M3811,データについて!$J$7:$M$18,12,FALSE)</f>
        <v>#N/A</v>
      </c>
      <c r="U3811" s="81" t="e">
        <f>HLOOKUP(N3811,データについて!$J$8:$M$18,11,FALSE)</f>
        <v>#N/A</v>
      </c>
      <c r="V3811" s="81" t="e">
        <f>HLOOKUP(O3811,データについて!$J$9:$M$18,10,FALSE)</f>
        <v>#N/A</v>
      </c>
      <c r="W3811" s="81" t="e">
        <f>HLOOKUP(P3811,データについて!$J$10:$M$18,9,FALSE)</f>
        <v>#N/A</v>
      </c>
      <c r="X3811" s="81" t="e">
        <f>HLOOKUP(Q3811,データについて!$J$11:$M$18,8,FALSE)</f>
        <v>#N/A</v>
      </c>
      <c r="Y3811" s="81" t="e">
        <f>HLOOKUP(R3811,データについて!$J$12:$M$18,7,FALSE)</f>
        <v>#N/A</v>
      </c>
      <c r="Z3811" s="81" t="e">
        <f>HLOOKUP(I3811,データについて!$J$3:$M$18,16,FALSE)</f>
        <v>#N/A</v>
      </c>
      <c r="AA3811" s="81" t="str">
        <f>IFERROR(HLOOKUP(J3811,データについて!$J$4:$AH$19,16,FALSE),"")</f>
        <v/>
      </c>
      <c r="AB3811" s="81" t="str">
        <f>IFERROR(HLOOKUP(K3811,データについて!$J$5:$AH$20,14,FALSE),"")</f>
        <v/>
      </c>
      <c r="AC3811" s="81" t="e">
        <f>IF(X3811=1,HLOOKUP(R3811,データについて!$J$12:$M$18,7,FALSE),"*")</f>
        <v>#N/A</v>
      </c>
      <c r="AD3811" s="81" t="e">
        <f>IF(X3811=2,HLOOKUP(R3811,データについて!$J$12:$M$18,7,FALSE),"*")</f>
        <v>#N/A</v>
      </c>
    </row>
    <row r="3812" spans="19:30">
      <c r="S3812" s="81" t="e">
        <f>HLOOKUP(L3812,データについて!$J$6:$M$18,13,FALSE)</f>
        <v>#N/A</v>
      </c>
      <c r="T3812" s="81" t="e">
        <f>HLOOKUP(M3812,データについて!$J$7:$M$18,12,FALSE)</f>
        <v>#N/A</v>
      </c>
      <c r="U3812" s="81" t="e">
        <f>HLOOKUP(N3812,データについて!$J$8:$M$18,11,FALSE)</f>
        <v>#N/A</v>
      </c>
      <c r="V3812" s="81" t="e">
        <f>HLOOKUP(O3812,データについて!$J$9:$M$18,10,FALSE)</f>
        <v>#N/A</v>
      </c>
      <c r="W3812" s="81" t="e">
        <f>HLOOKUP(P3812,データについて!$J$10:$M$18,9,FALSE)</f>
        <v>#N/A</v>
      </c>
      <c r="X3812" s="81" t="e">
        <f>HLOOKUP(Q3812,データについて!$J$11:$M$18,8,FALSE)</f>
        <v>#N/A</v>
      </c>
      <c r="Y3812" s="81" t="e">
        <f>HLOOKUP(R3812,データについて!$J$12:$M$18,7,FALSE)</f>
        <v>#N/A</v>
      </c>
      <c r="Z3812" s="81" t="e">
        <f>HLOOKUP(I3812,データについて!$J$3:$M$18,16,FALSE)</f>
        <v>#N/A</v>
      </c>
      <c r="AA3812" s="81" t="str">
        <f>IFERROR(HLOOKUP(J3812,データについて!$J$4:$AH$19,16,FALSE),"")</f>
        <v/>
      </c>
      <c r="AB3812" s="81" t="str">
        <f>IFERROR(HLOOKUP(K3812,データについて!$J$5:$AH$20,14,FALSE),"")</f>
        <v/>
      </c>
      <c r="AC3812" s="81" t="e">
        <f>IF(X3812=1,HLOOKUP(R3812,データについて!$J$12:$M$18,7,FALSE),"*")</f>
        <v>#N/A</v>
      </c>
      <c r="AD3812" s="81" t="e">
        <f>IF(X3812=2,HLOOKUP(R3812,データについて!$J$12:$M$18,7,FALSE),"*")</f>
        <v>#N/A</v>
      </c>
    </row>
    <row r="3813" spans="19:30">
      <c r="S3813" s="81" t="e">
        <f>HLOOKUP(L3813,データについて!$J$6:$M$18,13,FALSE)</f>
        <v>#N/A</v>
      </c>
      <c r="T3813" s="81" t="e">
        <f>HLOOKUP(M3813,データについて!$J$7:$M$18,12,FALSE)</f>
        <v>#N/A</v>
      </c>
      <c r="U3813" s="81" t="e">
        <f>HLOOKUP(N3813,データについて!$J$8:$M$18,11,FALSE)</f>
        <v>#N/A</v>
      </c>
      <c r="V3813" s="81" t="e">
        <f>HLOOKUP(O3813,データについて!$J$9:$M$18,10,FALSE)</f>
        <v>#N/A</v>
      </c>
      <c r="W3813" s="81" t="e">
        <f>HLOOKUP(P3813,データについて!$J$10:$M$18,9,FALSE)</f>
        <v>#N/A</v>
      </c>
      <c r="X3813" s="81" t="e">
        <f>HLOOKUP(Q3813,データについて!$J$11:$M$18,8,FALSE)</f>
        <v>#N/A</v>
      </c>
      <c r="Y3813" s="81" t="e">
        <f>HLOOKUP(R3813,データについて!$J$12:$M$18,7,FALSE)</f>
        <v>#N/A</v>
      </c>
      <c r="Z3813" s="81" t="e">
        <f>HLOOKUP(I3813,データについて!$J$3:$M$18,16,FALSE)</f>
        <v>#N/A</v>
      </c>
      <c r="AA3813" s="81" t="str">
        <f>IFERROR(HLOOKUP(J3813,データについて!$J$4:$AH$19,16,FALSE),"")</f>
        <v/>
      </c>
      <c r="AB3813" s="81" t="str">
        <f>IFERROR(HLOOKUP(K3813,データについて!$J$5:$AH$20,14,FALSE),"")</f>
        <v/>
      </c>
      <c r="AC3813" s="81" t="e">
        <f>IF(X3813=1,HLOOKUP(R3813,データについて!$J$12:$M$18,7,FALSE),"*")</f>
        <v>#N/A</v>
      </c>
      <c r="AD3813" s="81" t="e">
        <f>IF(X3813=2,HLOOKUP(R3813,データについて!$J$12:$M$18,7,FALSE),"*")</f>
        <v>#N/A</v>
      </c>
    </row>
    <row r="3814" spans="19:30">
      <c r="S3814" s="81" t="e">
        <f>HLOOKUP(L3814,データについて!$J$6:$M$18,13,FALSE)</f>
        <v>#N/A</v>
      </c>
      <c r="T3814" s="81" t="e">
        <f>HLOOKUP(M3814,データについて!$J$7:$M$18,12,FALSE)</f>
        <v>#N/A</v>
      </c>
      <c r="U3814" s="81" t="e">
        <f>HLOOKUP(N3814,データについて!$J$8:$M$18,11,FALSE)</f>
        <v>#N/A</v>
      </c>
      <c r="V3814" s="81" t="e">
        <f>HLOOKUP(O3814,データについて!$J$9:$M$18,10,FALSE)</f>
        <v>#N/A</v>
      </c>
      <c r="W3814" s="81" t="e">
        <f>HLOOKUP(P3814,データについて!$J$10:$M$18,9,FALSE)</f>
        <v>#N/A</v>
      </c>
      <c r="X3814" s="81" t="e">
        <f>HLOOKUP(Q3814,データについて!$J$11:$M$18,8,FALSE)</f>
        <v>#N/A</v>
      </c>
      <c r="Y3814" s="81" t="e">
        <f>HLOOKUP(R3814,データについて!$J$12:$M$18,7,FALSE)</f>
        <v>#N/A</v>
      </c>
      <c r="Z3814" s="81" t="e">
        <f>HLOOKUP(I3814,データについて!$J$3:$M$18,16,FALSE)</f>
        <v>#N/A</v>
      </c>
      <c r="AA3814" s="81" t="str">
        <f>IFERROR(HLOOKUP(J3814,データについて!$J$4:$AH$19,16,FALSE),"")</f>
        <v/>
      </c>
      <c r="AB3814" s="81" t="str">
        <f>IFERROR(HLOOKUP(K3814,データについて!$J$5:$AH$20,14,FALSE),"")</f>
        <v/>
      </c>
      <c r="AC3814" s="81" t="e">
        <f>IF(X3814=1,HLOOKUP(R3814,データについて!$J$12:$M$18,7,FALSE),"*")</f>
        <v>#N/A</v>
      </c>
      <c r="AD3814" s="81" t="e">
        <f>IF(X3814=2,HLOOKUP(R3814,データについて!$J$12:$M$18,7,FALSE),"*")</f>
        <v>#N/A</v>
      </c>
    </row>
    <row r="3815" spans="19:30">
      <c r="S3815" s="81" t="e">
        <f>HLOOKUP(L3815,データについて!$J$6:$M$18,13,FALSE)</f>
        <v>#N/A</v>
      </c>
      <c r="T3815" s="81" t="e">
        <f>HLOOKUP(M3815,データについて!$J$7:$M$18,12,FALSE)</f>
        <v>#N/A</v>
      </c>
      <c r="U3815" s="81" t="e">
        <f>HLOOKUP(N3815,データについて!$J$8:$M$18,11,FALSE)</f>
        <v>#N/A</v>
      </c>
      <c r="V3815" s="81" t="e">
        <f>HLOOKUP(O3815,データについて!$J$9:$M$18,10,FALSE)</f>
        <v>#N/A</v>
      </c>
      <c r="W3815" s="81" t="e">
        <f>HLOOKUP(P3815,データについて!$J$10:$M$18,9,FALSE)</f>
        <v>#N/A</v>
      </c>
      <c r="X3815" s="81" t="e">
        <f>HLOOKUP(Q3815,データについて!$J$11:$M$18,8,FALSE)</f>
        <v>#N/A</v>
      </c>
      <c r="Y3815" s="81" t="e">
        <f>HLOOKUP(R3815,データについて!$J$12:$M$18,7,FALSE)</f>
        <v>#N/A</v>
      </c>
      <c r="Z3815" s="81" t="e">
        <f>HLOOKUP(I3815,データについて!$J$3:$M$18,16,FALSE)</f>
        <v>#N/A</v>
      </c>
      <c r="AA3815" s="81" t="str">
        <f>IFERROR(HLOOKUP(J3815,データについて!$J$4:$AH$19,16,FALSE),"")</f>
        <v/>
      </c>
      <c r="AB3815" s="81" t="str">
        <f>IFERROR(HLOOKUP(K3815,データについて!$J$5:$AH$20,14,FALSE),"")</f>
        <v/>
      </c>
      <c r="AC3815" s="81" t="e">
        <f>IF(X3815=1,HLOOKUP(R3815,データについて!$J$12:$M$18,7,FALSE),"*")</f>
        <v>#N/A</v>
      </c>
      <c r="AD3815" s="81" t="e">
        <f>IF(X3815=2,HLOOKUP(R3815,データについて!$J$12:$M$18,7,FALSE),"*")</f>
        <v>#N/A</v>
      </c>
    </row>
    <row r="3816" spans="19:30">
      <c r="S3816" s="81" t="e">
        <f>HLOOKUP(L3816,データについて!$J$6:$M$18,13,FALSE)</f>
        <v>#N/A</v>
      </c>
      <c r="T3816" s="81" t="e">
        <f>HLOOKUP(M3816,データについて!$J$7:$M$18,12,FALSE)</f>
        <v>#N/A</v>
      </c>
      <c r="U3816" s="81" t="e">
        <f>HLOOKUP(N3816,データについて!$J$8:$M$18,11,FALSE)</f>
        <v>#N/A</v>
      </c>
      <c r="V3816" s="81" t="e">
        <f>HLOOKUP(O3816,データについて!$J$9:$M$18,10,FALSE)</f>
        <v>#N/A</v>
      </c>
      <c r="W3816" s="81" t="e">
        <f>HLOOKUP(P3816,データについて!$J$10:$M$18,9,FALSE)</f>
        <v>#N/A</v>
      </c>
      <c r="X3816" s="81" t="e">
        <f>HLOOKUP(Q3816,データについて!$J$11:$M$18,8,FALSE)</f>
        <v>#N/A</v>
      </c>
      <c r="Y3816" s="81" t="e">
        <f>HLOOKUP(R3816,データについて!$J$12:$M$18,7,FALSE)</f>
        <v>#N/A</v>
      </c>
      <c r="Z3816" s="81" t="e">
        <f>HLOOKUP(I3816,データについて!$J$3:$M$18,16,FALSE)</f>
        <v>#N/A</v>
      </c>
      <c r="AA3816" s="81" t="str">
        <f>IFERROR(HLOOKUP(J3816,データについて!$J$4:$AH$19,16,FALSE),"")</f>
        <v/>
      </c>
      <c r="AB3816" s="81" t="str">
        <f>IFERROR(HLOOKUP(K3816,データについて!$J$5:$AH$20,14,FALSE),"")</f>
        <v/>
      </c>
      <c r="AC3816" s="81" t="e">
        <f>IF(X3816=1,HLOOKUP(R3816,データについて!$J$12:$M$18,7,FALSE),"*")</f>
        <v>#N/A</v>
      </c>
      <c r="AD3816" s="81" t="e">
        <f>IF(X3816=2,HLOOKUP(R3816,データについて!$J$12:$M$18,7,FALSE),"*")</f>
        <v>#N/A</v>
      </c>
    </row>
    <row r="3817" spans="19:30">
      <c r="S3817" s="81" t="e">
        <f>HLOOKUP(L3817,データについて!$J$6:$M$18,13,FALSE)</f>
        <v>#N/A</v>
      </c>
      <c r="T3817" s="81" t="e">
        <f>HLOOKUP(M3817,データについて!$J$7:$M$18,12,FALSE)</f>
        <v>#N/A</v>
      </c>
      <c r="U3817" s="81" t="e">
        <f>HLOOKUP(N3817,データについて!$J$8:$M$18,11,FALSE)</f>
        <v>#N/A</v>
      </c>
      <c r="V3817" s="81" t="e">
        <f>HLOOKUP(O3817,データについて!$J$9:$M$18,10,FALSE)</f>
        <v>#N/A</v>
      </c>
      <c r="W3817" s="81" t="e">
        <f>HLOOKUP(P3817,データについて!$J$10:$M$18,9,FALSE)</f>
        <v>#N/A</v>
      </c>
      <c r="X3817" s="81" t="e">
        <f>HLOOKUP(Q3817,データについて!$J$11:$M$18,8,FALSE)</f>
        <v>#N/A</v>
      </c>
      <c r="Y3817" s="81" t="e">
        <f>HLOOKUP(R3817,データについて!$J$12:$M$18,7,FALSE)</f>
        <v>#N/A</v>
      </c>
      <c r="Z3817" s="81" t="e">
        <f>HLOOKUP(I3817,データについて!$J$3:$M$18,16,FALSE)</f>
        <v>#N/A</v>
      </c>
      <c r="AA3817" s="81" t="str">
        <f>IFERROR(HLOOKUP(J3817,データについて!$J$4:$AH$19,16,FALSE),"")</f>
        <v/>
      </c>
      <c r="AB3817" s="81" t="str">
        <f>IFERROR(HLOOKUP(K3817,データについて!$J$5:$AH$20,14,FALSE),"")</f>
        <v/>
      </c>
      <c r="AC3817" s="81" t="e">
        <f>IF(X3817=1,HLOOKUP(R3817,データについて!$J$12:$M$18,7,FALSE),"*")</f>
        <v>#N/A</v>
      </c>
      <c r="AD3817" s="81" t="e">
        <f>IF(X3817=2,HLOOKUP(R3817,データについて!$J$12:$M$18,7,FALSE),"*")</f>
        <v>#N/A</v>
      </c>
    </row>
    <row r="3818" spans="19:30">
      <c r="S3818" s="81" t="e">
        <f>HLOOKUP(L3818,データについて!$J$6:$M$18,13,FALSE)</f>
        <v>#N/A</v>
      </c>
      <c r="T3818" s="81" t="e">
        <f>HLOOKUP(M3818,データについて!$J$7:$M$18,12,FALSE)</f>
        <v>#N/A</v>
      </c>
      <c r="U3818" s="81" t="e">
        <f>HLOOKUP(N3818,データについて!$J$8:$M$18,11,FALSE)</f>
        <v>#N/A</v>
      </c>
      <c r="V3818" s="81" t="e">
        <f>HLOOKUP(O3818,データについて!$J$9:$M$18,10,FALSE)</f>
        <v>#N/A</v>
      </c>
      <c r="W3818" s="81" t="e">
        <f>HLOOKUP(P3818,データについて!$J$10:$M$18,9,FALSE)</f>
        <v>#N/A</v>
      </c>
      <c r="X3818" s="81" t="e">
        <f>HLOOKUP(Q3818,データについて!$J$11:$M$18,8,FALSE)</f>
        <v>#N/A</v>
      </c>
      <c r="Y3818" s="81" t="e">
        <f>HLOOKUP(R3818,データについて!$J$12:$M$18,7,FALSE)</f>
        <v>#N/A</v>
      </c>
      <c r="Z3818" s="81" t="e">
        <f>HLOOKUP(I3818,データについて!$J$3:$M$18,16,FALSE)</f>
        <v>#N/A</v>
      </c>
      <c r="AA3818" s="81" t="str">
        <f>IFERROR(HLOOKUP(J3818,データについて!$J$4:$AH$19,16,FALSE),"")</f>
        <v/>
      </c>
      <c r="AB3818" s="81" t="str">
        <f>IFERROR(HLOOKUP(K3818,データについて!$J$5:$AH$20,14,FALSE),"")</f>
        <v/>
      </c>
      <c r="AC3818" s="81" t="e">
        <f>IF(X3818=1,HLOOKUP(R3818,データについて!$J$12:$M$18,7,FALSE),"*")</f>
        <v>#N/A</v>
      </c>
      <c r="AD3818" s="81" t="e">
        <f>IF(X3818=2,HLOOKUP(R3818,データについて!$J$12:$M$18,7,FALSE),"*")</f>
        <v>#N/A</v>
      </c>
    </row>
    <row r="3819" spans="19:30">
      <c r="S3819" s="81" t="e">
        <f>HLOOKUP(L3819,データについて!$J$6:$M$18,13,FALSE)</f>
        <v>#N/A</v>
      </c>
      <c r="T3819" s="81" t="e">
        <f>HLOOKUP(M3819,データについて!$J$7:$M$18,12,FALSE)</f>
        <v>#N/A</v>
      </c>
      <c r="U3819" s="81" t="e">
        <f>HLOOKUP(N3819,データについて!$J$8:$M$18,11,FALSE)</f>
        <v>#N/A</v>
      </c>
      <c r="V3819" s="81" t="e">
        <f>HLOOKUP(O3819,データについて!$J$9:$M$18,10,FALSE)</f>
        <v>#N/A</v>
      </c>
      <c r="W3819" s="81" t="e">
        <f>HLOOKUP(P3819,データについて!$J$10:$M$18,9,FALSE)</f>
        <v>#N/A</v>
      </c>
      <c r="X3819" s="81" t="e">
        <f>HLOOKUP(Q3819,データについて!$J$11:$M$18,8,FALSE)</f>
        <v>#N/A</v>
      </c>
      <c r="Y3819" s="81" t="e">
        <f>HLOOKUP(R3819,データについて!$J$12:$M$18,7,FALSE)</f>
        <v>#N/A</v>
      </c>
      <c r="Z3819" s="81" t="e">
        <f>HLOOKUP(I3819,データについて!$J$3:$M$18,16,FALSE)</f>
        <v>#N/A</v>
      </c>
      <c r="AA3819" s="81" t="str">
        <f>IFERROR(HLOOKUP(J3819,データについて!$J$4:$AH$19,16,FALSE),"")</f>
        <v/>
      </c>
      <c r="AB3819" s="81" t="str">
        <f>IFERROR(HLOOKUP(K3819,データについて!$J$5:$AH$20,14,FALSE),"")</f>
        <v/>
      </c>
      <c r="AC3819" s="81" t="e">
        <f>IF(X3819=1,HLOOKUP(R3819,データについて!$J$12:$M$18,7,FALSE),"*")</f>
        <v>#N/A</v>
      </c>
      <c r="AD3819" s="81" t="e">
        <f>IF(X3819=2,HLOOKUP(R3819,データについて!$J$12:$M$18,7,FALSE),"*")</f>
        <v>#N/A</v>
      </c>
    </row>
    <row r="3820" spans="19:30">
      <c r="S3820" s="81" t="e">
        <f>HLOOKUP(L3820,データについて!$J$6:$M$18,13,FALSE)</f>
        <v>#N/A</v>
      </c>
      <c r="T3820" s="81" t="e">
        <f>HLOOKUP(M3820,データについて!$J$7:$M$18,12,FALSE)</f>
        <v>#N/A</v>
      </c>
      <c r="U3820" s="81" t="e">
        <f>HLOOKUP(N3820,データについて!$J$8:$M$18,11,FALSE)</f>
        <v>#N/A</v>
      </c>
      <c r="V3820" s="81" t="e">
        <f>HLOOKUP(O3820,データについて!$J$9:$M$18,10,FALSE)</f>
        <v>#N/A</v>
      </c>
      <c r="W3820" s="81" t="e">
        <f>HLOOKUP(P3820,データについて!$J$10:$M$18,9,FALSE)</f>
        <v>#N/A</v>
      </c>
      <c r="X3820" s="81" t="e">
        <f>HLOOKUP(Q3820,データについて!$J$11:$M$18,8,FALSE)</f>
        <v>#N/A</v>
      </c>
      <c r="Y3820" s="81" t="e">
        <f>HLOOKUP(R3820,データについて!$J$12:$M$18,7,FALSE)</f>
        <v>#N/A</v>
      </c>
      <c r="Z3820" s="81" t="e">
        <f>HLOOKUP(I3820,データについて!$J$3:$M$18,16,FALSE)</f>
        <v>#N/A</v>
      </c>
      <c r="AA3820" s="81" t="str">
        <f>IFERROR(HLOOKUP(J3820,データについて!$J$4:$AH$19,16,FALSE),"")</f>
        <v/>
      </c>
      <c r="AB3820" s="81" t="str">
        <f>IFERROR(HLOOKUP(K3820,データについて!$J$5:$AH$20,14,FALSE),"")</f>
        <v/>
      </c>
      <c r="AC3820" s="81" t="e">
        <f>IF(X3820=1,HLOOKUP(R3820,データについて!$J$12:$M$18,7,FALSE),"*")</f>
        <v>#N/A</v>
      </c>
      <c r="AD3820" s="81" t="e">
        <f>IF(X3820=2,HLOOKUP(R3820,データについて!$J$12:$M$18,7,FALSE),"*")</f>
        <v>#N/A</v>
      </c>
    </row>
    <row r="3821" spans="19:30">
      <c r="S3821" s="81" t="e">
        <f>HLOOKUP(L3821,データについて!$J$6:$M$18,13,FALSE)</f>
        <v>#N/A</v>
      </c>
      <c r="T3821" s="81" t="e">
        <f>HLOOKUP(M3821,データについて!$J$7:$M$18,12,FALSE)</f>
        <v>#N/A</v>
      </c>
      <c r="U3821" s="81" t="e">
        <f>HLOOKUP(N3821,データについて!$J$8:$M$18,11,FALSE)</f>
        <v>#N/A</v>
      </c>
      <c r="V3821" s="81" t="e">
        <f>HLOOKUP(O3821,データについて!$J$9:$M$18,10,FALSE)</f>
        <v>#N/A</v>
      </c>
      <c r="W3821" s="81" t="e">
        <f>HLOOKUP(P3821,データについて!$J$10:$M$18,9,FALSE)</f>
        <v>#N/A</v>
      </c>
      <c r="X3821" s="81" t="e">
        <f>HLOOKUP(Q3821,データについて!$J$11:$M$18,8,FALSE)</f>
        <v>#N/A</v>
      </c>
      <c r="Y3821" s="81" t="e">
        <f>HLOOKUP(R3821,データについて!$J$12:$M$18,7,FALSE)</f>
        <v>#N/A</v>
      </c>
      <c r="Z3821" s="81" t="e">
        <f>HLOOKUP(I3821,データについて!$J$3:$M$18,16,FALSE)</f>
        <v>#N/A</v>
      </c>
      <c r="AA3821" s="81" t="str">
        <f>IFERROR(HLOOKUP(J3821,データについて!$J$4:$AH$19,16,FALSE),"")</f>
        <v/>
      </c>
      <c r="AB3821" s="81" t="str">
        <f>IFERROR(HLOOKUP(K3821,データについて!$J$5:$AH$20,14,FALSE),"")</f>
        <v/>
      </c>
      <c r="AC3821" s="81" t="e">
        <f>IF(X3821=1,HLOOKUP(R3821,データについて!$J$12:$M$18,7,FALSE),"*")</f>
        <v>#N/A</v>
      </c>
      <c r="AD3821" s="81" t="e">
        <f>IF(X3821=2,HLOOKUP(R3821,データについて!$J$12:$M$18,7,FALSE),"*")</f>
        <v>#N/A</v>
      </c>
    </row>
    <row r="3822" spans="19:30">
      <c r="S3822" s="81" t="e">
        <f>HLOOKUP(L3822,データについて!$J$6:$M$18,13,FALSE)</f>
        <v>#N/A</v>
      </c>
      <c r="T3822" s="81" t="e">
        <f>HLOOKUP(M3822,データについて!$J$7:$M$18,12,FALSE)</f>
        <v>#N/A</v>
      </c>
      <c r="U3822" s="81" t="e">
        <f>HLOOKUP(N3822,データについて!$J$8:$M$18,11,FALSE)</f>
        <v>#N/A</v>
      </c>
      <c r="V3822" s="81" t="e">
        <f>HLOOKUP(O3822,データについて!$J$9:$M$18,10,FALSE)</f>
        <v>#N/A</v>
      </c>
      <c r="W3822" s="81" t="e">
        <f>HLOOKUP(P3822,データについて!$J$10:$M$18,9,FALSE)</f>
        <v>#N/A</v>
      </c>
      <c r="X3822" s="81" t="e">
        <f>HLOOKUP(Q3822,データについて!$J$11:$M$18,8,FALSE)</f>
        <v>#N/A</v>
      </c>
      <c r="Y3822" s="81" t="e">
        <f>HLOOKUP(R3822,データについて!$J$12:$M$18,7,FALSE)</f>
        <v>#N/A</v>
      </c>
      <c r="Z3822" s="81" t="e">
        <f>HLOOKUP(I3822,データについて!$J$3:$M$18,16,FALSE)</f>
        <v>#N/A</v>
      </c>
      <c r="AA3822" s="81" t="str">
        <f>IFERROR(HLOOKUP(J3822,データについて!$J$4:$AH$19,16,FALSE),"")</f>
        <v/>
      </c>
      <c r="AB3822" s="81" t="str">
        <f>IFERROR(HLOOKUP(K3822,データについて!$J$5:$AH$20,14,FALSE),"")</f>
        <v/>
      </c>
      <c r="AC3822" s="81" t="e">
        <f>IF(X3822=1,HLOOKUP(R3822,データについて!$J$12:$M$18,7,FALSE),"*")</f>
        <v>#N/A</v>
      </c>
      <c r="AD3822" s="81" t="e">
        <f>IF(X3822=2,HLOOKUP(R3822,データについて!$J$12:$M$18,7,FALSE),"*")</f>
        <v>#N/A</v>
      </c>
    </row>
    <row r="3823" spans="19:30">
      <c r="S3823" s="81" t="e">
        <f>HLOOKUP(L3823,データについて!$J$6:$M$18,13,FALSE)</f>
        <v>#N/A</v>
      </c>
      <c r="T3823" s="81" t="e">
        <f>HLOOKUP(M3823,データについて!$J$7:$M$18,12,FALSE)</f>
        <v>#N/A</v>
      </c>
      <c r="U3823" s="81" t="e">
        <f>HLOOKUP(N3823,データについて!$J$8:$M$18,11,FALSE)</f>
        <v>#N/A</v>
      </c>
      <c r="V3823" s="81" t="e">
        <f>HLOOKUP(O3823,データについて!$J$9:$M$18,10,FALSE)</f>
        <v>#N/A</v>
      </c>
      <c r="W3823" s="81" t="e">
        <f>HLOOKUP(P3823,データについて!$J$10:$M$18,9,FALSE)</f>
        <v>#N/A</v>
      </c>
      <c r="X3823" s="81" t="e">
        <f>HLOOKUP(Q3823,データについて!$J$11:$M$18,8,FALSE)</f>
        <v>#N/A</v>
      </c>
      <c r="Y3823" s="81" t="e">
        <f>HLOOKUP(R3823,データについて!$J$12:$M$18,7,FALSE)</f>
        <v>#N/A</v>
      </c>
      <c r="Z3823" s="81" t="e">
        <f>HLOOKUP(I3823,データについて!$J$3:$M$18,16,FALSE)</f>
        <v>#N/A</v>
      </c>
      <c r="AA3823" s="81" t="str">
        <f>IFERROR(HLOOKUP(J3823,データについて!$J$4:$AH$19,16,FALSE),"")</f>
        <v/>
      </c>
      <c r="AB3823" s="81" t="str">
        <f>IFERROR(HLOOKUP(K3823,データについて!$J$5:$AH$20,14,FALSE),"")</f>
        <v/>
      </c>
      <c r="AC3823" s="81" t="e">
        <f>IF(X3823=1,HLOOKUP(R3823,データについて!$J$12:$M$18,7,FALSE),"*")</f>
        <v>#N/A</v>
      </c>
      <c r="AD3823" s="81" t="e">
        <f>IF(X3823=2,HLOOKUP(R3823,データについて!$J$12:$M$18,7,FALSE),"*")</f>
        <v>#N/A</v>
      </c>
    </row>
    <row r="3824" spans="19:30">
      <c r="S3824" s="81" t="e">
        <f>HLOOKUP(L3824,データについて!$J$6:$M$18,13,FALSE)</f>
        <v>#N/A</v>
      </c>
      <c r="T3824" s="81" t="e">
        <f>HLOOKUP(M3824,データについて!$J$7:$M$18,12,FALSE)</f>
        <v>#N/A</v>
      </c>
      <c r="U3824" s="81" t="e">
        <f>HLOOKUP(N3824,データについて!$J$8:$M$18,11,FALSE)</f>
        <v>#N/A</v>
      </c>
      <c r="V3824" s="81" t="e">
        <f>HLOOKUP(O3824,データについて!$J$9:$M$18,10,FALSE)</f>
        <v>#N/A</v>
      </c>
      <c r="W3824" s="81" t="e">
        <f>HLOOKUP(P3824,データについて!$J$10:$M$18,9,FALSE)</f>
        <v>#N/A</v>
      </c>
      <c r="X3824" s="81" t="e">
        <f>HLOOKUP(Q3824,データについて!$J$11:$M$18,8,FALSE)</f>
        <v>#N/A</v>
      </c>
      <c r="Y3824" s="81" t="e">
        <f>HLOOKUP(R3824,データについて!$J$12:$M$18,7,FALSE)</f>
        <v>#N/A</v>
      </c>
      <c r="Z3824" s="81" t="e">
        <f>HLOOKUP(I3824,データについて!$J$3:$M$18,16,FALSE)</f>
        <v>#N/A</v>
      </c>
      <c r="AA3824" s="81" t="str">
        <f>IFERROR(HLOOKUP(J3824,データについて!$J$4:$AH$19,16,FALSE),"")</f>
        <v/>
      </c>
      <c r="AB3824" s="81" t="str">
        <f>IFERROR(HLOOKUP(K3824,データについて!$J$5:$AH$20,14,FALSE),"")</f>
        <v/>
      </c>
      <c r="AC3824" s="81" t="e">
        <f>IF(X3824=1,HLOOKUP(R3824,データについて!$J$12:$M$18,7,FALSE),"*")</f>
        <v>#N/A</v>
      </c>
      <c r="AD3824" s="81" t="e">
        <f>IF(X3824=2,HLOOKUP(R3824,データについて!$J$12:$M$18,7,FALSE),"*")</f>
        <v>#N/A</v>
      </c>
    </row>
    <row r="3825" spans="19:30">
      <c r="S3825" s="81" t="e">
        <f>HLOOKUP(L3825,データについて!$J$6:$M$18,13,FALSE)</f>
        <v>#N/A</v>
      </c>
      <c r="T3825" s="81" t="e">
        <f>HLOOKUP(M3825,データについて!$J$7:$M$18,12,FALSE)</f>
        <v>#N/A</v>
      </c>
      <c r="U3825" s="81" t="e">
        <f>HLOOKUP(N3825,データについて!$J$8:$M$18,11,FALSE)</f>
        <v>#N/A</v>
      </c>
      <c r="V3825" s="81" t="e">
        <f>HLOOKUP(O3825,データについて!$J$9:$M$18,10,FALSE)</f>
        <v>#N/A</v>
      </c>
      <c r="W3825" s="81" t="e">
        <f>HLOOKUP(P3825,データについて!$J$10:$M$18,9,FALSE)</f>
        <v>#N/A</v>
      </c>
      <c r="X3825" s="81" t="e">
        <f>HLOOKUP(Q3825,データについて!$J$11:$M$18,8,FALSE)</f>
        <v>#N/A</v>
      </c>
      <c r="Y3825" s="81" t="e">
        <f>HLOOKUP(R3825,データについて!$J$12:$M$18,7,FALSE)</f>
        <v>#N/A</v>
      </c>
      <c r="Z3825" s="81" t="e">
        <f>HLOOKUP(I3825,データについて!$J$3:$M$18,16,FALSE)</f>
        <v>#N/A</v>
      </c>
      <c r="AA3825" s="81" t="str">
        <f>IFERROR(HLOOKUP(J3825,データについて!$J$4:$AH$19,16,FALSE),"")</f>
        <v/>
      </c>
      <c r="AB3825" s="81" t="str">
        <f>IFERROR(HLOOKUP(K3825,データについて!$J$5:$AH$20,14,FALSE),"")</f>
        <v/>
      </c>
      <c r="AC3825" s="81" t="e">
        <f>IF(X3825=1,HLOOKUP(R3825,データについて!$J$12:$M$18,7,FALSE),"*")</f>
        <v>#N/A</v>
      </c>
      <c r="AD3825" s="81" t="e">
        <f>IF(X3825=2,HLOOKUP(R3825,データについて!$J$12:$M$18,7,FALSE),"*")</f>
        <v>#N/A</v>
      </c>
    </row>
    <row r="3826" spans="19:30">
      <c r="S3826" s="81" t="e">
        <f>HLOOKUP(L3826,データについて!$J$6:$M$18,13,FALSE)</f>
        <v>#N/A</v>
      </c>
      <c r="T3826" s="81" t="e">
        <f>HLOOKUP(M3826,データについて!$J$7:$M$18,12,FALSE)</f>
        <v>#N/A</v>
      </c>
      <c r="U3826" s="81" t="e">
        <f>HLOOKUP(N3826,データについて!$J$8:$M$18,11,FALSE)</f>
        <v>#N/A</v>
      </c>
      <c r="V3826" s="81" t="e">
        <f>HLOOKUP(O3826,データについて!$J$9:$M$18,10,FALSE)</f>
        <v>#N/A</v>
      </c>
      <c r="W3826" s="81" t="e">
        <f>HLOOKUP(P3826,データについて!$J$10:$M$18,9,FALSE)</f>
        <v>#N/A</v>
      </c>
      <c r="X3826" s="81" t="e">
        <f>HLOOKUP(Q3826,データについて!$J$11:$M$18,8,FALSE)</f>
        <v>#N/A</v>
      </c>
      <c r="Y3826" s="81" t="e">
        <f>HLOOKUP(R3826,データについて!$J$12:$M$18,7,FALSE)</f>
        <v>#N/A</v>
      </c>
      <c r="Z3826" s="81" t="e">
        <f>HLOOKUP(I3826,データについて!$J$3:$M$18,16,FALSE)</f>
        <v>#N/A</v>
      </c>
      <c r="AA3826" s="81" t="str">
        <f>IFERROR(HLOOKUP(J3826,データについて!$J$4:$AH$19,16,FALSE),"")</f>
        <v/>
      </c>
      <c r="AB3826" s="81" t="str">
        <f>IFERROR(HLOOKUP(K3826,データについて!$J$5:$AH$20,14,FALSE),"")</f>
        <v/>
      </c>
      <c r="AC3826" s="81" t="e">
        <f>IF(X3826=1,HLOOKUP(R3826,データについて!$J$12:$M$18,7,FALSE),"*")</f>
        <v>#N/A</v>
      </c>
      <c r="AD3826" s="81" t="e">
        <f>IF(X3826=2,HLOOKUP(R3826,データについて!$J$12:$M$18,7,FALSE),"*")</f>
        <v>#N/A</v>
      </c>
    </row>
    <row r="3827" spans="19:30">
      <c r="S3827" s="81" t="e">
        <f>HLOOKUP(L3827,データについて!$J$6:$M$18,13,FALSE)</f>
        <v>#N/A</v>
      </c>
      <c r="T3827" s="81" t="e">
        <f>HLOOKUP(M3827,データについて!$J$7:$M$18,12,FALSE)</f>
        <v>#N/A</v>
      </c>
      <c r="U3827" s="81" t="e">
        <f>HLOOKUP(N3827,データについて!$J$8:$M$18,11,FALSE)</f>
        <v>#N/A</v>
      </c>
      <c r="V3827" s="81" t="e">
        <f>HLOOKUP(O3827,データについて!$J$9:$M$18,10,FALSE)</f>
        <v>#N/A</v>
      </c>
      <c r="W3827" s="81" t="e">
        <f>HLOOKUP(P3827,データについて!$J$10:$M$18,9,FALSE)</f>
        <v>#N/A</v>
      </c>
      <c r="X3827" s="81" t="e">
        <f>HLOOKUP(Q3827,データについて!$J$11:$M$18,8,FALSE)</f>
        <v>#N/A</v>
      </c>
      <c r="Y3827" s="81" t="e">
        <f>HLOOKUP(R3827,データについて!$J$12:$M$18,7,FALSE)</f>
        <v>#N/A</v>
      </c>
      <c r="Z3827" s="81" t="e">
        <f>HLOOKUP(I3827,データについて!$J$3:$M$18,16,FALSE)</f>
        <v>#N/A</v>
      </c>
      <c r="AA3827" s="81" t="str">
        <f>IFERROR(HLOOKUP(J3827,データについて!$J$4:$AH$19,16,FALSE),"")</f>
        <v/>
      </c>
      <c r="AB3827" s="81" t="str">
        <f>IFERROR(HLOOKUP(K3827,データについて!$J$5:$AH$20,14,FALSE),"")</f>
        <v/>
      </c>
      <c r="AC3827" s="81" t="e">
        <f>IF(X3827=1,HLOOKUP(R3827,データについて!$J$12:$M$18,7,FALSE),"*")</f>
        <v>#N/A</v>
      </c>
      <c r="AD3827" s="81" t="e">
        <f>IF(X3827=2,HLOOKUP(R3827,データについて!$J$12:$M$18,7,FALSE),"*")</f>
        <v>#N/A</v>
      </c>
    </row>
    <row r="3828" spans="19:30">
      <c r="S3828" s="81" t="e">
        <f>HLOOKUP(L3828,データについて!$J$6:$M$18,13,FALSE)</f>
        <v>#N/A</v>
      </c>
      <c r="T3828" s="81" t="e">
        <f>HLOOKUP(M3828,データについて!$J$7:$M$18,12,FALSE)</f>
        <v>#N/A</v>
      </c>
      <c r="U3828" s="81" t="e">
        <f>HLOOKUP(N3828,データについて!$J$8:$M$18,11,FALSE)</f>
        <v>#N/A</v>
      </c>
      <c r="V3828" s="81" t="e">
        <f>HLOOKUP(O3828,データについて!$J$9:$M$18,10,FALSE)</f>
        <v>#N/A</v>
      </c>
      <c r="W3828" s="81" t="e">
        <f>HLOOKUP(P3828,データについて!$J$10:$M$18,9,FALSE)</f>
        <v>#N/A</v>
      </c>
      <c r="X3828" s="81" t="e">
        <f>HLOOKUP(Q3828,データについて!$J$11:$M$18,8,FALSE)</f>
        <v>#N/A</v>
      </c>
      <c r="Y3828" s="81" t="e">
        <f>HLOOKUP(R3828,データについて!$J$12:$M$18,7,FALSE)</f>
        <v>#N/A</v>
      </c>
      <c r="Z3828" s="81" t="e">
        <f>HLOOKUP(I3828,データについて!$J$3:$M$18,16,FALSE)</f>
        <v>#N/A</v>
      </c>
      <c r="AA3828" s="81" t="str">
        <f>IFERROR(HLOOKUP(J3828,データについて!$J$4:$AH$19,16,FALSE),"")</f>
        <v/>
      </c>
      <c r="AB3828" s="81" t="str">
        <f>IFERROR(HLOOKUP(K3828,データについて!$J$5:$AH$20,14,FALSE),"")</f>
        <v/>
      </c>
      <c r="AC3828" s="81" t="e">
        <f>IF(X3828=1,HLOOKUP(R3828,データについて!$J$12:$M$18,7,FALSE),"*")</f>
        <v>#N/A</v>
      </c>
      <c r="AD3828" s="81" t="e">
        <f>IF(X3828=2,HLOOKUP(R3828,データについて!$J$12:$M$18,7,FALSE),"*")</f>
        <v>#N/A</v>
      </c>
    </row>
    <row r="3829" spans="19:30">
      <c r="S3829" s="81" t="e">
        <f>HLOOKUP(L3829,データについて!$J$6:$M$18,13,FALSE)</f>
        <v>#N/A</v>
      </c>
      <c r="T3829" s="81" t="e">
        <f>HLOOKUP(M3829,データについて!$J$7:$M$18,12,FALSE)</f>
        <v>#N/A</v>
      </c>
      <c r="U3829" s="81" t="e">
        <f>HLOOKUP(N3829,データについて!$J$8:$M$18,11,FALSE)</f>
        <v>#N/A</v>
      </c>
      <c r="V3829" s="81" t="e">
        <f>HLOOKUP(O3829,データについて!$J$9:$M$18,10,FALSE)</f>
        <v>#N/A</v>
      </c>
      <c r="W3829" s="81" t="e">
        <f>HLOOKUP(P3829,データについて!$J$10:$M$18,9,FALSE)</f>
        <v>#N/A</v>
      </c>
      <c r="X3829" s="81" t="e">
        <f>HLOOKUP(Q3829,データについて!$J$11:$M$18,8,FALSE)</f>
        <v>#N/A</v>
      </c>
      <c r="Y3829" s="81" t="e">
        <f>HLOOKUP(R3829,データについて!$J$12:$M$18,7,FALSE)</f>
        <v>#N/A</v>
      </c>
      <c r="Z3829" s="81" t="e">
        <f>HLOOKUP(I3829,データについて!$J$3:$M$18,16,FALSE)</f>
        <v>#N/A</v>
      </c>
      <c r="AA3829" s="81" t="str">
        <f>IFERROR(HLOOKUP(J3829,データについて!$J$4:$AH$19,16,FALSE),"")</f>
        <v/>
      </c>
      <c r="AB3829" s="81" t="str">
        <f>IFERROR(HLOOKUP(K3829,データについて!$J$5:$AH$20,14,FALSE),"")</f>
        <v/>
      </c>
      <c r="AC3829" s="81" t="e">
        <f>IF(X3829=1,HLOOKUP(R3829,データについて!$J$12:$M$18,7,FALSE),"*")</f>
        <v>#N/A</v>
      </c>
      <c r="AD3829" s="81" t="e">
        <f>IF(X3829=2,HLOOKUP(R3829,データについて!$J$12:$M$18,7,FALSE),"*")</f>
        <v>#N/A</v>
      </c>
    </row>
    <row r="3830" spans="19:30">
      <c r="S3830" s="81" t="e">
        <f>HLOOKUP(L3830,データについて!$J$6:$M$18,13,FALSE)</f>
        <v>#N/A</v>
      </c>
      <c r="T3830" s="81" t="e">
        <f>HLOOKUP(M3830,データについて!$J$7:$M$18,12,FALSE)</f>
        <v>#N/A</v>
      </c>
      <c r="U3830" s="81" t="e">
        <f>HLOOKUP(N3830,データについて!$J$8:$M$18,11,FALSE)</f>
        <v>#N/A</v>
      </c>
      <c r="V3830" s="81" t="e">
        <f>HLOOKUP(O3830,データについて!$J$9:$M$18,10,FALSE)</f>
        <v>#N/A</v>
      </c>
      <c r="W3830" s="81" t="e">
        <f>HLOOKUP(P3830,データについて!$J$10:$M$18,9,FALSE)</f>
        <v>#N/A</v>
      </c>
      <c r="X3830" s="81" t="e">
        <f>HLOOKUP(Q3830,データについて!$J$11:$M$18,8,FALSE)</f>
        <v>#N/A</v>
      </c>
      <c r="Y3830" s="81" t="e">
        <f>HLOOKUP(R3830,データについて!$J$12:$M$18,7,FALSE)</f>
        <v>#N/A</v>
      </c>
      <c r="Z3830" s="81" t="e">
        <f>HLOOKUP(I3830,データについて!$J$3:$M$18,16,FALSE)</f>
        <v>#N/A</v>
      </c>
      <c r="AA3830" s="81" t="str">
        <f>IFERROR(HLOOKUP(J3830,データについて!$J$4:$AH$19,16,FALSE),"")</f>
        <v/>
      </c>
      <c r="AB3830" s="81" t="str">
        <f>IFERROR(HLOOKUP(K3830,データについて!$J$5:$AH$20,14,FALSE),"")</f>
        <v/>
      </c>
      <c r="AC3830" s="81" t="e">
        <f>IF(X3830=1,HLOOKUP(R3830,データについて!$J$12:$M$18,7,FALSE),"*")</f>
        <v>#N/A</v>
      </c>
      <c r="AD3830" s="81" t="e">
        <f>IF(X3830=2,HLOOKUP(R3830,データについて!$J$12:$M$18,7,FALSE),"*")</f>
        <v>#N/A</v>
      </c>
    </row>
    <row r="3831" spans="19:30">
      <c r="S3831" s="81" t="e">
        <f>HLOOKUP(L3831,データについて!$J$6:$M$18,13,FALSE)</f>
        <v>#N/A</v>
      </c>
      <c r="T3831" s="81" t="e">
        <f>HLOOKUP(M3831,データについて!$J$7:$M$18,12,FALSE)</f>
        <v>#N/A</v>
      </c>
      <c r="U3831" s="81" t="e">
        <f>HLOOKUP(N3831,データについて!$J$8:$M$18,11,FALSE)</f>
        <v>#N/A</v>
      </c>
      <c r="V3831" s="81" t="e">
        <f>HLOOKUP(O3831,データについて!$J$9:$M$18,10,FALSE)</f>
        <v>#N/A</v>
      </c>
      <c r="W3831" s="81" t="e">
        <f>HLOOKUP(P3831,データについて!$J$10:$M$18,9,FALSE)</f>
        <v>#N/A</v>
      </c>
      <c r="X3831" s="81" t="e">
        <f>HLOOKUP(Q3831,データについて!$J$11:$M$18,8,FALSE)</f>
        <v>#N/A</v>
      </c>
      <c r="Y3831" s="81" t="e">
        <f>HLOOKUP(R3831,データについて!$J$12:$M$18,7,FALSE)</f>
        <v>#N/A</v>
      </c>
      <c r="Z3831" s="81" t="e">
        <f>HLOOKUP(I3831,データについて!$J$3:$M$18,16,FALSE)</f>
        <v>#N/A</v>
      </c>
      <c r="AA3831" s="81" t="str">
        <f>IFERROR(HLOOKUP(J3831,データについて!$J$4:$AH$19,16,FALSE),"")</f>
        <v/>
      </c>
      <c r="AB3831" s="81" t="str">
        <f>IFERROR(HLOOKUP(K3831,データについて!$J$5:$AH$20,14,FALSE),"")</f>
        <v/>
      </c>
      <c r="AC3831" s="81" t="e">
        <f>IF(X3831=1,HLOOKUP(R3831,データについて!$J$12:$M$18,7,FALSE),"*")</f>
        <v>#N/A</v>
      </c>
      <c r="AD3831" s="81" t="e">
        <f>IF(X3831=2,HLOOKUP(R3831,データについて!$J$12:$M$18,7,FALSE),"*")</f>
        <v>#N/A</v>
      </c>
    </row>
    <row r="3832" spans="19:30">
      <c r="S3832" s="81" t="e">
        <f>HLOOKUP(L3832,データについて!$J$6:$M$18,13,FALSE)</f>
        <v>#N/A</v>
      </c>
      <c r="T3832" s="81" t="e">
        <f>HLOOKUP(M3832,データについて!$J$7:$M$18,12,FALSE)</f>
        <v>#N/A</v>
      </c>
      <c r="U3832" s="81" t="e">
        <f>HLOOKUP(N3832,データについて!$J$8:$M$18,11,FALSE)</f>
        <v>#N/A</v>
      </c>
      <c r="V3832" s="81" t="e">
        <f>HLOOKUP(O3832,データについて!$J$9:$M$18,10,FALSE)</f>
        <v>#N/A</v>
      </c>
      <c r="W3832" s="81" t="e">
        <f>HLOOKUP(P3832,データについて!$J$10:$M$18,9,FALSE)</f>
        <v>#N/A</v>
      </c>
      <c r="X3832" s="81" t="e">
        <f>HLOOKUP(Q3832,データについて!$J$11:$M$18,8,FALSE)</f>
        <v>#N/A</v>
      </c>
      <c r="Y3832" s="81" t="e">
        <f>HLOOKUP(R3832,データについて!$J$12:$M$18,7,FALSE)</f>
        <v>#N/A</v>
      </c>
      <c r="Z3832" s="81" t="e">
        <f>HLOOKUP(I3832,データについて!$J$3:$M$18,16,FALSE)</f>
        <v>#N/A</v>
      </c>
      <c r="AA3832" s="81" t="str">
        <f>IFERROR(HLOOKUP(J3832,データについて!$J$4:$AH$19,16,FALSE),"")</f>
        <v/>
      </c>
      <c r="AB3832" s="81" t="str">
        <f>IFERROR(HLOOKUP(K3832,データについて!$J$5:$AH$20,14,FALSE),"")</f>
        <v/>
      </c>
      <c r="AC3832" s="81" t="e">
        <f>IF(X3832=1,HLOOKUP(R3832,データについて!$J$12:$M$18,7,FALSE),"*")</f>
        <v>#N/A</v>
      </c>
      <c r="AD3832" s="81" t="e">
        <f>IF(X3832=2,HLOOKUP(R3832,データについて!$J$12:$M$18,7,FALSE),"*")</f>
        <v>#N/A</v>
      </c>
    </row>
    <row r="3833" spans="19:30">
      <c r="S3833" s="81" t="e">
        <f>HLOOKUP(L3833,データについて!$J$6:$M$18,13,FALSE)</f>
        <v>#N/A</v>
      </c>
      <c r="T3833" s="81" t="e">
        <f>HLOOKUP(M3833,データについて!$J$7:$M$18,12,FALSE)</f>
        <v>#N/A</v>
      </c>
      <c r="U3833" s="81" t="e">
        <f>HLOOKUP(N3833,データについて!$J$8:$M$18,11,FALSE)</f>
        <v>#N/A</v>
      </c>
      <c r="V3833" s="81" t="e">
        <f>HLOOKUP(O3833,データについて!$J$9:$M$18,10,FALSE)</f>
        <v>#N/A</v>
      </c>
      <c r="W3833" s="81" t="e">
        <f>HLOOKUP(P3833,データについて!$J$10:$M$18,9,FALSE)</f>
        <v>#N/A</v>
      </c>
      <c r="X3833" s="81" t="e">
        <f>HLOOKUP(Q3833,データについて!$J$11:$M$18,8,FALSE)</f>
        <v>#N/A</v>
      </c>
      <c r="Y3833" s="81" t="e">
        <f>HLOOKUP(R3833,データについて!$J$12:$M$18,7,FALSE)</f>
        <v>#N/A</v>
      </c>
      <c r="Z3833" s="81" t="e">
        <f>HLOOKUP(I3833,データについて!$J$3:$M$18,16,FALSE)</f>
        <v>#N/A</v>
      </c>
      <c r="AA3833" s="81" t="str">
        <f>IFERROR(HLOOKUP(J3833,データについて!$J$4:$AH$19,16,FALSE),"")</f>
        <v/>
      </c>
      <c r="AB3833" s="81" t="str">
        <f>IFERROR(HLOOKUP(K3833,データについて!$J$5:$AH$20,14,FALSE),"")</f>
        <v/>
      </c>
      <c r="AC3833" s="81" t="e">
        <f>IF(X3833=1,HLOOKUP(R3833,データについて!$J$12:$M$18,7,FALSE),"*")</f>
        <v>#N/A</v>
      </c>
      <c r="AD3833" s="81" t="e">
        <f>IF(X3833=2,HLOOKUP(R3833,データについて!$J$12:$M$18,7,FALSE),"*")</f>
        <v>#N/A</v>
      </c>
    </row>
    <row r="3834" spans="19:30">
      <c r="S3834" s="81" t="e">
        <f>HLOOKUP(L3834,データについて!$J$6:$M$18,13,FALSE)</f>
        <v>#N/A</v>
      </c>
      <c r="T3834" s="81" t="e">
        <f>HLOOKUP(M3834,データについて!$J$7:$M$18,12,FALSE)</f>
        <v>#N/A</v>
      </c>
      <c r="U3834" s="81" t="e">
        <f>HLOOKUP(N3834,データについて!$J$8:$M$18,11,FALSE)</f>
        <v>#N/A</v>
      </c>
      <c r="V3834" s="81" t="e">
        <f>HLOOKUP(O3834,データについて!$J$9:$M$18,10,FALSE)</f>
        <v>#N/A</v>
      </c>
      <c r="W3834" s="81" t="e">
        <f>HLOOKUP(P3834,データについて!$J$10:$M$18,9,FALSE)</f>
        <v>#N/A</v>
      </c>
      <c r="X3834" s="81" t="e">
        <f>HLOOKUP(Q3834,データについて!$J$11:$M$18,8,FALSE)</f>
        <v>#N/A</v>
      </c>
      <c r="Y3834" s="81" t="e">
        <f>HLOOKUP(R3834,データについて!$J$12:$M$18,7,FALSE)</f>
        <v>#N/A</v>
      </c>
      <c r="Z3834" s="81" t="e">
        <f>HLOOKUP(I3834,データについて!$J$3:$M$18,16,FALSE)</f>
        <v>#N/A</v>
      </c>
      <c r="AA3834" s="81" t="str">
        <f>IFERROR(HLOOKUP(J3834,データについて!$J$4:$AH$19,16,FALSE),"")</f>
        <v/>
      </c>
      <c r="AB3834" s="81" t="str">
        <f>IFERROR(HLOOKUP(K3834,データについて!$J$5:$AH$20,14,FALSE),"")</f>
        <v/>
      </c>
      <c r="AC3834" s="81" t="e">
        <f>IF(X3834=1,HLOOKUP(R3834,データについて!$J$12:$M$18,7,FALSE),"*")</f>
        <v>#N/A</v>
      </c>
      <c r="AD3834" s="81" t="e">
        <f>IF(X3834=2,HLOOKUP(R3834,データについて!$J$12:$M$18,7,FALSE),"*")</f>
        <v>#N/A</v>
      </c>
    </row>
    <row r="3835" spans="19:30">
      <c r="S3835" s="81" t="e">
        <f>HLOOKUP(L3835,データについて!$J$6:$M$18,13,FALSE)</f>
        <v>#N/A</v>
      </c>
      <c r="T3835" s="81" t="e">
        <f>HLOOKUP(M3835,データについて!$J$7:$M$18,12,FALSE)</f>
        <v>#N/A</v>
      </c>
      <c r="U3835" s="81" t="e">
        <f>HLOOKUP(N3835,データについて!$J$8:$M$18,11,FALSE)</f>
        <v>#N/A</v>
      </c>
      <c r="V3835" s="81" t="e">
        <f>HLOOKUP(O3835,データについて!$J$9:$M$18,10,FALSE)</f>
        <v>#N/A</v>
      </c>
      <c r="W3835" s="81" t="e">
        <f>HLOOKUP(P3835,データについて!$J$10:$M$18,9,FALSE)</f>
        <v>#N/A</v>
      </c>
      <c r="X3835" s="81" t="e">
        <f>HLOOKUP(Q3835,データについて!$J$11:$M$18,8,FALSE)</f>
        <v>#N/A</v>
      </c>
      <c r="Y3835" s="81" t="e">
        <f>HLOOKUP(R3835,データについて!$J$12:$M$18,7,FALSE)</f>
        <v>#N/A</v>
      </c>
      <c r="Z3835" s="81" t="e">
        <f>HLOOKUP(I3835,データについて!$J$3:$M$18,16,FALSE)</f>
        <v>#N/A</v>
      </c>
      <c r="AA3835" s="81" t="str">
        <f>IFERROR(HLOOKUP(J3835,データについて!$J$4:$AH$19,16,FALSE),"")</f>
        <v/>
      </c>
      <c r="AB3835" s="81" t="str">
        <f>IFERROR(HLOOKUP(K3835,データについて!$J$5:$AH$20,14,FALSE),"")</f>
        <v/>
      </c>
      <c r="AC3835" s="81" t="e">
        <f>IF(X3835=1,HLOOKUP(R3835,データについて!$J$12:$M$18,7,FALSE),"*")</f>
        <v>#N/A</v>
      </c>
      <c r="AD3835" s="81" t="e">
        <f>IF(X3835=2,HLOOKUP(R3835,データについて!$J$12:$M$18,7,FALSE),"*")</f>
        <v>#N/A</v>
      </c>
    </row>
    <row r="3836" spans="19:30">
      <c r="S3836" s="81" t="e">
        <f>HLOOKUP(L3836,データについて!$J$6:$M$18,13,FALSE)</f>
        <v>#N/A</v>
      </c>
      <c r="T3836" s="81" t="e">
        <f>HLOOKUP(M3836,データについて!$J$7:$M$18,12,FALSE)</f>
        <v>#N/A</v>
      </c>
      <c r="U3836" s="81" t="e">
        <f>HLOOKUP(N3836,データについて!$J$8:$M$18,11,FALSE)</f>
        <v>#N/A</v>
      </c>
      <c r="V3836" s="81" t="e">
        <f>HLOOKUP(O3836,データについて!$J$9:$M$18,10,FALSE)</f>
        <v>#N/A</v>
      </c>
      <c r="W3836" s="81" t="e">
        <f>HLOOKUP(P3836,データについて!$J$10:$M$18,9,FALSE)</f>
        <v>#N/A</v>
      </c>
      <c r="X3836" s="81" t="e">
        <f>HLOOKUP(Q3836,データについて!$J$11:$M$18,8,FALSE)</f>
        <v>#N/A</v>
      </c>
      <c r="Y3836" s="81" t="e">
        <f>HLOOKUP(R3836,データについて!$J$12:$M$18,7,FALSE)</f>
        <v>#N/A</v>
      </c>
      <c r="Z3836" s="81" t="e">
        <f>HLOOKUP(I3836,データについて!$J$3:$M$18,16,FALSE)</f>
        <v>#N/A</v>
      </c>
      <c r="AA3836" s="81" t="str">
        <f>IFERROR(HLOOKUP(J3836,データについて!$J$4:$AH$19,16,FALSE),"")</f>
        <v/>
      </c>
      <c r="AB3836" s="81" t="str">
        <f>IFERROR(HLOOKUP(K3836,データについて!$J$5:$AH$20,14,FALSE),"")</f>
        <v/>
      </c>
      <c r="AC3836" s="81" t="e">
        <f>IF(X3836=1,HLOOKUP(R3836,データについて!$J$12:$M$18,7,FALSE),"*")</f>
        <v>#N/A</v>
      </c>
      <c r="AD3836" s="81" t="e">
        <f>IF(X3836=2,HLOOKUP(R3836,データについて!$J$12:$M$18,7,FALSE),"*")</f>
        <v>#N/A</v>
      </c>
    </row>
    <row r="3837" spans="19:30">
      <c r="S3837" s="81" t="e">
        <f>HLOOKUP(L3837,データについて!$J$6:$M$18,13,FALSE)</f>
        <v>#N/A</v>
      </c>
      <c r="T3837" s="81" t="e">
        <f>HLOOKUP(M3837,データについて!$J$7:$M$18,12,FALSE)</f>
        <v>#N/A</v>
      </c>
      <c r="U3837" s="81" t="e">
        <f>HLOOKUP(N3837,データについて!$J$8:$M$18,11,FALSE)</f>
        <v>#N/A</v>
      </c>
      <c r="V3837" s="81" t="e">
        <f>HLOOKUP(O3837,データについて!$J$9:$M$18,10,FALSE)</f>
        <v>#N/A</v>
      </c>
      <c r="W3837" s="81" t="e">
        <f>HLOOKUP(P3837,データについて!$J$10:$M$18,9,FALSE)</f>
        <v>#N/A</v>
      </c>
      <c r="X3837" s="81" t="e">
        <f>HLOOKUP(Q3837,データについて!$J$11:$M$18,8,FALSE)</f>
        <v>#N/A</v>
      </c>
      <c r="Y3837" s="81" t="e">
        <f>HLOOKUP(R3837,データについて!$J$12:$M$18,7,FALSE)</f>
        <v>#N/A</v>
      </c>
      <c r="Z3837" s="81" t="e">
        <f>HLOOKUP(I3837,データについて!$J$3:$M$18,16,FALSE)</f>
        <v>#N/A</v>
      </c>
      <c r="AA3837" s="81" t="str">
        <f>IFERROR(HLOOKUP(J3837,データについて!$J$4:$AH$19,16,FALSE),"")</f>
        <v/>
      </c>
      <c r="AB3837" s="81" t="str">
        <f>IFERROR(HLOOKUP(K3837,データについて!$J$5:$AH$20,14,FALSE),"")</f>
        <v/>
      </c>
      <c r="AC3837" s="81" t="e">
        <f>IF(X3837=1,HLOOKUP(R3837,データについて!$J$12:$M$18,7,FALSE),"*")</f>
        <v>#N/A</v>
      </c>
      <c r="AD3837" s="81" t="e">
        <f>IF(X3837=2,HLOOKUP(R3837,データについて!$J$12:$M$18,7,FALSE),"*")</f>
        <v>#N/A</v>
      </c>
    </row>
    <row r="3838" spans="19:30">
      <c r="S3838" s="81" t="e">
        <f>HLOOKUP(L3838,データについて!$J$6:$M$18,13,FALSE)</f>
        <v>#N/A</v>
      </c>
      <c r="T3838" s="81" t="e">
        <f>HLOOKUP(M3838,データについて!$J$7:$M$18,12,FALSE)</f>
        <v>#N/A</v>
      </c>
      <c r="U3838" s="81" t="e">
        <f>HLOOKUP(N3838,データについて!$J$8:$M$18,11,FALSE)</f>
        <v>#N/A</v>
      </c>
      <c r="V3838" s="81" t="e">
        <f>HLOOKUP(O3838,データについて!$J$9:$M$18,10,FALSE)</f>
        <v>#N/A</v>
      </c>
      <c r="W3838" s="81" t="e">
        <f>HLOOKUP(P3838,データについて!$J$10:$M$18,9,FALSE)</f>
        <v>#N/A</v>
      </c>
      <c r="X3838" s="81" t="e">
        <f>HLOOKUP(Q3838,データについて!$J$11:$M$18,8,FALSE)</f>
        <v>#N/A</v>
      </c>
      <c r="Y3838" s="81" t="e">
        <f>HLOOKUP(R3838,データについて!$J$12:$M$18,7,FALSE)</f>
        <v>#N/A</v>
      </c>
      <c r="Z3838" s="81" t="e">
        <f>HLOOKUP(I3838,データについて!$J$3:$M$18,16,FALSE)</f>
        <v>#N/A</v>
      </c>
      <c r="AA3838" s="81" t="str">
        <f>IFERROR(HLOOKUP(J3838,データについて!$J$4:$AH$19,16,FALSE),"")</f>
        <v/>
      </c>
      <c r="AB3838" s="81" t="str">
        <f>IFERROR(HLOOKUP(K3838,データについて!$J$5:$AH$20,14,FALSE),"")</f>
        <v/>
      </c>
      <c r="AC3838" s="81" t="e">
        <f>IF(X3838=1,HLOOKUP(R3838,データについて!$J$12:$M$18,7,FALSE),"*")</f>
        <v>#N/A</v>
      </c>
      <c r="AD3838" s="81" t="e">
        <f>IF(X3838=2,HLOOKUP(R3838,データについて!$J$12:$M$18,7,FALSE),"*")</f>
        <v>#N/A</v>
      </c>
    </row>
    <row r="3839" spans="19:30">
      <c r="S3839" s="81" t="e">
        <f>HLOOKUP(L3839,データについて!$J$6:$M$18,13,FALSE)</f>
        <v>#N/A</v>
      </c>
      <c r="T3839" s="81" t="e">
        <f>HLOOKUP(M3839,データについて!$J$7:$M$18,12,FALSE)</f>
        <v>#N/A</v>
      </c>
      <c r="U3839" s="81" t="e">
        <f>HLOOKUP(N3839,データについて!$J$8:$M$18,11,FALSE)</f>
        <v>#N/A</v>
      </c>
      <c r="V3839" s="81" t="e">
        <f>HLOOKUP(O3839,データについて!$J$9:$M$18,10,FALSE)</f>
        <v>#N/A</v>
      </c>
      <c r="W3839" s="81" t="e">
        <f>HLOOKUP(P3839,データについて!$J$10:$M$18,9,FALSE)</f>
        <v>#N/A</v>
      </c>
      <c r="X3839" s="81" t="e">
        <f>HLOOKUP(Q3839,データについて!$J$11:$M$18,8,FALSE)</f>
        <v>#N/A</v>
      </c>
      <c r="Y3839" s="81" t="e">
        <f>HLOOKUP(R3839,データについて!$J$12:$M$18,7,FALSE)</f>
        <v>#N/A</v>
      </c>
      <c r="Z3839" s="81" t="e">
        <f>HLOOKUP(I3839,データについて!$J$3:$M$18,16,FALSE)</f>
        <v>#N/A</v>
      </c>
      <c r="AA3839" s="81" t="str">
        <f>IFERROR(HLOOKUP(J3839,データについて!$J$4:$AH$19,16,FALSE),"")</f>
        <v/>
      </c>
      <c r="AB3839" s="81" t="str">
        <f>IFERROR(HLOOKUP(K3839,データについて!$J$5:$AH$20,14,FALSE),"")</f>
        <v/>
      </c>
      <c r="AC3839" s="81" t="e">
        <f>IF(X3839=1,HLOOKUP(R3839,データについて!$J$12:$M$18,7,FALSE),"*")</f>
        <v>#N/A</v>
      </c>
      <c r="AD3839" s="81" t="e">
        <f>IF(X3839=2,HLOOKUP(R3839,データについて!$J$12:$M$18,7,FALSE),"*")</f>
        <v>#N/A</v>
      </c>
    </row>
    <row r="3840" spans="19:30">
      <c r="S3840" s="81" t="e">
        <f>HLOOKUP(L3840,データについて!$J$6:$M$18,13,FALSE)</f>
        <v>#N/A</v>
      </c>
      <c r="T3840" s="81" t="e">
        <f>HLOOKUP(M3840,データについて!$J$7:$M$18,12,FALSE)</f>
        <v>#N/A</v>
      </c>
      <c r="U3840" s="81" t="e">
        <f>HLOOKUP(N3840,データについて!$J$8:$M$18,11,FALSE)</f>
        <v>#N/A</v>
      </c>
      <c r="V3840" s="81" t="e">
        <f>HLOOKUP(O3840,データについて!$J$9:$M$18,10,FALSE)</f>
        <v>#N/A</v>
      </c>
      <c r="W3840" s="81" t="e">
        <f>HLOOKUP(P3840,データについて!$J$10:$M$18,9,FALSE)</f>
        <v>#N/A</v>
      </c>
      <c r="X3840" s="81" t="e">
        <f>HLOOKUP(Q3840,データについて!$J$11:$M$18,8,FALSE)</f>
        <v>#N/A</v>
      </c>
      <c r="Y3840" s="81" t="e">
        <f>HLOOKUP(R3840,データについて!$J$12:$M$18,7,FALSE)</f>
        <v>#N/A</v>
      </c>
      <c r="Z3840" s="81" t="e">
        <f>HLOOKUP(I3840,データについて!$J$3:$M$18,16,FALSE)</f>
        <v>#N/A</v>
      </c>
      <c r="AA3840" s="81" t="str">
        <f>IFERROR(HLOOKUP(J3840,データについて!$J$4:$AH$19,16,FALSE),"")</f>
        <v/>
      </c>
      <c r="AB3840" s="81" t="str">
        <f>IFERROR(HLOOKUP(K3840,データについて!$J$5:$AH$20,14,FALSE),"")</f>
        <v/>
      </c>
      <c r="AC3840" s="81" t="e">
        <f>IF(X3840=1,HLOOKUP(R3840,データについて!$J$12:$M$18,7,FALSE),"*")</f>
        <v>#N/A</v>
      </c>
      <c r="AD3840" s="81" t="e">
        <f>IF(X3840=2,HLOOKUP(R3840,データについて!$J$12:$M$18,7,FALSE),"*")</f>
        <v>#N/A</v>
      </c>
    </row>
    <row r="3841" spans="19:30">
      <c r="S3841" s="81" t="e">
        <f>HLOOKUP(L3841,データについて!$J$6:$M$18,13,FALSE)</f>
        <v>#N/A</v>
      </c>
      <c r="T3841" s="81" t="e">
        <f>HLOOKUP(M3841,データについて!$J$7:$M$18,12,FALSE)</f>
        <v>#N/A</v>
      </c>
      <c r="U3841" s="81" t="e">
        <f>HLOOKUP(N3841,データについて!$J$8:$M$18,11,FALSE)</f>
        <v>#N/A</v>
      </c>
      <c r="V3841" s="81" t="e">
        <f>HLOOKUP(O3841,データについて!$J$9:$M$18,10,FALSE)</f>
        <v>#N/A</v>
      </c>
      <c r="W3841" s="81" t="e">
        <f>HLOOKUP(P3841,データについて!$J$10:$M$18,9,FALSE)</f>
        <v>#N/A</v>
      </c>
      <c r="X3841" s="81" t="e">
        <f>HLOOKUP(Q3841,データについて!$J$11:$M$18,8,FALSE)</f>
        <v>#N/A</v>
      </c>
      <c r="Y3841" s="81" t="e">
        <f>HLOOKUP(R3841,データについて!$J$12:$M$18,7,FALSE)</f>
        <v>#N/A</v>
      </c>
      <c r="Z3841" s="81" t="e">
        <f>HLOOKUP(I3841,データについて!$J$3:$M$18,16,FALSE)</f>
        <v>#N/A</v>
      </c>
      <c r="AA3841" s="81" t="str">
        <f>IFERROR(HLOOKUP(J3841,データについて!$J$4:$AH$19,16,FALSE),"")</f>
        <v/>
      </c>
      <c r="AB3841" s="81" t="str">
        <f>IFERROR(HLOOKUP(K3841,データについて!$J$5:$AH$20,14,FALSE),"")</f>
        <v/>
      </c>
      <c r="AC3841" s="81" t="e">
        <f>IF(X3841=1,HLOOKUP(R3841,データについて!$J$12:$M$18,7,FALSE),"*")</f>
        <v>#N/A</v>
      </c>
      <c r="AD3841" s="81" t="e">
        <f>IF(X3841=2,HLOOKUP(R3841,データについて!$J$12:$M$18,7,FALSE),"*")</f>
        <v>#N/A</v>
      </c>
    </row>
    <row r="3842" spans="19:30">
      <c r="S3842" s="81" t="e">
        <f>HLOOKUP(L3842,データについて!$J$6:$M$18,13,FALSE)</f>
        <v>#N/A</v>
      </c>
      <c r="T3842" s="81" t="e">
        <f>HLOOKUP(M3842,データについて!$J$7:$M$18,12,FALSE)</f>
        <v>#N/A</v>
      </c>
      <c r="U3842" s="81" t="e">
        <f>HLOOKUP(N3842,データについて!$J$8:$M$18,11,FALSE)</f>
        <v>#N/A</v>
      </c>
      <c r="V3842" s="81" t="e">
        <f>HLOOKUP(O3842,データについて!$J$9:$M$18,10,FALSE)</f>
        <v>#N/A</v>
      </c>
      <c r="W3842" s="81" t="e">
        <f>HLOOKUP(P3842,データについて!$J$10:$M$18,9,FALSE)</f>
        <v>#N/A</v>
      </c>
      <c r="X3842" s="81" t="e">
        <f>HLOOKUP(Q3842,データについて!$J$11:$M$18,8,FALSE)</f>
        <v>#N/A</v>
      </c>
      <c r="Y3842" s="81" t="e">
        <f>HLOOKUP(R3842,データについて!$J$12:$M$18,7,FALSE)</f>
        <v>#N/A</v>
      </c>
      <c r="Z3842" s="81" t="e">
        <f>HLOOKUP(I3842,データについて!$J$3:$M$18,16,FALSE)</f>
        <v>#N/A</v>
      </c>
      <c r="AA3842" s="81" t="str">
        <f>IFERROR(HLOOKUP(J3842,データについて!$J$4:$AH$19,16,FALSE),"")</f>
        <v/>
      </c>
      <c r="AB3842" s="81" t="str">
        <f>IFERROR(HLOOKUP(K3842,データについて!$J$5:$AH$20,14,FALSE),"")</f>
        <v/>
      </c>
      <c r="AC3842" s="81" t="e">
        <f>IF(X3842=1,HLOOKUP(R3842,データについて!$J$12:$M$18,7,FALSE),"*")</f>
        <v>#N/A</v>
      </c>
      <c r="AD3842" s="81" t="e">
        <f>IF(X3842=2,HLOOKUP(R3842,データについて!$J$12:$M$18,7,FALSE),"*")</f>
        <v>#N/A</v>
      </c>
    </row>
    <row r="3843" spans="19:30">
      <c r="S3843" s="81" t="e">
        <f>HLOOKUP(L3843,データについて!$J$6:$M$18,13,FALSE)</f>
        <v>#N/A</v>
      </c>
      <c r="T3843" s="81" t="e">
        <f>HLOOKUP(M3843,データについて!$J$7:$M$18,12,FALSE)</f>
        <v>#N/A</v>
      </c>
      <c r="U3843" s="81" t="e">
        <f>HLOOKUP(N3843,データについて!$J$8:$M$18,11,FALSE)</f>
        <v>#N/A</v>
      </c>
      <c r="V3843" s="81" t="e">
        <f>HLOOKUP(O3843,データについて!$J$9:$M$18,10,FALSE)</f>
        <v>#N/A</v>
      </c>
      <c r="W3843" s="81" t="e">
        <f>HLOOKUP(P3843,データについて!$J$10:$M$18,9,FALSE)</f>
        <v>#N/A</v>
      </c>
      <c r="X3843" s="81" t="e">
        <f>HLOOKUP(Q3843,データについて!$J$11:$M$18,8,FALSE)</f>
        <v>#N/A</v>
      </c>
      <c r="Y3843" s="81" t="e">
        <f>HLOOKUP(R3843,データについて!$J$12:$M$18,7,FALSE)</f>
        <v>#N/A</v>
      </c>
      <c r="Z3843" s="81" t="e">
        <f>HLOOKUP(I3843,データについて!$J$3:$M$18,16,FALSE)</f>
        <v>#N/A</v>
      </c>
      <c r="AA3843" s="81" t="str">
        <f>IFERROR(HLOOKUP(J3843,データについて!$J$4:$AH$19,16,FALSE),"")</f>
        <v/>
      </c>
      <c r="AB3843" s="81" t="str">
        <f>IFERROR(HLOOKUP(K3843,データについて!$J$5:$AH$20,14,FALSE),"")</f>
        <v/>
      </c>
      <c r="AC3843" s="81" t="e">
        <f>IF(X3843=1,HLOOKUP(R3843,データについて!$J$12:$M$18,7,FALSE),"*")</f>
        <v>#N/A</v>
      </c>
      <c r="AD3843" s="81" t="e">
        <f>IF(X3843=2,HLOOKUP(R3843,データについて!$J$12:$M$18,7,FALSE),"*")</f>
        <v>#N/A</v>
      </c>
    </row>
    <row r="3844" spans="19:30">
      <c r="S3844" s="81" t="e">
        <f>HLOOKUP(L3844,データについて!$J$6:$M$18,13,FALSE)</f>
        <v>#N/A</v>
      </c>
      <c r="T3844" s="81" t="e">
        <f>HLOOKUP(M3844,データについて!$J$7:$M$18,12,FALSE)</f>
        <v>#N/A</v>
      </c>
      <c r="U3844" s="81" t="e">
        <f>HLOOKUP(N3844,データについて!$J$8:$M$18,11,FALSE)</f>
        <v>#N/A</v>
      </c>
      <c r="V3844" s="81" t="e">
        <f>HLOOKUP(O3844,データについて!$J$9:$M$18,10,FALSE)</f>
        <v>#N/A</v>
      </c>
      <c r="W3844" s="81" t="e">
        <f>HLOOKUP(P3844,データについて!$J$10:$M$18,9,FALSE)</f>
        <v>#N/A</v>
      </c>
      <c r="X3844" s="81" t="e">
        <f>HLOOKUP(Q3844,データについて!$J$11:$M$18,8,FALSE)</f>
        <v>#N/A</v>
      </c>
      <c r="Y3844" s="81" t="e">
        <f>HLOOKUP(R3844,データについて!$J$12:$M$18,7,FALSE)</f>
        <v>#N/A</v>
      </c>
      <c r="Z3844" s="81" t="e">
        <f>HLOOKUP(I3844,データについて!$J$3:$M$18,16,FALSE)</f>
        <v>#N/A</v>
      </c>
      <c r="AA3844" s="81" t="str">
        <f>IFERROR(HLOOKUP(J3844,データについて!$J$4:$AH$19,16,FALSE),"")</f>
        <v/>
      </c>
      <c r="AB3844" s="81" t="str">
        <f>IFERROR(HLOOKUP(K3844,データについて!$J$5:$AH$20,14,FALSE),"")</f>
        <v/>
      </c>
      <c r="AC3844" s="81" t="e">
        <f>IF(X3844=1,HLOOKUP(R3844,データについて!$J$12:$M$18,7,FALSE),"*")</f>
        <v>#N/A</v>
      </c>
      <c r="AD3844" s="81" t="e">
        <f>IF(X3844=2,HLOOKUP(R3844,データについて!$J$12:$M$18,7,FALSE),"*")</f>
        <v>#N/A</v>
      </c>
    </row>
    <row r="3845" spans="19:30">
      <c r="S3845" s="81" t="e">
        <f>HLOOKUP(L3845,データについて!$J$6:$M$18,13,FALSE)</f>
        <v>#N/A</v>
      </c>
      <c r="T3845" s="81" t="e">
        <f>HLOOKUP(M3845,データについて!$J$7:$M$18,12,FALSE)</f>
        <v>#N/A</v>
      </c>
      <c r="U3845" s="81" t="e">
        <f>HLOOKUP(N3845,データについて!$J$8:$M$18,11,FALSE)</f>
        <v>#N/A</v>
      </c>
      <c r="V3845" s="81" t="e">
        <f>HLOOKUP(O3845,データについて!$J$9:$M$18,10,FALSE)</f>
        <v>#N/A</v>
      </c>
      <c r="W3845" s="81" t="e">
        <f>HLOOKUP(P3845,データについて!$J$10:$M$18,9,FALSE)</f>
        <v>#N/A</v>
      </c>
      <c r="X3845" s="81" t="e">
        <f>HLOOKUP(Q3845,データについて!$J$11:$M$18,8,FALSE)</f>
        <v>#N/A</v>
      </c>
      <c r="Y3845" s="81" t="e">
        <f>HLOOKUP(R3845,データについて!$J$12:$M$18,7,FALSE)</f>
        <v>#N/A</v>
      </c>
      <c r="Z3845" s="81" t="e">
        <f>HLOOKUP(I3845,データについて!$J$3:$M$18,16,FALSE)</f>
        <v>#N/A</v>
      </c>
      <c r="AA3845" s="81" t="str">
        <f>IFERROR(HLOOKUP(J3845,データについて!$J$4:$AH$19,16,FALSE),"")</f>
        <v/>
      </c>
      <c r="AB3845" s="81" t="str">
        <f>IFERROR(HLOOKUP(K3845,データについて!$J$5:$AH$20,14,FALSE),"")</f>
        <v/>
      </c>
      <c r="AC3845" s="81" t="e">
        <f>IF(X3845=1,HLOOKUP(R3845,データについて!$J$12:$M$18,7,FALSE),"*")</f>
        <v>#N/A</v>
      </c>
      <c r="AD3845" s="81" t="e">
        <f>IF(X3845=2,HLOOKUP(R3845,データについて!$J$12:$M$18,7,FALSE),"*")</f>
        <v>#N/A</v>
      </c>
    </row>
    <row r="3846" spans="19:30">
      <c r="S3846" s="81" t="e">
        <f>HLOOKUP(L3846,データについて!$J$6:$M$18,13,FALSE)</f>
        <v>#N/A</v>
      </c>
      <c r="T3846" s="81" t="e">
        <f>HLOOKUP(M3846,データについて!$J$7:$M$18,12,FALSE)</f>
        <v>#N/A</v>
      </c>
      <c r="U3846" s="81" t="e">
        <f>HLOOKUP(N3846,データについて!$J$8:$M$18,11,FALSE)</f>
        <v>#N/A</v>
      </c>
      <c r="V3846" s="81" t="e">
        <f>HLOOKUP(O3846,データについて!$J$9:$M$18,10,FALSE)</f>
        <v>#N/A</v>
      </c>
      <c r="W3846" s="81" t="e">
        <f>HLOOKUP(P3846,データについて!$J$10:$M$18,9,FALSE)</f>
        <v>#N/A</v>
      </c>
      <c r="X3846" s="81" t="e">
        <f>HLOOKUP(Q3846,データについて!$J$11:$M$18,8,FALSE)</f>
        <v>#N/A</v>
      </c>
      <c r="Y3846" s="81" t="e">
        <f>HLOOKUP(R3846,データについて!$J$12:$M$18,7,FALSE)</f>
        <v>#N/A</v>
      </c>
      <c r="Z3846" s="81" t="e">
        <f>HLOOKUP(I3846,データについて!$J$3:$M$18,16,FALSE)</f>
        <v>#N/A</v>
      </c>
      <c r="AA3846" s="81" t="str">
        <f>IFERROR(HLOOKUP(J3846,データについて!$J$4:$AH$19,16,FALSE),"")</f>
        <v/>
      </c>
      <c r="AB3846" s="81" t="str">
        <f>IFERROR(HLOOKUP(K3846,データについて!$J$5:$AH$20,14,FALSE),"")</f>
        <v/>
      </c>
      <c r="AC3846" s="81" t="e">
        <f>IF(X3846=1,HLOOKUP(R3846,データについて!$J$12:$M$18,7,FALSE),"*")</f>
        <v>#N/A</v>
      </c>
      <c r="AD3846" s="81" t="e">
        <f>IF(X3846=2,HLOOKUP(R3846,データについて!$J$12:$M$18,7,FALSE),"*")</f>
        <v>#N/A</v>
      </c>
    </row>
    <row r="3847" spans="19:30">
      <c r="S3847" s="81" t="e">
        <f>HLOOKUP(L3847,データについて!$J$6:$M$18,13,FALSE)</f>
        <v>#N/A</v>
      </c>
      <c r="T3847" s="81" t="e">
        <f>HLOOKUP(M3847,データについて!$J$7:$M$18,12,FALSE)</f>
        <v>#N/A</v>
      </c>
      <c r="U3847" s="81" t="e">
        <f>HLOOKUP(N3847,データについて!$J$8:$M$18,11,FALSE)</f>
        <v>#N/A</v>
      </c>
      <c r="V3847" s="81" t="e">
        <f>HLOOKUP(O3847,データについて!$J$9:$M$18,10,FALSE)</f>
        <v>#N/A</v>
      </c>
      <c r="W3847" s="81" t="e">
        <f>HLOOKUP(P3847,データについて!$J$10:$M$18,9,FALSE)</f>
        <v>#N/A</v>
      </c>
      <c r="X3847" s="81" t="e">
        <f>HLOOKUP(Q3847,データについて!$J$11:$M$18,8,FALSE)</f>
        <v>#N/A</v>
      </c>
      <c r="Y3847" s="81" t="e">
        <f>HLOOKUP(R3847,データについて!$J$12:$M$18,7,FALSE)</f>
        <v>#N/A</v>
      </c>
      <c r="Z3847" s="81" t="e">
        <f>HLOOKUP(I3847,データについて!$J$3:$M$18,16,FALSE)</f>
        <v>#N/A</v>
      </c>
      <c r="AA3847" s="81" t="str">
        <f>IFERROR(HLOOKUP(J3847,データについて!$J$4:$AH$19,16,FALSE),"")</f>
        <v/>
      </c>
      <c r="AB3847" s="81" t="str">
        <f>IFERROR(HLOOKUP(K3847,データについて!$J$5:$AH$20,14,FALSE),"")</f>
        <v/>
      </c>
      <c r="AC3847" s="81" t="e">
        <f>IF(X3847=1,HLOOKUP(R3847,データについて!$J$12:$M$18,7,FALSE),"*")</f>
        <v>#N/A</v>
      </c>
      <c r="AD3847" s="81" t="e">
        <f>IF(X3847=2,HLOOKUP(R3847,データについて!$J$12:$M$18,7,FALSE),"*")</f>
        <v>#N/A</v>
      </c>
    </row>
    <row r="3848" spans="19:30">
      <c r="S3848" s="81" t="e">
        <f>HLOOKUP(L3848,データについて!$J$6:$M$18,13,FALSE)</f>
        <v>#N/A</v>
      </c>
      <c r="T3848" s="81" t="e">
        <f>HLOOKUP(M3848,データについて!$J$7:$M$18,12,FALSE)</f>
        <v>#N/A</v>
      </c>
      <c r="U3848" s="81" t="e">
        <f>HLOOKUP(N3848,データについて!$J$8:$M$18,11,FALSE)</f>
        <v>#N/A</v>
      </c>
      <c r="V3848" s="81" t="e">
        <f>HLOOKUP(O3848,データについて!$J$9:$M$18,10,FALSE)</f>
        <v>#N/A</v>
      </c>
      <c r="W3848" s="81" t="e">
        <f>HLOOKUP(P3848,データについて!$J$10:$M$18,9,FALSE)</f>
        <v>#N/A</v>
      </c>
      <c r="X3848" s="81" t="e">
        <f>HLOOKUP(Q3848,データについて!$J$11:$M$18,8,FALSE)</f>
        <v>#N/A</v>
      </c>
      <c r="Y3848" s="81" t="e">
        <f>HLOOKUP(R3848,データについて!$J$12:$M$18,7,FALSE)</f>
        <v>#N/A</v>
      </c>
      <c r="Z3848" s="81" t="e">
        <f>HLOOKUP(I3848,データについて!$J$3:$M$18,16,FALSE)</f>
        <v>#N/A</v>
      </c>
      <c r="AA3848" s="81" t="str">
        <f>IFERROR(HLOOKUP(J3848,データについて!$J$4:$AH$19,16,FALSE),"")</f>
        <v/>
      </c>
      <c r="AB3848" s="81" t="str">
        <f>IFERROR(HLOOKUP(K3848,データについて!$J$5:$AH$20,14,FALSE),"")</f>
        <v/>
      </c>
      <c r="AC3848" s="81" t="e">
        <f>IF(X3848=1,HLOOKUP(R3848,データについて!$J$12:$M$18,7,FALSE),"*")</f>
        <v>#N/A</v>
      </c>
      <c r="AD3848" s="81" t="e">
        <f>IF(X3848=2,HLOOKUP(R3848,データについて!$J$12:$M$18,7,FALSE),"*")</f>
        <v>#N/A</v>
      </c>
    </row>
    <row r="3849" spans="19:30">
      <c r="S3849" s="81" t="e">
        <f>HLOOKUP(L3849,データについて!$J$6:$M$18,13,FALSE)</f>
        <v>#N/A</v>
      </c>
      <c r="T3849" s="81" t="e">
        <f>HLOOKUP(M3849,データについて!$J$7:$M$18,12,FALSE)</f>
        <v>#N/A</v>
      </c>
      <c r="U3849" s="81" t="e">
        <f>HLOOKUP(N3849,データについて!$J$8:$M$18,11,FALSE)</f>
        <v>#N/A</v>
      </c>
      <c r="V3849" s="81" t="e">
        <f>HLOOKUP(O3849,データについて!$J$9:$M$18,10,FALSE)</f>
        <v>#N/A</v>
      </c>
      <c r="W3849" s="81" t="e">
        <f>HLOOKUP(P3849,データについて!$J$10:$M$18,9,FALSE)</f>
        <v>#N/A</v>
      </c>
      <c r="X3849" s="81" t="e">
        <f>HLOOKUP(Q3849,データについて!$J$11:$M$18,8,FALSE)</f>
        <v>#N/A</v>
      </c>
      <c r="Y3849" s="81" t="e">
        <f>HLOOKUP(R3849,データについて!$J$12:$M$18,7,FALSE)</f>
        <v>#N/A</v>
      </c>
      <c r="Z3849" s="81" t="e">
        <f>HLOOKUP(I3849,データについて!$J$3:$M$18,16,FALSE)</f>
        <v>#N/A</v>
      </c>
      <c r="AA3849" s="81" t="str">
        <f>IFERROR(HLOOKUP(J3849,データについて!$J$4:$AH$19,16,FALSE),"")</f>
        <v/>
      </c>
      <c r="AB3849" s="81" t="str">
        <f>IFERROR(HLOOKUP(K3849,データについて!$J$5:$AH$20,14,FALSE),"")</f>
        <v/>
      </c>
      <c r="AC3849" s="81" t="e">
        <f>IF(X3849=1,HLOOKUP(R3849,データについて!$J$12:$M$18,7,FALSE),"*")</f>
        <v>#N/A</v>
      </c>
      <c r="AD3849" s="81" t="e">
        <f>IF(X3849=2,HLOOKUP(R3849,データについて!$J$12:$M$18,7,FALSE),"*")</f>
        <v>#N/A</v>
      </c>
    </row>
    <row r="3850" spans="19:30">
      <c r="S3850" s="81" t="e">
        <f>HLOOKUP(L3850,データについて!$J$6:$M$18,13,FALSE)</f>
        <v>#N/A</v>
      </c>
      <c r="T3850" s="81" t="e">
        <f>HLOOKUP(M3850,データについて!$J$7:$M$18,12,FALSE)</f>
        <v>#N/A</v>
      </c>
      <c r="U3850" s="81" t="e">
        <f>HLOOKUP(N3850,データについて!$J$8:$M$18,11,FALSE)</f>
        <v>#N/A</v>
      </c>
      <c r="V3850" s="81" t="e">
        <f>HLOOKUP(O3850,データについて!$J$9:$M$18,10,FALSE)</f>
        <v>#N/A</v>
      </c>
      <c r="W3850" s="81" t="e">
        <f>HLOOKUP(P3850,データについて!$J$10:$M$18,9,FALSE)</f>
        <v>#N/A</v>
      </c>
      <c r="X3850" s="81" t="e">
        <f>HLOOKUP(Q3850,データについて!$J$11:$M$18,8,FALSE)</f>
        <v>#N/A</v>
      </c>
      <c r="Y3850" s="81" t="e">
        <f>HLOOKUP(R3850,データについて!$J$12:$M$18,7,FALSE)</f>
        <v>#N/A</v>
      </c>
      <c r="Z3850" s="81" t="e">
        <f>HLOOKUP(I3850,データについて!$J$3:$M$18,16,FALSE)</f>
        <v>#N/A</v>
      </c>
      <c r="AA3850" s="81" t="str">
        <f>IFERROR(HLOOKUP(J3850,データについて!$J$4:$AH$19,16,FALSE),"")</f>
        <v/>
      </c>
      <c r="AB3850" s="81" t="str">
        <f>IFERROR(HLOOKUP(K3850,データについて!$J$5:$AH$20,14,FALSE),"")</f>
        <v/>
      </c>
      <c r="AC3850" s="81" t="e">
        <f>IF(X3850=1,HLOOKUP(R3850,データについて!$J$12:$M$18,7,FALSE),"*")</f>
        <v>#N/A</v>
      </c>
      <c r="AD3850" s="81" t="e">
        <f>IF(X3850=2,HLOOKUP(R3850,データについて!$J$12:$M$18,7,FALSE),"*")</f>
        <v>#N/A</v>
      </c>
    </row>
    <row r="3851" spans="19:30">
      <c r="S3851" s="81" t="e">
        <f>HLOOKUP(L3851,データについて!$J$6:$M$18,13,FALSE)</f>
        <v>#N/A</v>
      </c>
      <c r="T3851" s="81" t="e">
        <f>HLOOKUP(M3851,データについて!$J$7:$M$18,12,FALSE)</f>
        <v>#N/A</v>
      </c>
      <c r="U3851" s="81" t="e">
        <f>HLOOKUP(N3851,データについて!$J$8:$M$18,11,FALSE)</f>
        <v>#N/A</v>
      </c>
      <c r="V3851" s="81" t="e">
        <f>HLOOKUP(O3851,データについて!$J$9:$M$18,10,FALSE)</f>
        <v>#N/A</v>
      </c>
      <c r="W3851" s="81" t="e">
        <f>HLOOKUP(P3851,データについて!$J$10:$M$18,9,FALSE)</f>
        <v>#N/A</v>
      </c>
      <c r="X3851" s="81" t="e">
        <f>HLOOKUP(Q3851,データについて!$J$11:$M$18,8,FALSE)</f>
        <v>#N/A</v>
      </c>
      <c r="Y3851" s="81" t="e">
        <f>HLOOKUP(R3851,データについて!$J$12:$M$18,7,FALSE)</f>
        <v>#N/A</v>
      </c>
      <c r="Z3851" s="81" t="e">
        <f>HLOOKUP(I3851,データについて!$J$3:$M$18,16,FALSE)</f>
        <v>#N/A</v>
      </c>
      <c r="AA3851" s="81" t="str">
        <f>IFERROR(HLOOKUP(J3851,データについて!$J$4:$AH$19,16,FALSE),"")</f>
        <v/>
      </c>
      <c r="AB3851" s="81" t="str">
        <f>IFERROR(HLOOKUP(K3851,データについて!$J$5:$AH$20,14,FALSE),"")</f>
        <v/>
      </c>
      <c r="AC3851" s="81" t="e">
        <f>IF(X3851=1,HLOOKUP(R3851,データについて!$J$12:$M$18,7,FALSE),"*")</f>
        <v>#N/A</v>
      </c>
      <c r="AD3851" s="81" t="e">
        <f>IF(X3851=2,HLOOKUP(R3851,データについて!$J$12:$M$18,7,FALSE),"*")</f>
        <v>#N/A</v>
      </c>
    </row>
    <row r="3852" spans="19:30">
      <c r="S3852" s="81" t="e">
        <f>HLOOKUP(L3852,データについて!$J$6:$M$18,13,FALSE)</f>
        <v>#N/A</v>
      </c>
      <c r="T3852" s="81" t="e">
        <f>HLOOKUP(M3852,データについて!$J$7:$M$18,12,FALSE)</f>
        <v>#N/A</v>
      </c>
      <c r="U3852" s="81" t="e">
        <f>HLOOKUP(N3852,データについて!$J$8:$M$18,11,FALSE)</f>
        <v>#N/A</v>
      </c>
      <c r="V3852" s="81" t="e">
        <f>HLOOKUP(O3852,データについて!$J$9:$M$18,10,FALSE)</f>
        <v>#N/A</v>
      </c>
      <c r="W3852" s="81" t="e">
        <f>HLOOKUP(P3852,データについて!$J$10:$M$18,9,FALSE)</f>
        <v>#N/A</v>
      </c>
      <c r="X3852" s="81" t="e">
        <f>HLOOKUP(Q3852,データについて!$J$11:$M$18,8,FALSE)</f>
        <v>#N/A</v>
      </c>
      <c r="Y3852" s="81" t="e">
        <f>HLOOKUP(R3852,データについて!$J$12:$M$18,7,FALSE)</f>
        <v>#N/A</v>
      </c>
      <c r="Z3852" s="81" t="e">
        <f>HLOOKUP(I3852,データについて!$J$3:$M$18,16,FALSE)</f>
        <v>#N/A</v>
      </c>
      <c r="AA3852" s="81" t="str">
        <f>IFERROR(HLOOKUP(J3852,データについて!$J$4:$AH$19,16,FALSE),"")</f>
        <v/>
      </c>
      <c r="AB3852" s="81" t="str">
        <f>IFERROR(HLOOKUP(K3852,データについて!$J$5:$AH$20,14,FALSE),"")</f>
        <v/>
      </c>
      <c r="AC3852" s="81" t="e">
        <f>IF(X3852=1,HLOOKUP(R3852,データについて!$J$12:$M$18,7,FALSE),"*")</f>
        <v>#N/A</v>
      </c>
      <c r="AD3852" s="81" t="e">
        <f>IF(X3852=2,HLOOKUP(R3852,データについて!$J$12:$M$18,7,FALSE),"*")</f>
        <v>#N/A</v>
      </c>
    </row>
    <row r="3853" spans="19:30">
      <c r="S3853" s="81" t="e">
        <f>HLOOKUP(L3853,データについて!$J$6:$M$18,13,FALSE)</f>
        <v>#N/A</v>
      </c>
      <c r="T3853" s="81" t="e">
        <f>HLOOKUP(M3853,データについて!$J$7:$M$18,12,FALSE)</f>
        <v>#N/A</v>
      </c>
      <c r="U3853" s="81" t="e">
        <f>HLOOKUP(N3853,データについて!$J$8:$M$18,11,FALSE)</f>
        <v>#N/A</v>
      </c>
      <c r="V3853" s="81" t="e">
        <f>HLOOKUP(O3853,データについて!$J$9:$M$18,10,FALSE)</f>
        <v>#N/A</v>
      </c>
      <c r="W3853" s="81" t="e">
        <f>HLOOKUP(P3853,データについて!$J$10:$M$18,9,FALSE)</f>
        <v>#N/A</v>
      </c>
      <c r="X3853" s="81" t="e">
        <f>HLOOKUP(Q3853,データについて!$J$11:$M$18,8,FALSE)</f>
        <v>#N/A</v>
      </c>
      <c r="Y3853" s="81" t="e">
        <f>HLOOKUP(R3853,データについて!$J$12:$M$18,7,FALSE)</f>
        <v>#N/A</v>
      </c>
      <c r="Z3853" s="81" t="e">
        <f>HLOOKUP(I3853,データについて!$J$3:$M$18,16,FALSE)</f>
        <v>#N/A</v>
      </c>
      <c r="AA3853" s="81" t="str">
        <f>IFERROR(HLOOKUP(J3853,データについて!$J$4:$AH$19,16,FALSE),"")</f>
        <v/>
      </c>
      <c r="AB3853" s="81" t="str">
        <f>IFERROR(HLOOKUP(K3853,データについて!$J$5:$AH$20,14,FALSE),"")</f>
        <v/>
      </c>
      <c r="AC3853" s="81" t="e">
        <f>IF(X3853=1,HLOOKUP(R3853,データについて!$J$12:$M$18,7,FALSE),"*")</f>
        <v>#N/A</v>
      </c>
      <c r="AD3853" s="81" t="e">
        <f>IF(X3853=2,HLOOKUP(R3853,データについて!$J$12:$M$18,7,FALSE),"*")</f>
        <v>#N/A</v>
      </c>
    </row>
    <row r="3854" spans="19:30">
      <c r="S3854" s="81" t="e">
        <f>HLOOKUP(L3854,データについて!$J$6:$M$18,13,FALSE)</f>
        <v>#N/A</v>
      </c>
      <c r="T3854" s="81" t="e">
        <f>HLOOKUP(M3854,データについて!$J$7:$M$18,12,FALSE)</f>
        <v>#N/A</v>
      </c>
      <c r="U3854" s="81" t="e">
        <f>HLOOKUP(N3854,データについて!$J$8:$M$18,11,FALSE)</f>
        <v>#N/A</v>
      </c>
      <c r="V3854" s="81" t="e">
        <f>HLOOKUP(O3854,データについて!$J$9:$M$18,10,FALSE)</f>
        <v>#N/A</v>
      </c>
      <c r="W3854" s="81" t="e">
        <f>HLOOKUP(P3854,データについて!$J$10:$M$18,9,FALSE)</f>
        <v>#N/A</v>
      </c>
      <c r="X3854" s="81" t="e">
        <f>HLOOKUP(Q3854,データについて!$J$11:$M$18,8,FALSE)</f>
        <v>#N/A</v>
      </c>
      <c r="Y3854" s="81" t="e">
        <f>HLOOKUP(R3854,データについて!$J$12:$M$18,7,FALSE)</f>
        <v>#N/A</v>
      </c>
      <c r="Z3854" s="81" t="e">
        <f>HLOOKUP(I3854,データについて!$J$3:$M$18,16,FALSE)</f>
        <v>#N/A</v>
      </c>
      <c r="AA3854" s="81" t="str">
        <f>IFERROR(HLOOKUP(J3854,データについて!$J$4:$AH$19,16,FALSE),"")</f>
        <v/>
      </c>
      <c r="AB3854" s="81" t="str">
        <f>IFERROR(HLOOKUP(K3854,データについて!$J$5:$AH$20,14,FALSE),"")</f>
        <v/>
      </c>
      <c r="AC3854" s="81" t="e">
        <f>IF(X3854=1,HLOOKUP(R3854,データについて!$J$12:$M$18,7,FALSE),"*")</f>
        <v>#N/A</v>
      </c>
      <c r="AD3854" s="81" t="e">
        <f>IF(X3854=2,HLOOKUP(R3854,データについて!$J$12:$M$18,7,FALSE),"*")</f>
        <v>#N/A</v>
      </c>
    </row>
    <row r="3855" spans="19:30">
      <c r="S3855" s="81" t="e">
        <f>HLOOKUP(L3855,データについて!$J$6:$M$18,13,FALSE)</f>
        <v>#N/A</v>
      </c>
      <c r="T3855" s="81" t="e">
        <f>HLOOKUP(M3855,データについて!$J$7:$M$18,12,FALSE)</f>
        <v>#N/A</v>
      </c>
      <c r="U3855" s="81" t="e">
        <f>HLOOKUP(N3855,データについて!$J$8:$M$18,11,FALSE)</f>
        <v>#N/A</v>
      </c>
      <c r="V3855" s="81" t="e">
        <f>HLOOKUP(O3855,データについて!$J$9:$M$18,10,FALSE)</f>
        <v>#N/A</v>
      </c>
      <c r="W3855" s="81" t="e">
        <f>HLOOKUP(P3855,データについて!$J$10:$M$18,9,FALSE)</f>
        <v>#N/A</v>
      </c>
      <c r="X3855" s="81" t="e">
        <f>HLOOKUP(Q3855,データについて!$J$11:$M$18,8,FALSE)</f>
        <v>#N/A</v>
      </c>
      <c r="Y3855" s="81" t="e">
        <f>HLOOKUP(R3855,データについて!$J$12:$M$18,7,FALSE)</f>
        <v>#N/A</v>
      </c>
      <c r="Z3855" s="81" t="e">
        <f>HLOOKUP(I3855,データについて!$J$3:$M$18,16,FALSE)</f>
        <v>#N/A</v>
      </c>
      <c r="AA3855" s="81" t="str">
        <f>IFERROR(HLOOKUP(J3855,データについて!$J$4:$AH$19,16,FALSE),"")</f>
        <v/>
      </c>
      <c r="AB3855" s="81" t="str">
        <f>IFERROR(HLOOKUP(K3855,データについて!$J$5:$AH$20,14,FALSE),"")</f>
        <v/>
      </c>
      <c r="AC3855" s="81" t="e">
        <f>IF(X3855=1,HLOOKUP(R3855,データについて!$J$12:$M$18,7,FALSE),"*")</f>
        <v>#N/A</v>
      </c>
      <c r="AD3855" s="81" t="e">
        <f>IF(X3855=2,HLOOKUP(R3855,データについて!$J$12:$M$18,7,FALSE),"*")</f>
        <v>#N/A</v>
      </c>
    </row>
    <row r="3856" spans="19:30">
      <c r="S3856" s="81" t="e">
        <f>HLOOKUP(L3856,データについて!$J$6:$M$18,13,FALSE)</f>
        <v>#N/A</v>
      </c>
      <c r="T3856" s="81" t="e">
        <f>HLOOKUP(M3856,データについて!$J$7:$M$18,12,FALSE)</f>
        <v>#N/A</v>
      </c>
      <c r="U3856" s="81" t="e">
        <f>HLOOKUP(N3856,データについて!$J$8:$M$18,11,FALSE)</f>
        <v>#N/A</v>
      </c>
      <c r="V3856" s="81" t="e">
        <f>HLOOKUP(O3856,データについて!$J$9:$M$18,10,FALSE)</f>
        <v>#N/A</v>
      </c>
      <c r="W3856" s="81" t="e">
        <f>HLOOKUP(P3856,データについて!$J$10:$M$18,9,FALSE)</f>
        <v>#N/A</v>
      </c>
      <c r="X3856" s="81" t="e">
        <f>HLOOKUP(Q3856,データについて!$J$11:$M$18,8,FALSE)</f>
        <v>#N/A</v>
      </c>
      <c r="Y3856" s="81" t="e">
        <f>HLOOKUP(R3856,データについて!$J$12:$M$18,7,FALSE)</f>
        <v>#N/A</v>
      </c>
      <c r="Z3856" s="81" t="e">
        <f>HLOOKUP(I3856,データについて!$J$3:$M$18,16,FALSE)</f>
        <v>#N/A</v>
      </c>
      <c r="AA3856" s="81" t="str">
        <f>IFERROR(HLOOKUP(J3856,データについて!$J$4:$AH$19,16,FALSE),"")</f>
        <v/>
      </c>
      <c r="AB3856" s="81" t="str">
        <f>IFERROR(HLOOKUP(K3856,データについて!$J$5:$AH$20,14,FALSE),"")</f>
        <v/>
      </c>
      <c r="AC3856" s="81" t="e">
        <f>IF(X3856=1,HLOOKUP(R3856,データについて!$J$12:$M$18,7,FALSE),"*")</f>
        <v>#N/A</v>
      </c>
      <c r="AD3856" s="81" t="e">
        <f>IF(X3856=2,HLOOKUP(R3856,データについて!$J$12:$M$18,7,FALSE),"*")</f>
        <v>#N/A</v>
      </c>
    </row>
    <row r="3857" spans="19:30">
      <c r="S3857" s="81" t="e">
        <f>HLOOKUP(L3857,データについて!$J$6:$M$18,13,FALSE)</f>
        <v>#N/A</v>
      </c>
      <c r="T3857" s="81" t="e">
        <f>HLOOKUP(M3857,データについて!$J$7:$M$18,12,FALSE)</f>
        <v>#N/A</v>
      </c>
      <c r="U3857" s="81" t="e">
        <f>HLOOKUP(N3857,データについて!$J$8:$M$18,11,FALSE)</f>
        <v>#N/A</v>
      </c>
      <c r="V3857" s="81" t="e">
        <f>HLOOKUP(O3857,データについて!$J$9:$M$18,10,FALSE)</f>
        <v>#N/A</v>
      </c>
      <c r="W3857" s="81" t="e">
        <f>HLOOKUP(P3857,データについて!$J$10:$M$18,9,FALSE)</f>
        <v>#N/A</v>
      </c>
      <c r="X3857" s="81" t="e">
        <f>HLOOKUP(Q3857,データについて!$J$11:$M$18,8,FALSE)</f>
        <v>#N/A</v>
      </c>
      <c r="Y3857" s="81" t="e">
        <f>HLOOKUP(R3857,データについて!$J$12:$M$18,7,FALSE)</f>
        <v>#N/A</v>
      </c>
      <c r="Z3857" s="81" t="e">
        <f>HLOOKUP(I3857,データについて!$J$3:$M$18,16,FALSE)</f>
        <v>#N/A</v>
      </c>
      <c r="AA3857" s="81" t="str">
        <f>IFERROR(HLOOKUP(J3857,データについて!$J$4:$AH$19,16,FALSE),"")</f>
        <v/>
      </c>
      <c r="AB3857" s="81" t="str">
        <f>IFERROR(HLOOKUP(K3857,データについて!$J$5:$AH$20,14,FALSE),"")</f>
        <v/>
      </c>
      <c r="AC3857" s="81" t="e">
        <f>IF(X3857=1,HLOOKUP(R3857,データについて!$J$12:$M$18,7,FALSE),"*")</f>
        <v>#N/A</v>
      </c>
      <c r="AD3857" s="81" t="e">
        <f>IF(X3857=2,HLOOKUP(R3857,データについて!$J$12:$M$18,7,FALSE),"*")</f>
        <v>#N/A</v>
      </c>
    </row>
    <row r="3858" spans="19:30">
      <c r="S3858" s="81" t="e">
        <f>HLOOKUP(L3858,データについて!$J$6:$M$18,13,FALSE)</f>
        <v>#N/A</v>
      </c>
      <c r="T3858" s="81" t="e">
        <f>HLOOKUP(M3858,データについて!$J$7:$M$18,12,FALSE)</f>
        <v>#N/A</v>
      </c>
      <c r="U3858" s="81" t="e">
        <f>HLOOKUP(N3858,データについて!$J$8:$M$18,11,FALSE)</f>
        <v>#N/A</v>
      </c>
      <c r="V3858" s="81" t="e">
        <f>HLOOKUP(O3858,データについて!$J$9:$M$18,10,FALSE)</f>
        <v>#N/A</v>
      </c>
      <c r="W3858" s="81" t="e">
        <f>HLOOKUP(P3858,データについて!$J$10:$M$18,9,FALSE)</f>
        <v>#N/A</v>
      </c>
      <c r="X3858" s="81" t="e">
        <f>HLOOKUP(Q3858,データについて!$J$11:$M$18,8,FALSE)</f>
        <v>#N/A</v>
      </c>
      <c r="Y3858" s="81" t="e">
        <f>HLOOKUP(R3858,データについて!$J$12:$M$18,7,FALSE)</f>
        <v>#N/A</v>
      </c>
      <c r="Z3858" s="81" t="e">
        <f>HLOOKUP(I3858,データについて!$J$3:$M$18,16,FALSE)</f>
        <v>#N/A</v>
      </c>
      <c r="AA3858" s="81" t="str">
        <f>IFERROR(HLOOKUP(J3858,データについて!$J$4:$AH$19,16,FALSE),"")</f>
        <v/>
      </c>
      <c r="AB3858" s="81" t="str">
        <f>IFERROR(HLOOKUP(K3858,データについて!$J$5:$AH$20,14,FALSE),"")</f>
        <v/>
      </c>
      <c r="AC3858" s="81" t="e">
        <f>IF(X3858=1,HLOOKUP(R3858,データについて!$J$12:$M$18,7,FALSE),"*")</f>
        <v>#N/A</v>
      </c>
      <c r="AD3858" s="81" t="e">
        <f>IF(X3858=2,HLOOKUP(R3858,データについて!$J$12:$M$18,7,FALSE),"*")</f>
        <v>#N/A</v>
      </c>
    </row>
    <row r="3859" spans="19:30">
      <c r="S3859" s="81" t="e">
        <f>HLOOKUP(L3859,データについて!$J$6:$M$18,13,FALSE)</f>
        <v>#N/A</v>
      </c>
      <c r="T3859" s="81" t="e">
        <f>HLOOKUP(M3859,データについて!$J$7:$M$18,12,FALSE)</f>
        <v>#N/A</v>
      </c>
      <c r="U3859" s="81" t="e">
        <f>HLOOKUP(N3859,データについて!$J$8:$M$18,11,FALSE)</f>
        <v>#N/A</v>
      </c>
      <c r="V3859" s="81" t="e">
        <f>HLOOKUP(O3859,データについて!$J$9:$M$18,10,FALSE)</f>
        <v>#N/A</v>
      </c>
      <c r="W3859" s="81" t="e">
        <f>HLOOKUP(P3859,データについて!$J$10:$M$18,9,FALSE)</f>
        <v>#N/A</v>
      </c>
      <c r="X3859" s="81" t="e">
        <f>HLOOKUP(Q3859,データについて!$J$11:$M$18,8,FALSE)</f>
        <v>#N/A</v>
      </c>
      <c r="Y3859" s="81" t="e">
        <f>HLOOKUP(R3859,データについて!$J$12:$M$18,7,FALSE)</f>
        <v>#N/A</v>
      </c>
      <c r="Z3859" s="81" t="e">
        <f>HLOOKUP(I3859,データについて!$J$3:$M$18,16,FALSE)</f>
        <v>#N/A</v>
      </c>
      <c r="AA3859" s="81" t="str">
        <f>IFERROR(HLOOKUP(J3859,データについて!$J$4:$AH$19,16,FALSE),"")</f>
        <v/>
      </c>
      <c r="AB3859" s="81" t="str">
        <f>IFERROR(HLOOKUP(K3859,データについて!$J$5:$AH$20,14,FALSE),"")</f>
        <v/>
      </c>
      <c r="AC3859" s="81" t="e">
        <f>IF(X3859=1,HLOOKUP(R3859,データについて!$J$12:$M$18,7,FALSE),"*")</f>
        <v>#N/A</v>
      </c>
      <c r="AD3859" s="81" t="e">
        <f>IF(X3859=2,HLOOKUP(R3859,データについて!$J$12:$M$18,7,FALSE),"*")</f>
        <v>#N/A</v>
      </c>
    </row>
    <row r="3860" spans="19:30">
      <c r="S3860" s="81" t="e">
        <f>HLOOKUP(L3860,データについて!$J$6:$M$18,13,FALSE)</f>
        <v>#N/A</v>
      </c>
      <c r="T3860" s="81" t="e">
        <f>HLOOKUP(M3860,データについて!$J$7:$M$18,12,FALSE)</f>
        <v>#N/A</v>
      </c>
      <c r="U3860" s="81" t="e">
        <f>HLOOKUP(N3860,データについて!$J$8:$M$18,11,FALSE)</f>
        <v>#N/A</v>
      </c>
      <c r="V3860" s="81" t="e">
        <f>HLOOKUP(O3860,データについて!$J$9:$M$18,10,FALSE)</f>
        <v>#N/A</v>
      </c>
      <c r="W3860" s="81" t="e">
        <f>HLOOKUP(P3860,データについて!$J$10:$M$18,9,FALSE)</f>
        <v>#N/A</v>
      </c>
      <c r="X3860" s="81" t="e">
        <f>HLOOKUP(Q3860,データについて!$J$11:$M$18,8,FALSE)</f>
        <v>#N/A</v>
      </c>
      <c r="Y3860" s="81" t="e">
        <f>HLOOKUP(R3860,データについて!$J$12:$M$18,7,FALSE)</f>
        <v>#N/A</v>
      </c>
      <c r="Z3860" s="81" t="e">
        <f>HLOOKUP(I3860,データについて!$J$3:$M$18,16,FALSE)</f>
        <v>#N/A</v>
      </c>
      <c r="AA3860" s="81" t="str">
        <f>IFERROR(HLOOKUP(J3860,データについて!$J$4:$AH$19,16,FALSE),"")</f>
        <v/>
      </c>
      <c r="AB3860" s="81" t="str">
        <f>IFERROR(HLOOKUP(K3860,データについて!$J$5:$AH$20,14,FALSE),"")</f>
        <v/>
      </c>
      <c r="AC3860" s="81" t="e">
        <f>IF(X3860=1,HLOOKUP(R3860,データについて!$J$12:$M$18,7,FALSE),"*")</f>
        <v>#N/A</v>
      </c>
      <c r="AD3860" s="81" t="e">
        <f>IF(X3860=2,HLOOKUP(R3860,データについて!$J$12:$M$18,7,FALSE),"*")</f>
        <v>#N/A</v>
      </c>
    </row>
    <row r="3861" spans="19:30">
      <c r="S3861" s="81" t="e">
        <f>HLOOKUP(L3861,データについて!$J$6:$M$18,13,FALSE)</f>
        <v>#N/A</v>
      </c>
      <c r="T3861" s="81" t="e">
        <f>HLOOKUP(M3861,データについて!$J$7:$M$18,12,FALSE)</f>
        <v>#N/A</v>
      </c>
      <c r="U3861" s="81" t="e">
        <f>HLOOKUP(N3861,データについて!$J$8:$M$18,11,FALSE)</f>
        <v>#N/A</v>
      </c>
      <c r="V3861" s="81" t="e">
        <f>HLOOKUP(O3861,データについて!$J$9:$M$18,10,FALSE)</f>
        <v>#N/A</v>
      </c>
      <c r="W3861" s="81" t="e">
        <f>HLOOKUP(P3861,データについて!$J$10:$M$18,9,FALSE)</f>
        <v>#N/A</v>
      </c>
      <c r="X3861" s="81" t="e">
        <f>HLOOKUP(Q3861,データについて!$J$11:$M$18,8,FALSE)</f>
        <v>#N/A</v>
      </c>
      <c r="Y3861" s="81" t="e">
        <f>HLOOKUP(R3861,データについて!$J$12:$M$18,7,FALSE)</f>
        <v>#N/A</v>
      </c>
      <c r="Z3861" s="81" t="e">
        <f>HLOOKUP(I3861,データについて!$J$3:$M$18,16,FALSE)</f>
        <v>#N/A</v>
      </c>
      <c r="AA3861" s="81" t="str">
        <f>IFERROR(HLOOKUP(J3861,データについて!$J$4:$AH$19,16,FALSE),"")</f>
        <v/>
      </c>
      <c r="AB3861" s="81" t="str">
        <f>IFERROR(HLOOKUP(K3861,データについて!$J$5:$AH$20,14,FALSE),"")</f>
        <v/>
      </c>
      <c r="AC3861" s="81" t="e">
        <f>IF(X3861=1,HLOOKUP(R3861,データについて!$J$12:$M$18,7,FALSE),"*")</f>
        <v>#N/A</v>
      </c>
      <c r="AD3861" s="81" t="e">
        <f>IF(X3861=2,HLOOKUP(R3861,データについて!$J$12:$M$18,7,FALSE),"*")</f>
        <v>#N/A</v>
      </c>
    </row>
    <row r="3862" spans="19:30">
      <c r="S3862" s="81" t="e">
        <f>HLOOKUP(L3862,データについて!$J$6:$M$18,13,FALSE)</f>
        <v>#N/A</v>
      </c>
      <c r="T3862" s="81" t="e">
        <f>HLOOKUP(M3862,データについて!$J$7:$M$18,12,FALSE)</f>
        <v>#N/A</v>
      </c>
      <c r="U3862" s="81" t="e">
        <f>HLOOKUP(N3862,データについて!$J$8:$M$18,11,FALSE)</f>
        <v>#N/A</v>
      </c>
      <c r="V3862" s="81" t="e">
        <f>HLOOKUP(O3862,データについて!$J$9:$M$18,10,FALSE)</f>
        <v>#N/A</v>
      </c>
      <c r="W3862" s="81" t="e">
        <f>HLOOKUP(P3862,データについて!$J$10:$M$18,9,FALSE)</f>
        <v>#N/A</v>
      </c>
      <c r="X3862" s="81" t="e">
        <f>HLOOKUP(Q3862,データについて!$J$11:$M$18,8,FALSE)</f>
        <v>#N/A</v>
      </c>
      <c r="Y3862" s="81" t="e">
        <f>HLOOKUP(R3862,データについて!$J$12:$M$18,7,FALSE)</f>
        <v>#N/A</v>
      </c>
      <c r="Z3862" s="81" t="e">
        <f>HLOOKUP(I3862,データについて!$J$3:$M$18,16,FALSE)</f>
        <v>#N/A</v>
      </c>
      <c r="AA3862" s="81" t="str">
        <f>IFERROR(HLOOKUP(J3862,データについて!$J$4:$AH$19,16,FALSE),"")</f>
        <v/>
      </c>
      <c r="AB3862" s="81" t="str">
        <f>IFERROR(HLOOKUP(K3862,データについて!$J$5:$AH$20,14,FALSE),"")</f>
        <v/>
      </c>
      <c r="AC3862" s="81" t="e">
        <f>IF(X3862=1,HLOOKUP(R3862,データについて!$J$12:$M$18,7,FALSE),"*")</f>
        <v>#N/A</v>
      </c>
      <c r="AD3862" s="81" t="e">
        <f>IF(X3862=2,HLOOKUP(R3862,データについて!$J$12:$M$18,7,FALSE),"*")</f>
        <v>#N/A</v>
      </c>
    </row>
    <row r="3863" spans="19:30">
      <c r="S3863" s="81" t="e">
        <f>HLOOKUP(L3863,データについて!$J$6:$M$18,13,FALSE)</f>
        <v>#N/A</v>
      </c>
      <c r="T3863" s="81" t="e">
        <f>HLOOKUP(M3863,データについて!$J$7:$M$18,12,FALSE)</f>
        <v>#N/A</v>
      </c>
      <c r="U3863" s="81" t="e">
        <f>HLOOKUP(N3863,データについて!$J$8:$M$18,11,FALSE)</f>
        <v>#N/A</v>
      </c>
      <c r="V3863" s="81" t="e">
        <f>HLOOKUP(O3863,データについて!$J$9:$M$18,10,FALSE)</f>
        <v>#N/A</v>
      </c>
      <c r="W3863" s="81" t="e">
        <f>HLOOKUP(P3863,データについて!$J$10:$M$18,9,FALSE)</f>
        <v>#N/A</v>
      </c>
      <c r="X3863" s="81" t="e">
        <f>HLOOKUP(Q3863,データについて!$J$11:$M$18,8,FALSE)</f>
        <v>#N/A</v>
      </c>
      <c r="Y3863" s="81" t="e">
        <f>HLOOKUP(R3863,データについて!$J$12:$M$18,7,FALSE)</f>
        <v>#N/A</v>
      </c>
      <c r="Z3863" s="81" t="e">
        <f>HLOOKUP(I3863,データについて!$J$3:$M$18,16,FALSE)</f>
        <v>#N/A</v>
      </c>
      <c r="AA3863" s="81" t="str">
        <f>IFERROR(HLOOKUP(J3863,データについて!$J$4:$AH$19,16,FALSE),"")</f>
        <v/>
      </c>
      <c r="AB3863" s="81" t="str">
        <f>IFERROR(HLOOKUP(K3863,データについて!$J$5:$AH$20,14,FALSE),"")</f>
        <v/>
      </c>
      <c r="AC3863" s="81" t="e">
        <f>IF(X3863=1,HLOOKUP(R3863,データについて!$J$12:$M$18,7,FALSE),"*")</f>
        <v>#N/A</v>
      </c>
      <c r="AD3863" s="81" t="e">
        <f>IF(X3863=2,HLOOKUP(R3863,データについて!$J$12:$M$18,7,FALSE),"*")</f>
        <v>#N/A</v>
      </c>
    </row>
    <row r="3864" spans="19:30">
      <c r="S3864" s="81" t="e">
        <f>HLOOKUP(L3864,データについて!$J$6:$M$18,13,FALSE)</f>
        <v>#N/A</v>
      </c>
      <c r="T3864" s="81" t="e">
        <f>HLOOKUP(M3864,データについて!$J$7:$M$18,12,FALSE)</f>
        <v>#N/A</v>
      </c>
      <c r="U3864" s="81" t="e">
        <f>HLOOKUP(N3864,データについて!$J$8:$M$18,11,FALSE)</f>
        <v>#N/A</v>
      </c>
      <c r="V3864" s="81" t="e">
        <f>HLOOKUP(O3864,データについて!$J$9:$M$18,10,FALSE)</f>
        <v>#N/A</v>
      </c>
      <c r="W3864" s="81" t="e">
        <f>HLOOKUP(P3864,データについて!$J$10:$M$18,9,FALSE)</f>
        <v>#N/A</v>
      </c>
      <c r="X3864" s="81" t="e">
        <f>HLOOKUP(Q3864,データについて!$J$11:$M$18,8,FALSE)</f>
        <v>#N/A</v>
      </c>
      <c r="Y3864" s="81" t="e">
        <f>HLOOKUP(R3864,データについて!$J$12:$M$18,7,FALSE)</f>
        <v>#N/A</v>
      </c>
      <c r="Z3864" s="81" t="e">
        <f>HLOOKUP(I3864,データについて!$J$3:$M$18,16,FALSE)</f>
        <v>#N/A</v>
      </c>
      <c r="AA3864" s="81" t="str">
        <f>IFERROR(HLOOKUP(J3864,データについて!$J$4:$AH$19,16,FALSE),"")</f>
        <v/>
      </c>
      <c r="AB3864" s="81" t="str">
        <f>IFERROR(HLOOKUP(K3864,データについて!$J$5:$AH$20,14,FALSE),"")</f>
        <v/>
      </c>
      <c r="AC3864" s="81" t="e">
        <f>IF(X3864=1,HLOOKUP(R3864,データについて!$J$12:$M$18,7,FALSE),"*")</f>
        <v>#N/A</v>
      </c>
      <c r="AD3864" s="81" t="e">
        <f>IF(X3864=2,HLOOKUP(R3864,データについて!$J$12:$M$18,7,FALSE),"*")</f>
        <v>#N/A</v>
      </c>
    </row>
    <row r="3865" spans="19:30">
      <c r="S3865" s="81" t="e">
        <f>HLOOKUP(L3865,データについて!$J$6:$M$18,13,FALSE)</f>
        <v>#N/A</v>
      </c>
      <c r="T3865" s="81" t="e">
        <f>HLOOKUP(M3865,データについて!$J$7:$M$18,12,FALSE)</f>
        <v>#N/A</v>
      </c>
      <c r="U3865" s="81" t="e">
        <f>HLOOKUP(N3865,データについて!$J$8:$M$18,11,FALSE)</f>
        <v>#N/A</v>
      </c>
      <c r="V3865" s="81" t="e">
        <f>HLOOKUP(O3865,データについて!$J$9:$M$18,10,FALSE)</f>
        <v>#N/A</v>
      </c>
      <c r="W3865" s="81" t="e">
        <f>HLOOKUP(P3865,データについて!$J$10:$M$18,9,FALSE)</f>
        <v>#N/A</v>
      </c>
      <c r="X3865" s="81" t="e">
        <f>HLOOKUP(Q3865,データについて!$J$11:$M$18,8,FALSE)</f>
        <v>#N/A</v>
      </c>
      <c r="Y3865" s="81" t="e">
        <f>HLOOKUP(R3865,データについて!$J$12:$M$18,7,FALSE)</f>
        <v>#N/A</v>
      </c>
      <c r="Z3865" s="81" t="e">
        <f>HLOOKUP(I3865,データについて!$J$3:$M$18,16,FALSE)</f>
        <v>#N/A</v>
      </c>
      <c r="AA3865" s="81" t="str">
        <f>IFERROR(HLOOKUP(J3865,データについて!$J$4:$AH$19,16,FALSE),"")</f>
        <v/>
      </c>
      <c r="AB3865" s="81" t="str">
        <f>IFERROR(HLOOKUP(K3865,データについて!$J$5:$AH$20,14,FALSE),"")</f>
        <v/>
      </c>
      <c r="AC3865" s="81" t="e">
        <f>IF(X3865=1,HLOOKUP(R3865,データについて!$J$12:$M$18,7,FALSE),"*")</f>
        <v>#N/A</v>
      </c>
      <c r="AD3865" s="81" t="e">
        <f>IF(X3865=2,HLOOKUP(R3865,データについて!$J$12:$M$18,7,FALSE),"*")</f>
        <v>#N/A</v>
      </c>
    </row>
    <row r="3866" spans="19:30">
      <c r="S3866" s="81" t="e">
        <f>HLOOKUP(L3866,データについて!$J$6:$M$18,13,FALSE)</f>
        <v>#N/A</v>
      </c>
      <c r="T3866" s="81" t="e">
        <f>HLOOKUP(M3866,データについて!$J$7:$M$18,12,FALSE)</f>
        <v>#N/A</v>
      </c>
      <c r="U3866" s="81" t="e">
        <f>HLOOKUP(N3866,データについて!$J$8:$M$18,11,FALSE)</f>
        <v>#N/A</v>
      </c>
      <c r="V3866" s="81" t="e">
        <f>HLOOKUP(O3866,データについて!$J$9:$M$18,10,FALSE)</f>
        <v>#N/A</v>
      </c>
      <c r="W3866" s="81" t="e">
        <f>HLOOKUP(P3866,データについて!$J$10:$M$18,9,FALSE)</f>
        <v>#N/A</v>
      </c>
      <c r="X3866" s="81" t="e">
        <f>HLOOKUP(Q3866,データについて!$J$11:$M$18,8,FALSE)</f>
        <v>#N/A</v>
      </c>
      <c r="Y3866" s="81" t="e">
        <f>HLOOKUP(R3866,データについて!$J$12:$M$18,7,FALSE)</f>
        <v>#N/A</v>
      </c>
      <c r="Z3866" s="81" t="e">
        <f>HLOOKUP(I3866,データについて!$J$3:$M$18,16,FALSE)</f>
        <v>#N/A</v>
      </c>
      <c r="AA3866" s="81" t="str">
        <f>IFERROR(HLOOKUP(J3866,データについて!$J$4:$AH$19,16,FALSE),"")</f>
        <v/>
      </c>
      <c r="AB3866" s="81" t="str">
        <f>IFERROR(HLOOKUP(K3866,データについて!$J$5:$AH$20,14,FALSE),"")</f>
        <v/>
      </c>
      <c r="AC3866" s="81" t="e">
        <f>IF(X3866=1,HLOOKUP(R3866,データについて!$J$12:$M$18,7,FALSE),"*")</f>
        <v>#N/A</v>
      </c>
      <c r="AD3866" s="81" t="e">
        <f>IF(X3866=2,HLOOKUP(R3866,データについて!$J$12:$M$18,7,FALSE),"*")</f>
        <v>#N/A</v>
      </c>
    </row>
    <row r="3867" spans="19:30">
      <c r="S3867" s="81" t="e">
        <f>HLOOKUP(L3867,データについて!$J$6:$M$18,13,FALSE)</f>
        <v>#N/A</v>
      </c>
      <c r="T3867" s="81" t="e">
        <f>HLOOKUP(M3867,データについて!$J$7:$M$18,12,FALSE)</f>
        <v>#N/A</v>
      </c>
      <c r="U3867" s="81" t="e">
        <f>HLOOKUP(N3867,データについて!$J$8:$M$18,11,FALSE)</f>
        <v>#N/A</v>
      </c>
      <c r="V3867" s="81" t="e">
        <f>HLOOKUP(O3867,データについて!$J$9:$M$18,10,FALSE)</f>
        <v>#N/A</v>
      </c>
      <c r="W3867" s="81" t="e">
        <f>HLOOKUP(P3867,データについて!$J$10:$M$18,9,FALSE)</f>
        <v>#N/A</v>
      </c>
      <c r="X3867" s="81" t="e">
        <f>HLOOKUP(Q3867,データについて!$J$11:$M$18,8,FALSE)</f>
        <v>#N/A</v>
      </c>
      <c r="Y3867" s="81" t="e">
        <f>HLOOKUP(R3867,データについて!$J$12:$M$18,7,FALSE)</f>
        <v>#N/A</v>
      </c>
      <c r="Z3867" s="81" t="e">
        <f>HLOOKUP(I3867,データについて!$J$3:$M$18,16,FALSE)</f>
        <v>#N/A</v>
      </c>
      <c r="AA3867" s="81" t="str">
        <f>IFERROR(HLOOKUP(J3867,データについて!$J$4:$AH$19,16,FALSE),"")</f>
        <v/>
      </c>
      <c r="AB3867" s="81" t="str">
        <f>IFERROR(HLOOKUP(K3867,データについて!$J$5:$AH$20,14,FALSE),"")</f>
        <v/>
      </c>
      <c r="AC3867" s="81" t="e">
        <f>IF(X3867=1,HLOOKUP(R3867,データについて!$J$12:$M$18,7,FALSE),"*")</f>
        <v>#N/A</v>
      </c>
      <c r="AD3867" s="81" t="e">
        <f>IF(X3867=2,HLOOKUP(R3867,データについて!$J$12:$M$18,7,FALSE),"*")</f>
        <v>#N/A</v>
      </c>
    </row>
    <row r="3868" spans="19:30">
      <c r="S3868" s="81" t="e">
        <f>HLOOKUP(L3868,データについて!$J$6:$M$18,13,FALSE)</f>
        <v>#N/A</v>
      </c>
      <c r="T3868" s="81" t="e">
        <f>HLOOKUP(M3868,データについて!$J$7:$M$18,12,FALSE)</f>
        <v>#N/A</v>
      </c>
      <c r="U3868" s="81" t="e">
        <f>HLOOKUP(N3868,データについて!$J$8:$M$18,11,FALSE)</f>
        <v>#N/A</v>
      </c>
      <c r="V3868" s="81" t="e">
        <f>HLOOKUP(O3868,データについて!$J$9:$M$18,10,FALSE)</f>
        <v>#N/A</v>
      </c>
      <c r="W3868" s="81" t="e">
        <f>HLOOKUP(P3868,データについて!$J$10:$M$18,9,FALSE)</f>
        <v>#N/A</v>
      </c>
      <c r="X3868" s="81" t="e">
        <f>HLOOKUP(Q3868,データについて!$J$11:$M$18,8,FALSE)</f>
        <v>#N/A</v>
      </c>
      <c r="Y3868" s="81" t="e">
        <f>HLOOKUP(R3868,データについて!$J$12:$M$18,7,FALSE)</f>
        <v>#N/A</v>
      </c>
      <c r="Z3868" s="81" t="e">
        <f>HLOOKUP(I3868,データについて!$J$3:$M$18,16,FALSE)</f>
        <v>#N/A</v>
      </c>
      <c r="AA3868" s="81" t="str">
        <f>IFERROR(HLOOKUP(J3868,データについて!$J$4:$AH$19,16,FALSE),"")</f>
        <v/>
      </c>
      <c r="AB3868" s="81" t="str">
        <f>IFERROR(HLOOKUP(K3868,データについて!$J$5:$AH$20,14,FALSE),"")</f>
        <v/>
      </c>
      <c r="AC3868" s="81" t="e">
        <f>IF(X3868=1,HLOOKUP(R3868,データについて!$J$12:$M$18,7,FALSE),"*")</f>
        <v>#N/A</v>
      </c>
      <c r="AD3868" s="81" t="e">
        <f>IF(X3868=2,HLOOKUP(R3868,データについて!$J$12:$M$18,7,FALSE),"*")</f>
        <v>#N/A</v>
      </c>
    </row>
    <row r="3869" spans="19:30">
      <c r="S3869" s="81" t="e">
        <f>HLOOKUP(L3869,データについて!$J$6:$M$18,13,FALSE)</f>
        <v>#N/A</v>
      </c>
      <c r="T3869" s="81" t="e">
        <f>HLOOKUP(M3869,データについて!$J$7:$M$18,12,FALSE)</f>
        <v>#N/A</v>
      </c>
      <c r="U3869" s="81" t="e">
        <f>HLOOKUP(N3869,データについて!$J$8:$M$18,11,FALSE)</f>
        <v>#N/A</v>
      </c>
      <c r="V3869" s="81" t="e">
        <f>HLOOKUP(O3869,データについて!$J$9:$M$18,10,FALSE)</f>
        <v>#N/A</v>
      </c>
      <c r="W3869" s="81" t="e">
        <f>HLOOKUP(P3869,データについて!$J$10:$M$18,9,FALSE)</f>
        <v>#N/A</v>
      </c>
      <c r="X3869" s="81" t="e">
        <f>HLOOKUP(Q3869,データについて!$J$11:$M$18,8,FALSE)</f>
        <v>#N/A</v>
      </c>
      <c r="Y3869" s="81" t="e">
        <f>HLOOKUP(R3869,データについて!$J$12:$M$18,7,FALSE)</f>
        <v>#N/A</v>
      </c>
      <c r="Z3869" s="81" t="e">
        <f>HLOOKUP(I3869,データについて!$J$3:$M$18,16,FALSE)</f>
        <v>#N/A</v>
      </c>
      <c r="AA3869" s="81" t="str">
        <f>IFERROR(HLOOKUP(J3869,データについて!$J$4:$AH$19,16,FALSE),"")</f>
        <v/>
      </c>
      <c r="AB3869" s="81" t="str">
        <f>IFERROR(HLOOKUP(K3869,データについて!$J$5:$AH$20,14,FALSE),"")</f>
        <v/>
      </c>
      <c r="AC3869" s="81" t="e">
        <f>IF(X3869=1,HLOOKUP(R3869,データについて!$J$12:$M$18,7,FALSE),"*")</f>
        <v>#N/A</v>
      </c>
      <c r="AD3869" s="81" t="e">
        <f>IF(X3869=2,HLOOKUP(R3869,データについて!$J$12:$M$18,7,FALSE),"*")</f>
        <v>#N/A</v>
      </c>
    </row>
    <row r="3870" spans="19:30">
      <c r="S3870" s="81" t="e">
        <f>HLOOKUP(L3870,データについて!$J$6:$M$18,13,FALSE)</f>
        <v>#N/A</v>
      </c>
      <c r="T3870" s="81" t="e">
        <f>HLOOKUP(M3870,データについて!$J$7:$M$18,12,FALSE)</f>
        <v>#N/A</v>
      </c>
      <c r="U3870" s="81" t="e">
        <f>HLOOKUP(N3870,データについて!$J$8:$M$18,11,FALSE)</f>
        <v>#N/A</v>
      </c>
      <c r="V3870" s="81" t="e">
        <f>HLOOKUP(O3870,データについて!$J$9:$M$18,10,FALSE)</f>
        <v>#N/A</v>
      </c>
      <c r="W3870" s="81" t="e">
        <f>HLOOKUP(P3870,データについて!$J$10:$M$18,9,FALSE)</f>
        <v>#N/A</v>
      </c>
      <c r="X3870" s="81" t="e">
        <f>HLOOKUP(Q3870,データについて!$J$11:$M$18,8,FALSE)</f>
        <v>#N/A</v>
      </c>
      <c r="Y3870" s="81" t="e">
        <f>HLOOKUP(R3870,データについて!$J$12:$M$18,7,FALSE)</f>
        <v>#N/A</v>
      </c>
      <c r="Z3870" s="81" t="e">
        <f>HLOOKUP(I3870,データについて!$J$3:$M$18,16,FALSE)</f>
        <v>#N/A</v>
      </c>
      <c r="AA3870" s="81" t="str">
        <f>IFERROR(HLOOKUP(J3870,データについて!$J$4:$AH$19,16,FALSE),"")</f>
        <v/>
      </c>
      <c r="AB3870" s="81" t="str">
        <f>IFERROR(HLOOKUP(K3870,データについて!$J$5:$AH$20,14,FALSE),"")</f>
        <v/>
      </c>
      <c r="AC3870" s="81" t="e">
        <f>IF(X3870=1,HLOOKUP(R3870,データについて!$J$12:$M$18,7,FALSE),"*")</f>
        <v>#N/A</v>
      </c>
      <c r="AD3870" s="81" t="e">
        <f>IF(X3870=2,HLOOKUP(R3870,データについて!$J$12:$M$18,7,FALSE),"*")</f>
        <v>#N/A</v>
      </c>
    </row>
    <row r="3871" spans="19:30">
      <c r="S3871" s="81" t="e">
        <f>HLOOKUP(L3871,データについて!$J$6:$M$18,13,FALSE)</f>
        <v>#N/A</v>
      </c>
      <c r="T3871" s="81" t="e">
        <f>HLOOKUP(M3871,データについて!$J$7:$M$18,12,FALSE)</f>
        <v>#N/A</v>
      </c>
      <c r="U3871" s="81" t="e">
        <f>HLOOKUP(N3871,データについて!$J$8:$M$18,11,FALSE)</f>
        <v>#N/A</v>
      </c>
      <c r="V3871" s="81" t="e">
        <f>HLOOKUP(O3871,データについて!$J$9:$M$18,10,FALSE)</f>
        <v>#N/A</v>
      </c>
      <c r="W3871" s="81" t="e">
        <f>HLOOKUP(P3871,データについて!$J$10:$M$18,9,FALSE)</f>
        <v>#N/A</v>
      </c>
      <c r="X3871" s="81" t="e">
        <f>HLOOKUP(Q3871,データについて!$J$11:$M$18,8,FALSE)</f>
        <v>#N/A</v>
      </c>
      <c r="Y3871" s="81" t="e">
        <f>HLOOKUP(R3871,データについて!$J$12:$M$18,7,FALSE)</f>
        <v>#N/A</v>
      </c>
      <c r="Z3871" s="81" t="e">
        <f>HLOOKUP(I3871,データについて!$J$3:$M$18,16,FALSE)</f>
        <v>#N/A</v>
      </c>
      <c r="AA3871" s="81" t="str">
        <f>IFERROR(HLOOKUP(J3871,データについて!$J$4:$AH$19,16,FALSE),"")</f>
        <v/>
      </c>
      <c r="AB3871" s="81" t="str">
        <f>IFERROR(HLOOKUP(K3871,データについて!$J$5:$AH$20,14,FALSE),"")</f>
        <v/>
      </c>
      <c r="AC3871" s="81" t="e">
        <f>IF(X3871=1,HLOOKUP(R3871,データについて!$J$12:$M$18,7,FALSE),"*")</f>
        <v>#N/A</v>
      </c>
      <c r="AD3871" s="81" t="e">
        <f>IF(X3871=2,HLOOKUP(R3871,データについて!$J$12:$M$18,7,FALSE),"*")</f>
        <v>#N/A</v>
      </c>
    </row>
    <row r="3872" spans="19:30">
      <c r="S3872" s="81" t="e">
        <f>HLOOKUP(L3872,データについて!$J$6:$M$18,13,FALSE)</f>
        <v>#N/A</v>
      </c>
      <c r="T3872" s="81" t="e">
        <f>HLOOKUP(M3872,データについて!$J$7:$M$18,12,FALSE)</f>
        <v>#N/A</v>
      </c>
      <c r="U3872" s="81" t="e">
        <f>HLOOKUP(N3872,データについて!$J$8:$M$18,11,FALSE)</f>
        <v>#N/A</v>
      </c>
      <c r="V3872" s="81" t="e">
        <f>HLOOKUP(O3872,データについて!$J$9:$M$18,10,FALSE)</f>
        <v>#N/A</v>
      </c>
      <c r="W3872" s="81" t="e">
        <f>HLOOKUP(P3872,データについて!$J$10:$M$18,9,FALSE)</f>
        <v>#N/A</v>
      </c>
      <c r="X3872" s="81" t="e">
        <f>HLOOKUP(Q3872,データについて!$J$11:$M$18,8,FALSE)</f>
        <v>#N/A</v>
      </c>
      <c r="Y3872" s="81" t="e">
        <f>HLOOKUP(R3872,データについて!$J$12:$M$18,7,FALSE)</f>
        <v>#N/A</v>
      </c>
      <c r="Z3872" s="81" t="e">
        <f>HLOOKUP(I3872,データについて!$J$3:$M$18,16,FALSE)</f>
        <v>#N/A</v>
      </c>
      <c r="AA3872" s="81" t="str">
        <f>IFERROR(HLOOKUP(J3872,データについて!$J$4:$AH$19,16,FALSE),"")</f>
        <v/>
      </c>
      <c r="AB3872" s="81" t="str">
        <f>IFERROR(HLOOKUP(K3872,データについて!$J$5:$AH$20,14,FALSE),"")</f>
        <v/>
      </c>
      <c r="AC3872" s="81" t="e">
        <f>IF(X3872=1,HLOOKUP(R3872,データについて!$J$12:$M$18,7,FALSE),"*")</f>
        <v>#N/A</v>
      </c>
      <c r="AD3872" s="81" t="e">
        <f>IF(X3872=2,HLOOKUP(R3872,データについて!$J$12:$M$18,7,FALSE),"*")</f>
        <v>#N/A</v>
      </c>
    </row>
    <row r="3873" spans="19:30">
      <c r="S3873" s="81" t="e">
        <f>HLOOKUP(L3873,データについて!$J$6:$M$18,13,FALSE)</f>
        <v>#N/A</v>
      </c>
      <c r="T3873" s="81" t="e">
        <f>HLOOKUP(M3873,データについて!$J$7:$M$18,12,FALSE)</f>
        <v>#N/A</v>
      </c>
      <c r="U3873" s="81" t="e">
        <f>HLOOKUP(N3873,データについて!$J$8:$M$18,11,FALSE)</f>
        <v>#N/A</v>
      </c>
      <c r="V3873" s="81" t="e">
        <f>HLOOKUP(O3873,データについて!$J$9:$M$18,10,FALSE)</f>
        <v>#N/A</v>
      </c>
      <c r="W3873" s="81" t="e">
        <f>HLOOKUP(P3873,データについて!$J$10:$M$18,9,FALSE)</f>
        <v>#N/A</v>
      </c>
      <c r="X3873" s="81" t="e">
        <f>HLOOKUP(Q3873,データについて!$J$11:$M$18,8,FALSE)</f>
        <v>#N/A</v>
      </c>
      <c r="Y3873" s="81" t="e">
        <f>HLOOKUP(R3873,データについて!$J$12:$M$18,7,FALSE)</f>
        <v>#N/A</v>
      </c>
      <c r="Z3873" s="81" t="e">
        <f>HLOOKUP(I3873,データについて!$J$3:$M$18,16,FALSE)</f>
        <v>#N/A</v>
      </c>
      <c r="AA3873" s="81" t="str">
        <f>IFERROR(HLOOKUP(J3873,データについて!$J$4:$AH$19,16,FALSE),"")</f>
        <v/>
      </c>
      <c r="AB3873" s="81" t="str">
        <f>IFERROR(HLOOKUP(K3873,データについて!$J$5:$AH$20,14,FALSE),"")</f>
        <v/>
      </c>
      <c r="AC3873" s="81" t="e">
        <f>IF(X3873=1,HLOOKUP(R3873,データについて!$J$12:$M$18,7,FALSE),"*")</f>
        <v>#N/A</v>
      </c>
      <c r="AD3873" s="81" t="e">
        <f>IF(X3873=2,HLOOKUP(R3873,データについて!$J$12:$M$18,7,FALSE),"*")</f>
        <v>#N/A</v>
      </c>
    </row>
    <row r="3874" spans="19:30">
      <c r="S3874" s="81" t="e">
        <f>HLOOKUP(L3874,データについて!$J$6:$M$18,13,FALSE)</f>
        <v>#N/A</v>
      </c>
      <c r="T3874" s="81" t="e">
        <f>HLOOKUP(M3874,データについて!$J$7:$M$18,12,FALSE)</f>
        <v>#N/A</v>
      </c>
      <c r="U3874" s="81" t="e">
        <f>HLOOKUP(N3874,データについて!$J$8:$M$18,11,FALSE)</f>
        <v>#N/A</v>
      </c>
      <c r="V3874" s="81" t="e">
        <f>HLOOKUP(O3874,データについて!$J$9:$M$18,10,FALSE)</f>
        <v>#N/A</v>
      </c>
      <c r="W3874" s="81" t="e">
        <f>HLOOKUP(P3874,データについて!$J$10:$M$18,9,FALSE)</f>
        <v>#N/A</v>
      </c>
      <c r="X3874" s="81" t="e">
        <f>HLOOKUP(Q3874,データについて!$J$11:$M$18,8,FALSE)</f>
        <v>#N/A</v>
      </c>
      <c r="Y3874" s="81" t="e">
        <f>HLOOKUP(R3874,データについて!$J$12:$M$18,7,FALSE)</f>
        <v>#N/A</v>
      </c>
      <c r="Z3874" s="81" t="e">
        <f>HLOOKUP(I3874,データについて!$J$3:$M$18,16,FALSE)</f>
        <v>#N/A</v>
      </c>
      <c r="AA3874" s="81" t="str">
        <f>IFERROR(HLOOKUP(J3874,データについて!$J$4:$AH$19,16,FALSE),"")</f>
        <v/>
      </c>
      <c r="AB3874" s="81" t="str">
        <f>IFERROR(HLOOKUP(K3874,データについて!$J$5:$AH$20,14,FALSE),"")</f>
        <v/>
      </c>
      <c r="AC3874" s="81" t="e">
        <f>IF(X3874=1,HLOOKUP(R3874,データについて!$J$12:$M$18,7,FALSE),"*")</f>
        <v>#N/A</v>
      </c>
      <c r="AD3874" s="81" t="e">
        <f>IF(X3874=2,HLOOKUP(R3874,データについて!$J$12:$M$18,7,FALSE),"*")</f>
        <v>#N/A</v>
      </c>
    </row>
    <row r="3875" spans="19:30">
      <c r="S3875" s="81" t="e">
        <f>HLOOKUP(L3875,データについて!$J$6:$M$18,13,FALSE)</f>
        <v>#N/A</v>
      </c>
      <c r="T3875" s="81" t="e">
        <f>HLOOKUP(M3875,データについて!$J$7:$M$18,12,FALSE)</f>
        <v>#N/A</v>
      </c>
      <c r="U3875" s="81" t="e">
        <f>HLOOKUP(N3875,データについて!$J$8:$M$18,11,FALSE)</f>
        <v>#N/A</v>
      </c>
      <c r="V3875" s="81" t="e">
        <f>HLOOKUP(O3875,データについて!$J$9:$M$18,10,FALSE)</f>
        <v>#N/A</v>
      </c>
      <c r="W3875" s="81" t="e">
        <f>HLOOKUP(P3875,データについて!$J$10:$M$18,9,FALSE)</f>
        <v>#N/A</v>
      </c>
      <c r="X3875" s="81" t="e">
        <f>HLOOKUP(Q3875,データについて!$J$11:$M$18,8,FALSE)</f>
        <v>#N/A</v>
      </c>
      <c r="Y3875" s="81" t="e">
        <f>HLOOKUP(R3875,データについて!$J$12:$M$18,7,FALSE)</f>
        <v>#N/A</v>
      </c>
      <c r="Z3875" s="81" t="e">
        <f>HLOOKUP(I3875,データについて!$J$3:$M$18,16,FALSE)</f>
        <v>#N/A</v>
      </c>
      <c r="AA3875" s="81" t="str">
        <f>IFERROR(HLOOKUP(J3875,データについて!$J$4:$AH$19,16,FALSE),"")</f>
        <v/>
      </c>
      <c r="AB3875" s="81" t="str">
        <f>IFERROR(HLOOKUP(K3875,データについて!$J$5:$AH$20,14,FALSE),"")</f>
        <v/>
      </c>
      <c r="AC3875" s="81" t="e">
        <f>IF(X3875=1,HLOOKUP(R3875,データについて!$J$12:$M$18,7,FALSE),"*")</f>
        <v>#N/A</v>
      </c>
      <c r="AD3875" s="81" t="e">
        <f>IF(X3875=2,HLOOKUP(R3875,データについて!$J$12:$M$18,7,FALSE),"*")</f>
        <v>#N/A</v>
      </c>
    </row>
    <row r="3876" spans="19:30">
      <c r="S3876" s="81" t="e">
        <f>HLOOKUP(L3876,データについて!$J$6:$M$18,13,FALSE)</f>
        <v>#N/A</v>
      </c>
      <c r="T3876" s="81" t="e">
        <f>HLOOKUP(M3876,データについて!$J$7:$M$18,12,FALSE)</f>
        <v>#N/A</v>
      </c>
      <c r="U3876" s="81" t="e">
        <f>HLOOKUP(N3876,データについて!$J$8:$M$18,11,FALSE)</f>
        <v>#N/A</v>
      </c>
      <c r="V3876" s="81" t="e">
        <f>HLOOKUP(O3876,データについて!$J$9:$M$18,10,FALSE)</f>
        <v>#N/A</v>
      </c>
      <c r="W3876" s="81" t="e">
        <f>HLOOKUP(P3876,データについて!$J$10:$M$18,9,FALSE)</f>
        <v>#N/A</v>
      </c>
      <c r="X3876" s="81" t="e">
        <f>HLOOKUP(Q3876,データについて!$J$11:$M$18,8,FALSE)</f>
        <v>#N/A</v>
      </c>
      <c r="Y3876" s="81" t="e">
        <f>HLOOKUP(R3876,データについて!$J$12:$M$18,7,FALSE)</f>
        <v>#N/A</v>
      </c>
      <c r="Z3876" s="81" t="e">
        <f>HLOOKUP(I3876,データについて!$J$3:$M$18,16,FALSE)</f>
        <v>#N/A</v>
      </c>
      <c r="AA3876" s="81" t="str">
        <f>IFERROR(HLOOKUP(J3876,データについて!$J$4:$AH$19,16,FALSE),"")</f>
        <v/>
      </c>
      <c r="AB3876" s="81" t="str">
        <f>IFERROR(HLOOKUP(K3876,データについて!$J$5:$AH$20,14,FALSE),"")</f>
        <v/>
      </c>
      <c r="AC3876" s="81" t="e">
        <f>IF(X3876=1,HLOOKUP(R3876,データについて!$J$12:$M$18,7,FALSE),"*")</f>
        <v>#N/A</v>
      </c>
      <c r="AD3876" s="81" t="e">
        <f>IF(X3876=2,HLOOKUP(R3876,データについて!$J$12:$M$18,7,FALSE),"*")</f>
        <v>#N/A</v>
      </c>
    </row>
    <row r="3877" spans="19:30">
      <c r="S3877" s="81" t="e">
        <f>HLOOKUP(L3877,データについて!$J$6:$M$18,13,FALSE)</f>
        <v>#N/A</v>
      </c>
      <c r="T3877" s="81" t="e">
        <f>HLOOKUP(M3877,データについて!$J$7:$M$18,12,FALSE)</f>
        <v>#N/A</v>
      </c>
      <c r="U3877" s="81" t="e">
        <f>HLOOKUP(N3877,データについて!$J$8:$M$18,11,FALSE)</f>
        <v>#N/A</v>
      </c>
      <c r="V3877" s="81" t="e">
        <f>HLOOKUP(O3877,データについて!$J$9:$M$18,10,FALSE)</f>
        <v>#N/A</v>
      </c>
      <c r="W3877" s="81" t="e">
        <f>HLOOKUP(P3877,データについて!$J$10:$M$18,9,FALSE)</f>
        <v>#N/A</v>
      </c>
      <c r="X3877" s="81" t="e">
        <f>HLOOKUP(Q3877,データについて!$J$11:$M$18,8,FALSE)</f>
        <v>#N/A</v>
      </c>
      <c r="Y3877" s="81" t="e">
        <f>HLOOKUP(R3877,データについて!$J$12:$M$18,7,FALSE)</f>
        <v>#N/A</v>
      </c>
      <c r="Z3877" s="81" t="e">
        <f>HLOOKUP(I3877,データについて!$J$3:$M$18,16,FALSE)</f>
        <v>#N/A</v>
      </c>
      <c r="AA3877" s="81" t="str">
        <f>IFERROR(HLOOKUP(J3877,データについて!$J$4:$AH$19,16,FALSE),"")</f>
        <v/>
      </c>
      <c r="AB3877" s="81" t="str">
        <f>IFERROR(HLOOKUP(K3877,データについて!$J$5:$AH$20,14,FALSE),"")</f>
        <v/>
      </c>
      <c r="AC3877" s="81" t="e">
        <f>IF(X3877=1,HLOOKUP(R3877,データについて!$J$12:$M$18,7,FALSE),"*")</f>
        <v>#N/A</v>
      </c>
      <c r="AD3877" s="81" t="e">
        <f>IF(X3877=2,HLOOKUP(R3877,データについて!$J$12:$M$18,7,FALSE),"*")</f>
        <v>#N/A</v>
      </c>
    </row>
    <row r="3878" spans="19:30">
      <c r="S3878" s="81" t="e">
        <f>HLOOKUP(L3878,データについて!$J$6:$M$18,13,FALSE)</f>
        <v>#N/A</v>
      </c>
      <c r="T3878" s="81" t="e">
        <f>HLOOKUP(M3878,データについて!$J$7:$M$18,12,FALSE)</f>
        <v>#N/A</v>
      </c>
      <c r="U3878" s="81" t="e">
        <f>HLOOKUP(N3878,データについて!$J$8:$M$18,11,FALSE)</f>
        <v>#N/A</v>
      </c>
      <c r="V3878" s="81" t="e">
        <f>HLOOKUP(O3878,データについて!$J$9:$M$18,10,FALSE)</f>
        <v>#N/A</v>
      </c>
      <c r="W3878" s="81" t="e">
        <f>HLOOKUP(P3878,データについて!$J$10:$M$18,9,FALSE)</f>
        <v>#N/A</v>
      </c>
      <c r="X3878" s="81" t="e">
        <f>HLOOKUP(Q3878,データについて!$J$11:$M$18,8,FALSE)</f>
        <v>#N/A</v>
      </c>
      <c r="Y3878" s="81" t="e">
        <f>HLOOKUP(R3878,データについて!$J$12:$M$18,7,FALSE)</f>
        <v>#N/A</v>
      </c>
      <c r="Z3878" s="81" t="e">
        <f>HLOOKUP(I3878,データについて!$J$3:$M$18,16,FALSE)</f>
        <v>#N/A</v>
      </c>
      <c r="AA3878" s="81" t="str">
        <f>IFERROR(HLOOKUP(J3878,データについて!$J$4:$AH$19,16,FALSE),"")</f>
        <v/>
      </c>
      <c r="AB3878" s="81" t="str">
        <f>IFERROR(HLOOKUP(K3878,データについて!$J$5:$AH$20,14,FALSE),"")</f>
        <v/>
      </c>
      <c r="AC3878" s="81" t="e">
        <f>IF(X3878=1,HLOOKUP(R3878,データについて!$J$12:$M$18,7,FALSE),"*")</f>
        <v>#N/A</v>
      </c>
      <c r="AD3878" s="81" t="e">
        <f>IF(X3878=2,HLOOKUP(R3878,データについて!$J$12:$M$18,7,FALSE),"*")</f>
        <v>#N/A</v>
      </c>
    </row>
    <row r="3879" spans="19:30">
      <c r="S3879" s="81" t="e">
        <f>HLOOKUP(L3879,データについて!$J$6:$M$18,13,FALSE)</f>
        <v>#N/A</v>
      </c>
      <c r="T3879" s="81" t="e">
        <f>HLOOKUP(M3879,データについて!$J$7:$M$18,12,FALSE)</f>
        <v>#N/A</v>
      </c>
      <c r="U3879" s="81" t="e">
        <f>HLOOKUP(N3879,データについて!$J$8:$M$18,11,FALSE)</f>
        <v>#N/A</v>
      </c>
      <c r="V3879" s="81" t="e">
        <f>HLOOKUP(O3879,データについて!$J$9:$M$18,10,FALSE)</f>
        <v>#N/A</v>
      </c>
      <c r="W3879" s="81" t="e">
        <f>HLOOKUP(P3879,データについて!$J$10:$M$18,9,FALSE)</f>
        <v>#N/A</v>
      </c>
      <c r="X3879" s="81" t="e">
        <f>HLOOKUP(Q3879,データについて!$J$11:$M$18,8,FALSE)</f>
        <v>#N/A</v>
      </c>
      <c r="Y3879" s="81" t="e">
        <f>HLOOKUP(R3879,データについて!$J$12:$M$18,7,FALSE)</f>
        <v>#N/A</v>
      </c>
      <c r="Z3879" s="81" t="e">
        <f>HLOOKUP(I3879,データについて!$J$3:$M$18,16,FALSE)</f>
        <v>#N/A</v>
      </c>
      <c r="AA3879" s="81" t="str">
        <f>IFERROR(HLOOKUP(J3879,データについて!$J$4:$AH$19,16,FALSE),"")</f>
        <v/>
      </c>
      <c r="AB3879" s="81" t="str">
        <f>IFERROR(HLOOKUP(K3879,データについて!$J$5:$AH$20,14,FALSE),"")</f>
        <v/>
      </c>
      <c r="AC3879" s="81" t="e">
        <f>IF(X3879=1,HLOOKUP(R3879,データについて!$J$12:$M$18,7,FALSE),"*")</f>
        <v>#N/A</v>
      </c>
      <c r="AD3879" s="81" t="e">
        <f>IF(X3879=2,HLOOKUP(R3879,データについて!$J$12:$M$18,7,FALSE),"*")</f>
        <v>#N/A</v>
      </c>
    </row>
    <row r="3880" spans="19:30">
      <c r="S3880" s="81" t="e">
        <f>HLOOKUP(L3880,データについて!$J$6:$M$18,13,FALSE)</f>
        <v>#N/A</v>
      </c>
      <c r="T3880" s="81" t="e">
        <f>HLOOKUP(M3880,データについて!$J$7:$M$18,12,FALSE)</f>
        <v>#N/A</v>
      </c>
      <c r="U3880" s="81" t="e">
        <f>HLOOKUP(N3880,データについて!$J$8:$M$18,11,FALSE)</f>
        <v>#N/A</v>
      </c>
      <c r="V3880" s="81" t="e">
        <f>HLOOKUP(O3880,データについて!$J$9:$M$18,10,FALSE)</f>
        <v>#N/A</v>
      </c>
      <c r="W3880" s="81" t="e">
        <f>HLOOKUP(P3880,データについて!$J$10:$M$18,9,FALSE)</f>
        <v>#N/A</v>
      </c>
      <c r="X3880" s="81" t="e">
        <f>HLOOKUP(Q3880,データについて!$J$11:$M$18,8,FALSE)</f>
        <v>#N/A</v>
      </c>
      <c r="Y3880" s="81" t="e">
        <f>HLOOKUP(R3880,データについて!$J$12:$M$18,7,FALSE)</f>
        <v>#N/A</v>
      </c>
      <c r="Z3880" s="81" t="e">
        <f>HLOOKUP(I3880,データについて!$J$3:$M$18,16,FALSE)</f>
        <v>#N/A</v>
      </c>
      <c r="AA3880" s="81" t="str">
        <f>IFERROR(HLOOKUP(J3880,データについて!$J$4:$AH$19,16,FALSE),"")</f>
        <v/>
      </c>
      <c r="AB3880" s="81" t="str">
        <f>IFERROR(HLOOKUP(K3880,データについて!$J$5:$AH$20,14,FALSE),"")</f>
        <v/>
      </c>
      <c r="AC3880" s="81" t="e">
        <f>IF(X3880=1,HLOOKUP(R3880,データについて!$J$12:$M$18,7,FALSE),"*")</f>
        <v>#N/A</v>
      </c>
      <c r="AD3880" s="81" t="e">
        <f>IF(X3880=2,HLOOKUP(R3880,データについて!$J$12:$M$18,7,FALSE),"*")</f>
        <v>#N/A</v>
      </c>
    </row>
    <row r="3881" spans="19:30">
      <c r="S3881" s="81" t="e">
        <f>HLOOKUP(L3881,データについて!$J$6:$M$18,13,FALSE)</f>
        <v>#N/A</v>
      </c>
      <c r="T3881" s="81" t="e">
        <f>HLOOKUP(M3881,データについて!$J$7:$M$18,12,FALSE)</f>
        <v>#N/A</v>
      </c>
      <c r="U3881" s="81" t="e">
        <f>HLOOKUP(N3881,データについて!$J$8:$M$18,11,FALSE)</f>
        <v>#N/A</v>
      </c>
      <c r="V3881" s="81" t="e">
        <f>HLOOKUP(O3881,データについて!$J$9:$M$18,10,FALSE)</f>
        <v>#N/A</v>
      </c>
      <c r="W3881" s="81" t="e">
        <f>HLOOKUP(P3881,データについて!$J$10:$M$18,9,FALSE)</f>
        <v>#N/A</v>
      </c>
      <c r="X3881" s="81" t="e">
        <f>HLOOKUP(Q3881,データについて!$J$11:$M$18,8,FALSE)</f>
        <v>#N/A</v>
      </c>
      <c r="Y3881" s="81" t="e">
        <f>HLOOKUP(R3881,データについて!$J$12:$M$18,7,FALSE)</f>
        <v>#N/A</v>
      </c>
      <c r="Z3881" s="81" t="e">
        <f>HLOOKUP(I3881,データについて!$J$3:$M$18,16,FALSE)</f>
        <v>#N/A</v>
      </c>
      <c r="AA3881" s="81" t="str">
        <f>IFERROR(HLOOKUP(J3881,データについて!$J$4:$AH$19,16,FALSE),"")</f>
        <v/>
      </c>
      <c r="AB3881" s="81" t="str">
        <f>IFERROR(HLOOKUP(K3881,データについて!$J$5:$AH$20,14,FALSE),"")</f>
        <v/>
      </c>
      <c r="AC3881" s="81" t="e">
        <f>IF(X3881=1,HLOOKUP(R3881,データについて!$J$12:$M$18,7,FALSE),"*")</f>
        <v>#N/A</v>
      </c>
      <c r="AD3881" s="81" t="e">
        <f>IF(X3881=2,HLOOKUP(R3881,データについて!$J$12:$M$18,7,FALSE),"*")</f>
        <v>#N/A</v>
      </c>
    </row>
    <row r="3882" spans="19:30">
      <c r="S3882" s="81" t="e">
        <f>HLOOKUP(L3882,データについて!$J$6:$M$18,13,FALSE)</f>
        <v>#N/A</v>
      </c>
      <c r="T3882" s="81" t="e">
        <f>HLOOKUP(M3882,データについて!$J$7:$M$18,12,FALSE)</f>
        <v>#N/A</v>
      </c>
      <c r="U3882" s="81" t="e">
        <f>HLOOKUP(N3882,データについて!$J$8:$M$18,11,FALSE)</f>
        <v>#N/A</v>
      </c>
      <c r="V3882" s="81" t="e">
        <f>HLOOKUP(O3882,データについて!$J$9:$M$18,10,FALSE)</f>
        <v>#N/A</v>
      </c>
      <c r="W3882" s="81" t="e">
        <f>HLOOKUP(P3882,データについて!$J$10:$M$18,9,FALSE)</f>
        <v>#N/A</v>
      </c>
      <c r="X3882" s="81" t="e">
        <f>HLOOKUP(Q3882,データについて!$J$11:$M$18,8,FALSE)</f>
        <v>#N/A</v>
      </c>
      <c r="Y3882" s="81" t="e">
        <f>HLOOKUP(R3882,データについて!$J$12:$M$18,7,FALSE)</f>
        <v>#N/A</v>
      </c>
      <c r="Z3882" s="81" t="e">
        <f>HLOOKUP(I3882,データについて!$J$3:$M$18,16,FALSE)</f>
        <v>#N/A</v>
      </c>
      <c r="AA3882" s="81" t="str">
        <f>IFERROR(HLOOKUP(J3882,データについて!$J$4:$AH$19,16,FALSE),"")</f>
        <v/>
      </c>
      <c r="AB3882" s="81" t="str">
        <f>IFERROR(HLOOKUP(K3882,データについて!$J$5:$AH$20,14,FALSE),"")</f>
        <v/>
      </c>
      <c r="AC3882" s="81" t="e">
        <f>IF(X3882=1,HLOOKUP(R3882,データについて!$J$12:$M$18,7,FALSE),"*")</f>
        <v>#N/A</v>
      </c>
      <c r="AD3882" s="81" t="e">
        <f>IF(X3882=2,HLOOKUP(R3882,データについて!$J$12:$M$18,7,FALSE),"*")</f>
        <v>#N/A</v>
      </c>
    </row>
    <row r="3883" spans="19:30">
      <c r="S3883" s="81" t="e">
        <f>HLOOKUP(L3883,データについて!$J$6:$M$18,13,FALSE)</f>
        <v>#N/A</v>
      </c>
      <c r="T3883" s="81" t="e">
        <f>HLOOKUP(M3883,データについて!$J$7:$M$18,12,FALSE)</f>
        <v>#N/A</v>
      </c>
      <c r="U3883" s="81" t="e">
        <f>HLOOKUP(N3883,データについて!$J$8:$M$18,11,FALSE)</f>
        <v>#N/A</v>
      </c>
      <c r="V3883" s="81" t="e">
        <f>HLOOKUP(O3883,データについて!$J$9:$M$18,10,FALSE)</f>
        <v>#N/A</v>
      </c>
      <c r="W3883" s="81" t="e">
        <f>HLOOKUP(P3883,データについて!$J$10:$M$18,9,FALSE)</f>
        <v>#N/A</v>
      </c>
      <c r="X3883" s="81" t="e">
        <f>HLOOKUP(Q3883,データについて!$J$11:$M$18,8,FALSE)</f>
        <v>#N/A</v>
      </c>
      <c r="Y3883" s="81" t="e">
        <f>HLOOKUP(R3883,データについて!$J$12:$M$18,7,FALSE)</f>
        <v>#N/A</v>
      </c>
      <c r="Z3883" s="81" t="e">
        <f>HLOOKUP(I3883,データについて!$J$3:$M$18,16,FALSE)</f>
        <v>#N/A</v>
      </c>
      <c r="AA3883" s="81" t="str">
        <f>IFERROR(HLOOKUP(J3883,データについて!$J$4:$AH$19,16,FALSE),"")</f>
        <v/>
      </c>
      <c r="AB3883" s="81" t="str">
        <f>IFERROR(HLOOKUP(K3883,データについて!$J$5:$AH$20,14,FALSE),"")</f>
        <v/>
      </c>
      <c r="AC3883" s="81" t="e">
        <f>IF(X3883=1,HLOOKUP(R3883,データについて!$J$12:$M$18,7,FALSE),"*")</f>
        <v>#N/A</v>
      </c>
      <c r="AD3883" s="81" t="e">
        <f>IF(X3883=2,HLOOKUP(R3883,データについて!$J$12:$M$18,7,FALSE),"*")</f>
        <v>#N/A</v>
      </c>
    </row>
    <row r="3884" spans="19:30">
      <c r="S3884" s="81" t="e">
        <f>HLOOKUP(L3884,データについて!$J$6:$M$18,13,FALSE)</f>
        <v>#N/A</v>
      </c>
      <c r="T3884" s="81" t="e">
        <f>HLOOKUP(M3884,データについて!$J$7:$M$18,12,FALSE)</f>
        <v>#N/A</v>
      </c>
      <c r="U3884" s="81" t="e">
        <f>HLOOKUP(N3884,データについて!$J$8:$M$18,11,FALSE)</f>
        <v>#N/A</v>
      </c>
      <c r="V3884" s="81" t="e">
        <f>HLOOKUP(O3884,データについて!$J$9:$M$18,10,FALSE)</f>
        <v>#N/A</v>
      </c>
      <c r="W3884" s="81" t="e">
        <f>HLOOKUP(P3884,データについて!$J$10:$M$18,9,FALSE)</f>
        <v>#N/A</v>
      </c>
      <c r="X3884" s="81" t="e">
        <f>HLOOKUP(Q3884,データについて!$J$11:$M$18,8,FALSE)</f>
        <v>#N/A</v>
      </c>
      <c r="Y3884" s="81" t="e">
        <f>HLOOKUP(R3884,データについて!$J$12:$M$18,7,FALSE)</f>
        <v>#N/A</v>
      </c>
      <c r="Z3884" s="81" t="e">
        <f>HLOOKUP(I3884,データについて!$J$3:$M$18,16,FALSE)</f>
        <v>#N/A</v>
      </c>
      <c r="AA3884" s="81" t="str">
        <f>IFERROR(HLOOKUP(J3884,データについて!$J$4:$AH$19,16,FALSE),"")</f>
        <v/>
      </c>
      <c r="AB3884" s="81" t="str">
        <f>IFERROR(HLOOKUP(K3884,データについて!$J$5:$AH$20,14,FALSE),"")</f>
        <v/>
      </c>
      <c r="AC3884" s="81" t="e">
        <f>IF(X3884=1,HLOOKUP(R3884,データについて!$J$12:$M$18,7,FALSE),"*")</f>
        <v>#N/A</v>
      </c>
      <c r="AD3884" s="81" t="e">
        <f>IF(X3884=2,HLOOKUP(R3884,データについて!$J$12:$M$18,7,FALSE),"*")</f>
        <v>#N/A</v>
      </c>
    </row>
    <row r="3885" spans="19:30">
      <c r="S3885" s="81" t="e">
        <f>HLOOKUP(L3885,データについて!$J$6:$M$18,13,FALSE)</f>
        <v>#N/A</v>
      </c>
      <c r="T3885" s="81" t="e">
        <f>HLOOKUP(M3885,データについて!$J$7:$M$18,12,FALSE)</f>
        <v>#N/A</v>
      </c>
      <c r="U3885" s="81" t="e">
        <f>HLOOKUP(N3885,データについて!$J$8:$M$18,11,FALSE)</f>
        <v>#N/A</v>
      </c>
      <c r="V3885" s="81" t="e">
        <f>HLOOKUP(O3885,データについて!$J$9:$M$18,10,FALSE)</f>
        <v>#N/A</v>
      </c>
      <c r="W3885" s="81" t="e">
        <f>HLOOKUP(P3885,データについて!$J$10:$M$18,9,FALSE)</f>
        <v>#N/A</v>
      </c>
      <c r="X3885" s="81" t="e">
        <f>HLOOKUP(Q3885,データについて!$J$11:$M$18,8,FALSE)</f>
        <v>#N/A</v>
      </c>
      <c r="Y3885" s="81" t="e">
        <f>HLOOKUP(R3885,データについて!$J$12:$M$18,7,FALSE)</f>
        <v>#N/A</v>
      </c>
      <c r="Z3885" s="81" t="e">
        <f>HLOOKUP(I3885,データについて!$J$3:$M$18,16,FALSE)</f>
        <v>#N/A</v>
      </c>
      <c r="AA3885" s="81" t="str">
        <f>IFERROR(HLOOKUP(J3885,データについて!$J$4:$AH$19,16,FALSE),"")</f>
        <v/>
      </c>
      <c r="AB3885" s="81" t="str">
        <f>IFERROR(HLOOKUP(K3885,データについて!$J$5:$AH$20,14,FALSE),"")</f>
        <v/>
      </c>
      <c r="AC3885" s="81" t="e">
        <f>IF(X3885=1,HLOOKUP(R3885,データについて!$J$12:$M$18,7,FALSE),"*")</f>
        <v>#N/A</v>
      </c>
      <c r="AD3885" s="81" t="e">
        <f>IF(X3885=2,HLOOKUP(R3885,データについて!$J$12:$M$18,7,FALSE),"*")</f>
        <v>#N/A</v>
      </c>
    </row>
    <row r="3886" spans="19:30">
      <c r="S3886" s="81" t="e">
        <f>HLOOKUP(L3886,データについて!$J$6:$M$18,13,FALSE)</f>
        <v>#N/A</v>
      </c>
      <c r="T3886" s="81" t="e">
        <f>HLOOKUP(M3886,データについて!$J$7:$M$18,12,FALSE)</f>
        <v>#N/A</v>
      </c>
      <c r="U3886" s="81" t="e">
        <f>HLOOKUP(N3886,データについて!$J$8:$M$18,11,FALSE)</f>
        <v>#N/A</v>
      </c>
      <c r="V3886" s="81" t="e">
        <f>HLOOKUP(O3886,データについて!$J$9:$M$18,10,FALSE)</f>
        <v>#N/A</v>
      </c>
      <c r="W3886" s="81" t="e">
        <f>HLOOKUP(P3886,データについて!$J$10:$M$18,9,FALSE)</f>
        <v>#N/A</v>
      </c>
      <c r="X3886" s="81" t="e">
        <f>HLOOKUP(Q3886,データについて!$J$11:$M$18,8,FALSE)</f>
        <v>#N/A</v>
      </c>
      <c r="Y3886" s="81" t="e">
        <f>HLOOKUP(R3886,データについて!$J$12:$M$18,7,FALSE)</f>
        <v>#N/A</v>
      </c>
      <c r="Z3886" s="81" t="e">
        <f>HLOOKUP(I3886,データについて!$J$3:$M$18,16,FALSE)</f>
        <v>#N/A</v>
      </c>
      <c r="AA3886" s="81" t="str">
        <f>IFERROR(HLOOKUP(J3886,データについて!$J$4:$AH$19,16,FALSE),"")</f>
        <v/>
      </c>
      <c r="AB3886" s="81" t="str">
        <f>IFERROR(HLOOKUP(K3886,データについて!$J$5:$AH$20,14,FALSE),"")</f>
        <v/>
      </c>
      <c r="AC3886" s="81" t="e">
        <f>IF(X3886=1,HLOOKUP(R3886,データについて!$J$12:$M$18,7,FALSE),"*")</f>
        <v>#N/A</v>
      </c>
      <c r="AD3886" s="81" t="e">
        <f>IF(X3886=2,HLOOKUP(R3886,データについて!$J$12:$M$18,7,FALSE),"*")</f>
        <v>#N/A</v>
      </c>
    </row>
    <row r="3887" spans="19:30">
      <c r="S3887" s="81" t="e">
        <f>HLOOKUP(L3887,データについて!$J$6:$M$18,13,FALSE)</f>
        <v>#N/A</v>
      </c>
      <c r="T3887" s="81" t="e">
        <f>HLOOKUP(M3887,データについて!$J$7:$M$18,12,FALSE)</f>
        <v>#N/A</v>
      </c>
      <c r="U3887" s="81" t="e">
        <f>HLOOKUP(N3887,データについて!$J$8:$M$18,11,FALSE)</f>
        <v>#N/A</v>
      </c>
      <c r="V3887" s="81" t="e">
        <f>HLOOKUP(O3887,データについて!$J$9:$M$18,10,FALSE)</f>
        <v>#N/A</v>
      </c>
      <c r="W3887" s="81" t="e">
        <f>HLOOKUP(P3887,データについて!$J$10:$M$18,9,FALSE)</f>
        <v>#N/A</v>
      </c>
      <c r="X3887" s="81" t="e">
        <f>HLOOKUP(Q3887,データについて!$J$11:$M$18,8,FALSE)</f>
        <v>#N/A</v>
      </c>
      <c r="Y3887" s="81" t="e">
        <f>HLOOKUP(R3887,データについて!$J$12:$M$18,7,FALSE)</f>
        <v>#N/A</v>
      </c>
      <c r="Z3887" s="81" t="e">
        <f>HLOOKUP(I3887,データについて!$J$3:$M$18,16,FALSE)</f>
        <v>#N/A</v>
      </c>
      <c r="AA3887" s="81" t="str">
        <f>IFERROR(HLOOKUP(J3887,データについて!$J$4:$AH$19,16,FALSE),"")</f>
        <v/>
      </c>
      <c r="AB3887" s="81" t="str">
        <f>IFERROR(HLOOKUP(K3887,データについて!$J$5:$AH$20,14,FALSE),"")</f>
        <v/>
      </c>
      <c r="AC3887" s="81" t="e">
        <f>IF(X3887=1,HLOOKUP(R3887,データについて!$J$12:$M$18,7,FALSE),"*")</f>
        <v>#N/A</v>
      </c>
      <c r="AD3887" s="81" t="e">
        <f>IF(X3887=2,HLOOKUP(R3887,データについて!$J$12:$M$18,7,FALSE),"*")</f>
        <v>#N/A</v>
      </c>
    </row>
    <row r="3888" spans="19:30">
      <c r="S3888" s="81" t="e">
        <f>HLOOKUP(L3888,データについて!$J$6:$M$18,13,FALSE)</f>
        <v>#N/A</v>
      </c>
      <c r="T3888" s="81" t="e">
        <f>HLOOKUP(M3888,データについて!$J$7:$M$18,12,FALSE)</f>
        <v>#N/A</v>
      </c>
      <c r="U3888" s="81" t="e">
        <f>HLOOKUP(N3888,データについて!$J$8:$M$18,11,FALSE)</f>
        <v>#N/A</v>
      </c>
      <c r="V3888" s="81" t="e">
        <f>HLOOKUP(O3888,データについて!$J$9:$M$18,10,FALSE)</f>
        <v>#N/A</v>
      </c>
      <c r="W3888" s="81" t="e">
        <f>HLOOKUP(P3888,データについて!$J$10:$M$18,9,FALSE)</f>
        <v>#N/A</v>
      </c>
      <c r="X3888" s="81" t="e">
        <f>HLOOKUP(Q3888,データについて!$J$11:$M$18,8,FALSE)</f>
        <v>#N/A</v>
      </c>
      <c r="Y3888" s="81" t="e">
        <f>HLOOKUP(R3888,データについて!$J$12:$M$18,7,FALSE)</f>
        <v>#N/A</v>
      </c>
      <c r="Z3888" s="81" t="e">
        <f>HLOOKUP(I3888,データについて!$J$3:$M$18,16,FALSE)</f>
        <v>#N/A</v>
      </c>
      <c r="AA3888" s="81" t="str">
        <f>IFERROR(HLOOKUP(J3888,データについて!$J$4:$AH$19,16,FALSE),"")</f>
        <v/>
      </c>
      <c r="AB3888" s="81" t="str">
        <f>IFERROR(HLOOKUP(K3888,データについて!$J$5:$AH$20,14,FALSE),"")</f>
        <v/>
      </c>
      <c r="AC3888" s="81" t="e">
        <f>IF(X3888=1,HLOOKUP(R3888,データについて!$J$12:$M$18,7,FALSE),"*")</f>
        <v>#N/A</v>
      </c>
      <c r="AD3888" s="81" t="e">
        <f>IF(X3888=2,HLOOKUP(R3888,データについて!$J$12:$M$18,7,FALSE),"*")</f>
        <v>#N/A</v>
      </c>
    </row>
    <row r="3889" spans="19:30">
      <c r="S3889" s="81" t="e">
        <f>HLOOKUP(L3889,データについて!$J$6:$M$18,13,FALSE)</f>
        <v>#N/A</v>
      </c>
      <c r="T3889" s="81" t="e">
        <f>HLOOKUP(M3889,データについて!$J$7:$M$18,12,FALSE)</f>
        <v>#N/A</v>
      </c>
      <c r="U3889" s="81" t="e">
        <f>HLOOKUP(N3889,データについて!$J$8:$M$18,11,FALSE)</f>
        <v>#N/A</v>
      </c>
      <c r="V3889" s="81" t="e">
        <f>HLOOKUP(O3889,データについて!$J$9:$M$18,10,FALSE)</f>
        <v>#N/A</v>
      </c>
      <c r="W3889" s="81" t="e">
        <f>HLOOKUP(P3889,データについて!$J$10:$M$18,9,FALSE)</f>
        <v>#N/A</v>
      </c>
      <c r="X3889" s="81" t="e">
        <f>HLOOKUP(Q3889,データについて!$J$11:$M$18,8,FALSE)</f>
        <v>#N/A</v>
      </c>
      <c r="Y3889" s="81" t="e">
        <f>HLOOKUP(R3889,データについて!$J$12:$M$18,7,FALSE)</f>
        <v>#N/A</v>
      </c>
      <c r="Z3889" s="81" t="e">
        <f>HLOOKUP(I3889,データについて!$J$3:$M$18,16,FALSE)</f>
        <v>#N/A</v>
      </c>
      <c r="AA3889" s="81" t="str">
        <f>IFERROR(HLOOKUP(J3889,データについて!$J$4:$AH$19,16,FALSE),"")</f>
        <v/>
      </c>
      <c r="AB3889" s="81" t="str">
        <f>IFERROR(HLOOKUP(K3889,データについて!$J$5:$AH$20,14,FALSE),"")</f>
        <v/>
      </c>
      <c r="AC3889" s="81" t="e">
        <f>IF(X3889=1,HLOOKUP(R3889,データについて!$J$12:$M$18,7,FALSE),"*")</f>
        <v>#N/A</v>
      </c>
      <c r="AD3889" s="81" t="e">
        <f>IF(X3889=2,HLOOKUP(R3889,データについて!$J$12:$M$18,7,FALSE),"*")</f>
        <v>#N/A</v>
      </c>
    </row>
    <row r="3890" spans="19:30">
      <c r="S3890" s="81" t="e">
        <f>HLOOKUP(L3890,データについて!$J$6:$M$18,13,FALSE)</f>
        <v>#N/A</v>
      </c>
      <c r="T3890" s="81" t="e">
        <f>HLOOKUP(M3890,データについて!$J$7:$M$18,12,FALSE)</f>
        <v>#N/A</v>
      </c>
      <c r="U3890" s="81" t="e">
        <f>HLOOKUP(N3890,データについて!$J$8:$M$18,11,FALSE)</f>
        <v>#N/A</v>
      </c>
      <c r="V3890" s="81" t="e">
        <f>HLOOKUP(O3890,データについて!$J$9:$M$18,10,FALSE)</f>
        <v>#N/A</v>
      </c>
      <c r="W3890" s="81" t="e">
        <f>HLOOKUP(P3890,データについて!$J$10:$M$18,9,FALSE)</f>
        <v>#N/A</v>
      </c>
      <c r="X3890" s="81" t="e">
        <f>HLOOKUP(Q3890,データについて!$J$11:$M$18,8,FALSE)</f>
        <v>#N/A</v>
      </c>
      <c r="Y3890" s="81" t="e">
        <f>HLOOKUP(R3890,データについて!$J$12:$M$18,7,FALSE)</f>
        <v>#N/A</v>
      </c>
      <c r="Z3890" s="81" t="e">
        <f>HLOOKUP(I3890,データについて!$J$3:$M$18,16,FALSE)</f>
        <v>#N/A</v>
      </c>
      <c r="AA3890" s="81" t="str">
        <f>IFERROR(HLOOKUP(J3890,データについて!$J$4:$AH$19,16,FALSE),"")</f>
        <v/>
      </c>
      <c r="AB3890" s="81" t="str">
        <f>IFERROR(HLOOKUP(K3890,データについて!$J$5:$AH$20,14,FALSE),"")</f>
        <v/>
      </c>
      <c r="AC3890" s="81" t="e">
        <f>IF(X3890=1,HLOOKUP(R3890,データについて!$J$12:$M$18,7,FALSE),"*")</f>
        <v>#N/A</v>
      </c>
      <c r="AD3890" s="81" t="e">
        <f>IF(X3890=2,HLOOKUP(R3890,データについて!$J$12:$M$18,7,FALSE),"*")</f>
        <v>#N/A</v>
      </c>
    </row>
    <row r="3891" spans="19:30">
      <c r="S3891" s="81" t="e">
        <f>HLOOKUP(L3891,データについて!$J$6:$M$18,13,FALSE)</f>
        <v>#N/A</v>
      </c>
      <c r="T3891" s="81" t="e">
        <f>HLOOKUP(M3891,データについて!$J$7:$M$18,12,FALSE)</f>
        <v>#N/A</v>
      </c>
      <c r="U3891" s="81" t="e">
        <f>HLOOKUP(N3891,データについて!$J$8:$M$18,11,FALSE)</f>
        <v>#N/A</v>
      </c>
      <c r="V3891" s="81" t="e">
        <f>HLOOKUP(O3891,データについて!$J$9:$M$18,10,FALSE)</f>
        <v>#N/A</v>
      </c>
      <c r="W3891" s="81" t="e">
        <f>HLOOKUP(P3891,データについて!$J$10:$M$18,9,FALSE)</f>
        <v>#N/A</v>
      </c>
      <c r="X3891" s="81" t="e">
        <f>HLOOKUP(Q3891,データについて!$J$11:$M$18,8,FALSE)</f>
        <v>#N/A</v>
      </c>
      <c r="Y3891" s="81" t="e">
        <f>HLOOKUP(R3891,データについて!$J$12:$M$18,7,FALSE)</f>
        <v>#N/A</v>
      </c>
      <c r="Z3891" s="81" t="e">
        <f>HLOOKUP(I3891,データについて!$J$3:$M$18,16,FALSE)</f>
        <v>#N/A</v>
      </c>
      <c r="AA3891" s="81" t="str">
        <f>IFERROR(HLOOKUP(J3891,データについて!$J$4:$AH$19,16,FALSE),"")</f>
        <v/>
      </c>
      <c r="AB3891" s="81" t="str">
        <f>IFERROR(HLOOKUP(K3891,データについて!$J$5:$AH$20,14,FALSE),"")</f>
        <v/>
      </c>
      <c r="AC3891" s="81" t="e">
        <f>IF(X3891=1,HLOOKUP(R3891,データについて!$J$12:$M$18,7,FALSE),"*")</f>
        <v>#N/A</v>
      </c>
      <c r="AD3891" s="81" t="e">
        <f>IF(X3891=2,HLOOKUP(R3891,データについて!$J$12:$M$18,7,FALSE),"*")</f>
        <v>#N/A</v>
      </c>
    </row>
    <row r="3892" spans="19:30">
      <c r="S3892" s="81" t="e">
        <f>HLOOKUP(L3892,データについて!$J$6:$M$18,13,FALSE)</f>
        <v>#N/A</v>
      </c>
      <c r="T3892" s="81" t="e">
        <f>HLOOKUP(M3892,データについて!$J$7:$M$18,12,FALSE)</f>
        <v>#N/A</v>
      </c>
      <c r="U3892" s="81" t="e">
        <f>HLOOKUP(N3892,データについて!$J$8:$M$18,11,FALSE)</f>
        <v>#N/A</v>
      </c>
      <c r="V3892" s="81" t="e">
        <f>HLOOKUP(O3892,データについて!$J$9:$M$18,10,FALSE)</f>
        <v>#N/A</v>
      </c>
      <c r="W3892" s="81" t="e">
        <f>HLOOKUP(P3892,データについて!$J$10:$M$18,9,FALSE)</f>
        <v>#N/A</v>
      </c>
      <c r="X3892" s="81" t="e">
        <f>HLOOKUP(Q3892,データについて!$J$11:$M$18,8,FALSE)</f>
        <v>#N/A</v>
      </c>
      <c r="Y3892" s="81" t="e">
        <f>HLOOKUP(R3892,データについて!$J$12:$M$18,7,FALSE)</f>
        <v>#N/A</v>
      </c>
      <c r="Z3892" s="81" t="e">
        <f>HLOOKUP(I3892,データについて!$J$3:$M$18,16,FALSE)</f>
        <v>#N/A</v>
      </c>
      <c r="AA3892" s="81" t="str">
        <f>IFERROR(HLOOKUP(J3892,データについて!$J$4:$AH$19,16,FALSE),"")</f>
        <v/>
      </c>
      <c r="AB3892" s="81" t="str">
        <f>IFERROR(HLOOKUP(K3892,データについて!$J$5:$AH$20,14,FALSE),"")</f>
        <v/>
      </c>
      <c r="AC3892" s="81" t="e">
        <f>IF(X3892=1,HLOOKUP(R3892,データについて!$J$12:$M$18,7,FALSE),"*")</f>
        <v>#N/A</v>
      </c>
      <c r="AD3892" s="81" t="e">
        <f>IF(X3892=2,HLOOKUP(R3892,データについて!$J$12:$M$18,7,FALSE),"*")</f>
        <v>#N/A</v>
      </c>
    </row>
    <row r="3893" spans="19:30">
      <c r="S3893" s="81" t="e">
        <f>HLOOKUP(L3893,データについて!$J$6:$M$18,13,FALSE)</f>
        <v>#N/A</v>
      </c>
      <c r="T3893" s="81" t="e">
        <f>HLOOKUP(M3893,データについて!$J$7:$M$18,12,FALSE)</f>
        <v>#N/A</v>
      </c>
      <c r="U3893" s="81" t="e">
        <f>HLOOKUP(N3893,データについて!$J$8:$M$18,11,FALSE)</f>
        <v>#N/A</v>
      </c>
      <c r="V3893" s="81" t="e">
        <f>HLOOKUP(O3893,データについて!$J$9:$M$18,10,FALSE)</f>
        <v>#N/A</v>
      </c>
      <c r="W3893" s="81" t="e">
        <f>HLOOKUP(P3893,データについて!$J$10:$M$18,9,FALSE)</f>
        <v>#N/A</v>
      </c>
      <c r="X3893" s="81" t="e">
        <f>HLOOKUP(Q3893,データについて!$J$11:$M$18,8,FALSE)</f>
        <v>#N/A</v>
      </c>
      <c r="Y3893" s="81" t="e">
        <f>HLOOKUP(R3893,データについて!$J$12:$M$18,7,FALSE)</f>
        <v>#N/A</v>
      </c>
      <c r="Z3893" s="81" t="e">
        <f>HLOOKUP(I3893,データについて!$J$3:$M$18,16,FALSE)</f>
        <v>#N/A</v>
      </c>
      <c r="AA3893" s="81" t="str">
        <f>IFERROR(HLOOKUP(J3893,データについて!$J$4:$AH$19,16,FALSE),"")</f>
        <v/>
      </c>
      <c r="AB3893" s="81" t="str">
        <f>IFERROR(HLOOKUP(K3893,データについて!$J$5:$AH$20,14,FALSE),"")</f>
        <v/>
      </c>
      <c r="AC3893" s="81" t="e">
        <f>IF(X3893=1,HLOOKUP(R3893,データについて!$J$12:$M$18,7,FALSE),"*")</f>
        <v>#N/A</v>
      </c>
      <c r="AD3893" s="81" t="e">
        <f>IF(X3893=2,HLOOKUP(R3893,データについて!$J$12:$M$18,7,FALSE),"*")</f>
        <v>#N/A</v>
      </c>
    </row>
    <row r="3894" spans="19:30">
      <c r="S3894" s="81" t="e">
        <f>HLOOKUP(L3894,データについて!$J$6:$M$18,13,FALSE)</f>
        <v>#N/A</v>
      </c>
      <c r="T3894" s="81" t="e">
        <f>HLOOKUP(M3894,データについて!$J$7:$M$18,12,FALSE)</f>
        <v>#N/A</v>
      </c>
      <c r="U3894" s="81" t="e">
        <f>HLOOKUP(N3894,データについて!$J$8:$M$18,11,FALSE)</f>
        <v>#N/A</v>
      </c>
      <c r="V3894" s="81" t="e">
        <f>HLOOKUP(O3894,データについて!$J$9:$M$18,10,FALSE)</f>
        <v>#N/A</v>
      </c>
      <c r="W3894" s="81" t="e">
        <f>HLOOKUP(P3894,データについて!$J$10:$M$18,9,FALSE)</f>
        <v>#N/A</v>
      </c>
      <c r="X3894" s="81" t="e">
        <f>HLOOKUP(Q3894,データについて!$J$11:$M$18,8,FALSE)</f>
        <v>#N/A</v>
      </c>
      <c r="Y3894" s="81" t="e">
        <f>HLOOKUP(R3894,データについて!$J$12:$M$18,7,FALSE)</f>
        <v>#N/A</v>
      </c>
      <c r="Z3894" s="81" t="e">
        <f>HLOOKUP(I3894,データについて!$J$3:$M$18,16,FALSE)</f>
        <v>#N/A</v>
      </c>
      <c r="AA3894" s="81" t="str">
        <f>IFERROR(HLOOKUP(J3894,データについて!$J$4:$AH$19,16,FALSE),"")</f>
        <v/>
      </c>
      <c r="AB3894" s="81" t="str">
        <f>IFERROR(HLOOKUP(K3894,データについて!$J$5:$AH$20,14,FALSE),"")</f>
        <v/>
      </c>
      <c r="AC3894" s="81" t="e">
        <f>IF(X3894=1,HLOOKUP(R3894,データについて!$J$12:$M$18,7,FALSE),"*")</f>
        <v>#N/A</v>
      </c>
      <c r="AD3894" s="81" t="e">
        <f>IF(X3894=2,HLOOKUP(R3894,データについて!$J$12:$M$18,7,FALSE),"*")</f>
        <v>#N/A</v>
      </c>
    </row>
    <row r="3895" spans="19:30">
      <c r="S3895" s="81" t="e">
        <f>HLOOKUP(L3895,データについて!$J$6:$M$18,13,FALSE)</f>
        <v>#N/A</v>
      </c>
      <c r="T3895" s="81" t="e">
        <f>HLOOKUP(M3895,データについて!$J$7:$M$18,12,FALSE)</f>
        <v>#N/A</v>
      </c>
      <c r="U3895" s="81" t="e">
        <f>HLOOKUP(N3895,データについて!$J$8:$M$18,11,FALSE)</f>
        <v>#N/A</v>
      </c>
      <c r="V3895" s="81" t="e">
        <f>HLOOKUP(O3895,データについて!$J$9:$M$18,10,FALSE)</f>
        <v>#N/A</v>
      </c>
      <c r="W3895" s="81" t="e">
        <f>HLOOKUP(P3895,データについて!$J$10:$M$18,9,FALSE)</f>
        <v>#N/A</v>
      </c>
      <c r="X3895" s="81" t="e">
        <f>HLOOKUP(Q3895,データについて!$J$11:$M$18,8,FALSE)</f>
        <v>#N/A</v>
      </c>
      <c r="Y3895" s="81" t="e">
        <f>HLOOKUP(R3895,データについて!$J$12:$M$18,7,FALSE)</f>
        <v>#N/A</v>
      </c>
      <c r="Z3895" s="81" t="e">
        <f>HLOOKUP(I3895,データについて!$J$3:$M$18,16,FALSE)</f>
        <v>#N/A</v>
      </c>
      <c r="AA3895" s="81" t="str">
        <f>IFERROR(HLOOKUP(J3895,データについて!$J$4:$AH$19,16,FALSE),"")</f>
        <v/>
      </c>
      <c r="AB3895" s="81" t="str">
        <f>IFERROR(HLOOKUP(K3895,データについて!$J$5:$AH$20,14,FALSE),"")</f>
        <v/>
      </c>
      <c r="AC3895" s="81" t="e">
        <f>IF(X3895=1,HLOOKUP(R3895,データについて!$J$12:$M$18,7,FALSE),"*")</f>
        <v>#N/A</v>
      </c>
      <c r="AD3895" s="81" t="e">
        <f>IF(X3895=2,HLOOKUP(R3895,データについて!$J$12:$M$18,7,FALSE),"*")</f>
        <v>#N/A</v>
      </c>
    </row>
    <row r="3896" spans="19:30">
      <c r="S3896" s="81" t="e">
        <f>HLOOKUP(L3896,データについて!$J$6:$M$18,13,FALSE)</f>
        <v>#N/A</v>
      </c>
      <c r="T3896" s="81" t="e">
        <f>HLOOKUP(M3896,データについて!$J$7:$M$18,12,FALSE)</f>
        <v>#N/A</v>
      </c>
      <c r="U3896" s="81" t="e">
        <f>HLOOKUP(N3896,データについて!$J$8:$M$18,11,FALSE)</f>
        <v>#N/A</v>
      </c>
      <c r="V3896" s="81" t="e">
        <f>HLOOKUP(O3896,データについて!$J$9:$M$18,10,FALSE)</f>
        <v>#N/A</v>
      </c>
      <c r="W3896" s="81" t="e">
        <f>HLOOKUP(P3896,データについて!$J$10:$M$18,9,FALSE)</f>
        <v>#N/A</v>
      </c>
      <c r="X3896" s="81" t="e">
        <f>HLOOKUP(Q3896,データについて!$J$11:$M$18,8,FALSE)</f>
        <v>#N/A</v>
      </c>
      <c r="Y3896" s="81" t="e">
        <f>HLOOKUP(R3896,データについて!$J$12:$M$18,7,FALSE)</f>
        <v>#N/A</v>
      </c>
      <c r="Z3896" s="81" t="e">
        <f>HLOOKUP(I3896,データについて!$J$3:$M$18,16,FALSE)</f>
        <v>#N/A</v>
      </c>
      <c r="AA3896" s="81" t="str">
        <f>IFERROR(HLOOKUP(J3896,データについて!$J$4:$AH$19,16,FALSE),"")</f>
        <v/>
      </c>
      <c r="AB3896" s="81" t="str">
        <f>IFERROR(HLOOKUP(K3896,データについて!$J$5:$AH$20,14,FALSE),"")</f>
        <v/>
      </c>
      <c r="AC3896" s="81" t="e">
        <f>IF(X3896=1,HLOOKUP(R3896,データについて!$J$12:$M$18,7,FALSE),"*")</f>
        <v>#N/A</v>
      </c>
      <c r="AD3896" s="81" t="e">
        <f>IF(X3896=2,HLOOKUP(R3896,データについて!$J$12:$M$18,7,FALSE),"*")</f>
        <v>#N/A</v>
      </c>
    </row>
    <row r="3897" spans="19:30">
      <c r="S3897" s="81" t="e">
        <f>HLOOKUP(L3897,データについて!$J$6:$M$18,13,FALSE)</f>
        <v>#N/A</v>
      </c>
      <c r="T3897" s="81" t="e">
        <f>HLOOKUP(M3897,データについて!$J$7:$M$18,12,FALSE)</f>
        <v>#N/A</v>
      </c>
      <c r="U3897" s="81" t="e">
        <f>HLOOKUP(N3897,データについて!$J$8:$M$18,11,FALSE)</f>
        <v>#N/A</v>
      </c>
      <c r="V3897" s="81" t="e">
        <f>HLOOKUP(O3897,データについて!$J$9:$M$18,10,FALSE)</f>
        <v>#N/A</v>
      </c>
      <c r="W3897" s="81" t="e">
        <f>HLOOKUP(P3897,データについて!$J$10:$M$18,9,FALSE)</f>
        <v>#N/A</v>
      </c>
      <c r="X3897" s="81" t="e">
        <f>HLOOKUP(Q3897,データについて!$J$11:$M$18,8,FALSE)</f>
        <v>#N/A</v>
      </c>
      <c r="Y3897" s="81" t="e">
        <f>HLOOKUP(R3897,データについて!$J$12:$M$18,7,FALSE)</f>
        <v>#N/A</v>
      </c>
      <c r="Z3897" s="81" t="e">
        <f>HLOOKUP(I3897,データについて!$J$3:$M$18,16,FALSE)</f>
        <v>#N/A</v>
      </c>
      <c r="AA3897" s="81" t="str">
        <f>IFERROR(HLOOKUP(J3897,データについて!$J$4:$AH$19,16,FALSE),"")</f>
        <v/>
      </c>
      <c r="AB3897" s="81" t="str">
        <f>IFERROR(HLOOKUP(K3897,データについて!$J$5:$AH$20,14,FALSE),"")</f>
        <v/>
      </c>
      <c r="AC3897" s="81" t="e">
        <f>IF(X3897=1,HLOOKUP(R3897,データについて!$J$12:$M$18,7,FALSE),"*")</f>
        <v>#N/A</v>
      </c>
      <c r="AD3897" s="81" t="e">
        <f>IF(X3897=2,HLOOKUP(R3897,データについて!$J$12:$M$18,7,FALSE),"*")</f>
        <v>#N/A</v>
      </c>
    </row>
    <row r="3898" spans="19:30">
      <c r="S3898" s="81" t="e">
        <f>HLOOKUP(L3898,データについて!$J$6:$M$18,13,FALSE)</f>
        <v>#N/A</v>
      </c>
      <c r="T3898" s="81" t="e">
        <f>HLOOKUP(M3898,データについて!$J$7:$M$18,12,FALSE)</f>
        <v>#N/A</v>
      </c>
      <c r="U3898" s="81" t="e">
        <f>HLOOKUP(N3898,データについて!$J$8:$M$18,11,FALSE)</f>
        <v>#N/A</v>
      </c>
      <c r="V3898" s="81" t="e">
        <f>HLOOKUP(O3898,データについて!$J$9:$M$18,10,FALSE)</f>
        <v>#N/A</v>
      </c>
      <c r="W3898" s="81" t="e">
        <f>HLOOKUP(P3898,データについて!$J$10:$M$18,9,FALSE)</f>
        <v>#N/A</v>
      </c>
      <c r="X3898" s="81" t="e">
        <f>HLOOKUP(Q3898,データについて!$J$11:$M$18,8,FALSE)</f>
        <v>#N/A</v>
      </c>
      <c r="Y3898" s="81" t="e">
        <f>HLOOKUP(R3898,データについて!$J$12:$M$18,7,FALSE)</f>
        <v>#N/A</v>
      </c>
      <c r="Z3898" s="81" t="e">
        <f>HLOOKUP(I3898,データについて!$J$3:$M$18,16,FALSE)</f>
        <v>#N/A</v>
      </c>
      <c r="AA3898" s="81" t="str">
        <f>IFERROR(HLOOKUP(J3898,データについて!$J$4:$AH$19,16,FALSE),"")</f>
        <v/>
      </c>
      <c r="AB3898" s="81" t="str">
        <f>IFERROR(HLOOKUP(K3898,データについて!$J$5:$AH$20,14,FALSE),"")</f>
        <v/>
      </c>
      <c r="AC3898" s="81" t="e">
        <f>IF(X3898=1,HLOOKUP(R3898,データについて!$J$12:$M$18,7,FALSE),"*")</f>
        <v>#N/A</v>
      </c>
      <c r="AD3898" s="81" t="e">
        <f>IF(X3898=2,HLOOKUP(R3898,データについて!$J$12:$M$18,7,FALSE),"*")</f>
        <v>#N/A</v>
      </c>
    </row>
    <row r="3899" spans="19:30">
      <c r="S3899" s="81" t="e">
        <f>HLOOKUP(L3899,データについて!$J$6:$M$18,13,FALSE)</f>
        <v>#N/A</v>
      </c>
      <c r="T3899" s="81" t="e">
        <f>HLOOKUP(M3899,データについて!$J$7:$M$18,12,FALSE)</f>
        <v>#N/A</v>
      </c>
      <c r="U3899" s="81" t="e">
        <f>HLOOKUP(N3899,データについて!$J$8:$M$18,11,FALSE)</f>
        <v>#N/A</v>
      </c>
      <c r="V3899" s="81" t="e">
        <f>HLOOKUP(O3899,データについて!$J$9:$M$18,10,FALSE)</f>
        <v>#N/A</v>
      </c>
      <c r="W3899" s="81" t="e">
        <f>HLOOKUP(P3899,データについて!$J$10:$M$18,9,FALSE)</f>
        <v>#N/A</v>
      </c>
      <c r="X3899" s="81" t="e">
        <f>HLOOKUP(Q3899,データについて!$J$11:$M$18,8,FALSE)</f>
        <v>#N/A</v>
      </c>
      <c r="Y3899" s="81" t="e">
        <f>HLOOKUP(R3899,データについて!$J$12:$M$18,7,FALSE)</f>
        <v>#N/A</v>
      </c>
      <c r="Z3899" s="81" t="e">
        <f>HLOOKUP(I3899,データについて!$J$3:$M$18,16,FALSE)</f>
        <v>#N/A</v>
      </c>
      <c r="AA3899" s="81" t="str">
        <f>IFERROR(HLOOKUP(J3899,データについて!$J$4:$AH$19,16,FALSE),"")</f>
        <v/>
      </c>
      <c r="AB3899" s="81" t="str">
        <f>IFERROR(HLOOKUP(K3899,データについて!$J$5:$AH$20,14,FALSE),"")</f>
        <v/>
      </c>
      <c r="AC3899" s="81" t="e">
        <f>IF(X3899=1,HLOOKUP(R3899,データについて!$J$12:$M$18,7,FALSE),"*")</f>
        <v>#N/A</v>
      </c>
      <c r="AD3899" s="81" t="e">
        <f>IF(X3899=2,HLOOKUP(R3899,データについて!$J$12:$M$18,7,FALSE),"*")</f>
        <v>#N/A</v>
      </c>
    </row>
    <row r="3900" spans="19:30">
      <c r="S3900" s="81" t="e">
        <f>HLOOKUP(L3900,データについて!$J$6:$M$18,13,FALSE)</f>
        <v>#N/A</v>
      </c>
      <c r="T3900" s="81" t="e">
        <f>HLOOKUP(M3900,データについて!$J$7:$M$18,12,FALSE)</f>
        <v>#N/A</v>
      </c>
      <c r="U3900" s="81" t="e">
        <f>HLOOKUP(N3900,データについて!$J$8:$M$18,11,FALSE)</f>
        <v>#N/A</v>
      </c>
      <c r="V3900" s="81" t="e">
        <f>HLOOKUP(O3900,データについて!$J$9:$M$18,10,FALSE)</f>
        <v>#N/A</v>
      </c>
      <c r="W3900" s="81" t="e">
        <f>HLOOKUP(P3900,データについて!$J$10:$M$18,9,FALSE)</f>
        <v>#N/A</v>
      </c>
      <c r="X3900" s="81" t="e">
        <f>HLOOKUP(Q3900,データについて!$J$11:$M$18,8,FALSE)</f>
        <v>#N/A</v>
      </c>
      <c r="Y3900" s="81" t="e">
        <f>HLOOKUP(R3900,データについて!$J$12:$M$18,7,FALSE)</f>
        <v>#N/A</v>
      </c>
      <c r="Z3900" s="81" t="e">
        <f>HLOOKUP(I3900,データについて!$J$3:$M$18,16,FALSE)</f>
        <v>#N/A</v>
      </c>
      <c r="AA3900" s="81" t="str">
        <f>IFERROR(HLOOKUP(J3900,データについて!$J$4:$AH$19,16,FALSE),"")</f>
        <v/>
      </c>
      <c r="AB3900" s="81" t="str">
        <f>IFERROR(HLOOKUP(K3900,データについて!$J$5:$AH$20,14,FALSE),"")</f>
        <v/>
      </c>
      <c r="AC3900" s="81" t="e">
        <f>IF(X3900=1,HLOOKUP(R3900,データについて!$J$12:$M$18,7,FALSE),"*")</f>
        <v>#N/A</v>
      </c>
      <c r="AD3900" s="81" t="e">
        <f>IF(X3900=2,HLOOKUP(R3900,データについて!$J$12:$M$18,7,FALSE),"*")</f>
        <v>#N/A</v>
      </c>
    </row>
    <row r="3901" spans="19:30">
      <c r="S3901" s="81" t="e">
        <f>HLOOKUP(L3901,データについて!$J$6:$M$18,13,FALSE)</f>
        <v>#N/A</v>
      </c>
      <c r="T3901" s="81" t="e">
        <f>HLOOKUP(M3901,データについて!$J$7:$M$18,12,FALSE)</f>
        <v>#N/A</v>
      </c>
      <c r="U3901" s="81" t="e">
        <f>HLOOKUP(N3901,データについて!$J$8:$M$18,11,FALSE)</f>
        <v>#N/A</v>
      </c>
      <c r="V3901" s="81" t="e">
        <f>HLOOKUP(O3901,データについて!$J$9:$M$18,10,FALSE)</f>
        <v>#N/A</v>
      </c>
      <c r="W3901" s="81" t="e">
        <f>HLOOKUP(P3901,データについて!$J$10:$M$18,9,FALSE)</f>
        <v>#N/A</v>
      </c>
      <c r="X3901" s="81" t="e">
        <f>HLOOKUP(Q3901,データについて!$J$11:$M$18,8,FALSE)</f>
        <v>#N/A</v>
      </c>
      <c r="Y3901" s="81" t="e">
        <f>HLOOKUP(R3901,データについて!$J$12:$M$18,7,FALSE)</f>
        <v>#N/A</v>
      </c>
      <c r="Z3901" s="81" t="e">
        <f>HLOOKUP(I3901,データについて!$J$3:$M$18,16,FALSE)</f>
        <v>#N/A</v>
      </c>
      <c r="AA3901" s="81" t="str">
        <f>IFERROR(HLOOKUP(J3901,データについて!$J$4:$AH$19,16,FALSE),"")</f>
        <v/>
      </c>
      <c r="AB3901" s="81" t="str">
        <f>IFERROR(HLOOKUP(K3901,データについて!$J$5:$AH$20,14,FALSE),"")</f>
        <v/>
      </c>
      <c r="AC3901" s="81" t="e">
        <f>IF(X3901=1,HLOOKUP(R3901,データについて!$J$12:$M$18,7,FALSE),"*")</f>
        <v>#N/A</v>
      </c>
      <c r="AD3901" s="81" t="e">
        <f>IF(X3901=2,HLOOKUP(R3901,データについて!$J$12:$M$18,7,FALSE),"*")</f>
        <v>#N/A</v>
      </c>
    </row>
    <row r="3902" spans="19:30">
      <c r="S3902" s="81" t="e">
        <f>HLOOKUP(L3902,データについて!$J$6:$M$18,13,FALSE)</f>
        <v>#N/A</v>
      </c>
      <c r="T3902" s="81" t="e">
        <f>HLOOKUP(M3902,データについて!$J$7:$M$18,12,FALSE)</f>
        <v>#N/A</v>
      </c>
      <c r="U3902" s="81" t="e">
        <f>HLOOKUP(N3902,データについて!$J$8:$M$18,11,FALSE)</f>
        <v>#N/A</v>
      </c>
      <c r="V3902" s="81" t="e">
        <f>HLOOKUP(O3902,データについて!$J$9:$M$18,10,FALSE)</f>
        <v>#N/A</v>
      </c>
      <c r="W3902" s="81" t="e">
        <f>HLOOKUP(P3902,データについて!$J$10:$M$18,9,FALSE)</f>
        <v>#N/A</v>
      </c>
      <c r="X3902" s="81" t="e">
        <f>HLOOKUP(Q3902,データについて!$J$11:$M$18,8,FALSE)</f>
        <v>#N/A</v>
      </c>
      <c r="Y3902" s="81" t="e">
        <f>HLOOKUP(R3902,データについて!$J$12:$M$18,7,FALSE)</f>
        <v>#N/A</v>
      </c>
      <c r="Z3902" s="81" t="e">
        <f>HLOOKUP(I3902,データについて!$J$3:$M$18,16,FALSE)</f>
        <v>#N/A</v>
      </c>
      <c r="AA3902" s="81" t="str">
        <f>IFERROR(HLOOKUP(J3902,データについて!$J$4:$AH$19,16,FALSE),"")</f>
        <v/>
      </c>
      <c r="AB3902" s="81" t="str">
        <f>IFERROR(HLOOKUP(K3902,データについて!$J$5:$AH$20,14,FALSE),"")</f>
        <v/>
      </c>
      <c r="AC3902" s="81" t="e">
        <f>IF(X3902=1,HLOOKUP(R3902,データについて!$J$12:$M$18,7,FALSE),"*")</f>
        <v>#N/A</v>
      </c>
      <c r="AD3902" s="81" t="e">
        <f>IF(X3902=2,HLOOKUP(R3902,データについて!$J$12:$M$18,7,FALSE),"*")</f>
        <v>#N/A</v>
      </c>
    </row>
    <row r="3903" spans="19:30">
      <c r="S3903" s="81" t="e">
        <f>HLOOKUP(L3903,データについて!$J$6:$M$18,13,FALSE)</f>
        <v>#N/A</v>
      </c>
      <c r="T3903" s="81" t="e">
        <f>HLOOKUP(M3903,データについて!$J$7:$M$18,12,FALSE)</f>
        <v>#N/A</v>
      </c>
      <c r="U3903" s="81" t="e">
        <f>HLOOKUP(N3903,データについて!$J$8:$M$18,11,FALSE)</f>
        <v>#N/A</v>
      </c>
      <c r="V3903" s="81" t="e">
        <f>HLOOKUP(O3903,データについて!$J$9:$M$18,10,FALSE)</f>
        <v>#N/A</v>
      </c>
      <c r="W3903" s="81" t="e">
        <f>HLOOKUP(P3903,データについて!$J$10:$M$18,9,FALSE)</f>
        <v>#N/A</v>
      </c>
      <c r="X3903" s="81" t="e">
        <f>HLOOKUP(Q3903,データについて!$J$11:$M$18,8,FALSE)</f>
        <v>#N/A</v>
      </c>
      <c r="Y3903" s="81" t="e">
        <f>HLOOKUP(R3903,データについて!$J$12:$M$18,7,FALSE)</f>
        <v>#N/A</v>
      </c>
      <c r="Z3903" s="81" t="e">
        <f>HLOOKUP(I3903,データについて!$J$3:$M$18,16,FALSE)</f>
        <v>#N/A</v>
      </c>
      <c r="AA3903" s="81" t="str">
        <f>IFERROR(HLOOKUP(J3903,データについて!$J$4:$AH$19,16,FALSE),"")</f>
        <v/>
      </c>
      <c r="AB3903" s="81" t="str">
        <f>IFERROR(HLOOKUP(K3903,データについて!$J$5:$AH$20,14,FALSE),"")</f>
        <v/>
      </c>
      <c r="AC3903" s="81" t="e">
        <f>IF(X3903=1,HLOOKUP(R3903,データについて!$J$12:$M$18,7,FALSE),"*")</f>
        <v>#N/A</v>
      </c>
      <c r="AD3903" s="81" t="e">
        <f>IF(X3903=2,HLOOKUP(R3903,データについて!$J$12:$M$18,7,FALSE),"*")</f>
        <v>#N/A</v>
      </c>
    </row>
    <row r="3904" spans="19:30">
      <c r="S3904" s="81" t="e">
        <f>HLOOKUP(L3904,データについて!$J$6:$M$18,13,FALSE)</f>
        <v>#N/A</v>
      </c>
      <c r="T3904" s="81" t="e">
        <f>HLOOKUP(M3904,データについて!$J$7:$M$18,12,FALSE)</f>
        <v>#N/A</v>
      </c>
      <c r="U3904" s="81" t="e">
        <f>HLOOKUP(N3904,データについて!$J$8:$M$18,11,FALSE)</f>
        <v>#N/A</v>
      </c>
      <c r="V3904" s="81" t="e">
        <f>HLOOKUP(O3904,データについて!$J$9:$M$18,10,FALSE)</f>
        <v>#N/A</v>
      </c>
      <c r="W3904" s="81" t="e">
        <f>HLOOKUP(P3904,データについて!$J$10:$M$18,9,FALSE)</f>
        <v>#N/A</v>
      </c>
      <c r="X3904" s="81" t="e">
        <f>HLOOKUP(Q3904,データについて!$J$11:$M$18,8,FALSE)</f>
        <v>#N/A</v>
      </c>
      <c r="Y3904" s="81" t="e">
        <f>HLOOKUP(R3904,データについて!$J$12:$M$18,7,FALSE)</f>
        <v>#N/A</v>
      </c>
      <c r="Z3904" s="81" t="e">
        <f>HLOOKUP(I3904,データについて!$J$3:$M$18,16,FALSE)</f>
        <v>#N/A</v>
      </c>
      <c r="AA3904" s="81" t="str">
        <f>IFERROR(HLOOKUP(J3904,データについて!$J$4:$AH$19,16,FALSE),"")</f>
        <v/>
      </c>
      <c r="AB3904" s="81" t="str">
        <f>IFERROR(HLOOKUP(K3904,データについて!$J$5:$AH$20,14,FALSE),"")</f>
        <v/>
      </c>
      <c r="AC3904" s="81" t="e">
        <f>IF(X3904=1,HLOOKUP(R3904,データについて!$J$12:$M$18,7,FALSE),"*")</f>
        <v>#N/A</v>
      </c>
      <c r="AD3904" s="81" t="e">
        <f>IF(X3904=2,HLOOKUP(R3904,データについて!$J$12:$M$18,7,FALSE),"*")</f>
        <v>#N/A</v>
      </c>
    </row>
    <row r="3905" spans="19:30">
      <c r="S3905" s="81" t="e">
        <f>HLOOKUP(L3905,データについて!$J$6:$M$18,13,FALSE)</f>
        <v>#N/A</v>
      </c>
      <c r="T3905" s="81" t="e">
        <f>HLOOKUP(M3905,データについて!$J$7:$M$18,12,FALSE)</f>
        <v>#N/A</v>
      </c>
      <c r="U3905" s="81" t="e">
        <f>HLOOKUP(N3905,データについて!$J$8:$M$18,11,FALSE)</f>
        <v>#N/A</v>
      </c>
      <c r="V3905" s="81" t="e">
        <f>HLOOKUP(O3905,データについて!$J$9:$M$18,10,FALSE)</f>
        <v>#N/A</v>
      </c>
      <c r="W3905" s="81" t="e">
        <f>HLOOKUP(P3905,データについて!$J$10:$M$18,9,FALSE)</f>
        <v>#N/A</v>
      </c>
      <c r="X3905" s="81" t="e">
        <f>HLOOKUP(Q3905,データについて!$J$11:$M$18,8,FALSE)</f>
        <v>#N/A</v>
      </c>
      <c r="Y3905" s="81" t="e">
        <f>HLOOKUP(R3905,データについて!$J$12:$M$18,7,FALSE)</f>
        <v>#N/A</v>
      </c>
      <c r="Z3905" s="81" t="e">
        <f>HLOOKUP(I3905,データについて!$J$3:$M$18,16,FALSE)</f>
        <v>#N/A</v>
      </c>
      <c r="AA3905" s="81" t="str">
        <f>IFERROR(HLOOKUP(J3905,データについて!$J$4:$AH$19,16,FALSE),"")</f>
        <v/>
      </c>
      <c r="AB3905" s="81" t="str">
        <f>IFERROR(HLOOKUP(K3905,データについて!$J$5:$AH$20,14,FALSE),"")</f>
        <v/>
      </c>
      <c r="AC3905" s="81" t="e">
        <f>IF(X3905=1,HLOOKUP(R3905,データについて!$J$12:$M$18,7,FALSE),"*")</f>
        <v>#N/A</v>
      </c>
      <c r="AD3905" s="81" t="e">
        <f>IF(X3905=2,HLOOKUP(R3905,データについて!$J$12:$M$18,7,FALSE),"*")</f>
        <v>#N/A</v>
      </c>
    </row>
    <row r="3906" spans="19:30">
      <c r="S3906" s="81" t="e">
        <f>HLOOKUP(L3906,データについて!$J$6:$M$18,13,FALSE)</f>
        <v>#N/A</v>
      </c>
      <c r="T3906" s="81" t="e">
        <f>HLOOKUP(M3906,データについて!$J$7:$M$18,12,FALSE)</f>
        <v>#N/A</v>
      </c>
      <c r="U3906" s="81" t="e">
        <f>HLOOKUP(N3906,データについて!$J$8:$M$18,11,FALSE)</f>
        <v>#N/A</v>
      </c>
      <c r="V3906" s="81" t="e">
        <f>HLOOKUP(O3906,データについて!$J$9:$M$18,10,FALSE)</f>
        <v>#N/A</v>
      </c>
      <c r="W3906" s="81" t="e">
        <f>HLOOKUP(P3906,データについて!$J$10:$M$18,9,FALSE)</f>
        <v>#N/A</v>
      </c>
      <c r="X3906" s="81" t="e">
        <f>HLOOKUP(Q3906,データについて!$J$11:$M$18,8,FALSE)</f>
        <v>#N/A</v>
      </c>
      <c r="Y3906" s="81" t="e">
        <f>HLOOKUP(R3906,データについて!$J$12:$M$18,7,FALSE)</f>
        <v>#N/A</v>
      </c>
      <c r="Z3906" s="81" t="e">
        <f>HLOOKUP(I3906,データについて!$J$3:$M$18,16,FALSE)</f>
        <v>#N/A</v>
      </c>
      <c r="AA3906" s="81" t="str">
        <f>IFERROR(HLOOKUP(J3906,データについて!$J$4:$AH$19,16,FALSE),"")</f>
        <v/>
      </c>
      <c r="AB3906" s="81" t="str">
        <f>IFERROR(HLOOKUP(K3906,データについて!$J$5:$AH$20,14,FALSE),"")</f>
        <v/>
      </c>
      <c r="AC3906" s="81" t="e">
        <f>IF(X3906=1,HLOOKUP(R3906,データについて!$J$12:$M$18,7,FALSE),"*")</f>
        <v>#N/A</v>
      </c>
      <c r="AD3906" s="81" t="e">
        <f>IF(X3906=2,HLOOKUP(R3906,データについて!$J$12:$M$18,7,FALSE),"*")</f>
        <v>#N/A</v>
      </c>
    </row>
    <row r="3907" spans="19:30">
      <c r="S3907" s="81" t="e">
        <f>HLOOKUP(L3907,データについて!$J$6:$M$18,13,FALSE)</f>
        <v>#N/A</v>
      </c>
      <c r="T3907" s="81" t="e">
        <f>HLOOKUP(M3907,データについて!$J$7:$M$18,12,FALSE)</f>
        <v>#N/A</v>
      </c>
      <c r="U3907" s="81" t="e">
        <f>HLOOKUP(N3907,データについて!$J$8:$M$18,11,FALSE)</f>
        <v>#N/A</v>
      </c>
      <c r="V3907" s="81" t="e">
        <f>HLOOKUP(O3907,データについて!$J$9:$M$18,10,FALSE)</f>
        <v>#N/A</v>
      </c>
      <c r="W3907" s="81" t="e">
        <f>HLOOKUP(P3907,データについて!$J$10:$M$18,9,FALSE)</f>
        <v>#N/A</v>
      </c>
      <c r="X3907" s="81" t="e">
        <f>HLOOKUP(Q3907,データについて!$J$11:$M$18,8,FALSE)</f>
        <v>#N/A</v>
      </c>
      <c r="Y3907" s="81" t="e">
        <f>HLOOKUP(R3907,データについて!$J$12:$M$18,7,FALSE)</f>
        <v>#N/A</v>
      </c>
      <c r="Z3907" s="81" t="e">
        <f>HLOOKUP(I3907,データについて!$J$3:$M$18,16,FALSE)</f>
        <v>#N/A</v>
      </c>
      <c r="AA3907" s="81" t="str">
        <f>IFERROR(HLOOKUP(J3907,データについて!$J$4:$AH$19,16,FALSE),"")</f>
        <v/>
      </c>
      <c r="AB3907" s="81" t="str">
        <f>IFERROR(HLOOKUP(K3907,データについて!$J$5:$AH$20,14,FALSE),"")</f>
        <v/>
      </c>
      <c r="AC3907" s="81" t="e">
        <f>IF(X3907=1,HLOOKUP(R3907,データについて!$J$12:$M$18,7,FALSE),"*")</f>
        <v>#N/A</v>
      </c>
      <c r="AD3907" s="81" t="e">
        <f>IF(X3907=2,HLOOKUP(R3907,データについて!$J$12:$M$18,7,FALSE),"*")</f>
        <v>#N/A</v>
      </c>
    </row>
    <row r="3908" spans="19:30">
      <c r="S3908" s="81" t="e">
        <f>HLOOKUP(L3908,データについて!$J$6:$M$18,13,FALSE)</f>
        <v>#N/A</v>
      </c>
      <c r="T3908" s="81" t="e">
        <f>HLOOKUP(M3908,データについて!$J$7:$M$18,12,FALSE)</f>
        <v>#N/A</v>
      </c>
      <c r="U3908" s="81" t="e">
        <f>HLOOKUP(N3908,データについて!$J$8:$M$18,11,FALSE)</f>
        <v>#N/A</v>
      </c>
      <c r="V3908" s="81" t="e">
        <f>HLOOKUP(O3908,データについて!$J$9:$M$18,10,FALSE)</f>
        <v>#N/A</v>
      </c>
      <c r="W3908" s="81" t="e">
        <f>HLOOKUP(P3908,データについて!$J$10:$M$18,9,FALSE)</f>
        <v>#N/A</v>
      </c>
      <c r="X3908" s="81" t="e">
        <f>HLOOKUP(Q3908,データについて!$J$11:$M$18,8,FALSE)</f>
        <v>#N/A</v>
      </c>
      <c r="Y3908" s="81" t="e">
        <f>HLOOKUP(R3908,データについて!$J$12:$M$18,7,FALSE)</f>
        <v>#N/A</v>
      </c>
      <c r="Z3908" s="81" t="e">
        <f>HLOOKUP(I3908,データについて!$J$3:$M$18,16,FALSE)</f>
        <v>#N/A</v>
      </c>
      <c r="AA3908" s="81" t="str">
        <f>IFERROR(HLOOKUP(J3908,データについて!$J$4:$AH$19,16,FALSE),"")</f>
        <v/>
      </c>
      <c r="AB3908" s="81" t="str">
        <f>IFERROR(HLOOKUP(K3908,データについて!$J$5:$AH$20,14,FALSE),"")</f>
        <v/>
      </c>
      <c r="AC3908" s="81" t="e">
        <f>IF(X3908=1,HLOOKUP(R3908,データについて!$J$12:$M$18,7,FALSE),"*")</f>
        <v>#N/A</v>
      </c>
      <c r="AD3908" s="81" t="e">
        <f>IF(X3908=2,HLOOKUP(R3908,データについて!$J$12:$M$18,7,FALSE),"*")</f>
        <v>#N/A</v>
      </c>
    </row>
    <row r="3909" spans="19:30">
      <c r="S3909" s="81" t="e">
        <f>HLOOKUP(L3909,データについて!$J$6:$M$18,13,FALSE)</f>
        <v>#N/A</v>
      </c>
      <c r="T3909" s="81" t="e">
        <f>HLOOKUP(M3909,データについて!$J$7:$M$18,12,FALSE)</f>
        <v>#N/A</v>
      </c>
      <c r="U3909" s="81" t="e">
        <f>HLOOKUP(N3909,データについて!$J$8:$M$18,11,FALSE)</f>
        <v>#N/A</v>
      </c>
      <c r="V3909" s="81" t="e">
        <f>HLOOKUP(O3909,データについて!$J$9:$M$18,10,FALSE)</f>
        <v>#N/A</v>
      </c>
      <c r="W3909" s="81" t="e">
        <f>HLOOKUP(P3909,データについて!$J$10:$M$18,9,FALSE)</f>
        <v>#N/A</v>
      </c>
      <c r="X3909" s="81" t="e">
        <f>HLOOKUP(Q3909,データについて!$J$11:$M$18,8,FALSE)</f>
        <v>#N/A</v>
      </c>
      <c r="Y3909" s="81" t="e">
        <f>HLOOKUP(R3909,データについて!$J$12:$M$18,7,FALSE)</f>
        <v>#N/A</v>
      </c>
      <c r="Z3909" s="81" t="e">
        <f>HLOOKUP(I3909,データについて!$J$3:$M$18,16,FALSE)</f>
        <v>#N/A</v>
      </c>
      <c r="AA3909" s="81" t="str">
        <f>IFERROR(HLOOKUP(J3909,データについて!$J$4:$AH$19,16,FALSE),"")</f>
        <v/>
      </c>
      <c r="AB3909" s="81" t="str">
        <f>IFERROR(HLOOKUP(K3909,データについて!$J$5:$AH$20,14,FALSE),"")</f>
        <v/>
      </c>
      <c r="AC3909" s="81" t="e">
        <f>IF(X3909=1,HLOOKUP(R3909,データについて!$J$12:$M$18,7,FALSE),"*")</f>
        <v>#N/A</v>
      </c>
      <c r="AD3909" s="81" t="e">
        <f>IF(X3909=2,HLOOKUP(R3909,データについて!$J$12:$M$18,7,FALSE),"*")</f>
        <v>#N/A</v>
      </c>
    </row>
    <row r="3910" spans="19:30">
      <c r="S3910" s="81" t="e">
        <f>HLOOKUP(L3910,データについて!$J$6:$M$18,13,FALSE)</f>
        <v>#N/A</v>
      </c>
      <c r="T3910" s="81" t="e">
        <f>HLOOKUP(M3910,データについて!$J$7:$M$18,12,FALSE)</f>
        <v>#N/A</v>
      </c>
      <c r="U3910" s="81" t="e">
        <f>HLOOKUP(N3910,データについて!$J$8:$M$18,11,FALSE)</f>
        <v>#N/A</v>
      </c>
      <c r="V3910" s="81" t="e">
        <f>HLOOKUP(O3910,データについて!$J$9:$M$18,10,FALSE)</f>
        <v>#N/A</v>
      </c>
      <c r="W3910" s="81" t="e">
        <f>HLOOKUP(P3910,データについて!$J$10:$M$18,9,FALSE)</f>
        <v>#N/A</v>
      </c>
      <c r="X3910" s="81" t="e">
        <f>HLOOKUP(Q3910,データについて!$J$11:$M$18,8,FALSE)</f>
        <v>#N/A</v>
      </c>
      <c r="Y3910" s="81" t="e">
        <f>HLOOKUP(R3910,データについて!$J$12:$M$18,7,FALSE)</f>
        <v>#N/A</v>
      </c>
      <c r="Z3910" s="81" t="e">
        <f>HLOOKUP(I3910,データについて!$J$3:$M$18,16,FALSE)</f>
        <v>#N/A</v>
      </c>
      <c r="AA3910" s="81" t="str">
        <f>IFERROR(HLOOKUP(J3910,データについて!$J$4:$AH$19,16,FALSE),"")</f>
        <v/>
      </c>
      <c r="AB3910" s="81" t="str">
        <f>IFERROR(HLOOKUP(K3910,データについて!$J$5:$AH$20,14,FALSE),"")</f>
        <v/>
      </c>
      <c r="AC3910" s="81" t="e">
        <f>IF(X3910=1,HLOOKUP(R3910,データについて!$J$12:$M$18,7,FALSE),"*")</f>
        <v>#N/A</v>
      </c>
      <c r="AD3910" s="81" t="e">
        <f>IF(X3910=2,HLOOKUP(R3910,データについて!$J$12:$M$18,7,FALSE),"*")</f>
        <v>#N/A</v>
      </c>
    </row>
    <row r="3911" spans="19:30">
      <c r="S3911" s="81" t="e">
        <f>HLOOKUP(L3911,データについて!$J$6:$M$18,13,FALSE)</f>
        <v>#N/A</v>
      </c>
      <c r="T3911" s="81" t="e">
        <f>HLOOKUP(M3911,データについて!$J$7:$M$18,12,FALSE)</f>
        <v>#N/A</v>
      </c>
      <c r="U3911" s="81" t="e">
        <f>HLOOKUP(N3911,データについて!$J$8:$M$18,11,FALSE)</f>
        <v>#N/A</v>
      </c>
      <c r="V3911" s="81" t="e">
        <f>HLOOKUP(O3911,データについて!$J$9:$M$18,10,FALSE)</f>
        <v>#N/A</v>
      </c>
      <c r="W3911" s="81" t="e">
        <f>HLOOKUP(P3911,データについて!$J$10:$M$18,9,FALSE)</f>
        <v>#N/A</v>
      </c>
      <c r="X3911" s="81" t="e">
        <f>HLOOKUP(Q3911,データについて!$J$11:$M$18,8,FALSE)</f>
        <v>#N/A</v>
      </c>
      <c r="Y3911" s="81" t="e">
        <f>HLOOKUP(R3911,データについて!$J$12:$M$18,7,FALSE)</f>
        <v>#N/A</v>
      </c>
      <c r="Z3911" s="81" t="e">
        <f>HLOOKUP(I3911,データについて!$J$3:$M$18,16,FALSE)</f>
        <v>#N/A</v>
      </c>
      <c r="AA3911" s="81" t="str">
        <f>IFERROR(HLOOKUP(J3911,データについて!$J$4:$AH$19,16,FALSE),"")</f>
        <v/>
      </c>
      <c r="AB3911" s="81" t="str">
        <f>IFERROR(HLOOKUP(K3911,データについて!$J$5:$AH$20,14,FALSE),"")</f>
        <v/>
      </c>
      <c r="AC3911" s="81" t="e">
        <f>IF(X3911=1,HLOOKUP(R3911,データについて!$J$12:$M$18,7,FALSE),"*")</f>
        <v>#N/A</v>
      </c>
      <c r="AD3911" s="81" t="e">
        <f>IF(X3911=2,HLOOKUP(R3911,データについて!$J$12:$M$18,7,FALSE),"*")</f>
        <v>#N/A</v>
      </c>
    </row>
    <row r="3912" spans="19:30">
      <c r="S3912" s="81" t="e">
        <f>HLOOKUP(L3912,データについて!$J$6:$M$18,13,FALSE)</f>
        <v>#N/A</v>
      </c>
      <c r="T3912" s="81" t="e">
        <f>HLOOKUP(M3912,データについて!$J$7:$M$18,12,FALSE)</f>
        <v>#N/A</v>
      </c>
      <c r="U3912" s="81" t="e">
        <f>HLOOKUP(N3912,データについて!$J$8:$M$18,11,FALSE)</f>
        <v>#N/A</v>
      </c>
      <c r="V3912" s="81" t="e">
        <f>HLOOKUP(O3912,データについて!$J$9:$M$18,10,FALSE)</f>
        <v>#N/A</v>
      </c>
      <c r="W3912" s="81" t="e">
        <f>HLOOKUP(P3912,データについて!$J$10:$M$18,9,FALSE)</f>
        <v>#N/A</v>
      </c>
      <c r="X3912" s="81" t="e">
        <f>HLOOKUP(Q3912,データについて!$J$11:$M$18,8,FALSE)</f>
        <v>#N/A</v>
      </c>
      <c r="Y3912" s="81" t="e">
        <f>HLOOKUP(R3912,データについて!$J$12:$M$18,7,FALSE)</f>
        <v>#N/A</v>
      </c>
      <c r="Z3912" s="81" t="e">
        <f>HLOOKUP(I3912,データについて!$J$3:$M$18,16,FALSE)</f>
        <v>#N/A</v>
      </c>
      <c r="AA3912" s="81" t="str">
        <f>IFERROR(HLOOKUP(J3912,データについて!$J$4:$AH$19,16,FALSE),"")</f>
        <v/>
      </c>
      <c r="AB3912" s="81" t="str">
        <f>IFERROR(HLOOKUP(K3912,データについて!$J$5:$AH$20,14,FALSE),"")</f>
        <v/>
      </c>
      <c r="AC3912" s="81" t="e">
        <f>IF(X3912=1,HLOOKUP(R3912,データについて!$J$12:$M$18,7,FALSE),"*")</f>
        <v>#N/A</v>
      </c>
      <c r="AD3912" s="81" t="e">
        <f>IF(X3912=2,HLOOKUP(R3912,データについて!$J$12:$M$18,7,FALSE),"*")</f>
        <v>#N/A</v>
      </c>
    </row>
    <row r="3913" spans="19:30">
      <c r="S3913" s="81" t="e">
        <f>HLOOKUP(L3913,データについて!$J$6:$M$18,13,FALSE)</f>
        <v>#N/A</v>
      </c>
      <c r="T3913" s="81" t="e">
        <f>HLOOKUP(M3913,データについて!$J$7:$M$18,12,FALSE)</f>
        <v>#N/A</v>
      </c>
      <c r="U3913" s="81" t="e">
        <f>HLOOKUP(N3913,データについて!$J$8:$M$18,11,FALSE)</f>
        <v>#N/A</v>
      </c>
      <c r="V3913" s="81" t="e">
        <f>HLOOKUP(O3913,データについて!$J$9:$M$18,10,FALSE)</f>
        <v>#N/A</v>
      </c>
      <c r="W3913" s="81" t="e">
        <f>HLOOKUP(P3913,データについて!$J$10:$M$18,9,FALSE)</f>
        <v>#N/A</v>
      </c>
      <c r="X3913" s="81" t="e">
        <f>HLOOKUP(Q3913,データについて!$J$11:$M$18,8,FALSE)</f>
        <v>#N/A</v>
      </c>
      <c r="Y3913" s="81" t="e">
        <f>HLOOKUP(R3913,データについて!$J$12:$M$18,7,FALSE)</f>
        <v>#N/A</v>
      </c>
      <c r="Z3913" s="81" t="e">
        <f>HLOOKUP(I3913,データについて!$J$3:$M$18,16,FALSE)</f>
        <v>#N/A</v>
      </c>
      <c r="AA3913" s="81" t="str">
        <f>IFERROR(HLOOKUP(J3913,データについて!$J$4:$AH$19,16,FALSE),"")</f>
        <v/>
      </c>
      <c r="AB3913" s="81" t="str">
        <f>IFERROR(HLOOKUP(K3913,データについて!$J$5:$AH$20,14,FALSE),"")</f>
        <v/>
      </c>
      <c r="AC3913" s="81" t="e">
        <f>IF(X3913=1,HLOOKUP(R3913,データについて!$J$12:$M$18,7,FALSE),"*")</f>
        <v>#N/A</v>
      </c>
      <c r="AD3913" s="81" t="e">
        <f>IF(X3913=2,HLOOKUP(R3913,データについて!$J$12:$M$18,7,FALSE),"*")</f>
        <v>#N/A</v>
      </c>
    </row>
    <row r="3914" spans="19:30">
      <c r="S3914" s="81" t="e">
        <f>HLOOKUP(L3914,データについて!$J$6:$M$18,13,FALSE)</f>
        <v>#N/A</v>
      </c>
      <c r="T3914" s="81" t="e">
        <f>HLOOKUP(M3914,データについて!$J$7:$M$18,12,FALSE)</f>
        <v>#N/A</v>
      </c>
      <c r="U3914" s="81" t="e">
        <f>HLOOKUP(N3914,データについて!$J$8:$M$18,11,FALSE)</f>
        <v>#N/A</v>
      </c>
      <c r="V3914" s="81" t="e">
        <f>HLOOKUP(O3914,データについて!$J$9:$M$18,10,FALSE)</f>
        <v>#N/A</v>
      </c>
      <c r="W3914" s="81" t="e">
        <f>HLOOKUP(P3914,データについて!$J$10:$M$18,9,FALSE)</f>
        <v>#N/A</v>
      </c>
      <c r="X3914" s="81" t="e">
        <f>HLOOKUP(Q3914,データについて!$J$11:$M$18,8,FALSE)</f>
        <v>#N/A</v>
      </c>
      <c r="Y3914" s="81" t="e">
        <f>HLOOKUP(R3914,データについて!$J$12:$M$18,7,FALSE)</f>
        <v>#N/A</v>
      </c>
      <c r="Z3914" s="81" t="e">
        <f>HLOOKUP(I3914,データについて!$J$3:$M$18,16,FALSE)</f>
        <v>#N/A</v>
      </c>
      <c r="AA3914" s="81" t="str">
        <f>IFERROR(HLOOKUP(J3914,データについて!$J$4:$AH$19,16,FALSE),"")</f>
        <v/>
      </c>
      <c r="AB3914" s="81" t="str">
        <f>IFERROR(HLOOKUP(K3914,データについて!$J$5:$AH$20,14,FALSE),"")</f>
        <v/>
      </c>
      <c r="AC3914" s="81" t="e">
        <f>IF(X3914=1,HLOOKUP(R3914,データについて!$J$12:$M$18,7,FALSE),"*")</f>
        <v>#N/A</v>
      </c>
      <c r="AD3914" s="81" t="e">
        <f>IF(X3914=2,HLOOKUP(R3914,データについて!$J$12:$M$18,7,FALSE),"*")</f>
        <v>#N/A</v>
      </c>
    </row>
    <row r="3915" spans="19:30">
      <c r="S3915" s="81" t="e">
        <f>HLOOKUP(L3915,データについて!$J$6:$M$18,13,FALSE)</f>
        <v>#N/A</v>
      </c>
      <c r="T3915" s="81" t="e">
        <f>HLOOKUP(M3915,データについて!$J$7:$M$18,12,FALSE)</f>
        <v>#N/A</v>
      </c>
      <c r="U3915" s="81" t="e">
        <f>HLOOKUP(N3915,データについて!$J$8:$M$18,11,FALSE)</f>
        <v>#N/A</v>
      </c>
      <c r="V3915" s="81" t="e">
        <f>HLOOKUP(O3915,データについて!$J$9:$M$18,10,FALSE)</f>
        <v>#N/A</v>
      </c>
      <c r="W3915" s="81" t="e">
        <f>HLOOKUP(P3915,データについて!$J$10:$M$18,9,FALSE)</f>
        <v>#N/A</v>
      </c>
      <c r="X3915" s="81" t="e">
        <f>HLOOKUP(Q3915,データについて!$J$11:$M$18,8,FALSE)</f>
        <v>#N/A</v>
      </c>
      <c r="Y3915" s="81" t="e">
        <f>HLOOKUP(R3915,データについて!$J$12:$M$18,7,FALSE)</f>
        <v>#N/A</v>
      </c>
      <c r="Z3915" s="81" t="e">
        <f>HLOOKUP(I3915,データについて!$J$3:$M$18,16,FALSE)</f>
        <v>#N/A</v>
      </c>
      <c r="AA3915" s="81" t="str">
        <f>IFERROR(HLOOKUP(J3915,データについて!$J$4:$AH$19,16,FALSE),"")</f>
        <v/>
      </c>
      <c r="AB3915" s="81" t="str">
        <f>IFERROR(HLOOKUP(K3915,データについて!$J$5:$AH$20,14,FALSE),"")</f>
        <v/>
      </c>
      <c r="AC3915" s="81" t="e">
        <f>IF(X3915=1,HLOOKUP(R3915,データについて!$J$12:$M$18,7,FALSE),"*")</f>
        <v>#N/A</v>
      </c>
      <c r="AD3915" s="81" t="e">
        <f>IF(X3915=2,HLOOKUP(R3915,データについて!$J$12:$M$18,7,FALSE),"*")</f>
        <v>#N/A</v>
      </c>
    </row>
    <row r="3916" spans="19:30">
      <c r="S3916" s="81" t="e">
        <f>HLOOKUP(L3916,データについて!$J$6:$M$18,13,FALSE)</f>
        <v>#N/A</v>
      </c>
      <c r="T3916" s="81" t="e">
        <f>HLOOKUP(M3916,データについて!$J$7:$M$18,12,FALSE)</f>
        <v>#N/A</v>
      </c>
      <c r="U3916" s="81" t="e">
        <f>HLOOKUP(N3916,データについて!$J$8:$M$18,11,FALSE)</f>
        <v>#N/A</v>
      </c>
      <c r="V3916" s="81" t="e">
        <f>HLOOKUP(O3916,データについて!$J$9:$M$18,10,FALSE)</f>
        <v>#N/A</v>
      </c>
      <c r="W3916" s="81" t="e">
        <f>HLOOKUP(P3916,データについて!$J$10:$M$18,9,FALSE)</f>
        <v>#N/A</v>
      </c>
      <c r="X3916" s="81" t="e">
        <f>HLOOKUP(Q3916,データについて!$J$11:$M$18,8,FALSE)</f>
        <v>#N/A</v>
      </c>
      <c r="Y3916" s="81" t="e">
        <f>HLOOKUP(R3916,データについて!$J$12:$M$18,7,FALSE)</f>
        <v>#N/A</v>
      </c>
      <c r="Z3916" s="81" t="e">
        <f>HLOOKUP(I3916,データについて!$J$3:$M$18,16,FALSE)</f>
        <v>#N/A</v>
      </c>
      <c r="AA3916" s="81" t="str">
        <f>IFERROR(HLOOKUP(J3916,データについて!$J$4:$AH$19,16,FALSE),"")</f>
        <v/>
      </c>
      <c r="AB3916" s="81" t="str">
        <f>IFERROR(HLOOKUP(K3916,データについて!$J$5:$AH$20,14,FALSE),"")</f>
        <v/>
      </c>
      <c r="AC3916" s="81" t="e">
        <f>IF(X3916=1,HLOOKUP(R3916,データについて!$J$12:$M$18,7,FALSE),"*")</f>
        <v>#N/A</v>
      </c>
      <c r="AD3916" s="81" t="e">
        <f>IF(X3916=2,HLOOKUP(R3916,データについて!$J$12:$M$18,7,FALSE),"*")</f>
        <v>#N/A</v>
      </c>
    </row>
    <row r="3917" spans="19:30">
      <c r="S3917" s="81" t="e">
        <f>HLOOKUP(L3917,データについて!$J$6:$M$18,13,FALSE)</f>
        <v>#N/A</v>
      </c>
      <c r="T3917" s="81" t="e">
        <f>HLOOKUP(M3917,データについて!$J$7:$M$18,12,FALSE)</f>
        <v>#N/A</v>
      </c>
      <c r="U3917" s="81" t="e">
        <f>HLOOKUP(N3917,データについて!$J$8:$M$18,11,FALSE)</f>
        <v>#N/A</v>
      </c>
      <c r="V3917" s="81" t="e">
        <f>HLOOKUP(O3917,データについて!$J$9:$M$18,10,FALSE)</f>
        <v>#N/A</v>
      </c>
      <c r="W3917" s="81" t="e">
        <f>HLOOKUP(P3917,データについて!$J$10:$M$18,9,FALSE)</f>
        <v>#N/A</v>
      </c>
      <c r="X3917" s="81" t="e">
        <f>HLOOKUP(Q3917,データについて!$J$11:$M$18,8,FALSE)</f>
        <v>#N/A</v>
      </c>
      <c r="Y3917" s="81" t="e">
        <f>HLOOKUP(R3917,データについて!$J$12:$M$18,7,FALSE)</f>
        <v>#N/A</v>
      </c>
      <c r="Z3917" s="81" t="e">
        <f>HLOOKUP(I3917,データについて!$J$3:$M$18,16,FALSE)</f>
        <v>#N/A</v>
      </c>
      <c r="AA3917" s="81" t="str">
        <f>IFERROR(HLOOKUP(J3917,データについて!$J$4:$AH$19,16,FALSE),"")</f>
        <v/>
      </c>
      <c r="AB3917" s="81" t="str">
        <f>IFERROR(HLOOKUP(K3917,データについて!$J$5:$AH$20,14,FALSE),"")</f>
        <v/>
      </c>
      <c r="AC3917" s="81" t="e">
        <f>IF(X3917=1,HLOOKUP(R3917,データについて!$J$12:$M$18,7,FALSE),"*")</f>
        <v>#N/A</v>
      </c>
      <c r="AD3917" s="81" t="e">
        <f>IF(X3917=2,HLOOKUP(R3917,データについて!$J$12:$M$18,7,FALSE),"*")</f>
        <v>#N/A</v>
      </c>
    </row>
    <row r="3918" spans="19:30">
      <c r="S3918" s="81" t="e">
        <f>HLOOKUP(L3918,データについて!$J$6:$M$18,13,FALSE)</f>
        <v>#N/A</v>
      </c>
      <c r="T3918" s="81" t="e">
        <f>HLOOKUP(M3918,データについて!$J$7:$M$18,12,FALSE)</f>
        <v>#N/A</v>
      </c>
      <c r="U3918" s="81" t="e">
        <f>HLOOKUP(N3918,データについて!$J$8:$M$18,11,FALSE)</f>
        <v>#N/A</v>
      </c>
      <c r="V3918" s="81" t="e">
        <f>HLOOKUP(O3918,データについて!$J$9:$M$18,10,FALSE)</f>
        <v>#N/A</v>
      </c>
      <c r="W3918" s="81" t="e">
        <f>HLOOKUP(P3918,データについて!$J$10:$M$18,9,FALSE)</f>
        <v>#N/A</v>
      </c>
      <c r="X3918" s="81" t="e">
        <f>HLOOKUP(Q3918,データについて!$J$11:$M$18,8,FALSE)</f>
        <v>#N/A</v>
      </c>
      <c r="Y3918" s="81" t="e">
        <f>HLOOKUP(R3918,データについて!$J$12:$M$18,7,FALSE)</f>
        <v>#N/A</v>
      </c>
      <c r="Z3918" s="81" t="e">
        <f>HLOOKUP(I3918,データについて!$J$3:$M$18,16,FALSE)</f>
        <v>#N/A</v>
      </c>
      <c r="AA3918" s="81" t="str">
        <f>IFERROR(HLOOKUP(J3918,データについて!$J$4:$AH$19,16,FALSE),"")</f>
        <v/>
      </c>
      <c r="AB3918" s="81" t="str">
        <f>IFERROR(HLOOKUP(K3918,データについて!$J$5:$AH$20,14,FALSE),"")</f>
        <v/>
      </c>
      <c r="AC3918" s="81" t="e">
        <f>IF(X3918=1,HLOOKUP(R3918,データについて!$J$12:$M$18,7,FALSE),"*")</f>
        <v>#N/A</v>
      </c>
      <c r="AD3918" s="81" t="e">
        <f>IF(X3918=2,HLOOKUP(R3918,データについて!$J$12:$M$18,7,FALSE),"*")</f>
        <v>#N/A</v>
      </c>
    </row>
    <row r="3919" spans="19:30">
      <c r="S3919" s="81" t="e">
        <f>HLOOKUP(L3919,データについて!$J$6:$M$18,13,FALSE)</f>
        <v>#N/A</v>
      </c>
      <c r="T3919" s="81" t="e">
        <f>HLOOKUP(M3919,データについて!$J$7:$M$18,12,FALSE)</f>
        <v>#N/A</v>
      </c>
      <c r="U3919" s="81" t="e">
        <f>HLOOKUP(N3919,データについて!$J$8:$M$18,11,FALSE)</f>
        <v>#N/A</v>
      </c>
      <c r="V3919" s="81" t="e">
        <f>HLOOKUP(O3919,データについて!$J$9:$M$18,10,FALSE)</f>
        <v>#N/A</v>
      </c>
      <c r="W3919" s="81" t="e">
        <f>HLOOKUP(P3919,データについて!$J$10:$M$18,9,FALSE)</f>
        <v>#N/A</v>
      </c>
      <c r="X3919" s="81" t="e">
        <f>HLOOKUP(Q3919,データについて!$J$11:$M$18,8,FALSE)</f>
        <v>#N/A</v>
      </c>
      <c r="Y3919" s="81" t="e">
        <f>HLOOKUP(R3919,データについて!$J$12:$M$18,7,FALSE)</f>
        <v>#N/A</v>
      </c>
      <c r="Z3919" s="81" t="e">
        <f>HLOOKUP(I3919,データについて!$J$3:$M$18,16,FALSE)</f>
        <v>#N/A</v>
      </c>
      <c r="AA3919" s="81" t="str">
        <f>IFERROR(HLOOKUP(J3919,データについて!$J$4:$AH$19,16,FALSE),"")</f>
        <v/>
      </c>
      <c r="AB3919" s="81" t="str">
        <f>IFERROR(HLOOKUP(K3919,データについて!$J$5:$AH$20,14,FALSE),"")</f>
        <v/>
      </c>
      <c r="AC3919" s="81" t="e">
        <f>IF(X3919=1,HLOOKUP(R3919,データについて!$J$12:$M$18,7,FALSE),"*")</f>
        <v>#N/A</v>
      </c>
      <c r="AD3919" s="81" t="e">
        <f>IF(X3919=2,HLOOKUP(R3919,データについて!$J$12:$M$18,7,FALSE),"*")</f>
        <v>#N/A</v>
      </c>
    </row>
    <row r="3920" spans="19:30">
      <c r="S3920" s="81" t="e">
        <f>HLOOKUP(L3920,データについて!$J$6:$M$18,13,FALSE)</f>
        <v>#N/A</v>
      </c>
      <c r="T3920" s="81" t="e">
        <f>HLOOKUP(M3920,データについて!$J$7:$M$18,12,FALSE)</f>
        <v>#N/A</v>
      </c>
      <c r="U3920" s="81" t="e">
        <f>HLOOKUP(N3920,データについて!$J$8:$M$18,11,FALSE)</f>
        <v>#N/A</v>
      </c>
      <c r="V3920" s="81" t="e">
        <f>HLOOKUP(O3920,データについて!$J$9:$M$18,10,FALSE)</f>
        <v>#N/A</v>
      </c>
      <c r="W3920" s="81" t="e">
        <f>HLOOKUP(P3920,データについて!$J$10:$M$18,9,FALSE)</f>
        <v>#N/A</v>
      </c>
      <c r="X3920" s="81" t="e">
        <f>HLOOKUP(Q3920,データについて!$J$11:$M$18,8,FALSE)</f>
        <v>#N/A</v>
      </c>
      <c r="Y3920" s="81" t="e">
        <f>HLOOKUP(R3920,データについて!$J$12:$M$18,7,FALSE)</f>
        <v>#N/A</v>
      </c>
      <c r="Z3920" s="81" t="e">
        <f>HLOOKUP(I3920,データについて!$J$3:$M$18,16,FALSE)</f>
        <v>#N/A</v>
      </c>
      <c r="AA3920" s="81" t="str">
        <f>IFERROR(HLOOKUP(J3920,データについて!$J$4:$AH$19,16,FALSE),"")</f>
        <v/>
      </c>
      <c r="AB3920" s="81" t="str">
        <f>IFERROR(HLOOKUP(K3920,データについて!$J$5:$AH$20,14,FALSE),"")</f>
        <v/>
      </c>
      <c r="AC3920" s="81" t="e">
        <f>IF(X3920=1,HLOOKUP(R3920,データについて!$J$12:$M$18,7,FALSE),"*")</f>
        <v>#N/A</v>
      </c>
      <c r="AD3920" s="81" t="e">
        <f>IF(X3920=2,HLOOKUP(R3920,データについて!$J$12:$M$18,7,FALSE),"*")</f>
        <v>#N/A</v>
      </c>
    </row>
    <row r="3921" spans="19:30">
      <c r="S3921" s="81" t="e">
        <f>HLOOKUP(L3921,データについて!$J$6:$M$18,13,FALSE)</f>
        <v>#N/A</v>
      </c>
      <c r="T3921" s="81" t="e">
        <f>HLOOKUP(M3921,データについて!$J$7:$M$18,12,FALSE)</f>
        <v>#N/A</v>
      </c>
      <c r="U3921" s="81" t="e">
        <f>HLOOKUP(N3921,データについて!$J$8:$M$18,11,FALSE)</f>
        <v>#N/A</v>
      </c>
      <c r="V3921" s="81" t="e">
        <f>HLOOKUP(O3921,データについて!$J$9:$M$18,10,FALSE)</f>
        <v>#N/A</v>
      </c>
      <c r="W3921" s="81" t="e">
        <f>HLOOKUP(P3921,データについて!$J$10:$M$18,9,FALSE)</f>
        <v>#N/A</v>
      </c>
      <c r="X3921" s="81" t="e">
        <f>HLOOKUP(Q3921,データについて!$J$11:$M$18,8,FALSE)</f>
        <v>#N/A</v>
      </c>
      <c r="Y3921" s="81" t="e">
        <f>HLOOKUP(R3921,データについて!$J$12:$M$18,7,FALSE)</f>
        <v>#N/A</v>
      </c>
      <c r="Z3921" s="81" t="e">
        <f>HLOOKUP(I3921,データについて!$J$3:$M$18,16,FALSE)</f>
        <v>#N/A</v>
      </c>
      <c r="AA3921" s="81" t="str">
        <f>IFERROR(HLOOKUP(J3921,データについて!$J$4:$AH$19,16,FALSE),"")</f>
        <v/>
      </c>
      <c r="AB3921" s="81" t="str">
        <f>IFERROR(HLOOKUP(K3921,データについて!$J$5:$AH$20,14,FALSE),"")</f>
        <v/>
      </c>
      <c r="AC3921" s="81" t="e">
        <f>IF(X3921=1,HLOOKUP(R3921,データについて!$J$12:$M$18,7,FALSE),"*")</f>
        <v>#N/A</v>
      </c>
      <c r="AD3921" s="81" t="e">
        <f>IF(X3921=2,HLOOKUP(R3921,データについて!$J$12:$M$18,7,FALSE),"*")</f>
        <v>#N/A</v>
      </c>
    </row>
    <row r="3922" spans="19:30">
      <c r="S3922" s="81" t="e">
        <f>HLOOKUP(L3922,データについて!$J$6:$M$18,13,FALSE)</f>
        <v>#N/A</v>
      </c>
      <c r="T3922" s="81" t="e">
        <f>HLOOKUP(M3922,データについて!$J$7:$M$18,12,FALSE)</f>
        <v>#N/A</v>
      </c>
      <c r="U3922" s="81" t="e">
        <f>HLOOKUP(N3922,データについて!$J$8:$M$18,11,FALSE)</f>
        <v>#N/A</v>
      </c>
      <c r="V3922" s="81" t="e">
        <f>HLOOKUP(O3922,データについて!$J$9:$M$18,10,FALSE)</f>
        <v>#N/A</v>
      </c>
      <c r="W3922" s="81" t="e">
        <f>HLOOKUP(P3922,データについて!$J$10:$M$18,9,FALSE)</f>
        <v>#N/A</v>
      </c>
      <c r="X3922" s="81" t="e">
        <f>HLOOKUP(Q3922,データについて!$J$11:$M$18,8,FALSE)</f>
        <v>#N/A</v>
      </c>
      <c r="Y3922" s="81" t="e">
        <f>HLOOKUP(R3922,データについて!$J$12:$M$18,7,FALSE)</f>
        <v>#N/A</v>
      </c>
      <c r="Z3922" s="81" t="e">
        <f>HLOOKUP(I3922,データについて!$J$3:$M$18,16,FALSE)</f>
        <v>#N/A</v>
      </c>
      <c r="AA3922" s="81" t="str">
        <f>IFERROR(HLOOKUP(J3922,データについて!$J$4:$AH$19,16,FALSE),"")</f>
        <v/>
      </c>
      <c r="AB3922" s="81" t="str">
        <f>IFERROR(HLOOKUP(K3922,データについて!$J$5:$AH$20,14,FALSE),"")</f>
        <v/>
      </c>
      <c r="AC3922" s="81" t="e">
        <f>IF(X3922=1,HLOOKUP(R3922,データについて!$J$12:$M$18,7,FALSE),"*")</f>
        <v>#N/A</v>
      </c>
      <c r="AD3922" s="81" t="e">
        <f>IF(X3922=2,HLOOKUP(R3922,データについて!$J$12:$M$18,7,FALSE),"*")</f>
        <v>#N/A</v>
      </c>
    </row>
    <row r="3923" spans="19:30">
      <c r="S3923" s="81" t="e">
        <f>HLOOKUP(L3923,データについて!$J$6:$M$18,13,FALSE)</f>
        <v>#N/A</v>
      </c>
      <c r="T3923" s="81" t="e">
        <f>HLOOKUP(M3923,データについて!$J$7:$M$18,12,FALSE)</f>
        <v>#N/A</v>
      </c>
      <c r="U3923" s="81" t="e">
        <f>HLOOKUP(N3923,データについて!$J$8:$M$18,11,FALSE)</f>
        <v>#N/A</v>
      </c>
      <c r="V3923" s="81" t="e">
        <f>HLOOKUP(O3923,データについて!$J$9:$M$18,10,FALSE)</f>
        <v>#N/A</v>
      </c>
      <c r="W3923" s="81" t="e">
        <f>HLOOKUP(P3923,データについて!$J$10:$M$18,9,FALSE)</f>
        <v>#N/A</v>
      </c>
      <c r="X3923" s="81" t="e">
        <f>HLOOKUP(Q3923,データについて!$J$11:$M$18,8,FALSE)</f>
        <v>#N/A</v>
      </c>
      <c r="Y3923" s="81" t="e">
        <f>HLOOKUP(R3923,データについて!$J$12:$M$18,7,FALSE)</f>
        <v>#N/A</v>
      </c>
      <c r="Z3923" s="81" t="e">
        <f>HLOOKUP(I3923,データについて!$J$3:$M$18,16,FALSE)</f>
        <v>#N/A</v>
      </c>
      <c r="AA3923" s="81" t="str">
        <f>IFERROR(HLOOKUP(J3923,データについて!$J$4:$AH$19,16,FALSE),"")</f>
        <v/>
      </c>
      <c r="AB3923" s="81" t="str">
        <f>IFERROR(HLOOKUP(K3923,データについて!$J$5:$AH$20,14,FALSE),"")</f>
        <v/>
      </c>
      <c r="AC3923" s="81" t="e">
        <f>IF(X3923=1,HLOOKUP(R3923,データについて!$J$12:$M$18,7,FALSE),"*")</f>
        <v>#N/A</v>
      </c>
      <c r="AD3923" s="81" t="e">
        <f>IF(X3923=2,HLOOKUP(R3923,データについて!$J$12:$M$18,7,FALSE),"*")</f>
        <v>#N/A</v>
      </c>
    </row>
    <row r="3924" spans="19:30">
      <c r="S3924" s="81" t="e">
        <f>HLOOKUP(L3924,データについて!$J$6:$M$18,13,FALSE)</f>
        <v>#N/A</v>
      </c>
      <c r="T3924" s="81" t="e">
        <f>HLOOKUP(M3924,データについて!$J$7:$M$18,12,FALSE)</f>
        <v>#N/A</v>
      </c>
      <c r="U3924" s="81" t="e">
        <f>HLOOKUP(N3924,データについて!$J$8:$M$18,11,FALSE)</f>
        <v>#N/A</v>
      </c>
      <c r="V3924" s="81" t="e">
        <f>HLOOKUP(O3924,データについて!$J$9:$M$18,10,FALSE)</f>
        <v>#N/A</v>
      </c>
      <c r="W3924" s="81" t="e">
        <f>HLOOKUP(P3924,データについて!$J$10:$M$18,9,FALSE)</f>
        <v>#N/A</v>
      </c>
      <c r="X3924" s="81" t="e">
        <f>HLOOKUP(Q3924,データについて!$J$11:$M$18,8,FALSE)</f>
        <v>#N/A</v>
      </c>
      <c r="Y3924" s="81" t="e">
        <f>HLOOKUP(R3924,データについて!$J$12:$M$18,7,FALSE)</f>
        <v>#N/A</v>
      </c>
      <c r="Z3924" s="81" t="e">
        <f>HLOOKUP(I3924,データについて!$J$3:$M$18,16,FALSE)</f>
        <v>#N/A</v>
      </c>
      <c r="AA3924" s="81" t="str">
        <f>IFERROR(HLOOKUP(J3924,データについて!$J$4:$AH$19,16,FALSE),"")</f>
        <v/>
      </c>
      <c r="AB3924" s="81" t="str">
        <f>IFERROR(HLOOKUP(K3924,データについて!$J$5:$AH$20,14,FALSE),"")</f>
        <v/>
      </c>
      <c r="AC3924" s="81" t="e">
        <f>IF(X3924=1,HLOOKUP(R3924,データについて!$J$12:$M$18,7,FALSE),"*")</f>
        <v>#N/A</v>
      </c>
      <c r="AD3924" s="81" t="e">
        <f>IF(X3924=2,HLOOKUP(R3924,データについて!$J$12:$M$18,7,FALSE),"*")</f>
        <v>#N/A</v>
      </c>
    </row>
    <row r="3925" spans="19:30">
      <c r="S3925" s="81" t="e">
        <f>HLOOKUP(L3925,データについて!$J$6:$M$18,13,FALSE)</f>
        <v>#N/A</v>
      </c>
      <c r="T3925" s="81" t="e">
        <f>HLOOKUP(M3925,データについて!$J$7:$M$18,12,FALSE)</f>
        <v>#N/A</v>
      </c>
      <c r="U3925" s="81" t="e">
        <f>HLOOKUP(N3925,データについて!$J$8:$M$18,11,FALSE)</f>
        <v>#N/A</v>
      </c>
      <c r="V3925" s="81" t="e">
        <f>HLOOKUP(O3925,データについて!$J$9:$M$18,10,FALSE)</f>
        <v>#N/A</v>
      </c>
      <c r="W3925" s="81" t="e">
        <f>HLOOKUP(P3925,データについて!$J$10:$M$18,9,FALSE)</f>
        <v>#N/A</v>
      </c>
      <c r="X3925" s="81" t="e">
        <f>HLOOKUP(Q3925,データについて!$J$11:$M$18,8,FALSE)</f>
        <v>#N/A</v>
      </c>
      <c r="Y3925" s="81" t="e">
        <f>HLOOKUP(R3925,データについて!$J$12:$M$18,7,FALSE)</f>
        <v>#N/A</v>
      </c>
      <c r="Z3925" s="81" t="e">
        <f>HLOOKUP(I3925,データについて!$J$3:$M$18,16,FALSE)</f>
        <v>#N/A</v>
      </c>
      <c r="AA3925" s="81" t="str">
        <f>IFERROR(HLOOKUP(J3925,データについて!$J$4:$AH$19,16,FALSE),"")</f>
        <v/>
      </c>
      <c r="AB3925" s="81" t="str">
        <f>IFERROR(HLOOKUP(K3925,データについて!$J$5:$AH$20,14,FALSE),"")</f>
        <v/>
      </c>
      <c r="AC3925" s="81" t="e">
        <f>IF(X3925=1,HLOOKUP(R3925,データについて!$J$12:$M$18,7,FALSE),"*")</f>
        <v>#N/A</v>
      </c>
      <c r="AD3925" s="81" t="e">
        <f>IF(X3925=2,HLOOKUP(R3925,データについて!$J$12:$M$18,7,FALSE),"*")</f>
        <v>#N/A</v>
      </c>
    </row>
    <row r="3926" spans="19:30">
      <c r="S3926" s="81" t="e">
        <f>HLOOKUP(L3926,データについて!$J$6:$M$18,13,FALSE)</f>
        <v>#N/A</v>
      </c>
      <c r="T3926" s="81" t="e">
        <f>HLOOKUP(M3926,データについて!$J$7:$M$18,12,FALSE)</f>
        <v>#N/A</v>
      </c>
      <c r="U3926" s="81" t="e">
        <f>HLOOKUP(N3926,データについて!$J$8:$M$18,11,FALSE)</f>
        <v>#N/A</v>
      </c>
      <c r="V3926" s="81" t="e">
        <f>HLOOKUP(O3926,データについて!$J$9:$M$18,10,FALSE)</f>
        <v>#N/A</v>
      </c>
      <c r="W3926" s="81" t="e">
        <f>HLOOKUP(P3926,データについて!$J$10:$M$18,9,FALSE)</f>
        <v>#N/A</v>
      </c>
      <c r="X3926" s="81" t="e">
        <f>HLOOKUP(Q3926,データについて!$J$11:$M$18,8,FALSE)</f>
        <v>#N/A</v>
      </c>
      <c r="Y3926" s="81" t="e">
        <f>HLOOKUP(R3926,データについて!$J$12:$M$18,7,FALSE)</f>
        <v>#N/A</v>
      </c>
      <c r="Z3926" s="81" t="e">
        <f>HLOOKUP(I3926,データについて!$J$3:$M$18,16,FALSE)</f>
        <v>#N/A</v>
      </c>
      <c r="AA3926" s="81" t="str">
        <f>IFERROR(HLOOKUP(J3926,データについて!$J$4:$AH$19,16,FALSE),"")</f>
        <v/>
      </c>
      <c r="AB3926" s="81" t="str">
        <f>IFERROR(HLOOKUP(K3926,データについて!$J$5:$AH$20,14,FALSE),"")</f>
        <v/>
      </c>
      <c r="AC3926" s="81" t="e">
        <f>IF(X3926=1,HLOOKUP(R3926,データについて!$J$12:$M$18,7,FALSE),"*")</f>
        <v>#N/A</v>
      </c>
      <c r="AD3926" s="81" t="e">
        <f>IF(X3926=2,HLOOKUP(R3926,データについて!$J$12:$M$18,7,FALSE),"*")</f>
        <v>#N/A</v>
      </c>
    </row>
    <row r="3927" spans="19:30">
      <c r="S3927" s="81" t="e">
        <f>HLOOKUP(L3927,データについて!$J$6:$M$18,13,FALSE)</f>
        <v>#N/A</v>
      </c>
      <c r="T3927" s="81" t="e">
        <f>HLOOKUP(M3927,データについて!$J$7:$M$18,12,FALSE)</f>
        <v>#N/A</v>
      </c>
      <c r="U3927" s="81" t="e">
        <f>HLOOKUP(N3927,データについて!$J$8:$M$18,11,FALSE)</f>
        <v>#N/A</v>
      </c>
      <c r="V3927" s="81" t="e">
        <f>HLOOKUP(O3927,データについて!$J$9:$M$18,10,FALSE)</f>
        <v>#N/A</v>
      </c>
      <c r="W3927" s="81" t="e">
        <f>HLOOKUP(P3927,データについて!$J$10:$M$18,9,FALSE)</f>
        <v>#N/A</v>
      </c>
      <c r="X3927" s="81" t="e">
        <f>HLOOKUP(Q3927,データについて!$J$11:$M$18,8,FALSE)</f>
        <v>#N/A</v>
      </c>
      <c r="Y3927" s="81" t="e">
        <f>HLOOKUP(R3927,データについて!$J$12:$M$18,7,FALSE)</f>
        <v>#N/A</v>
      </c>
      <c r="Z3927" s="81" t="e">
        <f>HLOOKUP(I3927,データについて!$J$3:$M$18,16,FALSE)</f>
        <v>#N/A</v>
      </c>
      <c r="AA3927" s="81" t="str">
        <f>IFERROR(HLOOKUP(J3927,データについて!$J$4:$AH$19,16,FALSE),"")</f>
        <v/>
      </c>
      <c r="AB3927" s="81" t="str">
        <f>IFERROR(HLOOKUP(K3927,データについて!$J$5:$AH$20,14,FALSE),"")</f>
        <v/>
      </c>
      <c r="AC3927" s="81" t="e">
        <f>IF(X3927=1,HLOOKUP(R3927,データについて!$J$12:$M$18,7,FALSE),"*")</f>
        <v>#N/A</v>
      </c>
      <c r="AD3927" s="81" t="e">
        <f>IF(X3927=2,HLOOKUP(R3927,データについて!$J$12:$M$18,7,FALSE),"*")</f>
        <v>#N/A</v>
      </c>
    </row>
    <row r="3928" spans="19:30">
      <c r="S3928" s="81" t="e">
        <f>HLOOKUP(L3928,データについて!$J$6:$M$18,13,FALSE)</f>
        <v>#N/A</v>
      </c>
      <c r="T3928" s="81" t="e">
        <f>HLOOKUP(M3928,データについて!$J$7:$M$18,12,FALSE)</f>
        <v>#N/A</v>
      </c>
      <c r="U3928" s="81" t="e">
        <f>HLOOKUP(N3928,データについて!$J$8:$M$18,11,FALSE)</f>
        <v>#N/A</v>
      </c>
      <c r="V3928" s="81" t="e">
        <f>HLOOKUP(O3928,データについて!$J$9:$M$18,10,FALSE)</f>
        <v>#N/A</v>
      </c>
      <c r="W3928" s="81" t="e">
        <f>HLOOKUP(P3928,データについて!$J$10:$M$18,9,FALSE)</f>
        <v>#N/A</v>
      </c>
      <c r="X3928" s="81" t="e">
        <f>HLOOKUP(Q3928,データについて!$J$11:$M$18,8,FALSE)</f>
        <v>#N/A</v>
      </c>
      <c r="Y3928" s="81" t="e">
        <f>HLOOKUP(R3928,データについて!$J$12:$M$18,7,FALSE)</f>
        <v>#N/A</v>
      </c>
      <c r="Z3928" s="81" t="e">
        <f>HLOOKUP(I3928,データについて!$J$3:$M$18,16,FALSE)</f>
        <v>#N/A</v>
      </c>
      <c r="AA3928" s="81" t="str">
        <f>IFERROR(HLOOKUP(J3928,データについて!$J$4:$AH$19,16,FALSE),"")</f>
        <v/>
      </c>
      <c r="AB3928" s="81" t="str">
        <f>IFERROR(HLOOKUP(K3928,データについて!$J$5:$AH$20,14,FALSE),"")</f>
        <v/>
      </c>
      <c r="AC3928" s="81" t="e">
        <f>IF(X3928=1,HLOOKUP(R3928,データについて!$J$12:$M$18,7,FALSE),"*")</f>
        <v>#N/A</v>
      </c>
      <c r="AD3928" s="81" t="e">
        <f>IF(X3928=2,HLOOKUP(R3928,データについて!$J$12:$M$18,7,FALSE),"*")</f>
        <v>#N/A</v>
      </c>
    </row>
    <row r="3929" spans="19:30">
      <c r="S3929" s="81" t="e">
        <f>HLOOKUP(L3929,データについて!$J$6:$M$18,13,FALSE)</f>
        <v>#N/A</v>
      </c>
      <c r="T3929" s="81" t="e">
        <f>HLOOKUP(M3929,データについて!$J$7:$M$18,12,FALSE)</f>
        <v>#N/A</v>
      </c>
      <c r="U3929" s="81" t="e">
        <f>HLOOKUP(N3929,データについて!$J$8:$M$18,11,FALSE)</f>
        <v>#N/A</v>
      </c>
      <c r="V3929" s="81" t="e">
        <f>HLOOKUP(O3929,データについて!$J$9:$M$18,10,FALSE)</f>
        <v>#N/A</v>
      </c>
      <c r="W3929" s="81" t="e">
        <f>HLOOKUP(P3929,データについて!$J$10:$M$18,9,FALSE)</f>
        <v>#N/A</v>
      </c>
      <c r="X3929" s="81" t="e">
        <f>HLOOKUP(Q3929,データについて!$J$11:$M$18,8,FALSE)</f>
        <v>#N/A</v>
      </c>
      <c r="Y3929" s="81" t="e">
        <f>HLOOKUP(R3929,データについて!$J$12:$M$18,7,FALSE)</f>
        <v>#N/A</v>
      </c>
      <c r="Z3929" s="81" t="e">
        <f>HLOOKUP(I3929,データについて!$J$3:$M$18,16,FALSE)</f>
        <v>#N/A</v>
      </c>
      <c r="AA3929" s="81" t="str">
        <f>IFERROR(HLOOKUP(J3929,データについて!$J$4:$AH$19,16,FALSE),"")</f>
        <v/>
      </c>
      <c r="AB3929" s="81" t="str">
        <f>IFERROR(HLOOKUP(K3929,データについて!$J$5:$AH$20,14,FALSE),"")</f>
        <v/>
      </c>
      <c r="AC3929" s="81" t="e">
        <f>IF(X3929=1,HLOOKUP(R3929,データについて!$J$12:$M$18,7,FALSE),"*")</f>
        <v>#N/A</v>
      </c>
      <c r="AD3929" s="81" t="e">
        <f>IF(X3929=2,HLOOKUP(R3929,データについて!$J$12:$M$18,7,FALSE),"*")</f>
        <v>#N/A</v>
      </c>
    </row>
    <row r="3930" spans="19:30">
      <c r="S3930" s="81" t="e">
        <f>HLOOKUP(L3930,データについて!$J$6:$M$18,13,FALSE)</f>
        <v>#N/A</v>
      </c>
      <c r="T3930" s="81" t="e">
        <f>HLOOKUP(M3930,データについて!$J$7:$M$18,12,FALSE)</f>
        <v>#N/A</v>
      </c>
      <c r="U3930" s="81" t="e">
        <f>HLOOKUP(N3930,データについて!$J$8:$M$18,11,FALSE)</f>
        <v>#N/A</v>
      </c>
      <c r="V3930" s="81" t="e">
        <f>HLOOKUP(O3930,データについて!$J$9:$M$18,10,FALSE)</f>
        <v>#N/A</v>
      </c>
      <c r="W3930" s="81" t="e">
        <f>HLOOKUP(P3930,データについて!$J$10:$M$18,9,FALSE)</f>
        <v>#N/A</v>
      </c>
      <c r="X3930" s="81" t="e">
        <f>HLOOKUP(Q3930,データについて!$J$11:$M$18,8,FALSE)</f>
        <v>#N/A</v>
      </c>
      <c r="Y3930" s="81" t="e">
        <f>HLOOKUP(R3930,データについて!$J$12:$M$18,7,FALSE)</f>
        <v>#N/A</v>
      </c>
      <c r="Z3930" s="81" t="e">
        <f>HLOOKUP(I3930,データについて!$J$3:$M$18,16,FALSE)</f>
        <v>#N/A</v>
      </c>
      <c r="AA3930" s="81" t="str">
        <f>IFERROR(HLOOKUP(J3930,データについて!$J$4:$AH$19,16,FALSE),"")</f>
        <v/>
      </c>
      <c r="AB3930" s="81" t="str">
        <f>IFERROR(HLOOKUP(K3930,データについて!$J$5:$AH$20,14,FALSE),"")</f>
        <v/>
      </c>
      <c r="AC3930" s="81" t="e">
        <f>IF(X3930=1,HLOOKUP(R3930,データについて!$J$12:$M$18,7,FALSE),"*")</f>
        <v>#N/A</v>
      </c>
      <c r="AD3930" s="81" t="e">
        <f>IF(X3930=2,HLOOKUP(R3930,データについて!$J$12:$M$18,7,FALSE),"*")</f>
        <v>#N/A</v>
      </c>
    </row>
    <row r="3931" spans="19:30">
      <c r="S3931" s="81" t="e">
        <f>HLOOKUP(L3931,データについて!$J$6:$M$18,13,FALSE)</f>
        <v>#N/A</v>
      </c>
      <c r="T3931" s="81" t="e">
        <f>HLOOKUP(M3931,データについて!$J$7:$M$18,12,FALSE)</f>
        <v>#N/A</v>
      </c>
      <c r="U3931" s="81" t="e">
        <f>HLOOKUP(N3931,データについて!$J$8:$M$18,11,FALSE)</f>
        <v>#N/A</v>
      </c>
      <c r="V3931" s="81" t="e">
        <f>HLOOKUP(O3931,データについて!$J$9:$M$18,10,FALSE)</f>
        <v>#N/A</v>
      </c>
      <c r="W3931" s="81" t="e">
        <f>HLOOKUP(P3931,データについて!$J$10:$M$18,9,FALSE)</f>
        <v>#N/A</v>
      </c>
      <c r="X3931" s="81" t="e">
        <f>HLOOKUP(Q3931,データについて!$J$11:$M$18,8,FALSE)</f>
        <v>#N/A</v>
      </c>
      <c r="Y3931" s="81" t="e">
        <f>HLOOKUP(R3931,データについて!$J$12:$M$18,7,FALSE)</f>
        <v>#N/A</v>
      </c>
      <c r="Z3931" s="81" t="e">
        <f>HLOOKUP(I3931,データについて!$J$3:$M$18,16,FALSE)</f>
        <v>#N/A</v>
      </c>
      <c r="AA3931" s="81" t="str">
        <f>IFERROR(HLOOKUP(J3931,データについて!$J$4:$AH$19,16,FALSE),"")</f>
        <v/>
      </c>
      <c r="AB3931" s="81" t="str">
        <f>IFERROR(HLOOKUP(K3931,データについて!$J$5:$AH$20,14,FALSE),"")</f>
        <v/>
      </c>
      <c r="AC3931" s="81" t="e">
        <f>IF(X3931=1,HLOOKUP(R3931,データについて!$J$12:$M$18,7,FALSE),"*")</f>
        <v>#N/A</v>
      </c>
      <c r="AD3931" s="81" t="e">
        <f>IF(X3931=2,HLOOKUP(R3931,データについて!$J$12:$M$18,7,FALSE),"*")</f>
        <v>#N/A</v>
      </c>
    </row>
    <row r="3932" spans="19:30">
      <c r="S3932" s="81" t="e">
        <f>HLOOKUP(L3932,データについて!$J$6:$M$18,13,FALSE)</f>
        <v>#N/A</v>
      </c>
      <c r="T3932" s="81" t="e">
        <f>HLOOKUP(M3932,データについて!$J$7:$M$18,12,FALSE)</f>
        <v>#N/A</v>
      </c>
      <c r="U3932" s="81" t="e">
        <f>HLOOKUP(N3932,データについて!$J$8:$M$18,11,FALSE)</f>
        <v>#N/A</v>
      </c>
      <c r="V3932" s="81" t="e">
        <f>HLOOKUP(O3932,データについて!$J$9:$M$18,10,FALSE)</f>
        <v>#N/A</v>
      </c>
      <c r="W3932" s="81" t="e">
        <f>HLOOKUP(P3932,データについて!$J$10:$M$18,9,FALSE)</f>
        <v>#N/A</v>
      </c>
      <c r="X3932" s="81" t="e">
        <f>HLOOKUP(Q3932,データについて!$J$11:$M$18,8,FALSE)</f>
        <v>#N/A</v>
      </c>
      <c r="Y3932" s="81" t="e">
        <f>HLOOKUP(R3932,データについて!$J$12:$M$18,7,FALSE)</f>
        <v>#N/A</v>
      </c>
      <c r="Z3932" s="81" t="e">
        <f>HLOOKUP(I3932,データについて!$J$3:$M$18,16,FALSE)</f>
        <v>#N/A</v>
      </c>
      <c r="AA3932" s="81" t="str">
        <f>IFERROR(HLOOKUP(J3932,データについて!$J$4:$AH$19,16,FALSE),"")</f>
        <v/>
      </c>
      <c r="AB3932" s="81" t="str">
        <f>IFERROR(HLOOKUP(K3932,データについて!$J$5:$AH$20,14,FALSE),"")</f>
        <v/>
      </c>
      <c r="AC3932" s="81" t="e">
        <f>IF(X3932=1,HLOOKUP(R3932,データについて!$J$12:$M$18,7,FALSE),"*")</f>
        <v>#N/A</v>
      </c>
      <c r="AD3932" s="81" t="e">
        <f>IF(X3932=2,HLOOKUP(R3932,データについて!$J$12:$M$18,7,FALSE),"*")</f>
        <v>#N/A</v>
      </c>
    </row>
    <row r="3933" spans="19:30">
      <c r="S3933" s="81" t="e">
        <f>HLOOKUP(L3933,データについて!$J$6:$M$18,13,FALSE)</f>
        <v>#N/A</v>
      </c>
      <c r="T3933" s="81" t="e">
        <f>HLOOKUP(M3933,データについて!$J$7:$M$18,12,FALSE)</f>
        <v>#N/A</v>
      </c>
      <c r="U3933" s="81" t="e">
        <f>HLOOKUP(N3933,データについて!$J$8:$M$18,11,FALSE)</f>
        <v>#N/A</v>
      </c>
      <c r="V3933" s="81" t="e">
        <f>HLOOKUP(O3933,データについて!$J$9:$M$18,10,FALSE)</f>
        <v>#N/A</v>
      </c>
      <c r="W3933" s="81" t="e">
        <f>HLOOKUP(P3933,データについて!$J$10:$M$18,9,FALSE)</f>
        <v>#N/A</v>
      </c>
      <c r="X3933" s="81" t="e">
        <f>HLOOKUP(Q3933,データについて!$J$11:$M$18,8,FALSE)</f>
        <v>#N/A</v>
      </c>
      <c r="Y3933" s="81" t="e">
        <f>HLOOKUP(R3933,データについて!$J$12:$M$18,7,FALSE)</f>
        <v>#N/A</v>
      </c>
      <c r="Z3933" s="81" t="e">
        <f>HLOOKUP(I3933,データについて!$J$3:$M$18,16,FALSE)</f>
        <v>#N/A</v>
      </c>
      <c r="AA3933" s="81" t="str">
        <f>IFERROR(HLOOKUP(J3933,データについて!$J$4:$AH$19,16,FALSE),"")</f>
        <v/>
      </c>
      <c r="AB3933" s="81" t="str">
        <f>IFERROR(HLOOKUP(K3933,データについて!$J$5:$AH$20,14,FALSE),"")</f>
        <v/>
      </c>
      <c r="AC3933" s="81" t="e">
        <f>IF(X3933=1,HLOOKUP(R3933,データについて!$J$12:$M$18,7,FALSE),"*")</f>
        <v>#N/A</v>
      </c>
      <c r="AD3933" s="81" t="e">
        <f>IF(X3933=2,HLOOKUP(R3933,データについて!$J$12:$M$18,7,FALSE),"*")</f>
        <v>#N/A</v>
      </c>
    </row>
    <row r="3934" spans="19:30">
      <c r="S3934" s="81" t="e">
        <f>HLOOKUP(L3934,データについて!$J$6:$M$18,13,FALSE)</f>
        <v>#N/A</v>
      </c>
      <c r="T3934" s="81" t="e">
        <f>HLOOKUP(M3934,データについて!$J$7:$M$18,12,FALSE)</f>
        <v>#N/A</v>
      </c>
      <c r="U3934" s="81" t="e">
        <f>HLOOKUP(N3934,データについて!$J$8:$M$18,11,FALSE)</f>
        <v>#N/A</v>
      </c>
      <c r="V3934" s="81" t="e">
        <f>HLOOKUP(O3934,データについて!$J$9:$M$18,10,FALSE)</f>
        <v>#N/A</v>
      </c>
      <c r="W3934" s="81" t="e">
        <f>HLOOKUP(P3934,データについて!$J$10:$M$18,9,FALSE)</f>
        <v>#N/A</v>
      </c>
      <c r="X3934" s="81" t="e">
        <f>HLOOKUP(Q3934,データについて!$J$11:$M$18,8,FALSE)</f>
        <v>#N/A</v>
      </c>
      <c r="Y3934" s="81" t="e">
        <f>HLOOKUP(R3934,データについて!$J$12:$M$18,7,FALSE)</f>
        <v>#N/A</v>
      </c>
      <c r="Z3934" s="81" t="e">
        <f>HLOOKUP(I3934,データについて!$J$3:$M$18,16,FALSE)</f>
        <v>#N/A</v>
      </c>
      <c r="AA3934" s="81" t="str">
        <f>IFERROR(HLOOKUP(J3934,データについて!$J$4:$AH$19,16,FALSE),"")</f>
        <v/>
      </c>
      <c r="AB3934" s="81" t="str">
        <f>IFERROR(HLOOKUP(K3934,データについて!$J$5:$AH$20,14,FALSE),"")</f>
        <v/>
      </c>
      <c r="AC3934" s="81" t="e">
        <f>IF(X3934=1,HLOOKUP(R3934,データについて!$J$12:$M$18,7,FALSE),"*")</f>
        <v>#N/A</v>
      </c>
      <c r="AD3934" s="81" t="e">
        <f>IF(X3934=2,HLOOKUP(R3934,データについて!$J$12:$M$18,7,FALSE),"*")</f>
        <v>#N/A</v>
      </c>
    </row>
    <row r="3935" spans="19:30">
      <c r="S3935" s="81" t="e">
        <f>HLOOKUP(L3935,データについて!$J$6:$M$18,13,FALSE)</f>
        <v>#N/A</v>
      </c>
      <c r="T3935" s="81" t="e">
        <f>HLOOKUP(M3935,データについて!$J$7:$M$18,12,FALSE)</f>
        <v>#N/A</v>
      </c>
      <c r="U3935" s="81" t="e">
        <f>HLOOKUP(N3935,データについて!$J$8:$M$18,11,FALSE)</f>
        <v>#N/A</v>
      </c>
      <c r="V3935" s="81" t="e">
        <f>HLOOKUP(O3935,データについて!$J$9:$M$18,10,FALSE)</f>
        <v>#N/A</v>
      </c>
      <c r="W3935" s="81" t="e">
        <f>HLOOKUP(P3935,データについて!$J$10:$M$18,9,FALSE)</f>
        <v>#N/A</v>
      </c>
      <c r="X3935" s="81" t="e">
        <f>HLOOKUP(Q3935,データについて!$J$11:$M$18,8,FALSE)</f>
        <v>#N/A</v>
      </c>
      <c r="Y3935" s="81" t="e">
        <f>HLOOKUP(R3935,データについて!$J$12:$M$18,7,FALSE)</f>
        <v>#N/A</v>
      </c>
      <c r="Z3935" s="81" t="e">
        <f>HLOOKUP(I3935,データについて!$J$3:$M$18,16,FALSE)</f>
        <v>#N/A</v>
      </c>
      <c r="AA3935" s="81" t="str">
        <f>IFERROR(HLOOKUP(J3935,データについて!$J$4:$AH$19,16,FALSE),"")</f>
        <v/>
      </c>
      <c r="AB3935" s="81" t="str">
        <f>IFERROR(HLOOKUP(K3935,データについて!$J$5:$AH$20,14,FALSE),"")</f>
        <v/>
      </c>
      <c r="AC3935" s="81" t="e">
        <f>IF(X3935=1,HLOOKUP(R3935,データについて!$J$12:$M$18,7,FALSE),"*")</f>
        <v>#N/A</v>
      </c>
      <c r="AD3935" s="81" t="e">
        <f>IF(X3935=2,HLOOKUP(R3935,データについて!$J$12:$M$18,7,FALSE),"*")</f>
        <v>#N/A</v>
      </c>
    </row>
    <row r="3936" spans="19:30">
      <c r="S3936" s="81" t="e">
        <f>HLOOKUP(L3936,データについて!$J$6:$M$18,13,FALSE)</f>
        <v>#N/A</v>
      </c>
      <c r="T3936" s="81" t="e">
        <f>HLOOKUP(M3936,データについて!$J$7:$M$18,12,FALSE)</f>
        <v>#N/A</v>
      </c>
      <c r="U3936" s="81" t="e">
        <f>HLOOKUP(N3936,データについて!$J$8:$M$18,11,FALSE)</f>
        <v>#N/A</v>
      </c>
      <c r="V3936" s="81" t="e">
        <f>HLOOKUP(O3936,データについて!$J$9:$M$18,10,FALSE)</f>
        <v>#N/A</v>
      </c>
      <c r="W3936" s="81" t="e">
        <f>HLOOKUP(P3936,データについて!$J$10:$M$18,9,FALSE)</f>
        <v>#N/A</v>
      </c>
      <c r="X3936" s="81" t="e">
        <f>HLOOKUP(Q3936,データについて!$J$11:$M$18,8,FALSE)</f>
        <v>#N/A</v>
      </c>
      <c r="Y3936" s="81" t="e">
        <f>HLOOKUP(R3936,データについて!$J$12:$M$18,7,FALSE)</f>
        <v>#N/A</v>
      </c>
      <c r="Z3936" s="81" t="e">
        <f>HLOOKUP(I3936,データについて!$J$3:$M$18,16,FALSE)</f>
        <v>#N/A</v>
      </c>
      <c r="AA3936" s="81" t="str">
        <f>IFERROR(HLOOKUP(J3936,データについて!$J$4:$AH$19,16,FALSE),"")</f>
        <v/>
      </c>
      <c r="AB3936" s="81" t="str">
        <f>IFERROR(HLOOKUP(K3936,データについて!$J$5:$AH$20,14,FALSE),"")</f>
        <v/>
      </c>
      <c r="AC3936" s="81" t="e">
        <f>IF(X3936=1,HLOOKUP(R3936,データについて!$J$12:$M$18,7,FALSE),"*")</f>
        <v>#N/A</v>
      </c>
      <c r="AD3936" s="81" t="e">
        <f>IF(X3936=2,HLOOKUP(R3936,データについて!$J$12:$M$18,7,FALSE),"*")</f>
        <v>#N/A</v>
      </c>
    </row>
    <row r="3937" spans="19:30">
      <c r="S3937" s="81" t="e">
        <f>HLOOKUP(L3937,データについて!$J$6:$M$18,13,FALSE)</f>
        <v>#N/A</v>
      </c>
      <c r="T3937" s="81" t="e">
        <f>HLOOKUP(M3937,データについて!$J$7:$M$18,12,FALSE)</f>
        <v>#N/A</v>
      </c>
      <c r="U3937" s="81" t="e">
        <f>HLOOKUP(N3937,データについて!$J$8:$M$18,11,FALSE)</f>
        <v>#N/A</v>
      </c>
      <c r="V3937" s="81" t="e">
        <f>HLOOKUP(O3937,データについて!$J$9:$M$18,10,FALSE)</f>
        <v>#N/A</v>
      </c>
      <c r="W3937" s="81" t="e">
        <f>HLOOKUP(P3937,データについて!$J$10:$M$18,9,FALSE)</f>
        <v>#N/A</v>
      </c>
      <c r="X3937" s="81" t="e">
        <f>HLOOKUP(Q3937,データについて!$J$11:$M$18,8,FALSE)</f>
        <v>#N/A</v>
      </c>
      <c r="Y3937" s="81" t="e">
        <f>HLOOKUP(R3937,データについて!$J$12:$M$18,7,FALSE)</f>
        <v>#N/A</v>
      </c>
      <c r="Z3937" s="81" t="e">
        <f>HLOOKUP(I3937,データについて!$J$3:$M$18,16,FALSE)</f>
        <v>#N/A</v>
      </c>
      <c r="AA3937" s="81" t="str">
        <f>IFERROR(HLOOKUP(J3937,データについて!$J$4:$AH$19,16,FALSE),"")</f>
        <v/>
      </c>
      <c r="AB3937" s="81" t="str">
        <f>IFERROR(HLOOKUP(K3937,データについて!$J$5:$AH$20,14,FALSE),"")</f>
        <v/>
      </c>
      <c r="AC3937" s="81" t="e">
        <f>IF(X3937=1,HLOOKUP(R3937,データについて!$J$12:$M$18,7,FALSE),"*")</f>
        <v>#N/A</v>
      </c>
      <c r="AD3937" s="81" t="e">
        <f>IF(X3937=2,HLOOKUP(R3937,データについて!$J$12:$M$18,7,FALSE),"*")</f>
        <v>#N/A</v>
      </c>
    </row>
    <row r="3938" spans="19:30">
      <c r="S3938" s="81" t="e">
        <f>HLOOKUP(L3938,データについて!$J$6:$M$18,13,FALSE)</f>
        <v>#N/A</v>
      </c>
      <c r="T3938" s="81" t="e">
        <f>HLOOKUP(M3938,データについて!$J$7:$M$18,12,FALSE)</f>
        <v>#N/A</v>
      </c>
      <c r="U3938" s="81" t="e">
        <f>HLOOKUP(N3938,データについて!$J$8:$M$18,11,FALSE)</f>
        <v>#N/A</v>
      </c>
      <c r="V3938" s="81" t="e">
        <f>HLOOKUP(O3938,データについて!$J$9:$M$18,10,FALSE)</f>
        <v>#N/A</v>
      </c>
      <c r="W3938" s="81" t="e">
        <f>HLOOKUP(P3938,データについて!$J$10:$M$18,9,FALSE)</f>
        <v>#N/A</v>
      </c>
      <c r="X3938" s="81" t="e">
        <f>HLOOKUP(Q3938,データについて!$J$11:$M$18,8,FALSE)</f>
        <v>#N/A</v>
      </c>
      <c r="Y3938" s="81" t="e">
        <f>HLOOKUP(R3938,データについて!$J$12:$M$18,7,FALSE)</f>
        <v>#N/A</v>
      </c>
      <c r="Z3938" s="81" t="e">
        <f>HLOOKUP(I3938,データについて!$J$3:$M$18,16,FALSE)</f>
        <v>#N/A</v>
      </c>
      <c r="AA3938" s="81" t="str">
        <f>IFERROR(HLOOKUP(J3938,データについて!$J$4:$AH$19,16,FALSE),"")</f>
        <v/>
      </c>
      <c r="AB3938" s="81" t="str">
        <f>IFERROR(HLOOKUP(K3938,データについて!$J$5:$AH$20,14,FALSE),"")</f>
        <v/>
      </c>
      <c r="AC3938" s="81" t="e">
        <f>IF(X3938=1,HLOOKUP(R3938,データについて!$J$12:$M$18,7,FALSE),"*")</f>
        <v>#N/A</v>
      </c>
      <c r="AD3938" s="81" t="e">
        <f>IF(X3938=2,HLOOKUP(R3938,データについて!$J$12:$M$18,7,FALSE),"*")</f>
        <v>#N/A</v>
      </c>
    </row>
    <row r="3939" spans="19:30">
      <c r="S3939" s="81" t="e">
        <f>HLOOKUP(L3939,データについて!$J$6:$M$18,13,FALSE)</f>
        <v>#N/A</v>
      </c>
      <c r="T3939" s="81" t="e">
        <f>HLOOKUP(M3939,データについて!$J$7:$M$18,12,FALSE)</f>
        <v>#N/A</v>
      </c>
      <c r="U3939" s="81" t="e">
        <f>HLOOKUP(N3939,データについて!$J$8:$M$18,11,FALSE)</f>
        <v>#N/A</v>
      </c>
      <c r="V3939" s="81" t="e">
        <f>HLOOKUP(O3939,データについて!$J$9:$M$18,10,FALSE)</f>
        <v>#N/A</v>
      </c>
      <c r="W3939" s="81" t="e">
        <f>HLOOKUP(P3939,データについて!$J$10:$M$18,9,FALSE)</f>
        <v>#N/A</v>
      </c>
      <c r="X3939" s="81" t="e">
        <f>HLOOKUP(Q3939,データについて!$J$11:$M$18,8,FALSE)</f>
        <v>#N/A</v>
      </c>
      <c r="Y3939" s="81" t="e">
        <f>HLOOKUP(R3939,データについて!$J$12:$M$18,7,FALSE)</f>
        <v>#N/A</v>
      </c>
      <c r="Z3939" s="81" t="e">
        <f>HLOOKUP(I3939,データについて!$J$3:$M$18,16,FALSE)</f>
        <v>#N/A</v>
      </c>
      <c r="AA3939" s="81" t="str">
        <f>IFERROR(HLOOKUP(J3939,データについて!$J$4:$AH$19,16,FALSE),"")</f>
        <v/>
      </c>
      <c r="AB3939" s="81" t="str">
        <f>IFERROR(HLOOKUP(K3939,データについて!$J$5:$AH$20,14,FALSE),"")</f>
        <v/>
      </c>
      <c r="AC3939" s="81" t="e">
        <f>IF(X3939=1,HLOOKUP(R3939,データについて!$J$12:$M$18,7,FALSE),"*")</f>
        <v>#N/A</v>
      </c>
      <c r="AD3939" s="81" t="e">
        <f>IF(X3939=2,HLOOKUP(R3939,データについて!$J$12:$M$18,7,FALSE),"*")</f>
        <v>#N/A</v>
      </c>
    </row>
    <row r="3940" spans="19:30">
      <c r="S3940" s="81" t="e">
        <f>HLOOKUP(L3940,データについて!$J$6:$M$18,13,FALSE)</f>
        <v>#N/A</v>
      </c>
      <c r="T3940" s="81" t="e">
        <f>HLOOKUP(M3940,データについて!$J$7:$M$18,12,FALSE)</f>
        <v>#N/A</v>
      </c>
      <c r="U3940" s="81" t="e">
        <f>HLOOKUP(N3940,データについて!$J$8:$M$18,11,FALSE)</f>
        <v>#N/A</v>
      </c>
      <c r="V3940" s="81" t="e">
        <f>HLOOKUP(O3940,データについて!$J$9:$M$18,10,FALSE)</f>
        <v>#N/A</v>
      </c>
      <c r="W3940" s="81" t="e">
        <f>HLOOKUP(P3940,データについて!$J$10:$M$18,9,FALSE)</f>
        <v>#N/A</v>
      </c>
      <c r="X3940" s="81" t="e">
        <f>HLOOKUP(Q3940,データについて!$J$11:$M$18,8,FALSE)</f>
        <v>#N/A</v>
      </c>
      <c r="Y3940" s="81" t="e">
        <f>HLOOKUP(R3940,データについて!$J$12:$M$18,7,FALSE)</f>
        <v>#N/A</v>
      </c>
      <c r="Z3940" s="81" t="e">
        <f>HLOOKUP(I3940,データについて!$J$3:$M$18,16,FALSE)</f>
        <v>#N/A</v>
      </c>
      <c r="AA3940" s="81" t="str">
        <f>IFERROR(HLOOKUP(J3940,データについて!$J$4:$AH$19,16,FALSE),"")</f>
        <v/>
      </c>
      <c r="AB3940" s="81" t="str">
        <f>IFERROR(HLOOKUP(K3940,データについて!$J$5:$AH$20,14,FALSE),"")</f>
        <v/>
      </c>
      <c r="AC3940" s="81" t="e">
        <f>IF(X3940=1,HLOOKUP(R3940,データについて!$J$12:$M$18,7,FALSE),"*")</f>
        <v>#N/A</v>
      </c>
      <c r="AD3940" s="81" t="e">
        <f>IF(X3940=2,HLOOKUP(R3940,データについて!$J$12:$M$18,7,FALSE),"*")</f>
        <v>#N/A</v>
      </c>
    </row>
    <row r="3941" spans="19:30">
      <c r="S3941" s="81" t="e">
        <f>HLOOKUP(L3941,データについて!$J$6:$M$18,13,FALSE)</f>
        <v>#N/A</v>
      </c>
      <c r="T3941" s="81" t="e">
        <f>HLOOKUP(M3941,データについて!$J$7:$M$18,12,FALSE)</f>
        <v>#N/A</v>
      </c>
      <c r="U3941" s="81" t="e">
        <f>HLOOKUP(N3941,データについて!$J$8:$M$18,11,FALSE)</f>
        <v>#N/A</v>
      </c>
      <c r="V3941" s="81" t="e">
        <f>HLOOKUP(O3941,データについて!$J$9:$M$18,10,FALSE)</f>
        <v>#N/A</v>
      </c>
      <c r="W3941" s="81" t="e">
        <f>HLOOKUP(P3941,データについて!$J$10:$M$18,9,FALSE)</f>
        <v>#N/A</v>
      </c>
      <c r="X3941" s="81" t="e">
        <f>HLOOKUP(Q3941,データについて!$J$11:$M$18,8,FALSE)</f>
        <v>#N/A</v>
      </c>
      <c r="Y3941" s="81" t="e">
        <f>HLOOKUP(R3941,データについて!$J$12:$M$18,7,FALSE)</f>
        <v>#N/A</v>
      </c>
      <c r="Z3941" s="81" t="e">
        <f>HLOOKUP(I3941,データについて!$J$3:$M$18,16,FALSE)</f>
        <v>#N/A</v>
      </c>
      <c r="AA3941" s="81" t="str">
        <f>IFERROR(HLOOKUP(J3941,データについて!$J$4:$AH$19,16,FALSE),"")</f>
        <v/>
      </c>
      <c r="AB3941" s="81" t="str">
        <f>IFERROR(HLOOKUP(K3941,データについて!$J$5:$AH$20,14,FALSE),"")</f>
        <v/>
      </c>
      <c r="AC3941" s="81" t="e">
        <f>IF(X3941=1,HLOOKUP(R3941,データについて!$J$12:$M$18,7,FALSE),"*")</f>
        <v>#N/A</v>
      </c>
      <c r="AD3941" s="81" t="e">
        <f>IF(X3941=2,HLOOKUP(R3941,データについて!$J$12:$M$18,7,FALSE),"*")</f>
        <v>#N/A</v>
      </c>
    </row>
    <row r="3942" spans="19:30">
      <c r="S3942" s="81" t="e">
        <f>HLOOKUP(L3942,データについて!$J$6:$M$18,13,FALSE)</f>
        <v>#N/A</v>
      </c>
      <c r="T3942" s="81" t="e">
        <f>HLOOKUP(M3942,データについて!$J$7:$M$18,12,FALSE)</f>
        <v>#N/A</v>
      </c>
      <c r="U3942" s="81" t="e">
        <f>HLOOKUP(N3942,データについて!$J$8:$M$18,11,FALSE)</f>
        <v>#N/A</v>
      </c>
      <c r="V3942" s="81" t="e">
        <f>HLOOKUP(O3942,データについて!$J$9:$M$18,10,FALSE)</f>
        <v>#N/A</v>
      </c>
      <c r="W3942" s="81" t="e">
        <f>HLOOKUP(P3942,データについて!$J$10:$M$18,9,FALSE)</f>
        <v>#N/A</v>
      </c>
      <c r="X3942" s="81" t="e">
        <f>HLOOKUP(Q3942,データについて!$J$11:$M$18,8,FALSE)</f>
        <v>#N/A</v>
      </c>
      <c r="Y3942" s="81" t="e">
        <f>HLOOKUP(R3942,データについて!$J$12:$M$18,7,FALSE)</f>
        <v>#N/A</v>
      </c>
      <c r="Z3942" s="81" t="e">
        <f>HLOOKUP(I3942,データについて!$J$3:$M$18,16,FALSE)</f>
        <v>#N/A</v>
      </c>
      <c r="AA3942" s="81" t="str">
        <f>IFERROR(HLOOKUP(J3942,データについて!$J$4:$AH$19,16,FALSE),"")</f>
        <v/>
      </c>
      <c r="AB3942" s="81" t="str">
        <f>IFERROR(HLOOKUP(K3942,データについて!$J$5:$AH$20,14,FALSE),"")</f>
        <v/>
      </c>
      <c r="AC3942" s="81" t="e">
        <f>IF(X3942=1,HLOOKUP(R3942,データについて!$J$12:$M$18,7,FALSE),"*")</f>
        <v>#N/A</v>
      </c>
      <c r="AD3942" s="81" t="e">
        <f>IF(X3942=2,HLOOKUP(R3942,データについて!$J$12:$M$18,7,FALSE),"*")</f>
        <v>#N/A</v>
      </c>
    </row>
    <row r="3943" spans="19:30">
      <c r="S3943" s="81" t="e">
        <f>HLOOKUP(L3943,データについて!$J$6:$M$18,13,FALSE)</f>
        <v>#N/A</v>
      </c>
      <c r="T3943" s="81" t="e">
        <f>HLOOKUP(M3943,データについて!$J$7:$M$18,12,FALSE)</f>
        <v>#N/A</v>
      </c>
      <c r="U3943" s="81" t="e">
        <f>HLOOKUP(N3943,データについて!$J$8:$M$18,11,FALSE)</f>
        <v>#N/A</v>
      </c>
      <c r="V3943" s="81" t="e">
        <f>HLOOKUP(O3943,データについて!$J$9:$M$18,10,FALSE)</f>
        <v>#N/A</v>
      </c>
      <c r="W3943" s="81" t="e">
        <f>HLOOKUP(P3943,データについて!$J$10:$M$18,9,FALSE)</f>
        <v>#N/A</v>
      </c>
      <c r="X3943" s="81" t="e">
        <f>HLOOKUP(Q3943,データについて!$J$11:$M$18,8,FALSE)</f>
        <v>#N/A</v>
      </c>
      <c r="Y3943" s="81" t="e">
        <f>HLOOKUP(R3943,データについて!$J$12:$M$18,7,FALSE)</f>
        <v>#N/A</v>
      </c>
      <c r="Z3943" s="81" t="e">
        <f>HLOOKUP(I3943,データについて!$J$3:$M$18,16,FALSE)</f>
        <v>#N/A</v>
      </c>
      <c r="AA3943" s="81" t="str">
        <f>IFERROR(HLOOKUP(J3943,データについて!$J$4:$AH$19,16,FALSE),"")</f>
        <v/>
      </c>
      <c r="AB3943" s="81" t="str">
        <f>IFERROR(HLOOKUP(K3943,データについて!$J$5:$AH$20,14,FALSE),"")</f>
        <v/>
      </c>
      <c r="AC3943" s="81" t="e">
        <f>IF(X3943=1,HLOOKUP(R3943,データについて!$J$12:$M$18,7,FALSE),"*")</f>
        <v>#N/A</v>
      </c>
      <c r="AD3943" s="81" t="e">
        <f>IF(X3943=2,HLOOKUP(R3943,データについて!$J$12:$M$18,7,FALSE),"*")</f>
        <v>#N/A</v>
      </c>
    </row>
    <row r="3944" spans="19:30">
      <c r="S3944" s="81" t="e">
        <f>HLOOKUP(L3944,データについて!$J$6:$M$18,13,FALSE)</f>
        <v>#N/A</v>
      </c>
      <c r="T3944" s="81" t="e">
        <f>HLOOKUP(M3944,データについて!$J$7:$M$18,12,FALSE)</f>
        <v>#N/A</v>
      </c>
      <c r="U3944" s="81" t="e">
        <f>HLOOKUP(N3944,データについて!$J$8:$M$18,11,FALSE)</f>
        <v>#N/A</v>
      </c>
      <c r="V3944" s="81" t="e">
        <f>HLOOKUP(O3944,データについて!$J$9:$M$18,10,FALSE)</f>
        <v>#N/A</v>
      </c>
      <c r="W3944" s="81" t="e">
        <f>HLOOKUP(P3944,データについて!$J$10:$M$18,9,FALSE)</f>
        <v>#N/A</v>
      </c>
      <c r="X3944" s="81" t="e">
        <f>HLOOKUP(Q3944,データについて!$J$11:$M$18,8,FALSE)</f>
        <v>#N/A</v>
      </c>
      <c r="Y3944" s="81" t="e">
        <f>HLOOKUP(R3944,データについて!$J$12:$M$18,7,FALSE)</f>
        <v>#N/A</v>
      </c>
      <c r="Z3944" s="81" t="e">
        <f>HLOOKUP(I3944,データについて!$J$3:$M$18,16,FALSE)</f>
        <v>#N/A</v>
      </c>
      <c r="AA3944" s="81" t="str">
        <f>IFERROR(HLOOKUP(J3944,データについて!$J$4:$AH$19,16,FALSE),"")</f>
        <v/>
      </c>
      <c r="AB3944" s="81" t="str">
        <f>IFERROR(HLOOKUP(K3944,データについて!$J$5:$AH$20,14,FALSE),"")</f>
        <v/>
      </c>
      <c r="AC3944" s="81" t="e">
        <f>IF(X3944=1,HLOOKUP(R3944,データについて!$J$12:$M$18,7,FALSE),"*")</f>
        <v>#N/A</v>
      </c>
      <c r="AD3944" s="81" t="e">
        <f>IF(X3944=2,HLOOKUP(R3944,データについて!$J$12:$M$18,7,FALSE),"*")</f>
        <v>#N/A</v>
      </c>
    </row>
    <row r="3945" spans="19:30">
      <c r="S3945" s="81" t="e">
        <f>HLOOKUP(L3945,データについて!$J$6:$M$18,13,FALSE)</f>
        <v>#N/A</v>
      </c>
      <c r="T3945" s="81" t="e">
        <f>HLOOKUP(M3945,データについて!$J$7:$M$18,12,FALSE)</f>
        <v>#N/A</v>
      </c>
      <c r="U3945" s="81" t="e">
        <f>HLOOKUP(N3945,データについて!$J$8:$M$18,11,FALSE)</f>
        <v>#N/A</v>
      </c>
      <c r="V3945" s="81" t="e">
        <f>HLOOKUP(O3945,データについて!$J$9:$M$18,10,FALSE)</f>
        <v>#N/A</v>
      </c>
      <c r="W3945" s="81" t="e">
        <f>HLOOKUP(P3945,データについて!$J$10:$M$18,9,FALSE)</f>
        <v>#N/A</v>
      </c>
      <c r="X3945" s="81" t="e">
        <f>HLOOKUP(Q3945,データについて!$J$11:$M$18,8,FALSE)</f>
        <v>#N/A</v>
      </c>
      <c r="Y3945" s="81" t="e">
        <f>HLOOKUP(R3945,データについて!$J$12:$M$18,7,FALSE)</f>
        <v>#N/A</v>
      </c>
      <c r="Z3945" s="81" t="e">
        <f>HLOOKUP(I3945,データについて!$J$3:$M$18,16,FALSE)</f>
        <v>#N/A</v>
      </c>
      <c r="AA3945" s="81" t="str">
        <f>IFERROR(HLOOKUP(J3945,データについて!$J$4:$AH$19,16,FALSE),"")</f>
        <v/>
      </c>
      <c r="AB3945" s="81" t="str">
        <f>IFERROR(HLOOKUP(K3945,データについて!$J$5:$AH$20,14,FALSE),"")</f>
        <v/>
      </c>
      <c r="AC3945" s="81" t="e">
        <f>IF(X3945=1,HLOOKUP(R3945,データについて!$J$12:$M$18,7,FALSE),"*")</f>
        <v>#N/A</v>
      </c>
      <c r="AD3945" s="81" t="e">
        <f>IF(X3945=2,HLOOKUP(R3945,データについて!$J$12:$M$18,7,FALSE),"*")</f>
        <v>#N/A</v>
      </c>
    </row>
    <row r="3946" spans="19:30">
      <c r="S3946" s="81" t="e">
        <f>HLOOKUP(L3946,データについて!$J$6:$M$18,13,FALSE)</f>
        <v>#N/A</v>
      </c>
      <c r="T3946" s="81" t="e">
        <f>HLOOKUP(M3946,データについて!$J$7:$M$18,12,FALSE)</f>
        <v>#N/A</v>
      </c>
      <c r="U3946" s="81" t="e">
        <f>HLOOKUP(N3946,データについて!$J$8:$M$18,11,FALSE)</f>
        <v>#N/A</v>
      </c>
      <c r="V3946" s="81" t="e">
        <f>HLOOKUP(O3946,データについて!$J$9:$M$18,10,FALSE)</f>
        <v>#N/A</v>
      </c>
      <c r="W3946" s="81" t="e">
        <f>HLOOKUP(P3946,データについて!$J$10:$M$18,9,FALSE)</f>
        <v>#N/A</v>
      </c>
      <c r="X3946" s="81" t="e">
        <f>HLOOKUP(Q3946,データについて!$J$11:$M$18,8,FALSE)</f>
        <v>#N/A</v>
      </c>
      <c r="Y3946" s="81" t="e">
        <f>HLOOKUP(R3946,データについて!$J$12:$M$18,7,FALSE)</f>
        <v>#N/A</v>
      </c>
      <c r="Z3946" s="81" t="e">
        <f>HLOOKUP(I3946,データについて!$J$3:$M$18,16,FALSE)</f>
        <v>#N/A</v>
      </c>
      <c r="AA3946" s="81" t="str">
        <f>IFERROR(HLOOKUP(J3946,データについて!$J$4:$AH$19,16,FALSE),"")</f>
        <v/>
      </c>
      <c r="AB3946" s="81" t="str">
        <f>IFERROR(HLOOKUP(K3946,データについて!$J$5:$AH$20,14,FALSE),"")</f>
        <v/>
      </c>
      <c r="AC3946" s="81" t="e">
        <f>IF(X3946=1,HLOOKUP(R3946,データについて!$J$12:$M$18,7,FALSE),"*")</f>
        <v>#N/A</v>
      </c>
      <c r="AD3946" s="81" t="e">
        <f>IF(X3946=2,HLOOKUP(R3946,データについて!$J$12:$M$18,7,FALSE),"*")</f>
        <v>#N/A</v>
      </c>
    </row>
    <row r="3947" spans="19:30">
      <c r="S3947" s="81" t="e">
        <f>HLOOKUP(L3947,データについて!$J$6:$M$18,13,FALSE)</f>
        <v>#N/A</v>
      </c>
      <c r="T3947" s="81" t="e">
        <f>HLOOKUP(M3947,データについて!$J$7:$M$18,12,FALSE)</f>
        <v>#N/A</v>
      </c>
      <c r="U3947" s="81" t="e">
        <f>HLOOKUP(N3947,データについて!$J$8:$M$18,11,FALSE)</f>
        <v>#N/A</v>
      </c>
      <c r="V3947" s="81" t="e">
        <f>HLOOKUP(O3947,データについて!$J$9:$M$18,10,FALSE)</f>
        <v>#N/A</v>
      </c>
      <c r="W3947" s="81" t="e">
        <f>HLOOKUP(P3947,データについて!$J$10:$M$18,9,FALSE)</f>
        <v>#N/A</v>
      </c>
      <c r="X3947" s="81" t="e">
        <f>HLOOKUP(Q3947,データについて!$J$11:$M$18,8,FALSE)</f>
        <v>#N/A</v>
      </c>
      <c r="Y3947" s="81" t="e">
        <f>HLOOKUP(R3947,データについて!$J$12:$M$18,7,FALSE)</f>
        <v>#N/A</v>
      </c>
      <c r="Z3947" s="81" t="e">
        <f>HLOOKUP(I3947,データについて!$J$3:$M$18,16,FALSE)</f>
        <v>#N/A</v>
      </c>
      <c r="AA3947" s="81" t="str">
        <f>IFERROR(HLOOKUP(J3947,データについて!$J$4:$AH$19,16,FALSE),"")</f>
        <v/>
      </c>
      <c r="AB3947" s="81" t="str">
        <f>IFERROR(HLOOKUP(K3947,データについて!$J$5:$AH$20,14,FALSE),"")</f>
        <v/>
      </c>
      <c r="AC3947" s="81" t="e">
        <f>IF(X3947=1,HLOOKUP(R3947,データについて!$J$12:$M$18,7,FALSE),"*")</f>
        <v>#N/A</v>
      </c>
      <c r="AD3947" s="81" t="e">
        <f>IF(X3947=2,HLOOKUP(R3947,データについて!$J$12:$M$18,7,FALSE),"*")</f>
        <v>#N/A</v>
      </c>
    </row>
    <row r="3948" spans="19:30">
      <c r="S3948" s="81" t="e">
        <f>HLOOKUP(L3948,データについて!$J$6:$M$18,13,FALSE)</f>
        <v>#N/A</v>
      </c>
      <c r="T3948" s="81" t="e">
        <f>HLOOKUP(M3948,データについて!$J$7:$M$18,12,FALSE)</f>
        <v>#N/A</v>
      </c>
      <c r="U3948" s="81" t="e">
        <f>HLOOKUP(N3948,データについて!$J$8:$M$18,11,FALSE)</f>
        <v>#N/A</v>
      </c>
      <c r="V3948" s="81" t="e">
        <f>HLOOKUP(O3948,データについて!$J$9:$M$18,10,FALSE)</f>
        <v>#N/A</v>
      </c>
      <c r="W3948" s="81" t="e">
        <f>HLOOKUP(P3948,データについて!$J$10:$M$18,9,FALSE)</f>
        <v>#N/A</v>
      </c>
      <c r="X3948" s="81" t="e">
        <f>HLOOKUP(Q3948,データについて!$J$11:$M$18,8,FALSE)</f>
        <v>#N/A</v>
      </c>
      <c r="Y3948" s="81" t="e">
        <f>HLOOKUP(R3948,データについて!$J$12:$M$18,7,FALSE)</f>
        <v>#N/A</v>
      </c>
      <c r="Z3948" s="81" t="e">
        <f>HLOOKUP(I3948,データについて!$J$3:$M$18,16,FALSE)</f>
        <v>#N/A</v>
      </c>
      <c r="AA3948" s="81" t="str">
        <f>IFERROR(HLOOKUP(J3948,データについて!$J$4:$AH$19,16,FALSE),"")</f>
        <v/>
      </c>
      <c r="AB3948" s="81" t="str">
        <f>IFERROR(HLOOKUP(K3948,データについて!$J$5:$AH$20,14,FALSE),"")</f>
        <v/>
      </c>
      <c r="AC3948" s="81" t="e">
        <f>IF(X3948=1,HLOOKUP(R3948,データについて!$J$12:$M$18,7,FALSE),"*")</f>
        <v>#N/A</v>
      </c>
      <c r="AD3948" s="81" t="e">
        <f>IF(X3948=2,HLOOKUP(R3948,データについて!$J$12:$M$18,7,FALSE),"*")</f>
        <v>#N/A</v>
      </c>
    </row>
    <row r="3949" spans="19:30">
      <c r="S3949" s="81" t="e">
        <f>HLOOKUP(L3949,データについて!$J$6:$M$18,13,FALSE)</f>
        <v>#N/A</v>
      </c>
      <c r="T3949" s="81" t="e">
        <f>HLOOKUP(M3949,データについて!$J$7:$M$18,12,FALSE)</f>
        <v>#N/A</v>
      </c>
      <c r="U3949" s="81" t="e">
        <f>HLOOKUP(N3949,データについて!$J$8:$M$18,11,FALSE)</f>
        <v>#N/A</v>
      </c>
      <c r="V3949" s="81" t="e">
        <f>HLOOKUP(O3949,データについて!$J$9:$M$18,10,FALSE)</f>
        <v>#N/A</v>
      </c>
      <c r="W3949" s="81" t="e">
        <f>HLOOKUP(P3949,データについて!$J$10:$M$18,9,FALSE)</f>
        <v>#N/A</v>
      </c>
      <c r="X3949" s="81" t="e">
        <f>HLOOKUP(Q3949,データについて!$J$11:$M$18,8,FALSE)</f>
        <v>#N/A</v>
      </c>
      <c r="Y3949" s="81" t="e">
        <f>HLOOKUP(R3949,データについて!$J$12:$M$18,7,FALSE)</f>
        <v>#N/A</v>
      </c>
      <c r="Z3949" s="81" t="e">
        <f>HLOOKUP(I3949,データについて!$J$3:$M$18,16,FALSE)</f>
        <v>#N/A</v>
      </c>
      <c r="AA3949" s="81" t="str">
        <f>IFERROR(HLOOKUP(J3949,データについて!$J$4:$AH$19,16,FALSE),"")</f>
        <v/>
      </c>
      <c r="AB3949" s="81" t="str">
        <f>IFERROR(HLOOKUP(K3949,データについて!$J$5:$AH$20,14,FALSE),"")</f>
        <v/>
      </c>
      <c r="AC3949" s="81" t="e">
        <f>IF(X3949=1,HLOOKUP(R3949,データについて!$J$12:$M$18,7,FALSE),"*")</f>
        <v>#N/A</v>
      </c>
      <c r="AD3949" s="81" t="e">
        <f>IF(X3949=2,HLOOKUP(R3949,データについて!$J$12:$M$18,7,FALSE),"*")</f>
        <v>#N/A</v>
      </c>
    </row>
    <row r="3950" spans="19:30">
      <c r="S3950" s="81" t="e">
        <f>HLOOKUP(L3950,データについて!$J$6:$M$18,13,FALSE)</f>
        <v>#N/A</v>
      </c>
      <c r="T3950" s="81" t="e">
        <f>HLOOKUP(M3950,データについて!$J$7:$M$18,12,FALSE)</f>
        <v>#N/A</v>
      </c>
      <c r="U3950" s="81" t="e">
        <f>HLOOKUP(N3950,データについて!$J$8:$M$18,11,FALSE)</f>
        <v>#N/A</v>
      </c>
      <c r="V3950" s="81" t="e">
        <f>HLOOKUP(O3950,データについて!$J$9:$M$18,10,FALSE)</f>
        <v>#N/A</v>
      </c>
      <c r="W3950" s="81" t="e">
        <f>HLOOKUP(P3950,データについて!$J$10:$M$18,9,FALSE)</f>
        <v>#N/A</v>
      </c>
      <c r="X3950" s="81" t="e">
        <f>HLOOKUP(Q3950,データについて!$J$11:$M$18,8,FALSE)</f>
        <v>#N/A</v>
      </c>
      <c r="Y3950" s="81" t="e">
        <f>HLOOKUP(R3950,データについて!$J$12:$M$18,7,FALSE)</f>
        <v>#N/A</v>
      </c>
      <c r="Z3950" s="81" t="e">
        <f>HLOOKUP(I3950,データについて!$J$3:$M$18,16,FALSE)</f>
        <v>#N/A</v>
      </c>
      <c r="AA3950" s="81" t="str">
        <f>IFERROR(HLOOKUP(J3950,データについて!$J$4:$AH$19,16,FALSE),"")</f>
        <v/>
      </c>
      <c r="AB3950" s="81" t="str">
        <f>IFERROR(HLOOKUP(K3950,データについて!$J$5:$AH$20,14,FALSE),"")</f>
        <v/>
      </c>
      <c r="AC3950" s="81" t="e">
        <f>IF(X3950=1,HLOOKUP(R3950,データについて!$J$12:$M$18,7,FALSE),"*")</f>
        <v>#N/A</v>
      </c>
      <c r="AD3950" s="81" t="e">
        <f>IF(X3950=2,HLOOKUP(R3950,データについて!$J$12:$M$18,7,FALSE),"*")</f>
        <v>#N/A</v>
      </c>
    </row>
    <row r="3951" spans="19:30">
      <c r="S3951" s="81" t="e">
        <f>HLOOKUP(L3951,データについて!$J$6:$M$18,13,FALSE)</f>
        <v>#N/A</v>
      </c>
      <c r="T3951" s="81" t="e">
        <f>HLOOKUP(M3951,データについて!$J$7:$M$18,12,FALSE)</f>
        <v>#N/A</v>
      </c>
      <c r="U3951" s="81" t="e">
        <f>HLOOKUP(N3951,データについて!$J$8:$M$18,11,FALSE)</f>
        <v>#N/A</v>
      </c>
      <c r="V3951" s="81" t="e">
        <f>HLOOKUP(O3951,データについて!$J$9:$M$18,10,FALSE)</f>
        <v>#N/A</v>
      </c>
      <c r="W3951" s="81" t="e">
        <f>HLOOKUP(P3951,データについて!$J$10:$M$18,9,FALSE)</f>
        <v>#N/A</v>
      </c>
      <c r="X3951" s="81" t="e">
        <f>HLOOKUP(Q3951,データについて!$J$11:$M$18,8,FALSE)</f>
        <v>#N/A</v>
      </c>
      <c r="Y3951" s="81" t="e">
        <f>HLOOKUP(R3951,データについて!$J$12:$M$18,7,FALSE)</f>
        <v>#N/A</v>
      </c>
      <c r="Z3951" s="81" t="e">
        <f>HLOOKUP(I3951,データについて!$J$3:$M$18,16,FALSE)</f>
        <v>#N/A</v>
      </c>
      <c r="AA3951" s="81" t="str">
        <f>IFERROR(HLOOKUP(J3951,データについて!$J$4:$AH$19,16,FALSE),"")</f>
        <v/>
      </c>
      <c r="AB3951" s="81" t="str">
        <f>IFERROR(HLOOKUP(K3951,データについて!$J$5:$AH$20,14,FALSE),"")</f>
        <v/>
      </c>
      <c r="AC3951" s="81" t="e">
        <f>IF(X3951=1,HLOOKUP(R3951,データについて!$J$12:$M$18,7,FALSE),"*")</f>
        <v>#N/A</v>
      </c>
      <c r="AD3951" s="81" t="e">
        <f>IF(X3951=2,HLOOKUP(R3951,データについて!$J$12:$M$18,7,FALSE),"*")</f>
        <v>#N/A</v>
      </c>
    </row>
    <row r="3952" spans="19:30">
      <c r="S3952" s="81" t="e">
        <f>HLOOKUP(L3952,データについて!$J$6:$M$18,13,FALSE)</f>
        <v>#N/A</v>
      </c>
      <c r="T3952" s="81" t="e">
        <f>HLOOKUP(M3952,データについて!$J$7:$M$18,12,FALSE)</f>
        <v>#N/A</v>
      </c>
      <c r="U3952" s="81" t="e">
        <f>HLOOKUP(N3952,データについて!$J$8:$M$18,11,FALSE)</f>
        <v>#N/A</v>
      </c>
      <c r="V3952" s="81" t="e">
        <f>HLOOKUP(O3952,データについて!$J$9:$M$18,10,FALSE)</f>
        <v>#N/A</v>
      </c>
      <c r="W3952" s="81" t="e">
        <f>HLOOKUP(P3952,データについて!$J$10:$M$18,9,FALSE)</f>
        <v>#N/A</v>
      </c>
      <c r="X3952" s="81" t="e">
        <f>HLOOKUP(Q3952,データについて!$J$11:$M$18,8,FALSE)</f>
        <v>#N/A</v>
      </c>
      <c r="Y3952" s="81" t="e">
        <f>HLOOKUP(R3952,データについて!$J$12:$M$18,7,FALSE)</f>
        <v>#N/A</v>
      </c>
      <c r="Z3952" s="81" t="e">
        <f>HLOOKUP(I3952,データについて!$J$3:$M$18,16,FALSE)</f>
        <v>#N/A</v>
      </c>
      <c r="AA3952" s="81" t="str">
        <f>IFERROR(HLOOKUP(J3952,データについて!$J$4:$AH$19,16,FALSE),"")</f>
        <v/>
      </c>
      <c r="AB3952" s="81" t="str">
        <f>IFERROR(HLOOKUP(K3952,データについて!$J$5:$AH$20,14,FALSE),"")</f>
        <v/>
      </c>
      <c r="AC3952" s="81" t="e">
        <f>IF(X3952=1,HLOOKUP(R3952,データについて!$J$12:$M$18,7,FALSE),"*")</f>
        <v>#N/A</v>
      </c>
      <c r="AD3952" s="81" t="e">
        <f>IF(X3952=2,HLOOKUP(R3952,データについて!$J$12:$M$18,7,FALSE),"*")</f>
        <v>#N/A</v>
      </c>
    </row>
    <row r="3953" spans="19:30">
      <c r="S3953" s="81" t="e">
        <f>HLOOKUP(L3953,データについて!$J$6:$M$18,13,FALSE)</f>
        <v>#N/A</v>
      </c>
      <c r="T3953" s="81" t="e">
        <f>HLOOKUP(M3953,データについて!$J$7:$M$18,12,FALSE)</f>
        <v>#N/A</v>
      </c>
      <c r="U3953" s="81" t="e">
        <f>HLOOKUP(N3953,データについて!$J$8:$M$18,11,FALSE)</f>
        <v>#N/A</v>
      </c>
      <c r="V3953" s="81" t="e">
        <f>HLOOKUP(O3953,データについて!$J$9:$M$18,10,FALSE)</f>
        <v>#N/A</v>
      </c>
      <c r="W3953" s="81" t="e">
        <f>HLOOKUP(P3953,データについて!$J$10:$M$18,9,FALSE)</f>
        <v>#N/A</v>
      </c>
      <c r="X3953" s="81" t="e">
        <f>HLOOKUP(Q3953,データについて!$J$11:$M$18,8,FALSE)</f>
        <v>#N/A</v>
      </c>
      <c r="Y3953" s="81" t="e">
        <f>HLOOKUP(R3953,データについて!$J$12:$M$18,7,FALSE)</f>
        <v>#N/A</v>
      </c>
      <c r="Z3953" s="81" t="e">
        <f>HLOOKUP(I3953,データについて!$J$3:$M$18,16,FALSE)</f>
        <v>#N/A</v>
      </c>
      <c r="AA3953" s="81" t="str">
        <f>IFERROR(HLOOKUP(J3953,データについて!$J$4:$AH$19,16,FALSE),"")</f>
        <v/>
      </c>
      <c r="AB3953" s="81" t="str">
        <f>IFERROR(HLOOKUP(K3953,データについて!$J$5:$AH$20,14,FALSE),"")</f>
        <v/>
      </c>
      <c r="AC3953" s="81" t="e">
        <f>IF(X3953=1,HLOOKUP(R3953,データについて!$J$12:$M$18,7,FALSE),"*")</f>
        <v>#N/A</v>
      </c>
      <c r="AD3953" s="81" t="e">
        <f>IF(X3953=2,HLOOKUP(R3953,データについて!$J$12:$M$18,7,FALSE),"*")</f>
        <v>#N/A</v>
      </c>
    </row>
    <row r="3954" spans="19:30">
      <c r="S3954" s="81" t="e">
        <f>HLOOKUP(L3954,データについて!$J$6:$M$18,13,FALSE)</f>
        <v>#N/A</v>
      </c>
      <c r="T3954" s="81" t="e">
        <f>HLOOKUP(M3954,データについて!$J$7:$M$18,12,FALSE)</f>
        <v>#N/A</v>
      </c>
      <c r="U3954" s="81" t="e">
        <f>HLOOKUP(N3954,データについて!$J$8:$M$18,11,FALSE)</f>
        <v>#N/A</v>
      </c>
      <c r="V3954" s="81" t="e">
        <f>HLOOKUP(O3954,データについて!$J$9:$M$18,10,FALSE)</f>
        <v>#N/A</v>
      </c>
      <c r="W3954" s="81" t="e">
        <f>HLOOKUP(P3954,データについて!$J$10:$M$18,9,FALSE)</f>
        <v>#N/A</v>
      </c>
      <c r="X3954" s="81" t="e">
        <f>HLOOKUP(Q3954,データについて!$J$11:$M$18,8,FALSE)</f>
        <v>#N/A</v>
      </c>
      <c r="Y3954" s="81" t="e">
        <f>HLOOKUP(R3954,データについて!$J$12:$M$18,7,FALSE)</f>
        <v>#N/A</v>
      </c>
      <c r="Z3954" s="81" t="e">
        <f>HLOOKUP(I3954,データについて!$J$3:$M$18,16,FALSE)</f>
        <v>#N/A</v>
      </c>
      <c r="AA3954" s="81" t="str">
        <f>IFERROR(HLOOKUP(J3954,データについて!$J$4:$AH$19,16,FALSE),"")</f>
        <v/>
      </c>
      <c r="AB3954" s="81" t="str">
        <f>IFERROR(HLOOKUP(K3954,データについて!$J$5:$AH$20,14,FALSE),"")</f>
        <v/>
      </c>
      <c r="AC3954" s="81" t="e">
        <f>IF(X3954=1,HLOOKUP(R3954,データについて!$J$12:$M$18,7,FALSE),"*")</f>
        <v>#N/A</v>
      </c>
      <c r="AD3954" s="81" t="e">
        <f>IF(X3954=2,HLOOKUP(R3954,データについて!$J$12:$M$18,7,FALSE),"*")</f>
        <v>#N/A</v>
      </c>
    </row>
    <row r="3955" spans="19:30">
      <c r="S3955" s="81" t="e">
        <f>HLOOKUP(L3955,データについて!$J$6:$M$18,13,FALSE)</f>
        <v>#N/A</v>
      </c>
      <c r="T3955" s="81" t="e">
        <f>HLOOKUP(M3955,データについて!$J$7:$M$18,12,FALSE)</f>
        <v>#N/A</v>
      </c>
      <c r="U3955" s="81" t="e">
        <f>HLOOKUP(N3955,データについて!$J$8:$M$18,11,FALSE)</f>
        <v>#N/A</v>
      </c>
      <c r="V3955" s="81" t="e">
        <f>HLOOKUP(O3955,データについて!$J$9:$M$18,10,FALSE)</f>
        <v>#N/A</v>
      </c>
      <c r="W3955" s="81" t="e">
        <f>HLOOKUP(P3955,データについて!$J$10:$M$18,9,FALSE)</f>
        <v>#N/A</v>
      </c>
      <c r="X3955" s="81" t="e">
        <f>HLOOKUP(Q3955,データについて!$J$11:$M$18,8,FALSE)</f>
        <v>#N/A</v>
      </c>
      <c r="Y3955" s="81" t="e">
        <f>HLOOKUP(R3955,データについて!$J$12:$M$18,7,FALSE)</f>
        <v>#N/A</v>
      </c>
      <c r="Z3955" s="81" t="e">
        <f>HLOOKUP(I3955,データについて!$J$3:$M$18,16,FALSE)</f>
        <v>#N/A</v>
      </c>
      <c r="AA3955" s="81" t="str">
        <f>IFERROR(HLOOKUP(J3955,データについて!$J$4:$AH$19,16,FALSE),"")</f>
        <v/>
      </c>
      <c r="AB3955" s="81" t="str">
        <f>IFERROR(HLOOKUP(K3955,データについて!$J$5:$AH$20,14,FALSE),"")</f>
        <v/>
      </c>
      <c r="AC3955" s="81" t="e">
        <f>IF(X3955=1,HLOOKUP(R3955,データについて!$J$12:$M$18,7,FALSE),"*")</f>
        <v>#N/A</v>
      </c>
      <c r="AD3955" s="81" t="e">
        <f>IF(X3955=2,HLOOKUP(R3955,データについて!$J$12:$M$18,7,FALSE),"*")</f>
        <v>#N/A</v>
      </c>
    </row>
    <row r="3956" spans="19:30">
      <c r="S3956" s="81" t="e">
        <f>HLOOKUP(L3956,データについて!$J$6:$M$18,13,FALSE)</f>
        <v>#N/A</v>
      </c>
      <c r="T3956" s="81" t="e">
        <f>HLOOKUP(M3956,データについて!$J$7:$M$18,12,FALSE)</f>
        <v>#N/A</v>
      </c>
      <c r="U3956" s="81" t="e">
        <f>HLOOKUP(N3956,データについて!$J$8:$M$18,11,FALSE)</f>
        <v>#N/A</v>
      </c>
      <c r="V3956" s="81" t="e">
        <f>HLOOKUP(O3956,データについて!$J$9:$M$18,10,FALSE)</f>
        <v>#N/A</v>
      </c>
      <c r="W3956" s="81" t="e">
        <f>HLOOKUP(P3956,データについて!$J$10:$M$18,9,FALSE)</f>
        <v>#N/A</v>
      </c>
      <c r="X3956" s="81" t="e">
        <f>HLOOKUP(Q3956,データについて!$J$11:$M$18,8,FALSE)</f>
        <v>#N/A</v>
      </c>
      <c r="Y3956" s="81" t="e">
        <f>HLOOKUP(R3956,データについて!$J$12:$M$18,7,FALSE)</f>
        <v>#N/A</v>
      </c>
      <c r="Z3956" s="81" t="e">
        <f>HLOOKUP(I3956,データについて!$J$3:$M$18,16,FALSE)</f>
        <v>#N/A</v>
      </c>
      <c r="AA3956" s="81" t="str">
        <f>IFERROR(HLOOKUP(J3956,データについて!$J$4:$AH$19,16,FALSE),"")</f>
        <v/>
      </c>
      <c r="AB3956" s="81" t="str">
        <f>IFERROR(HLOOKUP(K3956,データについて!$J$5:$AH$20,14,FALSE),"")</f>
        <v/>
      </c>
      <c r="AC3956" s="81" t="e">
        <f>IF(X3956=1,HLOOKUP(R3956,データについて!$J$12:$M$18,7,FALSE),"*")</f>
        <v>#N/A</v>
      </c>
      <c r="AD3956" s="81" t="e">
        <f>IF(X3956=2,HLOOKUP(R3956,データについて!$J$12:$M$18,7,FALSE),"*")</f>
        <v>#N/A</v>
      </c>
    </row>
    <row r="3957" spans="19:30">
      <c r="S3957" s="81" t="e">
        <f>HLOOKUP(L3957,データについて!$J$6:$M$18,13,FALSE)</f>
        <v>#N/A</v>
      </c>
      <c r="T3957" s="81" t="e">
        <f>HLOOKUP(M3957,データについて!$J$7:$M$18,12,FALSE)</f>
        <v>#N/A</v>
      </c>
      <c r="U3957" s="81" t="e">
        <f>HLOOKUP(N3957,データについて!$J$8:$M$18,11,FALSE)</f>
        <v>#N/A</v>
      </c>
      <c r="V3957" s="81" t="e">
        <f>HLOOKUP(O3957,データについて!$J$9:$M$18,10,FALSE)</f>
        <v>#N/A</v>
      </c>
      <c r="W3957" s="81" t="e">
        <f>HLOOKUP(P3957,データについて!$J$10:$M$18,9,FALSE)</f>
        <v>#N/A</v>
      </c>
      <c r="X3957" s="81" t="e">
        <f>HLOOKUP(Q3957,データについて!$J$11:$M$18,8,FALSE)</f>
        <v>#N/A</v>
      </c>
      <c r="Y3957" s="81" t="e">
        <f>HLOOKUP(R3957,データについて!$J$12:$M$18,7,FALSE)</f>
        <v>#N/A</v>
      </c>
      <c r="Z3957" s="81" t="e">
        <f>HLOOKUP(I3957,データについて!$J$3:$M$18,16,FALSE)</f>
        <v>#N/A</v>
      </c>
      <c r="AA3957" s="81" t="str">
        <f>IFERROR(HLOOKUP(J3957,データについて!$J$4:$AH$19,16,FALSE),"")</f>
        <v/>
      </c>
      <c r="AB3957" s="81" t="str">
        <f>IFERROR(HLOOKUP(K3957,データについて!$J$5:$AH$20,14,FALSE),"")</f>
        <v/>
      </c>
      <c r="AC3957" s="81" t="e">
        <f>IF(X3957=1,HLOOKUP(R3957,データについて!$J$12:$M$18,7,FALSE),"*")</f>
        <v>#N/A</v>
      </c>
      <c r="AD3957" s="81" t="e">
        <f>IF(X3957=2,HLOOKUP(R3957,データについて!$J$12:$M$18,7,FALSE),"*")</f>
        <v>#N/A</v>
      </c>
    </row>
    <row r="3958" spans="19:30">
      <c r="S3958" s="81" t="e">
        <f>HLOOKUP(L3958,データについて!$J$6:$M$18,13,FALSE)</f>
        <v>#N/A</v>
      </c>
      <c r="T3958" s="81" t="e">
        <f>HLOOKUP(M3958,データについて!$J$7:$M$18,12,FALSE)</f>
        <v>#N/A</v>
      </c>
      <c r="U3958" s="81" t="e">
        <f>HLOOKUP(N3958,データについて!$J$8:$M$18,11,FALSE)</f>
        <v>#N/A</v>
      </c>
      <c r="V3958" s="81" t="e">
        <f>HLOOKUP(O3958,データについて!$J$9:$M$18,10,FALSE)</f>
        <v>#N/A</v>
      </c>
      <c r="W3958" s="81" t="e">
        <f>HLOOKUP(P3958,データについて!$J$10:$M$18,9,FALSE)</f>
        <v>#N/A</v>
      </c>
      <c r="X3958" s="81" t="e">
        <f>HLOOKUP(Q3958,データについて!$J$11:$M$18,8,FALSE)</f>
        <v>#N/A</v>
      </c>
      <c r="Y3958" s="81" t="e">
        <f>HLOOKUP(R3958,データについて!$J$12:$M$18,7,FALSE)</f>
        <v>#N/A</v>
      </c>
      <c r="Z3958" s="81" t="e">
        <f>HLOOKUP(I3958,データについて!$J$3:$M$18,16,FALSE)</f>
        <v>#N/A</v>
      </c>
      <c r="AA3958" s="81" t="str">
        <f>IFERROR(HLOOKUP(J3958,データについて!$J$4:$AH$19,16,FALSE),"")</f>
        <v/>
      </c>
      <c r="AB3958" s="81" t="str">
        <f>IFERROR(HLOOKUP(K3958,データについて!$J$5:$AH$20,14,FALSE),"")</f>
        <v/>
      </c>
      <c r="AC3958" s="81" t="e">
        <f>IF(X3958=1,HLOOKUP(R3958,データについて!$J$12:$M$18,7,FALSE),"*")</f>
        <v>#N/A</v>
      </c>
      <c r="AD3958" s="81" t="e">
        <f>IF(X3958=2,HLOOKUP(R3958,データについて!$J$12:$M$18,7,FALSE),"*")</f>
        <v>#N/A</v>
      </c>
    </row>
    <row r="3959" spans="19:30">
      <c r="S3959" s="81" t="e">
        <f>HLOOKUP(L3959,データについて!$J$6:$M$18,13,FALSE)</f>
        <v>#N/A</v>
      </c>
      <c r="T3959" s="81" t="e">
        <f>HLOOKUP(M3959,データについて!$J$7:$M$18,12,FALSE)</f>
        <v>#N/A</v>
      </c>
      <c r="U3959" s="81" t="e">
        <f>HLOOKUP(N3959,データについて!$J$8:$M$18,11,FALSE)</f>
        <v>#N/A</v>
      </c>
      <c r="V3959" s="81" t="e">
        <f>HLOOKUP(O3959,データについて!$J$9:$M$18,10,FALSE)</f>
        <v>#N/A</v>
      </c>
      <c r="W3959" s="81" t="e">
        <f>HLOOKUP(P3959,データについて!$J$10:$M$18,9,FALSE)</f>
        <v>#N/A</v>
      </c>
      <c r="X3959" s="81" t="e">
        <f>HLOOKUP(Q3959,データについて!$J$11:$M$18,8,FALSE)</f>
        <v>#N/A</v>
      </c>
      <c r="Y3959" s="81" t="e">
        <f>HLOOKUP(R3959,データについて!$J$12:$M$18,7,FALSE)</f>
        <v>#N/A</v>
      </c>
      <c r="Z3959" s="81" t="e">
        <f>HLOOKUP(I3959,データについて!$J$3:$M$18,16,FALSE)</f>
        <v>#N/A</v>
      </c>
      <c r="AA3959" s="81" t="str">
        <f>IFERROR(HLOOKUP(J3959,データについて!$J$4:$AH$19,16,FALSE),"")</f>
        <v/>
      </c>
      <c r="AB3959" s="81" t="str">
        <f>IFERROR(HLOOKUP(K3959,データについて!$J$5:$AH$20,14,FALSE),"")</f>
        <v/>
      </c>
      <c r="AC3959" s="81" t="e">
        <f>IF(X3959=1,HLOOKUP(R3959,データについて!$J$12:$M$18,7,FALSE),"*")</f>
        <v>#N/A</v>
      </c>
      <c r="AD3959" s="81" t="e">
        <f>IF(X3959=2,HLOOKUP(R3959,データについて!$J$12:$M$18,7,FALSE),"*")</f>
        <v>#N/A</v>
      </c>
    </row>
    <row r="3960" spans="19:30">
      <c r="S3960" s="81" t="e">
        <f>HLOOKUP(L3960,データについて!$J$6:$M$18,13,FALSE)</f>
        <v>#N/A</v>
      </c>
      <c r="T3960" s="81" t="e">
        <f>HLOOKUP(M3960,データについて!$J$7:$M$18,12,FALSE)</f>
        <v>#N/A</v>
      </c>
      <c r="U3960" s="81" t="e">
        <f>HLOOKUP(N3960,データについて!$J$8:$M$18,11,FALSE)</f>
        <v>#N/A</v>
      </c>
      <c r="V3960" s="81" t="e">
        <f>HLOOKUP(O3960,データについて!$J$9:$M$18,10,FALSE)</f>
        <v>#N/A</v>
      </c>
      <c r="W3960" s="81" t="e">
        <f>HLOOKUP(P3960,データについて!$J$10:$M$18,9,FALSE)</f>
        <v>#N/A</v>
      </c>
      <c r="X3960" s="81" t="e">
        <f>HLOOKUP(Q3960,データについて!$J$11:$M$18,8,FALSE)</f>
        <v>#N/A</v>
      </c>
      <c r="Y3960" s="81" t="e">
        <f>HLOOKUP(R3960,データについて!$J$12:$M$18,7,FALSE)</f>
        <v>#N/A</v>
      </c>
      <c r="Z3960" s="81" t="e">
        <f>HLOOKUP(I3960,データについて!$J$3:$M$18,16,FALSE)</f>
        <v>#N/A</v>
      </c>
      <c r="AA3960" s="81" t="str">
        <f>IFERROR(HLOOKUP(J3960,データについて!$J$4:$AH$19,16,FALSE),"")</f>
        <v/>
      </c>
      <c r="AB3960" s="81" t="str">
        <f>IFERROR(HLOOKUP(K3960,データについて!$J$5:$AH$20,14,FALSE),"")</f>
        <v/>
      </c>
      <c r="AC3960" s="81" t="e">
        <f>IF(X3960=1,HLOOKUP(R3960,データについて!$J$12:$M$18,7,FALSE),"*")</f>
        <v>#N/A</v>
      </c>
      <c r="AD3960" s="81" t="e">
        <f>IF(X3960=2,HLOOKUP(R3960,データについて!$J$12:$M$18,7,FALSE),"*")</f>
        <v>#N/A</v>
      </c>
    </row>
    <row r="3961" spans="19:30">
      <c r="S3961" s="81" t="e">
        <f>HLOOKUP(L3961,データについて!$J$6:$M$18,13,FALSE)</f>
        <v>#N/A</v>
      </c>
      <c r="T3961" s="81" t="e">
        <f>HLOOKUP(M3961,データについて!$J$7:$M$18,12,FALSE)</f>
        <v>#N/A</v>
      </c>
      <c r="U3961" s="81" t="e">
        <f>HLOOKUP(N3961,データについて!$J$8:$M$18,11,FALSE)</f>
        <v>#N/A</v>
      </c>
      <c r="V3961" s="81" t="e">
        <f>HLOOKUP(O3961,データについて!$J$9:$M$18,10,FALSE)</f>
        <v>#N/A</v>
      </c>
      <c r="W3961" s="81" t="e">
        <f>HLOOKUP(P3961,データについて!$J$10:$M$18,9,FALSE)</f>
        <v>#N/A</v>
      </c>
      <c r="X3961" s="81" t="e">
        <f>HLOOKUP(Q3961,データについて!$J$11:$M$18,8,FALSE)</f>
        <v>#N/A</v>
      </c>
      <c r="Y3961" s="81" t="e">
        <f>HLOOKUP(R3961,データについて!$J$12:$M$18,7,FALSE)</f>
        <v>#N/A</v>
      </c>
      <c r="Z3961" s="81" t="e">
        <f>HLOOKUP(I3961,データについて!$J$3:$M$18,16,FALSE)</f>
        <v>#N/A</v>
      </c>
      <c r="AA3961" s="81" t="str">
        <f>IFERROR(HLOOKUP(J3961,データについて!$J$4:$AH$19,16,FALSE),"")</f>
        <v/>
      </c>
      <c r="AB3961" s="81" t="str">
        <f>IFERROR(HLOOKUP(K3961,データについて!$J$5:$AH$20,14,FALSE),"")</f>
        <v/>
      </c>
      <c r="AC3961" s="81" t="e">
        <f>IF(X3961=1,HLOOKUP(R3961,データについて!$J$12:$M$18,7,FALSE),"*")</f>
        <v>#N/A</v>
      </c>
      <c r="AD3961" s="81" t="e">
        <f>IF(X3961=2,HLOOKUP(R3961,データについて!$J$12:$M$18,7,FALSE),"*")</f>
        <v>#N/A</v>
      </c>
    </row>
    <row r="3962" spans="19:30">
      <c r="S3962" s="81" t="e">
        <f>HLOOKUP(L3962,データについて!$J$6:$M$18,13,FALSE)</f>
        <v>#N/A</v>
      </c>
      <c r="T3962" s="81" t="e">
        <f>HLOOKUP(M3962,データについて!$J$7:$M$18,12,FALSE)</f>
        <v>#N/A</v>
      </c>
      <c r="U3962" s="81" t="e">
        <f>HLOOKUP(N3962,データについて!$J$8:$M$18,11,FALSE)</f>
        <v>#N/A</v>
      </c>
      <c r="V3962" s="81" t="e">
        <f>HLOOKUP(O3962,データについて!$J$9:$M$18,10,FALSE)</f>
        <v>#N/A</v>
      </c>
      <c r="W3962" s="81" t="e">
        <f>HLOOKUP(P3962,データについて!$J$10:$M$18,9,FALSE)</f>
        <v>#N/A</v>
      </c>
      <c r="X3962" s="81" t="e">
        <f>HLOOKUP(Q3962,データについて!$J$11:$M$18,8,FALSE)</f>
        <v>#N/A</v>
      </c>
      <c r="Y3962" s="81" t="e">
        <f>HLOOKUP(R3962,データについて!$J$12:$M$18,7,FALSE)</f>
        <v>#N/A</v>
      </c>
      <c r="Z3962" s="81" t="e">
        <f>HLOOKUP(I3962,データについて!$J$3:$M$18,16,FALSE)</f>
        <v>#N/A</v>
      </c>
      <c r="AA3962" s="81" t="str">
        <f>IFERROR(HLOOKUP(J3962,データについて!$J$4:$AH$19,16,FALSE),"")</f>
        <v/>
      </c>
      <c r="AB3962" s="81" t="str">
        <f>IFERROR(HLOOKUP(K3962,データについて!$J$5:$AH$20,14,FALSE),"")</f>
        <v/>
      </c>
      <c r="AC3962" s="81" t="e">
        <f>IF(X3962=1,HLOOKUP(R3962,データについて!$J$12:$M$18,7,FALSE),"*")</f>
        <v>#N/A</v>
      </c>
      <c r="AD3962" s="81" t="e">
        <f>IF(X3962=2,HLOOKUP(R3962,データについて!$J$12:$M$18,7,FALSE),"*")</f>
        <v>#N/A</v>
      </c>
    </row>
    <row r="3963" spans="19:30">
      <c r="S3963" s="81" t="e">
        <f>HLOOKUP(L3963,データについて!$J$6:$M$18,13,FALSE)</f>
        <v>#N/A</v>
      </c>
      <c r="T3963" s="81" t="e">
        <f>HLOOKUP(M3963,データについて!$J$7:$M$18,12,FALSE)</f>
        <v>#N/A</v>
      </c>
      <c r="U3963" s="81" t="e">
        <f>HLOOKUP(N3963,データについて!$J$8:$M$18,11,FALSE)</f>
        <v>#N/A</v>
      </c>
      <c r="V3963" s="81" t="e">
        <f>HLOOKUP(O3963,データについて!$J$9:$M$18,10,FALSE)</f>
        <v>#N/A</v>
      </c>
      <c r="W3963" s="81" t="e">
        <f>HLOOKUP(P3963,データについて!$J$10:$M$18,9,FALSE)</f>
        <v>#N/A</v>
      </c>
      <c r="X3963" s="81" t="e">
        <f>HLOOKUP(Q3963,データについて!$J$11:$M$18,8,FALSE)</f>
        <v>#N/A</v>
      </c>
      <c r="Y3963" s="81" t="e">
        <f>HLOOKUP(R3963,データについて!$J$12:$M$18,7,FALSE)</f>
        <v>#N/A</v>
      </c>
      <c r="Z3963" s="81" t="e">
        <f>HLOOKUP(I3963,データについて!$J$3:$M$18,16,FALSE)</f>
        <v>#N/A</v>
      </c>
      <c r="AA3963" s="81" t="str">
        <f>IFERROR(HLOOKUP(J3963,データについて!$J$4:$AH$19,16,FALSE),"")</f>
        <v/>
      </c>
      <c r="AB3963" s="81" t="str">
        <f>IFERROR(HLOOKUP(K3963,データについて!$J$5:$AH$20,14,FALSE),"")</f>
        <v/>
      </c>
      <c r="AC3963" s="81" t="e">
        <f>IF(X3963=1,HLOOKUP(R3963,データについて!$J$12:$M$18,7,FALSE),"*")</f>
        <v>#N/A</v>
      </c>
      <c r="AD3963" s="81" t="e">
        <f>IF(X3963=2,HLOOKUP(R3963,データについて!$J$12:$M$18,7,FALSE),"*")</f>
        <v>#N/A</v>
      </c>
    </row>
    <row r="3964" spans="19:30">
      <c r="S3964" s="81" t="e">
        <f>HLOOKUP(L3964,データについて!$J$6:$M$18,13,FALSE)</f>
        <v>#N/A</v>
      </c>
      <c r="T3964" s="81" t="e">
        <f>HLOOKUP(M3964,データについて!$J$7:$M$18,12,FALSE)</f>
        <v>#N/A</v>
      </c>
      <c r="U3964" s="81" t="e">
        <f>HLOOKUP(N3964,データについて!$J$8:$M$18,11,FALSE)</f>
        <v>#N/A</v>
      </c>
      <c r="V3964" s="81" t="e">
        <f>HLOOKUP(O3964,データについて!$J$9:$M$18,10,FALSE)</f>
        <v>#N/A</v>
      </c>
      <c r="W3964" s="81" t="e">
        <f>HLOOKUP(P3964,データについて!$J$10:$M$18,9,FALSE)</f>
        <v>#N/A</v>
      </c>
      <c r="X3964" s="81" t="e">
        <f>HLOOKUP(Q3964,データについて!$J$11:$M$18,8,FALSE)</f>
        <v>#N/A</v>
      </c>
      <c r="Y3964" s="81" t="e">
        <f>HLOOKUP(R3964,データについて!$J$12:$M$18,7,FALSE)</f>
        <v>#N/A</v>
      </c>
      <c r="Z3964" s="81" t="e">
        <f>HLOOKUP(I3964,データについて!$J$3:$M$18,16,FALSE)</f>
        <v>#N/A</v>
      </c>
      <c r="AA3964" s="81" t="str">
        <f>IFERROR(HLOOKUP(J3964,データについて!$J$4:$AH$19,16,FALSE),"")</f>
        <v/>
      </c>
      <c r="AB3964" s="81" t="str">
        <f>IFERROR(HLOOKUP(K3964,データについて!$J$5:$AH$20,14,FALSE),"")</f>
        <v/>
      </c>
      <c r="AC3964" s="81" t="e">
        <f>IF(X3964=1,HLOOKUP(R3964,データについて!$J$12:$M$18,7,FALSE),"*")</f>
        <v>#N/A</v>
      </c>
      <c r="AD3964" s="81" t="e">
        <f>IF(X3964=2,HLOOKUP(R3964,データについて!$J$12:$M$18,7,FALSE),"*")</f>
        <v>#N/A</v>
      </c>
    </row>
    <row r="3965" spans="19:30">
      <c r="S3965" s="81" t="e">
        <f>HLOOKUP(L3965,データについて!$J$6:$M$18,13,FALSE)</f>
        <v>#N/A</v>
      </c>
      <c r="T3965" s="81" t="e">
        <f>HLOOKUP(M3965,データについて!$J$7:$M$18,12,FALSE)</f>
        <v>#N/A</v>
      </c>
      <c r="U3965" s="81" t="e">
        <f>HLOOKUP(N3965,データについて!$J$8:$M$18,11,FALSE)</f>
        <v>#N/A</v>
      </c>
      <c r="V3965" s="81" t="e">
        <f>HLOOKUP(O3965,データについて!$J$9:$M$18,10,FALSE)</f>
        <v>#N/A</v>
      </c>
      <c r="W3965" s="81" t="e">
        <f>HLOOKUP(P3965,データについて!$J$10:$M$18,9,FALSE)</f>
        <v>#N/A</v>
      </c>
      <c r="X3965" s="81" t="e">
        <f>HLOOKUP(Q3965,データについて!$J$11:$M$18,8,FALSE)</f>
        <v>#N/A</v>
      </c>
      <c r="Y3965" s="81" t="e">
        <f>HLOOKUP(R3965,データについて!$J$12:$M$18,7,FALSE)</f>
        <v>#N/A</v>
      </c>
      <c r="Z3965" s="81" t="e">
        <f>HLOOKUP(I3965,データについて!$J$3:$M$18,16,FALSE)</f>
        <v>#N/A</v>
      </c>
      <c r="AA3965" s="81" t="str">
        <f>IFERROR(HLOOKUP(J3965,データについて!$J$4:$AH$19,16,FALSE),"")</f>
        <v/>
      </c>
      <c r="AB3965" s="81" t="str">
        <f>IFERROR(HLOOKUP(K3965,データについて!$J$5:$AH$20,14,FALSE),"")</f>
        <v/>
      </c>
      <c r="AC3965" s="81" t="e">
        <f>IF(X3965=1,HLOOKUP(R3965,データについて!$J$12:$M$18,7,FALSE),"*")</f>
        <v>#N/A</v>
      </c>
      <c r="AD3965" s="81" t="e">
        <f>IF(X3965=2,HLOOKUP(R3965,データについて!$J$12:$M$18,7,FALSE),"*")</f>
        <v>#N/A</v>
      </c>
    </row>
    <row r="3966" spans="19:30">
      <c r="S3966" s="81" t="e">
        <f>HLOOKUP(L3966,データについて!$J$6:$M$18,13,FALSE)</f>
        <v>#N/A</v>
      </c>
      <c r="T3966" s="81" t="e">
        <f>HLOOKUP(M3966,データについて!$J$7:$M$18,12,FALSE)</f>
        <v>#N/A</v>
      </c>
      <c r="U3966" s="81" t="e">
        <f>HLOOKUP(N3966,データについて!$J$8:$M$18,11,FALSE)</f>
        <v>#N/A</v>
      </c>
      <c r="V3966" s="81" t="e">
        <f>HLOOKUP(O3966,データについて!$J$9:$M$18,10,FALSE)</f>
        <v>#N/A</v>
      </c>
      <c r="W3966" s="81" t="e">
        <f>HLOOKUP(P3966,データについて!$J$10:$M$18,9,FALSE)</f>
        <v>#N/A</v>
      </c>
      <c r="X3966" s="81" t="e">
        <f>HLOOKUP(Q3966,データについて!$J$11:$M$18,8,FALSE)</f>
        <v>#N/A</v>
      </c>
      <c r="Y3966" s="81" t="e">
        <f>HLOOKUP(R3966,データについて!$J$12:$M$18,7,FALSE)</f>
        <v>#N/A</v>
      </c>
      <c r="Z3966" s="81" t="e">
        <f>HLOOKUP(I3966,データについて!$J$3:$M$18,16,FALSE)</f>
        <v>#N/A</v>
      </c>
      <c r="AA3966" s="81" t="str">
        <f>IFERROR(HLOOKUP(J3966,データについて!$J$4:$AH$19,16,FALSE),"")</f>
        <v/>
      </c>
      <c r="AB3966" s="81" t="str">
        <f>IFERROR(HLOOKUP(K3966,データについて!$J$5:$AH$20,14,FALSE),"")</f>
        <v/>
      </c>
      <c r="AC3966" s="81" t="e">
        <f>IF(X3966=1,HLOOKUP(R3966,データについて!$J$12:$M$18,7,FALSE),"*")</f>
        <v>#N/A</v>
      </c>
      <c r="AD3966" s="81" t="e">
        <f>IF(X3966=2,HLOOKUP(R3966,データについて!$J$12:$M$18,7,FALSE),"*")</f>
        <v>#N/A</v>
      </c>
    </row>
    <row r="3967" spans="19:30">
      <c r="S3967" s="81" t="e">
        <f>HLOOKUP(L3967,データについて!$J$6:$M$18,13,FALSE)</f>
        <v>#N/A</v>
      </c>
      <c r="T3967" s="81" t="e">
        <f>HLOOKUP(M3967,データについて!$J$7:$M$18,12,FALSE)</f>
        <v>#N/A</v>
      </c>
      <c r="U3967" s="81" t="e">
        <f>HLOOKUP(N3967,データについて!$J$8:$M$18,11,FALSE)</f>
        <v>#N/A</v>
      </c>
      <c r="V3967" s="81" t="e">
        <f>HLOOKUP(O3967,データについて!$J$9:$M$18,10,FALSE)</f>
        <v>#N/A</v>
      </c>
      <c r="W3967" s="81" t="e">
        <f>HLOOKUP(P3967,データについて!$J$10:$M$18,9,FALSE)</f>
        <v>#N/A</v>
      </c>
      <c r="X3967" s="81" t="e">
        <f>HLOOKUP(Q3967,データについて!$J$11:$M$18,8,FALSE)</f>
        <v>#N/A</v>
      </c>
      <c r="Y3967" s="81" t="e">
        <f>HLOOKUP(R3967,データについて!$J$12:$M$18,7,FALSE)</f>
        <v>#N/A</v>
      </c>
      <c r="Z3967" s="81" t="e">
        <f>HLOOKUP(I3967,データについて!$J$3:$M$18,16,FALSE)</f>
        <v>#N/A</v>
      </c>
      <c r="AA3967" s="81" t="str">
        <f>IFERROR(HLOOKUP(J3967,データについて!$J$4:$AH$19,16,FALSE),"")</f>
        <v/>
      </c>
      <c r="AB3967" s="81" t="str">
        <f>IFERROR(HLOOKUP(K3967,データについて!$J$5:$AH$20,14,FALSE),"")</f>
        <v/>
      </c>
      <c r="AC3967" s="81" t="e">
        <f>IF(X3967=1,HLOOKUP(R3967,データについて!$J$12:$M$18,7,FALSE),"*")</f>
        <v>#N/A</v>
      </c>
      <c r="AD3967" s="81" t="e">
        <f>IF(X3967=2,HLOOKUP(R3967,データについて!$J$12:$M$18,7,FALSE),"*")</f>
        <v>#N/A</v>
      </c>
    </row>
    <row r="3968" spans="19:30">
      <c r="S3968" s="81" t="e">
        <f>HLOOKUP(L3968,データについて!$J$6:$M$18,13,FALSE)</f>
        <v>#N/A</v>
      </c>
      <c r="T3968" s="81" t="e">
        <f>HLOOKUP(M3968,データについて!$J$7:$M$18,12,FALSE)</f>
        <v>#N/A</v>
      </c>
      <c r="U3968" s="81" t="e">
        <f>HLOOKUP(N3968,データについて!$J$8:$M$18,11,FALSE)</f>
        <v>#N/A</v>
      </c>
      <c r="V3968" s="81" t="e">
        <f>HLOOKUP(O3968,データについて!$J$9:$M$18,10,FALSE)</f>
        <v>#N/A</v>
      </c>
      <c r="W3968" s="81" t="e">
        <f>HLOOKUP(P3968,データについて!$J$10:$M$18,9,FALSE)</f>
        <v>#N/A</v>
      </c>
      <c r="X3968" s="81" t="e">
        <f>HLOOKUP(Q3968,データについて!$J$11:$M$18,8,FALSE)</f>
        <v>#N/A</v>
      </c>
      <c r="Y3968" s="81" t="e">
        <f>HLOOKUP(R3968,データについて!$J$12:$M$18,7,FALSE)</f>
        <v>#N/A</v>
      </c>
      <c r="Z3968" s="81" t="e">
        <f>HLOOKUP(I3968,データについて!$J$3:$M$18,16,FALSE)</f>
        <v>#N/A</v>
      </c>
      <c r="AA3968" s="81" t="str">
        <f>IFERROR(HLOOKUP(J3968,データについて!$J$4:$AH$19,16,FALSE),"")</f>
        <v/>
      </c>
      <c r="AB3968" s="81" t="str">
        <f>IFERROR(HLOOKUP(K3968,データについて!$J$5:$AH$20,14,FALSE),"")</f>
        <v/>
      </c>
      <c r="AC3968" s="81" t="e">
        <f>IF(X3968=1,HLOOKUP(R3968,データについて!$J$12:$M$18,7,FALSE),"*")</f>
        <v>#N/A</v>
      </c>
      <c r="AD3968" s="81" t="e">
        <f>IF(X3968=2,HLOOKUP(R3968,データについて!$J$12:$M$18,7,FALSE),"*")</f>
        <v>#N/A</v>
      </c>
    </row>
    <row r="3969" spans="19:30">
      <c r="S3969" s="81" t="e">
        <f>HLOOKUP(L3969,データについて!$J$6:$M$18,13,FALSE)</f>
        <v>#N/A</v>
      </c>
      <c r="T3969" s="81" t="e">
        <f>HLOOKUP(M3969,データについて!$J$7:$M$18,12,FALSE)</f>
        <v>#N/A</v>
      </c>
      <c r="U3969" s="81" t="e">
        <f>HLOOKUP(N3969,データについて!$J$8:$M$18,11,FALSE)</f>
        <v>#N/A</v>
      </c>
      <c r="V3969" s="81" t="e">
        <f>HLOOKUP(O3969,データについて!$J$9:$M$18,10,FALSE)</f>
        <v>#N/A</v>
      </c>
      <c r="W3969" s="81" t="e">
        <f>HLOOKUP(P3969,データについて!$J$10:$M$18,9,FALSE)</f>
        <v>#N/A</v>
      </c>
      <c r="X3969" s="81" t="e">
        <f>HLOOKUP(Q3969,データについて!$J$11:$M$18,8,FALSE)</f>
        <v>#N/A</v>
      </c>
      <c r="Y3969" s="81" t="e">
        <f>HLOOKUP(R3969,データについて!$J$12:$M$18,7,FALSE)</f>
        <v>#N/A</v>
      </c>
      <c r="Z3969" s="81" t="e">
        <f>HLOOKUP(I3969,データについて!$J$3:$M$18,16,FALSE)</f>
        <v>#N/A</v>
      </c>
      <c r="AA3969" s="81" t="str">
        <f>IFERROR(HLOOKUP(J3969,データについて!$J$4:$AH$19,16,FALSE),"")</f>
        <v/>
      </c>
      <c r="AB3969" s="81" t="str">
        <f>IFERROR(HLOOKUP(K3969,データについて!$J$5:$AH$20,14,FALSE),"")</f>
        <v/>
      </c>
      <c r="AC3969" s="81" t="e">
        <f>IF(X3969=1,HLOOKUP(R3969,データについて!$J$12:$M$18,7,FALSE),"*")</f>
        <v>#N/A</v>
      </c>
      <c r="AD3969" s="81" t="e">
        <f>IF(X3969=2,HLOOKUP(R3969,データについて!$J$12:$M$18,7,FALSE),"*")</f>
        <v>#N/A</v>
      </c>
    </row>
    <row r="3970" spans="19:30">
      <c r="S3970" s="81" t="e">
        <f>HLOOKUP(L3970,データについて!$J$6:$M$18,13,FALSE)</f>
        <v>#N/A</v>
      </c>
      <c r="T3970" s="81" t="e">
        <f>HLOOKUP(M3970,データについて!$J$7:$M$18,12,FALSE)</f>
        <v>#N/A</v>
      </c>
      <c r="U3970" s="81" t="e">
        <f>HLOOKUP(N3970,データについて!$J$8:$M$18,11,FALSE)</f>
        <v>#N/A</v>
      </c>
      <c r="V3970" s="81" t="e">
        <f>HLOOKUP(O3970,データについて!$J$9:$M$18,10,FALSE)</f>
        <v>#N/A</v>
      </c>
      <c r="W3970" s="81" t="e">
        <f>HLOOKUP(P3970,データについて!$J$10:$M$18,9,FALSE)</f>
        <v>#N/A</v>
      </c>
      <c r="X3970" s="81" t="e">
        <f>HLOOKUP(Q3970,データについて!$J$11:$M$18,8,FALSE)</f>
        <v>#N/A</v>
      </c>
      <c r="Y3970" s="81" t="e">
        <f>HLOOKUP(R3970,データについて!$J$12:$M$18,7,FALSE)</f>
        <v>#N/A</v>
      </c>
      <c r="Z3970" s="81" t="e">
        <f>HLOOKUP(I3970,データについて!$J$3:$M$18,16,FALSE)</f>
        <v>#N/A</v>
      </c>
      <c r="AA3970" s="81" t="str">
        <f>IFERROR(HLOOKUP(J3970,データについて!$J$4:$AH$19,16,FALSE),"")</f>
        <v/>
      </c>
      <c r="AB3970" s="81" t="str">
        <f>IFERROR(HLOOKUP(K3970,データについて!$J$5:$AH$20,14,FALSE),"")</f>
        <v/>
      </c>
      <c r="AC3970" s="81" t="e">
        <f>IF(X3970=1,HLOOKUP(R3970,データについて!$J$12:$M$18,7,FALSE),"*")</f>
        <v>#N/A</v>
      </c>
      <c r="AD3970" s="81" t="e">
        <f>IF(X3970=2,HLOOKUP(R3970,データについて!$J$12:$M$18,7,FALSE),"*")</f>
        <v>#N/A</v>
      </c>
    </row>
    <row r="3971" spans="19:30">
      <c r="S3971" s="81" t="e">
        <f>HLOOKUP(L3971,データについて!$J$6:$M$18,13,FALSE)</f>
        <v>#N/A</v>
      </c>
      <c r="T3971" s="81" t="e">
        <f>HLOOKUP(M3971,データについて!$J$7:$M$18,12,FALSE)</f>
        <v>#N/A</v>
      </c>
      <c r="U3971" s="81" t="e">
        <f>HLOOKUP(N3971,データについて!$J$8:$M$18,11,FALSE)</f>
        <v>#N/A</v>
      </c>
      <c r="V3971" s="81" t="e">
        <f>HLOOKUP(O3971,データについて!$J$9:$M$18,10,FALSE)</f>
        <v>#N/A</v>
      </c>
      <c r="W3971" s="81" t="e">
        <f>HLOOKUP(P3971,データについて!$J$10:$M$18,9,FALSE)</f>
        <v>#N/A</v>
      </c>
      <c r="X3971" s="81" t="e">
        <f>HLOOKUP(Q3971,データについて!$J$11:$M$18,8,FALSE)</f>
        <v>#N/A</v>
      </c>
      <c r="Y3971" s="81" t="e">
        <f>HLOOKUP(R3971,データについて!$J$12:$M$18,7,FALSE)</f>
        <v>#N/A</v>
      </c>
      <c r="Z3971" s="81" t="e">
        <f>HLOOKUP(I3971,データについて!$J$3:$M$18,16,FALSE)</f>
        <v>#N/A</v>
      </c>
      <c r="AA3971" s="81" t="str">
        <f>IFERROR(HLOOKUP(J3971,データについて!$J$4:$AH$19,16,FALSE),"")</f>
        <v/>
      </c>
      <c r="AB3971" s="81" t="str">
        <f>IFERROR(HLOOKUP(K3971,データについて!$J$5:$AH$20,14,FALSE),"")</f>
        <v/>
      </c>
      <c r="AC3971" s="81" t="e">
        <f>IF(X3971=1,HLOOKUP(R3971,データについて!$J$12:$M$18,7,FALSE),"*")</f>
        <v>#N/A</v>
      </c>
      <c r="AD3971" s="81" t="e">
        <f>IF(X3971=2,HLOOKUP(R3971,データについて!$J$12:$M$18,7,FALSE),"*")</f>
        <v>#N/A</v>
      </c>
    </row>
    <row r="3972" spans="19:30">
      <c r="S3972" s="81" t="e">
        <f>HLOOKUP(L3972,データについて!$J$6:$M$18,13,FALSE)</f>
        <v>#N/A</v>
      </c>
      <c r="T3972" s="81" t="e">
        <f>HLOOKUP(M3972,データについて!$J$7:$M$18,12,FALSE)</f>
        <v>#N/A</v>
      </c>
      <c r="U3972" s="81" t="e">
        <f>HLOOKUP(N3972,データについて!$J$8:$M$18,11,FALSE)</f>
        <v>#N/A</v>
      </c>
      <c r="V3972" s="81" t="e">
        <f>HLOOKUP(O3972,データについて!$J$9:$M$18,10,FALSE)</f>
        <v>#N/A</v>
      </c>
      <c r="W3972" s="81" t="e">
        <f>HLOOKUP(P3972,データについて!$J$10:$M$18,9,FALSE)</f>
        <v>#N/A</v>
      </c>
      <c r="X3972" s="81" t="e">
        <f>HLOOKUP(Q3972,データについて!$J$11:$M$18,8,FALSE)</f>
        <v>#N/A</v>
      </c>
      <c r="Y3972" s="81" t="e">
        <f>HLOOKUP(R3972,データについて!$J$12:$M$18,7,FALSE)</f>
        <v>#N/A</v>
      </c>
      <c r="Z3972" s="81" t="e">
        <f>HLOOKUP(I3972,データについて!$J$3:$M$18,16,FALSE)</f>
        <v>#N/A</v>
      </c>
      <c r="AA3972" s="81" t="str">
        <f>IFERROR(HLOOKUP(J3972,データについて!$J$4:$AH$19,16,FALSE),"")</f>
        <v/>
      </c>
      <c r="AB3972" s="81" t="str">
        <f>IFERROR(HLOOKUP(K3972,データについて!$J$5:$AH$20,14,FALSE),"")</f>
        <v/>
      </c>
      <c r="AC3972" s="81" t="e">
        <f>IF(X3972=1,HLOOKUP(R3972,データについて!$J$12:$M$18,7,FALSE),"*")</f>
        <v>#N/A</v>
      </c>
      <c r="AD3972" s="81" t="e">
        <f>IF(X3972=2,HLOOKUP(R3972,データについて!$J$12:$M$18,7,FALSE),"*")</f>
        <v>#N/A</v>
      </c>
    </row>
    <row r="3973" spans="19:30">
      <c r="S3973" s="81" t="e">
        <f>HLOOKUP(L3973,データについて!$J$6:$M$18,13,FALSE)</f>
        <v>#N/A</v>
      </c>
      <c r="T3973" s="81" t="e">
        <f>HLOOKUP(M3973,データについて!$J$7:$M$18,12,FALSE)</f>
        <v>#N/A</v>
      </c>
      <c r="U3973" s="81" t="e">
        <f>HLOOKUP(N3973,データについて!$J$8:$M$18,11,FALSE)</f>
        <v>#N/A</v>
      </c>
      <c r="V3973" s="81" t="e">
        <f>HLOOKUP(O3973,データについて!$J$9:$M$18,10,FALSE)</f>
        <v>#N/A</v>
      </c>
      <c r="W3973" s="81" t="e">
        <f>HLOOKUP(P3973,データについて!$J$10:$M$18,9,FALSE)</f>
        <v>#N/A</v>
      </c>
      <c r="X3973" s="81" t="e">
        <f>HLOOKUP(Q3973,データについて!$J$11:$M$18,8,FALSE)</f>
        <v>#N/A</v>
      </c>
      <c r="Y3973" s="81" t="e">
        <f>HLOOKUP(R3973,データについて!$J$12:$M$18,7,FALSE)</f>
        <v>#N/A</v>
      </c>
      <c r="Z3973" s="81" t="e">
        <f>HLOOKUP(I3973,データについて!$J$3:$M$18,16,FALSE)</f>
        <v>#N/A</v>
      </c>
      <c r="AA3973" s="81" t="str">
        <f>IFERROR(HLOOKUP(J3973,データについて!$J$4:$AH$19,16,FALSE),"")</f>
        <v/>
      </c>
      <c r="AB3973" s="81" t="str">
        <f>IFERROR(HLOOKUP(K3973,データについて!$J$5:$AH$20,14,FALSE),"")</f>
        <v/>
      </c>
      <c r="AC3973" s="81" t="e">
        <f>IF(X3973=1,HLOOKUP(R3973,データについて!$J$12:$M$18,7,FALSE),"*")</f>
        <v>#N/A</v>
      </c>
      <c r="AD3973" s="81" t="e">
        <f>IF(X3973=2,HLOOKUP(R3973,データについて!$J$12:$M$18,7,FALSE),"*")</f>
        <v>#N/A</v>
      </c>
    </row>
    <row r="3974" spans="19:30">
      <c r="S3974" s="81" t="e">
        <f>HLOOKUP(L3974,データについて!$J$6:$M$18,13,FALSE)</f>
        <v>#N/A</v>
      </c>
      <c r="T3974" s="81" t="e">
        <f>HLOOKUP(M3974,データについて!$J$7:$M$18,12,FALSE)</f>
        <v>#N/A</v>
      </c>
      <c r="U3974" s="81" t="e">
        <f>HLOOKUP(N3974,データについて!$J$8:$M$18,11,FALSE)</f>
        <v>#N/A</v>
      </c>
      <c r="V3974" s="81" t="e">
        <f>HLOOKUP(O3974,データについて!$J$9:$M$18,10,FALSE)</f>
        <v>#N/A</v>
      </c>
      <c r="W3974" s="81" t="e">
        <f>HLOOKUP(P3974,データについて!$J$10:$M$18,9,FALSE)</f>
        <v>#N/A</v>
      </c>
      <c r="X3974" s="81" t="e">
        <f>HLOOKUP(Q3974,データについて!$J$11:$M$18,8,FALSE)</f>
        <v>#N/A</v>
      </c>
      <c r="Y3974" s="81" t="e">
        <f>HLOOKUP(R3974,データについて!$J$12:$M$18,7,FALSE)</f>
        <v>#N/A</v>
      </c>
      <c r="Z3974" s="81" t="e">
        <f>HLOOKUP(I3974,データについて!$J$3:$M$18,16,FALSE)</f>
        <v>#N/A</v>
      </c>
      <c r="AA3974" s="81" t="str">
        <f>IFERROR(HLOOKUP(J3974,データについて!$J$4:$AH$19,16,FALSE),"")</f>
        <v/>
      </c>
      <c r="AB3974" s="81" t="str">
        <f>IFERROR(HLOOKUP(K3974,データについて!$J$5:$AH$20,14,FALSE),"")</f>
        <v/>
      </c>
      <c r="AC3974" s="81" t="e">
        <f>IF(X3974=1,HLOOKUP(R3974,データについて!$J$12:$M$18,7,FALSE),"*")</f>
        <v>#N/A</v>
      </c>
      <c r="AD3974" s="81" t="e">
        <f>IF(X3974=2,HLOOKUP(R3974,データについて!$J$12:$M$18,7,FALSE),"*")</f>
        <v>#N/A</v>
      </c>
    </row>
    <row r="3975" spans="19:30">
      <c r="S3975" s="81" t="e">
        <f>HLOOKUP(L3975,データについて!$J$6:$M$18,13,FALSE)</f>
        <v>#N/A</v>
      </c>
      <c r="T3975" s="81" t="e">
        <f>HLOOKUP(M3975,データについて!$J$7:$M$18,12,FALSE)</f>
        <v>#N/A</v>
      </c>
      <c r="U3975" s="81" t="e">
        <f>HLOOKUP(N3975,データについて!$J$8:$M$18,11,FALSE)</f>
        <v>#N/A</v>
      </c>
      <c r="V3975" s="81" t="e">
        <f>HLOOKUP(O3975,データについて!$J$9:$M$18,10,FALSE)</f>
        <v>#N/A</v>
      </c>
      <c r="W3975" s="81" t="e">
        <f>HLOOKUP(P3975,データについて!$J$10:$M$18,9,FALSE)</f>
        <v>#N/A</v>
      </c>
      <c r="X3975" s="81" t="e">
        <f>HLOOKUP(Q3975,データについて!$J$11:$M$18,8,FALSE)</f>
        <v>#N/A</v>
      </c>
      <c r="Y3975" s="81" t="e">
        <f>HLOOKUP(R3975,データについて!$J$12:$M$18,7,FALSE)</f>
        <v>#N/A</v>
      </c>
      <c r="Z3975" s="81" t="e">
        <f>HLOOKUP(I3975,データについて!$J$3:$M$18,16,FALSE)</f>
        <v>#N/A</v>
      </c>
      <c r="AA3975" s="81" t="str">
        <f>IFERROR(HLOOKUP(J3975,データについて!$J$4:$AH$19,16,FALSE),"")</f>
        <v/>
      </c>
      <c r="AB3975" s="81" t="str">
        <f>IFERROR(HLOOKUP(K3975,データについて!$J$5:$AH$20,14,FALSE),"")</f>
        <v/>
      </c>
      <c r="AC3975" s="81" t="e">
        <f>IF(X3975=1,HLOOKUP(R3975,データについて!$J$12:$M$18,7,FALSE),"*")</f>
        <v>#N/A</v>
      </c>
      <c r="AD3975" s="81" t="e">
        <f>IF(X3975=2,HLOOKUP(R3975,データについて!$J$12:$M$18,7,FALSE),"*")</f>
        <v>#N/A</v>
      </c>
    </row>
    <row r="3976" spans="19:30">
      <c r="S3976" s="81" t="e">
        <f>HLOOKUP(L3976,データについて!$J$6:$M$18,13,FALSE)</f>
        <v>#N/A</v>
      </c>
      <c r="T3976" s="81" t="e">
        <f>HLOOKUP(M3976,データについて!$J$7:$M$18,12,FALSE)</f>
        <v>#N/A</v>
      </c>
      <c r="U3976" s="81" t="e">
        <f>HLOOKUP(N3976,データについて!$J$8:$M$18,11,FALSE)</f>
        <v>#N/A</v>
      </c>
      <c r="V3976" s="81" t="e">
        <f>HLOOKUP(O3976,データについて!$J$9:$M$18,10,FALSE)</f>
        <v>#N/A</v>
      </c>
      <c r="W3976" s="81" t="e">
        <f>HLOOKUP(P3976,データについて!$J$10:$M$18,9,FALSE)</f>
        <v>#N/A</v>
      </c>
      <c r="X3976" s="81" t="e">
        <f>HLOOKUP(Q3976,データについて!$J$11:$M$18,8,FALSE)</f>
        <v>#N/A</v>
      </c>
      <c r="Y3976" s="81" t="e">
        <f>HLOOKUP(R3976,データについて!$J$12:$M$18,7,FALSE)</f>
        <v>#N/A</v>
      </c>
      <c r="Z3976" s="81" t="e">
        <f>HLOOKUP(I3976,データについて!$J$3:$M$18,16,FALSE)</f>
        <v>#N/A</v>
      </c>
      <c r="AA3976" s="81" t="str">
        <f>IFERROR(HLOOKUP(J3976,データについて!$J$4:$AH$19,16,FALSE),"")</f>
        <v/>
      </c>
      <c r="AB3976" s="81" t="str">
        <f>IFERROR(HLOOKUP(K3976,データについて!$J$5:$AH$20,14,FALSE),"")</f>
        <v/>
      </c>
      <c r="AC3976" s="81" t="e">
        <f>IF(X3976=1,HLOOKUP(R3976,データについて!$J$12:$M$18,7,FALSE),"*")</f>
        <v>#N/A</v>
      </c>
      <c r="AD3976" s="81" t="e">
        <f>IF(X3976=2,HLOOKUP(R3976,データについて!$J$12:$M$18,7,FALSE),"*")</f>
        <v>#N/A</v>
      </c>
    </row>
    <row r="3977" spans="19:30">
      <c r="S3977" s="81" t="e">
        <f>HLOOKUP(L3977,データについて!$J$6:$M$18,13,FALSE)</f>
        <v>#N/A</v>
      </c>
      <c r="T3977" s="81" t="e">
        <f>HLOOKUP(M3977,データについて!$J$7:$M$18,12,FALSE)</f>
        <v>#N/A</v>
      </c>
      <c r="U3977" s="81" t="e">
        <f>HLOOKUP(N3977,データについて!$J$8:$M$18,11,FALSE)</f>
        <v>#N/A</v>
      </c>
      <c r="V3977" s="81" t="e">
        <f>HLOOKUP(O3977,データについて!$J$9:$M$18,10,FALSE)</f>
        <v>#N/A</v>
      </c>
      <c r="W3977" s="81" t="e">
        <f>HLOOKUP(P3977,データについて!$J$10:$M$18,9,FALSE)</f>
        <v>#N/A</v>
      </c>
      <c r="X3977" s="81" t="e">
        <f>HLOOKUP(Q3977,データについて!$J$11:$M$18,8,FALSE)</f>
        <v>#N/A</v>
      </c>
      <c r="Y3977" s="81" t="e">
        <f>HLOOKUP(R3977,データについて!$J$12:$M$18,7,FALSE)</f>
        <v>#N/A</v>
      </c>
      <c r="Z3977" s="81" t="e">
        <f>HLOOKUP(I3977,データについて!$J$3:$M$18,16,FALSE)</f>
        <v>#N/A</v>
      </c>
      <c r="AA3977" s="81" t="str">
        <f>IFERROR(HLOOKUP(J3977,データについて!$J$4:$AH$19,16,FALSE),"")</f>
        <v/>
      </c>
      <c r="AB3977" s="81" t="str">
        <f>IFERROR(HLOOKUP(K3977,データについて!$J$5:$AH$20,14,FALSE),"")</f>
        <v/>
      </c>
      <c r="AC3977" s="81" t="e">
        <f>IF(X3977=1,HLOOKUP(R3977,データについて!$J$12:$M$18,7,FALSE),"*")</f>
        <v>#N/A</v>
      </c>
      <c r="AD3977" s="81" t="e">
        <f>IF(X3977=2,HLOOKUP(R3977,データについて!$J$12:$M$18,7,FALSE),"*")</f>
        <v>#N/A</v>
      </c>
    </row>
    <row r="3978" spans="19:30">
      <c r="S3978" s="81" t="e">
        <f>HLOOKUP(L3978,データについて!$J$6:$M$18,13,FALSE)</f>
        <v>#N/A</v>
      </c>
      <c r="T3978" s="81" t="e">
        <f>HLOOKUP(M3978,データについて!$J$7:$M$18,12,FALSE)</f>
        <v>#N/A</v>
      </c>
      <c r="U3978" s="81" t="e">
        <f>HLOOKUP(N3978,データについて!$J$8:$M$18,11,FALSE)</f>
        <v>#N/A</v>
      </c>
      <c r="V3978" s="81" t="e">
        <f>HLOOKUP(O3978,データについて!$J$9:$M$18,10,FALSE)</f>
        <v>#N/A</v>
      </c>
      <c r="W3978" s="81" t="e">
        <f>HLOOKUP(P3978,データについて!$J$10:$M$18,9,FALSE)</f>
        <v>#N/A</v>
      </c>
      <c r="X3978" s="81" t="e">
        <f>HLOOKUP(Q3978,データについて!$J$11:$M$18,8,FALSE)</f>
        <v>#N/A</v>
      </c>
      <c r="Y3978" s="81" t="e">
        <f>HLOOKUP(R3978,データについて!$J$12:$M$18,7,FALSE)</f>
        <v>#N/A</v>
      </c>
      <c r="Z3978" s="81" t="e">
        <f>HLOOKUP(I3978,データについて!$J$3:$M$18,16,FALSE)</f>
        <v>#N/A</v>
      </c>
      <c r="AA3978" s="81" t="str">
        <f>IFERROR(HLOOKUP(J3978,データについて!$J$4:$AH$19,16,FALSE),"")</f>
        <v/>
      </c>
      <c r="AB3978" s="81" t="str">
        <f>IFERROR(HLOOKUP(K3978,データについて!$J$5:$AH$20,14,FALSE),"")</f>
        <v/>
      </c>
      <c r="AC3978" s="81" t="e">
        <f>IF(X3978=1,HLOOKUP(R3978,データについて!$J$12:$M$18,7,FALSE),"*")</f>
        <v>#N/A</v>
      </c>
      <c r="AD3978" s="81" t="e">
        <f>IF(X3978=2,HLOOKUP(R3978,データについて!$J$12:$M$18,7,FALSE),"*")</f>
        <v>#N/A</v>
      </c>
    </row>
    <row r="3979" spans="19:30">
      <c r="S3979" s="81" t="e">
        <f>HLOOKUP(L3979,データについて!$J$6:$M$18,13,FALSE)</f>
        <v>#N/A</v>
      </c>
      <c r="T3979" s="81" t="e">
        <f>HLOOKUP(M3979,データについて!$J$7:$M$18,12,FALSE)</f>
        <v>#N/A</v>
      </c>
      <c r="U3979" s="81" t="e">
        <f>HLOOKUP(N3979,データについて!$J$8:$M$18,11,FALSE)</f>
        <v>#N/A</v>
      </c>
      <c r="V3979" s="81" t="e">
        <f>HLOOKUP(O3979,データについて!$J$9:$M$18,10,FALSE)</f>
        <v>#N/A</v>
      </c>
      <c r="W3979" s="81" t="e">
        <f>HLOOKUP(P3979,データについて!$J$10:$M$18,9,FALSE)</f>
        <v>#N/A</v>
      </c>
      <c r="X3979" s="81" t="e">
        <f>HLOOKUP(Q3979,データについて!$J$11:$M$18,8,FALSE)</f>
        <v>#N/A</v>
      </c>
      <c r="Y3979" s="81" t="e">
        <f>HLOOKUP(R3979,データについて!$J$12:$M$18,7,FALSE)</f>
        <v>#N/A</v>
      </c>
      <c r="Z3979" s="81" t="e">
        <f>HLOOKUP(I3979,データについて!$J$3:$M$18,16,FALSE)</f>
        <v>#N/A</v>
      </c>
      <c r="AA3979" s="81" t="str">
        <f>IFERROR(HLOOKUP(J3979,データについて!$J$4:$AH$19,16,FALSE),"")</f>
        <v/>
      </c>
      <c r="AB3979" s="81" t="str">
        <f>IFERROR(HLOOKUP(K3979,データについて!$J$5:$AH$20,14,FALSE),"")</f>
        <v/>
      </c>
      <c r="AC3979" s="81" t="e">
        <f>IF(X3979=1,HLOOKUP(R3979,データについて!$J$12:$M$18,7,FALSE),"*")</f>
        <v>#N/A</v>
      </c>
      <c r="AD3979" s="81" t="e">
        <f>IF(X3979=2,HLOOKUP(R3979,データについて!$J$12:$M$18,7,FALSE),"*")</f>
        <v>#N/A</v>
      </c>
    </row>
    <row r="3980" spans="19:30">
      <c r="S3980" s="81" t="e">
        <f>HLOOKUP(L3980,データについて!$J$6:$M$18,13,FALSE)</f>
        <v>#N/A</v>
      </c>
      <c r="T3980" s="81" t="e">
        <f>HLOOKUP(M3980,データについて!$J$7:$M$18,12,FALSE)</f>
        <v>#N/A</v>
      </c>
      <c r="U3980" s="81" t="e">
        <f>HLOOKUP(N3980,データについて!$J$8:$M$18,11,FALSE)</f>
        <v>#N/A</v>
      </c>
      <c r="V3980" s="81" t="e">
        <f>HLOOKUP(O3980,データについて!$J$9:$M$18,10,FALSE)</f>
        <v>#N/A</v>
      </c>
      <c r="W3980" s="81" t="e">
        <f>HLOOKUP(P3980,データについて!$J$10:$M$18,9,FALSE)</f>
        <v>#N/A</v>
      </c>
      <c r="X3980" s="81" t="e">
        <f>HLOOKUP(Q3980,データについて!$J$11:$M$18,8,FALSE)</f>
        <v>#N/A</v>
      </c>
      <c r="Y3980" s="81" t="e">
        <f>HLOOKUP(R3980,データについて!$J$12:$M$18,7,FALSE)</f>
        <v>#N/A</v>
      </c>
      <c r="Z3980" s="81" t="e">
        <f>HLOOKUP(I3980,データについて!$J$3:$M$18,16,FALSE)</f>
        <v>#N/A</v>
      </c>
      <c r="AA3980" s="81" t="str">
        <f>IFERROR(HLOOKUP(J3980,データについて!$J$4:$AH$19,16,FALSE),"")</f>
        <v/>
      </c>
      <c r="AB3980" s="81" t="str">
        <f>IFERROR(HLOOKUP(K3980,データについて!$J$5:$AH$20,14,FALSE),"")</f>
        <v/>
      </c>
      <c r="AC3980" s="81" t="e">
        <f>IF(X3980=1,HLOOKUP(R3980,データについて!$J$12:$M$18,7,FALSE),"*")</f>
        <v>#N/A</v>
      </c>
      <c r="AD3980" s="81" t="e">
        <f>IF(X3980=2,HLOOKUP(R3980,データについて!$J$12:$M$18,7,FALSE),"*")</f>
        <v>#N/A</v>
      </c>
    </row>
    <row r="3981" spans="19:30">
      <c r="S3981" s="81" t="e">
        <f>HLOOKUP(L3981,データについて!$J$6:$M$18,13,FALSE)</f>
        <v>#N/A</v>
      </c>
      <c r="T3981" s="81" t="e">
        <f>HLOOKUP(M3981,データについて!$J$7:$M$18,12,FALSE)</f>
        <v>#N/A</v>
      </c>
      <c r="U3981" s="81" t="e">
        <f>HLOOKUP(N3981,データについて!$J$8:$M$18,11,FALSE)</f>
        <v>#N/A</v>
      </c>
      <c r="V3981" s="81" t="e">
        <f>HLOOKUP(O3981,データについて!$J$9:$M$18,10,FALSE)</f>
        <v>#N/A</v>
      </c>
      <c r="W3981" s="81" t="e">
        <f>HLOOKUP(P3981,データについて!$J$10:$M$18,9,FALSE)</f>
        <v>#N/A</v>
      </c>
      <c r="X3981" s="81" t="e">
        <f>HLOOKUP(Q3981,データについて!$J$11:$M$18,8,FALSE)</f>
        <v>#N/A</v>
      </c>
      <c r="Y3981" s="81" t="e">
        <f>HLOOKUP(R3981,データについて!$J$12:$M$18,7,FALSE)</f>
        <v>#N/A</v>
      </c>
      <c r="Z3981" s="81" t="e">
        <f>HLOOKUP(I3981,データについて!$J$3:$M$18,16,FALSE)</f>
        <v>#N/A</v>
      </c>
      <c r="AA3981" s="81" t="str">
        <f>IFERROR(HLOOKUP(J3981,データについて!$J$4:$AH$19,16,FALSE),"")</f>
        <v/>
      </c>
      <c r="AB3981" s="81" t="str">
        <f>IFERROR(HLOOKUP(K3981,データについて!$J$5:$AH$20,14,FALSE),"")</f>
        <v/>
      </c>
      <c r="AC3981" s="81" t="e">
        <f>IF(X3981=1,HLOOKUP(R3981,データについて!$J$12:$M$18,7,FALSE),"*")</f>
        <v>#N/A</v>
      </c>
      <c r="AD3981" s="81" t="e">
        <f>IF(X3981=2,HLOOKUP(R3981,データについて!$J$12:$M$18,7,FALSE),"*")</f>
        <v>#N/A</v>
      </c>
    </row>
    <row r="3982" spans="19:30">
      <c r="S3982" s="81" t="e">
        <f>HLOOKUP(L3982,データについて!$J$6:$M$18,13,FALSE)</f>
        <v>#N/A</v>
      </c>
      <c r="T3982" s="81" t="e">
        <f>HLOOKUP(M3982,データについて!$J$7:$M$18,12,FALSE)</f>
        <v>#N/A</v>
      </c>
      <c r="U3982" s="81" t="e">
        <f>HLOOKUP(N3982,データについて!$J$8:$M$18,11,FALSE)</f>
        <v>#N/A</v>
      </c>
      <c r="V3982" s="81" t="e">
        <f>HLOOKUP(O3982,データについて!$J$9:$M$18,10,FALSE)</f>
        <v>#N/A</v>
      </c>
      <c r="W3982" s="81" t="e">
        <f>HLOOKUP(P3982,データについて!$J$10:$M$18,9,FALSE)</f>
        <v>#N/A</v>
      </c>
      <c r="X3982" s="81" t="e">
        <f>HLOOKUP(Q3982,データについて!$J$11:$M$18,8,FALSE)</f>
        <v>#N/A</v>
      </c>
      <c r="Y3982" s="81" t="e">
        <f>HLOOKUP(R3982,データについて!$J$12:$M$18,7,FALSE)</f>
        <v>#N/A</v>
      </c>
      <c r="Z3982" s="81" t="e">
        <f>HLOOKUP(I3982,データについて!$J$3:$M$18,16,FALSE)</f>
        <v>#N/A</v>
      </c>
      <c r="AA3982" s="81" t="str">
        <f>IFERROR(HLOOKUP(J3982,データについて!$J$4:$AH$19,16,FALSE),"")</f>
        <v/>
      </c>
      <c r="AB3982" s="81" t="str">
        <f>IFERROR(HLOOKUP(K3982,データについて!$J$5:$AH$20,14,FALSE),"")</f>
        <v/>
      </c>
      <c r="AC3982" s="81" t="e">
        <f>IF(X3982=1,HLOOKUP(R3982,データについて!$J$12:$M$18,7,FALSE),"*")</f>
        <v>#N/A</v>
      </c>
      <c r="AD3982" s="81" t="e">
        <f>IF(X3982=2,HLOOKUP(R3982,データについて!$J$12:$M$18,7,FALSE),"*")</f>
        <v>#N/A</v>
      </c>
    </row>
    <row r="3983" spans="19:30">
      <c r="S3983" s="81" t="e">
        <f>HLOOKUP(L3983,データについて!$J$6:$M$18,13,FALSE)</f>
        <v>#N/A</v>
      </c>
      <c r="T3983" s="81" t="e">
        <f>HLOOKUP(M3983,データについて!$J$7:$M$18,12,FALSE)</f>
        <v>#N/A</v>
      </c>
      <c r="U3983" s="81" t="e">
        <f>HLOOKUP(N3983,データについて!$J$8:$M$18,11,FALSE)</f>
        <v>#N/A</v>
      </c>
      <c r="V3983" s="81" t="e">
        <f>HLOOKUP(O3983,データについて!$J$9:$M$18,10,FALSE)</f>
        <v>#N/A</v>
      </c>
      <c r="W3983" s="81" t="e">
        <f>HLOOKUP(P3983,データについて!$J$10:$M$18,9,FALSE)</f>
        <v>#N/A</v>
      </c>
      <c r="X3983" s="81" t="e">
        <f>HLOOKUP(Q3983,データについて!$J$11:$M$18,8,FALSE)</f>
        <v>#N/A</v>
      </c>
      <c r="Y3983" s="81" t="e">
        <f>HLOOKUP(R3983,データについて!$J$12:$M$18,7,FALSE)</f>
        <v>#N/A</v>
      </c>
      <c r="Z3983" s="81" t="e">
        <f>HLOOKUP(I3983,データについて!$J$3:$M$18,16,FALSE)</f>
        <v>#N/A</v>
      </c>
      <c r="AA3983" s="81" t="str">
        <f>IFERROR(HLOOKUP(J3983,データについて!$J$4:$AH$19,16,FALSE),"")</f>
        <v/>
      </c>
      <c r="AB3983" s="81" t="str">
        <f>IFERROR(HLOOKUP(K3983,データについて!$J$5:$AH$20,14,FALSE),"")</f>
        <v/>
      </c>
      <c r="AC3983" s="81" t="e">
        <f>IF(X3983=1,HLOOKUP(R3983,データについて!$J$12:$M$18,7,FALSE),"*")</f>
        <v>#N/A</v>
      </c>
      <c r="AD3983" s="81" t="e">
        <f>IF(X3983=2,HLOOKUP(R3983,データについて!$J$12:$M$18,7,FALSE),"*")</f>
        <v>#N/A</v>
      </c>
    </row>
    <row r="3984" spans="19:30">
      <c r="S3984" s="81" t="e">
        <f>HLOOKUP(L3984,データについて!$J$6:$M$18,13,FALSE)</f>
        <v>#N/A</v>
      </c>
      <c r="T3984" s="81" t="e">
        <f>HLOOKUP(M3984,データについて!$J$7:$M$18,12,FALSE)</f>
        <v>#N/A</v>
      </c>
      <c r="U3984" s="81" t="e">
        <f>HLOOKUP(N3984,データについて!$J$8:$M$18,11,FALSE)</f>
        <v>#N/A</v>
      </c>
      <c r="V3984" s="81" t="e">
        <f>HLOOKUP(O3984,データについて!$J$9:$M$18,10,FALSE)</f>
        <v>#N/A</v>
      </c>
      <c r="W3984" s="81" t="e">
        <f>HLOOKUP(P3984,データについて!$J$10:$M$18,9,FALSE)</f>
        <v>#N/A</v>
      </c>
      <c r="X3984" s="81" t="e">
        <f>HLOOKUP(Q3984,データについて!$J$11:$M$18,8,FALSE)</f>
        <v>#N/A</v>
      </c>
      <c r="Y3984" s="81" t="e">
        <f>HLOOKUP(R3984,データについて!$J$12:$M$18,7,FALSE)</f>
        <v>#N/A</v>
      </c>
      <c r="Z3984" s="81" t="e">
        <f>HLOOKUP(I3984,データについて!$J$3:$M$18,16,FALSE)</f>
        <v>#N/A</v>
      </c>
      <c r="AA3984" s="81" t="str">
        <f>IFERROR(HLOOKUP(J3984,データについて!$J$4:$AH$19,16,FALSE),"")</f>
        <v/>
      </c>
      <c r="AB3984" s="81" t="str">
        <f>IFERROR(HLOOKUP(K3984,データについて!$J$5:$AH$20,14,FALSE),"")</f>
        <v/>
      </c>
      <c r="AC3984" s="81" t="e">
        <f>IF(X3984=1,HLOOKUP(R3984,データについて!$J$12:$M$18,7,FALSE),"*")</f>
        <v>#N/A</v>
      </c>
      <c r="AD3984" s="81" t="e">
        <f>IF(X3984=2,HLOOKUP(R3984,データについて!$J$12:$M$18,7,FALSE),"*")</f>
        <v>#N/A</v>
      </c>
    </row>
    <row r="3985" spans="19:30">
      <c r="S3985" s="81" t="e">
        <f>HLOOKUP(L3985,データについて!$J$6:$M$18,13,FALSE)</f>
        <v>#N/A</v>
      </c>
      <c r="T3985" s="81" t="e">
        <f>HLOOKUP(M3985,データについて!$J$7:$M$18,12,FALSE)</f>
        <v>#N/A</v>
      </c>
      <c r="U3985" s="81" t="e">
        <f>HLOOKUP(N3985,データについて!$J$8:$M$18,11,FALSE)</f>
        <v>#N/A</v>
      </c>
      <c r="V3985" s="81" t="e">
        <f>HLOOKUP(O3985,データについて!$J$9:$M$18,10,FALSE)</f>
        <v>#N/A</v>
      </c>
      <c r="W3985" s="81" t="e">
        <f>HLOOKUP(P3985,データについて!$J$10:$M$18,9,FALSE)</f>
        <v>#N/A</v>
      </c>
      <c r="X3985" s="81" t="e">
        <f>HLOOKUP(Q3985,データについて!$J$11:$M$18,8,FALSE)</f>
        <v>#N/A</v>
      </c>
      <c r="Y3985" s="81" t="e">
        <f>HLOOKUP(R3985,データについて!$J$12:$M$18,7,FALSE)</f>
        <v>#N/A</v>
      </c>
      <c r="Z3985" s="81" t="e">
        <f>HLOOKUP(I3985,データについて!$J$3:$M$18,16,FALSE)</f>
        <v>#N/A</v>
      </c>
      <c r="AA3985" s="81" t="str">
        <f>IFERROR(HLOOKUP(J3985,データについて!$J$4:$AH$19,16,FALSE),"")</f>
        <v/>
      </c>
      <c r="AB3985" s="81" t="str">
        <f>IFERROR(HLOOKUP(K3985,データについて!$J$5:$AH$20,14,FALSE),"")</f>
        <v/>
      </c>
      <c r="AC3985" s="81" t="e">
        <f>IF(X3985=1,HLOOKUP(R3985,データについて!$J$12:$M$18,7,FALSE),"*")</f>
        <v>#N/A</v>
      </c>
      <c r="AD3985" s="81" t="e">
        <f>IF(X3985=2,HLOOKUP(R3985,データについて!$J$12:$M$18,7,FALSE),"*")</f>
        <v>#N/A</v>
      </c>
    </row>
    <row r="3986" spans="19:30">
      <c r="S3986" s="81" t="e">
        <f>HLOOKUP(L3986,データについて!$J$6:$M$18,13,FALSE)</f>
        <v>#N/A</v>
      </c>
      <c r="T3986" s="81" t="e">
        <f>HLOOKUP(M3986,データについて!$J$7:$M$18,12,FALSE)</f>
        <v>#N/A</v>
      </c>
      <c r="U3986" s="81" t="e">
        <f>HLOOKUP(N3986,データについて!$J$8:$M$18,11,FALSE)</f>
        <v>#N/A</v>
      </c>
      <c r="V3986" s="81" t="e">
        <f>HLOOKUP(O3986,データについて!$J$9:$M$18,10,FALSE)</f>
        <v>#N/A</v>
      </c>
      <c r="W3986" s="81" t="e">
        <f>HLOOKUP(P3986,データについて!$J$10:$M$18,9,FALSE)</f>
        <v>#N/A</v>
      </c>
      <c r="X3986" s="81" t="e">
        <f>HLOOKUP(Q3986,データについて!$J$11:$M$18,8,FALSE)</f>
        <v>#N/A</v>
      </c>
      <c r="Y3986" s="81" t="e">
        <f>HLOOKUP(R3986,データについて!$J$12:$M$18,7,FALSE)</f>
        <v>#N/A</v>
      </c>
      <c r="Z3986" s="81" t="e">
        <f>HLOOKUP(I3986,データについて!$J$3:$M$18,16,FALSE)</f>
        <v>#N/A</v>
      </c>
      <c r="AA3986" s="81" t="str">
        <f>IFERROR(HLOOKUP(J3986,データについて!$J$4:$AH$19,16,FALSE),"")</f>
        <v/>
      </c>
      <c r="AB3986" s="81" t="str">
        <f>IFERROR(HLOOKUP(K3986,データについて!$J$5:$AH$20,14,FALSE),"")</f>
        <v/>
      </c>
      <c r="AC3986" s="81" t="e">
        <f>IF(X3986=1,HLOOKUP(R3986,データについて!$J$12:$M$18,7,FALSE),"*")</f>
        <v>#N/A</v>
      </c>
      <c r="AD3986" s="81" t="e">
        <f>IF(X3986=2,HLOOKUP(R3986,データについて!$J$12:$M$18,7,FALSE),"*")</f>
        <v>#N/A</v>
      </c>
    </row>
    <row r="3987" spans="19:30">
      <c r="S3987" s="81" t="e">
        <f>HLOOKUP(L3987,データについて!$J$6:$M$18,13,FALSE)</f>
        <v>#N/A</v>
      </c>
      <c r="T3987" s="81" t="e">
        <f>HLOOKUP(M3987,データについて!$J$7:$M$18,12,FALSE)</f>
        <v>#N/A</v>
      </c>
      <c r="U3987" s="81" t="e">
        <f>HLOOKUP(N3987,データについて!$J$8:$M$18,11,FALSE)</f>
        <v>#N/A</v>
      </c>
      <c r="V3987" s="81" t="e">
        <f>HLOOKUP(O3987,データについて!$J$9:$M$18,10,FALSE)</f>
        <v>#N/A</v>
      </c>
      <c r="W3987" s="81" t="e">
        <f>HLOOKUP(P3987,データについて!$J$10:$M$18,9,FALSE)</f>
        <v>#N/A</v>
      </c>
      <c r="X3987" s="81" t="e">
        <f>HLOOKUP(Q3987,データについて!$J$11:$M$18,8,FALSE)</f>
        <v>#N/A</v>
      </c>
      <c r="Y3987" s="81" t="e">
        <f>HLOOKUP(R3987,データについて!$J$12:$M$18,7,FALSE)</f>
        <v>#N/A</v>
      </c>
      <c r="Z3987" s="81" t="e">
        <f>HLOOKUP(I3987,データについて!$J$3:$M$18,16,FALSE)</f>
        <v>#N/A</v>
      </c>
      <c r="AA3987" s="81" t="str">
        <f>IFERROR(HLOOKUP(J3987,データについて!$J$4:$AH$19,16,FALSE),"")</f>
        <v/>
      </c>
      <c r="AB3987" s="81" t="str">
        <f>IFERROR(HLOOKUP(K3987,データについて!$J$5:$AH$20,14,FALSE),"")</f>
        <v/>
      </c>
      <c r="AC3987" s="81" t="e">
        <f>IF(X3987=1,HLOOKUP(R3987,データについて!$J$12:$M$18,7,FALSE),"*")</f>
        <v>#N/A</v>
      </c>
      <c r="AD3987" s="81" t="e">
        <f>IF(X3987=2,HLOOKUP(R3987,データについて!$J$12:$M$18,7,FALSE),"*")</f>
        <v>#N/A</v>
      </c>
    </row>
    <row r="3988" spans="19:30">
      <c r="S3988" s="81" t="e">
        <f>HLOOKUP(L3988,データについて!$J$6:$M$18,13,FALSE)</f>
        <v>#N/A</v>
      </c>
      <c r="T3988" s="81" t="e">
        <f>HLOOKUP(M3988,データについて!$J$7:$M$18,12,FALSE)</f>
        <v>#N/A</v>
      </c>
      <c r="U3988" s="81" t="e">
        <f>HLOOKUP(N3988,データについて!$J$8:$M$18,11,FALSE)</f>
        <v>#N/A</v>
      </c>
      <c r="V3988" s="81" t="e">
        <f>HLOOKUP(O3988,データについて!$J$9:$M$18,10,FALSE)</f>
        <v>#N/A</v>
      </c>
      <c r="W3988" s="81" t="e">
        <f>HLOOKUP(P3988,データについて!$J$10:$M$18,9,FALSE)</f>
        <v>#N/A</v>
      </c>
      <c r="X3988" s="81" t="e">
        <f>HLOOKUP(Q3988,データについて!$J$11:$M$18,8,FALSE)</f>
        <v>#N/A</v>
      </c>
      <c r="Y3988" s="81" t="e">
        <f>HLOOKUP(R3988,データについて!$J$12:$M$18,7,FALSE)</f>
        <v>#N/A</v>
      </c>
      <c r="Z3988" s="81" t="e">
        <f>HLOOKUP(I3988,データについて!$J$3:$M$18,16,FALSE)</f>
        <v>#N/A</v>
      </c>
      <c r="AA3988" s="81" t="str">
        <f>IFERROR(HLOOKUP(J3988,データについて!$J$4:$AH$19,16,FALSE),"")</f>
        <v/>
      </c>
      <c r="AB3988" s="81" t="str">
        <f>IFERROR(HLOOKUP(K3988,データについて!$J$5:$AH$20,14,FALSE),"")</f>
        <v/>
      </c>
      <c r="AC3988" s="81" t="e">
        <f>IF(X3988=1,HLOOKUP(R3988,データについて!$J$12:$M$18,7,FALSE),"*")</f>
        <v>#N/A</v>
      </c>
      <c r="AD3988" s="81" t="e">
        <f>IF(X3988=2,HLOOKUP(R3988,データについて!$J$12:$M$18,7,FALSE),"*")</f>
        <v>#N/A</v>
      </c>
    </row>
    <row r="3989" spans="19:30">
      <c r="S3989" s="81" t="e">
        <f>HLOOKUP(L3989,データについて!$J$6:$M$18,13,FALSE)</f>
        <v>#N/A</v>
      </c>
      <c r="T3989" s="81" t="e">
        <f>HLOOKUP(M3989,データについて!$J$7:$M$18,12,FALSE)</f>
        <v>#N/A</v>
      </c>
      <c r="U3989" s="81" t="e">
        <f>HLOOKUP(N3989,データについて!$J$8:$M$18,11,FALSE)</f>
        <v>#N/A</v>
      </c>
      <c r="V3989" s="81" t="e">
        <f>HLOOKUP(O3989,データについて!$J$9:$M$18,10,FALSE)</f>
        <v>#N/A</v>
      </c>
      <c r="W3989" s="81" t="e">
        <f>HLOOKUP(P3989,データについて!$J$10:$M$18,9,FALSE)</f>
        <v>#N/A</v>
      </c>
      <c r="X3989" s="81" t="e">
        <f>HLOOKUP(Q3989,データについて!$J$11:$M$18,8,FALSE)</f>
        <v>#N/A</v>
      </c>
      <c r="Y3989" s="81" t="e">
        <f>HLOOKUP(R3989,データについて!$J$12:$M$18,7,FALSE)</f>
        <v>#N/A</v>
      </c>
      <c r="Z3989" s="81" t="e">
        <f>HLOOKUP(I3989,データについて!$J$3:$M$18,16,FALSE)</f>
        <v>#N/A</v>
      </c>
      <c r="AA3989" s="81" t="str">
        <f>IFERROR(HLOOKUP(J3989,データについて!$J$4:$AH$19,16,FALSE),"")</f>
        <v/>
      </c>
      <c r="AB3989" s="81" t="str">
        <f>IFERROR(HLOOKUP(K3989,データについて!$J$5:$AH$20,14,FALSE),"")</f>
        <v/>
      </c>
      <c r="AC3989" s="81" t="e">
        <f>IF(X3989=1,HLOOKUP(R3989,データについて!$J$12:$M$18,7,FALSE),"*")</f>
        <v>#N/A</v>
      </c>
      <c r="AD3989" s="81" t="e">
        <f>IF(X3989=2,HLOOKUP(R3989,データについて!$J$12:$M$18,7,FALSE),"*")</f>
        <v>#N/A</v>
      </c>
    </row>
    <row r="3990" spans="19:30">
      <c r="S3990" s="81" t="e">
        <f>HLOOKUP(L3990,データについて!$J$6:$M$18,13,FALSE)</f>
        <v>#N/A</v>
      </c>
      <c r="T3990" s="81" t="e">
        <f>HLOOKUP(M3990,データについて!$J$7:$M$18,12,FALSE)</f>
        <v>#N/A</v>
      </c>
      <c r="U3990" s="81" t="e">
        <f>HLOOKUP(N3990,データについて!$J$8:$M$18,11,FALSE)</f>
        <v>#N/A</v>
      </c>
      <c r="V3990" s="81" t="e">
        <f>HLOOKUP(O3990,データについて!$J$9:$M$18,10,FALSE)</f>
        <v>#N/A</v>
      </c>
      <c r="W3990" s="81" t="e">
        <f>HLOOKUP(P3990,データについて!$J$10:$M$18,9,FALSE)</f>
        <v>#N/A</v>
      </c>
      <c r="X3990" s="81" t="e">
        <f>HLOOKUP(Q3990,データについて!$J$11:$M$18,8,FALSE)</f>
        <v>#N/A</v>
      </c>
      <c r="Y3990" s="81" t="e">
        <f>HLOOKUP(R3990,データについて!$J$12:$M$18,7,FALSE)</f>
        <v>#N/A</v>
      </c>
      <c r="Z3990" s="81" t="e">
        <f>HLOOKUP(I3990,データについて!$J$3:$M$18,16,FALSE)</f>
        <v>#N/A</v>
      </c>
      <c r="AA3990" s="81" t="str">
        <f>IFERROR(HLOOKUP(J3990,データについて!$J$4:$AH$19,16,FALSE),"")</f>
        <v/>
      </c>
      <c r="AB3990" s="81" t="str">
        <f>IFERROR(HLOOKUP(K3990,データについて!$J$5:$AH$20,14,FALSE),"")</f>
        <v/>
      </c>
      <c r="AC3990" s="81" t="e">
        <f>IF(X3990=1,HLOOKUP(R3990,データについて!$J$12:$M$18,7,FALSE),"*")</f>
        <v>#N/A</v>
      </c>
      <c r="AD3990" s="81" t="e">
        <f>IF(X3990=2,HLOOKUP(R3990,データについて!$J$12:$M$18,7,FALSE),"*")</f>
        <v>#N/A</v>
      </c>
    </row>
    <row r="3991" spans="19:30">
      <c r="S3991" s="81" t="e">
        <f>HLOOKUP(L3991,データについて!$J$6:$M$18,13,FALSE)</f>
        <v>#N/A</v>
      </c>
      <c r="T3991" s="81" t="e">
        <f>HLOOKUP(M3991,データについて!$J$7:$M$18,12,FALSE)</f>
        <v>#N/A</v>
      </c>
      <c r="U3991" s="81" t="e">
        <f>HLOOKUP(N3991,データについて!$J$8:$M$18,11,FALSE)</f>
        <v>#N/A</v>
      </c>
      <c r="V3991" s="81" t="e">
        <f>HLOOKUP(O3991,データについて!$J$9:$M$18,10,FALSE)</f>
        <v>#N/A</v>
      </c>
      <c r="W3991" s="81" t="e">
        <f>HLOOKUP(P3991,データについて!$J$10:$M$18,9,FALSE)</f>
        <v>#N/A</v>
      </c>
      <c r="X3991" s="81" t="e">
        <f>HLOOKUP(Q3991,データについて!$J$11:$M$18,8,FALSE)</f>
        <v>#N/A</v>
      </c>
      <c r="Y3991" s="81" t="e">
        <f>HLOOKUP(R3991,データについて!$J$12:$M$18,7,FALSE)</f>
        <v>#N/A</v>
      </c>
      <c r="Z3991" s="81" t="e">
        <f>HLOOKUP(I3991,データについて!$J$3:$M$18,16,FALSE)</f>
        <v>#N/A</v>
      </c>
      <c r="AA3991" s="81" t="str">
        <f>IFERROR(HLOOKUP(J3991,データについて!$J$4:$AH$19,16,FALSE),"")</f>
        <v/>
      </c>
      <c r="AB3991" s="81" t="str">
        <f>IFERROR(HLOOKUP(K3991,データについて!$J$5:$AH$20,14,FALSE),"")</f>
        <v/>
      </c>
      <c r="AC3991" s="81" t="e">
        <f>IF(X3991=1,HLOOKUP(R3991,データについて!$J$12:$M$18,7,FALSE),"*")</f>
        <v>#N/A</v>
      </c>
      <c r="AD3991" s="81" t="e">
        <f>IF(X3991=2,HLOOKUP(R3991,データについて!$J$12:$M$18,7,FALSE),"*")</f>
        <v>#N/A</v>
      </c>
    </row>
    <row r="3992" spans="19:30">
      <c r="S3992" s="81" t="e">
        <f>HLOOKUP(L3992,データについて!$J$6:$M$18,13,FALSE)</f>
        <v>#N/A</v>
      </c>
      <c r="T3992" s="81" t="e">
        <f>HLOOKUP(M3992,データについて!$J$7:$M$18,12,FALSE)</f>
        <v>#N/A</v>
      </c>
      <c r="U3992" s="81" t="e">
        <f>HLOOKUP(N3992,データについて!$J$8:$M$18,11,FALSE)</f>
        <v>#N/A</v>
      </c>
      <c r="V3992" s="81" t="e">
        <f>HLOOKUP(O3992,データについて!$J$9:$M$18,10,FALSE)</f>
        <v>#N/A</v>
      </c>
      <c r="W3992" s="81" t="e">
        <f>HLOOKUP(P3992,データについて!$J$10:$M$18,9,FALSE)</f>
        <v>#N/A</v>
      </c>
      <c r="X3992" s="81" t="e">
        <f>HLOOKUP(Q3992,データについて!$J$11:$M$18,8,FALSE)</f>
        <v>#N/A</v>
      </c>
      <c r="Y3992" s="81" t="e">
        <f>HLOOKUP(R3992,データについて!$J$12:$M$18,7,FALSE)</f>
        <v>#N/A</v>
      </c>
      <c r="Z3992" s="81" t="e">
        <f>HLOOKUP(I3992,データについて!$J$3:$M$18,16,FALSE)</f>
        <v>#N/A</v>
      </c>
      <c r="AA3992" s="81" t="str">
        <f>IFERROR(HLOOKUP(J3992,データについて!$J$4:$AH$19,16,FALSE),"")</f>
        <v/>
      </c>
      <c r="AB3992" s="81" t="str">
        <f>IFERROR(HLOOKUP(K3992,データについて!$J$5:$AH$20,14,FALSE),"")</f>
        <v/>
      </c>
      <c r="AC3992" s="81" t="e">
        <f>IF(X3992=1,HLOOKUP(R3992,データについて!$J$12:$M$18,7,FALSE),"*")</f>
        <v>#N/A</v>
      </c>
      <c r="AD3992" s="81" t="e">
        <f>IF(X3992=2,HLOOKUP(R3992,データについて!$J$12:$M$18,7,FALSE),"*")</f>
        <v>#N/A</v>
      </c>
    </row>
    <row r="3993" spans="19:30">
      <c r="S3993" s="81" t="e">
        <f>HLOOKUP(L3993,データについて!$J$6:$M$18,13,FALSE)</f>
        <v>#N/A</v>
      </c>
      <c r="T3993" s="81" t="e">
        <f>HLOOKUP(M3993,データについて!$J$7:$M$18,12,FALSE)</f>
        <v>#N/A</v>
      </c>
      <c r="U3993" s="81" t="e">
        <f>HLOOKUP(N3993,データについて!$J$8:$M$18,11,FALSE)</f>
        <v>#N/A</v>
      </c>
      <c r="V3993" s="81" t="e">
        <f>HLOOKUP(O3993,データについて!$J$9:$M$18,10,FALSE)</f>
        <v>#N/A</v>
      </c>
      <c r="W3993" s="81" t="e">
        <f>HLOOKUP(P3993,データについて!$J$10:$M$18,9,FALSE)</f>
        <v>#N/A</v>
      </c>
      <c r="X3993" s="81" t="e">
        <f>HLOOKUP(Q3993,データについて!$J$11:$M$18,8,FALSE)</f>
        <v>#N/A</v>
      </c>
      <c r="Y3993" s="81" t="e">
        <f>HLOOKUP(R3993,データについて!$J$12:$M$18,7,FALSE)</f>
        <v>#N/A</v>
      </c>
      <c r="Z3993" s="81" t="e">
        <f>HLOOKUP(I3993,データについて!$J$3:$M$18,16,FALSE)</f>
        <v>#N/A</v>
      </c>
      <c r="AA3993" s="81" t="str">
        <f>IFERROR(HLOOKUP(J3993,データについて!$J$4:$AH$19,16,FALSE),"")</f>
        <v/>
      </c>
      <c r="AB3993" s="81" t="str">
        <f>IFERROR(HLOOKUP(K3993,データについて!$J$5:$AH$20,14,FALSE),"")</f>
        <v/>
      </c>
      <c r="AC3993" s="81" t="e">
        <f>IF(X3993=1,HLOOKUP(R3993,データについて!$J$12:$M$18,7,FALSE),"*")</f>
        <v>#N/A</v>
      </c>
      <c r="AD3993" s="81" t="e">
        <f>IF(X3993=2,HLOOKUP(R3993,データについて!$J$12:$M$18,7,FALSE),"*")</f>
        <v>#N/A</v>
      </c>
    </row>
    <row r="3994" spans="19:30">
      <c r="S3994" s="81" t="e">
        <f>HLOOKUP(L3994,データについて!$J$6:$M$18,13,FALSE)</f>
        <v>#N/A</v>
      </c>
      <c r="T3994" s="81" t="e">
        <f>HLOOKUP(M3994,データについて!$J$7:$M$18,12,FALSE)</f>
        <v>#N/A</v>
      </c>
      <c r="U3994" s="81" t="e">
        <f>HLOOKUP(N3994,データについて!$J$8:$M$18,11,FALSE)</f>
        <v>#N/A</v>
      </c>
      <c r="V3994" s="81" t="e">
        <f>HLOOKUP(O3994,データについて!$J$9:$M$18,10,FALSE)</f>
        <v>#N/A</v>
      </c>
      <c r="W3994" s="81" t="e">
        <f>HLOOKUP(P3994,データについて!$J$10:$M$18,9,FALSE)</f>
        <v>#N/A</v>
      </c>
      <c r="X3994" s="81" t="e">
        <f>HLOOKUP(Q3994,データについて!$J$11:$M$18,8,FALSE)</f>
        <v>#N/A</v>
      </c>
      <c r="Y3994" s="81" t="e">
        <f>HLOOKUP(R3994,データについて!$J$12:$M$18,7,FALSE)</f>
        <v>#N/A</v>
      </c>
      <c r="Z3994" s="81" t="e">
        <f>HLOOKUP(I3994,データについて!$J$3:$M$18,16,FALSE)</f>
        <v>#N/A</v>
      </c>
      <c r="AA3994" s="81" t="str">
        <f>IFERROR(HLOOKUP(J3994,データについて!$J$4:$AH$19,16,FALSE),"")</f>
        <v/>
      </c>
      <c r="AB3994" s="81" t="str">
        <f>IFERROR(HLOOKUP(K3994,データについて!$J$5:$AH$20,14,FALSE),"")</f>
        <v/>
      </c>
      <c r="AC3994" s="81" t="e">
        <f>IF(X3994=1,HLOOKUP(R3994,データについて!$J$12:$M$18,7,FALSE),"*")</f>
        <v>#N/A</v>
      </c>
      <c r="AD3994" s="81" t="e">
        <f>IF(X3994=2,HLOOKUP(R3994,データについて!$J$12:$M$18,7,FALSE),"*")</f>
        <v>#N/A</v>
      </c>
    </row>
    <row r="3995" spans="19:30">
      <c r="S3995" s="81" t="e">
        <f>HLOOKUP(L3995,データについて!$J$6:$M$18,13,FALSE)</f>
        <v>#N/A</v>
      </c>
      <c r="T3995" s="81" t="e">
        <f>HLOOKUP(M3995,データについて!$J$7:$M$18,12,FALSE)</f>
        <v>#N/A</v>
      </c>
      <c r="U3995" s="81" t="e">
        <f>HLOOKUP(N3995,データについて!$J$8:$M$18,11,FALSE)</f>
        <v>#N/A</v>
      </c>
      <c r="V3995" s="81" t="e">
        <f>HLOOKUP(O3995,データについて!$J$9:$M$18,10,FALSE)</f>
        <v>#N/A</v>
      </c>
      <c r="W3995" s="81" t="e">
        <f>HLOOKUP(P3995,データについて!$J$10:$M$18,9,FALSE)</f>
        <v>#N/A</v>
      </c>
      <c r="X3995" s="81" t="e">
        <f>HLOOKUP(Q3995,データについて!$J$11:$M$18,8,FALSE)</f>
        <v>#N/A</v>
      </c>
      <c r="Y3995" s="81" t="e">
        <f>HLOOKUP(R3995,データについて!$J$12:$M$18,7,FALSE)</f>
        <v>#N/A</v>
      </c>
      <c r="Z3995" s="81" t="e">
        <f>HLOOKUP(I3995,データについて!$J$3:$M$18,16,FALSE)</f>
        <v>#N/A</v>
      </c>
      <c r="AA3995" s="81" t="str">
        <f>IFERROR(HLOOKUP(J3995,データについて!$J$4:$AH$19,16,FALSE),"")</f>
        <v/>
      </c>
      <c r="AB3995" s="81" t="str">
        <f>IFERROR(HLOOKUP(K3995,データについて!$J$5:$AH$20,14,FALSE),"")</f>
        <v/>
      </c>
      <c r="AC3995" s="81" t="e">
        <f>IF(X3995=1,HLOOKUP(R3995,データについて!$J$12:$M$18,7,FALSE),"*")</f>
        <v>#N/A</v>
      </c>
      <c r="AD3995" s="81" t="e">
        <f>IF(X3995=2,HLOOKUP(R3995,データについて!$J$12:$M$18,7,FALSE),"*")</f>
        <v>#N/A</v>
      </c>
    </row>
    <row r="3996" spans="19:30">
      <c r="S3996" s="81" t="e">
        <f>HLOOKUP(L3996,データについて!$J$6:$M$18,13,FALSE)</f>
        <v>#N/A</v>
      </c>
      <c r="T3996" s="81" t="e">
        <f>HLOOKUP(M3996,データについて!$J$7:$M$18,12,FALSE)</f>
        <v>#N/A</v>
      </c>
      <c r="U3996" s="81" t="e">
        <f>HLOOKUP(N3996,データについて!$J$8:$M$18,11,FALSE)</f>
        <v>#N/A</v>
      </c>
      <c r="V3996" s="81" t="e">
        <f>HLOOKUP(O3996,データについて!$J$9:$M$18,10,FALSE)</f>
        <v>#N/A</v>
      </c>
      <c r="W3996" s="81" t="e">
        <f>HLOOKUP(P3996,データについて!$J$10:$M$18,9,FALSE)</f>
        <v>#N/A</v>
      </c>
      <c r="X3996" s="81" t="e">
        <f>HLOOKUP(Q3996,データについて!$J$11:$M$18,8,FALSE)</f>
        <v>#N/A</v>
      </c>
      <c r="Y3996" s="81" t="e">
        <f>HLOOKUP(R3996,データについて!$J$12:$M$18,7,FALSE)</f>
        <v>#N/A</v>
      </c>
      <c r="Z3996" s="81" t="e">
        <f>HLOOKUP(I3996,データについて!$J$3:$M$18,16,FALSE)</f>
        <v>#N/A</v>
      </c>
      <c r="AA3996" s="81" t="str">
        <f>IFERROR(HLOOKUP(J3996,データについて!$J$4:$AH$19,16,FALSE),"")</f>
        <v/>
      </c>
      <c r="AB3996" s="81" t="str">
        <f>IFERROR(HLOOKUP(K3996,データについて!$J$5:$AH$20,14,FALSE),"")</f>
        <v/>
      </c>
      <c r="AC3996" s="81" t="e">
        <f>IF(X3996=1,HLOOKUP(R3996,データについて!$J$12:$M$18,7,FALSE),"*")</f>
        <v>#N/A</v>
      </c>
      <c r="AD3996" s="81" t="e">
        <f>IF(X3996=2,HLOOKUP(R3996,データについて!$J$12:$M$18,7,FALSE),"*")</f>
        <v>#N/A</v>
      </c>
    </row>
    <row r="3997" spans="19:30">
      <c r="S3997" s="81" t="e">
        <f>HLOOKUP(L3997,データについて!$J$6:$M$18,13,FALSE)</f>
        <v>#N/A</v>
      </c>
      <c r="T3997" s="81" t="e">
        <f>HLOOKUP(M3997,データについて!$J$7:$M$18,12,FALSE)</f>
        <v>#N/A</v>
      </c>
      <c r="U3997" s="81" t="e">
        <f>HLOOKUP(N3997,データについて!$J$8:$M$18,11,FALSE)</f>
        <v>#N/A</v>
      </c>
      <c r="V3997" s="81" t="e">
        <f>HLOOKUP(O3997,データについて!$J$9:$M$18,10,FALSE)</f>
        <v>#N/A</v>
      </c>
      <c r="W3997" s="81" t="e">
        <f>HLOOKUP(P3997,データについて!$J$10:$M$18,9,FALSE)</f>
        <v>#N/A</v>
      </c>
      <c r="X3997" s="81" t="e">
        <f>HLOOKUP(Q3997,データについて!$J$11:$M$18,8,FALSE)</f>
        <v>#N/A</v>
      </c>
      <c r="Y3997" s="81" t="e">
        <f>HLOOKUP(R3997,データについて!$J$12:$M$18,7,FALSE)</f>
        <v>#N/A</v>
      </c>
      <c r="Z3997" s="81" t="e">
        <f>HLOOKUP(I3997,データについて!$J$3:$M$18,16,FALSE)</f>
        <v>#N/A</v>
      </c>
      <c r="AA3997" s="81" t="str">
        <f>IFERROR(HLOOKUP(J3997,データについて!$J$4:$AH$19,16,FALSE),"")</f>
        <v/>
      </c>
      <c r="AB3997" s="81" t="str">
        <f>IFERROR(HLOOKUP(K3997,データについて!$J$5:$AH$20,14,FALSE),"")</f>
        <v/>
      </c>
      <c r="AC3997" s="81" t="e">
        <f>IF(X3997=1,HLOOKUP(R3997,データについて!$J$12:$M$18,7,FALSE),"*")</f>
        <v>#N/A</v>
      </c>
      <c r="AD3997" s="81" t="e">
        <f>IF(X3997=2,HLOOKUP(R3997,データについて!$J$12:$M$18,7,FALSE),"*")</f>
        <v>#N/A</v>
      </c>
    </row>
    <row r="3998" spans="19:30">
      <c r="S3998" s="81" t="e">
        <f>HLOOKUP(L3998,データについて!$J$6:$M$18,13,FALSE)</f>
        <v>#N/A</v>
      </c>
      <c r="T3998" s="81" t="e">
        <f>HLOOKUP(M3998,データについて!$J$7:$M$18,12,FALSE)</f>
        <v>#N/A</v>
      </c>
      <c r="U3998" s="81" t="e">
        <f>HLOOKUP(N3998,データについて!$J$8:$M$18,11,FALSE)</f>
        <v>#N/A</v>
      </c>
      <c r="V3998" s="81" t="e">
        <f>HLOOKUP(O3998,データについて!$J$9:$M$18,10,FALSE)</f>
        <v>#N/A</v>
      </c>
      <c r="W3998" s="81" t="e">
        <f>HLOOKUP(P3998,データについて!$J$10:$M$18,9,FALSE)</f>
        <v>#N/A</v>
      </c>
      <c r="X3998" s="81" t="e">
        <f>HLOOKUP(Q3998,データについて!$J$11:$M$18,8,FALSE)</f>
        <v>#N/A</v>
      </c>
      <c r="Y3998" s="81" t="e">
        <f>HLOOKUP(R3998,データについて!$J$12:$M$18,7,FALSE)</f>
        <v>#N/A</v>
      </c>
      <c r="Z3998" s="81" t="e">
        <f>HLOOKUP(I3998,データについて!$J$3:$M$18,16,FALSE)</f>
        <v>#N/A</v>
      </c>
      <c r="AA3998" s="81" t="str">
        <f>IFERROR(HLOOKUP(J3998,データについて!$J$4:$AH$19,16,FALSE),"")</f>
        <v/>
      </c>
      <c r="AB3998" s="81" t="str">
        <f>IFERROR(HLOOKUP(K3998,データについて!$J$5:$AH$20,14,FALSE),"")</f>
        <v/>
      </c>
      <c r="AC3998" s="81" t="e">
        <f>IF(X3998=1,HLOOKUP(R3998,データについて!$J$12:$M$18,7,FALSE),"*")</f>
        <v>#N/A</v>
      </c>
      <c r="AD3998" s="81" t="e">
        <f>IF(X3998=2,HLOOKUP(R3998,データについて!$J$12:$M$18,7,FALSE),"*")</f>
        <v>#N/A</v>
      </c>
    </row>
    <row r="3999" spans="19:30">
      <c r="S3999" s="81" t="e">
        <f>HLOOKUP(L3999,データについて!$J$6:$M$18,13,FALSE)</f>
        <v>#N/A</v>
      </c>
      <c r="T3999" s="81" t="e">
        <f>HLOOKUP(M3999,データについて!$J$7:$M$18,12,FALSE)</f>
        <v>#N/A</v>
      </c>
      <c r="U3999" s="81" t="e">
        <f>HLOOKUP(N3999,データについて!$J$8:$M$18,11,FALSE)</f>
        <v>#N/A</v>
      </c>
      <c r="V3999" s="81" t="e">
        <f>HLOOKUP(O3999,データについて!$J$9:$M$18,10,FALSE)</f>
        <v>#N/A</v>
      </c>
      <c r="W3999" s="81" t="e">
        <f>HLOOKUP(P3999,データについて!$J$10:$M$18,9,FALSE)</f>
        <v>#N/A</v>
      </c>
      <c r="X3999" s="81" t="e">
        <f>HLOOKUP(Q3999,データについて!$J$11:$M$18,8,FALSE)</f>
        <v>#N/A</v>
      </c>
      <c r="Y3999" s="81" t="e">
        <f>HLOOKUP(R3999,データについて!$J$12:$M$18,7,FALSE)</f>
        <v>#N/A</v>
      </c>
      <c r="Z3999" s="81" t="e">
        <f>HLOOKUP(I3999,データについて!$J$3:$M$18,16,FALSE)</f>
        <v>#N/A</v>
      </c>
      <c r="AA3999" s="81" t="str">
        <f>IFERROR(HLOOKUP(J3999,データについて!$J$4:$AH$19,16,FALSE),"")</f>
        <v/>
      </c>
      <c r="AB3999" s="81" t="str">
        <f>IFERROR(HLOOKUP(K3999,データについて!$J$5:$AH$20,14,FALSE),"")</f>
        <v/>
      </c>
      <c r="AC3999" s="81" t="e">
        <f>IF(X3999=1,HLOOKUP(R3999,データについて!$J$12:$M$18,7,FALSE),"*")</f>
        <v>#N/A</v>
      </c>
      <c r="AD3999" s="81" t="e">
        <f>IF(X3999=2,HLOOKUP(R3999,データについて!$J$12:$M$18,7,FALSE),"*")</f>
        <v>#N/A</v>
      </c>
    </row>
    <row r="4000" spans="19:30">
      <c r="S4000" s="81" t="e">
        <f>HLOOKUP(L4000,データについて!$J$6:$M$18,13,FALSE)</f>
        <v>#N/A</v>
      </c>
      <c r="T4000" s="81" t="e">
        <f>HLOOKUP(M4000,データについて!$J$7:$M$18,12,FALSE)</f>
        <v>#N/A</v>
      </c>
      <c r="U4000" s="81" t="e">
        <f>HLOOKUP(N4000,データについて!$J$8:$M$18,11,FALSE)</f>
        <v>#N/A</v>
      </c>
      <c r="V4000" s="81" t="e">
        <f>HLOOKUP(O4000,データについて!$J$9:$M$18,10,FALSE)</f>
        <v>#N/A</v>
      </c>
      <c r="W4000" s="81" t="e">
        <f>HLOOKUP(P4000,データについて!$J$10:$M$18,9,FALSE)</f>
        <v>#N/A</v>
      </c>
      <c r="X4000" s="81" t="e">
        <f>HLOOKUP(Q4000,データについて!$J$11:$M$18,8,FALSE)</f>
        <v>#N/A</v>
      </c>
      <c r="Y4000" s="81" t="e">
        <f>HLOOKUP(R4000,データについて!$J$12:$M$18,7,FALSE)</f>
        <v>#N/A</v>
      </c>
      <c r="Z4000" s="81" t="e">
        <f>HLOOKUP(I4000,データについて!$J$3:$M$18,16,FALSE)</f>
        <v>#N/A</v>
      </c>
      <c r="AA4000" s="81" t="str">
        <f>IFERROR(HLOOKUP(J4000,データについて!$J$4:$AH$19,16,FALSE),"")</f>
        <v/>
      </c>
      <c r="AB4000" s="81" t="str">
        <f>IFERROR(HLOOKUP(K4000,データについて!$J$5:$AH$20,14,FALSE),"")</f>
        <v/>
      </c>
      <c r="AC4000" s="81" t="e">
        <f>IF(X4000=1,HLOOKUP(R4000,データについて!$J$12:$M$18,7,FALSE),"*")</f>
        <v>#N/A</v>
      </c>
      <c r="AD4000" s="81" t="e">
        <f>IF(X4000=2,HLOOKUP(R4000,データについて!$J$12:$M$18,7,FALSE),"*")</f>
        <v>#N/A</v>
      </c>
    </row>
    <row r="4001" spans="19:30">
      <c r="S4001" s="81" t="e">
        <f>HLOOKUP(L4001,データについて!$J$6:$M$18,13,FALSE)</f>
        <v>#N/A</v>
      </c>
      <c r="T4001" s="81" t="e">
        <f>HLOOKUP(M4001,データについて!$J$7:$M$18,12,FALSE)</f>
        <v>#N/A</v>
      </c>
      <c r="U4001" s="81" t="e">
        <f>HLOOKUP(N4001,データについて!$J$8:$M$18,11,FALSE)</f>
        <v>#N/A</v>
      </c>
      <c r="V4001" s="81" t="e">
        <f>HLOOKUP(O4001,データについて!$J$9:$M$18,10,FALSE)</f>
        <v>#N/A</v>
      </c>
      <c r="W4001" s="81" t="e">
        <f>HLOOKUP(P4001,データについて!$J$10:$M$18,9,FALSE)</f>
        <v>#N/A</v>
      </c>
      <c r="X4001" s="81" t="e">
        <f>HLOOKUP(Q4001,データについて!$J$11:$M$18,8,FALSE)</f>
        <v>#N/A</v>
      </c>
      <c r="Y4001" s="81" t="e">
        <f>HLOOKUP(R4001,データについて!$J$12:$M$18,7,FALSE)</f>
        <v>#N/A</v>
      </c>
      <c r="Z4001" s="81" t="e">
        <f>HLOOKUP(I4001,データについて!$J$3:$M$18,16,FALSE)</f>
        <v>#N/A</v>
      </c>
      <c r="AA4001" s="81" t="str">
        <f>IFERROR(HLOOKUP(J4001,データについて!$J$4:$AH$19,16,FALSE),"")</f>
        <v/>
      </c>
      <c r="AB4001" s="81" t="str">
        <f>IFERROR(HLOOKUP(K4001,データについて!$J$5:$AH$20,14,FALSE),"")</f>
        <v/>
      </c>
      <c r="AC4001" s="81" t="e">
        <f>IF(X4001=1,HLOOKUP(R4001,データについて!$J$12:$M$18,7,FALSE),"*")</f>
        <v>#N/A</v>
      </c>
      <c r="AD4001" s="81" t="e">
        <f>IF(X4001=2,HLOOKUP(R4001,データについて!$J$12:$M$18,7,FALSE),"*")</f>
        <v>#N/A</v>
      </c>
    </row>
    <row r="4002" spans="19:30">
      <c r="S4002" s="81" t="e">
        <f>HLOOKUP(L4002,データについて!$J$6:$M$18,13,FALSE)</f>
        <v>#N/A</v>
      </c>
      <c r="T4002" s="81" t="e">
        <f>HLOOKUP(M4002,データについて!$J$7:$M$18,12,FALSE)</f>
        <v>#N/A</v>
      </c>
      <c r="U4002" s="81" t="e">
        <f>HLOOKUP(N4002,データについて!$J$8:$M$18,11,FALSE)</f>
        <v>#N/A</v>
      </c>
      <c r="V4002" s="81" t="e">
        <f>HLOOKUP(O4002,データについて!$J$9:$M$18,10,FALSE)</f>
        <v>#N/A</v>
      </c>
      <c r="W4002" s="81" t="e">
        <f>HLOOKUP(P4002,データについて!$J$10:$M$18,9,FALSE)</f>
        <v>#N/A</v>
      </c>
      <c r="X4002" s="81" t="e">
        <f>HLOOKUP(Q4002,データについて!$J$11:$M$18,8,FALSE)</f>
        <v>#N/A</v>
      </c>
      <c r="Y4002" s="81" t="e">
        <f>HLOOKUP(R4002,データについて!$J$12:$M$18,7,FALSE)</f>
        <v>#N/A</v>
      </c>
      <c r="Z4002" s="81" t="e">
        <f>HLOOKUP(I4002,データについて!$J$3:$M$18,16,FALSE)</f>
        <v>#N/A</v>
      </c>
      <c r="AA4002" s="81" t="str">
        <f>IFERROR(HLOOKUP(J4002,データについて!$J$4:$AH$19,16,FALSE),"")</f>
        <v/>
      </c>
      <c r="AB4002" s="81" t="str">
        <f>IFERROR(HLOOKUP(K4002,データについて!$J$5:$AH$20,14,FALSE),"")</f>
        <v/>
      </c>
      <c r="AC4002" s="81" t="e">
        <f>IF(X4002=1,HLOOKUP(R4002,データについて!$J$12:$M$18,7,FALSE),"*")</f>
        <v>#N/A</v>
      </c>
      <c r="AD4002" s="81" t="e">
        <f>IF(X4002=2,HLOOKUP(R4002,データについて!$J$12:$M$18,7,FALSE),"*")</f>
        <v>#N/A</v>
      </c>
    </row>
    <row r="4003" spans="19:30">
      <c r="S4003" s="81" t="e">
        <f>HLOOKUP(L4003,データについて!$J$6:$M$18,13,FALSE)</f>
        <v>#N/A</v>
      </c>
      <c r="T4003" s="81" t="e">
        <f>HLOOKUP(M4003,データについて!$J$7:$M$18,12,FALSE)</f>
        <v>#N/A</v>
      </c>
      <c r="U4003" s="81" t="e">
        <f>HLOOKUP(N4003,データについて!$J$8:$M$18,11,FALSE)</f>
        <v>#N/A</v>
      </c>
      <c r="V4003" s="81" t="e">
        <f>HLOOKUP(O4003,データについて!$J$9:$M$18,10,FALSE)</f>
        <v>#N/A</v>
      </c>
      <c r="W4003" s="81" t="e">
        <f>HLOOKUP(P4003,データについて!$J$10:$M$18,9,FALSE)</f>
        <v>#N/A</v>
      </c>
      <c r="X4003" s="81" t="e">
        <f>HLOOKUP(Q4003,データについて!$J$11:$M$18,8,FALSE)</f>
        <v>#N/A</v>
      </c>
      <c r="Y4003" s="81" t="e">
        <f>HLOOKUP(R4003,データについて!$J$12:$M$18,7,FALSE)</f>
        <v>#N/A</v>
      </c>
      <c r="Z4003" s="81" t="e">
        <f>HLOOKUP(I4003,データについて!$J$3:$M$18,16,FALSE)</f>
        <v>#N/A</v>
      </c>
      <c r="AA4003" s="81" t="str">
        <f>IFERROR(HLOOKUP(J4003,データについて!$J$4:$AH$19,16,FALSE),"")</f>
        <v/>
      </c>
      <c r="AB4003" s="81" t="str">
        <f>IFERROR(HLOOKUP(K4003,データについて!$J$5:$AH$20,14,FALSE),"")</f>
        <v/>
      </c>
      <c r="AC4003" s="81" t="e">
        <f>IF(X4003=1,HLOOKUP(R4003,データについて!$J$12:$M$18,7,FALSE),"*")</f>
        <v>#N/A</v>
      </c>
      <c r="AD4003" s="81" t="e">
        <f>IF(X4003=2,HLOOKUP(R4003,データについて!$J$12:$M$18,7,FALSE),"*")</f>
        <v>#N/A</v>
      </c>
    </row>
    <row r="4004" spans="19:30">
      <c r="S4004" s="81" t="e">
        <f>HLOOKUP(L4004,データについて!$J$6:$M$18,13,FALSE)</f>
        <v>#N/A</v>
      </c>
      <c r="T4004" s="81" t="e">
        <f>HLOOKUP(M4004,データについて!$J$7:$M$18,12,FALSE)</f>
        <v>#N/A</v>
      </c>
      <c r="U4004" s="81" t="e">
        <f>HLOOKUP(N4004,データについて!$J$8:$M$18,11,FALSE)</f>
        <v>#N/A</v>
      </c>
      <c r="V4004" s="81" t="e">
        <f>HLOOKUP(O4004,データについて!$J$9:$M$18,10,FALSE)</f>
        <v>#N/A</v>
      </c>
      <c r="W4004" s="81" t="e">
        <f>HLOOKUP(P4004,データについて!$J$10:$M$18,9,FALSE)</f>
        <v>#N/A</v>
      </c>
      <c r="X4004" s="81" t="e">
        <f>HLOOKUP(Q4004,データについて!$J$11:$M$18,8,FALSE)</f>
        <v>#N/A</v>
      </c>
      <c r="Y4004" s="81" t="e">
        <f>HLOOKUP(R4004,データについて!$J$12:$M$18,7,FALSE)</f>
        <v>#N/A</v>
      </c>
      <c r="Z4004" s="81" t="e">
        <f>HLOOKUP(I4004,データについて!$J$3:$M$18,16,FALSE)</f>
        <v>#N/A</v>
      </c>
      <c r="AA4004" s="81" t="str">
        <f>IFERROR(HLOOKUP(J4004,データについて!$J$4:$AH$19,16,FALSE),"")</f>
        <v/>
      </c>
      <c r="AB4004" s="81" t="str">
        <f>IFERROR(HLOOKUP(K4004,データについて!$J$5:$AH$20,14,FALSE),"")</f>
        <v/>
      </c>
      <c r="AC4004" s="81" t="e">
        <f>IF(X4004=1,HLOOKUP(R4004,データについて!$J$12:$M$18,7,FALSE),"*")</f>
        <v>#N/A</v>
      </c>
      <c r="AD4004" s="81" t="e">
        <f>IF(X4004=2,HLOOKUP(R4004,データについて!$J$12:$M$18,7,FALSE),"*")</f>
        <v>#N/A</v>
      </c>
    </row>
    <row r="4005" spans="19:30">
      <c r="S4005" s="81" t="e">
        <f>HLOOKUP(L4005,データについて!$J$6:$M$18,13,FALSE)</f>
        <v>#N/A</v>
      </c>
      <c r="T4005" s="81" t="e">
        <f>HLOOKUP(M4005,データについて!$J$7:$M$18,12,FALSE)</f>
        <v>#N/A</v>
      </c>
      <c r="U4005" s="81" t="e">
        <f>HLOOKUP(N4005,データについて!$J$8:$M$18,11,FALSE)</f>
        <v>#N/A</v>
      </c>
      <c r="V4005" s="81" t="e">
        <f>HLOOKUP(O4005,データについて!$J$9:$M$18,10,FALSE)</f>
        <v>#N/A</v>
      </c>
      <c r="W4005" s="81" t="e">
        <f>HLOOKUP(P4005,データについて!$J$10:$M$18,9,FALSE)</f>
        <v>#N/A</v>
      </c>
      <c r="X4005" s="81" t="e">
        <f>HLOOKUP(Q4005,データについて!$J$11:$M$18,8,FALSE)</f>
        <v>#N/A</v>
      </c>
      <c r="Y4005" s="81" t="e">
        <f>HLOOKUP(R4005,データについて!$J$12:$M$18,7,FALSE)</f>
        <v>#N/A</v>
      </c>
      <c r="Z4005" s="81" t="e">
        <f>HLOOKUP(I4005,データについて!$J$3:$M$18,16,FALSE)</f>
        <v>#N/A</v>
      </c>
      <c r="AA4005" s="81" t="str">
        <f>IFERROR(HLOOKUP(J4005,データについて!$J$4:$AH$19,16,FALSE),"")</f>
        <v/>
      </c>
      <c r="AB4005" s="81" t="str">
        <f>IFERROR(HLOOKUP(K4005,データについて!$J$5:$AH$20,14,FALSE),"")</f>
        <v/>
      </c>
      <c r="AC4005" s="81" t="e">
        <f>IF(X4005=1,HLOOKUP(R4005,データについて!$J$12:$M$18,7,FALSE),"*")</f>
        <v>#N/A</v>
      </c>
      <c r="AD4005" s="81" t="e">
        <f>IF(X4005=2,HLOOKUP(R4005,データについて!$J$12:$M$18,7,FALSE),"*")</f>
        <v>#N/A</v>
      </c>
    </row>
    <row r="4006" spans="19:30">
      <c r="S4006" s="81" t="e">
        <f>HLOOKUP(L4006,データについて!$J$6:$M$18,13,FALSE)</f>
        <v>#N/A</v>
      </c>
      <c r="T4006" s="81" t="e">
        <f>HLOOKUP(M4006,データについて!$J$7:$M$18,12,FALSE)</f>
        <v>#N/A</v>
      </c>
      <c r="U4006" s="81" t="e">
        <f>HLOOKUP(N4006,データについて!$J$8:$M$18,11,FALSE)</f>
        <v>#N/A</v>
      </c>
      <c r="V4006" s="81" t="e">
        <f>HLOOKUP(O4006,データについて!$J$9:$M$18,10,FALSE)</f>
        <v>#N/A</v>
      </c>
      <c r="W4006" s="81" t="e">
        <f>HLOOKUP(P4006,データについて!$J$10:$M$18,9,FALSE)</f>
        <v>#N/A</v>
      </c>
      <c r="X4006" s="81" t="e">
        <f>HLOOKUP(Q4006,データについて!$J$11:$M$18,8,FALSE)</f>
        <v>#N/A</v>
      </c>
      <c r="Y4006" s="81" t="e">
        <f>HLOOKUP(R4006,データについて!$J$12:$M$18,7,FALSE)</f>
        <v>#N/A</v>
      </c>
      <c r="Z4006" s="81" t="e">
        <f>HLOOKUP(I4006,データについて!$J$3:$M$18,16,FALSE)</f>
        <v>#N/A</v>
      </c>
      <c r="AA4006" s="81" t="str">
        <f>IFERROR(HLOOKUP(J4006,データについて!$J$4:$AH$19,16,FALSE),"")</f>
        <v/>
      </c>
      <c r="AB4006" s="81" t="str">
        <f>IFERROR(HLOOKUP(K4006,データについて!$J$5:$AH$20,14,FALSE),"")</f>
        <v/>
      </c>
      <c r="AC4006" s="81" t="e">
        <f>IF(X4006=1,HLOOKUP(R4006,データについて!$J$12:$M$18,7,FALSE),"*")</f>
        <v>#N/A</v>
      </c>
      <c r="AD4006" s="81" t="e">
        <f>IF(X4006=2,HLOOKUP(R4006,データについて!$J$12:$M$18,7,FALSE),"*")</f>
        <v>#N/A</v>
      </c>
    </row>
    <row r="4007" spans="19:30">
      <c r="S4007" s="81" t="e">
        <f>HLOOKUP(L4007,データについて!$J$6:$M$18,13,FALSE)</f>
        <v>#N/A</v>
      </c>
      <c r="T4007" s="81" t="e">
        <f>HLOOKUP(M4007,データについて!$J$7:$M$18,12,FALSE)</f>
        <v>#N/A</v>
      </c>
      <c r="U4007" s="81" t="e">
        <f>HLOOKUP(N4007,データについて!$J$8:$M$18,11,FALSE)</f>
        <v>#N/A</v>
      </c>
      <c r="V4007" s="81" t="e">
        <f>HLOOKUP(O4007,データについて!$J$9:$M$18,10,FALSE)</f>
        <v>#N/A</v>
      </c>
      <c r="W4007" s="81" t="e">
        <f>HLOOKUP(P4007,データについて!$J$10:$M$18,9,FALSE)</f>
        <v>#N/A</v>
      </c>
      <c r="X4007" s="81" t="e">
        <f>HLOOKUP(Q4007,データについて!$J$11:$M$18,8,FALSE)</f>
        <v>#N/A</v>
      </c>
      <c r="Y4007" s="81" t="e">
        <f>HLOOKUP(R4007,データについて!$J$12:$M$18,7,FALSE)</f>
        <v>#N/A</v>
      </c>
      <c r="Z4007" s="81" t="e">
        <f>HLOOKUP(I4007,データについて!$J$3:$M$18,16,FALSE)</f>
        <v>#N/A</v>
      </c>
      <c r="AA4007" s="81" t="str">
        <f>IFERROR(HLOOKUP(J4007,データについて!$J$4:$AH$19,16,FALSE),"")</f>
        <v/>
      </c>
      <c r="AB4007" s="81" t="str">
        <f>IFERROR(HLOOKUP(K4007,データについて!$J$5:$AH$20,14,FALSE),"")</f>
        <v/>
      </c>
      <c r="AC4007" s="81" t="e">
        <f>IF(X4007=1,HLOOKUP(R4007,データについて!$J$12:$M$18,7,FALSE),"*")</f>
        <v>#N/A</v>
      </c>
      <c r="AD4007" s="81" t="e">
        <f>IF(X4007=2,HLOOKUP(R4007,データについて!$J$12:$M$18,7,FALSE),"*")</f>
        <v>#N/A</v>
      </c>
    </row>
    <row r="4008" spans="19:30">
      <c r="S4008" s="81" t="e">
        <f>HLOOKUP(L4008,データについて!$J$6:$M$18,13,FALSE)</f>
        <v>#N/A</v>
      </c>
      <c r="T4008" s="81" t="e">
        <f>HLOOKUP(M4008,データについて!$J$7:$M$18,12,FALSE)</f>
        <v>#N/A</v>
      </c>
      <c r="U4008" s="81" t="e">
        <f>HLOOKUP(N4008,データについて!$J$8:$M$18,11,FALSE)</f>
        <v>#N/A</v>
      </c>
      <c r="V4008" s="81" t="e">
        <f>HLOOKUP(O4008,データについて!$J$9:$M$18,10,FALSE)</f>
        <v>#N/A</v>
      </c>
      <c r="W4008" s="81" t="e">
        <f>HLOOKUP(P4008,データについて!$J$10:$M$18,9,FALSE)</f>
        <v>#N/A</v>
      </c>
      <c r="X4008" s="81" t="e">
        <f>HLOOKUP(Q4008,データについて!$J$11:$M$18,8,FALSE)</f>
        <v>#N/A</v>
      </c>
      <c r="Y4008" s="81" t="e">
        <f>HLOOKUP(R4008,データについて!$J$12:$M$18,7,FALSE)</f>
        <v>#N/A</v>
      </c>
      <c r="Z4008" s="81" t="e">
        <f>HLOOKUP(I4008,データについて!$J$3:$M$18,16,FALSE)</f>
        <v>#N/A</v>
      </c>
      <c r="AA4008" s="81" t="str">
        <f>IFERROR(HLOOKUP(J4008,データについて!$J$4:$AH$19,16,FALSE),"")</f>
        <v/>
      </c>
      <c r="AB4008" s="81" t="str">
        <f>IFERROR(HLOOKUP(K4008,データについて!$J$5:$AH$20,14,FALSE),"")</f>
        <v/>
      </c>
      <c r="AC4008" s="81" t="e">
        <f>IF(X4008=1,HLOOKUP(R4008,データについて!$J$12:$M$18,7,FALSE),"*")</f>
        <v>#N/A</v>
      </c>
      <c r="AD4008" s="81" t="e">
        <f>IF(X4008=2,HLOOKUP(R4008,データについて!$J$12:$M$18,7,FALSE),"*")</f>
        <v>#N/A</v>
      </c>
    </row>
    <row r="4009" spans="19:30">
      <c r="S4009" s="81" t="e">
        <f>HLOOKUP(L4009,データについて!$J$6:$M$18,13,FALSE)</f>
        <v>#N/A</v>
      </c>
      <c r="T4009" s="81" t="e">
        <f>HLOOKUP(M4009,データについて!$J$7:$M$18,12,FALSE)</f>
        <v>#N/A</v>
      </c>
      <c r="U4009" s="81" t="e">
        <f>HLOOKUP(N4009,データについて!$J$8:$M$18,11,FALSE)</f>
        <v>#N/A</v>
      </c>
      <c r="V4009" s="81" t="e">
        <f>HLOOKUP(O4009,データについて!$J$9:$M$18,10,FALSE)</f>
        <v>#N/A</v>
      </c>
      <c r="W4009" s="81" t="e">
        <f>HLOOKUP(P4009,データについて!$J$10:$M$18,9,FALSE)</f>
        <v>#N/A</v>
      </c>
      <c r="X4009" s="81" t="e">
        <f>HLOOKUP(Q4009,データについて!$J$11:$M$18,8,FALSE)</f>
        <v>#N/A</v>
      </c>
      <c r="Y4009" s="81" t="e">
        <f>HLOOKUP(R4009,データについて!$J$12:$M$18,7,FALSE)</f>
        <v>#N/A</v>
      </c>
      <c r="Z4009" s="81" t="e">
        <f>HLOOKUP(I4009,データについて!$J$3:$M$18,16,FALSE)</f>
        <v>#N/A</v>
      </c>
      <c r="AA4009" s="81" t="str">
        <f>IFERROR(HLOOKUP(J4009,データについて!$J$4:$AH$19,16,FALSE),"")</f>
        <v/>
      </c>
      <c r="AB4009" s="81" t="str">
        <f>IFERROR(HLOOKUP(K4009,データについて!$J$5:$AH$20,14,FALSE),"")</f>
        <v/>
      </c>
      <c r="AC4009" s="81" t="e">
        <f>IF(X4009=1,HLOOKUP(R4009,データについて!$J$12:$M$18,7,FALSE),"*")</f>
        <v>#N/A</v>
      </c>
      <c r="AD4009" s="81" t="e">
        <f>IF(X4009=2,HLOOKUP(R4009,データについて!$J$12:$M$18,7,FALSE),"*")</f>
        <v>#N/A</v>
      </c>
    </row>
    <row r="4010" spans="19:30">
      <c r="S4010" s="81" t="e">
        <f>HLOOKUP(L4010,データについて!$J$6:$M$18,13,FALSE)</f>
        <v>#N/A</v>
      </c>
      <c r="T4010" s="81" t="e">
        <f>HLOOKUP(M4010,データについて!$J$7:$M$18,12,FALSE)</f>
        <v>#N/A</v>
      </c>
      <c r="U4010" s="81" t="e">
        <f>HLOOKUP(N4010,データについて!$J$8:$M$18,11,FALSE)</f>
        <v>#N/A</v>
      </c>
      <c r="V4010" s="81" t="e">
        <f>HLOOKUP(O4010,データについて!$J$9:$M$18,10,FALSE)</f>
        <v>#N/A</v>
      </c>
      <c r="W4010" s="81" t="e">
        <f>HLOOKUP(P4010,データについて!$J$10:$M$18,9,FALSE)</f>
        <v>#N/A</v>
      </c>
      <c r="X4010" s="81" t="e">
        <f>HLOOKUP(Q4010,データについて!$J$11:$M$18,8,FALSE)</f>
        <v>#N/A</v>
      </c>
      <c r="Y4010" s="81" t="e">
        <f>HLOOKUP(R4010,データについて!$J$12:$M$18,7,FALSE)</f>
        <v>#N/A</v>
      </c>
      <c r="Z4010" s="81" t="e">
        <f>HLOOKUP(I4010,データについて!$J$3:$M$18,16,FALSE)</f>
        <v>#N/A</v>
      </c>
      <c r="AA4010" s="81" t="str">
        <f>IFERROR(HLOOKUP(J4010,データについて!$J$4:$AH$19,16,FALSE),"")</f>
        <v/>
      </c>
      <c r="AB4010" s="81" t="str">
        <f>IFERROR(HLOOKUP(K4010,データについて!$J$5:$AH$20,14,FALSE),"")</f>
        <v/>
      </c>
      <c r="AC4010" s="81" t="e">
        <f>IF(X4010=1,HLOOKUP(R4010,データについて!$J$12:$M$18,7,FALSE),"*")</f>
        <v>#N/A</v>
      </c>
      <c r="AD4010" s="81" t="e">
        <f>IF(X4010=2,HLOOKUP(R4010,データについて!$J$12:$M$18,7,FALSE),"*")</f>
        <v>#N/A</v>
      </c>
    </row>
    <row r="4011" spans="19:30">
      <c r="S4011" s="81" t="e">
        <f>HLOOKUP(L4011,データについて!$J$6:$M$18,13,FALSE)</f>
        <v>#N/A</v>
      </c>
      <c r="T4011" s="81" t="e">
        <f>HLOOKUP(M4011,データについて!$J$7:$M$18,12,FALSE)</f>
        <v>#N/A</v>
      </c>
      <c r="U4011" s="81" t="e">
        <f>HLOOKUP(N4011,データについて!$J$8:$M$18,11,FALSE)</f>
        <v>#N/A</v>
      </c>
      <c r="V4011" s="81" t="e">
        <f>HLOOKUP(O4011,データについて!$J$9:$M$18,10,FALSE)</f>
        <v>#N/A</v>
      </c>
      <c r="W4011" s="81" t="e">
        <f>HLOOKUP(P4011,データについて!$J$10:$M$18,9,FALSE)</f>
        <v>#N/A</v>
      </c>
      <c r="X4011" s="81" t="e">
        <f>HLOOKUP(Q4011,データについて!$J$11:$M$18,8,FALSE)</f>
        <v>#N/A</v>
      </c>
      <c r="Y4011" s="81" t="e">
        <f>HLOOKUP(R4011,データについて!$J$12:$M$18,7,FALSE)</f>
        <v>#N/A</v>
      </c>
      <c r="Z4011" s="81" t="e">
        <f>HLOOKUP(I4011,データについて!$J$3:$M$18,16,FALSE)</f>
        <v>#N/A</v>
      </c>
      <c r="AA4011" s="81" t="str">
        <f>IFERROR(HLOOKUP(J4011,データについて!$J$4:$AH$19,16,FALSE),"")</f>
        <v/>
      </c>
      <c r="AB4011" s="81" t="str">
        <f>IFERROR(HLOOKUP(K4011,データについて!$J$5:$AH$20,14,FALSE),"")</f>
        <v/>
      </c>
      <c r="AC4011" s="81" t="e">
        <f>IF(X4011=1,HLOOKUP(R4011,データについて!$J$12:$M$18,7,FALSE),"*")</f>
        <v>#N/A</v>
      </c>
      <c r="AD4011" s="81" t="e">
        <f>IF(X4011=2,HLOOKUP(R4011,データについて!$J$12:$M$18,7,FALSE),"*")</f>
        <v>#N/A</v>
      </c>
    </row>
    <row r="4012" spans="19:30">
      <c r="S4012" s="81" t="e">
        <f>HLOOKUP(L4012,データについて!$J$6:$M$18,13,FALSE)</f>
        <v>#N/A</v>
      </c>
      <c r="T4012" s="81" t="e">
        <f>HLOOKUP(M4012,データについて!$J$7:$M$18,12,FALSE)</f>
        <v>#N/A</v>
      </c>
      <c r="U4012" s="81" t="e">
        <f>HLOOKUP(N4012,データについて!$J$8:$M$18,11,FALSE)</f>
        <v>#N/A</v>
      </c>
      <c r="V4012" s="81" t="e">
        <f>HLOOKUP(O4012,データについて!$J$9:$M$18,10,FALSE)</f>
        <v>#N/A</v>
      </c>
      <c r="W4012" s="81" t="e">
        <f>HLOOKUP(P4012,データについて!$J$10:$M$18,9,FALSE)</f>
        <v>#N/A</v>
      </c>
      <c r="X4012" s="81" t="e">
        <f>HLOOKUP(Q4012,データについて!$J$11:$M$18,8,FALSE)</f>
        <v>#N/A</v>
      </c>
      <c r="Y4012" s="81" t="e">
        <f>HLOOKUP(R4012,データについて!$J$12:$M$18,7,FALSE)</f>
        <v>#N/A</v>
      </c>
      <c r="Z4012" s="81" t="e">
        <f>HLOOKUP(I4012,データについて!$J$3:$M$18,16,FALSE)</f>
        <v>#N/A</v>
      </c>
      <c r="AA4012" s="81" t="str">
        <f>IFERROR(HLOOKUP(J4012,データについて!$J$4:$AH$19,16,FALSE),"")</f>
        <v/>
      </c>
      <c r="AB4012" s="81" t="str">
        <f>IFERROR(HLOOKUP(K4012,データについて!$J$5:$AH$20,14,FALSE),"")</f>
        <v/>
      </c>
      <c r="AC4012" s="81" t="e">
        <f>IF(X4012=1,HLOOKUP(R4012,データについて!$J$12:$M$18,7,FALSE),"*")</f>
        <v>#N/A</v>
      </c>
      <c r="AD4012" s="81" t="e">
        <f>IF(X4012=2,HLOOKUP(R4012,データについて!$J$12:$M$18,7,FALSE),"*")</f>
        <v>#N/A</v>
      </c>
    </row>
    <row r="4013" spans="19:30">
      <c r="S4013" s="81" t="e">
        <f>HLOOKUP(L4013,データについて!$J$6:$M$18,13,FALSE)</f>
        <v>#N/A</v>
      </c>
      <c r="T4013" s="81" t="e">
        <f>HLOOKUP(M4013,データについて!$J$7:$M$18,12,FALSE)</f>
        <v>#N/A</v>
      </c>
      <c r="U4013" s="81" t="e">
        <f>HLOOKUP(N4013,データについて!$J$8:$M$18,11,FALSE)</f>
        <v>#N/A</v>
      </c>
      <c r="V4013" s="81" t="e">
        <f>HLOOKUP(O4013,データについて!$J$9:$M$18,10,FALSE)</f>
        <v>#N/A</v>
      </c>
      <c r="W4013" s="81" t="e">
        <f>HLOOKUP(P4013,データについて!$J$10:$M$18,9,FALSE)</f>
        <v>#N/A</v>
      </c>
      <c r="X4013" s="81" t="e">
        <f>HLOOKUP(Q4013,データについて!$J$11:$M$18,8,FALSE)</f>
        <v>#N/A</v>
      </c>
      <c r="Y4013" s="81" t="e">
        <f>HLOOKUP(R4013,データについて!$J$12:$M$18,7,FALSE)</f>
        <v>#N/A</v>
      </c>
      <c r="Z4013" s="81" t="e">
        <f>HLOOKUP(I4013,データについて!$J$3:$M$18,16,FALSE)</f>
        <v>#N/A</v>
      </c>
      <c r="AA4013" s="81" t="str">
        <f>IFERROR(HLOOKUP(J4013,データについて!$J$4:$AH$19,16,FALSE),"")</f>
        <v/>
      </c>
      <c r="AB4013" s="81" t="str">
        <f>IFERROR(HLOOKUP(K4013,データについて!$J$5:$AH$20,14,FALSE),"")</f>
        <v/>
      </c>
      <c r="AC4013" s="81" t="e">
        <f>IF(X4013=1,HLOOKUP(R4013,データについて!$J$12:$M$18,7,FALSE),"*")</f>
        <v>#N/A</v>
      </c>
      <c r="AD4013" s="81" t="e">
        <f>IF(X4013=2,HLOOKUP(R4013,データについて!$J$12:$M$18,7,FALSE),"*")</f>
        <v>#N/A</v>
      </c>
    </row>
    <row r="4014" spans="19:30">
      <c r="S4014" s="81" t="e">
        <f>HLOOKUP(L4014,データについて!$J$6:$M$18,13,FALSE)</f>
        <v>#N/A</v>
      </c>
      <c r="T4014" s="81" t="e">
        <f>HLOOKUP(M4014,データについて!$J$7:$M$18,12,FALSE)</f>
        <v>#N/A</v>
      </c>
      <c r="U4014" s="81" t="e">
        <f>HLOOKUP(N4014,データについて!$J$8:$M$18,11,FALSE)</f>
        <v>#N/A</v>
      </c>
      <c r="V4014" s="81" t="e">
        <f>HLOOKUP(O4014,データについて!$J$9:$M$18,10,FALSE)</f>
        <v>#N/A</v>
      </c>
      <c r="W4014" s="81" t="e">
        <f>HLOOKUP(P4014,データについて!$J$10:$M$18,9,FALSE)</f>
        <v>#N/A</v>
      </c>
      <c r="X4014" s="81" t="e">
        <f>HLOOKUP(Q4014,データについて!$J$11:$M$18,8,FALSE)</f>
        <v>#N/A</v>
      </c>
      <c r="Y4014" s="81" t="e">
        <f>HLOOKUP(R4014,データについて!$J$12:$M$18,7,FALSE)</f>
        <v>#N/A</v>
      </c>
      <c r="Z4014" s="81" t="e">
        <f>HLOOKUP(I4014,データについて!$J$3:$M$18,16,FALSE)</f>
        <v>#N/A</v>
      </c>
      <c r="AA4014" s="81" t="str">
        <f>IFERROR(HLOOKUP(J4014,データについて!$J$4:$AH$19,16,FALSE),"")</f>
        <v/>
      </c>
      <c r="AB4014" s="81" t="str">
        <f>IFERROR(HLOOKUP(K4014,データについて!$J$5:$AH$20,14,FALSE),"")</f>
        <v/>
      </c>
      <c r="AC4014" s="81" t="e">
        <f>IF(X4014=1,HLOOKUP(R4014,データについて!$J$12:$M$18,7,FALSE),"*")</f>
        <v>#N/A</v>
      </c>
      <c r="AD4014" s="81" t="e">
        <f>IF(X4014=2,HLOOKUP(R4014,データについて!$J$12:$M$18,7,FALSE),"*")</f>
        <v>#N/A</v>
      </c>
    </row>
    <row r="4015" spans="19:30">
      <c r="S4015" s="81" t="e">
        <f>HLOOKUP(L4015,データについて!$J$6:$M$18,13,FALSE)</f>
        <v>#N/A</v>
      </c>
      <c r="T4015" s="81" t="e">
        <f>HLOOKUP(M4015,データについて!$J$7:$M$18,12,FALSE)</f>
        <v>#N/A</v>
      </c>
      <c r="U4015" s="81" t="e">
        <f>HLOOKUP(N4015,データについて!$J$8:$M$18,11,FALSE)</f>
        <v>#N/A</v>
      </c>
      <c r="V4015" s="81" t="e">
        <f>HLOOKUP(O4015,データについて!$J$9:$M$18,10,FALSE)</f>
        <v>#N/A</v>
      </c>
      <c r="W4015" s="81" t="e">
        <f>HLOOKUP(P4015,データについて!$J$10:$M$18,9,FALSE)</f>
        <v>#N/A</v>
      </c>
      <c r="X4015" s="81" t="e">
        <f>HLOOKUP(Q4015,データについて!$J$11:$M$18,8,FALSE)</f>
        <v>#N/A</v>
      </c>
      <c r="Y4015" s="81" t="e">
        <f>HLOOKUP(R4015,データについて!$J$12:$M$18,7,FALSE)</f>
        <v>#N/A</v>
      </c>
      <c r="Z4015" s="81" t="e">
        <f>HLOOKUP(I4015,データについて!$J$3:$M$18,16,FALSE)</f>
        <v>#N/A</v>
      </c>
      <c r="AA4015" s="81" t="str">
        <f>IFERROR(HLOOKUP(J4015,データについて!$J$4:$AH$19,16,FALSE),"")</f>
        <v/>
      </c>
      <c r="AB4015" s="81" t="str">
        <f>IFERROR(HLOOKUP(K4015,データについて!$J$5:$AH$20,14,FALSE),"")</f>
        <v/>
      </c>
      <c r="AC4015" s="81" t="e">
        <f>IF(X4015=1,HLOOKUP(R4015,データについて!$J$12:$M$18,7,FALSE),"*")</f>
        <v>#N/A</v>
      </c>
      <c r="AD4015" s="81" t="e">
        <f>IF(X4015=2,HLOOKUP(R4015,データについて!$J$12:$M$18,7,FALSE),"*")</f>
        <v>#N/A</v>
      </c>
    </row>
    <row r="4016" spans="19:30">
      <c r="S4016" s="81" t="e">
        <f>HLOOKUP(L4016,データについて!$J$6:$M$18,13,FALSE)</f>
        <v>#N/A</v>
      </c>
      <c r="T4016" s="81" t="e">
        <f>HLOOKUP(M4016,データについて!$J$7:$M$18,12,FALSE)</f>
        <v>#N/A</v>
      </c>
      <c r="U4016" s="81" t="e">
        <f>HLOOKUP(N4016,データについて!$J$8:$M$18,11,FALSE)</f>
        <v>#N/A</v>
      </c>
      <c r="V4016" s="81" t="e">
        <f>HLOOKUP(O4016,データについて!$J$9:$M$18,10,FALSE)</f>
        <v>#N/A</v>
      </c>
      <c r="W4016" s="81" t="e">
        <f>HLOOKUP(P4016,データについて!$J$10:$M$18,9,FALSE)</f>
        <v>#N/A</v>
      </c>
      <c r="X4016" s="81" t="e">
        <f>HLOOKUP(Q4016,データについて!$J$11:$M$18,8,FALSE)</f>
        <v>#N/A</v>
      </c>
      <c r="Y4016" s="81" t="e">
        <f>HLOOKUP(R4016,データについて!$J$12:$M$18,7,FALSE)</f>
        <v>#N/A</v>
      </c>
      <c r="Z4016" s="81" t="e">
        <f>HLOOKUP(I4016,データについて!$J$3:$M$18,16,FALSE)</f>
        <v>#N/A</v>
      </c>
      <c r="AA4016" s="81" t="str">
        <f>IFERROR(HLOOKUP(J4016,データについて!$J$4:$AH$19,16,FALSE),"")</f>
        <v/>
      </c>
      <c r="AB4016" s="81" t="str">
        <f>IFERROR(HLOOKUP(K4016,データについて!$J$5:$AH$20,14,FALSE),"")</f>
        <v/>
      </c>
      <c r="AC4016" s="81" t="e">
        <f>IF(X4016=1,HLOOKUP(R4016,データについて!$J$12:$M$18,7,FALSE),"*")</f>
        <v>#N/A</v>
      </c>
      <c r="AD4016" s="81" t="e">
        <f>IF(X4016=2,HLOOKUP(R4016,データについて!$J$12:$M$18,7,FALSE),"*")</f>
        <v>#N/A</v>
      </c>
    </row>
    <row r="4017" spans="19:30">
      <c r="S4017" s="81" t="e">
        <f>HLOOKUP(L4017,データについて!$J$6:$M$18,13,FALSE)</f>
        <v>#N/A</v>
      </c>
      <c r="T4017" s="81" t="e">
        <f>HLOOKUP(M4017,データについて!$J$7:$M$18,12,FALSE)</f>
        <v>#N/A</v>
      </c>
      <c r="U4017" s="81" t="e">
        <f>HLOOKUP(N4017,データについて!$J$8:$M$18,11,FALSE)</f>
        <v>#N/A</v>
      </c>
      <c r="V4017" s="81" t="e">
        <f>HLOOKUP(O4017,データについて!$J$9:$M$18,10,FALSE)</f>
        <v>#N/A</v>
      </c>
      <c r="W4017" s="81" t="e">
        <f>HLOOKUP(P4017,データについて!$J$10:$M$18,9,FALSE)</f>
        <v>#N/A</v>
      </c>
      <c r="X4017" s="81" t="e">
        <f>HLOOKUP(Q4017,データについて!$J$11:$M$18,8,FALSE)</f>
        <v>#N/A</v>
      </c>
      <c r="Y4017" s="81" t="e">
        <f>HLOOKUP(R4017,データについて!$J$12:$M$18,7,FALSE)</f>
        <v>#N/A</v>
      </c>
      <c r="Z4017" s="81" t="e">
        <f>HLOOKUP(I4017,データについて!$J$3:$M$18,16,FALSE)</f>
        <v>#N/A</v>
      </c>
      <c r="AA4017" s="81" t="str">
        <f>IFERROR(HLOOKUP(J4017,データについて!$J$4:$AH$19,16,FALSE),"")</f>
        <v/>
      </c>
      <c r="AB4017" s="81" t="str">
        <f>IFERROR(HLOOKUP(K4017,データについて!$J$5:$AH$20,14,FALSE),"")</f>
        <v/>
      </c>
      <c r="AC4017" s="81" t="e">
        <f>IF(X4017=1,HLOOKUP(R4017,データについて!$J$12:$M$18,7,FALSE),"*")</f>
        <v>#N/A</v>
      </c>
      <c r="AD4017" s="81" t="e">
        <f>IF(X4017=2,HLOOKUP(R4017,データについて!$J$12:$M$18,7,FALSE),"*")</f>
        <v>#N/A</v>
      </c>
    </row>
    <row r="4018" spans="19:30">
      <c r="S4018" s="81" t="e">
        <f>HLOOKUP(L4018,データについて!$J$6:$M$18,13,FALSE)</f>
        <v>#N/A</v>
      </c>
      <c r="T4018" s="81" t="e">
        <f>HLOOKUP(M4018,データについて!$J$7:$M$18,12,FALSE)</f>
        <v>#N/A</v>
      </c>
      <c r="U4018" s="81" t="e">
        <f>HLOOKUP(N4018,データについて!$J$8:$M$18,11,FALSE)</f>
        <v>#N/A</v>
      </c>
      <c r="V4018" s="81" t="e">
        <f>HLOOKUP(O4018,データについて!$J$9:$M$18,10,FALSE)</f>
        <v>#N/A</v>
      </c>
      <c r="W4018" s="81" t="e">
        <f>HLOOKUP(P4018,データについて!$J$10:$M$18,9,FALSE)</f>
        <v>#N/A</v>
      </c>
      <c r="X4018" s="81" t="e">
        <f>HLOOKUP(Q4018,データについて!$J$11:$M$18,8,FALSE)</f>
        <v>#N/A</v>
      </c>
      <c r="Y4018" s="81" t="e">
        <f>HLOOKUP(R4018,データについて!$J$12:$M$18,7,FALSE)</f>
        <v>#N/A</v>
      </c>
      <c r="Z4018" s="81" t="e">
        <f>HLOOKUP(I4018,データについて!$J$3:$M$18,16,FALSE)</f>
        <v>#N/A</v>
      </c>
      <c r="AA4018" s="81" t="str">
        <f>IFERROR(HLOOKUP(J4018,データについて!$J$4:$AH$19,16,FALSE),"")</f>
        <v/>
      </c>
      <c r="AB4018" s="81" t="str">
        <f>IFERROR(HLOOKUP(K4018,データについて!$J$5:$AH$20,14,FALSE),"")</f>
        <v/>
      </c>
      <c r="AC4018" s="81" t="e">
        <f>IF(X4018=1,HLOOKUP(R4018,データについて!$J$12:$M$18,7,FALSE),"*")</f>
        <v>#N/A</v>
      </c>
      <c r="AD4018" s="81" t="e">
        <f>IF(X4018=2,HLOOKUP(R4018,データについて!$J$12:$M$18,7,FALSE),"*")</f>
        <v>#N/A</v>
      </c>
    </row>
    <row r="4019" spans="19:30">
      <c r="S4019" s="81" t="e">
        <f>HLOOKUP(L4019,データについて!$J$6:$M$18,13,FALSE)</f>
        <v>#N/A</v>
      </c>
      <c r="T4019" s="81" t="e">
        <f>HLOOKUP(M4019,データについて!$J$7:$M$18,12,FALSE)</f>
        <v>#N/A</v>
      </c>
      <c r="U4019" s="81" t="e">
        <f>HLOOKUP(N4019,データについて!$J$8:$M$18,11,FALSE)</f>
        <v>#N/A</v>
      </c>
      <c r="V4019" s="81" t="e">
        <f>HLOOKUP(O4019,データについて!$J$9:$M$18,10,FALSE)</f>
        <v>#N/A</v>
      </c>
      <c r="W4019" s="81" t="e">
        <f>HLOOKUP(P4019,データについて!$J$10:$M$18,9,FALSE)</f>
        <v>#N/A</v>
      </c>
      <c r="X4019" s="81" t="e">
        <f>HLOOKUP(Q4019,データについて!$J$11:$M$18,8,FALSE)</f>
        <v>#N/A</v>
      </c>
      <c r="Y4019" s="81" t="e">
        <f>HLOOKUP(R4019,データについて!$J$12:$M$18,7,FALSE)</f>
        <v>#N/A</v>
      </c>
      <c r="Z4019" s="81" t="e">
        <f>HLOOKUP(I4019,データについて!$J$3:$M$18,16,FALSE)</f>
        <v>#N/A</v>
      </c>
      <c r="AA4019" s="81" t="str">
        <f>IFERROR(HLOOKUP(J4019,データについて!$J$4:$AH$19,16,FALSE),"")</f>
        <v/>
      </c>
      <c r="AB4019" s="81" t="str">
        <f>IFERROR(HLOOKUP(K4019,データについて!$J$5:$AH$20,14,FALSE),"")</f>
        <v/>
      </c>
      <c r="AC4019" s="81" t="e">
        <f>IF(X4019=1,HLOOKUP(R4019,データについて!$J$12:$M$18,7,FALSE),"*")</f>
        <v>#N/A</v>
      </c>
      <c r="AD4019" s="81" t="e">
        <f>IF(X4019=2,HLOOKUP(R4019,データについて!$J$12:$M$18,7,FALSE),"*")</f>
        <v>#N/A</v>
      </c>
    </row>
    <row r="4020" spans="19:30">
      <c r="S4020" s="81" t="e">
        <f>HLOOKUP(L4020,データについて!$J$6:$M$18,13,FALSE)</f>
        <v>#N/A</v>
      </c>
      <c r="T4020" s="81" t="e">
        <f>HLOOKUP(M4020,データについて!$J$7:$M$18,12,FALSE)</f>
        <v>#N/A</v>
      </c>
      <c r="U4020" s="81" t="e">
        <f>HLOOKUP(N4020,データについて!$J$8:$M$18,11,FALSE)</f>
        <v>#N/A</v>
      </c>
      <c r="V4020" s="81" t="e">
        <f>HLOOKUP(O4020,データについて!$J$9:$M$18,10,FALSE)</f>
        <v>#N/A</v>
      </c>
      <c r="W4020" s="81" t="e">
        <f>HLOOKUP(P4020,データについて!$J$10:$M$18,9,FALSE)</f>
        <v>#N/A</v>
      </c>
      <c r="X4020" s="81" t="e">
        <f>HLOOKUP(Q4020,データについて!$J$11:$M$18,8,FALSE)</f>
        <v>#N/A</v>
      </c>
      <c r="Y4020" s="81" t="e">
        <f>HLOOKUP(R4020,データについて!$J$12:$M$18,7,FALSE)</f>
        <v>#N/A</v>
      </c>
      <c r="Z4020" s="81" t="e">
        <f>HLOOKUP(I4020,データについて!$J$3:$M$18,16,FALSE)</f>
        <v>#N/A</v>
      </c>
      <c r="AA4020" s="81" t="str">
        <f>IFERROR(HLOOKUP(J4020,データについて!$J$4:$AH$19,16,FALSE),"")</f>
        <v/>
      </c>
      <c r="AB4020" s="81" t="str">
        <f>IFERROR(HLOOKUP(K4020,データについて!$J$5:$AH$20,14,FALSE),"")</f>
        <v/>
      </c>
      <c r="AC4020" s="81" t="e">
        <f>IF(X4020=1,HLOOKUP(R4020,データについて!$J$12:$M$18,7,FALSE),"*")</f>
        <v>#N/A</v>
      </c>
      <c r="AD4020" s="81" t="e">
        <f>IF(X4020=2,HLOOKUP(R4020,データについて!$J$12:$M$18,7,FALSE),"*")</f>
        <v>#N/A</v>
      </c>
    </row>
    <row r="4021" spans="19:30">
      <c r="S4021" s="81" t="e">
        <f>HLOOKUP(L4021,データについて!$J$6:$M$18,13,FALSE)</f>
        <v>#N/A</v>
      </c>
      <c r="T4021" s="81" t="e">
        <f>HLOOKUP(M4021,データについて!$J$7:$M$18,12,FALSE)</f>
        <v>#N/A</v>
      </c>
      <c r="U4021" s="81" t="e">
        <f>HLOOKUP(N4021,データについて!$J$8:$M$18,11,FALSE)</f>
        <v>#N/A</v>
      </c>
      <c r="V4021" s="81" t="e">
        <f>HLOOKUP(O4021,データについて!$J$9:$M$18,10,FALSE)</f>
        <v>#N/A</v>
      </c>
      <c r="W4021" s="81" t="e">
        <f>HLOOKUP(P4021,データについて!$J$10:$M$18,9,FALSE)</f>
        <v>#N/A</v>
      </c>
      <c r="X4021" s="81" t="e">
        <f>HLOOKUP(Q4021,データについて!$J$11:$M$18,8,FALSE)</f>
        <v>#N/A</v>
      </c>
      <c r="Y4021" s="81" t="e">
        <f>HLOOKUP(R4021,データについて!$J$12:$M$18,7,FALSE)</f>
        <v>#N/A</v>
      </c>
      <c r="Z4021" s="81" t="e">
        <f>HLOOKUP(I4021,データについて!$J$3:$M$18,16,FALSE)</f>
        <v>#N/A</v>
      </c>
      <c r="AA4021" s="81" t="str">
        <f>IFERROR(HLOOKUP(J4021,データについて!$J$4:$AH$19,16,FALSE),"")</f>
        <v/>
      </c>
      <c r="AB4021" s="81" t="str">
        <f>IFERROR(HLOOKUP(K4021,データについて!$J$5:$AH$20,14,FALSE),"")</f>
        <v/>
      </c>
      <c r="AC4021" s="81" t="e">
        <f>IF(X4021=1,HLOOKUP(R4021,データについて!$J$12:$M$18,7,FALSE),"*")</f>
        <v>#N/A</v>
      </c>
      <c r="AD4021" s="81" t="e">
        <f>IF(X4021=2,HLOOKUP(R4021,データについて!$J$12:$M$18,7,FALSE),"*")</f>
        <v>#N/A</v>
      </c>
    </row>
    <row r="4022" spans="19:30">
      <c r="S4022" s="81" t="e">
        <f>HLOOKUP(L4022,データについて!$J$6:$M$18,13,FALSE)</f>
        <v>#N/A</v>
      </c>
      <c r="T4022" s="81" t="e">
        <f>HLOOKUP(M4022,データについて!$J$7:$M$18,12,FALSE)</f>
        <v>#N/A</v>
      </c>
      <c r="U4022" s="81" t="e">
        <f>HLOOKUP(N4022,データについて!$J$8:$M$18,11,FALSE)</f>
        <v>#N/A</v>
      </c>
      <c r="V4022" s="81" t="e">
        <f>HLOOKUP(O4022,データについて!$J$9:$M$18,10,FALSE)</f>
        <v>#N/A</v>
      </c>
      <c r="W4022" s="81" t="e">
        <f>HLOOKUP(P4022,データについて!$J$10:$M$18,9,FALSE)</f>
        <v>#N/A</v>
      </c>
      <c r="X4022" s="81" t="e">
        <f>HLOOKUP(Q4022,データについて!$J$11:$M$18,8,FALSE)</f>
        <v>#N/A</v>
      </c>
      <c r="Y4022" s="81" t="e">
        <f>HLOOKUP(R4022,データについて!$J$12:$M$18,7,FALSE)</f>
        <v>#N/A</v>
      </c>
      <c r="Z4022" s="81" t="e">
        <f>HLOOKUP(I4022,データについて!$J$3:$M$18,16,FALSE)</f>
        <v>#N/A</v>
      </c>
      <c r="AA4022" s="81" t="str">
        <f>IFERROR(HLOOKUP(J4022,データについて!$J$4:$AH$19,16,FALSE),"")</f>
        <v/>
      </c>
      <c r="AB4022" s="81" t="str">
        <f>IFERROR(HLOOKUP(K4022,データについて!$J$5:$AH$20,14,FALSE),"")</f>
        <v/>
      </c>
      <c r="AC4022" s="81" t="e">
        <f>IF(X4022=1,HLOOKUP(R4022,データについて!$J$12:$M$18,7,FALSE),"*")</f>
        <v>#N/A</v>
      </c>
      <c r="AD4022" s="81" t="e">
        <f>IF(X4022=2,HLOOKUP(R4022,データについて!$J$12:$M$18,7,FALSE),"*")</f>
        <v>#N/A</v>
      </c>
    </row>
    <row r="4023" spans="19:30">
      <c r="S4023" s="81" t="e">
        <f>HLOOKUP(L4023,データについて!$J$6:$M$18,13,FALSE)</f>
        <v>#N/A</v>
      </c>
      <c r="T4023" s="81" t="e">
        <f>HLOOKUP(M4023,データについて!$J$7:$M$18,12,FALSE)</f>
        <v>#N/A</v>
      </c>
      <c r="U4023" s="81" t="e">
        <f>HLOOKUP(N4023,データについて!$J$8:$M$18,11,FALSE)</f>
        <v>#N/A</v>
      </c>
      <c r="V4023" s="81" t="e">
        <f>HLOOKUP(O4023,データについて!$J$9:$M$18,10,FALSE)</f>
        <v>#N/A</v>
      </c>
      <c r="W4023" s="81" t="e">
        <f>HLOOKUP(P4023,データについて!$J$10:$M$18,9,FALSE)</f>
        <v>#N/A</v>
      </c>
      <c r="X4023" s="81" t="e">
        <f>HLOOKUP(Q4023,データについて!$J$11:$M$18,8,FALSE)</f>
        <v>#N/A</v>
      </c>
      <c r="Y4023" s="81" t="e">
        <f>HLOOKUP(R4023,データについて!$J$12:$M$18,7,FALSE)</f>
        <v>#N/A</v>
      </c>
      <c r="Z4023" s="81" t="e">
        <f>HLOOKUP(I4023,データについて!$J$3:$M$18,16,FALSE)</f>
        <v>#N/A</v>
      </c>
      <c r="AA4023" s="81" t="str">
        <f>IFERROR(HLOOKUP(J4023,データについて!$J$4:$AH$19,16,FALSE),"")</f>
        <v/>
      </c>
      <c r="AB4023" s="81" t="str">
        <f>IFERROR(HLOOKUP(K4023,データについて!$J$5:$AH$20,14,FALSE),"")</f>
        <v/>
      </c>
      <c r="AC4023" s="81" t="e">
        <f>IF(X4023=1,HLOOKUP(R4023,データについて!$J$12:$M$18,7,FALSE),"*")</f>
        <v>#N/A</v>
      </c>
      <c r="AD4023" s="81" t="e">
        <f>IF(X4023=2,HLOOKUP(R4023,データについて!$J$12:$M$18,7,FALSE),"*")</f>
        <v>#N/A</v>
      </c>
    </row>
    <row r="4024" spans="19:30">
      <c r="S4024" s="81" t="e">
        <f>HLOOKUP(L4024,データについて!$J$6:$M$18,13,FALSE)</f>
        <v>#N/A</v>
      </c>
      <c r="T4024" s="81" t="e">
        <f>HLOOKUP(M4024,データについて!$J$7:$M$18,12,FALSE)</f>
        <v>#N/A</v>
      </c>
      <c r="U4024" s="81" t="e">
        <f>HLOOKUP(N4024,データについて!$J$8:$M$18,11,FALSE)</f>
        <v>#N/A</v>
      </c>
      <c r="V4024" s="81" t="e">
        <f>HLOOKUP(O4024,データについて!$J$9:$M$18,10,FALSE)</f>
        <v>#N/A</v>
      </c>
      <c r="W4024" s="81" t="e">
        <f>HLOOKUP(P4024,データについて!$J$10:$M$18,9,FALSE)</f>
        <v>#N/A</v>
      </c>
      <c r="X4024" s="81" t="e">
        <f>HLOOKUP(Q4024,データについて!$J$11:$M$18,8,FALSE)</f>
        <v>#N/A</v>
      </c>
      <c r="Y4024" s="81" t="e">
        <f>HLOOKUP(R4024,データについて!$J$12:$M$18,7,FALSE)</f>
        <v>#N/A</v>
      </c>
      <c r="Z4024" s="81" t="e">
        <f>HLOOKUP(I4024,データについて!$J$3:$M$18,16,FALSE)</f>
        <v>#N/A</v>
      </c>
      <c r="AA4024" s="81" t="str">
        <f>IFERROR(HLOOKUP(J4024,データについて!$J$4:$AH$19,16,FALSE),"")</f>
        <v/>
      </c>
      <c r="AB4024" s="81" t="str">
        <f>IFERROR(HLOOKUP(K4024,データについて!$J$5:$AH$20,14,FALSE),"")</f>
        <v/>
      </c>
      <c r="AC4024" s="81" t="e">
        <f>IF(X4024=1,HLOOKUP(R4024,データについて!$J$12:$M$18,7,FALSE),"*")</f>
        <v>#N/A</v>
      </c>
      <c r="AD4024" s="81" t="e">
        <f>IF(X4024=2,HLOOKUP(R4024,データについて!$J$12:$M$18,7,FALSE),"*")</f>
        <v>#N/A</v>
      </c>
    </row>
    <row r="4025" spans="19:30">
      <c r="S4025" s="81" t="e">
        <f>HLOOKUP(L4025,データについて!$J$6:$M$18,13,FALSE)</f>
        <v>#N/A</v>
      </c>
      <c r="T4025" s="81" t="e">
        <f>HLOOKUP(M4025,データについて!$J$7:$M$18,12,FALSE)</f>
        <v>#N/A</v>
      </c>
      <c r="U4025" s="81" t="e">
        <f>HLOOKUP(N4025,データについて!$J$8:$M$18,11,FALSE)</f>
        <v>#N/A</v>
      </c>
      <c r="V4025" s="81" t="e">
        <f>HLOOKUP(O4025,データについて!$J$9:$M$18,10,FALSE)</f>
        <v>#N/A</v>
      </c>
      <c r="W4025" s="81" t="e">
        <f>HLOOKUP(P4025,データについて!$J$10:$M$18,9,FALSE)</f>
        <v>#N/A</v>
      </c>
      <c r="X4025" s="81" t="e">
        <f>HLOOKUP(Q4025,データについて!$J$11:$M$18,8,FALSE)</f>
        <v>#N/A</v>
      </c>
      <c r="Y4025" s="81" t="e">
        <f>HLOOKUP(R4025,データについて!$J$12:$M$18,7,FALSE)</f>
        <v>#N/A</v>
      </c>
      <c r="Z4025" s="81" t="e">
        <f>HLOOKUP(I4025,データについて!$J$3:$M$18,16,FALSE)</f>
        <v>#N/A</v>
      </c>
      <c r="AA4025" s="81" t="str">
        <f>IFERROR(HLOOKUP(J4025,データについて!$J$4:$AH$19,16,FALSE),"")</f>
        <v/>
      </c>
      <c r="AB4025" s="81" t="str">
        <f>IFERROR(HLOOKUP(K4025,データについて!$J$5:$AH$20,14,FALSE),"")</f>
        <v/>
      </c>
      <c r="AC4025" s="81" t="e">
        <f>IF(X4025=1,HLOOKUP(R4025,データについて!$J$12:$M$18,7,FALSE),"*")</f>
        <v>#N/A</v>
      </c>
      <c r="AD4025" s="81" t="e">
        <f>IF(X4025=2,HLOOKUP(R4025,データについて!$J$12:$M$18,7,FALSE),"*")</f>
        <v>#N/A</v>
      </c>
    </row>
    <row r="4026" spans="19:30">
      <c r="S4026" s="81" t="e">
        <f>HLOOKUP(L4026,データについて!$J$6:$M$18,13,FALSE)</f>
        <v>#N/A</v>
      </c>
      <c r="T4026" s="81" t="e">
        <f>HLOOKUP(M4026,データについて!$J$7:$M$18,12,FALSE)</f>
        <v>#N/A</v>
      </c>
      <c r="U4026" s="81" t="e">
        <f>HLOOKUP(N4026,データについて!$J$8:$M$18,11,FALSE)</f>
        <v>#N/A</v>
      </c>
      <c r="V4026" s="81" t="e">
        <f>HLOOKUP(O4026,データについて!$J$9:$M$18,10,FALSE)</f>
        <v>#N/A</v>
      </c>
      <c r="W4026" s="81" t="e">
        <f>HLOOKUP(P4026,データについて!$J$10:$M$18,9,FALSE)</f>
        <v>#N/A</v>
      </c>
      <c r="X4026" s="81" t="e">
        <f>HLOOKUP(Q4026,データについて!$J$11:$M$18,8,FALSE)</f>
        <v>#N/A</v>
      </c>
      <c r="Y4026" s="81" t="e">
        <f>HLOOKUP(R4026,データについて!$J$12:$M$18,7,FALSE)</f>
        <v>#N/A</v>
      </c>
      <c r="Z4026" s="81" t="e">
        <f>HLOOKUP(I4026,データについて!$J$3:$M$18,16,FALSE)</f>
        <v>#N/A</v>
      </c>
      <c r="AA4026" s="81" t="str">
        <f>IFERROR(HLOOKUP(J4026,データについて!$J$4:$AH$19,16,FALSE),"")</f>
        <v/>
      </c>
      <c r="AB4026" s="81" t="str">
        <f>IFERROR(HLOOKUP(K4026,データについて!$J$5:$AH$20,14,FALSE),"")</f>
        <v/>
      </c>
      <c r="AC4026" s="81" t="e">
        <f>IF(X4026=1,HLOOKUP(R4026,データについて!$J$12:$M$18,7,FALSE),"*")</f>
        <v>#N/A</v>
      </c>
      <c r="AD4026" s="81" t="e">
        <f>IF(X4026=2,HLOOKUP(R4026,データについて!$J$12:$M$18,7,FALSE),"*")</f>
        <v>#N/A</v>
      </c>
    </row>
    <row r="4027" spans="19:30">
      <c r="S4027" s="81" t="e">
        <f>HLOOKUP(L4027,データについて!$J$6:$M$18,13,FALSE)</f>
        <v>#N/A</v>
      </c>
      <c r="T4027" s="81" t="e">
        <f>HLOOKUP(M4027,データについて!$J$7:$M$18,12,FALSE)</f>
        <v>#N/A</v>
      </c>
      <c r="U4027" s="81" t="e">
        <f>HLOOKUP(N4027,データについて!$J$8:$M$18,11,FALSE)</f>
        <v>#N/A</v>
      </c>
      <c r="V4027" s="81" t="e">
        <f>HLOOKUP(O4027,データについて!$J$9:$M$18,10,FALSE)</f>
        <v>#N/A</v>
      </c>
      <c r="W4027" s="81" t="e">
        <f>HLOOKUP(P4027,データについて!$J$10:$M$18,9,FALSE)</f>
        <v>#N/A</v>
      </c>
      <c r="X4027" s="81" t="e">
        <f>HLOOKUP(Q4027,データについて!$J$11:$M$18,8,FALSE)</f>
        <v>#N/A</v>
      </c>
      <c r="Y4027" s="81" t="e">
        <f>HLOOKUP(R4027,データについて!$J$12:$M$18,7,FALSE)</f>
        <v>#N/A</v>
      </c>
      <c r="Z4027" s="81" t="e">
        <f>HLOOKUP(I4027,データについて!$J$3:$M$18,16,FALSE)</f>
        <v>#N/A</v>
      </c>
      <c r="AA4027" s="81" t="str">
        <f>IFERROR(HLOOKUP(J4027,データについて!$J$4:$AH$19,16,FALSE),"")</f>
        <v/>
      </c>
      <c r="AB4027" s="81" t="str">
        <f>IFERROR(HLOOKUP(K4027,データについて!$J$5:$AH$20,14,FALSE),"")</f>
        <v/>
      </c>
      <c r="AC4027" s="81" t="e">
        <f>IF(X4027=1,HLOOKUP(R4027,データについて!$J$12:$M$18,7,FALSE),"*")</f>
        <v>#N/A</v>
      </c>
      <c r="AD4027" s="81" t="e">
        <f>IF(X4027=2,HLOOKUP(R4027,データについて!$J$12:$M$18,7,FALSE),"*")</f>
        <v>#N/A</v>
      </c>
    </row>
    <row r="4028" spans="19:30">
      <c r="S4028" s="81" t="e">
        <f>HLOOKUP(L4028,データについて!$J$6:$M$18,13,FALSE)</f>
        <v>#N/A</v>
      </c>
      <c r="T4028" s="81" t="e">
        <f>HLOOKUP(M4028,データについて!$J$7:$M$18,12,FALSE)</f>
        <v>#N/A</v>
      </c>
      <c r="U4028" s="81" t="e">
        <f>HLOOKUP(N4028,データについて!$J$8:$M$18,11,FALSE)</f>
        <v>#N/A</v>
      </c>
      <c r="V4028" s="81" t="e">
        <f>HLOOKUP(O4028,データについて!$J$9:$M$18,10,FALSE)</f>
        <v>#N/A</v>
      </c>
      <c r="W4028" s="81" t="e">
        <f>HLOOKUP(P4028,データについて!$J$10:$M$18,9,FALSE)</f>
        <v>#N/A</v>
      </c>
      <c r="X4028" s="81" t="e">
        <f>HLOOKUP(Q4028,データについて!$J$11:$M$18,8,FALSE)</f>
        <v>#N/A</v>
      </c>
      <c r="Y4028" s="81" t="e">
        <f>HLOOKUP(R4028,データについて!$J$12:$M$18,7,FALSE)</f>
        <v>#N/A</v>
      </c>
      <c r="Z4028" s="81" t="e">
        <f>HLOOKUP(I4028,データについて!$J$3:$M$18,16,FALSE)</f>
        <v>#N/A</v>
      </c>
      <c r="AA4028" s="81" t="str">
        <f>IFERROR(HLOOKUP(J4028,データについて!$J$4:$AH$19,16,FALSE),"")</f>
        <v/>
      </c>
      <c r="AB4028" s="81" t="str">
        <f>IFERROR(HLOOKUP(K4028,データについて!$J$5:$AH$20,14,FALSE),"")</f>
        <v/>
      </c>
      <c r="AC4028" s="81" t="e">
        <f>IF(X4028=1,HLOOKUP(R4028,データについて!$J$12:$M$18,7,FALSE),"*")</f>
        <v>#N/A</v>
      </c>
      <c r="AD4028" s="81" t="e">
        <f>IF(X4028=2,HLOOKUP(R4028,データについて!$J$12:$M$18,7,FALSE),"*")</f>
        <v>#N/A</v>
      </c>
    </row>
    <row r="4029" spans="19:30">
      <c r="S4029" s="81" t="e">
        <f>HLOOKUP(L4029,データについて!$J$6:$M$18,13,FALSE)</f>
        <v>#N/A</v>
      </c>
      <c r="T4029" s="81" t="e">
        <f>HLOOKUP(M4029,データについて!$J$7:$M$18,12,FALSE)</f>
        <v>#N/A</v>
      </c>
      <c r="U4029" s="81" t="e">
        <f>HLOOKUP(N4029,データについて!$J$8:$M$18,11,FALSE)</f>
        <v>#N/A</v>
      </c>
      <c r="V4029" s="81" t="e">
        <f>HLOOKUP(O4029,データについて!$J$9:$M$18,10,FALSE)</f>
        <v>#N/A</v>
      </c>
      <c r="W4029" s="81" t="e">
        <f>HLOOKUP(P4029,データについて!$J$10:$M$18,9,FALSE)</f>
        <v>#N/A</v>
      </c>
      <c r="X4029" s="81" t="e">
        <f>HLOOKUP(Q4029,データについて!$J$11:$M$18,8,FALSE)</f>
        <v>#N/A</v>
      </c>
      <c r="Y4029" s="81" t="e">
        <f>HLOOKUP(R4029,データについて!$J$12:$M$18,7,FALSE)</f>
        <v>#N/A</v>
      </c>
      <c r="Z4029" s="81" t="e">
        <f>HLOOKUP(I4029,データについて!$J$3:$M$18,16,FALSE)</f>
        <v>#N/A</v>
      </c>
      <c r="AA4029" s="81" t="str">
        <f>IFERROR(HLOOKUP(J4029,データについて!$J$4:$AH$19,16,FALSE),"")</f>
        <v/>
      </c>
      <c r="AB4029" s="81" t="str">
        <f>IFERROR(HLOOKUP(K4029,データについて!$J$5:$AH$20,14,FALSE),"")</f>
        <v/>
      </c>
      <c r="AC4029" s="81" t="e">
        <f>IF(X4029=1,HLOOKUP(R4029,データについて!$J$12:$M$18,7,FALSE),"*")</f>
        <v>#N/A</v>
      </c>
      <c r="AD4029" s="81" t="e">
        <f>IF(X4029=2,HLOOKUP(R4029,データについて!$J$12:$M$18,7,FALSE),"*")</f>
        <v>#N/A</v>
      </c>
    </row>
    <row r="4030" spans="19:30">
      <c r="S4030" s="81" t="e">
        <f>HLOOKUP(L4030,データについて!$J$6:$M$18,13,FALSE)</f>
        <v>#N/A</v>
      </c>
      <c r="T4030" s="81" t="e">
        <f>HLOOKUP(M4030,データについて!$J$7:$M$18,12,FALSE)</f>
        <v>#N/A</v>
      </c>
      <c r="U4030" s="81" t="e">
        <f>HLOOKUP(N4030,データについて!$J$8:$M$18,11,FALSE)</f>
        <v>#N/A</v>
      </c>
      <c r="V4030" s="81" t="e">
        <f>HLOOKUP(O4030,データについて!$J$9:$M$18,10,FALSE)</f>
        <v>#N/A</v>
      </c>
      <c r="W4030" s="81" t="e">
        <f>HLOOKUP(P4030,データについて!$J$10:$M$18,9,FALSE)</f>
        <v>#N/A</v>
      </c>
      <c r="X4030" s="81" t="e">
        <f>HLOOKUP(Q4030,データについて!$J$11:$M$18,8,FALSE)</f>
        <v>#N/A</v>
      </c>
      <c r="Y4030" s="81" t="e">
        <f>HLOOKUP(R4030,データについて!$J$12:$M$18,7,FALSE)</f>
        <v>#N/A</v>
      </c>
      <c r="Z4030" s="81" t="e">
        <f>HLOOKUP(I4030,データについて!$J$3:$M$18,16,FALSE)</f>
        <v>#N/A</v>
      </c>
      <c r="AA4030" s="81" t="str">
        <f>IFERROR(HLOOKUP(J4030,データについて!$J$4:$AH$19,16,FALSE),"")</f>
        <v/>
      </c>
      <c r="AB4030" s="81" t="str">
        <f>IFERROR(HLOOKUP(K4030,データについて!$J$5:$AH$20,14,FALSE),"")</f>
        <v/>
      </c>
      <c r="AC4030" s="81" t="e">
        <f>IF(X4030=1,HLOOKUP(R4030,データについて!$J$12:$M$18,7,FALSE),"*")</f>
        <v>#N/A</v>
      </c>
      <c r="AD4030" s="81" t="e">
        <f>IF(X4030=2,HLOOKUP(R4030,データについて!$J$12:$M$18,7,FALSE),"*")</f>
        <v>#N/A</v>
      </c>
    </row>
    <row r="4031" spans="19:30">
      <c r="S4031" s="81" t="e">
        <f>HLOOKUP(L4031,データについて!$J$6:$M$18,13,FALSE)</f>
        <v>#N/A</v>
      </c>
      <c r="T4031" s="81" t="e">
        <f>HLOOKUP(M4031,データについて!$J$7:$M$18,12,FALSE)</f>
        <v>#N/A</v>
      </c>
      <c r="U4031" s="81" t="e">
        <f>HLOOKUP(N4031,データについて!$J$8:$M$18,11,FALSE)</f>
        <v>#N/A</v>
      </c>
      <c r="V4031" s="81" t="e">
        <f>HLOOKUP(O4031,データについて!$J$9:$M$18,10,FALSE)</f>
        <v>#N/A</v>
      </c>
      <c r="W4031" s="81" t="e">
        <f>HLOOKUP(P4031,データについて!$J$10:$M$18,9,FALSE)</f>
        <v>#N/A</v>
      </c>
      <c r="X4031" s="81" t="e">
        <f>HLOOKUP(Q4031,データについて!$J$11:$M$18,8,FALSE)</f>
        <v>#N/A</v>
      </c>
      <c r="Y4031" s="81" t="e">
        <f>HLOOKUP(R4031,データについて!$J$12:$M$18,7,FALSE)</f>
        <v>#N/A</v>
      </c>
      <c r="Z4031" s="81" t="e">
        <f>HLOOKUP(I4031,データについて!$J$3:$M$18,16,FALSE)</f>
        <v>#N/A</v>
      </c>
      <c r="AA4031" s="81" t="str">
        <f>IFERROR(HLOOKUP(J4031,データについて!$J$4:$AH$19,16,FALSE),"")</f>
        <v/>
      </c>
      <c r="AB4031" s="81" t="str">
        <f>IFERROR(HLOOKUP(K4031,データについて!$J$5:$AH$20,14,FALSE),"")</f>
        <v/>
      </c>
      <c r="AC4031" s="81" t="e">
        <f>IF(X4031=1,HLOOKUP(R4031,データについて!$J$12:$M$18,7,FALSE),"*")</f>
        <v>#N/A</v>
      </c>
      <c r="AD4031" s="81" t="e">
        <f>IF(X4031=2,HLOOKUP(R4031,データについて!$J$12:$M$18,7,FALSE),"*")</f>
        <v>#N/A</v>
      </c>
    </row>
    <row r="4032" spans="19:30">
      <c r="S4032" s="81" t="e">
        <f>HLOOKUP(L4032,データについて!$J$6:$M$18,13,FALSE)</f>
        <v>#N/A</v>
      </c>
      <c r="T4032" s="81" t="e">
        <f>HLOOKUP(M4032,データについて!$J$7:$M$18,12,FALSE)</f>
        <v>#N/A</v>
      </c>
      <c r="U4032" s="81" t="e">
        <f>HLOOKUP(N4032,データについて!$J$8:$M$18,11,FALSE)</f>
        <v>#N/A</v>
      </c>
      <c r="V4032" s="81" t="e">
        <f>HLOOKUP(O4032,データについて!$J$9:$M$18,10,FALSE)</f>
        <v>#N/A</v>
      </c>
      <c r="W4032" s="81" t="e">
        <f>HLOOKUP(P4032,データについて!$J$10:$M$18,9,FALSE)</f>
        <v>#N/A</v>
      </c>
      <c r="X4032" s="81" t="e">
        <f>HLOOKUP(Q4032,データについて!$J$11:$M$18,8,FALSE)</f>
        <v>#N/A</v>
      </c>
      <c r="Y4032" s="81" t="e">
        <f>HLOOKUP(R4032,データについて!$J$12:$M$18,7,FALSE)</f>
        <v>#N/A</v>
      </c>
      <c r="Z4032" s="81" t="e">
        <f>HLOOKUP(I4032,データについて!$J$3:$M$18,16,FALSE)</f>
        <v>#N/A</v>
      </c>
      <c r="AA4032" s="81" t="str">
        <f>IFERROR(HLOOKUP(J4032,データについて!$J$4:$AH$19,16,FALSE),"")</f>
        <v/>
      </c>
      <c r="AB4032" s="81" t="str">
        <f>IFERROR(HLOOKUP(K4032,データについて!$J$5:$AH$20,14,FALSE),"")</f>
        <v/>
      </c>
      <c r="AC4032" s="81" t="e">
        <f>IF(X4032=1,HLOOKUP(R4032,データについて!$J$12:$M$18,7,FALSE),"*")</f>
        <v>#N/A</v>
      </c>
      <c r="AD4032" s="81" t="e">
        <f>IF(X4032=2,HLOOKUP(R4032,データについて!$J$12:$M$18,7,FALSE),"*")</f>
        <v>#N/A</v>
      </c>
    </row>
    <row r="4033" spans="19:30">
      <c r="S4033" s="81" t="e">
        <f>HLOOKUP(L4033,データについて!$J$6:$M$18,13,FALSE)</f>
        <v>#N/A</v>
      </c>
      <c r="T4033" s="81" t="e">
        <f>HLOOKUP(M4033,データについて!$J$7:$M$18,12,FALSE)</f>
        <v>#N/A</v>
      </c>
      <c r="U4033" s="81" t="e">
        <f>HLOOKUP(N4033,データについて!$J$8:$M$18,11,FALSE)</f>
        <v>#N/A</v>
      </c>
      <c r="V4033" s="81" t="e">
        <f>HLOOKUP(O4033,データについて!$J$9:$M$18,10,FALSE)</f>
        <v>#N/A</v>
      </c>
      <c r="W4033" s="81" t="e">
        <f>HLOOKUP(P4033,データについて!$J$10:$M$18,9,FALSE)</f>
        <v>#N/A</v>
      </c>
      <c r="X4033" s="81" t="e">
        <f>HLOOKUP(Q4033,データについて!$J$11:$M$18,8,FALSE)</f>
        <v>#N/A</v>
      </c>
      <c r="Y4033" s="81" t="e">
        <f>HLOOKUP(R4033,データについて!$J$12:$M$18,7,FALSE)</f>
        <v>#N/A</v>
      </c>
      <c r="Z4033" s="81" t="e">
        <f>HLOOKUP(I4033,データについて!$J$3:$M$18,16,FALSE)</f>
        <v>#N/A</v>
      </c>
      <c r="AA4033" s="81" t="str">
        <f>IFERROR(HLOOKUP(J4033,データについて!$J$4:$AH$19,16,FALSE),"")</f>
        <v/>
      </c>
      <c r="AB4033" s="81" t="str">
        <f>IFERROR(HLOOKUP(K4033,データについて!$J$5:$AH$20,14,FALSE),"")</f>
        <v/>
      </c>
      <c r="AC4033" s="81" t="e">
        <f>IF(X4033=1,HLOOKUP(R4033,データについて!$J$12:$M$18,7,FALSE),"*")</f>
        <v>#N/A</v>
      </c>
      <c r="AD4033" s="81" t="e">
        <f>IF(X4033=2,HLOOKUP(R4033,データについて!$J$12:$M$18,7,FALSE),"*")</f>
        <v>#N/A</v>
      </c>
    </row>
    <row r="4034" spans="19:30">
      <c r="S4034" s="81" t="e">
        <f>HLOOKUP(L4034,データについて!$J$6:$M$18,13,FALSE)</f>
        <v>#N/A</v>
      </c>
      <c r="T4034" s="81" t="e">
        <f>HLOOKUP(M4034,データについて!$J$7:$M$18,12,FALSE)</f>
        <v>#N/A</v>
      </c>
      <c r="U4034" s="81" t="e">
        <f>HLOOKUP(N4034,データについて!$J$8:$M$18,11,FALSE)</f>
        <v>#N/A</v>
      </c>
      <c r="V4034" s="81" t="e">
        <f>HLOOKUP(O4034,データについて!$J$9:$M$18,10,FALSE)</f>
        <v>#N/A</v>
      </c>
      <c r="W4034" s="81" t="e">
        <f>HLOOKUP(P4034,データについて!$J$10:$M$18,9,FALSE)</f>
        <v>#N/A</v>
      </c>
      <c r="X4034" s="81" t="e">
        <f>HLOOKUP(Q4034,データについて!$J$11:$M$18,8,FALSE)</f>
        <v>#N/A</v>
      </c>
      <c r="Y4034" s="81" t="e">
        <f>HLOOKUP(R4034,データについて!$J$12:$M$18,7,FALSE)</f>
        <v>#N/A</v>
      </c>
      <c r="Z4034" s="81" t="e">
        <f>HLOOKUP(I4034,データについて!$J$3:$M$18,16,FALSE)</f>
        <v>#N/A</v>
      </c>
      <c r="AA4034" s="81" t="str">
        <f>IFERROR(HLOOKUP(J4034,データについて!$J$4:$AH$19,16,FALSE),"")</f>
        <v/>
      </c>
      <c r="AB4034" s="81" t="str">
        <f>IFERROR(HLOOKUP(K4034,データについて!$J$5:$AH$20,14,FALSE),"")</f>
        <v/>
      </c>
      <c r="AC4034" s="81" t="e">
        <f>IF(X4034=1,HLOOKUP(R4034,データについて!$J$12:$M$18,7,FALSE),"*")</f>
        <v>#N/A</v>
      </c>
      <c r="AD4034" s="81" t="e">
        <f>IF(X4034=2,HLOOKUP(R4034,データについて!$J$12:$M$18,7,FALSE),"*")</f>
        <v>#N/A</v>
      </c>
    </row>
    <row r="4035" spans="19:30">
      <c r="S4035" s="81" t="e">
        <f>HLOOKUP(L4035,データについて!$J$6:$M$18,13,FALSE)</f>
        <v>#N/A</v>
      </c>
      <c r="T4035" s="81" t="e">
        <f>HLOOKUP(M4035,データについて!$J$7:$M$18,12,FALSE)</f>
        <v>#N/A</v>
      </c>
      <c r="U4035" s="81" t="e">
        <f>HLOOKUP(N4035,データについて!$J$8:$M$18,11,FALSE)</f>
        <v>#N/A</v>
      </c>
      <c r="V4035" s="81" t="e">
        <f>HLOOKUP(O4035,データについて!$J$9:$M$18,10,FALSE)</f>
        <v>#N/A</v>
      </c>
      <c r="W4035" s="81" t="e">
        <f>HLOOKUP(P4035,データについて!$J$10:$M$18,9,FALSE)</f>
        <v>#N/A</v>
      </c>
      <c r="X4035" s="81" t="e">
        <f>HLOOKUP(Q4035,データについて!$J$11:$M$18,8,FALSE)</f>
        <v>#N/A</v>
      </c>
      <c r="Y4035" s="81" t="e">
        <f>HLOOKUP(R4035,データについて!$J$12:$M$18,7,FALSE)</f>
        <v>#N/A</v>
      </c>
      <c r="Z4035" s="81" t="e">
        <f>HLOOKUP(I4035,データについて!$J$3:$M$18,16,FALSE)</f>
        <v>#N/A</v>
      </c>
      <c r="AA4035" s="81" t="str">
        <f>IFERROR(HLOOKUP(J4035,データについて!$J$4:$AH$19,16,FALSE),"")</f>
        <v/>
      </c>
      <c r="AB4035" s="81" t="str">
        <f>IFERROR(HLOOKUP(K4035,データについて!$J$5:$AH$20,14,FALSE),"")</f>
        <v/>
      </c>
      <c r="AC4035" s="81" t="e">
        <f>IF(X4035=1,HLOOKUP(R4035,データについて!$J$12:$M$18,7,FALSE),"*")</f>
        <v>#N/A</v>
      </c>
      <c r="AD4035" s="81" t="e">
        <f>IF(X4035=2,HLOOKUP(R4035,データについて!$J$12:$M$18,7,FALSE),"*")</f>
        <v>#N/A</v>
      </c>
    </row>
    <row r="4036" spans="19:30">
      <c r="S4036" s="81" t="e">
        <f>HLOOKUP(L4036,データについて!$J$6:$M$18,13,FALSE)</f>
        <v>#N/A</v>
      </c>
      <c r="T4036" s="81" t="e">
        <f>HLOOKUP(M4036,データについて!$J$7:$M$18,12,FALSE)</f>
        <v>#N/A</v>
      </c>
      <c r="U4036" s="81" t="e">
        <f>HLOOKUP(N4036,データについて!$J$8:$M$18,11,FALSE)</f>
        <v>#N/A</v>
      </c>
      <c r="V4036" s="81" t="e">
        <f>HLOOKUP(O4036,データについて!$J$9:$M$18,10,FALSE)</f>
        <v>#N/A</v>
      </c>
      <c r="W4036" s="81" t="e">
        <f>HLOOKUP(P4036,データについて!$J$10:$M$18,9,FALSE)</f>
        <v>#N/A</v>
      </c>
      <c r="X4036" s="81" t="e">
        <f>HLOOKUP(Q4036,データについて!$J$11:$M$18,8,FALSE)</f>
        <v>#N/A</v>
      </c>
      <c r="Y4036" s="81" t="e">
        <f>HLOOKUP(R4036,データについて!$J$12:$M$18,7,FALSE)</f>
        <v>#N/A</v>
      </c>
      <c r="Z4036" s="81" t="e">
        <f>HLOOKUP(I4036,データについて!$J$3:$M$18,16,FALSE)</f>
        <v>#N/A</v>
      </c>
      <c r="AA4036" s="81" t="str">
        <f>IFERROR(HLOOKUP(J4036,データについて!$J$4:$AH$19,16,FALSE),"")</f>
        <v/>
      </c>
      <c r="AB4036" s="81" t="str">
        <f>IFERROR(HLOOKUP(K4036,データについて!$J$5:$AH$20,14,FALSE),"")</f>
        <v/>
      </c>
      <c r="AC4036" s="81" t="e">
        <f>IF(X4036=1,HLOOKUP(R4036,データについて!$J$12:$M$18,7,FALSE),"*")</f>
        <v>#N/A</v>
      </c>
      <c r="AD4036" s="81" t="e">
        <f>IF(X4036=2,HLOOKUP(R4036,データについて!$J$12:$M$18,7,FALSE),"*")</f>
        <v>#N/A</v>
      </c>
    </row>
    <row r="4037" spans="19:30">
      <c r="S4037" s="81" t="e">
        <f>HLOOKUP(L4037,データについて!$J$6:$M$18,13,FALSE)</f>
        <v>#N/A</v>
      </c>
      <c r="T4037" s="81" t="e">
        <f>HLOOKUP(M4037,データについて!$J$7:$M$18,12,FALSE)</f>
        <v>#N/A</v>
      </c>
      <c r="U4037" s="81" t="e">
        <f>HLOOKUP(N4037,データについて!$J$8:$M$18,11,FALSE)</f>
        <v>#N/A</v>
      </c>
      <c r="V4037" s="81" t="e">
        <f>HLOOKUP(O4037,データについて!$J$9:$M$18,10,FALSE)</f>
        <v>#N/A</v>
      </c>
      <c r="W4037" s="81" t="e">
        <f>HLOOKUP(P4037,データについて!$J$10:$M$18,9,FALSE)</f>
        <v>#N/A</v>
      </c>
      <c r="X4037" s="81" t="e">
        <f>HLOOKUP(Q4037,データについて!$J$11:$M$18,8,FALSE)</f>
        <v>#N/A</v>
      </c>
      <c r="Y4037" s="81" t="e">
        <f>HLOOKUP(R4037,データについて!$J$12:$M$18,7,FALSE)</f>
        <v>#N/A</v>
      </c>
      <c r="Z4037" s="81" t="e">
        <f>HLOOKUP(I4037,データについて!$J$3:$M$18,16,FALSE)</f>
        <v>#N/A</v>
      </c>
      <c r="AA4037" s="81" t="str">
        <f>IFERROR(HLOOKUP(J4037,データについて!$J$4:$AH$19,16,FALSE),"")</f>
        <v/>
      </c>
      <c r="AB4037" s="81" t="str">
        <f>IFERROR(HLOOKUP(K4037,データについて!$J$5:$AH$20,14,FALSE),"")</f>
        <v/>
      </c>
      <c r="AC4037" s="81" t="e">
        <f>IF(X4037=1,HLOOKUP(R4037,データについて!$J$12:$M$18,7,FALSE),"*")</f>
        <v>#N/A</v>
      </c>
      <c r="AD4037" s="81" t="e">
        <f>IF(X4037=2,HLOOKUP(R4037,データについて!$J$12:$M$18,7,FALSE),"*")</f>
        <v>#N/A</v>
      </c>
    </row>
    <row r="4038" spans="19:30">
      <c r="S4038" s="81" t="e">
        <f>HLOOKUP(L4038,データについて!$J$6:$M$18,13,FALSE)</f>
        <v>#N/A</v>
      </c>
      <c r="T4038" s="81" t="e">
        <f>HLOOKUP(M4038,データについて!$J$7:$M$18,12,FALSE)</f>
        <v>#N/A</v>
      </c>
      <c r="U4038" s="81" t="e">
        <f>HLOOKUP(N4038,データについて!$J$8:$M$18,11,FALSE)</f>
        <v>#N/A</v>
      </c>
      <c r="V4038" s="81" t="e">
        <f>HLOOKUP(O4038,データについて!$J$9:$M$18,10,FALSE)</f>
        <v>#N/A</v>
      </c>
      <c r="W4038" s="81" t="e">
        <f>HLOOKUP(P4038,データについて!$J$10:$M$18,9,FALSE)</f>
        <v>#N/A</v>
      </c>
      <c r="X4038" s="81" t="e">
        <f>HLOOKUP(Q4038,データについて!$J$11:$M$18,8,FALSE)</f>
        <v>#N/A</v>
      </c>
      <c r="Y4038" s="81" t="e">
        <f>HLOOKUP(R4038,データについて!$J$12:$M$18,7,FALSE)</f>
        <v>#N/A</v>
      </c>
      <c r="Z4038" s="81" t="e">
        <f>HLOOKUP(I4038,データについて!$J$3:$M$18,16,FALSE)</f>
        <v>#N/A</v>
      </c>
      <c r="AA4038" s="81" t="str">
        <f>IFERROR(HLOOKUP(J4038,データについて!$J$4:$AH$19,16,FALSE),"")</f>
        <v/>
      </c>
      <c r="AB4038" s="81" t="str">
        <f>IFERROR(HLOOKUP(K4038,データについて!$J$5:$AH$20,14,FALSE),"")</f>
        <v/>
      </c>
      <c r="AC4038" s="81" t="e">
        <f>IF(X4038=1,HLOOKUP(R4038,データについて!$J$12:$M$18,7,FALSE),"*")</f>
        <v>#N/A</v>
      </c>
      <c r="AD4038" s="81" t="e">
        <f>IF(X4038=2,HLOOKUP(R4038,データについて!$J$12:$M$18,7,FALSE),"*")</f>
        <v>#N/A</v>
      </c>
    </row>
    <row r="4039" spans="19:30">
      <c r="S4039" s="81" t="e">
        <f>HLOOKUP(L4039,データについて!$J$6:$M$18,13,FALSE)</f>
        <v>#N/A</v>
      </c>
      <c r="T4039" s="81" t="e">
        <f>HLOOKUP(M4039,データについて!$J$7:$M$18,12,FALSE)</f>
        <v>#N/A</v>
      </c>
      <c r="U4039" s="81" t="e">
        <f>HLOOKUP(N4039,データについて!$J$8:$M$18,11,FALSE)</f>
        <v>#N/A</v>
      </c>
      <c r="V4039" s="81" t="e">
        <f>HLOOKUP(O4039,データについて!$J$9:$M$18,10,FALSE)</f>
        <v>#N/A</v>
      </c>
      <c r="W4039" s="81" t="e">
        <f>HLOOKUP(P4039,データについて!$J$10:$M$18,9,FALSE)</f>
        <v>#N/A</v>
      </c>
      <c r="X4039" s="81" t="e">
        <f>HLOOKUP(Q4039,データについて!$J$11:$M$18,8,FALSE)</f>
        <v>#N/A</v>
      </c>
      <c r="Y4039" s="81" t="e">
        <f>HLOOKUP(R4039,データについて!$J$12:$M$18,7,FALSE)</f>
        <v>#N/A</v>
      </c>
      <c r="Z4039" s="81" t="e">
        <f>HLOOKUP(I4039,データについて!$J$3:$M$18,16,FALSE)</f>
        <v>#N/A</v>
      </c>
      <c r="AA4039" s="81" t="str">
        <f>IFERROR(HLOOKUP(J4039,データについて!$J$4:$AH$19,16,FALSE),"")</f>
        <v/>
      </c>
      <c r="AB4039" s="81" t="str">
        <f>IFERROR(HLOOKUP(K4039,データについて!$J$5:$AH$20,14,FALSE),"")</f>
        <v/>
      </c>
      <c r="AC4039" s="81" t="e">
        <f>IF(X4039=1,HLOOKUP(R4039,データについて!$J$12:$M$18,7,FALSE),"*")</f>
        <v>#N/A</v>
      </c>
      <c r="AD4039" s="81" t="e">
        <f>IF(X4039=2,HLOOKUP(R4039,データについて!$J$12:$M$18,7,FALSE),"*")</f>
        <v>#N/A</v>
      </c>
    </row>
    <row r="4040" spans="19:30">
      <c r="S4040" s="81" t="e">
        <f>HLOOKUP(L4040,データについて!$J$6:$M$18,13,FALSE)</f>
        <v>#N/A</v>
      </c>
      <c r="T4040" s="81" t="e">
        <f>HLOOKUP(M4040,データについて!$J$7:$M$18,12,FALSE)</f>
        <v>#N/A</v>
      </c>
      <c r="U4040" s="81" t="e">
        <f>HLOOKUP(N4040,データについて!$J$8:$M$18,11,FALSE)</f>
        <v>#N/A</v>
      </c>
      <c r="V4040" s="81" t="e">
        <f>HLOOKUP(O4040,データについて!$J$9:$M$18,10,FALSE)</f>
        <v>#N/A</v>
      </c>
      <c r="W4040" s="81" t="e">
        <f>HLOOKUP(P4040,データについて!$J$10:$M$18,9,FALSE)</f>
        <v>#N/A</v>
      </c>
      <c r="X4040" s="81" t="e">
        <f>HLOOKUP(Q4040,データについて!$J$11:$M$18,8,FALSE)</f>
        <v>#N/A</v>
      </c>
      <c r="Y4040" s="81" t="e">
        <f>HLOOKUP(R4040,データについて!$J$12:$M$18,7,FALSE)</f>
        <v>#N/A</v>
      </c>
      <c r="Z4040" s="81" t="e">
        <f>HLOOKUP(I4040,データについて!$J$3:$M$18,16,FALSE)</f>
        <v>#N/A</v>
      </c>
      <c r="AA4040" s="81" t="str">
        <f>IFERROR(HLOOKUP(J4040,データについて!$J$4:$AH$19,16,FALSE),"")</f>
        <v/>
      </c>
      <c r="AB4040" s="81" t="str">
        <f>IFERROR(HLOOKUP(K4040,データについて!$J$5:$AH$20,14,FALSE),"")</f>
        <v/>
      </c>
      <c r="AC4040" s="81" t="e">
        <f>IF(X4040=1,HLOOKUP(R4040,データについて!$J$12:$M$18,7,FALSE),"*")</f>
        <v>#N/A</v>
      </c>
      <c r="AD4040" s="81" t="e">
        <f>IF(X4040=2,HLOOKUP(R4040,データについて!$J$12:$M$18,7,FALSE),"*")</f>
        <v>#N/A</v>
      </c>
    </row>
    <row r="4041" spans="19:30">
      <c r="S4041" s="81" t="e">
        <f>HLOOKUP(L4041,データについて!$J$6:$M$18,13,FALSE)</f>
        <v>#N/A</v>
      </c>
      <c r="T4041" s="81" t="e">
        <f>HLOOKUP(M4041,データについて!$J$7:$M$18,12,FALSE)</f>
        <v>#N/A</v>
      </c>
      <c r="U4041" s="81" t="e">
        <f>HLOOKUP(N4041,データについて!$J$8:$M$18,11,FALSE)</f>
        <v>#N/A</v>
      </c>
      <c r="V4041" s="81" t="e">
        <f>HLOOKUP(O4041,データについて!$J$9:$M$18,10,FALSE)</f>
        <v>#N/A</v>
      </c>
      <c r="W4041" s="81" t="e">
        <f>HLOOKUP(P4041,データについて!$J$10:$M$18,9,FALSE)</f>
        <v>#N/A</v>
      </c>
      <c r="X4041" s="81" t="e">
        <f>HLOOKUP(Q4041,データについて!$J$11:$M$18,8,FALSE)</f>
        <v>#N/A</v>
      </c>
      <c r="Y4041" s="81" t="e">
        <f>HLOOKUP(R4041,データについて!$J$12:$M$18,7,FALSE)</f>
        <v>#N/A</v>
      </c>
      <c r="Z4041" s="81" t="e">
        <f>HLOOKUP(I4041,データについて!$J$3:$M$18,16,FALSE)</f>
        <v>#N/A</v>
      </c>
      <c r="AA4041" s="81" t="str">
        <f>IFERROR(HLOOKUP(J4041,データについて!$J$4:$AH$19,16,FALSE),"")</f>
        <v/>
      </c>
      <c r="AB4041" s="81" t="str">
        <f>IFERROR(HLOOKUP(K4041,データについて!$J$5:$AH$20,14,FALSE),"")</f>
        <v/>
      </c>
      <c r="AC4041" s="81" t="e">
        <f>IF(X4041=1,HLOOKUP(R4041,データについて!$J$12:$M$18,7,FALSE),"*")</f>
        <v>#N/A</v>
      </c>
      <c r="AD4041" s="81" t="e">
        <f>IF(X4041=2,HLOOKUP(R4041,データについて!$J$12:$M$18,7,FALSE),"*")</f>
        <v>#N/A</v>
      </c>
    </row>
    <row r="4042" spans="19:30">
      <c r="S4042" s="81" t="e">
        <f>HLOOKUP(L4042,データについて!$J$6:$M$18,13,FALSE)</f>
        <v>#N/A</v>
      </c>
      <c r="T4042" s="81" t="e">
        <f>HLOOKUP(M4042,データについて!$J$7:$M$18,12,FALSE)</f>
        <v>#N/A</v>
      </c>
      <c r="U4042" s="81" t="e">
        <f>HLOOKUP(N4042,データについて!$J$8:$M$18,11,FALSE)</f>
        <v>#N/A</v>
      </c>
      <c r="V4042" s="81" t="e">
        <f>HLOOKUP(O4042,データについて!$J$9:$M$18,10,FALSE)</f>
        <v>#N/A</v>
      </c>
      <c r="W4042" s="81" t="e">
        <f>HLOOKUP(P4042,データについて!$J$10:$M$18,9,FALSE)</f>
        <v>#N/A</v>
      </c>
      <c r="X4042" s="81" t="e">
        <f>HLOOKUP(Q4042,データについて!$J$11:$M$18,8,FALSE)</f>
        <v>#N/A</v>
      </c>
      <c r="Y4042" s="81" t="e">
        <f>HLOOKUP(R4042,データについて!$J$12:$M$18,7,FALSE)</f>
        <v>#N/A</v>
      </c>
      <c r="Z4042" s="81" t="e">
        <f>HLOOKUP(I4042,データについて!$J$3:$M$18,16,FALSE)</f>
        <v>#N/A</v>
      </c>
      <c r="AA4042" s="81" t="str">
        <f>IFERROR(HLOOKUP(J4042,データについて!$J$4:$AH$19,16,FALSE),"")</f>
        <v/>
      </c>
      <c r="AB4042" s="81" t="str">
        <f>IFERROR(HLOOKUP(K4042,データについて!$J$5:$AH$20,14,FALSE),"")</f>
        <v/>
      </c>
      <c r="AC4042" s="81" t="e">
        <f>IF(X4042=1,HLOOKUP(R4042,データについて!$J$12:$M$18,7,FALSE),"*")</f>
        <v>#N/A</v>
      </c>
      <c r="AD4042" s="81" t="e">
        <f>IF(X4042=2,HLOOKUP(R4042,データについて!$J$12:$M$18,7,FALSE),"*")</f>
        <v>#N/A</v>
      </c>
    </row>
    <row r="4043" spans="19:30">
      <c r="S4043" s="81" t="e">
        <f>HLOOKUP(L4043,データについて!$J$6:$M$18,13,FALSE)</f>
        <v>#N/A</v>
      </c>
      <c r="T4043" s="81" t="e">
        <f>HLOOKUP(M4043,データについて!$J$7:$M$18,12,FALSE)</f>
        <v>#N/A</v>
      </c>
      <c r="U4043" s="81" t="e">
        <f>HLOOKUP(N4043,データについて!$J$8:$M$18,11,FALSE)</f>
        <v>#N/A</v>
      </c>
      <c r="V4043" s="81" t="e">
        <f>HLOOKUP(O4043,データについて!$J$9:$M$18,10,FALSE)</f>
        <v>#N/A</v>
      </c>
      <c r="W4043" s="81" t="e">
        <f>HLOOKUP(P4043,データについて!$J$10:$M$18,9,FALSE)</f>
        <v>#N/A</v>
      </c>
      <c r="X4043" s="81" t="e">
        <f>HLOOKUP(Q4043,データについて!$J$11:$M$18,8,FALSE)</f>
        <v>#N/A</v>
      </c>
      <c r="Y4043" s="81" t="e">
        <f>HLOOKUP(R4043,データについて!$J$12:$M$18,7,FALSE)</f>
        <v>#N/A</v>
      </c>
      <c r="Z4043" s="81" t="e">
        <f>HLOOKUP(I4043,データについて!$J$3:$M$18,16,FALSE)</f>
        <v>#N/A</v>
      </c>
      <c r="AA4043" s="81" t="str">
        <f>IFERROR(HLOOKUP(J4043,データについて!$J$4:$AH$19,16,FALSE),"")</f>
        <v/>
      </c>
      <c r="AB4043" s="81" t="str">
        <f>IFERROR(HLOOKUP(K4043,データについて!$J$5:$AH$20,14,FALSE),"")</f>
        <v/>
      </c>
      <c r="AC4043" s="81" t="e">
        <f>IF(X4043=1,HLOOKUP(R4043,データについて!$J$12:$M$18,7,FALSE),"*")</f>
        <v>#N/A</v>
      </c>
      <c r="AD4043" s="81" t="e">
        <f>IF(X4043=2,HLOOKUP(R4043,データについて!$J$12:$M$18,7,FALSE),"*")</f>
        <v>#N/A</v>
      </c>
    </row>
    <row r="4044" spans="19:30">
      <c r="S4044" s="81" t="e">
        <f>HLOOKUP(L4044,データについて!$J$6:$M$18,13,FALSE)</f>
        <v>#N/A</v>
      </c>
      <c r="T4044" s="81" t="e">
        <f>HLOOKUP(M4044,データについて!$J$7:$M$18,12,FALSE)</f>
        <v>#N/A</v>
      </c>
      <c r="U4044" s="81" t="e">
        <f>HLOOKUP(N4044,データについて!$J$8:$M$18,11,FALSE)</f>
        <v>#N/A</v>
      </c>
      <c r="V4044" s="81" t="e">
        <f>HLOOKUP(O4044,データについて!$J$9:$M$18,10,FALSE)</f>
        <v>#N/A</v>
      </c>
      <c r="W4044" s="81" t="e">
        <f>HLOOKUP(P4044,データについて!$J$10:$M$18,9,FALSE)</f>
        <v>#N/A</v>
      </c>
      <c r="X4044" s="81" t="e">
        <f>HLOOKUP(Q4044,データについて!$J$11:$M$18,8,FALSE)</f>
        <v>#N/A</v>
      </c>
      <c r="Y4044" s="81" t="e">
        <f>HLOOKUP(R4044,データについて!$J$12:$M$18,7,FALSE)</f>
        <v>#N/A</v>
      </c>
      <c r="Z4044" s="81" t="e">
        <f>HLOOKUP(I4044,データについて!$J$3:$M$18,16,FALSE)</f>
        <v>#N/A</v>
      </c>
      <c r="AA4044" s="81" t="str">
        <f>IFERROR(HLOOKUP(J4044,データについて!$J$4:$AH$19,16,FALSE),"")</f>
        <v/>
      </c>
      <c r="AB4044" s="81" t="str">
        <f>IFERROR(HLOOKUP(K4044,データについて!$J$5:$AH$20,14,FALSE),"")</f>
        <v/>
      </c>
      <c r="AC4044" s="81" t="e">
        <f>IF(X4044=1,HLOOKUP(R4044,データについて!$J$12:$M$18,7,FALSE),"*")</f>
        <v>#N/A</v>
      </c>
      <c r="AD4044" s="81" t="e">
        <f>IF(X4044=2,HLOOKUP(R4044,データについて!$J$12:$M$18,7,FALSE),"*")</f>
        <v>#N/A</v>
      </c>
    </row>
    <row r="4045" spans="19:30">
      <c r="S4045" s="81" t="e">
        <f>HLOOKUP(L4045,データについて!$J$6:$M$18,13,FALSE)</f>
        <v>#N/A</v>
      </c>
      <c r="T4045" s="81" t="e">
        <f>HLOOKUP(M4045,データについて!$J$7:$M$18,12,FALSE)</f>
        <v>#N/A</v>
      </c>
      <c r="U4045" s="81" t="e">
        <f>HLOOKUP(N4045,データについて!$J$8:$M$18,11,FALSE)</f>
        <v>#N/A</v>
      </c>
      <c r="V4045" s="81" t="e">
        <f>HLOOKUP(O4045,データについて!$J$9:$M$18,10,FALSE)</f>
        <v>#N/A</v>
      </c>
      <c r="W4045" s="81" t="e">
        <f>HLOOKUP(P4045,データについて!$J$10:$M$18,9,FALSE)</f>
        <v>#N/A</v>
      </c>
      <c r="X4045" s="81" t="e">
        <f>HLOOKUP(Q4045,データについて!$J$11:$M$18,8,FALSE)</f>
        <v>#N/A</v>
      </c>
      <c r="Y4045" s="81" t="e">
        <f>HLOOKUP(R4045,データについて!$J$12:$M$18,7,FALSE)</f>
        <v>#N/A</v>
      </c>
      <c r="Z4045" s="81" t="e">
        <f>HLOOKUP(I4045,データについて!$J$3:$M$18,16,FALSE)</f>
        <v>#N/A</v>
      </c>
      <c r="AA4045" s="81" t="str">
        <f>IFERROR(HLOOKUP(J4045,データについて!$J$4:$AH$19,16,FALSE),"")</f>
        <v/>
      </c>
      <c r="AB4045" s="81" t="str">
        <f>IFERROR(HLOOKUP(K4045,データについて!$J$5:$AH$20,14,FALSE),"")</f>
        <v/>
      </c>
      <c r="AC4045" s="81" t="e">
        <f>IF(X4045=1,HLOOKUP(R4045,データについて!$J$12:$M$18,7,FALSE),"*")</f>
        <v>#N/A</v>
      </c>
      <c r="AD4045" s="81" t="e">
        <f>IF(X4045=2,HLOOKUP(R4045,データについて!$J$12:$M$18,7,FALSE),"*")</f>
        <v>#N/A</v>
      </c>
    </row>
    <row r="4046" spans="19:30">
      <c r="S4046" s="81" t="e">
        <f>HLOOKUP(L4046,データについて!$J$6:$M$18,13,FALSE)</f>
        <v>#N/A</v>
      </c>
      <c r="T4046" s="81" t="e">
        <f>HLOOKUP(M4046,データについて!$J$7:$M$18,12,FALSE)</f>
        <v>#N/A</v>
      </c>
      <c r="U4046" s="81" t="e">
        <f>HLOOKUP(N4046,データについて!$J$8:$M$18,11,FALSE)</f>
        <v>#N/A</v>
      </c>
      <c r="V4046" s="81" t="e">
        <f>HLOOKUP(O4046,データについて!$J$9:$M$18,10,FALSE)</f>
        <v>#N/A</v>
      </c>
      <c r="W4046" s="81" t="e">
        <f>HLOOKUP(P4046,データについて!$J$10:$M$18,9,FALSE)</f>
        <v>#N/A</v>
      </c>
      <c r="X4046" s="81" t="e">
        <f>HLOOKUP(Q4046,データについて!$J$11:$M$18,8,FALSE)</f>
        <v>#N/A</v>
      </c>
      <c r="Y4046" s="81" t="e">
        <f>HLOOKUP(R4046,データについて!$J$12:$M$18,7,FALSE)</f>
        <v>#N/A</v>
      </c>
      <c r="Z4046" s="81" t="e">
        <f>HLOOKUP(I4046,データについて!$J$3:$M$18,16,FALSE)</f>
        <v>#N/A</v>
      </c>
      <c r="AA4046" s="81" t="str">
        <f>IFERROR(HLOOKUP(J4046,データについて!$J$4:$AH$19,16,FALSE),"")</f>
        <v/>
      </c>
      <c r="AB4046" s="81" t="str">
        <f>IFERROR(HLOOKUP(K4046,データについて!$J$5:$AH$20,14,FALSE),"")</f>
        <v/>
      </c>
      <c r="AC4046" s="81" t="e">
        <f>IF(X4046=1,HLOOKUP(R4046,データについて!$J$12:$M$18,7,FALSE),"*")</f>
        <v>#N/A</v>
      </c>
      <c r="AD4046" s="81" t="e">
        <f>IF(X4046=2,HLOOKUP(R4046,データについて!$J$12:$M$18,7,FALSE),"*")</f>
        <v>#N/A</v>
      </c>
    </row>
    <row r="4047" spans="19:30">
      <c r="S4047" s="81" t="e">
        <f>HLOOKUP(L4047,データについて!$J$6:$M$18,13,FALSE)</f>
        <v>#N/A</v>
      </c>
      <c r="T4047" s="81" t="e">
        <f>HLOOKUP(M4047,データについて!$J$7:$M$18,12,FALSE)</f>
        <v>#N/A</v>
      </c>
      <c r="U4047" s="81" t="e">
        <f>HLOOKUP(N4047,データについて!$J$8:$M$18,11,FALSE)</f>
        <v>#N/A</v>
      </c>
      <c r="V4047" s="81" t="e">
        <f>HLOOKUP(O4047,データについて!$J$9:$M$18,10,FALSE)</f>
        <v>#N/A</v>
      </c>
      <c r="W4047" s="81" t="e">
        <f>HLOOKUP(P4047,データについて!$J$10:$M$18,9,FALSE)</f>
        <v>#N/A</v>
      </c>
      <c r="X4047" s="81" t="e">
        <f>HLOOKUP(Q4047,データについて!$J$11:$M$18,8,FALSE)</f>
        <v>#N/A</v>
      </c>
      <c r="Y4047" s="81" t="e">
        <f>HLOOKUP(R4047,データについて!$J$12:$M$18,7,FALSE)</f>
        <v>#N/A</v>
      </c>
      <c r="Z4047" s="81" t="e">
        <f>HLOOKUP(I4047,データについて!$J$3:$M$18,16,FALSE)</f>
        <v>#N/A</v>
      </c>
      <c r="AA4047" s="81" t="str">
        <f>IFERROR(HLOOKUP(J4047,データについて!$J$4:$AH$19,16,FALSE),"")</f>
        <v/>
      </c>
      <c r="AB4047" s="81" t="str">
        <f>IFERROR(HLOOKUP(K4047,データについて!$J$5:$AH$20,14,FALSE),"")</f>
        <v/>
      </c>
      <c r="AC4047" s="81" t="e">
        <f>IF(X4047=1,HLOOKUP(R4047,データについて!$J$12:$M$18,7,FALSE),"*")</f>
        <v>#N/A</v>
      </c>
      <c r="AD4047" s="81" t="e">
        <f>IF(X4047=2,HLOOKUP(R4047,データについて!$J$12:$M$18,7,FALSE),"*")</f>
        <v>#N/A</v>
      </c>
    </row>
    <row r="4048" spans="19:30">
      <c r="S4048" s="81" t="e">
        <f>HLOOKUP(L4048,データについて!$J$6:$M$18,13,FALSE)</f>
        <v>#N/A</v>
      </c>
      <c r="T4048" s="81" t="e">
        <f>HLOOKUP(M4048,データについて!$J$7:$M$18,12,FALSE)</f>
        <v>#N/A</v>
      </c>
      <c r="U4048" s="81" t="e">
        <f>HLOOKUP(N4048,データについて!$J$8:$M$18,11,FALSE)</f>
        <v>#N/A</v>
      </c>
      <c r="V4048" s="81" t="e">
        <f>HLOOKUP(O4048,データについて!$J$9:$M$18,10,FALSE)</f>
        <v>#N/A</v>
      </c>
      <c r="W4048" s="81" t="e">
        <f>HLOOKUP(P4048,データについて!$J$10:$M$18,9,FALSE)</f>
        <v>#N/A</v>
      </c>
      <c r="X4048" s="81" t="e">
        <f>HLOOKUP(Q4048,データについて!$J$11:$M$18,8,FALSE)</f>
        <v>#N/A</v>
      </c>
      <c r="Y4048" s="81" t="e">
        <f>HLOOKUP(R4048,データについて!$J$12:$M$18,7,FALSE)</f>
        <v>#N/A</v>
      </c>
      <c r="Z4048" s="81" t="e">
        <f>HLOOKUP(I4048,データについて!$J$3:$M$18,16,FALSE)</f>
        <v>#N/A</v>
      </c>
      <c r="AA4048" s="81" t="str">
        <f>IFERROR(HLOOKUP(J4048,データについて!$J$4:$AH$19,16,FALSE),"")</f>
        <v/>
      </c>
      <c r="AB4048" s="81" t="str">
        <f>IFERROR(HLOOKUP(K4048,データについて!$J$5:$AH$20,14,FALSE),"")</f>
        <v/>
      </c>
      <c r="AC4048" s="81" t="e">
        <f>IF(X4048=1,HLOOKUP(R4048,データについて!$J$12:$M$18,7,FALSE),"*")</f>
        <v>#N/A</v>
      </c>
      <c r="AD4048" s="81" t="e">
        <f>IF(X4048=2,HLOOKUP(R4048,データについて!$J$12:$M$18,7,FALSE),"*")</f>
        <v>#N/A</v>
      </c>
    </row>
    <row r="4049" spans="19:30">
      <c r="S4049" s="81" t="e">
        <f>HLOOKUP(L4049,データについて!$J$6:$M$18,13,FALSE)</f>
        <v>#N/A</v>
      </c>
      <c r="T4049" s="81" t="e">
        <f>HLOOKUP(M4049,データについて!$J$7:$M$18,12,FALSE)</f>
        <v>#N/A</v>
      </c>
      <c r="U4049" s="81" t="e">
        <f>HLOOKUP(N4049,データについて!$J$8:$M$18,11,FALSE)</f>
        <v>#N/A</v>
      </c>
      <c r="V4049" s="81" t="e">
        <f>HLOOKUP(O4049,データについて!$J$9:$M$18,10,FALSE)</f>
        <v>#N/A</v>
      </c>
      <c r="W4049" s="81" t="e">
        <f>HLOOKUP(P4049,データについて!$J$10:$M$18,9,FALSE)</f>
        <v>#N/A</v>
      </c>
      <c r="X4049" s="81" t="e">
        <f>HLOOKUP(Q4049,データについて!$J$11:$M$18,8,FALSE)</f>
        <v>#N/A</v>
      </c>
      <c r="Y4049" s="81" t="e">
        <f>HLOOKUP(R4049,データについて!$J$12:$M$18,7,FALSE)</f>
        <v>#N/A</v>
      </c>
      <c r="Z4049" s="81" t="e">
        <f>HLOOKUP(I4049,データについて!$J$3:$M$18,16,FALSE)</f>
        <v>#N/A</v>
      </c>
      <c r="AA4049" s="81" t="str">
        <f>IFERROR(HLOOKUP(J4049,データについて!$J$4:$AH$19,16,FALSE),"")</f>
        <v/>
      </c>
      <c r="AB4049" s="81" t="str">
        <f>IFERROR(HLOOKUP(K4049,データについて!$J$5:$AH$20,14,FALSE),"")</f>
        <v/>
      </c>
      <c r="AC4049" s="81" t="e">
        <f>IF(X4049=1,HLOOKUP(R4049,データについて!$J$12:$M$18,7,FALSE),"*")</f>
        <v>#N/A</v>
      </c>
      <c r="AD4049" s="81" t="e">
        <f>IF(X4049=2,HLOOKUP(R4049,データについて!$J$12:$M$18,7,FALSE),"*")</f>
        <v>#N/A</v>
      </c>
    </row>
    <row r="4050" spans="19:30">
      <c r="S4050" s="81" t="e">
        <f>HLOOKUP(L4050,データについて!$J$6:$M$18,13,FALSE)</f>
        <v>#N/A</v>
      </c>
      <c r="T4050" s="81" t="e">
        <f>HLOOKUP(M4050,データについて!$J$7:$M$18,12,FALSE)</f>
        <v>#N/A</v>
      </c>
      <c r="U4050" s="81" t="e">
        <f>HLOOKUP(N4050,データについて!$J$8:$M$18,11,FALSE)</f>
        <v>#N/A</v>
      </c>
      <c r="V4050" s="81" t="e">
        <f>HLOOKUP(O4050,データについて!$J$9:$M$18,10,FALSE)</f>
        <v>#N/A</v>
      </c>
      <c r="W4050" s="81" t="e">
        <f>HLOOKUP(P4050,データについて!$J$10:$M$18,9,FALSE)</f>
        <v>#N/A</v>
      </c>
      <c r="X4050" s="81" t="e">
        <f>HLOOKUP(Q4050,データについて!$J$11:$M$18,8,FALSE)</f>
        <v>#N/A</v>
      </c>
      <c r="Y4050" s="81" t="e">
        <f>HLOOKUP(R4050,データについて!$J$12:$M$18,7,FALSE)</f>
        <v>#N/A</v>
      </c>
      <c r="Z4050" s="81" t="e">
        <f>HLOOKUP(I4050,データについて!$J$3:$M$18,16,FALSE)</f>
        <v>#N/A</v>
      </c>
      <c r="AA4050" s="81" t="str">
        <f>IFERROR(HLOOKUP(J4050,データについて!$J$4:$AH$19,16,FALSE),"")</f>
        <v/>
      </c>
      <c r="AB4050" s="81" t="str">
        <f>IFERROR(HLOOKUP(K4050,データについて!$J$5:$AH$20,14,FALSE),"")</f>
        <v/>
      </c>
      <c r="AC4050" s="81" t="e">
        <f>IF(X4050=1,HLOOKUP(R4050,データについて!$J$12:$M$18,7,FALSE),"*")</f>
        <v>#N/A</v>
      </c>
      <c r="AD4050" s="81" t="e">
        <f>IF(X4050=2,HLOOKUP(R4050,データについて!$J$12:$M$18,7,FALSE),"*")</f>
        <v>#N/A</v>
      </c>
    </row>
    <row r="4051" spans="19:30">
      <c r="S4051" s="81" t="e">
        <f>HLOOKUP(L4051,データについて!$J$6:$M$18,13,FALSE)</f>
        <v>#N/A</v>
      </c>
      <c r="T4051" s="81" t="e">
        <f>HLOOKUP(M4051,データについて!$J$7:$M$18,12,FALSE)</f>
        <v>#N/A</v>
      </c>
      <c r="U4051" s="81" t="e">
        <f>HLOOKUP(N4051,データについて!$J$8:$M$18,11,FALSE)</f>
        <v>#N/A</v>
      </c>
      <c r="V4051" s="81" t="e">
        <f>HLOOKUP(O4051,データについて!$J$9:$M$18,10,FALSE)</f>
        <v>#N/A</v>
      </c>
      <c r="W4051" s="81" t="e">
        <f>HLOOKUP(P4051,データについて!$J$10:$M$18,9,FALSE)</f>
        <v>#N/A</v>
      </c>
      <c r="X4051" s="81" t="e">
        <f>HLOOKUP(Q4051,データについて!$J$11:$M$18,8,FALSE)</f>
        <v>#N/A</v>
      </c>
      <c r="Y4051" s="81" t="e">
        <f>HLOOKUP(R4051,データについて!$J$12:$M$18,7,FALSE)</f>
        <v>#N/A</v>
      </c>
      <c r="Z4051" s="81" t="e">
        <f>HLOOKUP(I4051,データについて!$J$3:$M$18,16,FALSE)</f>
        <v>#N/A</v>
      </c>
      <c r="AA4051" s="81" t="str">
        <f>IFERROR(HLOOKUP(J4051,データについて!$J$4:$AH$19,16,FALSE),"")</f>
        <v/>
      </c>
      <c r="AB4051" s="81" t="str">
        <f>IFERROR(HLOOKUP(K4051,データについて!$J$5:$AH$20,14,FALSE),"")</f>
        <v/>
      </c>
      <c r="AC4051" s="81" t="e">
        <f>IF(X4051=1,HLOOKUP(R4051,データについて!$J$12:$M$18,7,FALSE),"*")</f>
        <v>#N/A</v>
      </c>
      <c r="AD4051" s="81" t="e">
        <f>IF(X4051=2,HLOOKUP(R4051,データについて!$J$12:$M$18,7,FALSE),"*")</f>
        <v>#N/A</v>
      </c>
    </row>
    <row r="4052" spans="19:30">
      <c r="S4052" s="81" t="e">
        <f>HLOOKUP(L4052,データについて!$J$6:$M$18,13,FALSE)</f>
        <v>#N/A</v>
      </c>
      <c r="T4052" s="81" t="e">
        <f>HLOOKUP(M4052,データについて!$J$7:$M$18,12,FALSE)</f>
        <v>#N/A</v>
      </c>
      <c r="U4052" s="81" t="e">
        <f>HLOOKUP(N4052,データについて!$J$8:$M$18,11,FALSE)</f>
        <v>#N/A</v>
      </c>
      <c r="V4052" s="81" t="e">
        <f>HLOOKUP(O4052,データについて!$J$9:$M$18,10,FALSE)</f>
        <v>#N/A</v>
      </c>
      <c r="W4052" s="81" t="e">
        <f>HLOOKUP(P4052,データについて!$J$10:$M$18,9,FALSE)</f>
        <v>#N/A</v>
      </c>
      <c r="X4052" s="81" t="e">
        <f>HLOOKUP(Q4052,データについて!$J$11:$M$18,8,FALSE)</f>
        <v>#N/A</v>
      </c>
      <c r="Y4052" s="81" t="e">
        <f>HLOOKUP(R4052,データについて!$J$12:$M$18,7,FALSE)</f>
        <v>#N/A</v>
      </c>
      <c r="Z4052" s="81" t="e">
        <f>HLOOKUP(I4052,データについて!$J$3:$M$18,16,FALSE)</f>
        <v>#N/A</v>
      </c>
      <c r="AA4052" s="81" t="str">
        <f>IFERROR(HLOOKUP(J4052,データについて!$J$4:$AH$19,16,FALSE),"")</f>
        <v/>
      </c>
      <c r="AB4052" s="81" t="str">
        <f>IFERROR(HLOOKUP(K4052,データについて!$J$5:$AH$20,14,FALSE),"")</f>
        <v/>
      </c>
      <c r="AC4052" s="81" t="e">
        <f>IF(X4052=1,HLOOKUP(R4052,データについて!$J$12:$M$18,7,FALSE),"*")</f>
        <v>#N/A</v>
      </c>
      <c r="AD4052" s="81" t="e">
        <f>IF(X4052=2,HLOOKUP(R4052,データについて!$J$12:$M$18,7,FALSE),"*")</f>
        <v>#N/A</v>
      </c>
    </row>
    <row r="4053" spans="19:30">
      <c r="S4053" s="81" t="e">
        <f>HLOOKUP(L4053,データについて!$J$6:$M$18,13,FALSE)</f>
        <v>#N/A</v>
      </c>
      <c r="T4053" s="81" t="e">
        <f>HLOOKUP(M4053,データについて!$J$7:$M$18,12,FALSE)</f>
        <v>#N/A</v>
      </c>
      <c r="U4053" s="81" t="e">
        <f>HLOOKUP(N4053,データについて!$J$8:$M$18,11,FALSE)</f>
        <v>#N/A</v>
      </c>
      <c r="V4053" s="81" t="e">
        <f>HLOOKUP(O4053,データについて!$J$9:$M$18,10,FALSE)</f>
        <v>#N/A</v>
      </c>
      <c r="W4053" s="81" t="e">
        <f>HLOOKUP(P4053,データについて!$J$10:$M$18,9,FALSE)</f>
        <v>#N/A</v>
      </c>
      <c r="X4053" s="81" t="e">
        <f>HLOOKUP(Q4053,データについて!$J$11:$M$18,8,FALSE)</f>
        <v>#N/A</v>
      </c>
      <c r="Y4053" s="81" t="e">
        <f>HLOOKUP(R4053,データについて!$J$12:$M$18,7,FALSE)</f>
        <v>#N/A</v>
      </c>
      <c r="Z4053" s="81" t="e">
        <f>HLOOKUP(I4053,データについて!$J$3:$M$18,16,FALSE)</f>
        <v>#N/A</v>
      </c>
      <c r="AA4053" s="81" t="str">
        <f>IFERROR(HLOOKUP(J4053,データについて!$J$4:$AH$19,16,FALSE),"")</f>
        <v/>
      </c>
      <c r="AB4053" s="81" t="str">
        <f>IFERROR(HLOOKUP(K4053,データについて!$J$5:$AH$20,14,FALSE),"")</f>
        <v/>
      </c>
      <c r="AC4053" s="81" t="e">
        <f>IF(X4053=1,HLOOKUP(R4053,データについて!$J$12:$M$18,7,FALSE),"*")</f>
        <v>#N/A</v>
      </c>
      <c r="AD4053" s="81" t="e">
        <f>IF(X4053=2,HLOOKUP(R4053,データについて!$J$12:$M$18,7,FALSE),"*")</f>
        <v>#N/A</v>
      </c>
    </row>
    <row r="4054" spans="19:30">
      <c r="S4054" s="81" t="e">
        <f>HLOOKUP(L4054,データについて!$J$6:$M$18,13,FALSE)</f>
        <v>#N/A</v>
      </c>
      <c r="T4054" s="81" t="e">
        <f>HLOOKUP(M4054,データについて!$J$7:$M$18,12,FALSE)</f>
        <v>#N/A</v>
      </c>
      <c r="U4054" s="81" t="e">
        <f>HLOOKUP(N4054,データについて!$J$8:$M$18,11,FALSE)</f>
        <v>#N/A</v>
      </c>
      <c r="V4054" s="81" t="e">
        <f>HLOOKUP(O4054,データについて!$J$9:$M$18,10,FALSE)</f>
        <v>#N/A</v>
      </c>
      <c r="W4054" s="81" t="e">
        <f>HLOOKUP(P4054,データについて!$J$10:$M$18,9,FALSE)</f>
        <v>#N/A</v>
      </c>
      <c r="X4054" s="81" t="e">
        <f>HLOOKUP(Q4054,データについて!$J$11:$M$18,8,FALSE)</f>
        <v>#N/A</v>
      </c>
      <c r="Y4054" s="81" t="e">
        <f>HLOOKUP(R4054,データについて!$J$12:$M$18,7,FALSE)</f>
        <v>#N/A</v>
      </c>
      <c r="Z4054" s="81" t="e">
        <f>HLOOKUP(I4054,データについて!$J$3:$M$18,16,FALSE)</f>
        <v>#N/A</v>
      </c>
      <c r="AA4054" s="81" t="str">
        <f>IFERROR(HLOOKUP(J4054,データについて!$J$4:$AH$19,16,FALSE),"")</f>
        <v/>
      </c>
      <c r="AB4054" s="81" t="str">
        <f>IFERROR(HLOOKUP(K4054,データについて!$J$5:$AH$20,14,FALSE),"")</f>
        <v/>
      </c>
      <c r="AC4054" s="81" t="e">
        <f>IF(X4054=1,HLOOKUP(R4054,データについて!$J$12:$M$18,7,FALSE),"*")</f>
        <v>#N/A</v>
      </c>
      <c r="AD4054" s="81" t="e">
        <f>IF(X4054=2,HLOOKUP(R4054,データについて!$J$12:$M$18,7,FALSE),"*")</f>
        <v>#N/A</v>
      </c>
    </row>
    <row r="4055" spans="19:30">
      <c r="S4055" s="81" t="e">
        <f>HLOOKUP(L4055,データについて!$J$6:$M$18,13,FALSE)</f>
        <v>#N/A</v>
      </c>
      <c r="T4055" s="81" t="e">
        <f>HLOOKUP(M4055,データについて!$J$7:$M$18,12,FALSE)</f>
        <v>#N/A</v>
      </c>
      <c r="U4055" s="81" t="e">
        <f>HLOOKUP(N4055,データについて!$J$8:$M$18,11,FALSE)</f>
        <v>#N/A</v>
      </c>
      <c r="V4055" s="81" t="e">
        <f>HLOOKUP(O4055,データについて!$J$9:$M$18,10,FALSE)</f>
        <v>#N/A</v>
      </c>
      <c r="W4055" s="81" t="e">
        <f>HLOOKUP(P4055,データについて!$J$10:$M$18,9,FALSE)</f>
        <v>#N/A</v>
      </c>
      <c r="X4055" s="81" t="e">
        <f>HLOOKUP(Q4055,データについて!$J$11:$M$18,8,FALSE)</f>
        <v>#N/A</v>
      </c>
      <c r="Y4055" s="81" t="e">
        <f>HLOOKUP(R4055,データについて!$J$12:$M$18,7,FALSE)</f>
        <v>#N/A</v>
      </c>
      <c r="Z4055" s="81" t="e">
        <f>HLOOKUP(I4055,データについて!$J$3:$M$18,16,FALSE)</f>
        <v>#N/A</v>
      </c>
      <c r="AA4055" s="81" t="str">
        <f>IFERROR(HLOOKUP(J4055,データについて!$J$4:$AH$19,16,FALSE),"")</f>
        <v/>
      </c>
      <c r="AB4055" s="81" t="str">
        <f>IFERROR(HLOOKUP(K4055,データについて!$J$5:$AH$20,14,FALSE),"")</f>
        <v/>
      </c>
      <c r="AC4055" s="81" t="e">
        <f>IF(X4055=1,HLOOKUP(R4055,データについて!$J$12:$M$18,7,FALSE),"*")</f>
        <v>#N/A</v>
      </c>
      <c r="AD4055" s="81" t="e">
        <f>IF(X4055=2,HLOOKUP(R4055,データについて!$J$12:$M$18,7,FALSE),"*")</f>
        <v>#N/A</v>
      </c>
    </row>
    <row r="4056" spans="19:30">
      <c r="S4056" s="81" t="e">
        <f>HLOOKUP(L4056,データについて!$J$6:$M$18,13,FALSE)</f>
        <v>#N/A</v>
      </c>
      <c r="T4056" s="81" t="e">
        <f>HLOOKUP(M4056,データについて!$J$7:$M$18,12,FALSE)</f>
        <v>#N/A</v>
      </c>
      <c r="U4056" s="81" t="e">
        <f>HLOOKUP(N4056,データについて!$J$8:$M$18,11,FALSE)</f>
        <v>#N/A</v>
      </c>
      <c r="V4056" s="81" t="e">
        <f>HLOOKUP(O4056,データについて!$J$9:$M$18,10,FALSE)</f>
        <v>#N/A</v>
      </c>
      <c r="W4056" s="81" t="e">
        <f>HLOOKUP(P4056,データについて!$J$10:$M$18,9,FALSE)</f>
        <v>#N/A</v>
      </c>
      <c r="X4056" s="81" t="e">
        <f>HLOOKUP(Q4056,データについて!$J$11:$M$18,8,FALSE)</f>
        <v>#N/A</v>
      </c>
      <c r="Y4056" s="81" t="e">
        <f>HLOOKUP(R4056,データについて!$J$12:$M$18,7,FALSE)</f>
        <v>#N/A</v>
      </c>
      <c r="Z4056" s="81" t="e">
        <f>HLOOKUP(I4056,データについて!$J$3:$M$18,16,FALSE)</f>
        <v>#N/A</v>
      </c>
      <c r="AA4056" s="81" t="str">
        <f>IFERROR(HLOOKUP(J4056,データについて!$J$4:$AH$19,16,FALSE),"")</f>
        <v/>
      </c>
      <c r="AB4056" s="81" t="str">
        <f>IFERROR(HLOOKUP(K4056,データについて!$J$5:$AH$20,14,FALSE),"")</f>
        <v/>
      </c>
      <c r="AC4056" s="81" t="e">
        <f>IF(X4056=1,HLOOKUP(R4056,データについて!$J$12:$M$18,7,FALSE),"*")</f>
        <v>#N/A</v>
      </c>
      <c r="AD4056" s="81" t="e">
        <f>IF(X4056=2,HLOOKUP(R4056,データについて!$J$12:$M$18,7,FALSE),"*")</f>
        <v>#N/A</v>
      </c>
    </row>
    <row r="4057" spans="19:30">
      <c r="S4057" s="81" t="e">
        <f>HLOOKUP(L4057,データについて!$J$6:$M$18,13,FALSE)</f>
        <v>#N/A</v>
      </c>
      <c r="T4057" s="81" t="e">
        <f>HLOOKUP(M4057,データについて!$J$7:$M$18,12,FALSE)</f>
        <v>#N/A</v>
      </c>
      <c r="U4057" s="81" t="e">
        <f>HLOOKUP(N4057,データについて!$J$8:$M$18,11,FALSE)</f>
        <v>#N/A</v>
      </c>
      <c r="V4057" s="81" t="e">
        <f>HLOOKUP(O4057,データについて!$J$9:$M$18,10,FALSE)</f>
        <v>#N/A</v>
      </c>
      <c r="W4057" s="81" t="e">
        <f>HLOOKUP(P4057,データについて!$J$10:$M$18,9,FALSE)</f>
        <v>#N/A</v>
      </c>
      <c r="X4057" s="81" t="e">
        <f>HLOOKUP(Q4057,データについて!$J$11:$M$18,8,FALSE)</f>
        <v>#N/A</v>
      </c>
      <c r="Y4057" s="81" t="e">
        <f>HLOOKUP(R4057,データについて!$J$12:$M$18,7,FALSE)</f>
        <v>#N/A</v>
      </c>
      <c r="Z4057" s="81" t="e">
        <f>HLOOKUP(I4057,データについて!$J$3:$M$18,16,FALSE)</f>
        <v>#N/A</v>
      </c>
      <c r="AA4057" s="81" t="str">
        <f>IFERROR(HLOOKUP(J4057,データについて!$J$4:$AH$19,16,FALSE),"")</f>
        <v/>
      </c>
      <c r="AB4057" s="81" t="str">
        <f>IFERROR(HLOOKUP(K4057,データについて!$J$5:$AH$20,14,FALSE),"")</f>
        <v/>
      </c>
      <c r="AC4057" s="81" t="e">
        <f>IF(X4057=1,HLOOKUP(R4057,データについて!$J$12:$M$18,7,FALSE),"*")</f>
        <v>#N/A</v>
      </c>
      <c r="AD4057" s="81" t="e">
        <f>IF(X4057=2,HLOOKUP(R4057,データについて!$J$12:$M$18,7,FALSE),"*")</f>
        <v>#N/A</v>
      </c>
    </row>
    <row r="4058" spans="19:30">
      <c r="S4058" s="81" t="e">
        <f>HLOOKUP(L4058,データについて!$J$6:$M$18,13,FALSE)</f>
        <v>#N/A</v>
      </c>
      <c r="T4058" s="81" t="e">
        <f>HLOOKUP(M4058,データについて!$J$7:$M$18,12,FALSE)</f>
        <v>#N/A</v>
      </c>
      <c r="U4058" s="81" t="e">
        <f>HLOOKUP(N4058,データについて!$J$8:$M$18,11,FALSE)</f>
        <v>#N/A</v>
      </c>
      <c r="V4058" s="81" t="e">
        <f>HLOOKUP(O4058,データについて!$J$9:$M$18,10,FALSE)</f>
        <v>#N/A</v>
      </c>
      <c r="W4058" s="81" t="e">
        <f>HLOOKUP(P4058,データについて!$J$10:$M$18,9,FALSE)</f>
        <v>#N/A</v>
      </c>
      <c r="X4058" s="81" t="e">
        <f>HLOOKUP(Q4058,データについて!$J$11:$M$18,8,FALSE)</f>
        <v>#N/A</v>
      </c>
      <c r="Y4058" s="81" t="e">
        <f>HLOOKUP(R4058,データについて!$J$12:$M$18,7,FALSE)</f>
        <v>#N/A</v>
      </c>
      <c r="Z4058" s="81" t="e">
        <f>HLOOKUP(I4058,データについて!$J$3:$M$18,16,FALSE)</f>
        <v>#N/A</v>
      </c>
      <c r="AA4058" s="81" t="str">
        <f>IFERROR(HLOOKUP(J4058,データについて!$J$4:$AH$19,16,FALSE),"")</f>
        <v/>
      </c>
      <c r="AB4058" s="81" t="str">
        <f>IFERROR(HLOOKUP(K4058,データについて!$J$5:$AH$20,14,FALSE),"")</f>
        <v/>
      </c>
      <c r="AC4058" s="81" t="e">
        <f>IF(X4058=1,HLOOKUP(R4058,データについて!$J$12:$M$18,7,FALSE),"*")</f>
        <v>#N/A</v>
      </c>
      <c r="AD4058" s="81" t="e">
        <f>IF(X4058=2,HLOOKUP(R4058,データについて!$J$12:$M$18,7,FALSE),"*")</f>
        <v>#N/A</v>
      </c>
    </row>
    <row r="4059" spans="19:30">
      <c r="S4059" s="81" t="e">
        <f>HLOOKUP(L4059,データについて!$J$6:$M$18,13,FALSE)</f>
        <v>#N/A</v>
      </c>
      <c r="T4059" s="81" t="e">
        <f>HLOOKUP(M4059,データについて!$J$7:$M$18,12,FALSE)</f>
        <v>#N/A</v>
      </c>
      <c r="U4059" s="81" t="e">
        <f>HLOOKUP(N4059,データについて!$J$8:$M$18,11,FALSE)</f>
        <v>#N/A</v>
      </c>
      <c r="V4059" s="81" t="e">
        <f>HLOOKUP(O4059,データについて!$J$9:$M$18,10,FALSE)</f>
        <v>#N/A</v>
      </c>
      <c r="W4059" s="81" t="e">
        <f>HLOOKUP(P4059,データについて!$J$10:$M$18,9,FALSE)</f>
        <v>#N/A</v>
      </c>
      <c r="X4059" s="81" t="e">
        <f>HLOOKUP(Q4059,データについて!$J$11:$M$18,8,FALSE)</f>
        <v>#N/A</v>
      </c>
      <c r="Y4059" s="81" t="e">
        <f>HLOOKUP(R4059,データについて!$J$12:$M$18,7,FALSE)</f>
        <v>#N/A</v>
      </c>
      <c r="Z4059" s="81" t="e">
        <f>HLOOKUP(I4059,データについて!$J$3:$M$18,16,FALSE)</f>
        <v>#N/A</v>
      </c>
      <c r="AA4059" s="81" t="str">
        <f>IFERROR(HLOOKUP(J4059,データについて!$J$4:$AH$19,16,FALSE),"")</f>
        <v/>
      </c>
      <c r="AB4059" s="81" t="str">
        <f>IFERROR(HLOOKUP(K4059,データについて!$J$5:$AH$20,14,FALSE),"")</f>
        <v/>
      </c>
      <c r="AC4059" s="81" t="e">
        <f>IF(X4059=1,HLOOKUP(R4059,データについて!$J$12:$M$18,7,FALSE),"*")</f>
        <v>#N/A</v>
      </c>
      <c r="AD4059" s="81" t="e">
        <f>IF(X4059=2,HLOOKUP(R4059,データについて!$J$12:$M$18,7,FALSE),"*")</f>
        <v>#N/A</v>
      </c>
    </row>
    <row r="4060" spans="19:30">
      <c r="S4060" s="81" t="e">
        <f>HLOOKUP(L4060,データについて!$J$6:$M$18,13,FALSE)</f>
        <v>#N/A</v>
      </c>
      <c r="T4060" s="81" t="e">
        <f>HLOOKUP(M4060,データについて!$J$7:$M$18,12,FALSE)</f>
        <v>#N/A</v>
      </c>
      <c r="U4060" s="81" t="e">
        <f>HLOOKUP(N4060,データについて!$J$8:$M$18,11,FALSE)</f>
        <v>#N/A</v>
      </c>
      <c r="V4060" s="81" t="e">
        <f>HLOOKUP(O4060,データについて!$J$9:$M$18,10,FALSE)</f>
        <v>#N/A</v>
      </c>
      <c r="W4060" s="81" t="e">
        <f>HLOOKUP(P4060,データについて!$J$10:$M$18,9,FALSE)</f>
        <v>#N/A</v>
      </c>
      <c r="X4060" s="81" t="e">
        <f>HLOOKUP(Q4060,データについて!$J$11:$M$18,8,FALSE)</f>
        <v>#N/A</v>
      </c>
      <c r="Y4060" s="81" t="e">
        <f>HLOOKUP(R4060,データについて!$J$12:$M$18,7,FALSE)</f>
        <v>#N/A</v>
      </c>
      <c r="Z4060" s="81" t="e">
        <f>HLOOKUP(I4060,データについて!$J$3:$M$18,16,FALSE)</f>
        <v>#N/A</v>
      </c>
      <c r="AA4060" s="81" t="str">
        <f>IFERROR(HLOOKUP(J4060,データについて!$J$4:$AH$19,16,FALSE),"")</f>
        <v/>
      </c>
      <c r="AB4060" s="81" t="str">
        <f>IFERROR(HLOOKUP(K4060,データについて!$J$5:$AH$20,14,FALSE),"")</f>
        <v/>
      </c>
      <c r="AC4060" s="81" t="e">
        <f>IF(X4060=1,HLOOKUP(R4060,データについて!$J$12:$M$18,7,FALSE),"*")</f>
        <v>#N/A</v>
      </c>
      <c r="AD4060" s="81" t="e">
        <f>IF(X4060=2,HLOOKUP(R4060,データについて!$J$12:$M$18,7,FALSE),"*")</f>
        <v>#N/A</v>
      </c>
    </row>
    <row r="4061" spans="19:30">
      <c r="S4061" s="81" t="e">
        <f>HLOOKUP(L4061,データについて!$J$6:$M$18,13,FALSE)</f>
        <v>#N/A</v>
      </c>
      <c r="T4061" s="81" t="e">
        <f>HLOOKUP(M4061,データについて!$J$7:$M$18,12,FALSE)</f>
        <v>#N/A</v>
      </c>
      <c r="U4061" s="81" t="e">
        <f>HLOOKUP(N4061,データについて!$J$8:$M$18,11,FALSE)</f>
        <v>#N/A</v>
      </c>
      <c r="V4061" s="81" t="e">
        <f>HLOOKUP(O4061,データについて!$J$9:$M$18,10,FALSE)</f>
        <v>#N/A</v>
      </c>
      <c r="W4061" s="81" t="e">
        <f>HLOOKUP(P4061,データについて!$J$10:$M$18,9,FALSE)</f>
        <v>#N/A</v>
      </c>
      <c r="X4061" s="81" t="e">
        <f>HLOOKUP(Q4061,データについて!$J$11:$M$18,8,FALSE)</f>
        <v>#N/A</v>
      </c>
      <c r="Y4061" s="81" t="e">
        <f>HLOOKUP(R4061,データについて!$J$12:$M$18,7,FALSE)</f>
        <v>#N/A</v>
      </c>
      <c r="Z4061" s="81" t="e">
        <f>HLOOKUP(I4061,データについて!$J$3:$M$18,16,FALSE)</f>
        <v>#N/A</v>
      </c>
      <c r="AA4061" s="81" t="str">
        <f>IFERROR(HLOOKUP(J4061,データについて!$J$4:$AH$19,16,FALSE),"")</f>
        <v/>
      </c>
      <c r="AB4061" s="81" t="str">
        <f>IFERROR(HLOOKUP(K4061,データについて!$J$5:$AH$20,14,FALSE),"")</f>
        <v/>
      </c>
      <c r="AC4061" s="81" t="e">
        <f>IF(X4061=1,HLOOKUP(R4061,データについて!$J$12:$M$18,7,FALSE),"*")</f>
        <v>#N/A</v>
      </c>
      <c r="AD4061" s="81" t="e">
        <f>IF(X4061=2,HLOOKUP(R4061,データについて!$J$12:$M$18,7,FALSE),"*")</f>
        <v>#N/A</v>
      </c>
    </row>
    <row r="4062" spans="19:30">
      <c r="S4062" s="81" t="e">
        <f>HLOOKUP(L4062,データについて!$J$6:$M$18,13,FALSE)</f>
        <v>#N/A</v>
      </c>
      <c r="T4062" s="81" t="e">
        <f>HLOOKUP(M4062,データについて!$J$7:$M$18,12,FALSE)</f>
        <v>#N/A</v>
      </c>
      <c r="U4062" s="81" t="e">
        <f>HLOOKUP(N4062,データについて!$J$8:$M$18,11,FALSE)</f>
        <v>#N/A</v>
      </c>
      <c r="V4062" s="81" t="e">
        <f>HLOOKUP(O4062,データについて!$J$9:$M$18,10,FALSE)</f>
        <v>#N/A</v>
      </c>
      <c r="W4062" s="81" t="e">
        <f>HLOOKUP(P4062,データについて!$J$10:$M$18,9,FALSE)</f>
        <v>#N/A</v>
      </c>
      <c r="X4062" s="81" t="e">
        <f>HLOOKUP(Q4062,データについて!$J$11:$M$18,8,FALSE)</f>
        <v>#N/A</v>
      </c>
      <c r="Y4062" s="81" t="e">
        <f>HLOOKUP(R4062,データについて!$J$12:$M$18,7,FALSE)</f>
        <v>#N/A</v>
      </c>
      <c r="Z4062" s="81" t="e">
        <f>HLOOKUP(I4062,データについて!$J$3:$M$18,16,FALSE)</f>
        <v>#N/A</v>
      </c>
      <c r="AA4062" s="81" t="str">
        <f>IFERROR(HLOOKUP(J4062,データについて!$J$4:$AH$19,16,FALSE),"")</f>
        <v/>
      </c>
      <c r="AB4062" s="81" t="str">
        <f>IFERROR(HLOOKUP(K4062,データについて!$J$5:$AH$20,14,FALSE),"")</f>
        <v/>
      </c>
      <c r="AC4062" s="81" t="e">
        <f>IF(X4062=1,HLOOKUP(R4062,データについて!$J$12:$M$18,7,FALSE),"*")</f>
        <v>#N/A</v>
      </c>
      <c r="AD4062" s="81" t="e">
        <f>IF(X4062=2,HLOOKUP(R4062,データについて!$J$12:$M$18,7,FALSE),"*")</f>
        <v>#N/A</v>
      </c>
    </row>
    <row r="4063" spans="19:30">
      <c r="S4063" s="81" t="e">
        <f>HLOOKUP(L4063,データについて!$J$6:$M$18,13,FALSE)</f>
        <v>#N/A</v>
      </c>
      <c r="T4063" s="81" t="e">
        <f>HLOOKUP(M4063,データについて!$J$7:$M$18,12,FALSE)</f>
        <v>#N/A</v>
      </c>
      <c r="U4063" s="81" t="e">
        <f>HLOOKUP(N4063,データについて!$J$8:$M$18,11,FALSE)</f>
        <v>#N/A</v>
      </c>
      <c r="V4063" s="81" t="e">
        <f>HLOOKUP(O4063,データについて!$J$9:$M$18,10,FALSE)</f>
        <v>#N/A</v>
      </c>
      <c r="W4063" s="81" t="e">
        <f>HLOOKUP(P4063,データについて!$J$10:$M$18,9,FALSE)</f>
        <v>#N/A</v>
      </c>
      <c r="X4063" s="81" t="e">
        <f>HLOOKUP(Q4063,データについて!$J$11:$M$18,8,FALSE)</f>
        <v>#N/A</v>
      </c>
      <c r="Y4063" s="81" t="e">
        <f>HLOOKUP(R4063,データについて!$J$12:$M$18,7,FALSE)</f>
        <v>#N/A</v>
      </c>
      <c r="Z4063" s="81" t="e">
        <f>HLOOKUP(I4063,データについて!$J$3:$M$18,16,FALSE)</f>
        <v>#N/A</v>
      </c>
      <c r="AA4063" s="81" t="str">
        <f>IFERROR(HLOOKUP(J4063,データについて!$J$4:$AH$19,16,FALSE),"")</f>
        <v/>
      </c>
      <c r="AB4063" s="81" t="str">
        <f>IFERROR(HLOOKUP(K4063,データについて!$J$5:$AH$20,14,FALSE),"")</f>
        <v/>
      </c>
      <c r="AC4063" s="81" t="e">
        <f>IF(X4063=1,HLOOKUP(R4063,データについて!$J$12:$M$18,7,FALSE),"*")</f>
        <v>#N/A</v>
      </c>
      <c r="AD4063" s="81" t="e">
        <f>IF(X4063=2,HLOOKUP(R4063,データについて!$J$12:$M$18,7,FALSE),"*")</f>
        <v>#N/A</v>
      </c>
    </row>
    <row r="4064" spans="19:30">
      <c r="S4064" s="81" t="e">
        <f>HLOOKUP(L4064,データについて!$J$6:$M$18,13,FALSE)</f>
        <v>#N/A</v>
      </c>
      <c r="T4064" s="81" t="e">
        <f>HLOOKUP(M4064,データについて!$J$7:$M$18,12,FALSE)</f>
        <v>#N/A</v>
      </c>
      <c r="U4064" s="81" t="e">
        <f>HLOOKUP(N4064,データについて!$J$8:$M$18,11,FALSE)</f>
        <v>#N/A</v>
      </c>
      <c r="V4064" s="81" t="e">
        <f>HLOOKUP(O4064,データについて!$J$9:$M$18,10,FALSE)</f>
        <v>#N/A</v>
      </c>
      <c r="W4064" s="81" t="e">
        <f>HLOOKUP(P4064,データについて!$J$10:$M$18,9,FALSE)</f>
        <v>#N/A</v>
      </c>
      <c r="X4064" s="81" t="e">
        <f>HLOOKUP(Q4064,データについて!$J$11:$M$18,8,FALSE)</f>
        <v>#N/A</v>
      </c>
      <c r="Y4064" s="81" t="e">
        <f>HLOOKUP(R4064,データについて!$J$12:$M$18,7,FALSE)</f>
        <v>#N/A</v>
      </c>
      <c r="Z4064" s="81" t="e">
        <f>HLOOKUP(I4064,データについて!$J$3:$M$18,16,FALSE)</f>
        <v>#N/A</v>
      </c>
      <c r="AA4064" s="81" t="str">
        <f>IFERROR(HLOOKUP(J4064,データについて!$J$4:$AH$19,16,FALSE),"")</f>
        <v/>
      </c>
      <c r="AB4064" s="81" t="str">
        <f>IFERROR(HLOOKUP(K4064,データについて!$J$5:$AH$20,14,FALSE),"")</f>
        <v/>
      </c>
      <c r="AC4064" s="81" t="e">
        <f>IF(X4064=1,HLOOKUP(R4064,データについて!$J$12:$M$18,7,FALSE),"*")</f>
        <v>#N/A</v>
      </c>
      <c r="AD4064" s="81" t="e">
        <f>IF(X4064=2,HLOOKUP(R4064,データについて!$J$12:$M$18,7,FALSE),"*")</f>
        <v>#N/A</v>
      </c>
    </row>
    <row r="4065" spans="19:30">
      <c r="S4065" s="81" t="e">
        <f>HLOOKUP(L4065,データについて!$J$6:$M$18,13,FALSE)</f>
        <v>#N/A</v>
      </c>
      <c r="T4065" s="81" t="e">
        <f>HLOOKUP(M4065,データについて!$J$7:$M$18,12,FALSE)</f>
        <v>#N/A</v>
      </c>
      <c r="U4065" s="81" t="e">
        <f>HLOOKUP(N4065,データについて!$J$8:$M$18,11,FALSE)</f>
        <v>#N/A</v>
      </c>
      <c r="V4065" s="81" t="e">
        <f>HLOOKUP(O4065,データについて!$J$9:$M$18,10,FALSE)</f>
        <v>#N/A</v>
      </c>
      <c r="W4065" s="81" t="e">
        <f>HLOOKUP(P4065,データについて!$J$10:$M$18,9,FALSE)</f>
        <v>#N/A</v>
      </c>
      <c r="X4065" s="81" t="e">
        <f>HLOOKUP(Q4065,データについて!$J$11:$M$18,8,FALSE)</f>
        <v>#N/A</v>
      </c>
      <c r="Y4065" s="81" t="e">
        <f>HLOOKUP(R4065,データについて!$J$12:$M$18,7,FALSE)</f>
        <v>#N/A</v>
      </c>
      <c r="Z4065" s="81" t="e">
        <f>HLOOKUP(I4065,データについて!$J$3:$M$18,16,FALSE)</f>
        <v>#N/A</v>
      </c>
      <c r="AA4065" s="81" t="str">
        <f>IFERROR(HLOOKUP(J4065,データについて!$J$4:$AH$19,16,FALSE),"")</f>
        <v/>
      </c>
      <c r="AB4065" s="81" t="str">
        <f>IFERROR(HLOOKUP(K4065,データについて!$J$5:$AH$20,14,FALSE),"")</f>
        <v/>
      </c>
      <c r="AC4065" s="81" t="e">
        <f>IF(X4065=1,HLOOKUP(R4065,データについて!$J$12:$M$18,7,FALSE),"*")</f>
        <v>#N/A</v>
      </c>
      <c r="AD4065" s="81" t="e">
        <f>IF(X4065=2,HLOOKUP(R4065,データについて!$J$12:$M$18,7,FALSE),"*")</f>
        <v>#N/A</v>
      </c>
    </row>
    <row r="4066" spans="19:30">
      <c r="S4066" s="81" t="e">
        <f>HLOOKUP(L4066,データについて!$J$6:$M$18,13,FALSE)</f>
        <v>#N/A</v>
      </c>
      <c r="T4066" s="81" t="e">
        <f>HLOOKUP(M4066,データについて!$J$7:$M$18,12,FALSE)</f>
        <v>#N/A</v>
      </c>
      <c r="U4066" s="81" t="e">
        <f>HLOOKUP(N4066,データについて!$J$8:$M$18,11,FALSE)</f>
        <v>#N/A</v>
      </c>
      <c r="V4066" s="81" t="e">
        <f>HLOOKUP(O4066,データについて!$J$9:$M$18,10,FALSE)</f>
        <v>#N/A</v>
      </c>
      <c r="W4066" s="81" t="e">
        <f>HLOOKUP(P4066,データについて!$J$10:$M$18,9,FALSE)</f>
        <v>#N/A</v>
      </c>
      <c r="X4066" s="81" t="e">
        <f>HLOOKUP(Q4066,データについて!$J$11:$M$18,8,FALSE)</f>
        <v>#N/A</v>
      </c>
      <c r="Y4066" s="81" t="e">
        <f>HLOOKUP(R4066,データについて!$J$12:$M$18,7,FALSE)</f>
        <v>#N/A</v>
      </c>
      <c r="Z4066" s="81" t="e">
        <f>HLOOKUP(I4066,データについて!$J$3:$M$18,16,FALSE)</f>
        <v>#N/A</v>
      </c>
      <c r="AA4066" s="81" t="str">
        <f>IFERROR(HLOOKUP(J4066,データについて!$J$4:$AH$19,16,FALSE),"")</f>
        <v/>
      </c>
      <c r="AB4066" s="81" t="str">
        <f>IFERROR(HLOOKUP(K4066,データについて!$J$5:$AH$20,14,FALSE),"")</f>
        <v/>
      </c>
      <c r="AC4066" s="81" t="e">
        <f>IF(X4066=1,HLOOKUP(R4066,データについて!$J$12:$M$18,7,FALSE),"*")</f>
        <v>#N/A</v>
      </c>
      <c r="AD4066" s="81" t="e">
        <f>IF(X4066=2,HLOOKUP(R4066,データについて!$J$12:$M$18,7,FALSE),"*")</f>
        <v>#N/A</v>
      </c>
    </row>
    <row r="4067" spans="19:30">
      <c r="S4067" s="81" t="e">
        <f>HLOOKUP(L4067,データについて!$J$6:$M$18,13,FALSE)</f>
        <v>#N/A</v>
      </c>
      <c r="T4067" s="81" t="e">
        <f>HLOOKUP(M4067,データについて!$J$7:$M$18,12,FALSE)</f>
        <v>#N/A</v>
      </c>
      <c r="U4067" s="81" t="e">
        <f>HLOOKUP(N4067,データについて!$J$8:$M$18,11,FALSE)</f>
        <v>#N/A</v>
      </c>
      <c r="V4067" s="81" t="e">
        <f>HLOOKUP(O4067,データについて!$J$9:$M$18,10,FALSE)</f>
        <v>#N/A</v>
      </c>
      <c r="W4067" s="81" t="e">
        <f>HLOOKUP(P4067,データについて!$J$10:$M$18,9,FALSE)</f>
        <v>#N/A</v>
      </c>
      <c r="X4067" s="81" t="e">
        <f>HLOOKUP(Q4067,データについて!$J$11:$M$18,8,FALSE)</f>
        <v>#N/A</v>
      </c>
      <c r="Y4067" s="81" t="e">
        <f>HLOOKUP(R4067,データについて!$J$12:$M$18,7,FALSE)</f>
        <v>#N/A</v>
      </c>
      <c r="Z4067" s="81" t="e">
        <f>HLOOKUP(I4067,データについて!$J$3:$M$18,16,FALSE)</f>
        <v>#N/A</v>
      </c>
      <c r="AA4067" s="81" t="str">
        <f>IFERROR(HLOOKUP(J4067,データについて!$J$4:$AH$19,16,FALSE),"")</f>
        <v/>
      </c>
      <c r="AB4067" s="81" t="str">
        <f>IFERROR(HLOOKUP(K4067,データについて!$J$5:$AH$20,14,FALSE),"")</f>
        <v/>
      </c>
      <c r="AC4067" s="81" t="e">
        <f>IF(X4067=1,HLOOKUP(R4067,データについて!$J$12:$M$18,7,FALSE),"*")</f>
        <v>#N/A</v>
      </c>
      <c r="AD4067" s="81" t="e">
        <f>IF(X4067=2,HLOOKUP(R4067,データについて!$J$12:$M$18,7,FALSE),"*")</f>
        <v>#N/A</v>
      </c>
    </row>
    <row r="4068" spans="19:30">
      <c r="S4068" s="81" t="e">
        <f>HLOOKUP(L4068,データについて!$J$6:$M$18,13,FALSE)</f>
        <v>#N/A</v>
      </c>
      <c r="T4068" s="81" t="e">
        <f>HLOOKUP(M4068,データについて!$J$7:$M$18,12,FALSE)</f>
        <v>#N/A</v>
      </c>
      <c r="U4068" s="81" t="e">
        <f>HLOOKUP(N4068,データについて!$J$8:$M$18,11,FALSE)</f>
        <v>#N/A</v>
      </c>
      <c r="V4068" s="81" t="e">
        <f>HLOOKUP(O4068,データについて!$J$9:$M$18,10,FALSE)</f>
        <v>#N/A</v>
      </c>
      <c r="W4068" s="81" t="e">
        <f>HLOOKUP(P4068,データについて!$J$10:$M$18,9,FALSE)</f>
        <v>#N/A</v>
      </c>
      <c r="X4068" s="81" t="e">
        <f>HLOOKUP(Q4068,データについて!$J$11:$M$18,8,FALSE)</f>
        <v>#N/A</v>
      </c>
      <c r="Y4068" s="81" t="e">
        <f>HLOOKUP(R4068,データについて!$J$12:$M$18,7,FALSE)</f>
        <v>#N/A</v>
      </c>
      <c r="Z4068" s="81" t="e">
        <f>HLOOKUP(I4068,データについて!$J$3:$M$18,16,FALSE)</f>
        <v>#N/A</v>
      </c>
      <c r="AA4068" s="81" t="str">
        <f>IFERROR(HLOOKUP(J4068,データについて!$J$4:$AH$19,16,FALSE),"")</f>
        <v/>
      </c>
      <c r="AB4068" s="81" t="str">
        <f>IFERROR(HLOOKUP(K4068,データについて!$J$5:$AH$20,14,FALSE),"")</f>
        <v/>
      </c>
      <c r="AC4068" s="81" t="e">
        <f>IF(X4068=1,HLOOKUP(R4068,データについて!$J$12:$M$18,7,FALSE),"*")</f>
        <v>#N/A</v>
      </c>
      <c r="AD4068" s="81" t="e">
        <f>IF(X4068=2,HLOOKUP(R4068,データについて!$J$12:$M$18,7,FALSE),"*")</f>
        <v>#N/A</v>
      </c>
    </row>
    <row r="4069" spans="19:30">
      <c r="S4069" s="81" t="e">
        <f>HLOOKUP(L4069,データについて!$J$6:$M$18,13,FALSE)</f>
        <v>#N/A</v>
      </c>
      <c r="T4069" s="81" t="e">
        <f>HLOOKUP(M4069,データについて!$J$7:$M$18,12,FALSE)</f>
        <v>#N/A</v>
      </c>
      <c r="U4069" s="81" t="e">
        <f>HLOOKUP(N4069,データについて!$J$8:$M$18,11,FALSE)</f>
        <v>#N/A</v>
      </c>
      <c r="V4069" s="81" t="e">
        <f>HLOOKUP(O4069,データについて!$J$9:$M$18,10,FALSE)</f>
        <v>#N/A</v>
      </c>
      <c r="W4069" s="81" t="e">
        <f>HLOOKUP(P4069,データについて!$J$10:$M$18,9,FALSE)</f>
        <v>#N/A</v>
      </c>
      <c r="X4069" s="81" t="e">
        <f>HLOOKUP(Q4069,データについて!$J$11:$M$18,8,FALSE)</f>
        <v>#N/A</v>
      </c>
      <c r="Y4069" s="81" t="e">
        <f>HLOOKUP(R4069,データについて!$J$12:$M$18,7,FALSE)</f>
        <v>#N/A</v>
      </c>
      <c r="Z4069" s="81" t="e">
        <f>HLOOKUP(I4069,データについて!$J$3:$M$18,16,FALSE)</f>
        <v>#N/A</v>
      </c>
      <c r="AA4069" s="81" t="str">
        <f>IFERROR(HLOOKUP(J4069,データについて!$J$4:$AH$19,16,FALSE),"")</f>
        <v/>
      </c>
      <c r="AB4069" s="81" t="str">
        <f>IFERROR(HLOOKUP(K4069,データについて!$J$5:$AH$20,14,FALSE),"")</f>
        <v/>
      </c>
      <c r="AC4069" s="81" t="e">
        <f>IF(X4069=1,HLOOKUP(R4069,データについて!$J$12:$M$18,7,FALSE),"*")</f>
        <v>#N/A</v>
      </c>
      <c r="AD4069" s="81" t="e">
        <f>IF(X4069=2,HLOOKUP(R4069,データについて!$J$12:$M$18,7,FALSE),"*")</f>
        <v>#N/A</v>
      </c>
    </row>
    <row r="4070" spans="19:30">
      <c r="S4070" s="81" t="e">
        <f>HLOOKUP(L4070,データについて!$J$6:$M$18,13,FALSE)</f>
        <v>#N/A</v>
      </c>
      <c r="T4070" s="81" t="e">
        <f>HLOOKUP(M4070,データについて!$J$7:$M$18,12,FALSE)</f>
        <v>#N/A</v>
      </c>
      <c r="U4070" s="81" t="e">
        <f>HLOOKUP(N4070,データについて!$J$8:$M$18,11,FALSE)</f>
        <v>#N/A</v>
      </c>
      <c r="V4070" s="81" t="e">
        <f>HLOOKUP(O4070,データについて!$J$9:$M$18,10,FALSE)</f>
        <v>#N/A</v>
      </c>
      <c r="W4070" s="81" t="e">
        <f>HLOOKUP(P4070,データについて!$J$10:$M$18,9,FALSE)</f>
        <v>#N/A</v>
      </c>
      <c r="X4070" s="81" t="e">
        <f>HLOOKUP(Q4070,データについて!$J$11:$M$18,8,FALSE)</f>
        <v>#N/A</v>
      </c>
      <c r="Y4070" s="81" t="e">
        <f>HLOOKUP(R4070,データについて!$J$12:$M$18,7,FALSE)</f>
        <v>#N/A</v>
      </c>
      <c r="Z4070" s="81" t="e">
        <f>HLOOKUP(I4070,データについて!$J$3:$M$18,16,FALSE)</f>
        <v>#N/A</v>
      </c>
      <c r="AA4070" s="81" t="str">
        <f>IFERROR(HLOOKUP(J4070,データについて!$J$4:$AH$19,16,FALSE),"")</f>
        <v/>
      </c>
      <c r="AB4070" s="81" t="str">
        <f>IFERROR(HLOOKUP(K4070,データについて!$J$5:$AH$20,14,FALSE),"")</f>
        <v/>
      </c>
      <c r="AC4070" s="81" t="e">
        <f>IF(X4070=1,HLOOKUP(R4070,データについて!$J$12:$M$18,7,FALSE),"*")</f>
        <v>#N/A</v>
      </c>
      <c r="AD4070" s="81" t="e">
        <f>IF(X4070=2,HLOOKUP(R4070,データについて!$J$12:$M$18,7,FALSE),"*")</f>
        <v>#N/A</v>
      </c>
    </row>
    <row r="4071" spans="19:30">
      <c r="S4071" s="81" t="e">
        <f>HLOOKUP(L4071,データについて!$J$6:$M$18,13,FALSE)</f>
        <v>#N/A</v>
      </c>
      <c r="T4071" s="81" t="e">
        <f>HLOOKUP(M4071,データについて!$J$7:$M$18,12,FALSE)</f>
        <v>#N/A</v>
      </c>
      <c r="U4071" s="81" t="e">
        <f>HLOOKUP(N4071,データについて!$J$8:$M$18,11,FALSE)</f>
        <v>#N/A</v>
      </c>
      <c r="V4071" s="81" t="e">
        <f>HLOOKUP(O4071,データについて!$J$9:$M$18,10,FALSE)</f>
        <v>#N/A</v>
      </c>
      <c r="W4071" s="81" t="e">
        <f>HLOOKUP(P4071,データについて!$J$10:$M$18,9,FALSE)</f>
        <v>#N/A</v>
      </c>
      <c r="X4071" s="81" t="e">
        <f>HLOOKUP(Q4071,データについて!$J$11:$M$18,8,FALSE)</f>
        <v>#N/A</v>
      </c>
      <c r="Y4071" s="81" t="e">
        <f>HLOOKUP(R4071,データについて!$J$12:$M$18,7,FALSE)</f>
        <v>#N/A</v>
      </c>
      <c r="Z4071" s="81" t="e">
        <f>HLOOKUP(I4071,データについて!$J$3:$M$18,16,FALSE)</f>
        <v>#N/A</v>
      </c>
      <c r="AA4071" s="81" t="str">
        <f>IFERROR(HLOOKUP(J4071,データについて!$J$4:$AH$19,16,FALSE),"")</f>
        <v/>
      </c>
      <c r="AB4071" s="81" t="str">
        <f>IFERROR(HLOOKUP(K4071,データについて!$J$5:$AH$20,14,FALSE),"")</f>
        <v/>
      </c>
      <c r="AC4071" s="81" t="e">
        <f>IF(X4071=1,HLOOKUP(R4071,データについて!$J$12:$M$18,7,FALSE),"*")</f>
        <v>#N/A</v>
      </c>
      <c r="AD4071" s="81" t="e">
        <f>IF(X4071=2,HLOOKUP(R4071,データについて!$J$12:$M$18,7,FALSE),"*")</f>
        <v>#N/A</v>
      </c>
    </row>
    <row r="4072" spans="19:30">
      <c r="S4072" s="81" t="e">
        <f>HLOOKUP(L4072,データについて!$J$6:$M$18,13,FALSE)</f>
        <v>#N/A</v>
      </c>
      <c r="T4072" s="81" t="e">
        <f>HLOOKUP(M4072,データについて!$J$7:$M$18,12,FALSE)</f>
        <v>#N/A</v>
      </c>
      <c r="U4072" s="81" t="e">
        <f>HLOOKUP(N4072,データについて!$J$8:$M$18,11,FALSE)</f>
        <v>#N/A</v>
      </c>
      <c r="V4072" s="81" t="e">
        <f>HLOOKUP(O4072,データについて!$J$9:$M$18,10,FALSE)</f>
        <v>#N/A</v>
      </c>
      <c r="W4072" s="81" t="e">
        <f>HLOOKUP(P4072,データについて!$J$10:$M$18,9,FALSE)</f>
        <v>#N/A</v>
      </c>
      <c r="X4072" s="81" t="e">
        <f>HLOOKUP(Q4072,データについて!$J$11:$M$18,8,FALSE)</f>
        <v>#N/A</v>
      </c>
      <c r="Y4072" s="81" t="e">
        <f>HLOOKUP(R4072,データについて!$J$12:$M$18,7,FALSE)</f>
        <v>#N/A</v>
      </c>
      <c r="Z4072" s="81" t="e">
        <f>HLOOKUP(I4072,データについて!$J$3:$M$18,16,FALSE)</f>
        <v>#N/A</v>
      </c>
      <c r="AA4072" s="81" t="str">
        <f>IFERROR(HLOOKUP(J4072,データについて!$J$4:$AH$19,16,FALSE),"")</f>
        <v/>
      </c>
      <c r="AB4072" s="81" t="str">
        <f>IFERROR(HLOOKUP(K4072,データについて!$J$5:$AH$20,14,FALSE),"")</f>
        <v/>
      </c>
      <c r="AC4072" s="81" t="e">
        <f>IF(X4072=1,HLOOKUP(R4072,データについて!$J$12:$M$18,7,FALSE),"*")</f>
        <v>#N/A</v>
      </c>
      <c r="AD4072" s="81" t="e">
        <f>IF(X4072=2,HLOOKUP(R4072,データについて!$J$12:$M$18,7,FALSE),"*")</f>
        <v>#N/A</v>
      </c>
    </row>
    <row r="4073" spans="19:30">
      <c r="S4073" s="81" t="e">
        <f>HLOOKUP(L4073,データについて!$J$6:$M$18,13,FALSE)</f>
        <v>#N/A</v>
      </c>
      <c r="T4073" s="81" t="e">
        <f>HLOOKUP(M4073,データについて!$J$7:$M$18,12,FALSE)</f>
        <v>#N/A</v>
      </c>
      <c r="U4073" s="81" t="e">
        <f>HLOOKUP(N4073,データについて!$J$8:$M$18,11,FALSE)</f>
        <v>#N/A</v>
      </c>
      <c r="V4073" s="81" t="e">
        <f>HLOOKUP(O4073,データについて!$J$9:$M$18,10,FALSE)</f>
        <v>#N/A</v>
      </c>
      <c r="W4073" s="81" t="e">
        <f>HLOOKUP(P4073,データについて!$J$10:$M$18,9,FALSE)</f>
        <v>#N/A</v>
      </c>
      <c r="X4073" s="81" t="e">
        <f>HLOOKUP(Q4073,データについて!$J$11:$M$18,8,FALSE)</f>
        <v>#N/A</v>
      </c>
      <c r="Y4073" s="81" t="e">
        <f>HLOOKUP(R4073,データについて!$J$12:$M$18,7,FALSE)</f>
        <v>#N/A</v>
      </c>
      <c r="Z4073" s="81" t="e">
        <f>HLOOKUP(I4073,データについて!$J$3:$M$18,16,FALSE)</f>
        <v>#N/A</v>
      </c>
      <c r="AA4073" s="81" t="str">
        <f>IFERROR(HLOOKUP(J4073,データについて!$J$4:$AH$19,16,FALSE),"")</f>
        <v/>
      </c>
      <c r="AB4073" s="81" t="str">
        <f>IFERROR(HLOOKUP(K4073,データについて!$J$5:$AH$20,14,FALSE),"")</f>
        <v/>
      </c>
      <c r="AC4073" s="81" t="e">
        <f>IF(X4073=1,HLOOKUP(R4073,データについて!$J$12:$M$18,7,FALSE),"*")</f>
        <v>#N/A</v>
      </c>
      <c r="AD4073" s="81" t="e">
        <f>IF(X4073=2,HLOOKUP(R4073,データについて!$J$12:$M$18,7,FALSE),"*")</f>
        <v>#N/A</v>
      </c>
    </row>
    <row r="4074" spans="19:30">
      <c r="S4074" s="81" t="e">
        <f>HLOOKUP(L4074,データについて!$J$6:$M$18,13,FALSE)</f>
        <v>#N/A</v>
      </c>
      <c r="T4074" s="81" t="e">
        <f>HLOOKUP(M4074,データについて!$J$7:$M$18,12,FALSE)</f>
        <v>#N/A</v>
      </c>
      <c r="U4074" s="81" t="e">
        <f>HLOOKUP(N4074,データについて!$J$8:$M$18,11,FALSE)</f>
        <v>#N/A</v>
      </c>
      <c r="V4074" s="81" t="e">
        <f>HLOOKUP(O4074,データについて!$J$9:$M$18,10,FALSE)</f>
        <v>#N/A</v>
      </c>
      <c r="W4074" s="81" t="e">
        <f>HLOOKUP(P4074,データについて!$J$10:$M$18,9,FALSE)</f>
        <v>#N/A</v>
      </c>
      <c r="X4074" s="81" t="e">
        <f>HLOOKUP(Q4074,データについて!$J$11:$M$18,8,FALSE)</f>
        <v>#N/A</v>
      </c>
      <c r="Y4074" s="81" t="e">
        <f>HLOOKUP(R4074,データについて!$J$12:$M$18,7,FALSE)</f>
        <v>#N/A</v>
      </c>
      <c r="Z4074" s="81" t="e">
        <f>HLOOKUP(I4074,データについて!$J$3:$M$18,16,FALSE)</f>
        <v>#N/A</v>
      </c>
      <c r="AA4074" s="81" t="str">
        <f>IFERROR(HLOOKUP(J4074,データについて!$J$4:$AH$19,16,FALSE),"")</f>
        <v/>
      </c>
      <c r="AB4074" s="81" t="str">
        <f>IFERROR(HLOOKUP(K4074,データについて!$J$5:$AH$20,14,FALSE),"")</f>
        <v/>
      </c>
      <c r="AC4074" s="81" t="e">
        <f>IF(X4074=1,HLOOKUP(R4074,データについて!$J$12:$M$18,7,FALSE),"*")</f>
        <v>#N/A</v>
      </c>
      <c r="AD4074" s="81" t="e">
        <f>IF(X4074=2,HLOOKUP(R4074,データについて!$J$12:$M$18,7,FALSE),"*")</f>
        <v>#N/A</v>
      </c>
    </row>
    <row r="4075" spans="19:30">
      <c r="S4075" s="81" t="e">
        <f>HLOOKUP(L4075,データについて!$J$6:$M$18,13,FALSE)</f>
        <v>#N/A</v>
      </c>
      <c r="T4075" s="81" t="e">
        <f>HLOOKUP(M4075,データについて!$J$7:$M$18,12,FALSE)</f>
        <v>#N/A</v>
      </c>
      <c r="U4075" s="81" t="e">
        <f>HLOOKUP(N4075,データについて!$J$8:$M$18,11,FALSE)</f>
        <v>#N/A</v>
      </c>
      <c r="V4075" s="81" t="e">
        <f>HLOOKUP(O4075,データについて!$J$9:$M$18,10,FALSE)</f>
        <v>#N/A</v>
      </c>
      <c r="W4075" s="81" t="e">
        <f>HLOOKUP(P4075,データについて!$J$10:$M$18,9,FALSE)</f>
        <v>#N/A</v>
      </c>
      <c r="X4075" s="81" t="e">
        <f>HLOOKUP(Q4075,データについて!$J$11:$M$18,8,FALSE)</f>
        <v>#N/A</v>
      </c>
      <c r="Y4075" s="81" t="e">
        <f>HLOOKUP(R4075,データについて!$J$12:$M$18,7,FALSE)</f>
        <v>#N/A</v>
      </c>
      <c r="Z4075" s="81" t="e">
        <f>HLOOKUP(I4075,データについて!$J$3:$M$18,16,FALSE)</f>
        <v>#N/A</v>
      </c>
      <c r="AA4075" s="81" t="str">
        <f>IFERROR(HLOOKUP(J4075,データについて!$J$4:$AH$19,16,FALSE),"")</f>
        <v/>
      </c>
      <c r="AB4075" s="81" t="str">
        <f>IFERROR(HLOOKUP(K4075,データについて!$J$5:$AH$20,14,FALSE),"")</f>
        <v/>
      </c>
      <c r="AC4075" s="81" t="e">
        <f>IF(X4075=1,HLOOKUP(R4075,データについて!$J$12:$M$18,7,FALSE),"*")</f>
        <v>#N/A</v>
      </c>
      <c r="AD4075" s="81" t="e">
        <f>IF(X4075=2,HLOOKUP(R4075,データについて!$J$12:$M$18,7,FALSE),"*")</f>
        <v>#N/A</v>
      </c>
    </row>
    <row r="4076" spans="19:30">
      <c r="S4076" s="81" t="e">
        <f>HLOOKUP(L4076,データについて!$J$6:$M$18,13,FALSE)</f>
        <v>#N/A</v>
      </c>
      <c r="T4076" s="81" t="e">
        <f>HLOOKUP(M4076,データについて!$J$7:$M$18,12,FALSE)</f>
        <v>#N/A</v>
      </c>
      <c r="U4076" s="81" t="e">
        <f>HLOOKUP(N4076,データについて!$J$8:$M$18,11,FALSE)</f>
        <v>#N/A</v>
      </c>
      <c r="V4076" s="81" t="e">
        <f>HLOOKUP(O4076,データについて!$J$9:$M$18,10,FALSE)</f>
        <v>#N/A</v>
      </c>
      <c r="W4076" s="81" t="e">
        <f>HLOOKUP(P4076,データについて!$J$10:$M$18,9,FALSE)</f>
        <v>#N/A</v>
      </c>
      <c r="X4076" s="81" t="e">
        <f>HLOOKUP(Q4076,データについて!$J$11:$M$18,8,FALSE)</f>
        <v>#N/A</v>
      </c>
      <c r="Y4076" s="81" t="e">
        <f>HLOOKUP(R4076,データについて!$J$12:$M$18,7,FALSE)</f>
        <v>#N/A</v>
      </c>
      <c r="Z4076" s="81" t="e">
        <f>HLOOKUP(I4076,データについて!$J$3:$M$18,16,FALSE)</f>
        <v>#N/A</v>
      </c>
      <c r="AA4076" s="81" t="str">
        <f>IFERROR(HLOOKUP(J4076,データについて!$J$4:$AH$19,16,FALSE),"")</f>
        <v/>
      </c>
      <c r="AB4076" s="81" t="str">
        <f>IFERROR(HLOOKUP(K4076,データについて!$J$5:$AH$20,14,FALSE),"")</f>
        <v/>
      </c>
      <c r="AC4076" s="81" t="e">
        <f>IF(X4076=1,HLOOKUP(R4076,データについて!$J$12:$M$18,7,FALSE),"*")</f>
        <v>#N/A</v>
      </c>
      <c r="AD4076" s="81" t="e">
        <f>IF(X4076=2,HLOOKUP(R4076,データについて!$J$12:$M$18,7,FALSE),"*")</f>
        <v>#N/A</v>
      </c>
    </row>
    <row r="4077" spans="19:30">
      <c r="S4077" s="81" t="e">
        <f>HLOOKUP(L4077,データについて!$J$6:$M$18,13,FALSE)</f>
        <v>#N/A</v>
      </c>
      <c r="T4077" s="81" t="e">
        <f>HLOOKUP(M4077,データについて!$J$7:$M$18,12,FALSE)</f>
        <v>#N/A</v>
      </c>
      <c r="U4077" s="81" t="e">
        <f>HLOOKUP(N4077,データについて!$J$8:$M$18,11,FALSE)</f>
        <v>#N/A</v>
      </c>
      <c r="V4077" s="81" t="e">
        <f>HLOOKUP(O4077,データについて!$J$9:$M$18,10,FALSE)</f>
        <v>#N/A</v>
      </c>
      <c r="W4077" s="81" t="e">
        <f>HLOOKUP(P4077,データについて!$J$10:$M$18,9,FALSE)</f>
        <v>#N/A</v>
      </c>
      <c r="X4077" s="81" t="e">
        <f>HLOOKUP(Q4077,データについて!$J$11:$M$18,8,FALSE)</f>
        <v>#N/A</v>
      </c>
      <c r="Y4077" s="81" t="e">
        <f>HLOOKUP(R4077,データについて!$J$12:$M$18,7,FALSE)</f>
        <v>#N/A</v>
      </c>
      <c r="Z4077" s="81" t="e">
        <f>HLOOKUP(I4077,データについて!$J$3:$M$18,16,FALSE)</f>
        <v>#N/A</v>
      </c>
      <c r="AA4077" s="81" t="str">
        <f>IFERROR(HLOOKUP(J4077,データについて!$J$4:$AH$19,16,FALSE),"")</f>
        <v/>
      </c>
      <c r="AB4077" s="81" t="str">
        <f>IFERROR(HLOOKUP(K4077,データについて!$J$5:$AH$20,14,FALSE),"")</f>
        <v/>
      </c>
      <c r="AC4077" s="81" t="e">
        <f>IF(X4077=1,HLOOKUP(R4077,データについて!$J$12:$M$18,7,FALSE),"*")</f>
        <v>#N/A</v>
      </c>
      <c r="AD4077" s="81" t="e">
        <f>IF(X4077=2,HLOOKUP(R4077,データについて!$J$12:$M$18,7,FALSE),"*")</f>
        <v>#N/A</v>
      </c>
    </row>
    <row r="4078" spans="19:30">
      <c r="S4078" s="81" t="e">
        <f>HLOOKUP(L4078,データについて!$J$6:$M$18,13,FALSE)</f>
        <v>#N/A</v>
      </c>
      <c r="T4078" s="81" t="e">
        <f>HLOOKUP(M4078,データについて!$J$7:$M$18,12,FALSE)</f>
        <v>#N/A</v>
      </c>
      <c r="U4078" s="81" t="e">
        <f>HLOOKUP(N4078,データについて!$J$8:$M$18,11,FALSE)</f>
        <v>#N/A</v>
      </c>
      <c r="V4078" s="81" t="e">
        <f>HLOOKUP(O4078,データについて!$J$9:$M$18,10,FALSE)</f>
        <v>#N/A</v>
      </c>
      <c r="W4078" s="81" t="e">
        <f>HLOOKUP(P4078,データについて!$J$10:$M$18,9,FALSE)</f>
        <v>#N/A</v>
      </c>
      <c r="X4078" s="81" t="e">
        <f>HLOOKUP(Q4078,データについて!$J$11:$M$18,8,FALSE)</f>
        <v>#N/A</v>
      </c>
      <c r="Y4078" s="81" t="e">
        <f>HLOOKUP(R4078,データについて!$J$12:$M$18,7,FALSE)</f>
        <v>#N/A</v>
      </c>
      <c r="Z4078" s="81" t="e">
        <f>HLOOKUP(I4078,データについて!$J$3:$M$18,16,FALSE)</f>
        <v>#N/A</v>
      </c>
      <c r="AA4078" s="81" t="str">
        <f>IFERROR(HLOOKUP(J4078,データについて!$J$4:$AH$19,16,FALSE),"")</f>
        <v/>
      </c>
      <c r="AB4078" s="81" t="str">
        <f>IFERROR(HLOOKUP(K4078,データについて!$J$5:$AH$20,14,FALSE),"")</f>
        <v/>
      </c>
      <c r="AC4078" s="81" t="e">
        <f>IF(X4078=1,HLOOKUP(R4078,データについて!$J$12:$M$18,7,FALSE),"*")</f>
        <v>#N/A</v>
      </c>
      <c r="AD4078" s="81" t="e">
        <f>IF(X4078=2,HLOOKUP(R4078,データについて!$J$12:$M$18,7,FALSE),"*")</f>
        <v>#N/A</v>
      </c>
    </row>
    <row r="4079" spans="19:30">
      <c r="S4079" s="81" t="e">
        <f>HLOOKUP(L4079,データについて!$J$6:$M$18,13,FALSE)</f>
        <v>#N/A</v>
      </c>
      <c r="T4079" s="81" t="e">
        <f>HLOOKUP(M4079,データについて!$J$7:$M$18,12,FALSE)</f>
        <v>#N/A</v>
      </c>
      <c r="U4079" s="81" t="e">
        <f>HLOOKUP(N4079,データについて!$J$8:$M$18,11,FALSE)</f>
        <v>#N/A</v>
      </c>
      <c r="V4079" s="81" t="e">
        <f>HLOOKUP(O4079,データについて!$J$9:$M$18,10,FALSE)</f>
        <v>#N/A</v>
      </c>
      <c r="W4079" s="81" t="e">
        <f>HLOOKUP(P4079,データについて!$J$10:$M$18,9,FALSE)</f>
        <v>#N/A</v>
      </c>
      <c r="X4079" s="81" t="e">
        <f>HLOOKUP(Q4079,データについて!$J$11:$M$18,8,FALSE)</f>
        <v>#N/A</v>
      </c>
      <c r="Y4079" s="81" t="e">
        <f>HLOOKUP(R4079,データについて!$J$12:$M$18,7,FALSE)</f>
        <v>#N/A</v>
      </c>
      <c r="Z4079" s="81" t="e">
        <f>HLOOKUP(I4079,データについて!$J$3:$M$18,16,FALSE)</f>
        <v>#N/A</v>
      </c>
      <c r="AA4079" s="81" t="str">
        <f>IFERROR(HLOOKUP(J4079,データについて!$J$4:$AH$19,16,FALSE),"")</f>
        <v/>
      </c>
      <c r="AB4079" s="81" t="str">
        <f>IFERROR(HLOOKUP(K4079,データについて!$J$5:$AH$20,14,FALSE),"")</f>
        <v/>
      </c>
      <c r="AC4079" s="81" t="e">
        <f>IF(X4079=1,HLOOKUP(R4079,データについて!$J$12:$M$18,7,FALSE),"*")</f>
        <v>#N/A</v>
      </c>
      <c r="AD4079" s="81" t="e">
        <f>IF(X4079=2,HLOOKUP(R4079,データについて!$J$12:$M$18,7,FALSE),"*")</f>
        <v>#N/A</v>
      </c>
    </row>
    <row r="4080" spans="19:30">
      <c r="S4080" s="81" t="e">
        <f>HLOOKUP(L4080,データについて!$J$6:$M$18,13,FALSE)</f>
        <v>#N/A</v>
      </c>
      <c r="T4080" s="81" t="e">
        <f>HLOOKUP(M4080,データについて!$J$7:$M$18,12,FALSE)</f>
        <v>#N/A</v>
      </c>
      <c r="U4080" s="81" t="e">
        <f>HLOOKUP(N4080,データについて!$J$8:$M$18,11,FALSE)</f>
        <v>#N/A</v>
      </c>
      <c r="V4080" s="81" t="e">
        <f>HLOOKUP(O4080,データについて!$J$9:$M$18,10,FALSE)</f>
        <v>#N/A</v>
      </c>
      <c r="W4080" s="81" t="e">
        <f>HLOOKUP(P4080,データについて!$J$10:$M$18,9,FALSE)</f>
        <v>#N/A</v>
      </c>
      <c r="X4080" s="81" t="e">
        <f>HLOOKUP(Q4080,データについて!$J$11:$M$18,8,FALSE)</f>
        <v>#N/A</v>
      </c>
      <c r="Y4080" s="81" t="e">
        <f>HLOOKUP(R4080,データについて!$J$12:$M$18,7,FALSE)</f>
        <v>#N/A</v>
      </c>
      <c r="Z4080" s="81" t="e">
        <f>HLOOKUP(I4080,データについて!$J$3:$M$18,16,FALSE)</f>
        <v>#N/A</v>
      </c>
      <c r="AA4080" s="81" t="str">
        <f>IFERROR(HLOOKUP(J4080,データについて!$J$4:$AH$19,16,FALSE),"")</f>
        <v/>
      </c>
      <c r="AB4080" s="81" t="str">
        <f>IFERROR(HLOOKUP(K4080,データについて!$J$5:$AH$20,14,FALSE),"")</f>
        <v/>
      </c>
      <c r="AC4080" s="81" t="e">
        <f>IF(X4080=1,HLOOKUP(R4080,データについて!$J$12:$M$18,7,FALSE),"*")</f>
        <v>#N/A</v>
      </c>
      <c r="AD4080" s="81" t="e">
        <f>IF(X4080=2,HLOOKUP(R4080,データについて!$J$12:$M$18,7,FALSE),"*")</f>
        <v>#N/A</v>
      </c>
    </row>
    <row r="4081" spans="19:30">
      <c r="S4081" s="81" t="e">
        <f>HLOOKUP(L4081,データについて!$J$6:$M$18,13,FALSE)</f>
        <v>#N/A</v>
      </c>
      <c r="T4081" s="81" t="e">
        <f>HLOOKUP(M4081,データについて!$J$7:$M$18,12,FALSE)</f>
        <v>#N/A</v>
      </c>
      <c r="U4081" s="81" t="e">
        <f>HLOOKUP(N4081,データについて!$J$8:$M$18,11,FALSE)</f>
        <v>#N/A</v>
      </c>
      <c r="V4081" s="81" t="e">
        <f>HLOOKUP(O4081,データについて!$J$9:$M$18,10,FALSE)</f>
        <v>#N/A</v>
      </c>
      <c r="W4081" s="81" t="e">
        <f>HLOOKUP(P4081,データについて!$J$10:$M$18,9,FALSE)</f>
        <v>#N/A</v>
      </c>
      <c r="X4081" s="81" t="e">
        <f>HLOOKUP(Q4081,データについて!$J$11:$M$18,8,FALSE)</f>
        <v>#N/A</v>
      </c>
      <c r="Y4081" s="81" t="e">
        <f>HLOOKUP(R4081,データについて!$J$12:$M$18,7,FALSE)</f>
        <v>#N/A</v>
      </c>
      <c r="Z4081" s="81" t="e">
        <f>HLOOKUP(I4081,データについて!$J$3:$M$18,16,FALSE)</f>
        <v>#N/A</v>
      </c>
      <c r="AA4081" s="81" t="str">
        <f>IFERROR(HLOOKUP(J4081,データについて!$J$4:$AH$19,16,FALSE),"")</f>
        <v/>
      </c>
      <c r="AB4081" s="81" t="str">
        <f>IFERROR(HLOOKUP(K4081,データについて!$J$5:$AH$20,14,FALSE),"")</f>
        <v/>
      </c>
      <c r="AC4081" s="81" t="e">
        <f>IF(X4081=1,HLOOKUP(R4081,データについて!$J$12:$M$18,7,FALSE),"*")</f>
        <v>#N/A</v>
      </c>
      <c r="AD4081" s="81" t="e">
        <f>IF(X4081=2,HLOOKUP(R4081,データについて!$J$12:$M$18,7,FALSE),"*")</f>
        <v>#N/A</v>
      </c>
    </row>
    <row r="4082" spans="19:30">
      <c r="S4082" s="81" t="e">
        <f>HLOOKUP(L4082,データについて!$J$6:$M$18,13,FALSE)</f>
        <v>#N/A</v>
      </c>
      <c r="T4082" s="81" t="e">
        <f>HLOOKUP(M4082,データについて!$J$7:$M$18,12,FALSE)</f>
        <v>#N/A</v>
      </c>
      <c r="U4082" s="81" t="e">
        <f>HLOOKUP(N4082,データについて!$J$8:$M$18,11,FALSE)</f>
        <v>#N/A</v>
      </c>
      <c r="V4082" s="81" t="e">
        <f>HLOOKUP(O4082,データについて!$J$9:$M$18,10,FALSE)</f>
        <v>#N/A</v>
      </c>
      <c r="W4082" s="81" t="e">
        <f>HLOOKUP(P4082,データについて!$J$10:$M$18,9,FALSE)</f>
        <v>#N/A</v>
      </c>
      <c r="X4082" s="81" t="e">
        <f>HLOOKUP(Q4082,データについて!$J$11:$M$18,8,FALSE)</f>
        <v>#N/A</v>
      </c>
      <c r="Y4082" s="81" t="e">
        <f>HLOOKUP(R4082,データについて!$J$12:$M$18,7,FALSE)</f>
        <v>#N/A</v>
      </c>
      <c r="Z4082" s="81" t="e">
        <f>HLOOKUP(I4082,データについて!$J$3:$M$18,16,FALSE)</f>
        <v>#N/A</v>
      </c>
      <c r="AA4082" s="81" t="str">
        <f>IFERROR(HLOOKUP(J4082,データについて!$J$4:$AH$19,16,FALSE),"")</f>
        <v/>
      </c>
      <c r="AB4082" s="81" t="str">
        <f>IFERROR(HLOOKUP(K4082,データについて!$J$5:$AH$20,14,FALSE),"")</f>
        <v/>
      </c>
      <c r="AC4082" s="81" t="e">
        <f>IF(X4082=1,HLOOKUP(R4082,データについて!$J$12:$M$18,7,FALSE),"*")</f>
        <v>#N/A</v>
      </c>
      <c r="AD4082" s="81" t="e">
        <f>IF(X4082=2,HLOOKUP(R4082,データについて!$J$12:$M$18,7,FALSE),"*")</f>
        <v>#N/A</v>
      </c>
    </row>
    <row r="4083" spans="19:30">
      <c r="S4083" s="81" t="e">
        <f>HLOOKUP(L4083,データについて!$J$6:$M$18,13,FALSE)</f>
        <v>#N/A</v>
      </c>
      <c r="T4083" s="81" t="e">
        <f>HLOOKUP(M4083,データについて!$J$7:$M$18,12,FALSE)</f>
        <v>#N/A</v>
      </c>
      <c r="U4083" s="81" t="e">
        <f>HLOOKUP(N4083,データについて!$J$8:$M$18,11,FALSE)</f>
        <v>#N/A</v>
      </c>
      <c r="V4083" s="81" t="e">
        <f>HLOOKUP(O4083,データについて!$J$9:$M$18,10,FALSE)</f>
        <v>#N/A</v>
      </c>
      <c r="W4083" s="81" t="e">
        <f>HLOOKUP(P4083,データについて!$J$10:$M$18,9,FALSE)</f>
        <v>#N/A</v>
      </c>
      <c r="X4083" s="81" t="e">
        <f>HLOOKUP(Q4083,データについて!$J$11:$M$18,8,FALSE)</f>
        <v>#N/A</v>
      </c>
      <c r="Y4083" s="81" t="e">
        <f>HLOOKUP(R4083,データについて!$J$12:$M$18,7,FALSE)</f>
        <v>#N/A</v>
      </c>
      <c r="Z4083" s="81" t="e">
        <f>HLOOKUP(I4083,データについて!$J$3:$M$18,16,FALSE)</f>
        <v>#N/A</v>
      </c>
      <c r="AA4083" s="81" t="str">
        <f>IFERROR(HLOOKUP(J4083,データについて!$J$4:$AH$19,16,FALSE),"")</f>
        <v/>
      </c>
      <c r="AB4083" s="81" t="str">
        <f>IFERROR(HLOOKUP(K4083,データについて!$J$5:$AH$20,14,FALSE),"")</f>
        <v/>
      </c>
      <c r="AC4083" s="81" t="e">
        <f>IF(X4083=1,HLOOKUP(R4083,データについて!$J$12:$M$18,7,FALSE),"*")</f>
        <v>#N/A</v>
      </c>
      <c r="AD4083" s="81" t="e">
        <f>IF(X4083=2,HLOOKUP(R4083,データについて!$J$12:$M$18,7,FALSE),"*")</f>
        <v>#N/A</v>
      </c>
    </row>
    <row r="4084" spans="19:30">
      <c r="S4084" s="81" t="e">
        <f>HLOOKUP(L4084,データについて!$J$6:$M$18,13,FALSE)</f>
        <v>#N/A</v>
      </c>
      <c r="T4084" s="81" t="e">
        <f>HLOOKUP(M4084,データについて!$J$7:$M$18,12,FALSE)</f>
        <v>#N/A</v>
      </c>
      <c r="U4084" s="81" t="e">
        <f>HLOOKUP(N4084,データについて!$J$8:$M$18,11,FALSE)</f>
        <v>#N/A</v>
      </c>
      <c r="V4084" s="81" t="e">
        <f>HLOOKUP(O4084,データについて!$J$9:$M$18,10,FALSE)</f>
        <v>#N/A</v>
      </c>
      <c r="W4084" s="81" t="e">
        <f>HLOOKUP(P4084,データについて!$J$10:$M$18,9,FALSE)</f>
        <v>#N/A</v>
      </c>
      <c r="X4084" s="81" t="e">
        <f>HLOOKUP(Q4084,データについて!$J$11:$M$18,8,FALSE)</f>
        <v>#N/A</v>
      </c>
      <c r="Y4084" s="81" t="e">
        <f>HLOOKUP(R4084,データについて!$J$12:$M$18,7,FALSE)</f>
        <v>#N/A</v>
      </c>
      <c r="Z4084" s="81" t="e">
        <f>HLOOKUP(I4084,データについて!$J$3:$M$18,16,FALSE)</f>
        <v>#N/A</v>
      </c>
      <c r="AA4084" s="81" t="str">
        <f>IFERROR(HLOOKUP(J4084,データについて!$J$4:$AH$19,16,FALSE),"")</f>
        <v/>
      </c>
      <c r="AB4084" s="81" t="str">
        <f>IFERROR(HLOOKUP(K4084,データについて!$J$5:$AH$20,14,FALSE),"")</f>
        <v/>
      </c>
      <c r="AC4084" s="81" t="e">
        <f>IF(X4084=1,HLOOKUP(R4084,データについて!$J$12:$M$18,7,FALSE),"*")</f>
        <v>#N/A</v>
      </c>
      <c r="AD4084" s="81" t="e">
        <f>IF(X4084=2,HLOOKUP(R4084,データについて!$J$12:$M$18,7,FALSE),"*")</f>
        <v>#N/A</v>
      </c>
    </row>
    <row r="4085" spans="19:30">
      <c r="S4085" s="81" t="e">
        <f>HLOOKUP(L4085,データについて!$J$6:$M$18,13,FALSE)</f>
        <v>#N/A</v>
      </c>
      <c r="T4085" s="81" t="e">
        <f>HLOOKUP(M4085,データについて!$J$7:$M$18,12,FALSE)</f>
        <v>#N/A</v>
      </c>
      <c r="U4085" s="81" t="e">
        <f>HLOOKUP(N4085,データについて!$J$8:$M$18,11,FALSE)</f>
        <v>#N/A</v>
      </c>
      <c r="V4085" s="81" t="e">
        <f>HLOOKUP(O4085,データについて!$J$9:$M$18,10,FALSE)</f>
        <v>#N/A</v>
      </c>
      <c r="W4085" s="81" t="e">
        <f>HLOOKUP(P4085,データについて!$J$10:$M$18,9,FALSE)</f>
        <v>#N/A</v>
      </c>
      <c r="X4085" s="81" t="e">
        <f>HLOOKUP(Q4085,データについて!$J$11:$M$18,8,FALSE)</f>
        <v>#N/A</v>
      </c>
      <c r="Y4085" s="81" t="e">
        <f>HLOOKUP(R4085,データについて!$J$12:$M$18,7,FALSE)</f>
        <v>#N/A</v>
      </c>
      <c r="Z4085" s="81" t="e">
        <f>HLOOKUP(I4085,データについて!$J$3:$M$18,16,FALSE)</f>
        <v>#N/A</v>
      </c>
      <c r="AA4085" s="81" t="str">
        <f>IFERROR(HLOOKUP(J4085,データについて!$J$4:$AH$19,16,FALSE),"")</f>
        <v/>
      </c>
      <c r="AB4085" s="81" t="str">
        <f>IFERROR(HLOOKUP(K4085,データについて!$J$5:$AH$20,14,FALSE),"")</f>
        <v/>
      </c>
      <c r="AC4085" s="81" t="e">
        <f>IF(X4085=1,HLOOKUP(R4085,データについて!$J$12:$M$18,7,FALSE),"*")</f>
        <v>#N/A</v>
      </c>
      <c r="AD4085" s="81" t="e">
        <f>IF(X4085=2,HLOOKUP(R4085,データについて!$J$12:$M$18,7,FALSE),"*")</f>
        <v>#N/A</v>
      </c>
    </row>
    <row r="4086" spans="19:30">
      <c r="S4086" s="81" t="e">
        <f>HLOOKUP(L4086,データについて!$J$6:$M$18,13,FALSE)</f>
        <v>#N/A</v>
      </c>
      <c r="T4086" s="81" t="e">
        <f>HLOOKUP(M4086,データについて!$J$7:$M$18,12,FALSE)</f>
        <v>#N/A</v>
      </c>
      <c r="U4086" s="81" t="e">
        <f>HLOOKUP(N4086,データについて!$J$8:$M$18,11,FALSE)</f>
        <v>#N/A</v>
      </c>
      <c r="V4086" s="81" t="e">
        <f>HLOOKUP(O4086,データについて!$J$9:$M$18,10,FALSE)</f>
        <v>#N/A</v>
      </c>
      <c r="W4086" s="81" t="e">
        <f>HLOOKUP(P4086,データについて!$J$10:$M$18,9,FALSE)</f>
        <v>#N/A</v>
      </c>
      <c r="X4086" s="81" t="e">
        <f>HLOOKUP(Q4086,データについて!$J$11:$M$18,8,FALSE)</f>
        <v>#N/A</v>
      </c>
      <c r="Y4086" s="81" t="e">
        <f>HLOOKUP(R4086,データについて!$J$12:$M$18,7,FALSE)</f>
        <v>#N/A</v>
      </c>
      <c r="Z4086" s="81" t="e">
        <f>HLOOKUP(I4086,データについて!$J$3:$M$18,16,FALSE)</f>
        <v>#N/A</v>
      </c>
      <c r="AA4086" s="81" t="str">
        <f>IFERROR(HLOOKUP(J4086,データについて!$J$4:$AH$19,16,FALSE),"")</f>
        <v/>
      </c>
      <c r="AB4086" s="81" t="str">
        <f>IFERROR(HLOOKUP(K4086,データについて!$J$5:$AH$20,14,FALSE),"")</f>
        <v/>
      </c>
      <c r="AC4086" s="81" t="e">
        <f>IF(X4086=1,HLOOKUP(R4086,データについて!$J$12:$M$18,7,FALSE),"*")</f>
        <v>#N/A</v>
      </c>
      <c r="AD4086" s="81" t="e">
        <f>IF(X4086=2,HLOOKUP(R4086,データについて!$J$12:$M$18,7,FALSE),"*")</f>
        <v>#N/A</v>
      </c>
    </row>
    <row r="4087" spans="19:30">
      <c r="S4087" s="81" t="e">
        <f>HLOOKUP(L4087,データについて!$J$6:$M$18,13,FALSE)</f>
        <v>#N/A</v>
      </c>
      <c r="T4087" s="81" t="e">
        <f>HLOOKUP(M4087,データについて!$J$7:$M$18,12,FALSE)</f>
        <v>#N/A</v>
      </c>
      <c r="U4087" s="81" t="e">
        <f>HLOOKUP(N4087,データについて!$J$8:$M$18,11,FALSE)</f>
        <v>#N/A</v>
      </c>
      <c r="V4087" s="81" t="e">
        <f>HLOOKUP(O4087,データについて!$J$9:$M$18,10,FALSE)</f>
        <v>#N/A</v>
      </c>
      <c r="W4087" s="81" t="e">
        <f>HLOOKUP(P4087,データについて!$J$10:$M$18,9,FALSE)</f>
        <v>#N/A</v>
      </c>
      <c r="X4087" s="81" t="e">
        <f>HLOOKUP(Q4087,データについて!$J$11:$M$18,8,FALSE)</f>
        <v>#N/A</v>
      </c>
      <c r="Y4087" s="81" t="e">
        <f>HLOOKUP(R4087,データについて!$J$12:$M$18,7,FALSE)</f>
        <v>#N/A</v>
      </c>
      <c r="Z4087" s="81" t="e">
        <f>HLOOKUP(I4087,データについて!$J$3:$M$18,16,FALSE)</f>
        <v>#N/A</v>
      </c>
      <c r="AA4087" s="81" t="str">
        <f>IFERROR(HLOOKUP(J4087,データについて!$J$4:$AH$19,16,FALSE),"")</f>
        <v/>
      </c>
      <c r="AB4087" s="81" t="str">
        <f>IFERROR(HLOOKUP(K4087,データについて!$J$5:$AH$20,14,FALSE),"")</f>
        <v/>
      </c>
      <c r="AC4087" s="81" t="e">
        <f>IF(X4087=1,HLOOKUP(R4087,データについて!$J$12:$M$18,7,FALSE),"*")</f>
        <v>#N/A</v>
      </c>
      <c r="AD4087" s="81" t="e">
        <f>IF(X4087=2,HLOOKUP(R4087,データについて!$J$12:$M$18,7,FALSE),"*")</f>
        <v>#N/A</v>
      </c>
    </row>
    <row r="4088" spans="19:30">
      <c r="S4088" s="81" t="e">
        <f>HLOOKUP(L4088,データについて!$J$6:$M$18,13,FALSE)</f>
        <v>#N/A</v>
      </c>
      <c r="T4088" s="81" t="e">
        <f>HLOOKUP(M4088,データについて!$J$7:$M$18,12,FALSE)</f>
        <v>#N/A</v>
      </c>
      <c r="U4088" s="81" t="e">
        <f>HLOOKUP(N4088,データについて!$J$8:$M$18,11,FALSE)</f>
        <v>#N/A</v>
      </c>
      <c r="V4088" s="81" t="e">
        <f>HLOOKUP(O4088,データについて!$J$9:$M$18,10,FALSE)</f>
        <v>#N/A</v>
      </c>
      <c r="W4088" s="81" t="e">
        <f>HLOOKUP(P4088,データについて!$J$10:$M$18,9,FALSE)</f>
        <v>#N/A</v>
      </c>
      <c r="X4088" s="81" t="e">
        <f>HLOOKUP(Q4088,データについて!$J$11:$M$18,8,FALSE)</f>
        <v>#N/A</v>
      </c>
      <c r="Y4088" s="81" t="e">
        <f>HLOOKUP(R4088,データについて!$J$12:$M$18,7,FALSE)</f>
        <v>#N/A</v>
      </c>
      <c r="Z4088" s="81" t="e">
        <f>HLOOKUP(I4088,データについて!$J$3:$M$18,16,FALSE)</f>
        <v>#N/A</v>
      </c>
      <c r="AA4088" s="81" t="str">
        <f>IFERROR(HLOOKUP(J4088,データについて!$J$4:$AH$19,16,FALSE),"")</f>
        <v/>
      </c>
      <c r="AB4088" s="81" t="str">
        <f>IFERROR(HLOOKUP(K4088,データについて!$J$5:$AH$20,14,FALSE),"")</f>
        <v/>
      </c>
      <c r="AC4088" s="81" t="e">
        <f>IF(X4088=1,HLOOKUP(R4088,データについて!$J$12:$M$18,7,FALSE),"*")</f>
        <v>#N/A</v>
      </c>
      <c r="AD4088" s="81" t="e">
        <f>IF(X4088=2,HLOOKUP(R4088,データについて!$J$12:$M$18,7,FALSE),"*")</f>
        <v>#N/A</v>
      </c>
    </row>
    <row r="4089" spans="19:30">
      <c r="S4089" s="81" t="e">
        <f>HLOOKUP(L4089,データについて!$J$6:$M$18,13,FALSE)</f>
        <v>#N/A</v>
      </c>
      <c r="T4089" s="81" t="e">
        <f>HLOOKUP(M4089,データについて!$J$7:$M$18,12,FALSE)</f>
        <v>#N/A</v>
      </c>
      <c r="U4089" s="81" t="e">
        <f>HLOOKUP(N4089,データについて!$J$8:$M$18,11,FALSE)</f>
        <v>#N/A</v>
      </c>
      <c r="V4089" s="81" t="e">
        <f>HLOOKUP(O4089,データについて!$J$9:$M$18,10,FALSE)</f>
        <v>#N/A</v>
      </c>
      <c r="W4089" s="81" t="e">
        <f>HLOOKUP(P4089,データについて!$J$10:$M$18,9,FALSE)</f>
        <v>#N/A</v>
      </c>
      <c r="X4089" s="81" t="e">
        <f>HLOOKUP(Q4089,データについて!$J$11:$M$18,8,FALSE)</f>
        <v>#N/A</v>
      </c>
      <c r="Y4089" s="81" t="e">
        <f>HLOOKUP(R4089,データについて!$J$12:$M$18,7,FALSE)</f>
        <v>#N/A</v>
      </c>
      <c r="Z4089" s="81" t="e">
        <f>HLOOKUP(I4089,データについて!$J$3:$M$18,16,FALSE)</f>
        <v>#N/A</v>
      </c>
      <c r="AA4089" s="81" t="str">
        <f>IFERROR(HLOOKUP(J4089,データについて!$J$4:$AH$19,16,FALSE),"")</f>
        <v/>
      </c>
      <c r="AB4089" s="81" t="str">
        <f>IFERROR(HLOOKUP(K4089,データについて!$J$5:$AH$20,14,FALSE),"")</f>
        <v/>
      </c>
      <c r="AC4089" s="81" t="e">
        <f>IF(X4089=1,HLOOKUP(R4089,データについて!$J$12:$M$18,7,FALSE),"*")</f>
        <v>#N/A</v>
      </c>
      <c r="AD4089" s="81" t="e">
        <f>IF(X4089=2,HLOOKUP(R4089,データについて!$J$12:$M$18,7,FALSE),"*")</f>
        <v>#N/A</v>
      </c>
    </row>
    <row r="4090" spans="19:30">
      <c r="S4090" s="81" t="e">
        <f>HLOOKUP(L4090,データについて!$J$6:$M$18,13,FALSE)</f>
        <v>#N/A</v>
      </c>
      <c r="T4090" s="81" t="e">
        <f>HLOOKUP(M4090,データについて!$J$7:$M$18,12,FALSE)</f>
        <v>#N/A</v>
      </c>
      <c r="U4090" s="81" t="e">
        <f>HLOOKUP(N4090,データについて!$J$8:$M$18,11,FALSE)</f>
        <v>#N/A</v>
      </c>
      <c r="V4090" s="81" t="e">
        <f>HLOOKUP(O4090,データについて!$J$9:$M$18,10,FALSE)</f>
        <v>#N/A</v>
      </c>
      <c r="W4090" s="81" t="e">
        <f>HLOOKUP(P4090,データについて!$J$10:$M$18,9,FALSE)</f>
        <v>#N/A</v>
      </c>
      <c r="X4090" s="81" t="e">
        <f>HLOOKUP(Q4090,データについて!$J$11:$M$18,8,FALSE)</f>
        <v>#N/A</v>
      </c>
      <c r="Y4090" s="81" t="e">
        <f>HLOOKUP(R4090,データについて!$J$12:$M$18,7,FALSE)</f>
        <v>#N/A</v>
      </c>
      <c r="Z4090" s="81" t="e">
        <f>HLOOKUP(I4090,データについて!$J$3:$M$18,16,FALSE)</f>
        <v>#N/A</v>
      </c>
      <c r="AA4090" s="81" t="str">
        <f>IFERROR(HLOOKUP(J4090,データについて!$J$4:$AH$19,16,FALSE),"")</f>
        <v/>
      </c>
      <c r="AB4090" s="81" t="str">
        <f>IFERROR(HLOOKUP(K4090,データについて!$J$5:$AH$20,14,FALSE),"")</f>
        <v/>
      </c>
      <c r="AC4090" s="81" t="e">
        <f>IF(X4090=1,HLOOKUP(R4090,データについて!$J$12:$M$18,7,FALSE),"*")</f>
        <v>#N/A</v>
      </c>
      <c r="AD4090" s="81" t="e">
        <f>IF(X4090=2,HLOOKUP(R4090,データについて!$J$12:$M$18,7,FALSE),"*")</f>
        <v>#N/A</v>
      </c>
    </row>
    <row r="4091" spans="19:30">
      <c r="S4091" s="81" t="e">
        <f>HLOOKUP(L4091,データについて!$J$6:$M$18,13,FALSE)</f>
        <v>#N/A</v>
      </c>
      <c r="T4091" s="81" t="e">
        <f>HLOOKUP(M4091,データについて!$J$7:$M$18,12,FALSE)</f>
        <v>#N/A</v>
      </c>
      <c r="U4091" s="81" t="e">
        <f>HLOOKUP(N4091,データについて!$J$8:$M$18,11,FALSE)</f>
        <v>#N/A</v>
      </c>
      <c r="V4091" s="81" t="e">
        <f>HLOOKUP(O4091,データについて!$J$9:$M$18,10,FALSE)</f>
        <v>#N/A</v>
      </c>
      <c r="W4091" s="81" t="e">
        <f>HLOOKUP(P4091,データについて!$J$10:$M$18,9,FALSE)</f>
        <v>#N/A</v>
      </c>
      <c r="X4091" s="81" t="e">
        <f>HLOOKUP(Q4091,データについて!$J$11:$M$18,8,FALSE)</f>
        <v>#N/A</v>
      </c>
      <c r="Y4091" s="81" t="e">
        <f>HLOOKUP(R4091,データについて!$J$12:$M$18,7,FALSE)</f>
        <v>#N/A</v>
      </c>
      <c r="Z4091" s="81" t="e">
        <f>HLOOKUP(I4091,データについて!$J$3:$M$18,16,FALSE)</f>
        <v>#N/A</v>
      </c>
      <c r="AA4091" s="81" t="str">
        <f>IFERROR(HLOOKUP(J4091,データについて!$J$4:$AH$19,16,FALSE),"")</f>
        <v/>
      </c>
      <c r="AB4091" s="81" t="str">
        <f>IFERROR(HLOOKUP(K4091,データについて!$J$5:$AH$20,14,FALSE),"")</f>
        <v/>
      </c>
      <c r="AC4091" s="81" t="e">
        <f>IF(X4091=1,HLOOKUP(R4091,データについて!$J$12:$M$18,7,FALSE),"*")</f>
        <v>#N/A</v>
      </c>
      <c r="AD4091" s="81" t="e">
        <f>IF(X4091=2,HLOOKUP(R4091,データについて!$J$12:$M$18,7,FALSE),"*")</f>
        <v>#N/A</v>
      </c>
    </row>
    <row r="4092" spans="19:30">
      <c r="S4092" s="81" t="e">
        <f>HLOOKUP(L4092,データについて!$J$6:$M$18,13,FALSE)</f>
        <v>#N/A</v>
      </c>
      <c r="T4092" s="81" t="e">
        <f>HLOOKUP(M4092,データについて!$J$7:$M$18,12,FALSE)</f>
        <v>#N/A</v>
      </c>
      <c r="U4092" s="81" t="e">
        <f>HLOOKUP(N4092,データについて!$J$8:$M$18,11,FALSE)</f>
        <v>#N/A</v>
      </c>
      <c r="V4092" s="81" t="e">
        <f>HLOOKUP(O4092,データについて!$J$9:$M$18,10,FALSE)</f>
        <v>#N/A</v>
      </c>
      <c r="W4092" s="81" t="e">
        <f>HLOOKUP(P4092,データについて!$J$10:$M$18,9,FALSE)</f>
        <v>#N/A</v>
      </c>
      <c r="X4092" s="81" t="e">
        <f>HLOOKUP(Q4092,データについて!$J$11:$M$18,8,FALSE)</f>
        <v>#N/A</v>
      </c>
      <c r="Y4092" s="81" t="e">
        <f>HLOOKUP(R4092,データについて!$J$12:$M$18,7,FALSE)</f>
        <v>#N/A</v>
      </c>
      <c r="Z4092" s="81" t="e">
        <f>HLOOKUP(I4092,データについて!$J$3:$M$18,16,FALSE)</f>
        <v>#N/A</v>
      </c>
      <c r="AA4092" s="81" t="str">
        <f>IFERROR(HLOOKUP(J4092,データについて!$J$4:$AH$19,16,FALSE),"")</f>
        <v/>
      </c>
      <c r="AB4092" s="81" t="str">
        <f>IFERROR(HLOOKUP(K4092,データについて!$J$5:$AH$20,14,FALSE),"")</f>
        <v/>
      </c>
      <c r="AC4092" s="81" t="e">
        <f>IF(X4092=1,HLOOKUP(R4092,データについて!$J$12:$M$18,7,FALSE),"*")</f>
        <v>#N/A</v>
      </c>
      <c r="AD4092" s="81" t="e">
        <f>IF(X4092=2,HLOOKUP(R4092,データについて!$J$12:$M$18,7,FALSE),"*")</f>
        <v>#N/A</v>
      </c>
    </row>
    <row r="4093" spans="19:30">
      <c r="S4093" s="81" t="e">
        <f>HLOOKUP(L4093,データについて!$J$6:$M$18,13,FALSE)</f>
        <v>#N/A</v>
      </c>
      <c r="T4093" s="81" t="e">
        <f>HLOOKUP(M4093,データについて!$J$7:$M$18,12,FALSE)</f>
        <v>#N/A</v>
      </c>
      <c r="U4093" s="81" t="e">
        <f>HLOOKUP(N4093,データについて!$J$8:$M$18,11,FALSE)</f>
        <v>#N/A</v>
      </c>
      <c r="V4093" s="81" t="e">
        <f>HLOOKUP(O4093,データについて!$J$9:$M$18,10,FALSE)</f>
        <v>#N/A</v>
      </c>
      <c r="W4093" s="81" t="e">
        <f>HLOOKUP(P4093,データについて!$J$10:$M$18,9,FALSE)</f>
        <v>#N/A</v>
      </c>
      <c r="X4093" s="81" t="e">
        <f>HLOOKUP(Q4093,データについて!$J$11:$M$18,8,FALSE)</f>
        <v>#N/A</v>
      </c>
      <c r="Y4093" s="81" t="e">
        <f>HLOOKUP(R4093,データについて!$J$12:$M$18,7,FALSE)</f>
        <v>#N/A</v>
      </c>
      <c r="Z4093" s="81" t="e">
        <f>HLOOKUP(I4093,データについて!$J$3:$M$18,16,FALSE)</f>
        <v>#N/A</v>
      </c>
      <c r="AA4093" s="81" t="str">
        <f>IFERROR(HLOOKUP(J4093,データについて!$J$4:$AH$19,16,FALSE),"")</f>
        <v/>
      </c>
      <c r="AB4093" s="81" t="str">
        <f>IFERROR(HLOOKUP(K4093,データについて!$J$5:$AH$20,14,FALSE),"")</f>
        <v/>
      </c>
      <c r="AC4093" s="81" t="e">
        <f>IF(X4093=1,HLOOKUP(R4093,データについて!$J$12:$M$18,7,FALSE),"*")</f>
        <v>#N/A</v>
      </c>
      <c r="AD4093" s="81" t="e">
        <f>IF(X4093=2,HLOOKUP(R4093,データについて!$J$12:$M$18,7,FALSE),"*")</f>
        <v>#N/A</v>
      </c>
    </row>
    <row r="4094" spans="19:30">
      <c r="S4094" s="81" t="e">
        <f>HLOOKUP(L4094,データについて!$J$6:$M$18,13,FALSE)</f>
        <v>#N/A</v>
      </c>
      <c r="T4094" s="81" t="e">
        <f>HLOOKUP(M4094,データについて!$J$7:$M$18,12,FALSE)</f>
        <v>#N/A</v>
      </c>
      <c r="U4094" s="81" t="e">
        <f>HLOOKUP(N4094,データについて!$J$8:$M$18,11,FALSE)</f>
        <v>#N/A</v>
      </c>
      <c r="V4094" s="81" t="e">
        <f>HLOOKUP(O4094,データについて!$J$9:$M$18,10,FALSE)</f>
        <v>#N/A</v>
      </c>
      <c r="W4094" s="81" t="e">
        <f>HLOOKUP(P4094,データについて!$J$10:$M$18,9,FALSE)</f>
        <v>#N/A</v>
      </c>
      <c r="X4094" s="81" t="e">
        <f>HLOOKUP(Q4094,データについて!$J$11:$M$18,8,FALSE)</f>
        <v>#N/A</v>
      </c>
      <c r="Y4094" s="81" t="e">
        <f>HLOOKUP(R4094,データについて!$J$12:$M$18,7,FALSE)</f>
        <v>#N/A</v>
      </c>
      <c r="Z4094" s="81" t="e">
        <f>HLOOKUP(I4094,データについて!$J$3:$M$18,16,FALSE)</f>
        <v>#N/A</v>
      </c>
      <c r="AA4094" s="81" t="str">
        <f>IFERROR(HLOOKUP(J4094,データについて!$J$4:$AH$19,16,FALSE),"")</f>
        <v/>
      </c>
      <c r="AB4094" s="81" t="str">
        <f>IFERROR(HLOOKUP(K4094,データについて!$J$5:$AH$20,14,FALSE),"")</f>
        <v/>
      </c>
      <c r="AC4094" s="81" t="e">
        <f>IF(X4094=1,HLOOKUP(R4094,データについて!$J$12:$M$18,7,FALSE),"*")</f>
        <v>#N/A</v>
      </c>
      <c r="AD4094" s="81" t="e">
        <f>IF(X4094=2,HLOOKUP(R4094,データについて!$J$12:$M$18,7,FALSE),"*")</f>
        <v>#N/A</v>
      </c>
    </row>
    <row r="4095" spans="19:30">
      <c r="S4095" s="81" t="e">
        <f>HLOOKUP(L4095,データについて!$J$6:$M$18,13,FALSE)</f>
        <v>#N/A</v>
      </c>
      <c r="T4095" s="81" t="e">
        <f>HLOOKUP(M4095,データについて!$J$7:$M$18,12,FALSE)</f>
        <v>#N/A</v>
      </c>
      <c r="U4095" s="81" t="e">
        <f>HLOOKUP(N4095,データについて!$J$8:$M$18,11,FALSE)</f>
        <v>#N/A</v>
      </c>
      <c r="V4095" s="81" t="e">
        <f>HLOOKUP(O4095,データについて!$J$9:$M$18,10,FALSE)</f>
        <v>#N/A</v>
      </c>
      <c r="W4095" s="81" t="e">
        <f>HLOOKUP(P4095,データについて!$J$10:$M$18,9,FALSE)</f>
        <v>#N/A</v>
      </c>
      <c r="X4095" s="81" t="e">
        <f>HLOOKUP(Q4095,データについて!$J$11:$M$18,8,FALSE)</f>
        <v>#N/A</v>
      </c>
      <c r="Y4095" s="81" t="e">
        <f>HLOOKUP(R4095,データについて!$J$12:$M$18,7,FALSE)</f>
        <v>#N/A</v>
      </c>
      <c r="Z4095" s="81" t="e">
        <f>HLOOKUP(I4095,データについて!$J$3:$M$18,16,FALSE)</f>
        <v>#N/A</v>
      </c>
      <c r="AA4095" s="81" t="str">
        <f>IFERROR(HLOOKUP(J4095,データについて!$J$4:$AH$19,16,FALSE),"")</f>
        <v/>
      </c>
      <c r="AB4095" s="81" t="str">
        <f>IFERROR(HLOOKUP(K4095,データについて!$J$5:$AH$20,14,FALSE),"")</f>
        <v/>
      </c>
      <c r="AC4095" s="81" t="e">
        <f>IF(X4095=1,HLOOKUP(R4095,データについて!$J$12:$M$18,7,FALSE),"*")</f>
        <v>#N/A</v>
      </c>
      <c r="AD4095" s="81" t="e">
        <f>IF(X4095=2,HLOOKUP(R4095,データについて!$J$12:$M$18,7,FALSE),"*")</f>
        <v>#N/A</v>
      </c>
    </row>
    <row r="4096" spans="19:30">
      <c r="S4096" s="81" t="e">
        <f>HLOOKUP(L4096,データについて!$J$6:$M$18,13,FALSE)</f>
        <v>#N/A</v>
      </c>
      <c r="T4096" s="81" t="e">
        <f>HLOOKUP(M4096,データについて!$J$7:$M$18,12,FALSE)</f>
        <v>#N/A</v>
      </c>
      <c r="U4096" s="81" t="e">
        <f>HLOOKUP(N4096,データについて!$J$8:$M$18,11,FALSE)</f>
        <v>#N/A</v>
      </c>
      <c r="V4096" s="81" t="e">
        <f>HLOOKUP(O4096,データについて!$J$9:$M$18,10,FALSE)</f>
        <v>#N/A</v>
      </c>
      <c r="W4096" s="81" t="e">
        <f>HLOOKUP(P4096,データについて!$J$10:$M$18,9,FALSE)</f>
        <v>#N/A</v>
      </c>
      <c r="X4096" s="81" t="e">
        <f>HLOOKUP(Q4096,データについて!$J$11:$M$18,8,FALSE)</f>
        <v>#N/A</v>
      </c>
      <c r="Y4096" s="81" t="e">
        <f>HLOOKUP(R4096,データについて!$J$12:$M$18,7,FALSE)</f>
        <v>#N/A</v>
      </c>
      <c r="Z4096" s="81" t="e">
        <f>HLOOKUP(I4096,データについて!$J$3:$M$18,16,FALSE)</f>
        <v>#N/A</v>
      </c>
      <c r="AA4096" s="81" t="str">
        <f>IFERROR(HLOOKUP(J4096,データについて!$J$4:$AH$19,16,FALSE),"")</f>
        <v/>
      </c>
      <c r="AB4096" s="81" t="str">
        <f>IFERROR(HLOOKUP(K4096,データについて!$J$5:$AH$20,14,FALSE),"")</f>
        <v/>
      </c>
      <c r="AC4096" s="81" t="e">
        <f>IF(X4096=1,HLOOKUP(R4096,データについて!$J$12:$M$18,7,FALSE),"*")</f>
        <v>#N/A</v>
      </c>
      <c r="AD4096" s="81" t="e">
        <f>IF(X4096=2,HLOOKUP(R4096,データについて!$J$12:$M$18,7,FALSE),"*")</f>
        <v>#N/A</v>
      </c>
    </row>
    <row r="4097" spans="19:30">
      <c r="S4097" s="81" t="e">
        <f>HLOOKUP(L4097,データについて!$J$6:$M$18,13,FALSE)</f>
        <v>#N/A</v>
      </c>
      <c r="T4097" s="81" t="e">
        <f>HLOOKUP(M4097,データについて!$J$7:$M$18,12,FALSE)</f>
        <v>#N/A</v>
      </c>
      <c r="U4097" s="81" t="e">
        <f>HLOOKUP(N4097,データについて!$J$8:$M$18,11,FALSE)</f>
        <v>#N/A</v>
      </c>
      <c r="V4097" s="81" t="e">
        <f>HLOOKUP(O4097,データについて!$J$9:$M$18,10,FALSE)</f>
        <v>#N/A</v>
      </c>
      <c r="W4097" s="81" t="e">
        <f>HLOOKUP(P4097,データについて!$J$10:$M$18,9,FALSE)</f>
        <v>#N/A</v>
      </c>
      <c r="X4097" s="81" t="e">
        <f>HLOOKUP(Q4097,データについて!$J$11:$M$18,8,FALSE)</f>
        <v>#N/A</v>
      </c>
      <c r="Y4097" s="81" t="e">
        <f>HLOOKUP(R4097,データについて!$J$12:$M$18,7,FALSE)</f>
        <v>#N/A</v>
      </c>
      <c r="Z4097" s="81" t="e">
        <f>HLOOKUP(I4097,データについて!$J$3:$M$18,16,FALSE)</f>
        <v>#N/A</v>
      </c>
      <c r="AA4097" s="81" t="str">
        <f>IFERROR(HLOOKUP(J4097,データについて!$J$4:$AH$19,16,FALSE),"")</f>
        <v/>
      </c>
      <c r="AB4097" s="81" t="str">
        <f>IFERROR(HLOOKUP(K4097,データについて!$J$5:$AH$20,14,FALSE),"")</f>
        <v/>
      </c>
      <c r="AC4097" s="81" t="e">
        <f>IF(X4097=1,HLOOKUP(R4097,データについて!$J$12:$M$18,7,FALSE),"*")</f>
        <v>#N/A</v>
      </c>
      <c r="AD4097" s="81" t="e">
        <f>IF(X4097=2,HLOOKUP(R4097,データについて!$J$12:$M$18,7,FALSE),"*")</f>
        <v>#N/A</v>
      </c>
    </row>
    <row r="4098" spans="19:30">
      <c r="S4098" s="81" t="e">
        <f>HLOOKUP(L4098,データについて!$J$6:$M$18,13,FALSE)</f>
        <v>#N/A</v>
      </c>
      <c r="T4098" s="81" t="e">
        <f>HLOOKUP(M4098,データについて!$J$7:$M$18,12,FALSE)</f>
        <v>#N/A</v>
      </c>
      <c r="U4098" s="81" t="e">
        <f>HLOOKUP(N4098,データについて!$J$8:$M$18,11,FALSE)</f>
        <v>#N/A</v>
      </c>
      <c r="V4098" s="81" t="e">
        <f>HLOOKUP(O4098,データについて!$J$9:$M$18,10,FALSE)</f>
        <v>#N/A</v>
      </c>
      <c r="W4098" s="81" t="e">
        <f>HLOOKUP(P4098,データについて!$J$10:$M$18,9,FALSE)</f>
        <v>#N/A</v>
      </c>
      <c r="X4098" s="81" t="e">
        <f>HLOOKUP(Q4098,データについて!$J$11:$M$18,8,FALSE)</f>
        <v>#N/A</v>
      </c>
      <c r="Y4098" s="81" t="e">
        <f>HLOOKUP(R4098,データについて!$J$12:$M$18,7,FALSE)</f>
        <v>#N/A</v>
      </c>
      <c r="Z4098" s="81" t="e">
        <f>HLOOKUP(I4098,データについて!$J$3:$M$18,16,FALSE)</f>
        <v>#N/A</v>
      </c>
      <c r="AA4098" s="81" t="str">
        <f>IFERROR(HLOOKUP(J4098,データについて!$J$4:$AH$19,16,FALSE),"")</f>
        <v/>
      </c>
      <c r="AB4098" s="81" t="str">
        <f>IFERROR(HLOOKUP(K4098,データについて!$J$5:$AH$20,14,FALSE),"")</f>
        <v/>
      </c>
      <c r="AC4098" s="81" t="e">
        <f>IF(X4098=1,HLOOKUP(R4098,データについて!$J$12:$M$18,7,FALSE),"*")</f>
        <v>#N/A</v>
      </c>
      <c r="AD4098" s="81" t="e">
        <f>IF(X4098=2,HLOOKUP(R4098,データについて!$J$12:$M$18,7,FALSE),"*")</f>
        <v>#N/A</v>
      </c>
    </row>
    <row r="4099" spans="19:30">
      <c r="S4099" s="81" t="e">
        <f>HLOOKUP(L4099,データについて!$J$6:$M$18,13,FALSE)</f>
        <v>#N/A</v>
      </c>
      <c r="T4099" s="81" t="e">
        <f>HLOOKUP(M4099,データについて!$J$7:$M$18,12,FALSE)</f>
        <v>#N/A</v>
      </c>
      <c r="U4099" s="81" t="e">
        <f>HLOOKUP(N4099,データについて!$J$8:$M$18,11,FALSE)</f>
        <v>#N/A</v>
      </c>
      <c r="V4099" s="81" t="e">
        <f>HLOOKUP(O4099,データについて!$J$9:$M$18,10,FALSE)</f>
        <v>#N/A</v>
      </c>
      <c r="W4099" s="81" t="e">
        <f>HLOOKUP(P4099,データについて!$J$10:$M$18,9,FALSE)</f>
        <v>#N/A</v>
      </c>
      <c r="X4099" s="81" t="e">
        <f>HLOOKUP(Q4099,データについて!$J$11:$M$18,8,FALSE)</f>
        <v>#N/A</v>
      </c>
      <c r="Y4099" s="81" t="e">
        <f>HLOOKUP(R4099,データについて!$J$12:$M$18,7,FALSE)</f>
        <v>#N/A</v>
      </c>
      <c r="Z4099" s="81" t="e">
        <f>HLOOKUP(I4099,データについて!$J$3:$M$18,16,FALSE)</f>
        <v>#N/A</v>
      </c>
      <c r="AA4099" s="81" t="str">
        <f>IFERROR(HLOOKUP(J4099,データについて!$J$4:$AH$19,16,FALSE),"")</f>
        <v/>
      </c>
      <c r="AB4099" s="81" t="str">
        <f>IFERROR(HLOOKUP(K4099,データについて!$J$5:$AH$20,14,FALSE),"")</f>
        <v/>
      </c>
      <c r="AC4099" s="81" t="e">
        <f>IF(X4099=1,HLOOKUP(R4099,データについて!$J$12:$M$18,7,FALSE),"*")</f>
        <v>#N/A</v>
      </c>
      <c r="AD4099" s="81" t="e">
        <f>IF(X4099=2,HLOOKUP(R4099,データについて!$J$12:$M$18,7,FALSE),"*")</f>
        <v>#N/A</v>
      </c>
    </row>
    <row r="4100" spans="19:30">
      <c r="S4100" s="81" t="e">
        <f>HLOOKUP(L4100,データについて!$J$6:$M$18,13,FALSE)</f>
        <v>#N/A</v>
      </c>
      <c r="T4100" s="81" t="e">
        <f>HLOOKUP(M4100,データについて!$J$7:$M$18,12,FALSE)</f>
        <v>#N/A</v>
      </c>
      <c r="U4100" s="81" t="e">
        <f>HLOOKUP(N4100,データについて!$J$8:$M$18,11,FALSE)</f>
        <v>#N/A</v>
      </c>
      <c r="V4100" s="81" t="e">
        <f>HLOOKUP(O4100,データについて!$J$9:$M$18,10,FALSE)</f>
        <v>#N/A</v>
      </c>
      <c r="W4100" s="81" t="e">
        <f>HLOOKUP(P4100,データについて!$J$10:$M$18,9,FALSE)</f>
        <v>#N/A</v>
      </c>
      <c r="X4100" s="81" t="e">
        <f>HLOOKUP(Q4100,データについて!$J$11:$M$18,8,FALSE)</f>
        <v>#N/A</v>
      </c>
      <c r="Y4100" s="81" t="e">
        <f>HLOOKUP(R4100,データについて!$J$12:$M$18,7,FALSE)</f>
        <v>#N/A</v>
      </c>
      <c r="Z4100" s="81" t="e">
        <f>HLOOKUP(I4100,データについて!$J$3:$M$18,16,FALSE)</f>
        <v>#N/A</v>
      </c>
      <c r="AA4100" s="81" t="str">
        <f>IFERROR(HLOOKUP(J4100,データについて!$J$4:$AH$19,16,FALSE),"")</f>
        <v/>
      </c>
      <c r="AB4100" s="81" t="str">
        <f>IFERROR(HLOOKUP(K4100,データについて!$J$5:$AH$20,14,FALSE),"")</f>
        <v/>
      </c>
      <c r="AC4100" s="81" t="e">
        <f>IF(X4100=1,HLOOKUP(R4100,データについて!$J$12:$M$18,7,FALSE),"*")</f>
        <v>#N/A</v>
      </c>
      <c r="AD4100" s="81" t="e">
        <f>IF(X4100=2,HLOOKUP(R4100,データについて!$J$12:$M$18,7,FALSE),"*")</f>
        <v>#N/A</v>
      </c>
    </row>
    <row r="4101" spans="19:30">
      <c r="S4101" s="81" t="e">
        <f>HLOOKUP(L4101,データについて!$J$6:$M$18,13,FALSE)</f>
        <v>#N/A</v>
      </c>
      <c r="T4101" s="81" t="e">
        <f>HLOOKUP(M4101,データについて!$J$7:$M$18,12,FALSE)</f>
        <v>#N/A</v>
      </c>
      <c r="U4101" s="81" t="e">
        <f>HLOOKUP(N4101,データについて!$J$8:$M$18,11,FALSE)</f>
        <v>#N/A</v>
      </c>
      <c r="V4101" s="81" t="e">
        <f>HLOOKUP(O4101,データについて!$J$9:$M$18,10,FALSE)</f>
        <v>#N/A</v>
      </c>
      <c r="W4101" s="81" t="e">
        <f>HLOOKUP(P4101,データについて!$J$10:$M$18,9,FALSE)</f>
        <v>#N/A</v>
      </c>
      <c r="X4101" s="81" t="e">
        <f>HLOOKUP(Q4101,データについて!$J$11:$M$18,8,FALSE)</f>
        <v>#N/A</v>
      </c>
      <c r="Y4101" s="81" t="e">
        <f>HLOOKUP(R4101,データについて!$J$12:$M$18,7,FALSE)</f>
        <v>#N/A</v>
      </c>
      <c r="Z4101" s="81" t="e">
        <f>HLOOKUP(I4101,データについて!$J$3:$M$18,16,FALSE)</f>
        <v>#N/A</v>
      </c>
      <c r="AA4101" s="81" t="str">
        <f>IFERROR(HLOOKUP(J4101,データについて!$J$4:$AH$19,16,FALSE),"")</f>
        <v/>
      </c>
      <c r="AB4101" s="81" t="str">
        <f>IFERROR(HLOOKUP(K4101,データについて!$J$5:$AH$20,14,FALSE),"")</f>
        <v/>
      </c>
      <c r="AC4101" s="81" t="e">
        <f>IF(X4101=1,HLOOKUP(R4101,データについて!$J$12:$M$18,7,FALSE),"*")</f>
        <v>#N/A</v>
      </c>
      <c r="AD4101" s="81" t="e">
        <f>IF(X4101=2,HLOOKUP(R4101,データについて!$J$12:$M$18,7,FALSE),"*")</f>
        <v>#N/A</v>
      </c>
    </row>
    <row r="4102" spans="19:30">
      <c r="S4102" s="81" t="e">
        <f>HLOOKUP(L4102,データについて!$J$6:$M$18,13,FALSE)</f>
        <v>#N/A</v>
      </c>
      <c r="T4102" s="81" t="e">
        <f>HLOOKUP(M4102,データについて!$J$7:$M$18,12,FALSE)</f>
        <v>#N/A</v>
      </c>
      <c r="U4102" s="81" t="e">
        <f>HLOOKUP(N4102,データについて!$J$8:$M$18,11,FALSE)</f>
        <v>#N/A</v>
      </c>
      <c r="V4102" s="81" t="e">
        <f>HLOOKUP(O4102,データについて!$J$9:$M$18,10,FALSE)</f>
        <v>#N/A</v>
      </c>
      <c r="W4102" s="81" t="e">
        <f>HLOOKUP(P4102,データについて!$J$10:$M$18,9,FALSE)</f>
        <v>#N/A</v>
      </c>
      <c r="X4102" s="81" t="e">
        <f>HLOOKUP(Q4102,データについて!$J$11:$M$18,8,FALSE)</f>
        <v>#N/A</v>
      </c>
      <c r="Y4102" s="81" t="e">
        <f>HLOOKUP(R4102,データについて!$J$12:$M$18,7,FALSE)</f>
        <v>#N/A</v>
      </c>
      <c r="Z4102" s="81" t="e">
        <f>HLOOKUP(I4102,データについて!$J$3:$M$18,16,FALSE)</f>
        <v>#N/A</v>
      </c>
      <c r="AA4102" s="81" t="str">
        <f>IFERROR(HLOOKUP(J4102,データについて!$J$4:$AH$19,16,FALSE),"")</f>
        <v/>
      </c>
      <c r="AB4102" s="81" t="str">
        <f>IFERROR(HLOOKUP(K4102,データについて!$J$5:$AH$20,14,FALSE),"")</f>
        <v/>
      </c>
      <c r="AC4102" s="81" t="e">
        <f>IF(X4102=1,HLOOKUP(R4102,データについて!$J$12:$M$18,7,FALSE),"*")</f>
        <v>#N/A</v>
      </c>
      <c r="AD4102" s="81" t="e">
        <f>IF(X4102=2,HLOOKUP(R4102,データについて!$J$12:$M$18,7,FALSE),"*")</f>
        <v>#N/A</v>
      </c>
    </row>
    <row r="4103" spans="19:30">
      <c r="S4103" s="81" t="e">
        <f>HLOOKUP(L4103,データについて!$J$6:$M$18,13,FALSE)</f>
        <v>#N/A</v>
      </c>
      <c r="T4103" s="81" t="e">
        <f>HLOOKUP(M4103,データについて!$J$7:$M$18,12,FALSE)</f>
        <v>#N/A</v>
      </c>
      <c r="U4103" s="81" t="e">
        <f>HLOOKUP(N4103,データについて!$J$8:$M$18,11,FALSE)</f>
        <v>#N/A</v>
      </c>
      <c r="V4103" s="81" t="e">
        <f>HLOOKUP(O4103,データについて!$J$9:$M$18,10,FALSE)</f>
        <v>#N/A</v>
      </c>
      <c r="W4103" s="81" t="e">
        <f>HLOOKUP(P4103,データについて!$J$10:$M$18,9,FALSE)</f>
        <v>#N/A</v>
      </c>
      <c r="X4103" s="81" t="e">
        <f>HLOOKUP(Q4103,データについて!$J$11:$M$18,8,FALSE)</f>
        <v>#N/A</v>
      </c>
      <c r="Y4103" s="81" t="e">
        <f>HLOOKUP(R4103,データについて!$J$12:$M$18,7,FALSE)</f>
        <v>#N/A</v>
      </c>
      <c r="Z4103" s="81" t="e">
        <f>HLOOKUP(I4103,データについて!$J$3:$M$18,16,FALSE)</f>
        <v>#N/A</v>
      </c>
      <c r="AA4103" s="81" t="str">
        <f>IFERROR(HLOOKUP(J4103,データについて!$J$4:$AH$19,16,FALSE),"")</f>
        <v/>
      </c>
      <c r="AB4103" s="81" t="str">
        <f>IFERROR(HLOOKUP(K4103,データについて!$J$5:$AH$20,14,FALSE),"")</f>
        <v/>
      </c>
      <c r="AC4103" s="81" t="e">
        <f>IF(X4103=1,HLOOKUP(R4103,データについて!$J$12:$M$18,7,FALSE),"*")</f>
        <v>#N/A</v>
      </c>
      <c r="AD4103" s="81" t="e">
        <f>IF(X4103=2,HLOOKUP(R4103,データについて!$J$12:$M$18,7,FALSE),"*")</f>
        <v>#N/A</v>
      </c>
    </row>
    <row r="4104" spans="19:30">
      <c r="S4104" s="81" t="e">
        <f>HLOOKUP(L4104,データについて!$J$6:$M$18,13,FALSE)</f>
        <v>#N/A</v>
      </c>
      <c r="T4104" s="81" t="e">
        <f>HLOOKUP(M4104,データについて!$J$7:$M$18,12,FALSE)</f>
        <v>#N/A</v>
      </c>
      <c r="U4104" s="81" t="e">
        <f>HLOOKUP(N4104,データについて!$J$8:$M$18,11,FALSE)</f>
        <v>#N/A</v>
      </c>
      <c r="V4104" s="81" t="e">
        <f>HLOOKUP(O4104,データについて!$J$9:$M$18,10,FALSE)</f>
        <v>#N/A</v>
      </c>
      <c r="W4104" s="81" t="e">
        <f>HLOOKUP(P4104,データについて!$J$10:$M$18,9,FALSE)</f>
        <v>#N/A</v>
      </c>
      <c r="X4104" s="81" t="e">
        <f>HLOOKUP(Q4104,データについて!$J$11:$M$18,8,FALSE)</f>
        <v>#N/A</v>
      </c>
      <c r="Y4104" s="81" t="e">
        <f>HLOOKUP(R4104,データについて!$J$12:$M$18,7,FALSE)</f>
        <v>#N/A</v>
      </c>
      <c r="Z4104" s="81" t="e">
        <f>HLOOKUP(I4104,データについて!$J$3:$M$18,16,FALSE)</f>
        <v>#N/A</v>
      </c>
      <c r="AA4104" s="81" t="str">
        <f>IFERROR(HLOOKUP(J4104,データについて!$J$4:$AH$19,16,FALSE),"")</f>
        <v/>
      </c>
      <c r="AB4104" s="81" t="str">
        <f>IFERROR(HLOOKUP(K4104,データについて!$J$5:$AH$20,14,FALSE),"")</f>
        <v/>
      </c>
      <c r="AC4104" s="81" t="e">
        <f>IF(X4104=1,HLOOKUP(R4104,データについて!$J$12:$M$18,7,FALSE),"*")</f>
        <v>#N/A</v>
      </c>
      <c r="AD4104" s="81" t="e">
        <f>IF(X4104=2,HLOOKUP(R4104,データについて!$J$12:$M$18,7,FALSE),"*")</f>
        <v>#N/A</v>
      </c>
    </row>
    <row r="4105" spans="19:30">
      <c r="S4105" s="81" t="e">
        <f>HLOOKUP(L4105,データについて!$J$6:$M$18,13,FALSE)</f>
        <v>#N/A</v>
      </c>
      <c r="T4105" s="81" t="e">
        <f>HLOOKUP(M4105,データについて!$J$7:$M$18,12,FALSE)</f>
        <v>#N/A</v>
      </c>
      <c r="U4105" s="81" t="e">
        <f>HLOOKUP(N4105,データについて!$J$8:$M$18,11,FALSE)</f>
        <v>#N/A</v>
      </c>
      <c r="V4105" s="81" t="e">
        <f>HLOOKUP(O4105,データについて!$J$9:$M$18,10,FALSE)</f>
        <v>#N/A</v>
      </c>
      <c r="W4105" s="81" t="e">
        <f>HLOOKUP(P4105,データについて!$J$10:$M$18,9,FALSE)</f>
        <v>#N/A</v>
      </c>
      <c r="X4105" s="81" t="e">
        <f>HLOOKUP(Q4105,データについて!$J$11:$M$18,8,FALSE)</f>
        <v>#N/A</v>
      </c>
      <c r="Y4105" s="81" t="e">
        <f>HLOOKUP(R4105,データについて!$J$12:$M$18,7,FALSE)</f>
        <v>#N/A</v>
      </c>
      <c r="Z4105" s="81" t="e">
        <f>HLOOKUP(I4105,データについて!$J$3:$M$18,16,FALSE)</f>
        <v>#N/A</v>
      </c>
      <c r="AA4105" s="81" t="str">
        <f>IFERROR(HLOOKUP(J4105,データについて!$J$4:$AH$19,16,FALSE),"")</f>
        <v/>
      </c>
      <c r="AB4105" s="81" t="str">
        <f>IFERROR(HLOOKUP(K4105,データについて!$J$5:$AH$20,14,FALSE),"")</f>
        <v/>
      </c>
      <c r="AC4105" s="81" t="e">
        <f>IF(X4105=1,HLOOKUP(R4105,データについて!$J$12:$M$18,7,FALSE),"*")</f>
        <v>#N/A</v>
      </c>
      <c r="AD4105" s="81" t="e">
        <f>IF(X4105=2,HLOOKUP(R4105,データについて!$J$12:$M$18,7,FALSE),"*")</f>
        <v>#N/A</v>
      </c>
    </row>
    <row r="4106" spans="19:30">
      <c r="S4106" s="81" t="e">
        <f>HLOOKUP(L4106,データについて!$J$6:$M$18,13,FALSE)</f>
        <v>#N/A</v>
      </c>
      <c r="T4106" s="81" t="e">
        <f>HLOOKUP(M4106,データについて!$J$7:$M$18,12,FALSE)</f>
        <v>#N/A</v>
      </c>
      <c r="U4106" s="81" t="e">
        <f>HLOOKUP(N4106,データについて!$J$8:$M$18,11,FALSE)</f>
        <v>#N/A</v>
      </c>
      <c r="V4106" s="81" t="e">
        <f>HLOOKUP(O4106,データについて!$J$9:$M$18,10,FALSE)</f>
        <v>#N/A</v>
      </c>
      <c r="W4106" s="81" t="e">
        <f>HLOOKUP(P4106,データについて!$J$10:$M$18,9,FALSE)</f>
        <v>#N/A</v>
      </c>
      <c r="X4106" s="81" t="e">
        <f>HLOOKUP(Q4106,データについて!$J$11:$M$18,8,FALSE)</f>
        <v>#N/A</v>
      </c>
      <c r="Y4106" s="81" t="e">
        <f>HLOOKUP(R4106,データについて!$J$12:$M$18,7,FALSE)</f>
        <v>#N/A</v>
      </c>
      <c r="Z4106" s="81" t="e">
        <f>HLOOKUP(I4106,データについて!$J$3:$M$18,16,FALSE)</f>
        <v>#N/A</v>
      </c>
      <c r="AA4106" s="81" t="str">
        <f>IFERROR(HLOOKUP(J4106,データについて!$J$4:$AH$19,16,FALSE),"")</f>
        <v/>
      </c>
      <c r="AB4106" s="81" t="str">
        <f>IFERROR(HLOOKUP(K4106,データについて!$J$5:$AH$20,14,FALSE),"")</f>
        <v/>
      </c>
      <c r="AC4106" s="81" t="e">
        <f>IF(X4106=1,HLOOKUP(R4106,データについて!$J$12:$M$18,7,FALSE),"*")</f>
        <v>#N/A</v>
      </c>
      <c r="AD4106" s="81" t="e">
        <f>IF(X4106=2,HLOOKUP(R4106,データについて!$J$12:$M$18,7,FALSE),"*")</f>
        <v>#N/A</v>
      </c>
    </row>
    <row r="4107" spans="19:30">
      <c r="S4107" s="81" t="e">
        <f>HLOOKUP(L4107,データについて!$J$6:$M$18,13,FALSE)</f>
        <v>#N/A</v>
      </c>
      <c r="T4107" s="81" t="e">
        <f>HLOOKUP(M4107,データについて!$J$7:$M$18,12,FALSE)</f>
        <v>#N/A</v>
      </c>
      <c r="U4107" s="81" t="e">
        <f>HLOOKUP(N4107,データについて!$J$8:$M$18,11,FALSE)</f>
        <v>#N/A</v>
      </c>
      <c r="V4107" s="81" t="e">
        <f>HLOOKUP(O4107,データについて!$J$9:$M$18,10,FALSE)</f>
        <v>#N/A</v>
      </c>
      <c r="W4107" s="81" t="e">
        <f>HLOOKUP(P4107,データについて!$J$10:$M$18,9,FALSE)</f>
        <v>#N/A</v>
      </c>
      <c r="X4107" s="81" t="e">
        <f>HLOOKUP(Q4107,データについて!$J$11:$M$18,8,FALSE)</f>
        <v>#N/A</v>
      </c>
      <c r="Y4107" s="81" t="e">
        <f>HLOOKUP(R4107,データについて!$J$12:$M$18,7,FALSE)</f>
        <v>#N/A</v>
      </c>
      <c r="Z4107" s="81" t="e">
        <f>HLOOKUP(I4107,データについて!$J$3:$M$18,16,FALSE)</f>
        <v>#N/A</v>
      </c>
      <c r="AA4107" s="81" t="str">
        <f>IFERROR(HLOOKUP(J4107,データについて!$J$4:$AH$19,16,FALSE),"")</f>
        <v/>
      </c>
      <c r="AB4107" s="81" t="str">
        <f>IFERROR(HLOOKUP(K4107,データについて!$J$5:$AH$20,14,FALSE),"")</f>
        <v/>
      </c>
      <c r="AC4107" s="81" t="e">
        <f>IF(X4107=1,HLOOKUP(R4107,データについて!$J$12:$M$18,7,FALSE),"*")</f>
        <v>#N/A</v>
      </c>
      <c r="AD4107" s="81" t="e">
        <f>IF(X4107=2,HLOOKUP(R4107,データについて!$J$12:$M$18,7,FALSE),"*")</f>
        <v>#N/A</v>
      </c>
    </row>
    <row r="4108" spans="19:30">
      <c r="S4108" s="81" t="e">
        <f>HLOOKUP(L4108,データについて!$J$6:$M$18,13,FALSE)</f>
        <v>#N/A</v>
      </c>
      <c r="T4108" s="81" t="e">
        <f>HLOOKUP(M4108,データについて!$J$7:$M$18,12,FALSE)</f>
        <v>#N/A</v>
      </c>
      <c r="U4108" s="81" t="e">
        <f>HLOOKUP(N4108,データについて!$J$8:$M$18,11,FALSE)</f>
        <v>#N/A</v>
      </c>
      <c r="V4108" s="81" t="e">
        <f>HLOOKUP(O4108,データについて!$J$9:$M$18,10,FALSE)</f>
        <v>#N/A</v>
      </c>
      <c r="W4108" s="81" t="e">
        <f>HLOOKUP(P4108,データについて!$J$10:$M$18,9,FALSE)</f>
        <v>#N/A</v>
      </c>
      <c r="X4108" s="81" t="e">
        <f>HLOOKUP(Q4108,データについて!$J$11:$M$18,8,FALSE)</f>
        <v>#N/A</v>
      </c>
      <c r="Y4108" s="81" t="e">
        <f>HLOOKUP(R4108,データについて!$J$12:$M$18,7,FALSE)</f>
        <v>#N/A</v>
      </c>
      <c r="Z4108" s="81" t="e">
        <f>HLOOKUP(I4108,データについて!$J$3:$M$18,16,FALSE)</f>
        <v>#N/A</v>
      </c>
      <c r="AA4108" s="81" t="str">
        <f>IFERROR(HLOOKUP(J4108,データについて!$J$4:$AH$19,16,FALSE),"")</f>
        <v/>
      </c>
      <c r="AB4108" s="81" t="str">
        <f>IFERROR(HLOOKUP(K4108,データについて!$J$5:$AH$20,14,FALSE),"")</f>
        <v/>
      </c>
      <c r="AC4108" s="81" t="e">
        <f>IF(X4108=1,HLOOKUP(R4108,データについて!$J$12:$M$18,7,FALSE),"*")</f>
        <v>#N/A</v>
      </c>
      <c r="AD4108" s="81" t="e">
        <f>IF(X4108=2,HLOOKUP(R4108,データについて!$J$12:$M$18,7,FALSE),"*")</f>
        <v>#N/A</v>
      </c>
    </row>
    <row r="4109" spans="19:30">
      <c r="S4109" s="81" t="e">
        <f>HLOOKUP(L4109,データについて!$J$6:$M$18,13,FALSE)</f>
        <v>#N/A</v>
      </c>
      <c r="T4109" s="81" t="e">
        <f>HLOOKUP(M4109,データについて!$J$7:$M$18,12,FALSE)</f>
        <v>#N/A</v>
      </c>
      <c r="U4109" s="81" t="e">
        <f>HLOOKUP(N4109,データについて!$J$8:$M$18,11,FALSE)</f>
        <v>#N/A</v>
      </c>
      <c r="V4109" s="81" t="e">
        <f>HLOOKUP(O4109,データについて!$J$9:$M$18,10,FALSE)</f>
        <v>#N/A</v>
      </c>
      <c r="W4109" s="81" t="e">
        <f>HLOOKUP(P4109,データについて!$J$10:$M$18,9,FALSE)</f>
        <v>#N/A</v>
      </c>
      <c r="X4109" s="81" t="e">
        <f>HLOOKUP(Q4109,データについて!$J$11:$M$18,8,FALSE)</f>
        <v>#N/A</v>
      </c>
      <c r="Y4109" s="81" t="e">
        <f>HLOOKUP(R4109,データについて!$J$12:$M$18,7,FALSE)</f>
        <v>#N/A</v>
      </c>
      <c r="Z4109" s="81" t="e">
        <f>HLOOKUP(I4109,データについて!$J$3:$M$18,16,FALSE)</f>
        <v>#N/A</v>
      </c>
      <c r="AA4109" s="81" t="str">
        <f>IFERROR(HLOOKUP(J4109,データについて!$J$4:$AH$19,16,FALSE),"")</f>
        <v/>
      </c>
      <c r="AB4109" s="81" t="str">
        <f>IFERROR(HLOOKUP(K4109,データについて!$J$5:$AH$20,14,FALSE),"")</f>
        <v/>
      </c>
      <c r="AC4109" s="81" t="e">
        <f>IF(X4109=1,HLOOKUP(R4109,データについて!$J$12:$M$18,7,FALSE),"*")</f>
        <v>#N/A</v>
      </c>
      <c r="AD4109" s="81" t="e">
        <f>IF(X4109=2,HLOOKUP(R4109,データについて!$J$12:$M$18,7,FALSE),"*")</f>
        <v>#N/A</v>
      </c>
    </row>
    <row r="4110" spans="19:30">
      <c r="S4110" s="81" t="e">
        <f>HLOOKUP(L4110,データについて!$J$6:$M$18,13,FALSE)</f>
        <v>#N/A</v>
      </c>
      <c r="T4110" s="81" t="e">
        <f>HLOOKUP(M4110,データについて!$J$7:$M$18,12,FALSE)</f>
        <v>#N/A</v>
      </c>
      <c r="U4110" s="81" t="e">
        <f>HLOOKUP(N4110,データについて!$J$8:$M$18,11,FALSE)</f>
        <v>#N/A</v>
      </c>
      <c r="V4110" s="81" t="e">
        <f>HLOOKUP(O4110,データについて!$J$9:$M$18,10,FALSE)</f>
        <v>#N/A</v>
      </c>
      <c r="W4110" s="81" t="e">
        <f>HLOOKUP(P4110,データについて!$J$10:$M$18,9,FALSE)</f>
        <v>#N/A</v>
      </c>
      <c r="X4110" s="81" t="e">
        <f>HLOOKUP(Q4110,データについて!$J$11:$M$18,8,FALSE)</f>
        <v>#N/A</v>
      </c>
      <c r="Y4110" s="81" t="e">
        <f>HLOOKUP(R4110,データについて!$J$12:$M$18,7,FALSE)</f>
        <v>#N/A</v>
      </c>
      <c r="Z4110" s="81" t="e">
        <f>HLOOKUP(I4110,データについて!$J$3:$M$18,16,FALSE)</f>
        <v>#N/A</v>
      </c>
      <c r="AA4110" s="81" t="str">
        <f>IFERROR(HLOOKUP(J4110,データについて!$J$4:$AH$19,16,FALSE),"")</f>
        <v/>
      </c>
      <c r="AB4110" s="81" t="str">
        <f>IFERROR(HLOOKUP(K4110,データについて!$J$5:$AH$20,14,FALSE),"")</f>
        <v/>
      </c>
      <c r="AC4110" s="81" t="e">
        <f>IF(X4110=1,HLOOKUP(R4110,データについて!$J$12:$M$18,7,FALSE),"*")</f>
        <v>#N/A</v>
      </c>
      <c r="AD4110" s="81" t="e">
        <f>IF(X4110=2,HLOOKUP(R4110,データについて!$J$12:$M$18,7,FALSE),"*")</f>
        <v>#N/A</v>
      </c>
    </row>
    <row r="4111" spans="19:30">
      <c r="S4111" s="81" t="e">
        <f>HLOOKUP(L4111,データについて!$J$6:$M$18,13,FALSE)</f>
        <v>#N/A</v>
      </c>
      <c r="T4111" s="81" t="e">
        <f>HLOOKUP(M4111,データについて!$J$7:$M$18,12,FALSE)</f>
        <v>#N/A</v>
      </c>
      <c r="U4111" s="81" t="e">
        <f>HLOOKUP(N4111,データについて!$J$8:$M$18,11,FALSE)</f>
        <v>#N/A</v>
      </c>
      <c r="V4111" s="81" t="e">
        <f>HLOOKUP(O4111,データについて!$J$9:$M$18,10,FALSE)</f>
        <v>#N/A</v>
      </c>
      <c r="W4111" s="81" t="e">
        <f>HLOOKUP(P4111,データについて!$J$10:$M$18,9,FALSE)</f>
        <v>#N/A</v>
      </c>
      <c r="X4111" s="81" t="e">
        <f>HLOOKUP(Q4111,データについて!$J$11:$M$18,8,FALSE)</f>
        <v>#N/A</v>
      </c>
      <c r="Y4111" s="81" t="e">
        <f>HLOOKUP(R4111,データについて!$J$12:$M$18,7,FALSE)</f>
        <v>#N/A</v>
      </c>
      <c r="Z4111" s="81" t="e">
        <f>HLOOKUP(I4111,データについて!$J$3:$M$18,16,FALSE)</f>
        <v>#N/A</v>
      </c>
      <c r="AA4111" s="81" t="str">
        <f>IFERROR(HLOOKUP(J4111,データについて!$J$4:$AH$19,16,FALSE),"")</f>
        <v/>
      </c>
      <c r="AB4111" s="81" t="str">
        <f>IFERROR(HLOOKUP(K4111,データについて!$J$5:$AH$20,14,FALSE),"")</f>
        <v/>
      </c>
      <c r="AC4111" s="81" t="e">
        <f>IF(X4111=1,HLOOKUP(R4111,データについて!$J$12:$M$18,7,FALSE),"*")</f>
        <v>#N/A</v>
      </c>
      <c r="AD4111" s="81" t="e">
        <f>IF(X4111=2,HLOOKUP(R4111,データについて!$J$12:$M$18,7,FALSE),"*")</f>
        <v>#N/A</v>
      </c>
    </row>
    <row r="4112" spans="19:30">
      <c r="S4112" s="81" t="e">
        <f>HLOOKUP(L4112,データについて!$J$6:$M$18,13,FALSE)</f>
        <v>#N/A</v>
      </c>
      <c r="T4112" s="81" t="e">
        <f>HLOOKUP(M4112,データについて!$J$7:$M$18,12,FALSE)</f>
        <v>#N/A</v>
      </c>
      <c r="U4112" s="81" t="e">
        <f>HLOOKUP(N4112,データについて!$J$8:$M$18,11,FALSE)</f>
        <v>#N/A</v>
      </c>
      <c r="V4112" s="81" t="e">
        <f>HLOOKUP(O4112,データについて!$J$9:$M$18,10,FALSE)</f>
        <v>#N/A</v>
      </c>
      <c r="W4112" s="81" t="e">
        <f>HLOOKUP(P4112,データについて!$J$10:$M$18,9,FALSE)</f>
        <v>#N/A</v>
      </c>
      <c r="X4112" s="81" t="e">
        <f>HLOOKUP(Q4112,データについて!$J$11:$M$18,8,FALSE)</f>
        <v>#N/A</v>
      </c>
      <c r="Y4112" s="81" t="e">
        <f>HLOOKUP(R4112,データについて!$J$12:$M$18,7,FALSE)</f>
        <v>#N/A</v>
      </c>
      <c r="Z4112" s="81" t="e">
        <f>HLOOKUP(I4112,データについて!$J$3:$M$18,16,FALSE)</f>
        <v>#N/A</v>
      </c>
      <c r="AA4112" s="81" t="str">
        <f>IFERROR(HLOOKUP(J4112,データについて!$J$4:$AH$19,16,FALSE),"")</f>
        <v/>
      </c>
      <c r="AB4112" s="81" t="str">
        <f>IFERROR(HLOOKUP(K4112,データについて!$J$5:$AH$20,14,FALSE),"")</f>
        <v/>
      </c>
      <c r="AC4112" s="81" t="e">
        <f>IF(X4112=1,HLOOKUP(R4112,データについて!$J$12:$M$18,7,FALSE),"*")</f>
        <v>#N/A</v>
      </c>
      <c r="AD4112" s="81" t="e">
        <f>IF(X4112=2,HLOOKUP(R4112,データについて!$J$12:$M$18,7,FALSE),"*")</f>
        <v>#N/A</v>
      </c>
    </row>
    <row r="4113" spans="19:30">
      <c r="S4113" s="81" t="e">
        <f>HLOOKUP(L4113,データについて!$J$6:$M$18,13,FALSE)</f>
        <v>#N/A</v>
      </c>
      <c r="T4113" s="81" t="e">
        <f>HLOOKUP(M4113,データについて!$J$7:$M$18,12,FALSE)</f>
        <v>#N/A</v>
      </c>
      <c r="U4113" s="81" t="e">
        <f>HLOOKUP(N4113,データについて!$J$8:$M$18,11,FALSE)</f>
        <v>#N/A</v>
      </c>
      <c r="V4113" s="81" t="e">
        <f>HLOOKUP(O4113,データについて!$J$9:$M$18,10,FALSE)</f>
        <v>#N/A</v>
      </c>
      <c r="W4113" s="81" t="e">
        <f>HLOOKUP(P4113,データについて!$J$10:$M$18,9,FALSE)</f>
        <v>#N/A</v>
      </c>
      <c r="X4113" s="81" t="e">
        <f>HLOOKUP(Q4113,データについて!$J$11:$M$18,8,FALSE)</f>
        <v>#N/A</v>
      </c>
      <c r="Y4113" s="81" t="e">
        <f>HLOOKUP(R4113,データについて!$J$12:$M$18,7,FALSE)</f>
        <v>#N/A</v>
      </c>
      <c r="Z4113" s="81" t="e">
        <f>HLOOKUP(I4113,データについて!$J$3:$M$18,16,FALSE)</f>
        <v>#N/A</v>
      </c>
      <c r="AA4113" s="81" t="str">
        <f>IFERROR(HLOOKUP(J4113,データについて!$J$4:$AH$19,16,FALSE),"")</f>
        <v/>
      </c>
      <c r="AB4113" s="81" t="str">
        <f>IFERROR(HLOOKUP(K4113,データについて!$J$5:$AH$20,14,FALSE),"")</f>
        <v/>
      </c>
      <c r="AC4113" s="81" t="e">
        <f>IF(X4113=1,HLOOKUP(R4113,データについて!$J$12:$M$18,7,FALSE),"*")</f>
        <v>#N/A</v>
      </c>
      <c r="AD4113" s="81" t="e">
        <f>IF(X4113=2,HLOOKUP(R4113,データについて!$J$12:$M$18,7,FALSE),"*")</f>
        <v>#N/A</v>
      </c>
    </row>
    <row r="4114" spans="19:30">
      <c r="S4114" s="81" t="e">
        <f>HLOOKUP(L4114,データについて!$J$6:$M$18,13,FALSE)</f>
        <v>#N/A</v>
      </c>
      <c r="T4114" s="81" t="e">
        <f>HLOOKUP(M4114,データについて!$J$7:$M$18,12,FALSE)</f>
        <v>#N/A</v>
      </c>
      <c r="U4114" s="81" t="e">
        <f>HLOOKUP(N4114,データについて!$J$8:$M$18,11,FALSE)</f>
        <v>#N/A</v>
      </c>
      <c r="V4114" s="81" t="e">
        <f>HLOOKUP(O4114,データについて!$J$9:$M$18,10,FALSE)</f>
        <v>#N/A</v>
      </c>
      <c r="W4114" s="81" t="e">
        <f>HLOOKUP(P4114,データについて!$J$10:$M$18,9,FALSE)</f>
        <v>#N/A</v>
      </c>
      <c r="X4114" s="81" t="e">
        <f>HLOOKUP(Q4114,データについて!$J$11:$M$18,8,FALSE)</f>
        <v>#N/A</v>
      </c>
      <c r="Y4114" s="81" t="e">
        <f>HLOOKUP(R4114,データについて!$J$12:$M$18,7,FALSE)</f>
        <v>#N/A</v>
      </c>
      <c r="Z4114" s="81" t="e">
        <f>HLOOKUP(I4114,データについて!$J$3:$M$18,16,FALSE)</f>
        <v>#N/A</v>
      </c>
      <c r="AA4114" s="81" t="str">
        <f>IFERROR(HLOOKUP(J4114,データについて!$J$4:$AH$19,16,FALSE),"")</f>
        <v/>
      </c>
      <c r="AB4114" s="81" t="str">
        <f>IFERROR(HLOOKUP(K4114,データについて!$J$5:$AH$20,14,FALSE),"")</f>
        <v/>
      </c>
      <c r="AC4114" s="81" t="e">
        <f>IF(X4114=1,HLOOKUP(R4114,データについて!$J$12:$M$18,7,FALSE),"*")</f>
        <v>#N/A</v>
      </c>
      <c r="AD4114" s="81" t="e">
        <f>IF(X4114=2,HLOOKUP(R4114,データについて!$J$12:$M$18,7,FALSE),"*")</f>
        <v>#N/A</v>
      </c>
    </row>
    <row r="4115" spans="19:30">
      <c r="S4115" s="81" t="e">
        <f>HLOOKUP(L4115,データについて!$J$6:$M$18,13,FALSE)</f>
        <v>#N/A</v>
      </c>
      <c r="T4115" s="81" t="e">
        <f>HLOOKUP(M4115,データについて!$J$7:$M$18,12,FALSE)</f>
        <v>#N/A</v>
      </c>
      <c r="U4115" s="81" t="e">
        <f>HLOOKUP(N4115,データについて!$J$8:$M$18,11,FALSE)</f>
        <v>#N/A</v>
      </c>
      <c r="V4115" s="81" t="e">
        <f>HLOOKUP(O4115,データについて!$J$9:$M$18,10,FALSE)</f>
        <v>#N/A</v>
      </c>
      <c r="W4115" s="81" t="e">
        <f>HLOOKUP(P4115,データについて!$J$10:$M$18,9,FALSE)</f>
        <v>#N/A</v>
      </c>
      <c r="X4115" s="81" t="e">
        <f>HLOOKUP(Q4115,データについて!$J$11:$M$18,8,FALSE)</f>
        <v>#N/A</v>
      </c>
      <c r="Y4115" s="81" t="e">
        <f>HLOOKUP(R4115,データについて!$J$12:$M$18,7,FALSE)</f>
        <v>#N/A</v>
      </c>
      <c r="Z4115" s="81" t="e">
        <f>HLOOKUP(I4115,データについて!$J$3:$M$18,16,FALSE)</f>
        <v>#N/A</v>
      </c>
      <c r="AA4115" s="81" t="str">
        <f>IFERROR(HLOOKUP(J4115,データについて!$J$4:$AH$19,16,FALSE),"")</f>
        <v/>
      </c>
      <c r="AB4115" s="81" t="str">
        <f>IFERROR(HLOOKUP(K4115,データについて!$J$5:$AH$20,14,FALSE),"")</f>
        <v/>
      </c>
      <c r="AC4115" s="81" t="e">
        <f>IF(X4115=1,HLOOKUP(R4115,データについて!$J$12:$M$18,7,FALSE),"*")</f>
        <v>#N/A</v>
      </c>
      <c r="AD4115" s="81" t="e">
        <f>IF(X4115=2,HLOOKUP(R4115,データについて!$J$12:$M$18,7,FALSE),"*")</f>
        <v>#N/A</v>
      </c>
    </row>
    <row r="4116" spans="19:30">
      <c r="S4116" s="81" t="e">
        <f>HLOOKUP(L4116,データについて!$J$6:$M$18,13,FALSE)</f>
        <v>#N/A</v>
      </c>
      <c r="T4116" s="81" t="e">
        <f>HLOOKUP(M4116,データについて!$J$7:$M$18,12,FALSE)</f>
        <v>#N/A</v>
      </c>
      <c r="U4116" s="81" t="e">
        <f>HLOOKUP(N4116,データについて!$J$8:$M$18,11,FALSE)</f>
        <v>#N/A</v>
      </c>
      <c r="V4116" s="81" t="e">
        <f>HLOOKUP(O4116,データについて!$J$9:$M$18,10,FALSE)</f>
        <v>#N/A</v>
      </c>
      <c r="W4116" s="81" t="e">
        <f>HLOOKUP(P4116,データについて!$J$10:$M$18,9,FALSE)</f>
        <v>#N/A</v>
      </c>
      <c r="X4116" s="81" t="e">
        <f>HLOOKUP(Q4116,データについて!$J$11:$M$18,8,FALSE)</f>
        <v>#N/A</v>
      </c>
      <c r="Y4116" s="81" t="e">
        <f>HLOOKUP(R4116,データについて!$J$12:$M$18,7,FALSE)</f>
        <v>#N/A</v>
      </c>
      <c r="Z4116" s="81" t="e">
        <f>HLOOKUP(I4116,データについて!$J$3:$M$18,16,FALSE)</f>
        <v>#N/A</v>
      </c>
      <c r="AA4116" s="81" t="str">
        <f>IFERROR(HLOOKUP(J4116,データについて!$J$4:$AH$19,16,FALSE),"")</f>
        <v/>
      </c>
      <c r="AB4116" s="81" t="str">
        <f>IFERROR(HLOOKUP(K4116,データについて!$J$5:$AH$20,14,FALSE),"")</f>
        <v/>
      </c>
      <c r="AC4116" s="81" t="e">
        <f>IF(X4116=1,HLOOKUP(R4116,データについて!$J$12:$M$18,7,FALSE),"*")</f>
        <v>#N/A</v>
      </c>
      <c r="AD4116" s="81" t="e">
        <f>IF(X4116=2,HLOOKUP(R4116,データについて!$J$12:$M$18,7,FALSE),"*")</f>
        <v>#N/A</v>
      </c>
    </row>
    <row r="4117" spans="19:30">
      <c r="S4117" s="81" t="e">
        <f>HLOOKUP(L4117,データについて!$J$6:$M$18,13,FALSE)</f>
        <v>#N/A</v>
      </c>
      <c r="T4117" s="81" t="e">
        <f>HLOOKUP(M4117,データについて!$J$7:$M$18,12,FALSE)</f>
        <v>#N/A</v>
      </c>
      <c r="U4117" s="81" t="e">
        <f>HLOOKUP(N4117,データについて!$J$8:$M$18,11,FALSE)</f>
        <v>#N/A</v>
      </c>
      <c r="V4117" s="81" t="e">
        <f>HLOOKUP(O4117,データについて!$J$9:$M$18,10,FALSE)</f>
        <v>#N/A</v>
      </c>
      <c r="W4117" s="81" t="e">
        <f>HLOOKUP(P4117,データについて!$J$10:$M$18,9,FALSE)</f>
        <v>#N/A</v>
      </c>
      <c r="X4117" s="81" t="e">
        <f>HLOOKUP(Q4117,データについて!$J$11:$M$18,8,FALSE)</f>
        <v>#N/A</v>
      </c>
      <c r="Y4117" s="81" t="e">
        <f>HLOOKUP(R4117,データについて!$J$12:$M$18,7,FALSE)</f>
        <v>#N/A</v>
      </c>
      <c r="Z4117" s="81" t="e">
        <f>HLOOKUP(I4117,データについて!$J$3:$M$18,16,FALSE)</f>
        <v>#N/A</v>
      </c>
      <c r="AA4117" s="81" t="str">
        <f>IFERROR(HLOOKUP(J4117,データについて!$J$4:$AH$19,16,FALSE),"")</f>
        <v/>
      </c>
      <c r="AB4117" s="81" t="str">
        <f>IFERROR(HLOOKUP(K4117,データについて!$J$5:$AH$20,14,FALSE),"")</f>
        <v/>
      </c>
      <c r="AC4117" s="81" t="e">
        <f>IF(X4117=1,HLOOKUP(R4117,データについて!$J$12:$M$18,7,FALSE),"*")</f>
        <v>#N/A</v>
      </c>
      <c r="AD4117" s="81" t="e">
        <f>IF(X4117=2,HLOOKUP(R4117,データについて!$J$12:$M$18,7,FALSE),"*")</f>
        <v>#N/A</v>
      </c>
    </row>
    <row r="4118" spans="19:30">
      <c r="S4118" s="81" t="e">
        <f>HLOOKUP(L4118,データについて!$J$6:$M$18,13,FALSE)</f>
        <v>#N/A</v>
      </c>
      <c r="T4118" s="81" t="e">
        <f>HLOOKUP(M4118,データについて!$J$7:$M$18,12,FALSE)</f>
        <v>#N/A</v>
      </c>
      <c r="U4118" s="81" t="e">
        <f>HLOOKUP(N4118,データについて!$J$8:$M$18,11,FALSE)</f>
        <v>#N/A</v>
      </c>
      <c r="V4118" s="81" t="e">
        <f>HLOOKUP(O4118,データについて!$J$9:$M$18,10,FALSE)</f>
        <v>#N/A</v>
      </c>
      <c r="W4118" s="81" t="e">
        <f>HLOOKUP(P4118,データについて!$J$10:$M$18,9,FALSE)</f>
        <v>#N/A</v>
      </c>
      <c r="X4118" s="81" t="e">
        <f>HLOOKUP(Q4118,データについて!$J$11:$M$18,8,FALSE)</f>
        <v>#N/A</v>
      </c>
      <c r="Y4118" s="81" t="e">
        <f>HLOOKUP(R4118,データについて!$J$12:$M$18,7,FALSE)</f>
        <v>#N/A</v>
      </c>
      <c r="Z4118" s="81" t="e">
        <f>HLOOKUP(I4118,データについて!$J$3:$M$18,16,FALSE)</f>
        <v>#N/A</v>
      </c>
      <c r="AA4118" s="81" t="str">
        <f>IFERROR(HLOOKUP(J4118,データについて!$J$4:$AH$19,16,FALSE),"")</f>
        <v/>
      </c>
      <c r="AB4118" s="81" t="str">
        <f>IFERROR(HLOOKUP(K4118,データについて!$J$5:$AH$20,14,FALSE),"")</f>
        <v/>
      </c>
      <c r="AC4118" s="81" t="e">
        <f>IF(X4118=1,HLOOKUP(R4118,データについて!$J$12:$M$18,7,FALSE),"*")</f>
        <v>#N/A</v>
      </c>
      <c r="AD4118" s="81" t="e">
        <f>IF(X4118=2,HLOOKUP(R4118,データについて!$J$12:$M$18,7,FALSE),"*")</f>
        <v>#N/A</v>
      </c>
    </row>
    <row r="4119" spans="19:30">
      <c r="S4119" s="81" t="e">
        <f>HLOOKUP(L4119,データについて!$J$6:$M$18,13,FALSE)</f>
        <v>#N/A</v>
      </c>
      <c r="T4119" s="81" t="e">
        <f>HLOOKUP(M4119,データについて!$J$7:$M$18,12,FALSE)</f>
        <v>#N/A</v>
      </c>
      <c r="U4119" s="81" t="e">
        <f>HLOOKUP(N4119,データについて!$J$8:$M$18,11,FALSE)</f>
        <v>#N/A</v>
      </c>
      <c r="V4119" s="81" t="e">
        <f>HLOOKUP(O4119,データについて!$J$9:$M$18,10,FALSE)</f>
        <v>#N/A</v>
      </c>
      <c r="W4119" s="81" t="e">
        <f>HLOOKUP(P4119,データについて!$J$10:$M$18,9,FALSE)</f>
        <v>#N/A</v>
      </c>
      <c r="X4119" s="81" t="e">
        <f>HLOOKUP(Q4119,データについて!$J$11:$M$18,8,FALSE)</f>
        <v>#N/A</v>
      </c>
      <c r="Y4119" s="81" t="e">
        <f>HLOOKUP(R4119,データについて!$J$12:$M$18,7,FALSE)</f>
        <v>#N/A</v>
      </c>
      <c r="Z4119" s="81" t="e">
        <f>HLOOKUP(I4119,データについて!$J$3:$M$18,16,FALSE)</f>
        <v>#N/A</v>
      </c>
      <c r="AA4119" s="81" t="str">
        <f>IFERROR(HLOOKUP(J4119,データについて!$J$4:$AH$19,16,FALSE),"")</f>
        <v/>
      </c>
      <c r="AB4119" s="81" t="str">
        <f>IFERROR(HLOOKUP(K4119,データについて!$J$5:$AH$20,14,FALSE),"")</f>
        <v/>
      </c>
      <c r="AC4119" s="81" t="e">
        <f>IF(X4119=1,HLOOKUP(R4119,データについて!$J$12:$M$18,7,FALSE),"*")</f>
        <v>#N/A</v>
      </c>
      <c r="AD4119" s="81" t="e">
        <f>IF(X4119=2,HLOOKUP(R4119,データについて!$J$12:$M$18,7,FALSE),"*")</f>
        <v>#N/A</v>
      </c>
    </row>
    <row r="4120" spans="19:30">
      <c r="S4120" s="81" t="e">
        <f>HLOOKUP(L4120,データについて!$J$6:$M$18,13,FALSE)</f>
        <v>#N/A</v>
      </c>
      <c r="T4120" s="81" t="e">
        <f>HLOOKUP(M4120,データについて!$J$7:$M$18,12,FALSE)</f>
        <v>#N/A</v>
      </c>
      <c r="U4120" s="81" t="e">
        <f>HLOOKUP(N4120,データについて!$J$8:$M$18,11,FALSE)</f>
        <v>#N/A</v>
      </c>
      <c r="V4120" s="81" t="e">
        <f>HLOOKUP(O4120,データについて!$J$9:$M$18,10,FALSE)</f>
        <v>#N/A</v>
      </c>
      <c r="W4120" s="81" t="e">
        <f>HLOOKUP(P4120,データについて!$J$10:$M$18,9,FALSE)</f>
        <v>#N/A</v>
      </c>
      <c r="X4120" s="81" t="e">
        <f>HLOOKUP(Q4120,データについて!$J$11:$M$18,8,FALSE)</f>
        <v>#N/A</v>
      </c>
      <c r="Y4120" s="81" t="e">
        <f>HLOOKUP(R4120,データについて!$J$12:$M$18,7,FALSE)</f>
        <v>#N/A</v>
      </c>
      <c r="Z4120" s="81" t="e">
        <f>HLOOKUP(I4120,データについて!$J$3:$M$18,16,FALSE)</f>
        <v>#N/A</v>
      </c>
      <c r="AA4120" s="81" t="str">
        <f>IFERROR(HLOOKUP(J4120,データについて!$J$4:$AH$19,16,FALSE),"")</f>
        <v/>
      </c>
      <c r="AB4120" s="81" t="str">
        <f>IFERROR(HLOOKUP(K4120,データについて!$J$5:$AH$20,14,FALSE),"")</f>
        <v/>
      </c>
      <c r="AC4120" s="81" t="e">
        <f>IF(X4120=1,HLOOKUP(R4120,データについて!$J$12:$M$18,7,FALSE),"*")</f>
        <v>#N/A</v>
      </c>
      <c r="AD4120" s="81" t="e">
        <f>IF(X4120=2,HLOOKUP(R4120,データについて!$J$12:$M$18,7,FALSE),"*")</f>
        <v>#N/A</v>
      </c>
    </row>
    <row r="4121" spans="19:30">
      <c r="S4121" s="81" t="e">
        <f>HLOOKUP(L4121,データについて!$J$6:$M$18,13,FALSE)</f>
        <v>#N/A</v>
      </c>
      <c r="T4121" s="81" t="e">
        <f>HLOOKUP(M4121,データについて!$J$7:$M$18,12,FALSE)</f>
        <v>#N/A</v>
      </c>
      <c r="U4121" s="81" t="e">
        <f>HLOOKUP(N4121,データについて!$J$8:$M$18,11,FALSE)</f>
        <v>#N/A</v>
      </c>
      <c r="V4121" s="81" t="e">
        <f>HLOOKUP(O4121,データについて!$J$9:$M$18,10,FALSE)</f>
        <v>#N/A</v>
      </c>
      <c r="W4121" s="81" t="e">
        <f>HLOOKUP(P4121,データについて!$J$10:$M$18,9,FALSE)</f>
        <v>#N/A</v>
      </c>
      <c r="X4121" s="81" t="e">
        <f>HLOOKUP(Q4121,データについて!$J$11:$M$18,8,FALSE)</f>
        <v>#N/A</v>
      </c>
      <c r="Y4121" s="81" t="e">
        <f>HLOOKUP(R4121,データについて!$J$12:$M$18,7,FALSE)</f>
        <v>#N/A</v>
      </c>
      <c r="Z4121" s="81" t="e">
        <f>HLOOKUP(I4121,データについて!$J$3:$M$18,16,FALSE)</f>
        <v>#N/A</v>
      </c>
      <c r="AA4121" s="81" t="str">
        <f>IFERROR(HLOOKUP(J4121,データについて!$J$4:$AH$19,16,FALSE),"")</f>
        <v/>
      </c>
      <c r="AB4121" s="81" t="str">
        <f>IFERROR(HLOOKUP(K4121,データについて!$J$5:$AH$20,14,FALSE),"")</f>
        <v/>
      </c>
      <c r="AC4121" s="81" t="e">
        <f>IF(X4121=1,HLOOKUP(R4121,データについて!$J$12:$M$18,7,FALSE),"*")</f>
        <v>#N/A</v>
      </c>
      <c r="AD4121" s="81" t="e">
        <f>IF(X4121=2,HLOOKUP(R4121,データについて!$J$12:$M$18,7,FALSE),"*")</f>
        <v>#N/A</v>
      </c>
    </row>
    <row r="4122" spans="19:30">
      <c r="S4122" s="81" t="e">
        <f>HLOOKUP(L4122,データについて!$J$6:$M$18,13,FALSE)</f>
        <v>#N/A</v>
      </c>
      <c r="T4122" s="81" t="e">
        <f>HLOOKUP(M4122,データについて!$J$7:$M$18,12,FALSE)</f>
        <v>#N/A</v>
      </c>
      <c r="U4122" s="81" t="e">
        <f>HLOOKUP(N4122,データについて!$J$8:$M$18,11,FALSE)</f>
        <v>#N/A</v>
      </c>
      <c r="V4122" s="81" t="e">
        <f>HLOOKUP(O4122,データについて!$J$9:$M$18,10,FALSE)</f>
        <v>#N/A</v>
      </c>
      <c r="W4122" s="81" t="e">
        <f>HLOOKUP(P4122,データについて!$J$10:$M$18,9,FALSE)</f>
        <v>#N/A</v>
      </c>
      <c r="X4122" s="81" t="e">
        <f>HLOOKUP(Q4122,データについて!$J$11:$M$18,8,FALSE)</f>
        <v>#N/A</v>
      </c>
      <c r="Y4122" s="81" t="e">
        <f>HLOOKUP(R4122,データについて!$J$12:$M$18,7,FALSE)</f>
        <v>#N/A</v>
      </c>
      <c r="Z4122" s="81" t="e">
        <f>HLOOKUP(I4122,データについて!$J$3:$M$18,16,FALSE)</f>
        <v>#N/A</v>
      </c>
      <c r="AA4122" s="81" t="str">
        <f>IFERROR(HLOOKUP(J4122,データについて!$J$4:$AH$19,16,FALSE),"")</f>
        <v/>
      </c>
      <c r="AB4122" s="81" t="str">
        <f>IFERROR(HLOOKUP(K4122,データについて!$J$5:$AH$20,14,FALSE),"")</f>
        <v/>
      </c>
      <c r="AC4122" s="81" t="e">
        <f>IF(X4122=1,HLOOKUP(R4122,データについて!$J$12:$M$18,7,FALSE),"*")</f>
        <v>#N/A</v>
      </c>
      <c r="AD4122" s="81" t="e">
        <f>IF(X4122=2,HLOOKUP(R4122,データについて!$J$12:$M$18,7,FALSE),"*")</f>
        <v>#N/A</v>
      </c>
    </row>
    <row r="4123" spans="19:30">
      <c r="S4123" s="81" t="e">
        <f>HLOOKUP(L4123,データについて!$J$6:$M$18,13,FALSE)</f>
        <v>#N/A</v>
      </c>
      <c r="T4123" s="81" t="e">
        <f>HLOOKUP(M4123,データについて!$J$7:$M$18,12,FALSE)</f>
        <v>#N/A</v>
      </c>
      <c r="U4123" s="81" t="e">
        <f>HLOOKUP(N4123,データについて!$J$8:$M$18,11,FALSE)</f>
        <v>#N/A</v>
      </c>
      <c r="V4123" s="81" t="e">
        <f>HLOOKUP(O4123,データについて!$J$9:$M$18,10,FALSE)</f>
        <v>#N/A</v>
      </c>
      <c r="W4123" s="81" t="e">
        <f>HLOOKUP(P4123,データについて!$J$10:$M$18,9,FALSE)</f>
        <v>#N/A</v>
      </c>
      <c r="X4123" s="81" t="e">
        <f>HLOOKUP(Q4123,データについて!$J$11:$M$18,8,FALSE)</f>
        <v>#N/A</v>
      </c>
      <c r="Y4123" s="81" t="e">
        <f>HLOOKUP(R4123,データについて!$J$12:$M$18,7,FALSE)</f>
        <v>#N/A</v>
      </c>
      <c r="Z4123" s="81" t="e">
        <f>HLOOKUP(I4123,データについて!$J$3:$M$18,16,FALSE)</f>
        <v>#N/A</v>
      </c>
      <c r="AA4123" s="81" t="str">
        <f>IFERROR(HLOOKUP(J4123,データについて!$J$4:$AH$19,16,FALSE),"")</f>
        <v/>
      </c>
      <c r="AB4123" s="81" t="str">
        <f>IFERROR(HLOOKUP(K4123,データについて!$J$5:$AH$20,14,FALSE),"")</f>
        <v/>
      </c>
      <c r="AC4123" s="81" t="e">
        <f>IF(X4123=1,HLOOKUP(R4123,データについて!$J$12:$M$18,7,FALSE),"*")</f>
        <v>#N/A</v>
      </c>
      <c r="AD4123" s="81" t="e">
        <f>IF(X4123=2,HLOOKUP(R4123,データについて!$J$12:$M$18,7,FALSE),"*")</f>
        <v>#N/A</v>
      </c>
    </row>
    <row r="4124" spans="19:30">
      <c r="S4124" s="81" t="e">
        <f>HLOOKUP(L4124,データについて!$J$6:$M$18,13,FALSE)</f>
        <v>#N/A</v>
      </c>
      <c r="T4124" s="81" t="e">
        <f>HLOOKUP(M4124,データについて!$J$7:$M$18,12,FALSE)</f>
        <v>#N/A</v>
      </c>
      <c r="U4124" s="81" t="e">
        <f>HLOOKUP(N4124,データについて!$J$8:$M$18,11,FALSE)</f>
        <v>#N/A</v>
      </c>
      <c r="V4124" s="81" t="e">
        <f>HLOOKUP(O4124,データについて!$J$9:$M$18,10,FALSE)</f>
        <v>#N/A</v>
      </c>
      <c r="W4124" s="81" t="e">
        <f>HLOOKUP(P4124,データについて!$J$10:$M$18,9,FALSE)</f>
        <v>#N/A</v>
      </c>
      <c r="X4124" s="81" t="e">
        <f>HLOOKUP(Q4124,データについて!$J$11:$M$18,8,FALSE)</f>
        <v>#N/A</v>
      </c>
      <c r="Y4124" s="81" t="e">
        <f>HLOOKUP(R4124,データについて!$J$12:$M$18,7,FALSE)</f>
        <v>#N/A</v>
      </c>
      <c r="Z4124" s="81" t="e">
        <f>HLOOKUP(I4124,データについて!$J$3:$M$18,16,FALSE)</f>
        <v>#N/A</v>
      </c>
      <c r="AA4124" s="81" t="str">
        <f>IFERROR(HLOOKUP(J4124,データについて!$J$4:$AH$19,16,FALSE),"")</f>
        <v/>
      </c>
      <c r="AB4124" s="81" t="str">
        <f>IFERROR(HLOOKUP(K4124,データについて!$J$5:$AH$20,14,FALSE),"")</f>
        <v/>
      </c>
      <c r="AC4124" s="81" t="e">
        <f>IF(X4124=1,HLOOKUP(R4124,データについて!$J$12:$M$18,7,FALSE),"*")</f>
        <v>#N/A</v>
      </c>
      <c r="AD4124" s="81" t="e">
        <f>IF(X4124=2,HLOOKUP(R4124,データについて!$J$12:$M$18,7,FALSE),"*")</f>
        <v>#N/A</v>
      </c>
    </row>
    <row r="4125" spans="19:30">
      <c r="S4125" s="81" t="e">
        <f>HLOOKUP(L4125,データについて!$J$6:$M$18,13,FALSE)</f>
        <v>#N/A</v>
      </c>
      <c r="T4125" s="81" t="e">
        <f>HLOOKUP(M4125,データについて!$J$7:$M$18,12,FALSE)</f>
        <v>#N/A</v>
      </c>
      <c r="U4125" s="81" t="e">
        <f>HLOOKUP(N4125,データについて!$J$8:$M$18,11,FALSE)</f>
        <v>#N/A</v>
      </c>
      <c r="V4125" s="81" t="e">
        <f>HLOOKUP(O4125,データについて!$J$9:$M$18,10,FALSE)</f>
        <v>#N/A</v>
      </c>
      <c r="W4125" s="81" t="e">
        <f>HLOOKUP(P4125,データについて!$J$10:$M$18,9,FALSE)</f>
        <v>#N/A</v>
      </c>
      <c r="X4125" s="81" t="e">
        <f>HLOOKUP(Q4125,データについて!$J$11:$M$18,8,FALSE)</f>
        <v>#N/A</v>
      </c>
      <c r="Y4125" s="81" t="e">
        <f>HLOOKUP(R4125,データについて!$J$12:$M$18,7,FALSE)</f>
        <v>#N/A</v>
      </c>
      <c r="Z4125" s="81" t="e">
        <f>HLOOKUP(I4125,データについて!$J$3:$M$18,16,FALSE)</f>
        <v>#N/A</v>
      </c>
      <c r="AA4125" s="81" t="str">
        <f>IFERROR(HLOOKUP(J4125,データについて!$J$4:$AH$19,16,FALSE),"")</f>
        <v/>
      </c>
      <c r="AB4125" s="81" t="str">
        <f>IFERROR(HLOOKUP(K4125,データについて!$J$5:$AH$20,14,FALSE),"")</f>
        <v/>
      </c>
      <c r="AC4125" s="81" t="e">
        <f>IF(X4125=1,HLOOKUP(R4125,データについて!$J$12:$M$18,7,FALSE),"*")</f>
        <v>#N/A</v>
      </c>
      <c r="AD4125" s="81" t="e">
        <f>IF(X4125=2,HLOOKUP(R4125,データについて!$J$12:$M$18,7,FALSE),"*")</f>
        <v>#N/A</v>
      </c>
    </row>
    <row r="4126" spans="19:30">
      <c r="S4126" s="81" t="e">
        <f>HLOOKUP(L4126,データについて!$J$6:$M$18,13,FALSE)</f>
        <v>#N/A</v>
      </c>
      <c r="T4126" s="81" t="e">
        <f>HLOOKUP(M4126,データについて!$J$7:$M$18,12,FALSE)</f>
        <v>#N/A</v>
      </c>
      <c r="U4126" s="81" t="e">
        <f>HLOOKUP(N4126,データについて!$J$8:$M$18,11,FALSE)</f>
        <v>#N/A</v>
      </c>
      <c r="V4126" s="81" t="e">
        <f>HLOOKUP(O4126,データについて!$J$9:$M$18,10,FALSE)</f>
        <v>#N/A</v>
      </c>
      <c r="W4126" s="81" t="e">
        <f>HLOOKUP(P4126,データについて!$J$10:$M$18,9,FALSE)</f>
        <v>#N/A</v>
      </c>
      <c r="X4126" s="81" t="e">
        <f>HLOOKUP(Q4126,データについて!$J$11:$M$18,8,FALSE)</f>
        <v>#N/A</v>
      </c>
      <c r="Y4126" s="81" t="e">
        <f>HLOOKUP(R4126,データについて!$J$12:$M$18,7,FALSE)</f>
        <v>#N/A</v>
      </c>
      <c r="Z4126" s="81" t="e">
        <f>HLOOKUP(I4126,データについて!$J$3:$M$18,16,FALSE)</f>
        <v>#N/A</v>
      </c>
      <c r="AA4126" s="81" t="str">
        <f>IFERROR(HLOOKUP(J4126,データについて!$J$4:$AH$19,16,FALSE),"")</f>
        <v/>
      </c>
      <c r="AB4126" s="81" t="str">
        <f>IFERROR(HLOOKUP(K4126,データについて!$J$5:$AH$20,14,FALSE),"")</f>
        <v/>
      </c>
      <c r="AC4126" s="81" t="e">
        <f>IF(X4126=1,HLOOKUP(R4126,データについて!$J$12:$M$18,7,FALSE),"*")</f>
        <v>#N/A</v>
      </c>
      <c r="AD4126" s="81" t="e">
        <f>IF(X4126=2,HLOOKUP(R4126,データについて!$J$12:$M$18,7,FALSE),"*")</f>
        <v>#N/A</v>
      </c>
    </row>
    <row r="4127" spans="19:30">
      <c r="S4127" s="81" t="e">
        <f>HLOOKUP(L4127,データについて!$J$6:$M$18,13,FALSE)</f>
        <v>#N/A</v>
      </c>
      <c r="T4127" s="81" t="e">
        <f>HLOOKUP(M4127,データについて!$J$7:$M$18,12,FALSE)</f>
        <v>#N/A</v>
      </c>
      <c r="U4127" s="81" t="e">
        <f>HLOOKUP(N4127,データについて!$J$8:$M$18,11,FALSE)</f>
        <v>#N/A</v>
      </c>
      <c r="V4127" s="81" t="e">
        <f>HLOOKUP(O4127,データについて!$J$9:$M$18,10,FALSE)</f>
        <v>#N/A</v>
      </c>
      <c r="W4127" s="81" t="e">
        <f>HLOOKUP(P4127,データについて!$J$10:$M$18,9,FALSE)</f>
        <v>#N/A</v>
      </c>
      <c r="X4127" s="81" t="e">
        <f>HLOOKUP(Q4127,データについて!$J$11:$M$18,8,FALSE)</f>
        <v>#N/A</v>
      </c>
      <c r="Y4127" s="81" t="e">
        <f>HLOOKUP(R4127,データについて!$J$12:$M$18,7,FALSE)</f>
        <v>#N/A</v>
      </c>
      <c r="Z4127" s="81" t="e">
        <f>HLOOKUP(I4127,データについて!$J$3:$M$18,16,FALSE)</f>
        <v>#N/A</v>
      </c>
      <c r="AA4127" s="81" t="str">
        <f>IFERROR(HLOOKUP(J4127,データについて!$J$4:$AH$19,16,FALSE),"")</f>
        <v/>
      </c>
      <c r="AB4127" s="81" t="str">
        <f>IFERROR(HLOOKUP(K4127,データについて!$J$5:$AH$20,14,FALSE),"")</f>
        <v/>
      </c>
      <c r="AC4127" s="81" t="e">
        <f>IF(X4127=1,HLOOKUP(R4127,データについて!$J$12:$M$18,7,FALSE),"*")</f>
        <v>#N/A</v>
      </c>
      <c r="AD4127" s="81" t="e">
        <f>IF(X4127=2,HLOOKUP(R4127,データについて!$J$12:$M$18,7,FALSE),"*")</f>
        <v>#N/A</v>
      </c>
    </row>
    <row r="4128" spans="19:30">
      <c r="S4128" s="81" t="e">
        <f>HLOOKUP(L4128,データについて!$J$6:$M$18,13,FALSE)</f>
        <v>#N/A</v>
      </c>
      <c r="T4128" s="81" t="e">
        <f>HLOOKUP(M4128,データについて!$J$7:$M$18,12,FALSE)</f>
        <v>#N/A</v>
      </c>
      <c r="U4128" s="81" t="e">
        <f>HLOOKUP(N4128,データについて!$J$8:$M$18,11,FALSE)</f>
        <v>#N/A</v>
      </c>
      <c r="V4128" s="81" t="e">
        <f>HLOOKUP(O4128,データについて!$J$9:$M$18,10,FALSE)</f>
        <v>#N/A</v>
      </c>
      <c r="W4128" s="81" t="e">
        <f>HLOOKUP(P4128,データについて!$J$10:$M$18,9,FALSE)</f>
        <v>#N/A</v>
      </c>
      <c r="X4128" s="81" t="e">
        <f>HLOOKUP(Q4128,データについて!$J$11:$M$18,8,FALSE)</f>
        <v>#N/A</v>
      </c>
      <c r="Y4128" s="81" t="e">
        <f>HLOOKUP(R4128,データについて!$J$12:$M$18,7,FALSE)</f>
        <v>#N/A</v>
      </c>
      <c r="Z4128" s="81" t="e">
        <f>HLOOKUP(I4128,データについて!$J$3:$M$18,16,FALSE)</f>
        <v>#N/A</v>
      </c>
      <c r="AA4128" s="81" t="str">
        <f>IFERROR(HLOOKUP(J4128,データについて!$J$4:$AH$19,16,FALSE),"")</f>
        <v/>
      </c>
      <c r="AB4128" s="81" t="str">
        <f>IFERROR(HLOOKUP(K4128,データについて!$J$5:$AH$20,14,FALSE),"")</f>
        <v/>
      </c>
      <c r="AC4128" s="81" t="e">
        <f>IF(X4128=1,HLOOKUP(R4128,データについて!$J$12:$M$18,7,FALSE),"*")</f>
        <v>#N/A</v>
      </c>
      <c r="AD4128" s="81" t="e">
        <f>IF(X4128=2,HLOOKUP(R4128,データについて!$J$12:$M$18,7,FALSE),"*")</f>
        <v>#N/A</v>
      </c>
    </row>
    <row r="4129" spans="19:30">
      <c r="S4129" s="81" t="e">
        <f>HLOOKUP(L4129,データについて!$J$6:$M$18,13,FALSE)</f>
        <v>#N/A</v>
      </c>
      <c r="T4129" s="81" t="e">
        <f>HLOOKUP(M4129,データについて!$J$7:$M$18,12,FALSE)</f>
        <v>#N/A</v>
      </c>
      <c r="U4129" s="81" t="e">
        <f>HLOOKUP(N4129,データについて!$J$8:$M$18,11,FALSE)</f>
        <v>#N/A</v>
      </c>
      <c r="V4129" s="81" t="e">
        <f>HLOOKUP(O4129,データについて!$J$9:$M$18,10,FALSE)</f>
        <v>#N/A</v>
      </c>
      <c r="W4129" s="81" t="e">
        <f>HLOOKUP(P4129,データについて!$J$10:$M$18,9,FALSE)</f>
        <v>#N/A</v>
      </c>
      <c r="X4129" s="81" t="e">
        <f>HLOOKUP(Q4129,データについて!$J$11:$M$18,8,FALSE)</f>
        <v>#N/A</v>
      </c>
      <c r="Y4129" s="81" t="e">
        <f>HLOOKUP(R4129,データについて!$J$12:$M$18,7,FALSE)</f>
        <v>#N/A</v>
      </c>
      <c r="Z4129" s="81" t="e">
        <f>HLOOKUP(I4129,データについて!$J$3:$M$18,16,FALSE)</f>
        <v>#N/A</v>
      </c>
      <c r="AA4129" s="81" t="str">
        <f>IFERROR(HLOOKUP(J4129,データについて!$J$4:$AH$19,16,FALSE),"")</f>
        <v/>
      </c>
      <c r="AB4129" s="81" t="str">
        <f>IFERROR(HLOOKUP(K4129,データについて!$J$5:$AH$20,14,FALSE),"")</f>
        <v/>
      </c>
      <c r="AC4129" s="81" t="e">
        <f>IF(X4129=1,HLOOKUP(R4129,データについて!$J$12:$M$18,7,FALSE),"*")</f>
        <v>#N/A</v>
      </c>
      <c r="AD4129" s="81" t="e">
        <f>IF(X4129=2,HLOOKUP(R4129,データについて!$J$12:$M$18,7,FALSE),"*")</f>
        <v>#N/A</v>
      </c>
    </row>
    <row r="4130" spans="19:30">
      <c r="S4130" s="81" t="e">
        <f>HLOOKUP(L4130,データについて!$J$6:$M$18,13,FALSE)</f>
        <v>#N/A</v>
      </c>
      <c r="T4130" s="81" t="e">
        <f>HLOOKUP(M4130,データについて!$J$7:$M$18,12,FALSE)</f>
        <v>#N/A</v>
      </c>
      <c r="U4130" s="81" t="e">
        <f>HLOOKUP(N4130,データについて!$J$8:$M$18,11,FALSE)</f>
        <v>#N/A</v>
      </c>
      <c r="V4130" s="81" t="e">
        <f>HLOOKUP(O4130,データについて!$J$9:$M$18,10,FALSE)</f>
        <v>#N/A</v>
      </c>
      <c r="W4130" s="81" t="e">
        <f>HLOOKUP(P4130,データについて!$J$10:$M$18,9,FALSE)</f>
        <v>#N/A</v>
      </c>
      <c r="X4130" s="81" t="e">
        <f>HLOOKUP(Q4130,データについて!$J$11:$M$18,8,FALSE)</f>
        <v>#N/A</v>
      </c>
      <c r="Y4130" s="81" t="e">
        <f>HLOOKUP(R4130,データについて!$J$12:$M$18,7,FALSE)</f>
        <v>#N/A</v>
      </c>
      <c r="Z4130" s="81" t="e">
        <f>HLOOKUP(I4130,データについて!$J$3:$M$18,16,FALSE)</f>
        <v>#N/A</v>
      </c>
      <c r="AA4130" s="81" t="str">
        <f>IFERROR(HLOOKUP(J4130,データについて!$J$4:$AH$19,16,FALSE),"")</f>
        <v/>
      </c>
      <c r="AB4130" s="81" t="str">
        <f>IFERROR(HLOOKUP(K4130,データについて!$J$5:$AH$20,14,FALSE),"")</f>
        <v/>
      </c>
      <c r="AC4130" s="81" t="e">
        <f>IF(X4130=1,HLOOKUP(R4130,データについて!$J$12:$M$18,7,FALSE),"*")</f>
        <v>#N/A</v>
      </c>
      <c r="AD4130" s="81" t="e">
        <f>IF(X4130=2,HLOOKUP(R4130,データについて!$J$12:$M$18,7,FALSE),"*")</f>
        <v>#N/A</v>
      </c>
    </row>
    <row r="4131" spans="19:30">
      <c r="S4131" s="81" t="e">
        <f>HLOOKUP(L4131,データについて!$J$6:$M$18,13,FALSE)</f>
        <v>#N/A</v>
      </c>
      <c r="T4131" s="81" t="e">
        <f>HLOOKUP(M4131,データについて!$J$7:$M$18,12,FALSE)</f>
        <v>#N/A</v>
      </c>
      <c r="U4131" s="81" t="e">
        <f>HLOOKUP(N4131,データについて!$J$8:$M$18,11,FALSE)</f>
        <v>#N/A</v>
      </c>
      <c r="V4131" s="81" t="e">
        <f>HLOOKUP(O4131,データについて!$J$9:$M$18,10,FALSE)</f>
        <v>#N/A</v>
      </c>
      <c r="W4131" s="81" t="e">
        <f>HLOOKUP(P4131,データについて!$J$10:$M$18,9,FALSE)</f>
        <v>#N/A</v>
      </c>
      <c r="X4131" s="81" t="e">
        <f>HLOOKUP(Q4131,データについて!$J$11:$M$18,8,FALSE)</f>
        <v>#N/A</v>
      </c>
      <c r="Y4131" s="81" t="e">
        <f>HLOOKUP(R4131,データについて!$J$12:$M$18,7,FALSE)</f>
        <v>#N/A</v>
      </c>
      <c r="Z4131" s="81" t="e">
        <f>HLOOKUP(I4131,データについて!$J$3:$M$18,16,FALSE)</f>
        <v>#N/A</v>
      </c>
      <c r="AA4131" s="81" t="str">
        <f>IFERROR(HLOOKUP(J4131,データについて!$J$4:$AH$19,16,FALSE),"")</f>
        <v/>
      </c>
      <c r="AB4131" s="81" t="str">
        <f>IFERROR(HLOOKUP(K4131,データについて!$J$5:$AH$20,14,FALSE),"")</f>
        <v/>
      </c>
      <c r="AC4131" s="81" t="e">
        <f>IF(X4131=1,HLOOKUP(R4131,データについて!$J$12:$M$18,7,FALSE),"*")</f>
        <v>#N/A</v>
      </c>
      <c r="AD4131" s="81" t="e">
        <f>IF(X4131=2,HLOOKUP(R4131,データについて!$J$12:$M$18,7,FALSE),"*")</f>
        <v>#N/A</v>
      </c>
    </row>
    <row r="4132" spans="19:30">
      <c r="S4132" s="81" t="e">
        <f>HLOOKUP(L4132,データについて!$J$6:$M$18,13,FALSE)</f>
        <v>#N/A</v>
      </c>
      <c r="T4132" s="81" t="e">
        <f>HLOOKUP(M4132,データについて!$J$7:$M$18,12,FALSE)</f>
        <v>#N/A</v>
      </c>
      <c r="U4132" s="81" t="e">
        <f>HLOOKUP(N4132,データについて!$J$8:$M$18,11,FALSE)</f>
        <v>#N/A</v>
      </c>
      <c r="V4132" s="81" t="e">
        <f>HLOOKUP(O4132,データについて!$J$9:$M$18,10,FALSE)</f>
        <v>#N/A</v>
      </c>
      <c r="W4132" s="81" t="e">
        <f>HLOOKUP(P4132,データについて!$J$10:$M$18,9,FALSE)</f>
        <v>#N/A</v>
      </c>
      <c r="X4132" s="81" t="e">
        <f>HLOOKUP(Q4132,データについて!$J$11:$M$18,8,FALSE)</f>
        <v>#N/A</v>
      </c>
      <c r="Y4132" s="81" t="e">
        <f>HLOOKUP(R4132,データについて!$J$12:$M$18,7,FALSE)</f>
        <v>#N/A</v>
      </c>
      <c r="Z4132" s="81" t="e">
        <f>HLOOKUP(I4132,データについて!$J$3:$M$18,16,FALSE)</f>
        <v>#N/A</v>
      </c>
      <c r="AA4132" s="81" t="str">
        <f>IFERROR(HLOOKUP(J4132,データについて!$J$4:$AH$19,16,FALSE),"")</f>
        <v/>
      </c>
      <c r="AB4132" s="81" t="str">
        <f>IFERROR(HLOOKUP(K4132,データについて!$J$5:$AH$20,14,FALSE),"")</f>
        <v/>
      </c>
      <c r="AC4132" s="81" t="e">
        <f>IF(X4132=1,HLOOKUP(R4132,データについて!$J$12:$M$18,7,FALSE),"*")</f>
        <v>#N/A</v>
      </c>
      <c r="AD4132" s="81" t="e">
        <f>IF(X4132=2,HLOOKUP(R4132,データについて!$J$12:$M$18,7,FALSE),"*")</f>
        <v>#N/A</v>
      </c>
    </row>
    <row r="4133" spans="19:30">
      <c r="S4133" s="81" t="e">
        <f>HLOOKUP(L4133,データについて!$J$6:$M$18,13,FALSE)</f>
        <v>#N/A</v>
      </c>
      <c r="T4133" s="81" t="e">
        <f>HLOOKUP(M4133,データについて!$J$7:$M$18,12,FALSE)</f>
        <v>#N/A</v>
      </c>
      <c r="U4133" s="81" t="e">
        <f>HLOOKUP(N4133,データについて!$J$8:$M$18,11,FALSE)</f>
        <v>#N/A</v>
      </c>
      <c r="V4133" s="81" t="e">
        <f>HLOOKUP(O4133,データについて!$J$9:$M$18,10,FALSE)</f>
        <v>#N/A</v>
      </c>
      <c r="W4133" s="81" t="e">
        <f>HLOOKUP(P4133,データについて!$J$10:$M$18,9,FALSE)</f>
        <v>#N/A</v>
      </c>
      <c r="X4133" s="81" t="e">
        <f>HLOOKUP(Q4133,データについて!$J$11:$M$18,8,FALSE)</f>
        <v>#N/A</v>
      </c>
      <c r="Y4133" s="81" t="e">
        <f>HLOOKUP(R4133,データについて!$J$12:$M$18,7,FALSE)</f>
        <v>#N/A</v>
      </c>
      <c r="Z4133" s="81" t="e">
        <f>HLOOKUP(I4133,データについて!$J$3:$M$18,16,FALSE)</f>
        <v>#N/A</v>
      </c>
      <c r="AA4133" s="81" t="str">
        <f>IFERROR(HLOOKUP(J4133,データについて!$J$4:$AH$19,16,FALSE),"")</f>
        <v/>
      </c>
      <c r="AB4133" s="81" t="str">
        <f>IFERROR(HLOOKUP(K4133,データについて!$J$5:$AH$20,14,FALSE),"")</f>
        <v/>
      </c>
      <c r="AC4133" s="81" t="e">
        <f>IF(X4133=1,HLOOKUP(R4133,データについて!$J$12:$M$18,7,FALSE),"*")</f>
        <v>#N/A</v>
      </c>
      <c r="AD4133" s="81" t="e">
        <f>IF(X4133=2,HLOOKUP(R4133,データについて!$J$12:$M$18,7,FALSE),"*")</f>
        <v>#N/A</v>
      </c>
    </row>
    <row r="4134" spans="19:30">
      <c r="S4134" s="81" t="e">
        <f>HLOOKUP(L4134,データについて!$J$6:$M$18,13,FALSE)</f>
        <v>#N/A</v>
      </c>
      <c r="T4134" s="81" t="e">
        <f>HLOOKUP(M4134,データについて!$J$7:$M$18,12,FALSE)</f>
        <v>#N/A</v>
      </c>
      <c r="U4134" s="81" t="e">
        <f>HLOOKUP(N4134,データについて!$J$8:$M$18,11,FALSE)</f>
        <v>#N/A</v>
      </c>
      <c r="V4134" s="81" t="e">
        <f>HLOOKUP(O4134,データについて!$J$9:$M$18,10,FALSE)</f>
        <v>#N/A</v>
      </c>
      <c r="W4134" s="81" t="e">
        <f>HLOOKUP(P4134,データについて!$J$10:$M$18,9,FALSE)</f>
        <v>#N/A</v>
      </c>
      <c r="X4134" s="81" t="e">
        <f>HLOOKUP(Q4134,データについて!$J$11:$M$18,8,FALSE)</f>
        <v>#N/A</v>
      </c>
      <c r="Y4134" s="81" t="e">
        <f>HLOOKUP(R4134,データについて!$J$12:$M$18,7,FALSE)</f>
        <v>#N/A</v>
      </c>
      <c r="Z4134" s="81" t="e">
        <f>HLOOKUP(I4134,データについて!$J$3:$M$18,16,FALSE)</f>
        <v>#N/A</v>
      </c>
      <c r="AA4134" s="81" t="str">
        <f>IFERROR(HLOOKUP(J4134,データについて!$J$4:$AH$19,16,FALSE),"")</f>
        <v/>
      </c>
      <c r="AB4134" s="81" t="str">
        <f>IFERROR(HLOOKUP(K4134,データについて!$J$5:$AH$20,14,FALSE),"")</f>
        <v/>
      </c>
      <c r="AC4134" s="81" t="e">
        <f>IF(X4134=1,HLOOKUP(R4134,データについて!$J$12:$M$18,7,FALSE),"*")</f>
        <v>#N/A</v>
      </c>
      <c r="AD4134" s="81" t="e">
        <f>IF(X4134=2,HLOOKUP(R4134,データについて!$J$12:$M$18,7,FALSE),"*")</f>
        <v>#N/A</v>
      </c>
    </row>
    <row r="4135" spans="19:30">
      <c r="S4135" s="81" t="e">
        <f>HLOOKUP(L4135,データについて!$J$6:$M$18,13,FALSE)</f>
        <v>#N/A</v>
      </c>
      <c r="T4135" s="81" t="e">
        <f>HLOOKUP(M4135,データについて!$J$7:$M$18,12,FALSE)</f>
        <v>#N/A</v>
      </c>
      <c r="U4135" s="81" t="e">
        <f>HLOOKUP(N4135,データについて!$J$8:$M$18,11,FALSE)</f>
        <v>#N/A</v>
      </c>
      <c r="V4135" s="81" t="e">
        <f>HLOOKUP(O4135,データについて!$J$9:$M$18,10,FALSE)</f>
        <v>#N/A</v>
      </c>
      <c r="W4135" s="81" t="e">
        <f>HLOOKUP(P4135,データについて!$J$10:$M$18,9,FALSE)</f>
        <v>#N/A</v>
      </c>
      <c r="X4135" s="81" t="e">
        <f>HLOOKUP(Q4135,データについて!$J$11:$M$18,8,FALSE)</f>
        <v>#N/A</v>
      </c>
      <c r="Y4135" s="81" t="e">
        <f>HLOOKUP(R4135,データについて!$J$12:$M$18,7,FALSE)</f>
        <v>#N/A</v>
      </c>
      <c r="Z4135" s="81" t="e">
        <f>HLOOKUP(I4135,データについて!$J$3:$M$18,16,FALSE)</f>
        <v>#N/A</v>
      </c>
      <c r="AA4135" s="81" t="str">
        <f>IFERROR(HLOOKUP(J4135,データについて!$J$4:$AH$19,16,FALSE),"")</f>
        <v/>
      </c>
      <c r="AB4135" s="81" t="str">
        <f>IFERROR(HLOOKUP(K4135,データについて!$J$5:$AH$20,14,FALSE),"")</f>
        <v/>
      </c>
      <c r="AC4135" s="81" t="e">
        <f>IF(X4135=1,HLOOKUP(R4135,データについて!$J$12:$M$18,7,FALSE),"*")</f>
        <v>#N/A</v>
      </c>
      <c r="AD4135" s="81" t="e">
        <f>IF(X4135=2,HLOOKUP(R4135,データについて!$J$12:$M$18,7,FALSE),"*")</f>
        <v>#N/A</v>
      </c>
    </row>
    <row r="4136" spans="19:30">
      <c r="S4136" s="81" t="e">
        <f>HLOOKUP(L4136,データについて!$J$6:$M$18,13,FALSE)</f>
        <v>#N/A</v>
      </c>
      <c r="T4136" s="81" t="e">
        <f>HLOOKUP(M4136,データについて!$J$7:$M$18,12,FALSE)</f>
        <v>#N/A</v>
      </c>
      <c r="U4136" s="81" t="e">
        <f>HLOOKUP(N4136,データについて!$J$8:$M$18,11,FALSE)</f>
        <v>#N/A</v>
      </c>
      <c r="V4136" s="81" t="e">
        <f>HLOOKUP(O4136,データについて!$J$9:$M$18,10,FALSE)</f>
        <v>#N/A</v>
      </c>
      <c r="W4136" s="81" t="e">
        <f>HLOOKUP(P4136,データについて!$J$10:$M$18,9,FALSE)</f>
        <v>#N/A</v>
      </c>
      <c r="X4136" s="81" t="e">
        <f>HLOOKUP(Q4136,データについて!$J$11:$M$18,8,FALSE)</f>
        <v>#N/A</v>
      </c>
      <c r="Y4136" s="81" t="e">
        <f>HLOOKUP(R4136,データについて!$J$12:$M$18,7,FALSE)</f>
        <v>#N/A</v>
      </c>
      <c r="Z4136" s="81" t="e">
        <f>HLOOKUP(I4136,データについて!$J$3:$M$18,16,FALSE)</f>
        <v>#N/A</v>
      </c>
      <c r="AA4136" s="81" t="str">
        <f>IFERROR(HLOOKUP(J4136,データについて!$J$4:$AH$19,16,FALSE),"")</f>
        <v/>
      </c>
      <c r="AB4136" s="81" t="str">
        <f>IFERROR(HLOOKUP(K4136,データについて!$J$5:$AH$20,14,FALSE),"")</f>
        <v/>
      </c>
      <c r="AC4136" s="81" t="e">
        <f>IF(X4136=1,HLOOKUP(R4136,データについて!$J$12:$M$18,7,FALSE),"*")</f>
        <v>#N/A</v>
      </c>
      <c r="AD4136" s="81" t="e">
        <f>IF(X4136=2,HLOOKUP(R4136,データについて!$J$12:$M$18,7,FALSE),"*")</f>
        <v>#N/A</v>
      </c>
    </row>
    <row r="4137" spans="19:30">
      <c r="S4137" s="81" t="e">
        <f>HLOOKUP(L4137,データについて!$J$6:$M$18,13,FALSE)</f>
        <v>#N/A</v>
      </c>
      <c r="T4137" s="81" t="e">
        <f>HLOOKUP(M4137,データについて!$J$7:$M$18,12,FALSE)</f>
        <v>#N/A</v>
      </c>
      <c r="U4137" s="81" t="e">
        <f>HLOOKUP(N4137,データについて!$J$8:$M$18,11,FALSE)</f>
        <v>#N/A</v>
      </c>
      <c r="V4137" s="81" t="e">
        <f>HLOOKUP(O4137,データについて!$J$9:$M$18,10,FALSE)</f>
        <v>#N/A</v>
      </c>
      <c r="W4137" s="81" t="e">
        <f>HLOOKUP(P4137,データについて!$J$10:$M$18,9,FALSE)</f>
        <v>#N/A</v>
      </c>
      <c r="X4137" s="81" t="e">
        <f>HLOOKUP(Q4137,データについて!$J$11:$M$18,8,FALSE)</f>
        <v>#N/A</v>
      </c>
      <c r="Y4137" s="81" t="e">
        <f>HLOOKUP(R4137,データについて!$J$12:$M$18,7,FALSE)</f>
        <v>#N/A</v>
      </c>
      <c r="Z4137" s="81" t="e">
        <f>HLOOKUP(I4137,データについて!$J$3:$M$18,16,FALSE)</f>
        <v>#N/A</v>
      </c>
      <c r="AA4137" s="81" t="str">
        <f>IFERROR(HLOOKUP(J4137,データについて!$J$4:$AH$19,16,FALSE),"")</f>
        <v/>
      </c>
      <c r="AB4137" s="81" t="str">
        <f>IFERROR(HLOOKUP(K4137,データについて!$J$5:$AH$20,14,FALSE),"")</f>
        <v/>
      </c>
      <c r="AC4137" s="81" t="e">
        <f>IF(X4137=1,HLOOKUP(R4137,データについて!$J$12:$M$18,7,FALSE),"*")</f>
        <v>#N/A</v>
      </c>
      <c r="AD4137" s="81" t="e">
        <f>IF(X4137=2,HLOOKUP(R4137,データについて!$J$12:$M$18,7,FALSE),"*")</f>
        <v>#N/A</v>
      </c>
    </row>
    <row r="4138" spans="19:30">
      <c r="S4138" s="81" t="e">
        <f>HLOOKUP(L4138,データについて!$J$6:$M$18,13,FALSE)</f>
        <v>#N/A</v>
      </c>
      <c r="T4138" s="81" t="e">
        <f>HLOOKUP(M4138,データについて!$J$7:$M$18,12,FALSE)</f>
        <v>#N/A</v>
      </c>
      <c r="U4138" s="81" t="e">
        <f>HLOOKUP(N4138,データについて!$J$8:$M$18,11,FALSE)</f>
        <v>#N/A</v>
      </c>
      <c r="V4138" s="81" t="e">
        <f>HLOOKUP(O4138,データについて!$J$9:$M$18,10,FALSE)</f>
        <v>#N/A</v>
      </c>
      <c r="W4138" s="81" t="e">
        <f>HLOOKUP(P4138,データについて!$J$10:$M$18,9,FALSE)</f>
        <v>#N/A</v>
      </c>
      <c r="X4138" s="81" t="e">
        <f>HLOOKUP(Q4138,データについて!$J$11:$M$18,8,FALSE)</f>
        <v>#N/A</v>
      </c>
      <c r="Y4138" s="81" t="e">
        <f>HLOOKUP(R4138,データについて!$J$12:$M$18,7,FALSE)</f>
        <v>#N/A</v>
      </c>
      <c r="Z4138" s="81" t="e">
        <f>HLOOKUP(I4138,データについて!$J$3:$M$18,16,FALSE)</f>
        <v>#N/A</v>
      </c>
      <c r="AA4138" s="81" t="str">
        <f>IFERROR(HLOOKUP(J4138,データについて!$J$4:$AH$19,16,FALSE),"")</f>
        <v/>
      </c>
      <c r="AB4138" s="81" t="str">
        <f>IFERROR(HLOOKUP(K4138,データについて!$J$5:$AH$20,14,FALSE),"")</f>
        <v/>
      </c>
      <c r="AC4138" s="81" t="e">
        <f>IF(X4138=1,HLOOKUP(R4138,データについて!$J$12:$M$18,7,FALSE),"*")</f>
        <v>#N/A</v>
      </c>
      <c r="AD4138" s="81" t="e">
        <f>IF(X4138=2,HLOOKUP(R4138,データについて!$J$12:$M$18,7,FALSE),"*")</f>
        <v>#N/A</v>
      </c>
    </row>
    <row r="4139" spans="19:30">
      <c r="S4139" s="81" t="e">
        <f>HLOOKUP(L4139,データについて!$J$6:$M$18,13,FALSE)</f>
        <v>#N/A</v>
      </c>
      <c r="T4139" s="81" t="e">
        <f>HLOOKUP(M4139,データについて!$J$7:$M$18,12,FALSE)</f>
        <v>#N/A</v>
      </c>
      <c r="U4139" s="81" t="e">
        <f>HLOOKUP(N4139,データについて!$J$8:$M$18,11,FALSE)</f>
        <v>#N/A</v>
      </c>
      <c r="V4139" s="81" t="e">
        <f>HLOOKUP(O4139,データについて!$J$9:$M$18,10,FALSE)</f>
        <v>#N/A</v>
      </c>
      <c r="W4139" s="81" t="e">
        <f>HLOOKUP(P4139,データについて!$J$10:$M$18,9,FALSE)</f>
        <v>#N/A</v>
      </c>
      <c r="X4139" s="81" t="e">
        <f>HLOOKUP(Q4139,データについて!$J$11:$M$18,8,FALSE)</f>
        <v>#N/A</v>
      </c>
      <c r="Y4139" s="81" t="e">
        <f>HLOOKUP(R4139,データについて!$J$12:$M$18,7,FALSE)</f>
        <v>#N/A</v>
      </c>
      <c r="Z4139" s="81" t="e">
        <f>HLOOKUP(I4139,データについて!$J$3:$M$18,16,FALSE)</f>
        <v>#N/A</v>
      </c>
      <c r="AA4139" s="81" t="str">
        <f>IFERROR(HLOOKUP(J4139,データについて!$J$4:$AH$19,16,FALSE),"")</f>
        <v/>
      </c>
      <c r="AB4139" s="81" t="str">
        <f>IFERROR(HLOOKUP(K4139,データについて!$J$5:$AH$20,14,FALSE),"")</f>
        <v/>
      </c>
      <c r="AC4139" s="81" t="e">
        <f>IF(X4139=1,HLOOKUP(R4139,データについて!$J$12:$M$18,7,FALSE),"*")</f>
        <v>#N/A</v>
      </c>
      <c r="AD4139" s="81" t="e">
        <f>IF(X4139=2,HLOOKUP(R4139,データについて!$J$12:$M$18,7,FALSE),"*")</f>
        <v>#N/A</v>
      </c>
    </row>
    <row r="4140" spans="19:30">
      <c r="S4140" s="81" t="e">
        <f>HLOOKUP(L4140,データについて!$J$6:$M$18,13,FALSE)</f>
        <v>#N/A</v>
      </c>
      <c r="T4140" s="81" t="e">
        <f>HLOOKUP(M4140,データについて!$J$7:$M$18,12,FALSE)</f>
        <v>#N/A</v>
      </c>
      <c r="U4140" s="81" t="e">
        <f>HLOOKUP(N4140,データについて!$J$8:$M$18,11,FALSE)</f>
        <v>#N/A</v>
      </c>
      <c r="V4140" s="81" t="e">
        <f>HLOOKUP(O4140,データについて!$J$9:$M$18,10,FALSE)</f>
        <v>#N/A</v>
      </c>
      <c r="W4140" s="81" t="e">
        <f>HLOOKUP(P4140,データについて!$J$10:$M$18,9,FALSE)</f>
        <v>#N/A</v>
      </c>
      <c r="X4140" s="81" t="e">
        <f>HLOOKUP(Q4140,データについて!$J$11:$M$18,8,FALSE)</f>
        <v>#N/A</v>
      </c>
      <c r="Y4140" s="81" t="e">
        <f>HLOOKUP(R4140,データについて!$J$12:$M$18,7,FALSE)</f>
        <v>#N/A</v>
      </c>
      <c r="Z4140" s="81" t="e">
        <f>HLOOKUP(I4140,データについて!$J$3:$M$18,16,FALSE)</f>
        <v>#N/A</v>
      </c>
      <c r="AA4140" s="81" t="str">
        <f>IFERROR(HLOOKUP(J4140,データについて!$J$4:$AH$19,16,FALSE),"")</f>
        <v/>
      </c>
      <c r="AB4140" s="81" t="str">
        <f>IFERROR(HLOOKUP(K4140,データについて!$J$5:$AH$20,14,FALSE),"")</f>
        <v/>
      </c>
      <c r="AC4140" s="81" t="e">
        <f>IF(X4140=1,HLOOKUP(R4140,データについて!$J$12:$M$18,7,FALSE),"*")</f>
        <v>#N/A</v>
      </c>
      <c r="AD4140" s="81" t="e">
        <f>IF(X4140=2,HLOOKUP(R4140,データについて!$J$12:$M$18,7,FALSE),"*")</f>
        <v>#N/A</v>
      </c>
    </row>
    <row r="4141" spans="19:30">
      <c r="S4141" s="81" t="e">
        <f>HLOOKUP(L4141,データについて!$J$6:$M$18,13,FALSE)</f>
        <v>#N/A</v>
      </c>
      <c r="T4141" s="81" t="e">
        <f>HLOOKUP(M4141,データについて!$J$7:$M$18,12,FALSE)</f>
        <v>#N/A</v>
      </c>
      <c r="U4141" s="81" t="e">
        <f>HLOOKUP(N4141,データについて!$J$8:$M$18,11,FALSE)</f>
        <v>#N/A</v>
      </c>
      <c r="V4141" s="81" t="e">
        <f>HLOOKUP(O4141,データについて!$J$9:$M$18,10,FALSE)</f>
        <v>#N/A</v>
      </c>
      <c r="W4141" s="81" t="e">
        <f>HLOOKUP(P4141,データについて!$J$10:$M$18,9,FALSE)</f>
        <v>#N/A</v>
      </c>
      <c r="X4141" s="81" t="e">
        <f>HLOOKUP(Q4141,データについて!$J$11:$M$18,8,FALSE)</f>
        <v>#N/A</v>
      </c>
      <c r="Y4141" s="81" t="e">
        <f>HLOOKUP(R4141,データについて!$J$12:$M$18,7,FALSE)</f>
        <v>#N/A</v>
      </c>
      <c r="Z4141" s="81" t="e">
        <f>HLOOKUP(I4141,データについて!$J$3:$M$18,16,FALSE)</f>
        <v>#N/A</v>
      </c>
      <c r="AA4141" s="81" t="str">
        <f>IFERROR(HLOOKUP(J4141,データについて!$J$4:$AH$19,16,FALSE),"")</f>
        <v/>
      </c>
      <c r="AB4141" s="81" t="str">
        <f>IFERROR(HLOOKUP(K4141,データについて!$J$5:$AH$20,14,FALSE),"")</f>
        <v/>
      </c>
      <c r="AC4141" s="81" t="e">
        <f>IF(X4141=1,HLOOKUP(R4141,データについて!$J$12:$M$18,7,FALSE),"*")</f>
        <v>#N/A</v>
      </c>
      <c r="AD4141" s="81" t="e">
        <f>IF(X4141=2,HLOOKUP(R4141,データについて!$J$12:$M$18,7,FALSE),"*")</f>
        <v>#N/A</v>
      </c>
    </row>
    <row r="4142" spans="19:30">
      <c r="S4142" s="81" t="e">
        <f>HLOOKUP(L4142,データについて!$J$6:$M$18,13,FALSE)</f>
        <v>#N/A</v>
      </c>
      <c r="T4142" s="81" t="e">
        <f>HLOOKUP(M4142,データについて!$J$7:$M$18,12,FALSE)</f>
        <v>#N/A</v>
      </c>
      <c r="U4142" s="81" t="e">
        <f>HLOOKUP(N4142,データについて!$J$8:$M$18,11,FALSE)</f>
        <v>#N/A</v>
      </c>
      <c r="V4142" s="81" t="e">
        <f>HLOOKUP(O4142,データについて!$J$9:$M$18,10,FALSE)</f>
        <v>#N/A</v>
      </c>
      <c r="W4142" s="81" t="e">
        <f>HLOOKUP(P4142,データについて!$J$10:$M$18,9,FALSE)</f>
        <v>#N/A</v>
      </c>
      <c r="X4142" s="81" t="e">
        <f>HLOOKUP(Q4142,データについて!$J$11:$M$18,8,FALSE)</f>
        <v>#N/A</v>
      </c>
      <c r="Y4142" s="81" t="e">
        <f>HLOOKUP(R4142,データについて!$J$12:$M$18,7,FALSE)</f>
        <v>#N/A</v>
      </c>
      <c r="Z4142" s="81" t="e">
        <f>HLOOKUP(I4142,データについて!$J$3:$M$18,16,FALSE)</f>
        <v>#N/A</v>
      </c>
      <c r="AA4142" s="81" t="str">
        <f>IFERROR(HLOOKUP(J4142,データについて!$J$4:$AH$19,16,FALSE),"")</f>
        <v/>
      </c>
      <c r="AB4142" s="81" t="str">
        <f>IFERROR(HLOOKUP(K4142,データについて!$J$5:$AH$20,14,FALSE),"")</f>
        <v/>
      </c>
      <c r="AC4142" s="81" t="e">
        <f>IF(X4142=1,HLOOKUP(R4142,データについて!$J$12:$M$18,7,FALSE),"*")</f>
        <v>#N/A</v>
      </c>
      <c r="AD4142" s="81" t="e">
        <f>IF(X4142=2,HLOOKUP(R4142,データについて!$J$12:$M$18,7,FALSE),"*")</f>
        <v>#N/A</v>
      </c>
    </row>
    <row r="4143" spans="19:30">
      <c r="S4143" s="81" t="e">
        <f>HLOOKUP(L4143,データについて!$J$6:$M$18,13,FALSE)</f>
        <v>#N/A</v>
      </c>
      <c r="T4143" s="81" t="e">
        <f>HLOOKUP(M4143,データについて!$J$7:$M$18,12,FALSE)</f>
        <v>#N/A</v>
      </c>
      <c r="U4143" s="81" t="e">
        <f>HLOOKUP(N4143,データについて!$J$8:$M$18,11,FALSE)</f>
        <v>#N/A</v>
      </c>
      <c r="V4143" s="81" t="e">
        <f>HLOOKUP(O4143,データについて!$J$9:$M$18,10,FALSE)</f>
        <v>#N/A</v>
      </c>
      <c r="W4143" s="81" t="e">
        <f>HLOOKUP(P4143,データについて!$J$10:$M$18,9,FALSE)</f>
        <v>#N/A</v>
      </c>
      <c r="X4143" s="81" t="e">
        <f>HLOOKUP(Q4143,データについて!$J$11:$M$18,8,FALSE)</f>
        <v>#N/A</v>
      </c>
      <c r="Y4143" s="81" t="e">
        <f>HLOOKUP(R4143,データについて!$J$12:$M$18,7,FALSE)</f>
        <v>#N/A</v>
      </c>
      <c r="Z4143" s="81" t="e">
        <f>HLOOKUP(I4143,データについて!$J$3:$M$18,16,FALSE)</f>
        <v>#N/A</v>
      </c>
      <c r="AA4143" s="81" t="str">
        <f>IFERROR(HLOOKUP(J4143,データについて!$J$4:$AH$19,16,FALSE),"")</f>
        <v/>
      </c>
      <c r="AB4143" s="81" t="str">
        <f>IFERROR(HLOOKUP(K4143,データについて!$J$5:$AH$20,14,FALSE),"")</f>
        <v/>
      </c>
      <c r="AC4143" s="81" t="e">
        <f>IF(X4143=1,HLOOKUP(R4143,データについて!$J$12:$M$18,7,FALSE),"*")</f>
        <v>#N/A</v>
      </c>
      <c r="AD4143" s="81" t="e">
        <f>IF(X4143=2,HLOOKUP(R4143,データについて!$J$12:$M$18,7,FALSE),"*")</f>
        <v>#N/A</v>
      </c>
    </row>
    <row r="4144" spans="19:30">
      <c r="S4144" s="81" t="e">
        <f>HLOOKUP(L4144,データについて!$J$6:$M$18,13,FALSE)</f>
        <v>#N/A</v>
      </c>
      <c r="T4144" s="81" t="e">
        <f>HLOOKUP(M4144,データについて!$J$7:$M$18,12,FALSE)</f>
        <v>#N/A</v>
      </c>
      <c r="U4144" s="81" t="e">
        <f>HLOOKUP(N4144,データについて!$J$8:$M$18,11,FALSE)</f>
        <v>#N/A</v>
      </c>
      <c r="V4144" s="81" t="e">
        <f>HLOOKUP(O4144,データについて!$J$9:$M$18,10,FALSE)</f>
        <v>#N/A</v>
      </c>
      <c r="W4144" s="81" t="e">
        <f>HLOOKUP(P4144,データについて!$J$10:$M$18,9,FALSE)</f>
        <v>#N/A</v>
      </c>
      <c r="X4144" s="81" t="e">
        <f>HLOOKUP(Q4144,データについて!$J$11:$M$18,8,FALSE)</f>
        <v>#N/A</v>
      </c>
      <c r="Y4144" s="81" t="e">
        <f>HLOOKUP(R4144,データについて!$J$12:$M$18,7,FALSE)</f>
        <v>#N/A</v>
      </c>
      <c r="Z4144" s="81" t="e">
        <f>HLOOKUP(I4144,データについて!$J$3:$M$18,16,FALSE)</f>
        <v>#N/A</v>
      </c>
      <c r="AA4144" s="81" t="str">
        <f>IFERROR(HLOOKUP(J4144,データについて!$J$4:$AH$19,16,FALSE),"")</f>
        <v/>
      </c>
      <c r="AB4144" s="81" t="str">
        <f>IFERROR(HLOOKUP(K4144,データについて!$J$5:$AH$20,14,FALSE),"")</f>
        <v/>
      </c>
      <c r="AC4144" s="81" t="e">
        <f>IF(X4144=1,HLOOKUP(R4144,データについて!$J$12:$M$18,7,FALSE),"*")</f>
        <v>#N/A</v>
      </c>
      <c r="AD4144" s="81" t="e">
        <f>IF(X4144=2,HLOOKUP(R4144,データについて!$J$12:$M$18,7,FALSE),"*")</f>
        <v>#N/A</v>
      </c>
    </row>
    <row r="4145" spans="19:30">
      <c r="S4145" s="81" t="e">
        <f>HLOOKUP(L4145,データについて!$J$6:$M$18,13,FALSE)</f>
        <v>#N/A</v>
      </c>
      <c r="T4145" s="81" t="e">
        <f>HLOOKUP(M4145,データについて!$J$7:$M$18,12,FALSE)</f>
        <v>#N/A</v>
      </c>
      <c r="U4145" s="81" t="e">
        <f>HLOOKUP(N4145,データについて!$J$8:$M$18,11,FALSE)</f>
        <v>#N/A</v>
      </c>
      <c r="V4145" s="81" t="e">
        <f>HLOOKUP(O4145,データについて!$J$9:$M$18,10,FALSE)</f>
        <v>#N/A</v>
      </c>
      <c r="W4145" s="81" t="e">
        <f>HLOOKUP(P4145,データについて!$J$10:$M$18,9,FALSE)</f>
        <v>#N/A</v>
      </c>
      <c r="X4145" s="81" t="e">
        <f>HLOOKUP(Q4145,データについて!$J$11:$M$18,8,FALSE)</f>
        <v>#N/A</v>
      </c>
      <c r="Y4145" s="81" t="e">
        <f>HLOOKUP(R4145,データについて!$J$12:$M$18,7,FALSE)</f>
        <v>#N/A</v>
      </c>
      <c r="Z4145" s="81" t="e">
        <f>HLOOKUP(I4145,データについて!$J$3:$M$18,16,FALSE)</f>
        <v>#N/A</v>
      </c>
      <c r="AA4145" s="81" t="str">
        <f>IFERROR(HLOOKUP(J4145,データについて!$J$4:$AH$19,16,FALSE),"")</f>
        <v/>
      </c>
      <c r="AB4145" s="81" t="str">
        <f>IFERROR(HLOOKUP(K4145,データについて!$J$5:$AH$20,14,FALSE),"")</f>
        <v/>
      </c>
      <c r="AC4145" s="81" t="e">
        <f>IF(X4145=1,HLOOKUP(R4145,データについて!$J$12:$M$18,7,FALSE),"*")</f>
        <v>#N/A</v>
      </c>
      <c r="AD4145" s="81" t="e">
        <f>IF(X4145=2,HLOOKUP(R4145,データについて!$J$12:$M$18,7,FALSE),"*")</f>
        <v>#N/A</v>
      </c>
    </row>
    <row r="4146" spans="19:30">
      <c r="S4146" s="81" t="e">
        <f>HLOOKUP(L4146,データについて!$J$6:$M$18,13,FALSE)</f>
        <v>#N/A</v>
      </c>
      <c r="T4146" s="81" t="e">
        <f>HLOOKUP(M4146,データについて!$J$7:$M$18,12,FALSE)</f>
        <v>#N/A</v>
      </c>
      <c r="U4146" s="81" t="e">
        <f>HLOOKUP(N4146,データについて!$J$8:$M$18,11,FALSE)</f>
        <v>#N/A</v>
      </c>
      <c r="V4146" s="81" t="e">
        <f>HLOOKUP(O4146,データについて!$J$9:$M$18,10,FALSE)</f>
        <v>#N/A</v>
      </c>
      <c r="W4146" s="81" t="e">
        <f>HLOOKUP(P4146,データについて!$J$10:$M$18,9,FALSE)</f>
        <v>#N/A</v>
      </c>
      <c r="X4146" s="81" t="e">
        <f>HLOOKUP(Q4146,データについて!$J$11:$M$18,8,FALSE)</f>
        <v>#N/A</v>
      </c>
      <c r="Y4146" s="81" t="e">
        <f>HLOOKUP(R4146,データについて!$J$12:$M$18,7,FALSE)</f>
        <v>#N/A</v>
      </c>
      <c r="Z4146" s="81" t="e">
        <f>HLOOKUP(I4146,データについて!$J$3:$M$18,16,FALSE)</f>
        <v>#N/A</v>
      </c>
      <c r="AA4146" s="81" t="str">
        <f>IFERROR(HLOOKUP(J4146,データについて!$J$4:$AH$19,16,FALSE),"")</f>
        <v/>
      </c>
      <c r="AB4146" s="81" t="str">
        <f>IFERROR(HLOOKUP(K4146,データについて!$J$5:$AH$20,14,FALSE),"")</f>
        <v/>
      </c>
      <c r="AC4146" s="81" t="e">
        <f>IF(X4146=1,HLOOKUP(R4146,データについて!$J$12:$M$18,7,FALSE),"*")</f>
        <v>#N/A</v>
      </c>
      <c r="AD4146" s="81" t="e">
        <f>IF(X4146=2,HLOOKUP(R4146,データについて!$J$12:$M$18,7,FALSE),"*")</f>
        <v>#N/A</v>
      </c>
    </row>
    <row r="4147" spans="19:30">
      <c r="S4147" s="81" t="e">
        <f>HLOOKUP(L4147,データについて!$J$6:$M$18,13,FALSE)</f>
        <v>#N/A</v>
      </c>
      <c r="T4147" s="81" t="e">
        <f>HLOOKUP(M4147,データについて!$J$7:$M$18,12,FALSE)</f>
        <v>#N/A</v>
      </c>
      <c r="U4147" s="81" t="e">
        <f>HLOOKUP(N4147,データについて!$J$8:$M$18,11,FALSE)</f>
        <v>#N/A</v>
      </c>
      <c r="V4147" s="81" t="e">
        <f>HLOOKUP(O4147,データについて!$J$9:$M$18,10,FALSE)</f>
        <v>#N/A</v>
      </c>
      <c r="W4147" s="81" t="e">
        <f>HLOOKUP(P4147,データについて!$J$10:$M$18,9,FALSE)</f>
        <v>#N/A</v>
      </c>
      <c r="X4147" s="81" t="e">
        <f>HLOOKUP(Q4147,データについて!$J$11:$M$18,8,FALSE)</f>
        <v>#N/A</v>
      </c>
      <c r="Y4147" s="81" t="e">
        <f>HLOOKUP(R4147,データについて!$J$12:$M$18,7,FALSE)</f>
        <v>#N/A</v>
      </c>
      <c r="Z4147" s="81" t="e">
        <f>HLOOKUP(I4147,データについて!$J$3:$M$18,16,FALSE)</f>
        <v>#N/A</v>
      </c>
      <c r="AA4147" s="81" t="str">
        <f>IFERROR(HLOOKUP(J4147,データについて!$J$4:$AH$19,16,FALSE),"")</f>
        <v/>
      </c>
      <c r="AB4147" s="81" t="str">
        <f>IFERROR(HLOOKUP(K4147,データについて!$J$5:$AH$20,14,FALSE),"")</f>
        <v/>
      </c>
      <c r="AC4147" s="81" t="e">
        <f>IF(X4147=1,HLOOKUP(R4147,データについて!$J$12:$M$18,7,FALSE),"*")</f>
        <v>#N/A</v>
      </c>
      <c r="AD4147" s="81" t="e">
        <f>IF(X4147=2,HLOOKUP(R4147,データについて!$J$12:$M$18,7,FALSE),"*")</f>
        <v>#N/A</v>
      </c>
    </row>
    <row r="4148" spans="19:30">
      <c r="S4148" s="81" t="e">
        <f>HLOOKUP(L4148,データについて!$J$6:$M$18,13,FALSE)</f>
        <v>#N/A</v>
      </c>
      <c r="T4148" s="81" t="e">
        <f>HLOOKUP(M4148,データについて!$J$7:$M$18,12,FALSE)</f>
        <v>#N/A</v>
      </c>
      <c r="U4148" s="81" t="e">
        <f>HLOOKUP(N4148,データについて!$J$8:$M$18,11,FALSE)</f>
        <v>#N/A</v>
      </c>
      <c r="V4148" s="81" t="e">
        <f>HLOOKUP(O4148,データについて!$J$9:$M$18,10,FALSE)</f>
        <v>#N/A</v>
      </c>
      <c r="W4148" s="81" t="e">
        <f>HLOOKUP(P4148,データについて!$J$10:$M$18,9,FALSE)</f>
        <v>#N/A</v>
      </c>
      <c r="X4148" s="81" t="e">
        <f>HLOOKUP(Q4148,データについて!$J$11:$M$18,8,FALSE)</f>
        <v>#N/A</v>
      </c>
      <c r="Y4148" s="81" t="e">
        <f>HLOOKUP(R4148,データについて!$J$12:$M$18,7,FALSE)</f>
        <v>#N/A</v>
      </c>
      <c r="Z4148" s="81" t="e">
        <f>HLOOKUP(I4148,データについて!$J$3:$M$18,16,FALSE)</f>
        <v>#N/A</v>
      </c>
      <c r="AA4148" s="81" t="str">
        <f>IFERROR(HLOOKUP(J4148,データについて!$J$4:$AH$19,16,FALSE),"")</f>
        <v/>
      </c>
      <c r="AB4148" s="81" t="str">
        <f>IFERROR(HLOOKUP(K4148,データについて!$J$5:$AH$20,14,FALSE),"")</f>
        <v/>
      </c>
      <c r="AC4148" s="81" t="e">
        <f>IF(X4148=1,HLOOKUP(R4148,データについて!$J$12:$M$18,7,FALSE),"*")</f>
        <v>#N/A</v>
      </c>
      <c r="AD4148" s="81" t="e">
        <f>IF(X4148=2,HLOOKUP(R4148,データについて!$J$12:$M$18,7,FALSE),"*")</f>
        <v>#N/A</v>
      </c>
    </row>
    <row r="4149" spans="19:30">
      <c r="S4149" s="81" t="e">
        <f>HLOOKUP(L4149,データについて!$J$6:$M$18,13,FALSE)</f>
        <v>#N/A</v>
      </c>
      <c r="T4149" s="81" t="e">
        <f>HLOOKUP(M4149,データについて!$J$7:$M$18,12,FALSE)</f>
        <v>#N/A</v>
      </c>
      <c r="U4149" s="81" t="e">
        <f>HLOOKUP(N4149,データについて!$J$8:$M$18,11,FALSE)</f>
        <v>#N/A</v>
      </c>
      <c r="V4149" s="81" t="e">
        <f>HLOOKUP(O4149,データについて!$J$9:$M$18,10,FALSE)</f>
        <v>#N/A</v>
      </c>
      <c r="W4149" s="81" t="e">
        <f>HLOOKUP(P4149,データについて!$J$10:$M$18,9,FALSE)</f>
        <v>#N/A</v>
      </c>
      <c r="X4149" s="81" t="e">
        <f>HLOOKUP(Q4149,データについて!$J$11:$M$18,8,FALSE)</f>
        <v>#N/A</v>
      </c>
      <c r="Y4149" s="81" t="e">
        <f>HLOOKUP(R4149,データについて!$J$12:$M$18,7,FALSE)</f>
        <v>#N/A</v>
      </c>
      <c r="Z4149" s="81" t="e">
        <f>HLOOKUP(I4149,データについて!$J$3:$M$18,16,FALSE)</f>
        <v>#N/A</v>
      </c>
      <c r="AA4149" s="81" t="str">
        <f>IFERROR(HLOOKUP(J4149,データについて!$J$4:$AH$19,16,FALSE),"")</f>
        <v/>
      </c>
      <c r="AB4149" s="81" t="str">
        <f>IFERROR(HLOOKUP(K4149,データについて!$J$5:$AH$20,14,FALSE),"")</f>
        <v/>
      </c>
      <c r="AC4149" s="81" t="e">
        <f>IF(X4149=1,HLOOKUP(R4149,データについて!$J$12:$M$18,7,FALSE),"*")</f>
        <v>#N/A</v>
      </c>
      <c r="AD4149" s="81" t="e">
        <f>IF(X4149=2,HLOOKUP(R4149,データについて!$J$12:$M$18,7,FALSE),"*")</f>
        <v>#N/A</v>
      </c>
    </row>
    <row r="4150" spans="19:30">
      <c r="S4150" s="81" t="e">
        <f>HLOOKUP(L4150,データについて!$J$6:$M$18,13,FALSE)</f>
        <v>#N/A</v>
      </c>
      <c r="T4150" s="81" t="e">
        <f>HLOOKUP(M4150,データについて!$J$7:$M$18,12,FALSE)</f>
        <v>#N/A</v>
      </c>
      <c r="U4150" s="81" t="e">
        <f>HLOOKUP(N4150,データについて!$J$8:$M$18,11,FALSE)</f>
        <v>#N/A</v>
      </c>
      <c r="V4150" s="81" t="e">
        <f>HLOOKUP(O4150,データについて!$J$9:$M$18,10,FALSE)</f>
        <v>#N/A</v>
      </c>
      <c r="W4150" s="81" t="e">
        <f>HLOOKUP(P4150,データについて!$J$10:$M$18,9,FALSE)</f>
        <v>#N/A</v>
      </c>
      <c r="X4150" s="81" t="e">
        <f>HLOOKUP(Q4150,データについて!$J$11:$M$18,8,FALSE)</f>
        <v>#N/A</v>
      </c>
      <c r="Y4150" s="81" t="e">
        <f>HLOOKUP(R4150,データについて!$J$12:$M$18,7,FALSE)</f>
        <v>#N/A</v>
      </c>
      <c r="Z4150" s="81" t="e">
        <f>HLOOKUP(I4150,データについて!$J$3:$M$18,16,FALSE)</f>
        <v>#N/A</v>
      </c>
      <c r="AA4150" s="81" t="str">
        <f>IFERROR(HLOOKUP(J4150,データについて!$J$4:$AH$19,16,FALSE),"")</f>
        <v/>
      </c>
      <c r="AB4150" s="81" t="str">
        <f>IFERROR(HLOOKUP(K4150,データについて!$J$5:$AH$20,14,FALSE),"")</f>
        <v/>
      </c>
      <c r="AC4150" s="81" t="e">
        <f>IF(X4150=1,HLOOKUP(R4150,データについて!$J$12:$M$18,7,FALSE),"*")</f>
        <v>#N/A</v>
      </c>
      <c r="AD4150" s="81" t="e">
        <f>IF(X4150=2,HLOOKUP(R4150,データについて!$J$12:$M$18,7,FALSE),"*")</f>
        <v>#N/A</v>
      </c>
    </row>
    <row r="4151" spans="19:30">
      <c r="S4151" s="81" t="e">
        <f>HLOOKUP(L4151,データについて!$J$6:$M$18,13,FALSE)</f>
        <v>#N/A</v>
      </c>
      <c r="T4151" s="81" t="e">
        <f>HLOOKUP(M4151,データについて!$J$7:$M$18,12,FALSE)</f>
        <v>#N/A</v>
      </c>
      <c r="U4151" s="81" t="e">
        <f>HLOOKUP(N4151,データについて!$J$8:$M$18,11,FALSE)</f>
        <v>#N/A</v>
      </c>
      <c r="V4151" s="81" t="e">
        <f>HLOOKUP(O4151,データについて!$J$9:$M$18,10,FALSE)</f>
        <v>#N/A</v>
      </c>
      <c r="W4151" s="81" t="e">
        <f>HLOOKUP(P4151,データについて!$J$10:$M$18,9,FALSE)</f>
        <v>#N/A</v>
      </c>
      <c r="X4151" s="81" t="e">
        <f>HLOOKUP(Q4151,データについて!$J$11:$M$18,8,FALSE)</f>
        <v>#N/A</v>
      </c>
      <c r="Y4151" s="81" t="e">
        <f>HLOOKUP(R4151,データについて!$J$12:$M$18,7,FALSE)</f>
        <v>#N/A</v>
      </c>
      <c r="Z4151" s="81" t="e">
        <f>HLOOKUP(I4151,データについて!$J$3:$M$18,16,FALSE)</f>
        <v>#N/A</v>
      </c>
      <c r="AA4151" s="81" t="str">
        <f>IFERROR(HLOOKUP(J4151,データについて!$J$4:$AH$19,16,FALSE),"")</f>
        <v/>
      </c>
      <c r="AB4151" s="81" t="str">
        <f>IFERROR(HLOOKUP(K4151,データについて!$J$5:$AH$20,14,FALSE),"")</f>
        <v/>
      </c>
      <c r="AC4151" s="81" t="e">
        <f>IF(X4151=1,HLOOKUP(R4151,データについて!$J$12:$M$18,7,FALSE),"*")</f>
        <v>#N/A</v>
      </c>
      <c r="AD4151" s="81" t="e">
        <f>IF(X4151=2,HLOOKUP(R4151,データについて!$J$12:$M$18,7,FALSE),"*")</f>
        <v>#N/A</v>
      </c>
    </row>
    <row r="4152" spans="19:30">
      <c r="S4152" s="81" t="e">
        <f>HLOOKUP(L4152,データについて!$J$6:$M$18,13,FALSE)</f>
        <v>#N/A</v>
      </c>
      <c r="T4152" s="81" t="e">
        <f>HLOOKUP(M4152,データについて!$J$7:$M$18,12,FALSE)</f>
        <v>#N/A</v>
      </c>
      <c r="U4152" s="81" t="e">
        <f>HLOOKUP(N4152,データについて!$J$8:$M$18,11,FALSE)</f>
        <v>#N/A</v>
      </c>
      <c r="V4152" s="81" t="e">
        <f>HLOOKUP(O4152,データについて!$J$9:$M$18,10,FALSE)</f>
        <v>#N/A</v>
      </c>
      <c r="W4152" s="81" t="e">
        <f>HLOOKUP(P4152,データについて!$J$10:$M$18,9,FALSE)</f>
        <v>#N/A</v>
      </c>
      <c r="X4152" s="81" t="e">
        <f>HLOOKUP(Q4152,データについて!$J$11:$M$18,8,FALSE)</f>
        <v>#N/A</v>
      </c>
      <c r="Y4152" s="81" t="e">
        <f>HLOOKUP(R4152,データについて!$J$12:$M$18,7,FALSE)</f>
        <v>#N/A</v>
      </c>
      <c r="Z4152" s="81" t="e">
        <f>HLOOKUP(I4152,データについて!$J$3:$M$18,16,FALSE)</f>
        <v>#N/A</v>
      </c>
      <c r="AA4152" s="81" t="str">
        <f>IFERROR(HLOOKUP(J4152,データについて!$J$4:$AH$19,16,FALSE),"")</f>
        <v/>
      </c>
      <c r="AB4152" s="81" t="str">
        <f>IFERROR(HLOOKUP(K4152,データについて!$J$5:$AH$20,14,FALSE),"")</f>
        <v/>
      </c>
      <c r="AC4152" s="81" t="e">
        <f>IF(X4152=1,HLOOKUP(R4152,データについて!$J$12:$M$18,7,FALSE),"*")</f>
        <v>#N/A</v>
      </c>
      <c r="AD4152" s="81" t="e">
        <f>IF(X4152=2,HLOOKUP(R4152,データについて!$J$12:$M$18,7,FALSE),"*")</f>
        <v>#N/A</v>
      </c>
    </row>
    <row r="4153" spans="19:30">
      <c r="S4153" s="81" t="e">
        <f>HLOOKUP(L4153,データについて!$J$6:$M$18,13,FALSE)</f>
        <v>#N/A</v>
      </c>
      <c r="T4153" s="81" t="e">
        <f>HLOOKUP(M4153,データについて!$J$7:$M$18,12,FALSE)</f>
        <v>#N/A</v>
      </c>
      <c r="U4153" s="81" t="e">
        <f>HLOOKUP(N4153,データについて!$J$8:$M$18,11,FALSE)</f>
        <v>#N/A</v>
      </c>
      <c r="V4153" s="81" t="e">
        <f>HLOOKUP(O4153,データについて!$J$9:$M$18,10,FALSE)</f>
        <v>#N/A</v>
      </c>
      <c r="W4153" s="81" t="e">
        <f>HLOOKUP(P4153,データについて!$J$10:$M$18,9,FALSE)</f>
        <v>#N/A</v>
      </c>
      <c r="X4153" s="81" t="e">
        <f>HLOOKUP(Q4153,データについて!$J$11:$M$18,8,FALSE)</f>
        <v>#N/A</v>
      </c>
      <c r="Y4153" s="81" t="e">
        <f>HLOOKUP(R4153,データについて!$J$12:$M$18,7,FALSE)</f>
        <v>#N/A</v>
      </c>
      <c r="Z4153" s="81" t="e">
        <f>HLOOKUP(I4153,データについて!$J$3:$M$18,16,FALSE)</f>
        <v>#N/A</v>
      </c>
      <c r="AA4153" s="81" t="str">
        <f>IFERROR(HLOOKUP(J4153,データについて!$J$4:$AH$19,16,FALSE),"")</f>
        <v/>
      </c>
      <c r="AB4153" s="81" t="str">
        <f>IFERROR(HLOOKUP(K4153,データについて!$J$5:$AH$20,14,FALSE),"")</f>
        <v/>
      </c>
      <c r="AC4153" s="81" t="e">
        <f>IF(X4153=1,HLOOKUP(R4153,データについて!$J$12:$M$18,7,FALSE),"*")</f>
        <v>#N/A</v>
      </c>
      <c r="AD4153" s="81" t="e">
        <f>IF(X4153=2,HLOOKUP(R4153,データについて!$J$12:$M$18,7,FALSE),"*")</f>
        <v>#N/A</v>
      </c>
    </row>
    <row r="4154" spans="19:30">
      <c r="S4154" s="81" t="e">
        <f>HLOOKUP(L4154,データについて!$J$6:$M$18,13,FALSE)</f>
        <v>#N/A</v>
      </c>
      <c r="T4154" s="81" t="e">
        <f>HLOOKUP(M4154,データについて!$J$7:$M$18,12,FALSE)</f>
        <v>#N/A</v>
      </c>
      <c r="U4154" s="81" t="e">
        <f>HLOOKUP(N4154,データについて!$J$8:$M$18,11,FALSE)</f>
        <v>#N/A</v>
      </c>
      <c r="V4154" s="81" t="e">
        <f>HLOOKUP(O4154,データについて!$J$9:$M$18,10,FALSE)</f>
        <v>#N/A</v>
      </c>
      <c r="W4154" s="81" t="e">
        <f>HLOOKUP(P4154,データについて!$J$10:$M$18,9,FALSE)</f>
        <v>#N/A</v>
      </c>
      <c r="X4154" s="81" t="e">
        <f>HLOOKUP(Q4154,データについて!$J$11:$M$18,8,FALSE)</f>
        <v>#N/A</v>
      </c>
      <c r="Y4154" s="81" t="e">
        <f>HLOOKUP(R4154,データについて!$J$12:$M$18,7,FALSE)</f>
        <v>#N/A</v>
      </c>
      <c r="Z4154" s="81" t="e">
        <f>HLOOKUP(I4154,データについて!$J$3:$M$18,16,FALSE)</f>
        <v>#N/A</v>
      </c>
      <c r="AA4154" s="81" t="str">
        <f>IFERROR(HLOOKUP(J4154,データについて!$J$4:$AH$19,16,FALSE),"")</f>
        <v/>
      </c>
      <c r="AB4154" s="81" t="str">
        <f>IFERROR(HLOOKUP(K4154,データについて!$J$5:$AH$20,14,FALSE),"")</f>
        <v/>
      </c>
      <c r="AC4154" s="81" t="e">
        <f>IF(X4154=1,HLOOKUP(R4154,データについて!$J$12:$M$18,7,FALSE),"*")</f>
        <v>#N/A</v>
      </c>
      <c r="AD4154" s="81" t="e">
        <f>IF(X4154=2,HLOOKUP(R4154,データについて!$J$12:$M$18,7,FALSE),"*")</f>
        <v>#N/A</v>
      </c>
    </row>
    <row r="4155" spans="19:30">
      <c r="S4155" s="81" t="e">
        <f>HLOOKUP(L4155,データについて!$J$6:$M$18,13,FALSE)</f>
        <v>#N/A</v>
      </c>
      <c r="T4155" s="81" t="e">
        <f>HLOOKUP(M4155,データについて!$J$7:$M$18,12,FALSE)</f>
        <v>#N/A</v>
      </c>
      <c r="U4155" s="81" t="e">
        <f>HLOOKUP(N4155,データについて!$J$8:$M$18,11,FALSE)</f>
        <v>#N/A</v>
      </c>
      <c r="V4155" s="81" t="e">
        <f>HLOOKUP(O4155,データについて!$J$9:$M$18,10,FALSE)</f>
        <v>#N/A</v>
      </c>
      <c r="W4155" s="81" t="e">
        <f>HLOOKUP(P4155,データについて!$J$10:$M$18,9,FALSE)</f>
        <v>#N/A</v>
      </c>
      <c r="X4155" s="81" t="e">
        <f>HLOOKUP(Q4155,データについて!$J$11:$M$18,8,FALSE)</f>
        <v>#N/A</v>
      </c>
      <c r="Y4155" s="81" t="e">
        <f>HLOOKUP(R4155,データについて!$J$12:$M$18,7,FALSE)</f>
        <v>#N/A</v>
      </c>
      <c r="Z4155" s="81" t="e">
        <f>HLOOKUP(I4155,データについて!$J$3:$M$18,16,FALSE)</f>
        <v>#N/A</v>
      </c>
      <c r="AA4155" s="81" t="str">
        <f>IFERROR(HLOOKUP(J4155,データについて!$J$4:$AH$19,16,FALSE),"")</f>
        <v/>
      </c>
      <c r="AB4155" s="81" t="str">
        <f>IFERROR(HLOOKUP(K4155,データについて!$J$5:$AH$20,14,FALSE),"")</f>
        <v/>
      </c>
      <c r="AC4155" s="81" t="e">
        <f>IF(X4155=1,HLOOKUP(R4155,データについて!$J$12:$M$18,7,FALSE),"*")</f>
        <v>#N/A</v>
      </c>
      <c r="AD4155" s="81" t="e">
        <f>IF(X4155=2,HLOOKUP(R4155,データについて!$J$12:$M$18,7,FALSE),"*")</f>
        <v>#N/A</v>
      </c>
    </row>
    <row r="4156" spans="19:30">
      <c r="S4156" s="81" t="e">
        <f>HLOOKUP(L4156,データについて!$J$6:$M$18,13,FALSE)</f>
        <v>#N/A</v>
      </c>
      <c r="T4156" s="81" t="e">
        <f>HLOOKUP(M4156,データについて!$J$7:$M$18,12,FALSE)</f>
        <v>#N/A</v>
      </c>
      <c r="U4156" s="81" t="e">
        <f>HLOOKUP(N4156,データについて!$J$8:$M$18,11,FALSE)</f>
        <v>#N/A</v>
      </c>
      <c r="V4156" s="81" t="e">
        <f>HLOOKUP(O4156,データについて!$J$9:$M$18,10,FALSE)</f>
        <v>#N/A</v>
      </c>
      <c r="W4156" s="81" t="e">
        <f>HLOOKUP(P4156,データについて!$J$10:$M$18,9,FALSE)</f>
        <v>#N/A</v>
      </c>
      <c r="X4156" s="81" t="e">
        <f>HLOOKUP(Q4156,データについて!$J$11:$M$18,8,FALSE)</f>
        <v>#N/A</v>
      </c>
      <c r="Y4156" s="81" t="e">
        <f>HLOOKUP(R4156,データについて!$J$12:$M$18,7,FALSE)</f>
        <v>#N/A</v>
      </c>
      <c r="Z4156" s="81" t="e">
        <f>HLOOKUP(I4156,データについて!$J$3:$M$18,16,FALSE)</f>
        <v>#N/A</v>
      </c>
      <c r="AA4156" s="81" t="str">
        <f>IFERROR(HLOOKUP(J4156,データについて!$J$4:$AH$19,16,FALSE),"")</f>
        <v/>
      </c>
      <c r="AB4156" s="81" t="str">
        <f>IFERROR(HLOOKUP(K4156,データについて!$J$5:$AH$20,14,FALSE),"")</f>
        <v/>
      </c>
      <c r="AC4156" s="81" t="e">
        <f>IF(X4156=1,HLOOKUP(R4156,データについて!$J$12:$M$18,7,FALSE),"*")</f>
        <v>#N/A</v>
      </c>
      <c r="AD4156" s="81" t="e">
        <f>IF(X4156=2,HLOOKUP(R4156,データについて!$J$12:$M$18,7,FALSE),"*")</f>
        <v>#N/A</v>
      </c>
    </row>
    <row r="4157" spans="19:30">
      <c r="S4157" s="81" t="e">
        <f>HLOOKUP(L4157,データについて!$J$6:$M$18,13,FALSE)</f>
        <v>#N/A</v>
      </c>
      <c r="T4157" s="81" t="e">
        <f>HLOOKUP(M4157,データについて!$J$7:$M$18,12,FALSE)</f>
        <v>#N/A</v>
      </c>
      <c r="U4157" s="81" t="e">
        <f>HLOOKUP(N4157,データについて!$J$8:$M$18,11,FALSE)</f>
        <v>#N/A</v>
      </c>
      <c r="V4157" s="81" t="e">
        <f>HLOOKUP(O4157,データについて!$J$9:$M$18,10,FALSE)</f>
        <v>#N/A</v>
      </c>
      <c r="W4157" s="81" t="e">
        <f>HLOOKUP(P4157,データについて!$J$10:$M$18,9,FALSE)</f>
        <v>#N/A</v>
      </c>
      <c r="X4157" s="81" t="e">
        <f>HLOOKUP(Q4157,データについて!$J$11:$M$18,8,FALSE)</f>
        <v>#N/A</v>
      </c>
      <c r="Y4157" s="81" t="e">
        <f>HLOOKUP(R4157,データについて!$J$12:$M$18,7,FALSE)</f>
        <v>#N/A</v>
      </c>
      <c r="Z4157" s="81" t="e">
        <f>HLOOKUP(I4157,データについて!$J$3:$M$18,16,FALSE)</f>
        <v>#N/A</v>
      </c>
      <c r="AA4157" s="81" t="str">
        <f>IFERROR(HLOOKUP(J4157,データについて!$J$4:$AH$19,16,FALSE),"")</f>
        <v/>
      </c>
      <c r="AB4157" s="81" t="str">
        <f>IFERROR(HLOOKUP(K4157,データについて!$J$5:$AH$20,14,FALSE),"")</f>
        <v/>
      </c>
      <c r="AC4157" s="81" t="e">
        <f>IF(X4157=1,HLOOKUP(R4157,データについて!$J$12:$M$18,7,FALSE),"*")</f>
        <v>#N/A</v>
      </c>
      <c r="AD4157" s="81" t="e">
        <f>IF(X4157=2,HLOOKUP(R4157,データについて!$J$12:$M$18,7,FALSE),"*")</f>
        <v>#N/A</v>
      </c>
    </row>
    <row r="4158" spans="19:30">
      <c r="S4158" s="81" t="e">
        <f>HLOOKUP(L4158,データについて!$J$6:$M$18,13,FALSE)</f>
        <v>#N/A</v>
      </c>
      <c r="T4158" s="81" t="e">
        <f>HLOOKUP(M4158,データについて!$J$7:$M$18,12,FALSE)</f>
        <v>#N/A</v>
      </c>
      <c r="U4158" s="81" t="e">
        <f>HLOOKUP(N4158,データについて!$J$8:$M$18,11,FALSE)</f>
        <v>#N/A</v>
      </c>
      <c r="V4158" s="81" t="e">
        <f>HLOOKUP(O4158,データについて!$J$9:$M$18,10,FALSE)</f>
        <v>#N/A</v>
      </c>
      <c r="W4158" s="81" t="e">
        <f>HLOOKUP(P4158,データについて!$J$10:$M$18,9,FALSE)</f>
        <v>#N/A</v>
      </c>
      <c r="X4158" s="81" t="e">
        <f>HLOOKUP(Q4158,データについて!$J$11:$M$18,8,FALSE)</f>
        <v>#N/A</v>
      </c>
      <c r="Y4158" s="81" t="e">
        <f>HLOOKUP(R4158,データについて!$J$12:$M$18,7,FALSE)</f>
        <v>#N/A</v>
      </c>
      <c r="Z4158" s="81" t="e">
        <f>HLOOKUP(I4158,データについて!$J$3:$M$18,16,FALSE)</f>
        <v>#N/A</v>
      </c>
      <c r="AA4158" s="81" t="str">
        <f>IFERROR(HLOOKUP(J4158,データについて!$J$4:$AH$19,16,FALSE),"")</f>
        <v/>
      </c>
      <c r="AB4158" s="81" t="str">
        <f>IFERROR(HLOOKUP(K4158,データについて!$J$5:$AH$20,14,FALSE),"")</f>
        <v/>
      </c>
      <c r="AC4158" s="81" t="e">
        <f>IF(X4158=1,HLOOKUP(R4158,データについて!$J$12:$M$18,7,FALSE),"*")</f>
        <v>#N/A</v>
      </c>
      <c r="AD4158" s="81" t="e">
        <f>IF(X4158=2,HLOOKUP(R4158,データについて!$J$12:$M$18,7,FALSE),"*")</f>
        <v>#N/A</v>
      </c>
    </row>
    <row r="4159" spans="19:30">
      <c r="S4159" s="81" t="e">
        <f>HLOOKUP(L4159,データについて!$J$6:$M$18,13,FALSE)</f>
        <v>#N/A</v>
      </c>
      <c r="T4159" s="81" t="e">
        <f>HLOOKUP(M4159,データについて!$J$7:$M$18,12,FALSE)</f>
        <v>#N/A</v>
      </c>
      <c r="U4159" s="81" t="e">
        <f>HLOOKUP(N4159,データについて!$J$8:$M$18,11,FALSE)</f>
        <v>#N/A</v>
      </c>
      <c r="V4159" s="81" t="e">
        <f>HLOOKUP(O4159,データについて!$J$9:$M$18,10,FALSE)</f>
        <v>#N/A</v>
      </c>
      <c r="W4159" s="81" t="e">
        <f>HLOOKUP(P4159,データについて!$J$10:$M$18,9,FALSE)</f>
        <v>#N/A</v>
      </c>
      <c r="X4159" s="81" t="e">
        <f>HLOOKUP(Q4159,データについて!$J$11:$M$18,8,FALSE)</f>
        <v>#N/A</v>
      </c>
      <c r="Y4159" s="81" t="e">
        <f>HLOOKUP(R4159,データについて!$J$12:$M$18,7,FALSE)</f>
        <v>#N/A</v>
      </c>
      <c r="Z4159" s="81" t="e">
        <f>HLOOKUP(I4159,データについて!$J$3:$M$18,16,FALSE)</f>
        <v>#N/A</v>
      </c>
      <c r="AA4159" s="81" t="str">
        <f>IFERROR(HLOOKUP(J4159,データについて!$J$4:$AH$19,16,FALSE),"")</f>
        <v/>
      </c>
      <c r="AB4159" s="81" t="str">
        <f>IFERROR(HLOOKUP(K4159,データについて!$J$5:$AH$20,14,FALSE),"")</f>
        <v/>
      </c>
      <c r="AC4159" s="81" t="e">
        <f>IF(X4159=1,HLOOKUP(R4159,データについて!$J$12:$M$18,7,FALSE),"*")</f>
        <v>#N/A</v>
      </c>
      <c r="AD4159" s="81" t="e">
        <f>IF(X4159=2,HLOOKUP(R4159,データについて!$J$12:$M$18,7,FALSE),"*")</f>
        <v>#N/A</v>
      </c>
    </row>
    <row r="4160" spans="19:30">
      <c r="S4160" s="81" t="e">
        <f>HLOOKUP(L4160,データについて!$J$6:$M$18,13,FALSE)</f>
        <v>#N/A</v>
      </c>
      <c r="T4160" s="81" t="e">
        <f>HLOOKUP(M4160,データについて!$J$7:$M$18,12,FALSE)</f>
        <v>#N/A</v>
      </c>
      <c r="U4160" s="81" t="e">
        <f>HLOOKUP(N4160,データについて!$J$8:$M$18,11,FALSE)</f>
        <v>#N/A</v>
      </c>
      <c r="V4160" s="81" t="e">
        <f>HLOOKUP(O4160,データについて!$J$9:$M$18,10,FALSE)</f>
        <v>#N/A</v>
      </c>
      <c r="W4160" s="81" t="e">
        <f>HLOOKUP(P4160,データについて!$J$10:$M$18,9,FALSE)</f>
        <v>#N/A</v>
      </c>
      <c r="X4160" s="81" t="e">
        <f>HLOOKUP(Q4160,データについて!$J$11:$M$18,8,FALSE)</f>
        <v>#N/A</v>
      </c>
      <c r="Y4160" s="81" t="e">
        <f>HLOOKUP(R4160,データについて!$J$12:$M$18,7,FALSE)</f>
        <v>#N/A</v>
      </c>
      <c r="Z4160" s="81" t="e">
        <f>HLOOKUP(I4160,データについて!$J$3:$M$18,16,FALSE)</f>
        <v>#N/A</v>
      </c>
      <c r="AA4160" s="81" t="str">
        <f>IFERROR(HLOOKUP(J4160,データについて!$J$4:$AH$19,16,FALSE),"")</f>
        <v/>
      </c>
      <c r="AB4160" s="81" t="str">
        <f>IFERROR(HLOOKUP(K4160,データについて!$J$5:$AH$20,14,FALSE),"")</f>
        <v/>
      </c>
      <c r="AC4160" s="81" t="e">
        <f>IF(X4160=1,HLOOKUP(R4160,データについて!$J$12:$M$18,7,FALSE),"*")</f>
        <v>#N/A</v>
      </c>
      <c r="AD4160" s="81" t="e">
        <f>IF(X4160=2,HLOOKUP(R4160,データについて!$J$12:$M$18,7,FALSE),"*")</f>
        <v>#N/A</v>
      </c>
    </row>
    <row r="4161" spans="19:30">
      <c r="S4161" s="81" t="e">
        <f>HLOOKUP(L4161,データについて!$J$6:$M$18,13,FALSE)</f>
        <v>#N/A</v>
      </c>
      <c r="T4161" s="81" t="e">
        <f>HLOOKUP(M4161,データについて!$J$7:$M$18,12,FALSE)</f>
        <v>#N/A</v>
      </c>
      <c r="U4161" s="81" t="e">
        <f>HLOOKUP(N4161,データについて!$J$8:$M$18,11,FALSE)</f>
        <v>#N/A</v>
      </c>
      <c r="V4161" s="81" t="e">
        <f>HLOOKUP(O4161,データについて!$J$9:$M$18,10,FALSE)</f>
        <v>#N/A</v>
      </c>
      <c r="W4161" s="81" t="e">
        <f>HLOOKUP(P4161,データについて!$J$10:$M$18,9,FALSE)</f>
        <v>#N/A</v>
      </c>
      <c r="X4161" s="81" t="e">
        <f>HLOOKUP(Q4161,データについて!$J$11:$M$18,8,FALSE)</f>
        <v>#N/A</v>
      </c>
      <c r="Y4161" s="81" t="e">
        <f>HLOOKUP(R4161,データについて!$J$12:$M$18,7,FALSE)</f>
        <v>#N/A</v>
      </c>
      <c r="Z4161" s="81" t="e">
        <f>HLOOKUP(I4161,データについて!$J$3:$M$18,16,FALSE)</f>
        <v>#N/A</v>
      </c>
      <c r="AA4161" s="81" t="str">
        <f>IFERROR(HLOOKUP(J4161,データについて!$J$4:$AH$19,16,FALSE),"")</f>
        <v/>
      </c>
      <c r="AB4161" s="81" t="str">
        <f>IFERROR(HLOOKUP(K4161,データについて!$J$5:$AH$20,14,FALSE),"")</f>
        <v/>
      </c>
      <c r="AC4161" s="81" t="e">
        <f>IF(X4161=1,HLOOKUP(R4161,データについて!$J$12:$M$18,7,FALSE),"*")</f>
        <v>#N/A</v>
      </c>
      <c r="AD4161" s="81" t="e">
        <f>IF(X4161=2,HLOOKUP(R4161,データについて!$J$12:$M$18,7,FALSE),"*")</f>
        <v>#N/A</v>
      </c>
    </row>
    <row r="4162" spans="19:30">
      <c r="S4162" s="81" t="e">
        <f>HLOOKUP(L4162,データについて!$J$6:$M$18,13,FALSE)</f>
        <v>#N/A</v>
      </c>
      <c r="T4162" s="81" t="e">
        <f>HLOOKUP(M4162,データについて!$J$7:$M$18,12,FALSE)</f>
        <v>#N/A</v>
      </c>
      <c r="U4162" s="81" t="e">
        <f>HLOOKUP(N4162,データについて!$J$8:$M$18,11,FALSE)</f>
        <v>#N/A</v>
      </c>
      <c r="V4162" s="81" t="e">
        <f>HLOOKUP(O4162,データについて!$J$9:$M$18,10,FALSE)</f>
        <v>#N/A</v>
      </c>
      <c r="W4162" s="81" t="e">
        <f>HLOOKUP(P4162,データについて!$J$10:$M$18,9,FALSE)</f>
        <v>#N/A</v>
      </c>
      <c r="X4162" s="81" t="e">
        <f>HLOOKUP(Q4162,データについて!$J$11:$M$18,8,FALSE)</f>
        <v>#N/A</v>
      </c>
      <c r="Y4162" s="81" t="e">
        <f>HLOOKUP(R4162,データについて!$J$12:$M$18,7,FALSE)</f>
        <v>#N/A</v>
      </c>
      <c r="Z4162" s="81" t="e">
        <f>HLOOKUP(I4162,データについて!$J$3:$M$18,16,FALSE)</f>
        <v>#N/A</v>
      </c>
      <c r="AA4162" s="81" t="str">
        <f>IFERROR(HLOOKUP(J4162,データについて!$J$4:$AH$19,16,FALSE),"")</f>
        <v/>
      </c>
      <c r="AB4162" s="81" t="str">
        <f>IFERROR(HLOOKUP(K4162,データについて!$J$5:$AH$20,14,FALSE),"")</f>
        <v/>
      </c>
      <c r="AC4162" s="81" t="e">
        <f>IF(X4162=1,HLOOKUP(R4162,データについて!$J$12:$M$18,7,FALSE),"*")</f>
        <v>#N/A</v>
      </c>
      <c r="AD4162" s="81" t="e">
        <f>IF(X4162=2,HLOOKUP(R4162,データについて!$J$12:$M$18,7,FALSE),"*")</f>
        <v>#N/A</v>
      </c>
    </row>
    <row r="4163" spans="19:30">
      <c r="S4163" s="81" t="e">
        <f>HLOOKUP(L4163,データについて!$J$6:$M$18,13,FALSE)</f>
        <v>#N/A</v>
      </c>
      <c r="T4163" s="81" t="e">
        <f>HLOOKUP(M4163,データについて!$J$7:$M$18,12,FALSE)</f>
        <v>#N/A</v>
      </c>
      <c r="U4163" s="81" t="e">
        <f>HLOOKUP(N4163,データについて!$J$8:$M$18,11,FALSE)</f>
        <v>#N/A</v>
      </c>
      <c r="V4163" s="81" t="e">
        <f>HLOOKUP(O4163,データについて!$J$9:$M$18,10,FALSE)</f>
        <v>#N/A</v>
      </c>
      <c r="W4163" s="81" t="e">
        <f>HLOOKUP(P4163,データについて!$J$10:$M$18,9,FALSE)</f>
        <v>#N/A</v>
      </c>
      <c r="X4163" s="81" t="e">
        <f>HLOOKUP(Q4163,データについて!$J$11:$M$18,8,FALSE)</f>
        <v>#N/A</v>
      </c>
      <c r="Y4163" s="81" t="e">
        <f>HLOOKUP(R4163,データについて!$J$12:$M$18,7,FALSE)</f>
        <v>#N/A</v>
      </c>
      <c r="Z4163" s="81" t="e">
        <f>HLOOKUP(I4163,データについて!$J$3:$M$18,16,FALSE)</f>
        <v>#N/A</v>
      </c>
      <c r="AA4163" s="81" t="str">
        <f>IFERROR(HLOOKUP(J4163,データについて!$J$4:$AH$19,16,FALSE),"")</f>
        <v/>
      </c>
      <c r="AB4163" s="81" t="str">
        <f>IFERROR(HLOOKUP(K4163,データについて!$J$5:$AH$20,14,FALSE),"")</f>
        <v/>
      </c>
      <c r="AC4163" s="81" t="e">
        <f>IF(X4163=1,HLOOKUP(R4163,データについて!$J$12:$M$18,7,FALSE),"*")</f>
        <v>#N/A</v>
      </c>
      <c r="AD4163" s="81" t="e">
        <f>IF(X4163=2,HLOOKUP(R4163,データについて!$J$12:$M$18,7,FALSE),"*")</f>
        <v>#N/A</v>
      </c>
    </row>
    <row r="4164" spans="19:30">
      <c r="S4164" s="81" t="e">
        <f>HLOOKUP(L4164,データについて!$J$6:$M$18,13,FALSE)</f>
        <v>#N/A</v>
      </c>
      <c r="T4164" s="81" t="e">
        <f>HLOOKUP(M4164,データについて!$J$7:$M$18,12,FALSE)</f>
        <v>#N/A</v>
      </c>
      <c r="U4164" s="81" t="e">
        <f>HLOOKUP(N4164,データについて!$J$8:$M$18,11,FALSE)</f>
        <v>#N/A</v>
      </c>
      <c r="V4164" s="81" t="e">
        <f>HLOOKUP(O4164,データについて!$J$9:$M$18,10,FALSE)</f>
        <v>#N/A</v>
      </c>
      <c r="W4164" s="81" t="e">
        <f>HLOOKUP(P4164,データについて!$J$10:$M$18,9,FALSE)</f>
        <v>#N/A</v>
      </c>
      <c r="X4164" s="81" t="e">
        <f>HLOOKUP(Q4164,データについて!$J$11:$M$18,8,FALSE)</f>
        <v>#N/A</v>
      </c>
      <c r="Y4164" s="81" t="e">
        <f>HLOOKUP(R4164,データについて!$J$12:$M$18,7,FALSE)</f>
        <v>#N/A</v>
      </c>
      <c r="Z4164" s="81" t="e">
        <f>HLOOKUP(I4164,データについて!$J$3:$M$18,16,FALSE)</f>
        <v>#N/A</v>
      </c>
      <c r="AA4164" s="81" t="str">
        <f>IFERROR(HLOOKUP(J4164,データについて!$J$4:$AH$19,16,FALSE),"")</f>
        <v/>
      </c>
      <c r="AB4164" s="81" t="str">
        <f>IFERROR(HLOOKUP(K4164,データについて!$J$5:$AH$20,14,FALSE),"")</f>
        <v/>
      </c>
      <c r="AC4164" s="81" t="e">
        <f>IF(X4164=1,HLOOKUP(R4164,データについて!$J$12:$M$18,7,FALSE),"*")</f>
        <v>#N/A</v>
      </c>
      <c r="AD4164" s="81" t="e">
        <f>IF(X4164=2,HLOOKUP(R4164,データについて!$J$12:$M$18,7,FALSE),"*")</f>
        <v>#N/A</v>
      </c>
    </row>
    <row r="4165" spans="19:30">
      <c r="S4165" s="81" t="e">
        <f>HLOOKUP(L4165,データについて!$J$6:$M$18,13,FALSE)</f>
        <v>#N/A</v>
      </c>
      <c r="T4165" s="81" t="e">
        <f>HLOOKUP(M4165,データについて!$J$7:$M$18,12,FALSE)</f>
        <v>#N/A</v>
      </c>
      <c r="U4165" s="81" t="e">
        <f>HLOOKUP(N4165,データについて!$J$8:$M$18,11,FALSE)</f>
        <v>#N/A</v>
      </c>
      <c r="V4165" s="81" t="e">
        <f>HLOOKUP(O4165,データについて!$J$9:$M$18,10,FALSE)</f>
        <v>#N/A</v>
      </c>
      <c r="W4165" s="81" t="e">
        <f>HLOOKUP(P4165,データについて!$J$10:$M$18,9,FALSE)</f>
        <v>#N/A</v>
      </c>
      <c r="X4165" s="81" t="e">
        <f>HLOOKUP(Q4165,データについて!$J$11:$M$18,8,FALSE)</f>
        <v>#N/A</v>
      </c>
      <c r="Y4165" s="81" t="e">
        <f>HLOOKUP(R4165,データについて!$J$12:$M$18,7,FALSE)</f>
        <v>#N/A</v>
      </c>
      <c r="Z4165" s="81" t="e">
        <f>HLOOKUP(I4165,データについて!$J$3:$M$18,16,FALSE)</f>
        <v>#N/A</v>
      </c>
      <c r="AA4165" s="81" t="str">
        <f>IFERROR(HLOOKUP(J4165,データについて!$J$4:$AH$19,16,FALSE),"")</f>
        <v/>
      </c>
      <c r="AB4165" s="81" t="str">
        <f>IFERROR(HLOOKUP(K4165,データについて!$J$5:$AH$20,14,FALSE),"")</f>
        <v/>
      </c>
      <c r="AC4165" s="81" t="e">
        <f>IF(X4165=1,HLOOKUP(R4165,データについて!$J$12:$M$18,7,FALSE),"*")</f>
        <v>#N/A</v>
      </c>
      <c r="AD4165" s="81" t="e">
        <f>IF(X4165=2,HLOOKUP(R4165,データについて!$J$12:$M$18,7,FALSE),"*")</f>
        <v>#N/A</v>
      </c>
    </row>
    <row r="4166" spans="19:30">
      <c r="S4166" s="81" t="e">
        <f>HLOOKUP(L4166,データについて!$J$6:$M$18,13,FALSE)</f>
        <v>#N/A</v>
      </c>
      <c r="T4166" s="81" t="e">
        <f>HLOOKUP(M4166,データについて!$J$7:$M$18,12,FALSE)</f>
        <v>#N/A</v>
      </c>
      <c r="U4166" s="81" t="e">
        <f>HLOOKUP(N4166,データについて!$J$8:$M$18,11,FALSE)</f>
        <v>#N/A</v>
      </c>
      <c r="V4166" s="81" t="e">
        <f>HLOOKUP(O4166,データについて!$J$9:$M$18,10,FALSE)</f>
        <v>#N/A</v>
      </c>
      <c r="W4166" s="81" t="e">
        <f>HLOOKUP(P4166,データについて!$J$10:$M$18,9,FALSE)</f>
        <v>#N/A</v>
      </c>
      <c r="X4166" s="81" t="e">
        <f>HLOOKUP(Q4166,データについて!$J$11:$M$18,8,FALSE)</f>
        <v>#N/A</v>
      </c>
      <c r="Y4166" s="81" t="e">
        <f>HLOOKUP(R4166,データについて!$J$12:$M$18,7,FALSE)</f>
        <v>#N/A</v>
      </c>
      <c r="Z4166" s="81" t="e">
        <f>HLOOKUP(I4166,データについて!$J$3:$M$18,16,FALSE)</f>
        <v>#N/A</v>
      </c>
      <c r="AA4166" s="81" t="str">
        <f>IFERROR(HLOOKUP(J4166,データについて!$J$4:$AH$19,16,FALSE),"")</f>
        <v/>
      </c>
      <c r="AB4166" s="81" t="str">
        <f>IFERROR(HLOOKUP(K4166,データについて!$J$5:$AH$20,14,FALSE),"")</f>
        <v/>
      </c>
      <c r="AC4166" s="81" t="e">
        <f>IF(X4166=1,HLOOKUP(R4166,データについて!$J$12:$M$18,7,FALSE),"*")</f>
        <v>#N/A</v>
      </c>
      <c r="AD4166" s="81" t="e">
        <f>IF(X4166=2,HLOOKUP(R4166,データについて!$J$12:$M$18,7,FALSE),"*")</f>
        <v>#N/A</v>
      </c>
    </row>
    <row r="4167" spans="19:30">
      <c r="S4167" s="81" t="e">
        <f>HLOOKUP(L4167,データについて!$J$6:$M$18,13,FALSE)</f>
        <v>#N/A</v>
      </c>
      <c r="T4167" s="81" t="e">
        <f>HLOOKUP(M4167,データについて!$J$7:$M$18,12,FALSE)</f>
        <v>#N/A</v>
      </c>
      <c r="U4167" s="81" t="e">
        <f>HLOOKUP(N4167,データについて!$J$8:$M$18,11,FALSE)</f>
        <v>#N/A</v>
      </c>
      <c r="V4167" s="81" t="e">
        <f>HLOOKUP(O4167,データについて!$J$9:$M$18,10,FALSE)</f>
        <v>#N/A</v>
      </c>
      <c r="W4167" s="81" t="e">
        <f>HLOOKUP(P4167,データについて!$J$10:$M$18,9,FALSE)</f>
        <v>#N/A</v>
      </c>
      <c r="X4167" s="81" t="e">
        <f>HLOOKUP(Q4167,データについて!$J$11:$M$18,8,FALSE)</f>
        <v>#N/A</v>
      </c>
      <c r="Y4167" s="81" t="e">
        <f>HLOOKUP(R4167,データについて!$J$12:$M$18,7,FALSE)</f>
        <v>#N/A</v>
      </c>
      <c r="Z4167" s="81" t="e">
        <f>HLOOKUP(I4167,データについて!$J$3:$M$18,16,FALSE)</f>
        <v>#N/A</v>
      </c>
      <c r="AA4167" s="81" t="str">
        <f>IFERROR(HLOOKUP(J4167,データについて!$J$4:$AH$19,16,FALSE),"")</f>
        <v/>
      </c>
      <c r="AB4167" s="81" t="str">
        <f>IFERROR(HLOOKUP(K4167,データについて!$J$5:$AH$20,14,FALSE),"")</f>
        <v/>
      </c>
      <c r="AC4167" s="81" t="e">
        <f>IF(X4167=1,HLOOKUP(R4167,データについて!$J$12:$M$18,7,FALSE),"*")</f>
        <v>#N/A</v>
      </c>
      <c r="AD4167" s="81" t="e">
        <f>IF(X4167=2,HLOOKUP(R4167,データについて!$J$12:$M$18,7,FALSE),"*")</f>
        <v>#N/A</v>
      </c>
    </row>
    <row r="4168" spans="19:30">
      <c r="S4168" s="81" t="e">
        <f>HLOOKUP(L4168,データについて!$J$6:$M$18,13,FALSE)</f>
        <v>#N/A</v>
      </c>
      <c r="T4168" s="81" t="e">
        <f>HLOOKUP(M4168,データについて!$J$7:$M$18,12,FALSE)</f>
        <v>#N/A</v>
      </c>
      <c r="U4168" s="81" t="e">
        <f>HLOOKUP(N4168,データについて!$J$8:$M$18,11,FALSE)</f>
        <v>#N/A</v>
      </c>
      <c r="V4168" s="81" t="e">
        <f>HLOOKUP(O4168,データについて!$J$9:$M$18,10,FALSE)</f>
        <v>#N/A</v>
      </c>
      <c r="W4168" s="81" t="e">
        <f>HLOOKUP(P4168,データについて!$J$10:$M$18,9,FALSE)</f>
        <v>#N/A</v>
      </c>
      <c r="X4168" s="81" t="e">
        <f>HLOOKUP(Q4168,データについて!$J$11:$M$18,8,FALSE)</f>
        <v>#N/A</v>
      </c>
      <c r="Y4168" s="81" t="e">
        <f>HLOOKUP(R4168,データについて!$J$12:$M$18,7,FALSE)</f>
        <v>#N/A</v>
      </c>
      <c r="Z4168" s="81" t="e">
        <f>HLOOKUP(I4168,データについて!$J$3:$M$18,16,FALSE)</f>
        <v>#N/A</v>
      </c>
      <c r="AA4168" s="81" t="str">
        <f>IFERROR(HLOOKUP(J4168,データについて!$J$4:$AH$19,16,FALSE),"")</f>
        <v/>
      </c>
      <c r="AB4168" s="81" t="str">
        <f>IFERROR(HLOOKUP(K4168,データについて!$J$5:$AH$20,14,FALSE),"")</f>
        <v/>
      </c>
      <c r="AC4168" s="81" t="e">
        <f>IF(X4168=1,HLOOKUP(R4168,データについて!$J$12:$M$18,7,FALSE),"*")</f>
        <v>#N/A</v>
      </c>
      <c r="AD4168" s="81" t="e">
        <f>IF(X4168=2,HLOOKUP(R4168,データについて!$J$12:$M$18,7,FALSE),"*")</f>
        <v>#N/A</v>
      </c>
    </row>
    <row r="4169" spans="19:30">
      <c r="S4169" s="81" t="e">
        <f>HLOOKUP(L4169,データについて!$J$6:$M$18,13,FALSE)</f>
        <v>#N/A</v>
      </c>
      <c r="T4169" s="81" t="e">
        <f>HLOOKUP(M4169,データについて!$J$7:$M$18,12,FALSE)</f>
        <v>#N/A</v>
      </c>
      <c r="U4169" s="81" t="e">
        <f>HLOOKUP(N4169,データについて!$J$8:$M$18,11,FALSE)</f>
        <v>#N/A</v>
      </c>
      <c r="V4169" s="81" t="e">
        <f>HLOOKUP(O4169,データについて!$J$9:$M$18,10,FALSE)</f>
        <v>#N/A</v>
      </c>
      <c r="W4169" s="81" t="e">
        <f>HLOOKUP(P4169,データについて!$J$10:$M$18,9,FALSE)</f>
        <v>#N/A</v>
      </c>
      <c r="X4169" s="81" t="e">
        <f>HLOOKUP(Q4169,データについて!$J$11:$M$18,8,FALSE)</f>
        <v>#N/A</v>
      </c>
      <c r="Y4169" s="81" t="e">
        <f>HLOOKUP(R4169,データについて!$J$12:$M$18,7,FALSE)</f>
        <v>#N/A</v>
      </c>
      <c r="Z4169" s="81" t="e">
        <f>HLOOKUP(I4169,データについて!$J$3:$M$18,16,FALSE)</f>
        <v>#N/A</v>
      </c>
      <c r="AA4169" s="81" t="str">
        <f>IFERROR(HLOOKUP(J4169,データについて!$J$4:$AH$19,16,FALSE),"")</f>
        <v/>
      </c>
      <c r="AB4169" s="81" t="str">
        <f>IFERROR(HLOOKUP(K4169,データについて!$J$5:$AH$20,14,FALSE),"")</f>
        <v/>
      </c>
      <c r="AC4169" s="81" t="e">
        <f>IF(X4169=1,HLOOKUP(R4169,データについて!$J$12:$M$18,7,FALSE),"*")</f>
        <v>#N/A</v>
      </c>
      <c r="AD4169" s="81" t="e">
        <f>IF(X4169=2,HLOOKUP(R4169,データについて!$J$12:$M$18,7,FALSE),"*")</f>
        <v>#N/A</v>
      </c>
    </row>
    <row r="4170" spans="19:30">
      <c r="S4170" s="81" t="e">
        <f>HLOOKUP(L4170,データについて!$J$6:$M$18,13,FALSE)</f>
        <v>#N/A</v>
      </c>
      <c r="T4170" s="81" t="e">
        <f>HLOOKUP(M4170,データについて!$J$7:$M$18,12,FALSE)</f>
        <v>#N/A</v>
      </c>
      <c r="U4170" s="81" t="e">
        <f>HLOOKUP(N4170,データについて!$J$8:$M$18,11,FALSE)</f>
        <v>#N/A</v>
      </c>
      <c r="V4170" s="81" t="e">
        <f>HLOOKUP(O4170,データについて!$J$9:$M$18,10,FALSE)</f>
        <v>#N/A</v>
      </c>
      <c r="W4170" s="81" t="e">
        <f>HLOOKUP(P4170,データについて!$J$10:$M$18,9,FALSE)</f>
        <v>#N/A</v>
      </c>
      <c r="X4170" s="81" t="e">
        <f>HLOOKUP(Q4170,データについて!$J$11:$M$18,8,FALSE)</f>
        <v>#N/A</v>
      </c>
      <c r="Y4170" s="81" t="e">
        <f>HLOOKUP(R4170,データについて!$J$12:$M$18,7,FALSE)</f>
        <v>#N/A</v>
      </c>
      <c r="Z4170" s="81" t="e">
        <f>HLOOKUP(I4170,データについて!$J$3:$M$18,16,FALSE)</f>
        <v>#N/A</v>
      </c>
      <c r="AA4170" s="81" t="str">
        <f>IFERROR(HLOOKUP(J4170,データについて!$J$4:$AH$19,16,FALSE),"")</f>
        <v/>
      </c>
      <c r="AB4170" s="81" t="str">
        <f>IFERROR(HLOOKUP(K4170,データについて!$J$5:$AH$20,14,FALSE),"")</f>
        <v/>
      </c>
      <c r="AC4170" s="81" t="e">
        <f>IF(X4170=1,HLOOKUP(R4170,データについて!$J$12:$M$18,7,FALSE),"*")</f>
        <v>#N/A</v>
      </c>
      <c r="AD4170" s="81" t="e">
        <f>IF(X4170=2,HLOOKUP(R4170,データについて!$J$12:$M$18,7,FALSE),"*")</f>
        <v>#N/A</v>
      </c>
    </row>
    <row r="4171" spans="19:30">
      <c r="S4171" s="81" t="e">
        <f>HLOOKUP(L4171,データについて!$J$6:$M$18,13,FALSE)</f>
        <v>#N/A</v>
      </c>
      <c r="T4171" s="81" t="e">
        <f>HLOOKUP(M4171,データについて!$J$7:$M$18,12,FALSE)</f>
        <v>#N/A</v>
      </c>
      <c r="U4171" s="81" t="e">
        <f>HLOOKUP(N4171,データについて!$J$8:$M$18,11,FALSE)</f>
        <v>#N/A</v>
      </c>
      <c r="V4171" s="81" t="e">
        <f>HLOOKUP(O4171,データについて!$J$9:$M$18,10,FALSE)</f>
        <v>#N/A</v>
      </c>
      <c r="W4171" s="81" t="e">
        <f>HLOOKUP(P4171,データについて!$J$10:$M$18,9,FALSE)</f>
        <v>#N/A</v>
      </c>
      <c r="X4171" s="81" t="e">
        <f>HLOOKUP(Q4171,データについて!$J$11:$M$18,8,FALSE)</f>
        <v>#N/A</v>
      </c>
      <c r="Y4171" s="81" t="e">
        <f>HLOOKUP(R4171,データについて!$J$12:$M$18,7,FALSE)</f>
        <v>#N/A</v>
      </c>
      <c r="Z4171" s="81" t="e">
        <f>HLOOKUP(I4171,データについて!$J$3:$M$18,16,FALSE)</f>
        <v>#N/A</v>
      </c>
      <c r="AA4171" s="81" t="str">
        <f>IFERROR(HLOOKUP(J4171,データについて!$J$4:$AH$19,16,FALSE),"")</f>
        <v/>
      </c>
      <c r="AB4171" s="81" t="str">
        <f>IFERROR(HLOOKUP(K4171,データについて!$J$5:$AH$20,14,FALSE),"")</f>
        <v/>
      </c>
      <c r="AC4171" s="81" t="e">
        <f>IF(X4171=1,HLOOKUP(R4171,データについて!$J$12:$M$18,7,FALSE),"*")</f>
        <v>#N/A</v>
      </c>
      <c r="AD4171" s="81" t="e">
        <f>IF(X4171=2,HLOOKUP(R4171,データについて!$J$12:$M$18,7,FALSE),"*")</f>
        <v>#N/A</v>
      </c>
    </row>
    <row r="4172" spans="19:30">
      <c r="S4172" s="81" t="e">
        <f>HLOOKUP(L4172,データについて!$J$6:$M$18,13,FALSE)</f>
        <v>#N/A</v>
      </c>
      <c r="T4172" s="81" t="e">
        <f>HLOOKUP(M4172,データについて!$J$7:$M$18,12,FALSE)</f>
        <v>#N/A</v>
      </c>
      <c r="U4172" s="81" t="e">
        <f>HLOOKUP(N4172,データについて!$J$8:$M$18,11,FALSE)</f>
        <v>#N/A</v>
      </c>
      <c r="V4172" s="81" t="e">
        <f>HLOOKUP(O4172,データについて!$J$9:$M$18,10,FALSE)</f>
        <v>#N/A</v>
      </c>
      <c r="W4172" s="81" t="e">
        <f>HLOOKUP(P4172,データについて!$J$10:$M$18,9,FALSE)</f>
        <v>#N/A</v>
      </c>
      <c r="X4172" s="81" t="e">
        <f>HLOOKUP(Q4172,データについて!$J$11:$M$18,8,FALSE)</f>
        <v>#N/A</v>
      </c>
      <c r="Y4172" s="81" t="e">
        <f>HLOOKUP(R4172,データについて!$J$12:$M$18,7,FALSE)</f>
        <v>#N/A</v>
      </c>
      <c r="Z4172" s="81" t="e">
        <f>HLOOKUP(I4172,データについて!$J$3:$M$18,16,FALSE)</f>
        <v>#N/A</v>
      </c>
      <c r="AA4172" s="81" t="str">
        <f>IFERROR(HLOOKUP(J4172,データについて!$J$4:$AH$19,16,FALSE),"")</f>
        <v/>
      </c>
      <c r="AB4172" s="81" t="str">
        <f>IFERROR(HLOOKUP(K4172,データについて!$J$5:$AH$20,14,FALSE),"")</f>
        <v/>
      </c>
      <c r="AC4172" s="81" t="e">
        <f>IF(X4172=1,HLOOKUP(R4172,データについて!$J$12:$M$18,7,FALSE),"*")</f>
        <v>#N/A</v>
      </c>
      <c r="AD4172" s="81" t="e">
        <f>IF(X4172=2,HLOOKUP(R4172,データについて!$J$12:$M$18,7,FALSE),"*")</f>
        <v>#N/A</v>
      </c>
    </row>
    <row r="4173" spans="19:30">
      <c r="S4173" s="81" t="e">
        <f>HLOOKUP(L4173,データについて!$J$6:$M$18,13,FALSE)</f>
        <v>#N/A</v>
      </c>
      <c r="T4173" s="81" t="e">
        <f>HLOOKUP(M4173,データについて!$J$7:$M$18,12,FALSE)</f>
        <v>#N/A</v>
      </c>
      <c r="U4173" s="81" t="e">
        <f>HLOOKUP(N4173,データについて!$J$8:$M$18,11,FALSE)</f>
        <v>#N/A</v>
      </c>
      <c r="V4173" s="81" t="e">
        <f>HLOOKUP(O4173,データについて!$J$9:$M$18,10,FALSE)</f>
        <v>#N/A</v>
      </c>
      <c r="W4173" s="81" t="e">
        <f>HLOOKUP(P4173,データについて!$J$10:$M$18,9,FALSE)</f>
        <v>#N/A</v>
      </c>
      <c r="X4173" s="81" t="e">
        <f>HLOOKUP(Q4173,データについて!$J$11:$M$18,8,FALSE)</f>
        <v>#N/A</v>
      </c>
      <c r="Y4173" s="81" t="e">
        <f>HLOOKUP(R4173,データについて!$J$12:$M$18,7,FALSE)</f>
        <v>#N/A</v>
      </c>
      <c r="Z4173" s="81" t="e">
        <f>HLOOKUP(I4173,データについて!$J$3:$M$18,16,FALSE)</f>
        <v>#N/A</v>
      </c>
      <c r="AA4173" s="81" t="str">
        <f>IFERROR(HLOOKUP(J4173,データについて!$J$4:$AH$19,16,FALSE),"")</f>
        <v/>
      </c>
      <c r="AB4173" s="81" t="str">
        <f>IFERROR(HLOOKUP(K4173,データについて!$J$5:$AH$20,14,FALSE),"")</f>
        <v/>
      </c>
      <c r="AC4173" s="81" t="e">
        <f>IF(X4173=1,HLOOKUP(R4173,データについて!$J$12:$M$18,7,FALSE),"*")</f>
        <v>#N/A</v>
      </c>
      <c r="AD4173" s="81" t="e">
        <f>IF(X4173=2,HLOOKUP(R4173,データについて!$J$12:$M$18,7,FALSE),"*")</f>
        <v>#N/A</v>
      </c>
    </row>
    <row r="4174" spans="19:30">
      <c r="S4174" s="81" t="e">
        <f>HLOOKUP(L4174,データについて!$J$6:$M$18,13,FALSE)</f>
        <v>#N/A</v>
      </c>
      <c r="T4174" s="81" t="e">
        <f>HLOOKUP(M4174,データについて!$J$7:$M$18,12,FALSE)</f>
        <v>#N/A</v>
      </c>
      <c r="U4174" s="81" t="e">
        <f>HLOOKUP(N4174,データについて!$J$8:$M$18,11,FALSE)</f>
        <v>#N/A</v>
      </c>
      <c r="V4174" s="81" t="e">
        <f>HLOOKUP(O4174,データについて!$J$9:$M$18,10,FALSE)</f>
        <v>#N/A</v>
      </c>
      <c r="W4174" s="81" t="e">
        <f>HLOOKUP(P4174,データについて!$J$10:$M$18,9,FALSE)</f>
        <v>#N/A</v>
      </c>
      <c r="X4174" s="81" t="e">
        <f>HLOOKUP(Q4174,データについて!$J$11:$M$18,8,FALSE)</f>
        <v>#N/A</v>
      </c>
      <c r="Y4174" s="81" t="e">
        <f>HLOOKUP(R4174,データについて!$J$12:$M$18,7,FALSE)</f>
        <v>#N/A</v>
      </c>
      <c r="Z4174" s="81" t="e">
        <f>HLOOKUP(I4174,データについて!$J$3:$M$18,16,FALSE)</f>
        <v>#N/A</v>
      </c>
      <c r="AA4174" s="81" t="str">
        <f>IFERROR(HLOOKUP(J4174,データについて!$J$4:$AH$19,16,FALSE),"")</f>
        <v/>
      </c>
      <c r="AB4174" s="81" t="str">
        <f>IFERROR(HLOOKUP(K4174,データについて!$J$5:$AH$20,14,FALSE),"")</f>
        <v/>
      </c>
      <c r="AC4174" s="81" t="e">
        <f>IF(X4174=1,HLOOKUP(R4174,データについて!$J$12:$M$18,7,FALSE),"*")</f>
        <v>#N/A</v>
      </c>
      <c r="AD4174" s="81" t="e">
        <f>IF(X4174=2,HLOOKUP(R4174,データについて!$J$12:$M$18,7,FALSE),"*")</f>
        <v>#N/A</v>
      </c>
    </row>
    <row r="4175" spans="19:30">
      <c r="S4175" s="81" t="e">
        <f>HLOOKUP(L4175,データについて!$J$6:$M$18,13,FALSE)</f>
        <v>#N/A</v>
      </c>
      <c r="T4175" s="81" t="e">
        <f>HLOOKUP(M4175,データについて!$J$7:$M$18,12,FALSE)</f>
        <v>#N/A</v>
      </c>
      <c r="U4175" s="81" t="e">
        <f>HLOOKUP(N4175,データについて!$J$8:$M$18,11,FALSE)</f>
        <v>#N/A</v>
      </c>
      <c r="V4175" s="81" t="e">
        <f>HLOOKUP(O4175,データについて!$J$9:$M$18,10,FALSE)</f>
        <v>#N/A</v>
      </c>
      <c r="W4175" s="81" t="e">
        <f>HLOOKUP(P4175,データについて!$J$10:$M$18,9,FALSE)</f>
        <v>#N/A</v>
      </c>
      <c r="X4175" s="81" t="e">
        <f>HLOOKUP(Q4175,データについて!$J$11:$M$18,8,FALSE)</f>
        <v>#N/A</v>
      </c>
      <c r="Y4175" s="81" t="e">
        <f>HLOOKUP(R4175,データについて!$J$12:$M$18,7,FALSE)</f>
        <v>#N/A</v>
      </c>
      <c r="Z4175" s="81" t="e">
        <f>HLOOKUP(I4175,データについて!$J$3:$M$18,16,FALSE)</f>
        <v>#N/A</v>
      </c>
      <c r="AA4175" s="81" t="str">
        <f>IFERROR(HLOOKUP(J4175,データについて!$J$4:$AH$19,16,FALSE),"")</f>
        <v/>
      </c>
      <c r="AB4175" s="81" t="str">
        <f>IFERROR(HLOOKUP(K4175,データについて!$J$5:$AH$20,14,FALSE),"")</f>
        <v/>
      </c>
      <c r="AC4175" s="81" t="e">
        <f>IF(X4175=1,HLOOKUP(R4175,データについて!$J$12:$M$18,7,FALSE),"*")</f>
        <v>#N/A</v>
      </c>
      <c r="AD4175" s="81" t="e">
        <f>IF(X4175=2,HLOOKUP(R4175,データについて!$J$12:$M$18,7,FALSE),"*")</f>
        <v>#N/A</v>
      </c>
    </row>
    <row r="4176" spans="19:30">
      <c r="S4176" s="81" t="e">
        <f>HLOOKUP(L4176,データについて!$J$6:$M$18,13,FALSE)</f>
        <v>#N/A</v>
      </c>
      <c r="T4176" s="81" t="e">
        <f>HLOOKUP(M4176,データについて!$J$7:$M$18,12,FALSE)</f>
        <v>#N/A</v>
      </c>
      <c r="U4176" s="81" t="e">
        <f>HLOOKUP(N4176,データについて!$J$8:$M$18,11,FALSE)</f>
        <v>#N/A</v>
      </c>
      <c r="V4176" s="81" t="e">
        <f>HLOOKUP(O4176,データについて!$J$9:$M$18,10,FALSE)</f>
        <v>#N/A</v>
      </c>
      <c r="W4176" s="81" t="e">
        <f>HLOOKUP(P4176,データについて!$J$10:$M$18,9,FALSE)</f>
        <v>#N/A</v>
      </c>
      <c r="X4176" s="81" t="e">
        <f>HLOOKUP(Q4176,データについて!$J$11:$M$18,8,FALSE)</f>
        <v>#N/A</v>
      </c>
      <c r="Y4176" s="81" t="e">
        <f>HLOOKUP(R4176,データについて!$J$12:$M$18,7,FALSE)</f>
        <v>#N/A</v>
      </c>
      <c r="Z4176" s="81" t="e">
        <f>HLOOKUP(I4176,データについて!$J$3:$M$18,16,FALSE)</f>
        <v>#N/A</v>
      </c>
      <c r="AA4176" s="81" t="str">
        <f>IFERROR(HLOOKUP(J4176,データについて!$J$4:$AH$19,16,FALSE),"")</f>
        <v/>
      </c>
      <c r="AB4176" s="81" t="str">
        <f>IFERROR(HLOOKUP(K4176,データについて!$J$5:$AH$20,14,FALSE),"")</f>
        <v/>
      </c>
      <c r="AC4176" s="81" t="e">
        <f>IF(X4176=1,HLOOKUP(R4176,データについて!$J$12:$M$18,7,FALSE),"*")</f>
        <v>#N/A</v>
      </c>
      <c r="AD4176" s="81" t="e">
        <f>IF(X4176=2,HLOOKUP(R4176,データについて!$J$12:$M$18,7,FALSE),"*")</f>
        <v>#N/A</v>
      </c>
    </row>
    <row r="4177" spans="19:30">
      <c r="S4177" s="81" t="e">
        <f>HLOOKUP(L4177,データについて!$J$6:$M$18,13,FALSE)</f>
        <v>#N/A</v>
      </c>
      <c r="T4177" s="81" t="e">
        <f>HLOOKUP(M4177,データについて!$J$7:$M$18,12,FALSE)</f>
        <v>#N/A</v>
      </c>
      <c r="U4177" s="81" t="e">
        <f>HLOOKUP(N4177,データについて!$J$8:$M$18,11,FALSE)</f>
        <v>#N/A</v>
      </c>
      <c r="V4177" s="81" t="e">
        <f>HLOOKUP(O4177,データについて!$J$9:$M$18,10,FALSE)</f>
        <v>#N/A</v>
      </c>
      <c r="W4177" s="81" t="e">
        <f>HLOOKUP(P4177,データについて!$J$10:$M$18,9,FALSE)</f>
        <v>#N/A</v>
      </c>
      <c r="X4177" s="81" t="e">
        <f>HLOOKUP(Q4177,データについて!$J$11:$M$18,8,FALSE)</f>
        <v>#N/A</v>
      </c>
      <c r="Y4177" s="81" t="e">
        <f>HLOOKUP(R4177,データについて!$J$12:$M$18,7,FALSE)</f>
        <v>#N/A</v>
      </c>
      <c r="Z4177" s="81" t="e">
        <f>HLOOKUP(I4177,データについて!$J$3:$M$18,16,FALSE)</f>
        <v>#N/A</v>
      </c>
      <c r="AA4177" s="81" t="str">
        <f>IFERROR(HLOOKUP(J4177,データについて!$J$4:$AH$19,16,FALSE),"")</f>
        <v/>
      </c>
      <c r="AB4177" s="81" t="str">
        <f>IFERROR(HLOOKUP(K4177,データについて!$J$5:$AH$20,14,FALSE),"")</f>
        <v/>
      </c>
      <c r="AC4177" s="81" t="e">
        <f>IF(X4177=1,HLOOKUP(R4177,データについて!$J$12:$M$18,7,FALSE),"*")</f>
        <v>#N/A</v>
      </c>
      <c r="AD4177" s="81" t="e">
        <f>IF(X4177=2,HLOOKUP(R4177,データについて!$J$12:$M$18,7,FALSE),"*")</f>
        <v>#N/A</v>
      </c>
    </row>
    <row r="4178" spans="19:30">
      <c r="S4178" s="81" t="e">
        <f>HLOOKUP(L4178,データについて!$J$6:$M$18,13,FALSE)</f>
        <v>#N/A</v>
      </c>
      <c r="T4178" s="81" t="e">
        <f>HLOOKUP(M4178,データについて!$J$7:$M$18,12,FALSE)</f>
        <v>#N/A</v>
      </c>
      <c r="U4178" s="81" t="e">
        <f>HLOOKUP(N4178,データについて!$J$8:$M$18,11,FALSE)</f>
        <v>#N/A</v>
      </c>
      <c r="V4178" s="81" t="e">
        <f>HLOOKUP(O4178,データについて!$J$9:$M$18,10,FALSE)</f>
        <v>#N/A</v>
      </c>
      <c r="W4178" s="81" t="e">
        <f>HLOOKUP(P4178,データについて!$J$10:$M$18,9,FALSE)</f>
        <v>#N/A</v>
      </c>
      <c r="X4178" s="81" t="e">
        <f>HLOOKUP(Q4178,データについて!$J$11:$M$18,8,FALSE)</f>
        <v>#N/A</v>
      </c>
      <c r="Y4178" s="81" t="e">
        <f>HLOOKUP(R4178,データについて!$J$12:$M$18,7,FALSE)</f>
        <v>#N/A</v>
      </c>
      <c r="Z4178" s="81" t="e">
        <f>HLOOKUP(I4178,データについて!$J$3:$M$18,16,FALSE)</f>
        <v>#N/A</v>
      </c>
      <c r="AA4178" s="81" t="str">
        <f>IFERROR(HLOOKUP(J4178,データについて!$J$4:$AH$19,16,FALSE),"")</f>
        <v/>
      </c>
      <c r="AB4178" s="81" t="str">
        <f>IFERROR(HLOOKUP(K4178,データについて!$J$5:$AH$20,14,FALSE),"")</f>
        <v/>
      </c>
      <c r="AC4178" s="81" t="e">
        <f>IF(X4178=1,HLOOKUP(R4178,データについて!$J$12:$M$18,7,FALSE),"*")</f>
        <v>#N/A</v>
      </c>
      <c r="AD4178" s="81" t="e">
        <f>IF(X4178=2,HLOOKUP(R4178,データについて!$J$12:$M$18,7,FALSE),"*")</f>
        <v>#N/A</v>
      </c>
    </row>
    <row r="4179" spans="19:30">
      <c r="S4179" s="81" t="e">
        <f>HLOOKUP(L4179,データについて!$J$6:$M$18,13,FALSE)</f>
        <v>#N/A</v>
      </c>
      <c r="T4179" s="81" t="e">
        <f>HLOOKUP(M4179,データについて!$J$7:$M$18,12,FALSE)</f>
        <v>#N/A</v>
      </c>
      <c r="U4179" s="81" t="e">
        <f>HLOOKUP(N4179,データについて!$J$8:$M$18,11,FALSE)</f>
        <v>#N/A</v>
      </c>
      <c r="V4179" s="81" t="e">
        <f>HLOOKUP(O4179,データについて!$J$9:$M$18,10,FALSE)</f>
        <v>#N/A</v>
      </c>
      <c r="W4179" s="81" t="e">
        <f>HLOOKUP(P4179,データについて!$J$10:$M$18,9,FALSE)</f>
        <v>#N/A</v>
      </c>
      <c r="X4179" s="81" t="e">
        <f>HLOOKUP(Q4179,データについて!$J$11:$M$18,8,FALSE)</f>
        <v>#N/A</v>
      </c>
      <c r="Y4179" s="81" t="e">
        <f>HLOOKUP(R4179,データについて!$J$12:$M$18,7,FALSE)</f>
        <v>#N/A</v>
      </c>
      <c r="Z4179" s="81" t="e">
        <f>HLOOKUP(I4179,データについて!$J$3:$M$18,16,FALSE)</f>
        <v>#N/A</v>
      </c>
      <c r="AA4179" s="81" t="str">
        <f>IFERROR(HLOOKUP(J4179,データについて!$J$4:$AH$19,16,FALSE),"")</f>
        <v/>
      </c>
      <c r="AB4179" s="81" t="str">
        <f>IFERROR(HLOOKUP(K4179,データについて!$J$5:$AH$20,14,FALSE),"")</f>
        <v/>
      </c>
      <c r="AC4179" s="81" t="e">
        <f>IF(X4179=1,HLOOKUP(R4179,データについて!$J$12:$M$18,7,FALSE),"*")</f>
        <v>#N/A</v>
      </c>
      <c r="AD4179" s="81" t="e">
        <f>IF(X4179=2,HLOOKUP(R4179,データについて!$J$12:$M$18,7,FALSE),"*")</f>
        <v>#N/A</v>
      </c>
    </row>
    <row r="4180" spans="19:30">
      <c r="S4180" s="81" t="e">
        <f>HLOOKUP(L4180,データについて!$J$6:$M$18,13,FALSE)</f>
        <v>#N/A</v>
      </c>
      <c r="T4180" s="81" t="e">
        <f>HLOOKUP(M4180,データについて!$J$7:$M$18,12,FALSE)</f>
        <v>#N/A</v>
      </c>
      <c r="U4180" s="81" t="e">
        <f>HLOOKUP(N4180,データについて!$J$8:$M$18,11,FALSE)</f>
        <v>#N/A</v>
      </c>
      <c r="V4180" s="81" t="e">
        <f>HLOOKUP(O4180,データについて!$J$9:$M$18,10,FALSE)</f>
        <v>#N/A</v>
      </c>
      <c r="W4180" s="81" t="e">
        <f>HLOOKUP(P4180,データについて!$J$10:$M$18,9,FALSE)</f>
        <v>#N/A</v>
      </c>
      <c r="X4180" s="81" t="e">
        <f>HLOOKUP(Q4180,データについて!$J$11:$M$18,8,FALSE)</f>
        <v>#N/A</v>
      </c>
      <c r="Y4180" s="81" t="e">
        <f>HLOOKUP(R4180,データについて!$J$12:$M$18,7,FALSE)</f>
        <v>#N/A</v>
      </c>
      <c r="Z4180" s="81" t="e">
        <f>HLOOKUP(I4180,データについて!$J$3:$M$18,16,FALSE)</f>
        <v>#N/A</v>
      </c>
      <c r="AA4180" s="81" t="str">
        <f>IFERROR(HLOOKUP(J4180,データについて!$J$4:$AH$19,16,FALSE),"")</f>
        <v/>
      </c>
      <c r="AB4180" s="81" t="str">
        <f>IFERROR(HLOOKUP(K4180,データについて!$J$5:$AH$20,14,FALSE),"")</f>
        <v/>
      </c>
      <c r="AC4180" s="81" t="e">
        <f>IF(X4180=1,HLOOKUP(R4180,データについて!$J$12:$M$18,7,FALSE),"*")</f>
        <v>#N/A</v>
      </c>
      <c r="AD4180" s="81" t="e">
        <f>IF(X4180=2,HLOOKUP(R4180,データについて!$J$12:$M$18,7,FALSE),"*")</f>
        <v>#N/A</v>
      </c>
    </row>
    <row r="4181" spans="19:30">
      <c r="S4181" s="81" t="e">
        <f>HLOOKUP(L4181,データについて!$J$6:$M$18,13,FALSE)</f>
        <v>#N/A</v>
      </c>
      <c r="T4181" s="81" t="e">
        <f>HLOOKUP(M4181,データについて!$J$7:$M$18,12,FALSE)</f>
        <v>#N/A</v>
      </c>
      <c r="U4181" s="81" t="e">
        <f>HLOOKUP(N4181,データについて!$J$8:$M$18,11,FALSE)</f>
        <v>#N/A</v>
      </c>
      <c r="V4181" s="81" t="e">
        <f>HLOOKUP(O4181,データについて!$J$9:$M$18,10,FALSE)</f>
        <v>#N/A</v>
      </c>
      <c r="W4181" s="81" t="e">
        <f>HLOOKUP(P4181,データについて!$J$10:$M$18,9,FALSE)</f>
        <v>#N/A</v>
      </c>
      <c r="X4181" s="81" t="e">
        <f>HLOOKUP(Q4181,データについて!$J$11:$M$18,8,FALSE)</f>
        <v>#N/A</v>
      </c>
      <c r="Y4181" s="81" t="e">
        <f>HLOOKUP(R4181,データについて!$J$12:$M$18,7,FALSE)</f>
        <v>#N/A</v>
      </c>
      <c r="Z4181" s="81" t="e">
        <f>HLOOKUP(I4181,データについて!$J$3:$M$18,16,FALSE)</f>
        <v>#N/A</v>
      </c>
      <c r="AA4181" s="81" t="str">
        <f>IFERROR(HLOOKUP(J4181,データについて!$J$4:$AH$19,16,FALSE),"")</f>
        <v/>
      </c>
      <c r="AB4181" s="81" t="str">
        <f>IFERROR(HLOOKUP(K4181,データについて!$J$5:$AH$20,14,FALSE),"")</f>
        <v/>
      </c>
      <c r="AC4181" s="81" t="e">
        <f>IF(X4181=1,HLOOKUP(R4181,データについて!$J$12:$M$18,7,FALSE),"*")</f>
        <v>#N/A</v>
      </c>
      <c r="AD4181" s="81" t="e">
        <f>IF(X4181=2,HLOOKUP(R4181,データについて!$J$12:$M$18,7,FALSE),"*")</f>
        <v>#N/A</v>
      </c>
    </row>
    <row r="4182" spans="19:30">
      <c r="S4182" s="81" t="e">
        <f>HLOOKUP(L4182,データについて!$J$6:$M$18,13,FALSE)</f>
        <v>#N/A</v>
      </c>
      <c r="T4182" s="81" t="e">
        <f>HLOOKUP(M4182,データについて!$J$7:$M$18,12,FALSE)</f>
        <v>#N/A</v>
      </c>
      <c r="U4182" s="81" t="e">
        <f>HLOOKUP(N4182,データについて!$J$8:$M$18,11,FALSE)</f>
        <v>#N/A</v>
      </c>
      <c r="V4182" s="81" t="e">
        <f>HLOOKUP(O4182,データについて!$J$9:$M$18,10,FALSE)</f>
        <v>#N/A</v>
      </c>
      <c r="W4182" s="81" t="e">
        <f>HLOOKUP(P4182,データについて!$J$10:$M$18,9,FALSE)</f>
        <v>#N/A</v>
      </c>
      <c r="X4182" s="81" t="e">
        <f>HLOOKUP(Q4182,データについて!$J$11:$M$18,8,FALSE)</f>
        <v>#N/A</v>
      </c>
      <c r="Y4182" s="81" t="e">
        <f>HLOOKUP(R4182,データについて!$J$12:$M$18,7,FALSE)</f>
        <v>#N/A</v>
      </c>
      <c r="Z4182" s="81" t="e">
        <f>HLOOKUP(I4182,データについて!$J$3:$M$18,16,FALSE)</f>
        <v>#N/A</v>
      </c>
      <c r="AA4182" s="81" t="str">
        <f>IFERROR(HLOOKUP(J4182,データについて!$J$4:$AH$19,16,FALSE),"")</f>
        <v/>
      </c>
      <c r="AB4182" s="81" t="str">
        <f>IFERROR(HLOOKUP(K4182,データについて!$J$5:$AH$20,14,FALSE),"")</f>
        <v/>
      </c>
      <c r="AC4182" s="81" t="e">
        <f>IF(X4182=1,HLOOKUP(R4182,データについて!$J$12:$M$18,7,FALSE),"*")</f>
        <v>#N/A</v>
      </c>
      <c r="AD4182" s="81" t="e">
        <f>IF(X4182=2,HLOOKUP(R4182,データについて!$J$12:$M$18,7,FALSE),"*")</f>
        <v>#N/A</v>
      </c>
    </row>
    <row r="4183" spans="19:30">
      <c r="S4183" s="81" t="e">
        <f>HLOOKUP(L4183,データについて!$J$6:$M$18,13,FALSE)</f>
        <v>#N/A</v>
      </c>
      <c r="T4183" s="81" t="e">
        <f>HLOOKUP(M4183,データについて!$J$7:$M$18,12,FALSE)</f>
        <v>#N/A</v>
      </c>
      <c r="U4183" s="81" t="e">
        <f>HLOOKUP(N4183,データについて!$J$8:$M$18,11,FALSE)</f>
        <v>#N/A</v>
      </c>
      <c r="V4183" s="81" t="e">
        <f>HLOOKUP(O4183,データについて!$J$9:$M$18,10,FALSE)</f>
        <v>#N/A</v>
      </c>
      <c r="W4183" s="81" t="e">
        <f>HLOOKUP(P4183,データについて!$J$10:$M$18,9,FALSE)</f>
        <v>#N/A</v>
      </c>
      <c r="X4183" s="81" t="e">
        <f>HLOOKUP(Q4183,データについて!$J$11:$M$18,8,FALSE)</f>
        <v>#N/A</v>
      </c>
      <c r="Y4183" s="81" t="e">
        <f>HLOOKUP(R4183,データについて!$J$12:$M$18,7,FALSE)</f>
        <v>#N/A</v>
      </c>
      <c r="Z4183" s="81" t="e">
        <f>HLOOKUP(I4183,データについて!$J$3:$M$18,16,FALSE)</f>
        <v>#N/A</v>
      </c>
      <c r="AA4183" s="81" t="str">
        <f>IFERROR(HLOOKUP(J4183,データについて!$J$4:$AH$19,16,FALSE),"")</f>
        <v/>
      </c>
      <c r="AB4183" s="81" t="str">
        <f>IFERROR(HLOOKUP(K4183,データについて!$J$5:$AH$20,14,FALSE),"")</f>
        <v/>
      </c>
      <c r="AC4183" s="81" t="e">
        <f>IF(X4183=1,HLOOKUP(R4183,データについて!$J$12:$M$18,7,FALSE),"*")</f>
        <v>#N/A</v>
      </c>
      <c r="AD4183" s="81" t="e">
        <f>IF(X4183=2,HLOOKUP(R4183,データについて!$J$12:$M$18,7,FALSE),"*")</f>
        <v>#N/A</v>
      </c>
    </row>
    <row r="4184" spans="19:30">
      <c r="S4184" s="81" t="e">
        <f>HLOOKUP(L4184,データについて!$J$6:$M$18,13,FALSE)</f>
        <v>#N/A</v>
      </c>
      <c r="T4184" s="81" t="e">
        <f>HLOOKUP(M4184,データについて!$J$7:$M$18,12,FALSE)</f>
        <v>#N/A</v>
      </c>
      <c r="U4184" s="81" t="e">
        <f>HLOOKUP(N4184,データについて!$J$8:$M$18,11,FALSE)</f>
        <v>#N/A</v>
      </c>
      <c r="V4184" s="81" t="e">
        <f>HLOOKUP(O4184,データについて!$J$9:$M$18,10,FALSE)</f>
        <v>#N/A</v>
      </c>
      <c r="W4184" s="81" t="e">
        <f>HLOOKUP(P4184,データについて!$J$10:$M$18,9,FALSE)</f>
        <v>#N/A</v>
      </c>
      <c r="X4184" s="81" t="e">
        <f>HLOOKUP(Q4184,データについて!$J$11:$M$18,8,FALSE)</f>
        <v>#N/A</v>
      </c>
      <c r="Y4184" s="81" t="e">
        <f>HLOOKUP(R4184,データについて!$J$12:$M$18,7,FALSE)</f>
        <v>#N/A</v>
      </c>
      <c r="Z4184" s="81" t="e">
        <f>HLOOKUP(I4184,データについて!$J$3:$M$18,16,FALSE)</f>
        <v>#N/A</v>
      </c>
      <c r="AA4184" s="81" t="str">
        <f>IFERROR(HLOOKUP(J4184,データについて!$J$4:$AH$19,16,FALSE),"")</f>
        <v/>
      </c>
      <c r="AB4184" s="81" t="str">
        <f>IFERROR(HLOOKUP(K4184,データについて!$J$5:$AH$20,14,FALSE),"")</f>
        <v/>
      </c>
      <c r="AC4184" s="81" t="e">
        <f>IF(X4184=1,HLOOKUP(R4184,データについて!$J$12:$M$18,7,FALSE),"*")</f>
        <v>#N/A</v>
      </c>
      <c r="AD4184" s="81" t="e">
        <f>IF(X4184=2,HLOOKUP(R4184,データについて!$J$12:$M$18,7,FALSE),"*")</f>
        <v>#N/A</v>
      </c>
    </row>
    <row r="4185" spans="19:30">
      <c r="S4185" s="81" t="e">
        <f>HLOOKUP(L4185,データについて!$J$6:$M$18,13,FALSE)</f>
        <v>#N/A</v>
      </c>
      <c r="T4185" s="81" t="e">
        <f>HLOOKUP(M4185,データについて!$J$7:$M$18,12,FALSE)</f>
        <v>#N/A</v>
      </c>
      <c r="U4185" s="81" t="e">
        <f>HLOOKUP(N4185,データについて!$J$8:$M$18,11,FALSE)</f>
        <v>#N/A</v>
      </c>
      <c r="V4185" s="81" t="e">
        <f>HLOOKUP(O4185,データについて!$J$9:$M$18,10,FALSE)</f>
        <v>#N/A</v>
      </c>
      <c r="W4185" s="81" t="e">
        <f>HLOOKUP(P4185,データについて!$J$10:$M$18,9,FALSE)</f>
        <v>#N/A</v>
      </c>
      <c r="X4185" s="81" t="e">
        <f>HLOOKUP(Q4185,データについて!$J$11:$M$18,8,FALSE)</f>
        <v>#N/A</v>
      </c>
      <c r="Y4185" s="81" t="e">
        <f>HLOOKUP(R4185,データについて!$J$12:$M$18,7,FALSE)</f>
        <v>#N/A</v>
      </c>
      <c r="Z4185" s="81" t="e">
        <f>HLOOKUP(I4185,データについて!$J$3:$M$18,16,FALSE)</f>
        <v>#N/A</v>
      </c>
      <c r="AA4185" s="81" t="str">
        <f>IFERROR(HLOOKUP(J4185,データについて!$J$4:$AH$19,16,FALSE),"")</f>
        <v/>
      </c>
      <c r="AB4185" s="81" t="str">
        <f>IFERROR(HLOOKUP(K4185,データについて!$J$5:$AH$20,14,FALSE),"")</f>
        <v/>
      </c>
      <c r="AC4185" s="81" t="e">
        <f>IF(X4185=1,HLOOKUP(R4185,データについて!$J$12:$M$18,7,FALSE),"*")</f>
        <v>#N/A</v>
      </c>
      <c r="AD4185" s="81" t="e">
        <f>IF(X4185=2,HLOOKUP(R4185,データについて!$J$12:$M$18,7,FALSE),"*")</f>
        <v>#N/A</v>
      </c>
    </row>
    <row r="4186" spans="19:30">
      <c r="S4186" s="81" t="e">
        <f>HLOOKUP(L4186,データについて!$J$6:$M$18,13,FALSE)</f>
        <v>#N/A</v>
      </c>
      <c r="T4186" s="81" t="e">
        <f>HLOOKUP(M4186,データについて!$J$7:$M$18,12,FALSE)</f>
        <v>#N/A</v>
      </c>
      <c r="U4186" s="81" t="e">
        <f>HLOOKUP(N4186,データについて!$J$8:$M$18,11,FALSE)</f>
        <v>#N/A</v>
      </c>
      <c r="V4186" s="81" t="e">
        <f>HLOOKUP(O4186,データについて!$J$9:$M$18,10,FALSE)</f>
        <v>#N/A</v>
      </c>
      <c r="W4186" s="81" t="e">
        <f>HLOOKUP(P4186,データについて!$J$10:$M$18,9,FALSE)</f>
        <v>#N/A</v>
      </c>
      <c r="X4186" s="81" t="e">
        <f>HLOOKUP(Q4186,データについて!$J$11:$M$18,8,FALSE)</f>
        <v>#N/A</v>
      </c>
      <c r="Y4186" s="81" t="e">
        <f>HLOOKUP(R4186,データについて!$J$12:$M$18,7,FALSE)</f>
        <v>#N/A</v>
      </c>
      <c r="Z4186" s="81" t="e">
        <f>HLOOKUP(I4186,データについて!$J$3:$M$18,16,FALSE)</f>
        <v>#N/A</v>
      </c>
      <c r="AA4186" s="81" t="str">
        <f>IFERROR(HLOOKUP(J4186,データについて!$J$4:$AH$19,16,FALSE),"")</f>
        <v/>
      </c>
      <c r="AB4186" s="81" t="str">
        <f>IFERROR(HLOOKUP(K4186,データについて!$J$5:$AH$20,14,FALSE),"")</f>
        <v/>
      </c>
      <c r="AC4186" s="81" t="e">
        <f>IF(X4186=1,HLOOKUP(R4186,データについて!$J$12:$M$18,7,FALSE),"*")</f>
        <v>#N/A</v>
      </c>
      <c r="AD4186" s="81" t="e">
        <f>IF(X4186=2,HLOOKUP(R4186,データについて!$J$12:$M$18,7,FALSE),"*")</f>
        <v>#N/A</v>
      </c>
    </row>
    <row r="4187" spans="19:30">
      <c r="S4187" s="81" t="e">
        <f>HLOOKUP(L4187,データについて!$J$6:$M$18,13,FALSE)</f>
        <v>#N/A</v>
      </c>
      <c r="T4187" s="81" t="e">
        <f>HLOOKUP(M4187,データについて!$J$7:$M$18,12,FALSE)</f>
        <v>#N/A</v>
      </c>
      <c r="U4187" s="81" t="e">
        <f>HLOOKUP(N4187,データについて!$J$8:$M$18,11,FALSE)</f>
        <v>#N/A</v>
      </c>
      <c r="V4187" s="81" t="e">
        <f>HLOOKUP(O4187,データについて!$J$9:$M$18,10,FALSE)</f>
        <v>#N/A</v>
      </c>
      <c r="W4187" s="81" t="e">
        <f>HLOOKUP(P4187,データについて!$J$10:$M$18,9,FALSE)</f>
        <v>#N/A</v>
      </c>
      <c r="X4187" s="81" t="e">
        <f>HLOOKUP(Q4187,データについて!$J$11:$M$18,8,FALSE)</f>
        <v>#N/A</v>
      </c>
      <c r="Y4187" s="81" t="e">
        <f>HLOOKUP(R4187,データについて!$J$12:$M$18,7,FALSE)</f>
        <v>#N/A</v>
      </c>
      <c r="Z4187" s="81" t="e">
        <f>HLOOKUP(I4187,データについて!$J$3:$M$18,16,FALSE)</f>
        <v>#N/A</v>
      </c>
      <c r="AA4187" s="81" t="str">
        <f>IFERROR(HLOOKUP(J4187,データについて!$J$4:$AH$19,16,FALSE),"")</f>
        <v/>
      </c>
      <c r="AB4187" s="81" t="str">
        <f>IFERROR(HLOOKUP(K4187,データについて!$J$5:$AH$20,14,FALSE),"")</f>
        <v/>
      </c>
      <c r="AC4187" s="81" t="e">
        <f>IF(X4187=1,HLOOKUP(R4187,データについて!$J$12:$M$18,7,FALSE),"*")</f>
        <v>#N/A</v>
      </c>
      <c r="AD4187" s="81" t="e">
        <f>IF(X4187=2,HLOOKUP(R4187,データについて!$J$12:$M$18,7,FALSE),"*")</f>
        <v>#N/A</v>
      </c>
    </row>
    <row r="4188" spans="19:30">
      <c r="S4188" s="81" t="e">
        <f>HLOOKUP(L4188,データについて!$J$6:$M$18,13,FALSE)</f>
        <v>#N/A</v>
      </c>
      <c r="T4188" s="81" t="e">
        <f>HLOOKUP(M4188,データについて!$J$7:$M$18,12,FALSE)</f>
        <v>#N/A</v>
      </c>
      <c r="U4188" s="81" t="e">
        <f>HLOOKUP(N4188,データについて!$J$8:$M$18,11,FALSE)</f>
        <v>#N/A</v>
      </c>
      <c r="V4188" s="81" t="e">
        <f>HLOOKUP(O4188,データについて!$J$9:$M$18,10,FALSE)</f>
        <v>#N/A</v>
      </c>
      <c r="W4188" s="81" t="e">
        <f>HLOOKUP(P4188,データについて!$J$10:$M$18,9,FALSE)</f>
        <v>#N/A</v>
      </c>
      <c r="X4188" s="81" t="e">
        <f>HLOOKUP(Q4188,データについて!$J$11:$M$18,8,FALSE)</f>
        <v>#N/A</v>
      </c>
      <c r="Y4188" s="81" t="e">
        <f>HLOOKUP(R4188,データについて!$J$12:$M$18,7,FALSE)</f>
        <v>#N/A</v>
      </c>
      <c r="Z4188" s="81" t="e">
        <f>HLOOKUP(I4188,データについて!$J$3:$M$18,16,FALSE)</f>
        <v>#N/A</v>
      </c>
      <c r="AA4188" s="81" t="str">
        <f>IFERROR(HLOOKUP(J4188,データについて!$J$4:$AH$19,16,FALSE),"")</f>
        <v/>
      </c>
      <c r="AB4188" s="81" t="str">
        <f>IFERROR(HLOOKUP(K4188,データについて!$J$5:$AH$20,14,FALSE),"")</f>
        <v/>
      </c>
      <c r="AC4188" s="81" t="e">
        <f>IF(X4188=1,HLOOKUP(R4188,データについて!$J$12:$M$18,7,FALSE),"*")</f>
        <v>#N/A</v>
      </c>
      <c r="AD4188" s="81" t="e">
        <f>IF(X4188=2,HLOOKUP(R4188,データについて!$J$12:$M$18,7,FALSE),"*")</f>
        <v>#N/A</v>
      </c>
    </row>
    <row r="4189" spans="19:30">
      <c r="S4189" s="81" t="e">
        <f>HLOOKUP(L4189,データについて!$J$6:$M$18,13,FALSE)</f>
        <v>#N/A</v>
      </c>
      <c r="T4189" s="81" t="e">
        <f>HLOOKUP(M4189,データについて!$J$7:$M$18,12,FALSE)</f>
        <v>#N/A</v>
      </c>
      <c r="U4189" s="81" t="e">
        <f>HLOOKUP(N4189,データについて!$J$8:$M$18,11,FALSE)</f>
        <v>#N/A</v>
      </c>
      <c r="V4189" s="81" t="e">
        <f>HLOOKUP(O4189,データについて!$J$9:$M$18,10,FALSE)</f>
        <v>#N/A</v>
      </c>
      <c r="W4189" s="81" t="e">
        <f>HLOOKUP(P4189,データについて!$J$10:$M$18,9,FALSE)</f>
        <v>#N/A</v>
      </c>
      <c r="X4189" s="81" t="e">
        <f>HLOOKUP(Q4189,データについて!$J$11:$M$18,8,FALSE)</f>
        <v>#N/A</v>
      </c>
      <c r="Y4189" s="81" t="e">
        <f>HLOOKUP(R4189,データについて!$J$12:$M$18,7,FALSE)</f>
        <v>#N/A</v>
      </c>
      <c r="Z4189" s="81" t="e">
        <f>HLOOKUP(I4189,データについて!$J$3:$M$18,16,FALSE)</f>
        <v>#N/A</v>
      </c>
      <c r="AA4189" s="81" t="str">
        <f>IFERROR(HLOOKUP(J4189,データについて!$J$4:$AH$19,16,FALSE),"")</f>
        <v/>
      </c>
      <c r="AB4189" s="81" t="str">
        <f>IFERROR(HLOOKUP(K4189,データについて!$J$5:$AH$20,14,FALSE),"")</f>
        <v/>
      </c>
      <c r="AC4189" s="81" t="e">
        <f>IF(X4189=1,HLOOKUP(R4189,データについて!$J$12:$M$18,7,FALSE),"*")</f>
        <v>#N/A</v>
      </c>
      <c r="AD4189" s="81" t="e">
        <f>IF(X4189=2,HLOOKUP(R4189,データについて!$J$12:$M$18,7,FALSE),"*")</f>
        <v>#N/A</v>
      </c>
    </row>
    <row r="4190" spans="19:30">
      <c r="S4190" s="81" t="e">
        <f>HLOOKUP(L4190,データについて!$J$6:$M$18,13,FALSE)</f>
        <v>#N/A</v>
      </c>
      <c r="T4190" s="81" t="e">
        <f>HLOOKUP(M4190,データについて!$J$7:$M$18,12,FALSE)</f>
        <v>#N/A</v>
      </c>
      <c r="U4190" s="81" t="e">
        <f>HLOOKUP(N4190,データについて!$J$8:$M$18,11,FALSE)</f>
        <v>#N/A</v>
      </c>
      <c r="V4190" s="81" t="e">
        <f>HLOOKUP(O4190,データについて!$J$9:$M$18,10,FALSE)</f>
        <v>#N/A</v>
      </c>
      <c r="W4190" s="81" t="e">
        <f>HLOOKUP(P4190,データについて!$J$10:$M$18,9,FALSE)</f>
        <v>#N/A</v>
      </c>
      <c r="X4190" s="81" t="e">
        <f>HLOOKUP(Q4190,データについて!$J$11:$M$18,8,FALSE)</f>
        <v>#N/A</v>
      </c>
      <c r="Y4190" s="81" t="e">
        <f>HLOOKUP(R4190,データについて!$J$12:$M$18,7,FALSE)</f>
        <v>#N/A</v>
      </c>
      <c r="Z4190" s="81" t="e">
        <f>HLOOKUP(I4190,データについて!$J$3:$M$18,16,FALSE)</f>
        <v>#N/A</v>
      </c>
      <c r="AA4190" s="81" t="str">
        <f>IFERROR(HLOOKUP(J4190,データについて!$J$4:$AH$19,16,FALSE),"")</f>
        <v/>
      </c>
      <c r="AB4190" s="81" t="str">
        <f>IFERROR(HLOOKUP(K4190,データについて!$J$5:$AH$20,14,FALSE),"")</f>
        <v/>
      </c>
      <c r="AC4190" s="81" t="e">
        <f>IF(X4190=1,HLOOKUP(R4190,データについて!$J$12:$M$18,7,FALSE),"*")</f>
        <v>#N/A</v>
      </c>
      <c r="AD4190" s="81" t="e">
        <f>IF(X4190=2,HLOOKUP(R4190,データについて!$J$12:$M$18,7,FALSE),"*")</f>
        <v>#N/A</v>
      </c>
    </row>
    <row r="4191" spans="19:30">
      <c r="S4191" s="81" t="e">
        <f>HLOOKUP(L4191,データについて!$J$6:$M$18,13,FALSE)</f>
        <v>#N/A</v>
      </c>
      <c r="T4191" s="81" t="e">
        <f>HLOOKUP(M4191,データについて!$J$7:$M$18,12,FALSE)</f>
        <v>#N/A</v>
      </c>
      <c r="U4191" s="81" t="e">
        <f>HLOOKUP(N4191,データについて!$J$8:$M$18,11,FALSE)</f>
        <v>#N/A</v>
      </c>
      <c r="V4191" s="81" t="e">
        <f>HLOOKUP(O4191,データについて!$J$9:$M$18,10,FALSE)</f>
        <v>#N/A</v>
      </c>
      <c r="W4191" s="81" t="e">
        <f>HLOOKUP(P4191,データについて!$J$10:$M$18,9,FALSE)</f>
        <v>#N/A</v>
      </c>
      <c r="X4191" s="81" t="e">
        <f>HLOOKUP(Q4191,データについて!$J$11:$M$18,8,FALSE)</f>
        <v>#N/A</v>
      </c>
      <c r="Y4191" s="81" t="e">
        <f>HLOOKUP(R4191,データについて!$J$12:$M$18,7,FALSE)</f>
        <v>#N/A</v>
      </c>
      <c r="Z4191" s="81" t="e">
        <f>HLOOKUP(I4191,データについて!$J$3:$M$18,16,FALSE)</f>
        <v>#N/A</v>
      </c>
      <c r="AA4191" s="81" t="str">
        <f>IFERROR(HLOOKUP(J4191,データについて!$J$4:$AH$19,16,FALSE),"")</f>
        <v/>
      </c>
      <c r="AB4191" s="81" t="str">
        <f>IFERROR(HLOOKUP(K4191,データについて!$J$5:$AH$20,14,FALSE),"")</f>
        <v/>
      </c>
      <c r="AC4191" s="81" t="e">
        <f>IF(X4191=1,HLOOKUP(R4191,データについて!$J$12:$M$18,7,FALSE),"*")</f>
        <v>#N/A</v>
      </c>
      <c r="AD4191" s="81" t="e">
        <f>IF(X4191=2,HLOOKUP(R4191,データについて!$J$12:$M$18,7,FALSE),"*")</f>
        <v>#N/A</v>
      </c>
    </row>
    <row r="4192" spans="19:30">
      <c r="S4192" s="81" t="e">
        <f>HLOOKUP(L4192,データについて!$J$6:$M$18,13,FALSE)</f>
        <v>#N/A</v>
      </c>
      <c r="T4192" s="81" t="e">
        <f>HLOOKUP(M4192,データについて!$J$7:$M$18,12,FALSE)</f>
        <v>#N/A</v>
      </c>
      <c r="U4192" s="81" t="e">
        <f>HLOOKUP(N4192,データについて!$J$8:$M$18,11,FALSE)</f>
        <v>#N/A</v>
      </c>
      <c r="V4192" s="81" t="e">
        <f>HLOOKUP(O4192,データについて!$J$9:$M$18,10,FALSE)</f>
        <v>#N/A</v>
      </c>
      <c r="W4192" s="81" t="e">
        <f>HLOOKUP(P4192,データについて!$J$10:$M$18,9,FALSE)</f>
        <v>#N/A</v>
      </c>
      <c r="X4192" s="81" t="e">
        <f>HLOOKUP(Q4192,データについて!$J$11:$M$18,8,FALSE)</f>
        <v>#N/A</v>
      </c>
      <c r="Y4192" s="81" t="e">
        <f>HLOOKUP(R4192,データについて!$J$12:$M$18,7,FALSE)</f>
        <v>#N/A</v>
      </c>
      <c r="Z4192" s="81" t="e">
        <f>HLOOKUP(I4192,データについて!$J$3:$M$18,16,FALSE)</f>
        <v>#N/A</v>
      </c>
      <c r="AA4192" s="81" t="str">
        <f>IFERROR(HLOOKUP(J4192,データについて!$J$4:$AH$19,16,FALSE),"")</f>
        <v/>
      </c>
      <c r="AB4192" s="81" t="str">
        <f>IFERROR(HLOOKUP(K4192,データについて!$J$5:$AH$20,14,FALSE),"")</f>
        <v/>
      </c>
      <c r="AC4192" s="81" t="e">
        <f>IF(X4192=1,HLOOKUP(R4192,データについて!$J$12:$M$18,7,FALSE),"*")</f>
        <v>#N/A</v>
      </c>
      <c r="AD4192" s="81" t="e">
        <f>IF(X4192=2,HLOOKUP(R4192,データについて!$J$12:$M$18,7,FALSE),"*")</f>
        <v>#N/A</v>
      </c>
    </row>
    <row r="4193" spans="19:30">
      <c r="S4193" s="81" t="e">
        <f>HLOOKUP(L4193,データについて!$J$6:$M$18,13,FALSE)</f>
        <v>#N/A</v>
      </c>
      <c r="T4193" s="81" t="e">
        <f>HLOOKUP(M4193,データについて!$J$7:$M$18,12,FALSE)</f>
        <v>#N/A</v>
      </c>
      <c r="U4193" s="81" t="e">
        <f>HLOOKUP(N4193,データについて!$J$8:$M$18,11,FALSE)</f>
        <v>#N/A</v>
      </c>
      <c r="V4193" s="81" t="e">
        <f>HLOOKUP(O4193,データについて!$J$9:$M$18,10,FALSE)</f>
        <v>#N/A</v>
      </c>
      <c r="W4193" s="81" t="e">
        <f>HLOOKUP(P4193,データについて!$J$10:$M$18,9,FALSE)</f>
        <v>#N/A</v>
      </c>
      <c r="X4193" s="81" t="e">
        <f>HLOOKUP(Q4193,データについて!$J$11:$M$18,8,FALSE)</f>
        <v>#N/A</v>
      </c>
      <c r="Y4193" s="81" t="e">
        <f>HLOOKUP(R4193,データについて!$J$12:$M$18,7,FALSE)</f>
        <v>#N/A</v>
      </c>
      <c r="Z4193" s="81" t="e">
        <f>HLOOKUP(I4193,データについて!$J$3:$M$18,16,FALSE)</f>
        <v>#N/A</v>
      </c>
      <c r="AA4193" s="81" t="str">
        <f>IFERROR(HLOOKUP(J4193,データについて!$J$4:$AH$19,16,FALSE),"")</f>
        <v/>
      </c>
      <c r="AB4193" s="81" t="str">
        <f>IFERROR(HLOOKUP(K4193,データについて!$J$5:$AH$20,14,FALSE),"")</f>
        <v/>
      </c>
      <c r="AC4193" s="81" t="e">
        <f>IF(X4193=1,HLOOKUP(R4193,データについて!$J$12:$M$18,7,FALSE),"*")</f>
        <v>#N/A</v>
      </c>
      <c r="AD4193" s="81" t="e">
        <f>IF(X4193=2,HLOOKUP(R4193,データについて!$J$12:$M$18,7,FALSE),"*")</f>
        <v>#N/A</v>
      </c>
    </row>
    <row r="4194" spans="19:30">
      <c r="S4194" s="81" t="e">
        <f>HLOOKUP(L4194,データについて!$J$6:$M$18,13,FALSE)</f>
        <v>#N/A</v>
      </c>
      <c r="T4194" s="81" t="e">
        <f>HLOOKUP(M4194,データについて!$J$7:$M$18,12,FALSE)</f>
        <v>#N/A</v>
      </c>
      <c r="U4194" s="81" t="e">
        <f>HLOOKUP(N4194,データについて!$J$8:$M$18,11,FALSE)</f>
        <v>#N/A</v>
      </c>
      <c r="V4194" s="81" t="e">
        <f>HLOOKUP(O4194,データについて!$J$9:$M$18,10,FALSE)</f>
        <v>#N/A</v>
      </c>
      <c r="W4194" s="81" t="e">
        <f>HLOOKUP(P4194,データについて!$J$10:$M$18,9,FALSE)</f>
        <v>#N/A</v>
      </c>
      <c r="X4194" s="81" t="e">
        <f>HLOOKUP(Q4194,データについて!$J$11:$M$18,8,FALSE)</f>
        <v>#N/A</v>
      </c>
      <c r="Y4194" s="81" t="e">
        <f>HLOOKUP(R4194,データについて!$J$12:$M$18,7,FALSE)</f>
        <v>#N/A</v>
      </c>
      <c r="Z4194" s="81" t="e">
        <f>HLOOKUP(I4194,データについて!$J$3:$M$18,16,FALSE)</f>
        <v>#N/A</v>
      </c>
      <c r="AA4194" s="81" t="str">
        <f>IFERROR(HLOOKUP(J4194,データについて!$J$4:$AH$19,16,FALSE),"")</f>
        <v/>
      </c>
      <c r="AB4194" s="81" t="str">
        <f>IFERROR(HLOOKUP(K4194,データについて!$J$5:$AH$20,14,FALSE),"")</f>
        <v/>
      </c>
      <c r="AC4194" s="81" t="e">
        <f>IF(X4194=1,HLOOKUP(R4194,データについて!$J$12:$M$18,7,FALSE),"*")</f>
        <v>#N/A</v>
      </c>
      <c r="AD4194" s="81" t="e">
        <f>IF(X4194=2,HLOOKUP(R4194,データについて!$J$12:$M$18,7,FALSE),"*")</f>
        <v>#N/A</v>
      </c>
    </row>
    <row r="4195" spans="19:30">
      <c r="S4195" s="81" t="e">
        <f>HLOOKUP(L4195,データについて!$J$6:$M$18,13,FALSE)</f>
        <v>#N/A</v>
      </c>
      <c r="T4195" s="81" t="e">
        <f>HLOOKUP(M4195,データについて!$J$7:$M$18,12,FALSE)</f>
        <v>#N/A</v>
      </c>
      <c r="U4195" s="81" t="e">
        <f>HLOOKUP(N4195,データについて!$J$8:$M$18,11,FALSE)</f>
        <v>#N/A</v>
      </c>
      <c r="V4195" s="81" t="e">
        <f>HLOOKUP(O4195,データについて!$J$9:$M$18,10,FALSE)</f>
        <v>#N/A</v>
      </c>
      <c r="W4195" s="81" t="e">
        <f>HLOOKUP(P4195,データについて!$J$10:$M$18,9,FALSE)</f>
        <v>#N/A</v>
      </c>
      <c r="X4195" s="81" t="e">
        <f>HLOOKUP(Q4195,データについて!$J$11:$M$18,8,FALSE)</f>
        <v>#N/A</v>
      </c>
      <c r="Y4195" s="81" t="e">
        <f>HLOOKUP(R4195,データについて!$J$12:$M$18,7,FALSE)</f>
        <v>#N/A</v>
      </c>
      <c r="Z4195" s="81" t="e">
        <f>HLOOKUP(I4195,データについて!$J$3:$M$18,16,FALSE)</f>
        <v>#N/A</v>
      </c>
      <c r="AA4195" s="81" t="str">
        <f>IFERROR(HLOOKUP(J4195,データについて!$J$4:$AH$19,16,FALSE),"")</f>
        <v/>
      </c>
      <c r="AB4195" s="81" t="str">
        <f>IFERROR(HLOOKUP(K4195,データについて!$J$5:$AH$20,14,FALSE),"")</f>
        <v/>
      </c>
      <c r="AC4195" s="81" t="e">
        <f>IF(X4195=1,HLOOKUP(R4195,データについて!$J$12:$M$18,7,FALSE),"*")</f>
        <v>#N/A</v>
      </c>
      <c r="AD4195" s="81" t="e">
        <f>IF(X4195=2,HLOOKUP(R4195,データについて!$J$12:$M$18,7,FALSE),"*")</f>
        <v>#N/A</v>
      </c>
    </row>
    <row r="4196" spans="19:30">
      <c r="S4196" s="81" t="e">
        <f>HLOOKUP(L4196,データについて!$J$6:$M$18,13,FALSE)</f>
        <v>#N/A</v>
      </c>
      <c r="T4196" s="81" t="e">
        <f>HLOOKUP(M4196,データについて!$J$7:$M$18,12,FALSE)</f>
        <v>#N/A</v>
      </c>
      <c r="U4196" s="81" t="e">
        <f>HLOOKUP(N4196,データについて!$J$8:$M$18,11,FALSE)</f>
        <v>#N/A</v>
      </c>
      <c r="V4196" s="81" t="e">
        <f>HLOOKUP(O4196,データについて!$J$9:$M$18,10,FALSE)</f>
        <v>#N/A</v>
      </c>
      <c r="W4196" s="81" t="e">
        <f>HLOOKUP(P4196,データについて!$J$10:$M$18,9,FALSE)</f>
        <v>#N/A</v>
      </c>
      <c r="X4196" s="81" t="e">
        <f>HLOOKUP(Q4196,データについて!$J$11:$M$18,8,FALSE)</f>
        <v>#N/A</v>
      </c>
      <c r="Y4196" s="81" t="e">
        <f>HLOOKUP(R4196,データについて!$J$12:$M$18,7,FALSE)</f>
        <v>#N/A</v>
      </c>
      <c r="Z4196" s="81" t="e">
        <f>HLOOKUP(I4196,データについて!$J$3:$M$18,16,FALSE)</f>
        <v>#N/A</v>
      </c>
      <c r="AA4196" s="81" t="str">
        <f>IFERROR(HLOOKUP(J4196,データについて!$J$4:$AH$19,16,FALSE),"")</f>
        <v/>
      </c>
      <c r="AB4196" s="81" t="str">
        <f>IFERROR(HLOOKUP(K4196,データについて!$J$5:$AH$20,14,FALSE),"")</f>
        <v/>
      </c>
      <c r="AC4196" s="81" t="e">
        <f>IF(X4196=1,HLOOKUP(R4196,データについて!$J$12:$M$18,7,FALSE),"*")</f>
        <v>#N/A</v>
      </c>
      <c r="AD4196" s="81" t="e">
        <f>IF(X4196=2,HLOOKUP(R4196,データについて!$J$12:$M$18,7,FALSE),"*")</f>
        <v>#N/A</v>
      </c>
    </row>
    <row r="4197" spans="19:30">
      <c r="S4197" s="81" t="e">
        <f>HLOOKUP(L4197,データについて!$J$6:$M$18,13,FALSE)</f>
        <v>#N/A</v>
      </c>
      <c r="T4197" s="81" t="e">
        <f>HLOOKUP(M4197,データについて!$J$7:$M$18,12,FALSE)</f>
        <v>#N/A</v>
      </c>
      <c r="U4197" s="81" t="e">
        <f>HLOOKUP(N4197,データについて!$J$8:$M$18,11,FALSE)</f>
        <v>#N/A</v>
      </c>
      <c r="V4197" s="81" t="e">
        <f>HLOOKUP(O4197,データについて!$J$9:$M$18,10,FALSE)</f>
        <v>#N/A</v>
      </c>
      <c r="W4197" s="81" t="e">
        <f>HLOOKUP(P4197,データについて!$J$10:$M$18,9,FALSE)</f>
        <v>#N/A</v>
      </c>
      <c r="X4197" s="81" t="e">
        <f>HLOOKUP(Q4197,データについて!$J$11:$M$18,8,FALSE)</f>
        <v>#N/A</v>
      </c>
      <c r="Y4197" s="81" t="e">
        <f>HLOOKUP(R4197,データについて!$J$12:$M$18,7,FALSE)</f>
        <v>#N/A</v>
      </c>
      <c r="Z4197" s="81" t="e">
        <f>HLOOKUP(I4197,データについて!$J$3:$M$18,16,FALSE)</f>
        <v>#N/A</v>
      </c>
      <c r="AA4197" s="81" t="str">
        <f>IFERROR(HLOOKUP(J4197,データについて!$J$4:$AH$19,16,FALSE),"")</f>
        <v/>
      </c>
      <c r="AB4197" s="81" t="str">
        <f>IFERROR(HLOOKUP(K4197,データについて!$J$5:$AH$20,14,FALSE),"")</f>
        <v/>
      </c>
      <c r="AC4197" s="81" t="e">
        <f>IF(X4197=1,HLOOKUP(R4197,データについて!$J$12:$M$18,7,FALSE),"*")</f>
        <v>#N/A</v>
      </c>
      <c r="AD4197" s="81" t="e">
        <f>IF(X4197=2,HLOOKUP(R4197,データについて!$J$12:$M$18,7,FALSE),"*")</f>
        <v>#N/A</v>
      </c>
    </row>
    <row r="4198" spans="19:30">
      <c r="S4198" s="81" t="e">
        <f>HLOOKUP(L4198,データについて!$J$6:$M$18,13,FALSE)</f>
        <v>#N/A</v>
      </c>
      <c r="T4198" s="81" t="e">
        <f>HLOOKUP(M4198,データについて!$J$7:$M$18,12,FALSE)</f>
        <v>#N/A</v>
      </c>
      <c r="U4198" s="81" t="e">
        <f>HLOOKUP(N4198,データについて!$J$8:$M$18,11,FALSE)</f>
        <v>#N/A</v>
      </c>
      <c r="V4198" s="81" t="e">
        <f>HLOOKUP(O4198,データについて!$J$9:$M$18,10,FALSE)</f>
        <v>#N/A</v>
      </c>
      <c r="W4198" s="81" t="e">
        <f>HLOOKUP(P4198,データについて!$J$10:$M$18,9,FALSE)</f>
        <v>#N/A</v>
      </c>
      <c r="X4198" s="81" t="e">
        <f>HLOOKUP(Q4198,データについて!$J$11:$M$18,8,FALSE)</f>
        <v>#N/A</v>
      </c>
      <c r="Y4198" s="81" t="e">
        <f>HLOOKUP(R4198,データについて!$J$12:$M$18,7,FALSE)</f>
        <v>#N/A</v>
      </c>
      <c r="Z4198" s="81" t="e">
        <f>HLOOKUP(I4198,データについて!$J$3:$M$18,16,FALSE)</f>
        <v>#N/A</v>
      </c>
      <c r="AA4198" s="81" t="str">
        <f>IFERROR(HLOOKUP(J4198,データについて!$J$4:$AH$19,16,FALSE),"")</f>
        <v/>
      </c>
      <c r="AB4198" s="81" t="str">
        <f>IFERROR(HLOOKUP(K4198,データについて!$J$5:$AH$20,14,FALSE),"")</f>
        <v/>
      </c>
      <c r="AC4198" s="81" t="e">
        <f>IF(X4198=1,HLOOKUP(R4198,データについて!$J$12:$M$18,7,FALSE),"*")</f>
        <v>#N/A</v>
      </c>
      <c r="AD4198" s="81" t="e">
        <f>IF(X4198=2,HLOOKUP(R4198,データについて!$J$12:$M$18,7,FALSE),"*")</f>
        <v>#N/A</v>
      </c>
    </row>
    <row r="4199" spans="19:30">
      <c r="S4199" s="81" t="e">
        <f>HLOOKUP(L4199,データについて!$J$6:$M$18,13,FALSE)</f>
        <v>#N/A</v>
      </c>
      <c r="T4199" s="81" t="e">
        <f>HLOOKUP(M4199,データについて!$J$7:$M$18,12,FALSE)</f>
        <v>#N/A</v>
      </c>
      <c r="U4199" s="81" t="e">
        <f>HLOOKUP(N4199,データについて!$J$8:$M$18,11,FALSE)</f>
        <v>#N/A</v>
      </c>
      <c r="V4199" s="81" t="e">
        <f>HLOOKUP(O4199,データについて!$J$9:$M$18,10,FALSE)</f>
        <v>#N/A</v>
      </c>
      <c r="W4199" s="81" t="e">
        <f>HLOOKUP(P4199,データについて!$J$10:$M$18,9,FALSE)</f>
        <v>#N/A</v>
      </c>
      <c r="X4199" s="81" t="e">
        <f>HLOOKUP(Q4199,データについて!$J$11:$M$18,8,FALSE)</f>
        <v>#N/A</v>
      </c>
      <c r="Y4199" s="81" t="e">
        <f>HLOOKUP(R4199,データについて!$J$12:$M$18,7,FALSE)</f>
        <v>#N/A</v>
      </c>
      <c r="Z4199" s="81" t="e">
        <f>HLOOKUP(I4199,データについて!$J$3:$M$18,16,FALSE)</f>
        <v>#N/A</v>
      </c>
      <c r="AA4199" s="81" t="str">
        <f>IFERROR(HLOOKUP(J4199,データについて!$J$4:$AH$19,16,FALSE),"")</f>
        <v/>
      </c>
      <c r="AB4199" s="81" t="str">
        <f>IFERROR(HLOOKUP(K4199,データについて!$J$5:$AH$20,14,FALSE),"")</f>
        <v/>
      </c>
      <c r="AC4199" s="81" t="e">
        <f>IF(X4199=1,HLOOKUP(R4199,データについて!$J$12:$M$18,7,FALSE),"*")</f>
        <v>#N/A</v>
      </c>
      <c r="AD4199" s="81" t="e">
        <f>IF(X4199=2,HLOOKUP(R4199,データについて!$J$12:$M$18,7,FALSE),"*")</f>
        <v>#N/A</v>
      </c>
    </row>
    <row r="4200" spans="19:30">
      <c r="S4200" s="81" t="e">
        <f>HLOOKUP(L4200,データについて!$J$6:$M$18,13,FALSE)</f>
        <v>#N/A</v>
      </c>
      <c r="T4200" s="81" t="e">
        <f>HLOOKUP(M4200,データについて!$J$7:$M$18,12,FALSE)</f>
        <v>#N/A</v>
      </c>
      <c r="U4200" s="81" t="e">
        <f>HLOOKUP(N4200,データについて!$J$8:$M$18,11,FALSE)</f>
        <v>#N/A</v>
      </c>
      <c r="V4200" s="81" t="e">
        <f>HLOOKUP(O4200,データについて!$J$9:$M$18,10,FALSE)</f>
        <v>#N/A</v>
      </c>
      <c r="W4200" s="81" t="e">
        <f>HLOOKUP(P4200,データについて!$J$10:$M$18,9,FALSE)</f>
        <v>#N/A</v>
      </c>
      <c r="X4200" s="81" t="e">
        <f>HLOOKUP(Q4200,データについて!$J$11:$M$18,8,FALSE)</f>
        <v>#N/A</v>
      </c>
      <c r="Y4200" s="81" t="e">
        <f>HLOOKUP(R4200,データについて!$J$12:$M$18,7,FALSE)</f>
        <v>#N/A</v>
      </c>
      <c r="Z4200" s="81" t="e">
        <f>HLOOKUP(I4200,データについて!$J$3:$M$18,16,FALSE)</f>
        <v>#N/A</v>
      </c>
      <c r="AA4200" s="81" t="str">
        <f>IFERROR(HLOOKUP(J4200,データについて!$J$4:$AH$19,16,FALSE),"")</f>
        <v/>
      </c>
      <c r="AB4200" s="81" t="str">
        <f>IFERROR(HLOOKUP(K4200,データについて!$J$5:$AH$20,14,FALSE),"")</f>
        <v/>
      </c>
      <c r="AC4200" s="81" t="e">
        <f>IF(X4200=1,HLOOKUP(R4200,データについて!$J$12:$M$18,7,FALSE),"*")</f>
        <v>#N/A</v>
      </c>
      <c r="AD4200" s="81" t="e">
        <f>IF(X4200=2,HLOOKUP(R4200,データについて!$J$12:$M$18,7,FALSE),"*")</f>
        <v>#N/A</v>
      </c>
    </row>
    <row r="4201" spans="19:30">
      <c r="S4201" s="81" t="e">
        <f>HLOOKUP(L4201,データについて!$J$6:$M$18,13,FALSE)</f>
        <v>#N/A</v>
      </c>
      <c r="T4201" s="81" t="e">
        <f>HLOOKUP(M4201,データについて!$J$7:$M$18,12,FALSE)</f>
        <v>#N/A</v>
      </c>
      <c r="U4201" s="81" t="e">
        <f>HLOOKUP(N4201,データについて!$J$8:$M$18,11,FALSE)</f>
        <v>#N/A</v>
      </c>
      <c r="V4201" s="81" t="e">
        <f>HLOOKUP(O4201,データについて!$J$9:$M$18,10,FALSE)</f>
        <v>#N/A</v>
      </c>
      <c r="W4201" s="81" t="e">
        <f>HLOOKUP(P4201,データについて!$J$10:$M$18,9,FALSE)</f>
        <v>#N/A</v>
      </c>
      <c r="X4201" s="81" t="e">
        <f>HLOOKUP(Q4201,データについて!$J$11:$M$18,8,FALSE)</f>
        <v>#N/A</v>
      </c>
      <c r="Y4201" s="81" t="e">
        <f>HLOOKUP(R4201,データについて!$J$12:$M$18,7,FALSE)</f>
        <v>#N/A</v>
      </c>
      <c r="Z4201" s="81" t="e">
        <f>HLOOKUP(I4201,データについて!$J$3:$M$18,16,FALSE)</f>
        <v>#N/A</v>
      </c>
      <c r="AA4201" s="81" t="str">
        <f>IFERROR(HLOOKUP(J4201,データについて!$J$4:$AH$19,16,FALSE),"")</f>
        <v/>
      </c>
      <c r="AB4201" s="81" t="str">
        <f>IFERROR(HLOOKUP(K4201,データについて!$J$5:$AH$20,14,FALSE),"")</f>
        <v/>
      </c>
      <c r="AC4201" s="81" t="e">
        <f>IF(X4201=1,HLOOKUP(R4201,データについて!$J$12:$M$18,7,FALSE),"*")</f>
        <v>#N/A</v>
      </c>
      <c r="AD4201" s="81" t="e">
        <f>IF(X4201=2,HLOOKUP(R4201,データについて!$J$12:$M$18,7,FALSE),"*")</f>
        <v>#N/A</v>
      </c>
    </row>
    <row r="4202" spans="19:30">
      <c r="S4202" s="81" t="e">
        <f>HLOOKUP(L4202,データについて!$J$6:$M$18,13,FALSE)</f>
        <v>#N/A</v>
      </c>
      <c r="T4202" s="81" t="e">
        <f>HLOOKUP(M4202,データについて!$J$7:$M$18,12,FALSE)</f>
        <v>#N/A</v>
      </c>
      <c r="U4202" s="81" t="e">
        <f>HLOOKUP(N4202,データについて!$J$8:$M$18,11,FALSE)</f>
        <v>#N/A</v>
      </c>
      <c r="V4202" s="81" t="e">
        <f>HLOOKUP(O4202,データについて!$J$9:$M$18,10,FALSE)</f>
        <v>#N/A</v>
      </c>
      <c r="W4202" s="81" t="e">
        <f>HLOOKUP(P4202,データについて!$J$10:$M$18,9,FALSE)</f>
        <v>#N/A</v>
      </c>
      <c r="X4202" s="81" t="e">
        <f>HLOOKUP(Q4202,データについて!$J$11:$M$18,8,FALSE)</f>
        <v>#N/A</v>
      </c>
      <c r="Y4202" s="81" t="e">
        <f>HLOOKUP(R4202,データについて!$J$12:$M$18,7,FALSE)</f>
        <v>#N/A</v>
      </c>
      <c r="Z4202" s="81" t="e">
        <f>HLOOKUP(I4202,データについて!$J$3:$M$18,16,FALSE)</f>
        <v>#N/A</v>
      </c>
      <c r="AA4202" s="81" t="str">
        <f>IFERROR(HLOOKUP(J4202,データについて!$J$4:$AH$19,16,FALSE),"")</f>
        <v/>
      </c>
      <c r="AB4202" s="81" t="str">
        <f>IFERROR(HLOOKUP(K4202,データについて!$J$5:$AH$20,14,FALSE),"")</f>
        <v/>
      </c>
      <c r="AC4202" s="81" t="e">
        <f>IF(X4202=1,HLOOKUP(R4202,データについて!$J$12:$M$18,7,FALSE),"*")</f>
        <v>#N/A</v>
      </c>
      <c r="AD4202" s="81" t="e">
        <f>IF(X4202=2,HLOOKUP(R4202,データについて!$J$12:$M$18,7,FALSE),"*")</f>
        <v>#N/A</v>
      </c>
    </row>
    <row r="4203" spans="19:30">
      <c r="S4203" s="81" t="e">
        <f>HLOOKUP(L4203,データについて!$J$6:$M$18,13,FALSE)</f>
        <v>#N/A</v>
      </c>
      <c r="T4203" s="81" t="e">
        <f>HLOOKUP(M4203,データについて!$J$7:$M$18,12,FALSE)</f>
        <v>#N/A</v>
      </c>
      <c r="U4203" s="81" t="e">
        <f>HLOOKUP(N4203,データについて!$J$8:$M$18,11,FALSE)</f>
        <v>#N/A</v>
      </c>
      <c r="V4203" s="81" t="e">
        <f>HLOOKUP(O4203,データについて!$J$9:$M$18,10,FALSE)</f>
        <v>#N/A</v>
      </c>
      <c r="W4203" s="81" t="e">
        <f>HLOOKUP(P4203,データについて!$J$10:$M$18,9,FALSE)</f>
        <v>#N/A</v>
      </c>
      <c r="X4203" s="81" t="e">
        <f>HLOOKUP(Q4203,データについて!$J$11:$M$18,8,FALSE)</f>
        <v>#N/A</v>
      </c>
      <c r="Y4203" s="81" t="e">
        <f>HLOOKUP(R4203,データについて!$J$12:$M$18,7,FALSE)</f>
        <v>#N/A</v>
      </c>
      <c r="Z4203" s="81" t="e">
        <f>HLOOKUP(I4203,データについて!$J$3:$M$18,16,FALSE)</f>
        <v>#N/A</v>
      </c>
      <c r="AA4203" s="81" t="str">
        <f>IFERROR(HLOOKUP(J4203,データについて!$J$4:$AH$19,16,FALSE),"")</f>
        <v/>
      </c>
      <c r="AB4203" s="81" t="str">
        <f>IFERROR(HLOOKUP(K4203,データについて!$J$5:$AH$20,14,FALSE),"")</f>
        <v/>
      </c>
      <c r="AC4203" s="81" t="e">
        <f>IF(X4203=1,HLOOKUP(R4203,データについて!$J$12:$M$18,7,FALSE),"*")</f>
        <v>#N/A</v>
      </c>
      <c r="AD4203" s="81" t="e">
        <f>IF(X4203=2,HLOOKUP(R4203,データについて!$J$12:$M$18,7,FALSE),"*")</f>
        <v>#N/A</v>
      </c>
    </row>
    <row r="4204" spans="19:30">
      <c r="S4204" s="81" t="e">
        <f>HLOOKUP(L4204,データについて!$J$6:$M$18,13,FALSE)</f>
        <v>#N/A</v>
      </c>
      <c r="T4204" s="81" t="e">
        <f>HLOOKUP(M4204,データについて!$J$7:$M$18,12,FALSE)</f>
        <v>#N/A</v>
      </c>
      <c r="U4204" s="81" t="e">
        <f>HLOOKUP(N4204,データについて!$J$8:$M$18,11,FALSE)</f>
        <v>#N/A</v>
      </c>
      <c r="V4204" s="81" t="e">
        <f>HLOOKUP(O4204,データについて!$J$9:$M$18,10,FALSE)</f>
        <v>#N/A</v>
      </c>
      <c r="W4204" s="81" t="e">
        <f>HLOOKUP(P4204,データについて!$J$10:$M$18,9,FALSE)</f>
        <v>#N/A</v>
      </c>
      <c r="X4204" s="81" t="e">
        <f>HLOOKUP(Q4204,データについて!$J$11:$M$18,8,FALSE)</f>
        <v>#N/A</v>
      </c>
      <c r="Y4204" s="81" t="e">
        <f>HLOOKUP(R4204,データについて!$J$12:$M$18,7,FALSE)</f>
        <v>#N/A</v>
      </c>
      <c r="Z4204" s="81" t="e">
        <f>HLOOKUP(I4204,データについて!$J$3:$M$18,16,FALSE)</f>
        <v>#N/A</v>
      </c>
      <c r="AA4204" s="81" t="str">
        <f>IFERROR(HLOOKUP(J4204,データについて!$J$4:$AH$19,16,FALSE),"")</f>
        <v/>
      </c>
      <c r="AB4204" s="81" t="str">
        <f>IFERROR(HLOOKUP(K4204,データについて!$J$5:$AH$20,14,FALSE),"")</f>
        <v/>
      </c>
      <c r="AC4204" s="81" t="e">
        <f>IF(X4204=1,HLOOKUP(R4204,データについて!$J$12:$M$18,7,FALSE),"*")</f>
        <v>#N/A</v>
      </c>
      <c r="AD4204" s="81" t="e">
        <f>IF(X4204=2,HLOOKUP(R4204,データについて!$J$12:$M$18,7,FALSE),"*")</f>
        <v>#N/A</v>
      </c>
    </row>
    <row r="4205" spans="19:30">
      <c r="S4205" s="81" t="e">
        <f>HLOOKUP(L4205,データについて!$J$6:$M$18,13,FALSE)</f>
        <v>#N/A</v>
      </c>
      <c r="T4205" s="81" t="e">
        <f>HLOOKUP(M4205,データについて!$J$7:$M$18,12,FALSE)</f>
        <v>#N/A</v>
      </c>
      <c r="U4205" s="81" t="e">
        <f>HLOOKUP(N4205,データについて!$J$8:$M$18,11,FALSE)</f>
        <v>#N/A</v>
      </c>
      <c r="V4205" s="81" t="e">
        <f>HLOOKUP(O4205,データについて!$J$9:$M$18,10,FALSE)</f>
        <v>#N/A</v>
      </c>
      <c r="W4205" s="81" t="e">
        <f>HLOOKUP(P4205,データについて!$J$10:$M$18,9,FALSE)</f>
        <v>#N/A</v>
      </c>
      <c r="X4205" s="81" t="e">
        <f>HLOOKUP(Q4205,データについて!$J$11:$M$18,8,FALSE)</f>
        <v>#N/A</v>
      </c>
      <c r="Y4205" s="81" t="e">
        <f>HLOOKUP(R4205,データについて!$J$12:$M$18,7,FALSE)</f>
        <v>#N/A</v>
      </c>
      <c r="Z4205" s="81" t="e">
        <f>HLOOKUP(I4205,データについて!$J$3:$M$18,16,FALSE)</f>
        <v>#N/A</v>
      </c>
      <c r="AA4205" s="81" t="str">
        <f>IFERROR(HLOOKUP(J4205,データについて!$J$4:$AH$19,16,FALSE),"")</f>
        <v/>
      </c>
      <c r="AB4205" s="81" t="str">
        <f>IFERROR(HLOOKUP(K4205,データについて!$J$5:$AH$20,14,FALSE),"")</f>
        <v/>
      </c>
      <c r="AC4205" s="81" t="e">
        <f>IF(X4205=1,HLOOKUP(R4205,データについて!$J$12:$M$18,7,FALSE),"*")</f>
        <v>#N/A</v>
      </c>
      <c r="AD4205" s="81" t="e">
        <f>IF(X4205=2,HLOOKUP(R4205,データについて!$J$12:$M$18,7,FALSE),"*")</f>
        <v>#N/A</v>
      </c>
    </row>
    <row r="4206" spans="19:30">
      <c r="S4206" s="81" t="e">
        <f>HLOOKUP(L4206,データについて!$J$6:$M$18,13,FALSE)</f>
        <v>#N/A</v>
      </c>
      <c r="T4206" s="81" t="e">
        <f>HLOOKUP(M4206,データについて!$J$7:$M$18,12,FALSE)</f>
        <v>#N/A</v>
      </c>
      <c r="U4206" s="81" t="e">
        <f>HLOOKUP(N4206,データについて!$J$8:$M$18,11,FALSE)</f>
        <v>#N/A</v>
      </c>
      <c r="V4206" s="81" t="e">
        <f>HLOOKUP(O4206,データについて!$J$9:$M$18,10,FALSE)</f>
        <v>#N/A</v>
      </c>
      <c r="W4206" s="81" t="e">
        <f>HLOOKUP(P4206,データについて!$J$10:$M$18,9,FALSE)</f>
        <v>#N/A</v>
      </c>
      <c r="X4206" s="81" t="e">
        <f>HLOOKUP(Q4206,データについて!$J$11:$M$18,8,FALSE)</f>
        <v>#N/A</v>
      </c>
      <c r="Y4206" s="81" t="e">
        <f>HLOOKUP(R4206,データについて!$J$12:$M$18,7,FALSE)</f>
        <v>#N/A</v>
      </c>
      <c r="Z4206" s="81" t="e">
        <f>HLOOKUP(I4206,データについて!$J$3:$M$18,16,FALSE)</f>
        <v>#N/A</v>
      </c>
      <c r="AA4206" s="81" t="str">
        <f>IFERROR(HLOOKUP(J4206,データについて!$J$4:$AH$19,16,FALSE),"")</f>
        <v/>
      </c>
      <c r="AB4206" s="81" t="str">
        <f>IFERROR(HLOOKUP(K4206,データについて!$J$5:$AH$20,14,FALSE),"")</f>
        <v/>
      </c>
      <c r="AC4206" s="81" t="e">
        <f>IF(X4206=1,HLOOKUP(R4206,データについて!$J$12:$M$18,7,FALSE),"*")</f>
        <v>#N/A</v>
      </c>
      <c r="AD4206" s="81" t="e">
        <f>IF(X4206=2,HLOOKUP(R4206,データについて!$J$12:$M$18,7,FALSE),"*")</f>
        <v>#N/A</v>
      </c>
    </row>
    <row r="4207" spans="19:30">
      <c r="S4207" s="81" t="e">
        <f>HLOOKUP(L4207,データについて!$J$6:$M$18,13,FALSE)</f>
        <v>#N/A</v>
      </c>
      <c r="T4207" s="81" t="e">
        <f>HLOOKUP(M4207,データについて!$J$7:$M$18,12,FALSE)</f>
        <v>#N/A</v>
      </c>
      <c r="U4207" s="81" t="e">
        <f>HLOOKUP(N4207,データについて!$J$8:$M$18,11,FALSE)</f>
        <v>#N/A</v>
      </c>
      <c r="V4207" s="81" t="e">
        <f>HLOOKUP(O4207,データについて!$J$9:$M$18,10,FALSE)</f>
        <v>#N/A</v>
      </c>
      <c r="W4207" s="81" t="e">
        <f>HLOOKUP(P4207,データについて!$J$10:$M$18,9,FALSE)</f>
        <v>#N/A</v>
      </c>
      <c r="X4207" s="81" t="e">
        <f>HLOOKUP(Q4207,データについて!$J$11:$M$18,8,FALSE)</f>
        <v>#N/A</v>
      </c>
      <c r="Y4207" s="81" t="e">
        <f>HLOOKUP(R4207,データについて!$J$12:$M$18,7,FALSE)</f>
        <v>#N/A</v>
      </c>
      <c r="Z4207" s="81" t="e">
        <f>HLOOKUP(I4207,データについて!$J$3:$M$18,16,FALSE)</f>
        <v>#N/A</v>
      </c>
      <c r="AA4207" s="81" t="str">
        <f>IFERROR(HLOOKUP(J4207,データについて!$J$4:$AH$19,16,FALSE),"")</f>
        <v/>
      </c>
      <c r="AB4207" s="81" t="str">
        <f>IFERROR(HLOOKUP(K4207,データについて!$J$5:$AH$20,14,FALSE),"")</f>
        <v/>
      </c>
      <c r="AC4207" s="81" t="e">
        <f>IF(X4207=1,HLOOKUP(R4207,データについて!$J$12:$M$18,7,FALSE),"*")</f>
        <v>#N/A</v>
      </c>
      <c r="AD4207" s="81" t="e">
        <f>IF(X4207=2,HLOOKUP(R4207,データについて!$J$12:$M$18,7,FALSE),"*")</f>
        <v>#N/A</v>
      </c>
    </row>
    <row r="4208" spans="19:30">
      <c r="S4208" s="81" t="e">
        <f>HLOOKUP(L4208,データについて!$J$6:$M$18,13,FALSE)</f>
        <v>#N/A</v>
      </c>
      <c r="T4208" s="81" t="e">
        <f>HLOOKUP(M4208,データについて!$J$7:$M$18,12,FALSE)</f>
        <v>#N/A</v>
      </c>
      <c r="U4208" s="81" t="e">
        <f>HLOOKUP(N4208,データについて!$J$8:$M$18,11,FALSE)</f>
        <v>#N/A</v>
      </c>
      <c r="V4208" s="81" t="e">
        <f>HLOOKUP(O4208,データについて!$J$9:$M$18,10,FALSE)</f>
        <v>#N/A</v>
      </c>
      <c r="W4208" s="81" t="e">
        <f>HLOOKUP(P4208,データについて!$J$10:$M$18,9,FALSE)</f>
        <v>#N/A</v>
      </c>
      <c r="X4208" s="81" t="e">
        <f>HLOOKUP(Q4208,データについて!$J$11:$M$18,8,FALSE)</f>
        <v>#N/A</v>
      </c>
      <c r="Y4208" s="81" t="e">
        <f>HLOOKUP(R4208,データについて!$J$12:$M$18,7,FALSE)</f>
        <v>#N/A</v>
      </c>
      <c r="Z4208" s="81" t="e">
        <f>HLOOKUP(I4208,データについて!$J$3:$M$18,16,FALSE)</f>
        <v>#N/A</v>
      </c>
      <c r="AA4208" s="81" t="str">
        <f>IFERROR(HLOOKUP(J4208,データについて!$J$4:$AH$19,16,FALSE),"")</f>
        <v/>
      </c>
      <c r="AB4208" s="81" t="str">
        <f>IFERROR(HLOOKUP(K4208,データについて!$J$5:$AH$20,14,FALSE),"")</f>
        <v/>
      </c>
      <c r="AC4208" s="81" t="e">
        <f>IF(X4208=1,HLOOKUP(R4208,データについて!$J$12:$M$18,7,FALSE),"*")</f>
        <v>#N/A</v>
      </c>
      <c r="AD4208" s="81" t="e">
        <f>IF(X4208=2,HLOOKUP(R4208,データについて!$J$12:$M$18,7,FALSE),"*")</f>
        <v>#N/A</v>
      </c>
    </row>
    <row r="4209" spans="19:30">
      <c r="S4209" s="81" t="e">
        <f>HLOOKUP(L4209,データについて!$J$6:$M$18,13,FALSE)</f>
        <v>#N/A</v>
      </c>
      <c r="T4209" s="81" t="e">
        <f>HLOOKUP(M4209,データについて!$J$7:$M$18,12,FALSE)</f>
        <v>#N/A</v>
      </c>
      <c r="U4209" s="81" t="e">
        <f>HLOOKUP(N4209,データについて!$J$8:$M$18,11,FALSE)</f>
        <v>#N/A</v>
      </c>
      <c r="V4209" s="81" t="e">
        <f>HLOOKUP(O4209,データについて!$J$9:$M$18,10,FALSE)</f>
        <v>#N/A</v>
      </c>
      <c r="W4209" s="81" t="e">
        <f>HLOOKUP(P4209,データについて!$J$10:$M$18,9,FALSE)</f>
        <v>#N/A</v>
      </c>
      <c r="X4209" s="81" t="e">
        <f>HLOOKUP(Q4209,データについて!$J$11:$M$18,8,FALSE)</f>
        <v>#N/A</v>
      </c>
      <c r="Y4209" s="81" t="e">
        <f>HLOOKUP(R4209,データについて!$J$12:$M$18,7,FALSE)</f>
        <v>#N/A</v>
      </c>
      <c r="Z4209" s="81" t="e">
        <f>HLOOKUP(I4209,データについて!$J$3:$M$18,16,FALSE)</f>
        <v>#N/A</v>
      </c>
      <c r="AA4209" s="81" t="str">
        <f>IFERROR(HLOOKUP(J4209,データについて!$J$4:$AH$19,16,FALSE),"")</f>
        <v/>
      </c>
      <c r="AB4209" s="81" t="str">
        <f>IFERROR(HLOOKUP(K4209,データについて!$J$5:$AH$20,14,FALSE),"")</f>
        <v/>
      </c>
      <c r="AC4209" s="81" t="e">
        <f>IF(X4209=1,HLOOKUP(R4209,データについて!$J$12:$M$18,7,FALSE),"*")</f>
        <v>#N/A</v>
      </c>
      <c r="AD4209" s="81" t="e">
        <f>IF(X4209=2,HLOOKUP(R4209,データについて!$J$12:$M$18,7,FALSE),"*")</f>
        <v>#N/A</v>
      </c>
    </row>
    <row r="4210" spans="19:30">
      <c r="S4210" s="81" t="e">
        <f>HLOOKUP(L4210,データについて!$J$6:$M$18,13,FALSE)</f>
        <v>#N/A</v>
      </c>
      <c r="T4210" s="81" t="e">
        <f>HLOOKUP(M4210,データについて!$J$7:$M$18,12,FALSE)</f>
        <v>#N/A</v>
      </c>
      <c r="U4210" s="81" t="e">
        <f>HLOOKUP(N4210,データについて!$J$8:$M$18,11,FALSE)</f>
        <v>#N/A</v>
      </c>
      <c r="V4210" s="81" t="e">
        <f>HLOOKUP(O4210,データについて!$J$9:$M$18,10,FALSE)</f>
        <v>#N/A</v>
      </c>
      <c r="W4210" s="81" t="e">
        <f>HLOOKUP(P4210,データについて!$J$10:$M$18,9,FALSE)</f>
        <v>#N/A</v>
      </c>
      <c r="X4210" s="81" t="e">
        <f>HLOOKUP(Q4210,データについて!$J$11:$M$18,8,FALSE)</f>
        <v>#N/A</v>
      </c>
      <c r="Y4210" s="81" t="e">
        <f>HLOOKUP(R4210,データについて!$J$12:$M$18,7,FALSE)</f>
        <v>#N/A</v>
      </c>
      <c r="Z4210" s="81" t="e">
        <f>HLOOKUP(I4210,データについて!$J$3:$M$18,16,FALSE)</f>
        <v>#N/A</v>
      </c>
      <c r="AA4210" s="81" t="str">
        <f>IFERROR(HLOOKUP(J4210,データについて!$J$4:$AH$19,16,FALSE),"")</f>
        <v/>
      </c>
      <c r="AB4210" s="81" t="str">
        <f>IFERROR(HLOOKUP(K4210,データについて!$J$5:$AH$20,14,FALSE),"")</f>
        <v/>
      </c>
      <c r="AC4210" s="81" t="e">
        <f>IF(X4210=1,HLOOKUP(R4210,データについて!$J$12:$M$18,7,FALSE),"*")</f>
        <v>#N/A</v>
      </c>
      <c r="AD4210" s="81" t="e">
        <f>IF(X4210=2,HLOOKUP(R4210,データについて!$J$12:$M$18,7,FALSE),"*")</f>
        <v>#N/A</v>
      </c>
    </row>
    <row r="4211" spans="19:30">
      <c r="S4211" s="81" t="e">
        <f>HLOOKUP(L4211,データについて!$J$6:$M$18,13,FALSE)</f>
        <v>#N/A</v>
      </c>
      <c r="T4211" s="81" t="e">
        <f>HLOOKUP(M4211,データについて!$J$7:$M$18,12,FALSE)</f>
        <v>#N/A</v>
      </c>
      <c r="U4211" s="81" t="e">
        <f>HLOOKUP(N4211,データについて!$J$8:$M$18,11,FALSE)</f>
        <v>#N/A</v>
      </c>
      <c r="V4211" s="81" t="e">
        <f>HLOOKUP(O4211,データについて!$J$9:$M$18,10,FALSE)</f>
        <v>#N/A</v>
      </c>
      <c r="W4211" s="81" t="e">
        <f>HLOOKUP(P4211,データについて!$J$10:$M$18,9,FALSE)</f>
        <v>#N/A</v>
      </c>
      <c r="X4211" s="81" t="e">
        <f>HLOOKUP(Q4211,データについて!$J$11:$M$18,8,FALSE)</f>
        <v>#N/A</v>
      </c>
      <c r="Y4211" s="81" t="e">
        <f>HLOOKUP(R4211,データについて!$J$12:$M$18,7,FALSE)</f>
        <v>#N/A</v>
      </c>
      <c r="Z4211" s="81" t="e">
        <f>HLOOKUP(I4211,データについて!$J$3:$M$18,16,FALSE)</f>
        <v>#N/A</v>
      </c>
      <c r="AA4211" s="81" t="str">
        <f>IFERROR(HLOOKUP(J4211,データについて!$J$4:$AH$19,16,FALSE),"")</f>
        <v/>
      </c>
      <c r="AB4211" s="81" t="str">
        <f>IFERROR(HLOOKUP(K4211,データについて!$J$5:$AH$20,14,FALSE),"")</f>
        <v/>
      </c>
      <c r="AC4211" s="81" t="e">
        <f>IF(X4211=1,HLOOKUP(R4211,データについて!$J$12:$M$18,7,FALSE),"*")</f>
        <v>#N/A</v>
      </c>
      <c r="AD4211" s="81" t="e">
        <f>IF(X4211=2,HLOOKUP(R4211,データについて!$J$12:$M$18,7,FALSE),"*")</f>
        <v>#N/A</v>
      </c>
    </row>
    <row r="4212" spans="19:30">
      <c r="S4212" s="81" t="e">
        <f>HLOOKUP(L4212,データについて!$J$6:$M$18,13,FALSE)</f>
        <v>#N/A</v>
      </c>
      <c r="T4212" s="81" t="e">
        <f>HLOOKUP(M4212,データについて!$J$7:$M$18,12,FALSE)</f>
        <v>#N/A</v>
      </c>
      <c r="U4212" s="81" t="e">
        <f>HLOOKUP(N4212,データについて!$J$8:$M$18,11,FALSE)</f>
        <v>#N/A</v>
      </c>
      <c r="V4212" s="81" t="e">
        <f>HLOOKUP(O4212,データについて!$J$9:$M$18,10,FALSE)</f>
        <v>#N/A</v>
      </c>
      <c r="W4212" s="81" t="e">
        <f>HLOOKUP(P4212,データについて!$J$10:$M$18,9,FALSE)</f>
        <v>#N/A</v>
      </c>
      <c r="X4212" s="81" t="e">
        <f>HLOOKUP(Q4212,データについて!$J$11:$M$18,8,FALSE)</f>
        <v>#N/A</v>
      </c>
      <c r="Y4212" s="81" t="e">
        <f>HLOOKUP(R4212,データについて!$J$12:$M$18,7,FALSE)</f>
        <v>#N/A</v>
      </c>
      <c r="Z4212" s="81" t="e">
        <f>HLOOKUP(I4212,データについて!$J$3:$M$18,16,FALSE)</f>
        <v>#N/A</v>
      </c>
      <c r="AA4212" s="81" t="str">
        <f>IFERROR(HLOOKUP(J4212,データについて!$J$4:$AH$19,16,FALSE),"")</f>
        <v/>
      </c>
      <c r="AB4212" s="81" t="str">
        <f>IFERROR(HLOOKUP(K4212,データについて!$J$5:$AH$20,14,FALSE),"")</f>
        <v/>
      </c>
      <c r="AC4212" s="81" t="e">
        <f>IF(X4212=1,HLOOKUP(R4212,データについて!$J$12:$M$18,7,FALSE),"*")</f>
        <v>#N/A</v>
      </c>
      <c r="AD4212" s="81" t="e">
        <f>IF(X4212=2,HLOOKUP(R4212,データについて!$J$12:$M$18,7,FALSE),"*")</f>
        <v>#N/A</v>
      </c>
    </row>
    <row r="4213" spans="19:30">
      <c r="S4213" s="81" t="e">
        <f>HLOOKUP(L4213,データについて!$J$6:$M$18,13,FALSE)</f>
        <v>#N/A</v>
      </c>
      <c r="T4213" s="81" t="e">
        <f>HLOOKUP(M4213,データについて!$J$7:$M$18,12,FALSE)</f>
        <v>#N/A</v>
      </c>
      <c r="U4213" s="81" t="e">
        <f>HLOOKUP(N4213,データについて!$J$8:$M$18,11,FALSE)</f>
        <v>#N/A</v>
      </c>
      <c r="V4213" s="81" t="e">
        <f>HLOOKUP(O4213,データについて!$J$9:$M$18,10,FALSE)</f>
        <v>#N/A</v>
      </c>
      <c r="W4213" s="81" t="e">
        <f>HLOOKUP(P4213,データについて!$J$10:$M$18,9,FALSE)</f>
        <v>#N/A</v>
      </c>
      <c r="X4213" s="81" t="e">
        <f>HLOOKUP(Q4213,データについて!$J$11:$M$18,8,FALSE)</f>
        <v>#N/A</v>
      </c>
      <c r="Y4213" s="81" t="e">
        <f>HLOOKUP(R4213,データについて!$J$12:$M$18,7,FALSE)</f>
        <v>#N/A</v>
      </c>
      <c r="Z4213" s="81" t="e">
        <f>HLOOKUP(I4213,データについて!$J$3:$M$18,16,FALSE)</f>
        <v>#N/A</v>
      </c>
      <c r="AA4213" s="81" t="str">
        <f>IFERROR(HLOOKUP(J4213,データについて!$J$4:$AH$19,16,FALSE),"")</f>
        <v/>
      </c>
      <c r="AB4213" s="81" t="str">
        <f>IFERROR(HLOOKUP(K4213,データについて!$J$5:$AH$20,14,FALSE),"")</f>
        <v/>
      </c>
      <c r="AC4213" s="81" t="e">
        <f>IF(X4213=1,HLOOKUP(R4213,データについて!$J$12:$M$18,7,FALSE),"*")</f>
        <v>#N/A</v>
      </c>
      <c r="AD4213" s="81" t="e">
        <f>IF(X4213=2,HLOOKUP(R4213,データについて!$J$12:$M$18,7,FALSE),"*")</f>
        <v>#N/A</v>
      </c>
    </row>
    <row r="4214" spans="19:30">
      <c r="S4214" s="81" t="e">
        <f>HLOOKUP(L4214,データについて!$J$6:$M$18,13,FALSE)</f>
        <v>#N/A</v>
      </c>
      <c r="T4214" s="81" t="e">
        <f>HLOOKUP(M4214,データについて!$J$7:$M$18,12,FALSE)</f>
        <v>#N/A</v>
      </c>
      <c r="U4214" s="81" t="e">
        <f>HLOOKUP(N4214,データについて!$J$8:$M$18,11,FALSE)</f>
        <v>#N/A</v>
      </c>
      <c r="V4214" s="81" t="e">
        <f>HLOOKUP(O4214,データについて!$J$9:$M$18,10,FALSE)</f>
        <v>#N/A</v>
      </c>
      <c r="W4214" s="81" t="e">
        <f>HLOOKUP(P4214,データについて!$J$10:$M$18,9,FALSE)</f>
        <v>#N/A</v>
      </c>
      <c r="X4214" s="81" t="e">
        <f>HLOOKUP(Q4214,データについて!$J$11:$M$18,8,FALSE)</f>
        <v>#N/A</v>
      </c>
      <c r="Y4214" s="81" t="e">
        <f>HLOOKUP(R4214,データについて!$J$12:$M$18,7,FALSE)</f>
        <v>#N/A</v>
      </c>
      <c r="Z4214" s="81" t="e">
        <f>HLOOKUP(I4214,データについて!$J$3:$M$18,16,FALSE)</f>
        <v>#N/A</v>
      </c>
      <c r="AA4214" s="81" t="str">
        <f>IFERROR(HLOOKUP(J4214,データについて!$J$4:$AH$19,16,FALSE),"")</f>
        <v/>
      </c>
      <c r="AB4214" s="81" t="str">
        <f>IFERROR(HLOOKUP(K4214,データについて!$J$5:$AH$20,14,FALSE),"")</f>
        <v/>
      </c>
      <c r="AC4214" s="81" t="e">
        <f>IF(X4214=1,HLOOKUP(R4214,データについて!$J$12:$M$18,7,FALSE),"*")</f>
        <v>#N/A</v>
      </c>
      <c r="AD4214" s="81" t="e">
        <f>IF(X4214=2,HLOOKUP(R4214,データについて!$J$12:$M$18,7,FALSE),"*")</f>
        <v>#N/A</v>
      </c>
    </row>
    <row r="4215" spans="19:30">
      <c r="S4215" s="81" t="e">
        <f>HLOOKUP(L4215,データについて!$J$6:$M$18,13,FALSE)</f>
        <v>#N/A</v>
      </c>
      <c r="T4215" s="81" t="e">
        <f>HLOOKUP(M4215,データについて!$J$7:$M$18,12,FALSE)</f>
        <v>#N/A</v>
      </c>
      <c r="U4215" s="81" t="e">
        <f>HLOOKUP(N4215,データについて!$J$8:$M$18,11,FALSE)</f>
        <v>#N/A</v>
      </c>
      <c r="V4215" s="81" t="e">
        <f>HLOOKUP(O4215,データについて!$J$9:$M$18,10,FALSE)</f>
        <v>#N/A</v>
      </c>
      <c r="W4215" s="81" t="e">
        <f>HLOOKUP(P4215,データについて!$J$10:$M$18,9,FALSE)</f>
        <v>#N/A</v>
      </c>
      <c r="X4215" s="81" t="e">
        <f>HLOOKUP(Q4215,データについて!$J$11:$M$18,8,FALSE)</f>
        <v>#N/A</v>
      </c>
      <c r="Y4215" s="81" t="e">
        <f>HLOOKUP(R4215,データについて!$J$12:$M$18,7,FALSE)</f>
        <v>#N/A</v>
      </c>
      <c r="Z4215" s="81" t="e">
        <f>HLOOKUP(I4215,データについて!$J$3:$M$18,16,FALSE)</f>
        <v>#N/A</v>
      </c>
      <c r="AA4215" s="81" t="str">
        <f>IFERROR(HLOOKUP(J4215,データについて!$J$4:$AH$19,16,FALSE),"")</f>
        <v/>
      </c>
      <c r="AB4215" s="81" t="str">
        <f>IFERROR(HLOOKUP(K4215,データについて!$J$5:$AH$20,14,FALSE),"")</f>
        <v/>
      </c>
      <c r="AC4215" s="81" t="e">
        <f>IF(X4215=1,HLOOKUP(R4215,データについて!$J$12:$M$18,7,FALSE),"*")</f>
        <v>#N/A</v>
      </c>
      <c r="AD4215" s="81" t="e">
        <f>IF(X4215=2,HLOOKUP(R4215,データについて!$J$12:$M$18,7,FALSE),"*")</f>
        <v>#N/A</v>
      </c>
    </row>
    <row r="4216" spans="19:30">
      <c r="S4216" s="81" t="e">
        <f>HLOOKUP(L4216,データについて!$J$6:$M$18,13,FALSE)</f>
        <v>#N/A</v>
      </c>
      <c r="T4216" s="81" t="e">
        <f>HLOOKUP(M4216,データについて!$J$7:$M$18,12,FALSE)</f>
        <v>#N/A</v>
      </c>
      <c r="U4216" s="81" t="e">
        <f>HLOOKUP(N4216,データについて!$J$8:$M$18,11,FALSE)</f>
        <v>#N/A</v>
      </c>
      <c r="V4216" s="81" t="e">
        <f>HLOOKUP(O4216,データについて!$J$9:$M$18,10,FALSE)</f>
        <v>#N/A</v>
      </c>
      <c r="W4216" s="81" t="e">
        <f>HLOOKUP(P4216,データについて!$J$10:$M$18,9,FALSE)</f>
        <v>#N/A</v>
      </c>
      <c r="X4216" s="81" t="e">
        <f>HLOOKUP(Q4216,データについて!$J$11:$M$18,8,FALSE)</f>
        <v>#N/A</v>
      </c>
      <c r="Y4216" s="81" t="e">
        <f>HLOOKUP(R4216,データについて!$J$12:$M$18,7,FALSE)</f>
        <v>#N/A</v>
      </c>
      <c r="Z4216" s="81" t="e">
        <f>HLOOKUP(I4216,データについて!$J$3:$M$18,16,FALSE)</f>
        <v>#N/A</v>
      </c>
      <c r="AA4216" s="81" t="str">
        <f>IFERROR(HLOOKUP(J4216,データについて!$J$4:$AH$19,16,FALSE),"")</f>
        <v/>
      </c>
      <c r="AB4216" s="81" t="str">
        <f>IFERROR(HLOOKUP(K4216,データについて!$J$5:$AH$20,14,FALSE),"")</f>
        <v/>
      </c>
      <c r="AC4216" s="81" t="e">
        <f>IF(X4216=1,HLOOKUP(R4216,データについて!$J$12:$M$18,7,FALSE),"*")</f>
        <v>#N/A</v>
      </c>
      <c r="AD4216" s="81" t="e">
        <f>IF(X4216=2,HLOOKUP(R4216,データについて!$J$12:$M$18,7,FALSE),"*")</f>
        <v>#N/A</v>
      </c>
    </row>
    <row r="4217" spans="19:30">
      <c r="S4217" s="81" t="e">
        <f>HLOOKUP(L4217,データについて!$J$6:$M$18,13,FALSE)</f>
        <v>#N/A</v>
      </c>
      <c r="T4217" s="81" t="e">
        <f>HLOOKUP(M4217,データについて!$J$7:$M$18,12,FALSE)</f>
        <v>#N/A</v>
      </c>
      <c r="U4217" s="81" t="e">
        <f>HLOOKUP(N4217,データについて!$J$8:$M$18,11,FALSE)</f>
        <v>#N/A</v>
      </c>
      <c r="V4217" s="81" t="e">
        <f>HLOOKUP(O4217,データについて!$J$9:$M$18,10,FALSE)</f>
        <v>#N/A</v>
      </c>
      <c r="W4217" s="81" t="e">
        <f>HLOOKUP(P4217,データについて!$J$10:$M$18,9,FALSE)</f>
        <v>#N/A</v>
      </c>
      <c r="X4217" s="81" t="e">
        <f>HLOOKUP(Q4217,データについて!$J$11:$M$18,8,FALSE)</f>
        <v>#N/A</v>
      </c>
      <c r="Y4217" s="81" t="e">
        <f>HLOOKUP(R4217,データについて!$J$12:$M$18,7,FALSE)</f>
        <v>#N/A</v>
      </c>
      <c r="Z4217" s="81" t="e">
        <f>HLOOKUP(I4217,データについて!$J$3:$M$18,16,FALSE)</f>
        <v>#N/A</v>
      </c>
      <c r="AA4217" s="81" t="str">
        <f>IFERROR(HLOOKUP(J4217,データについて!$J$4:$AH$19,16,FALSE),"")</f>
        <v/>
      </c>
      <c r="AB4217" s="81" t="str">
        <f>IFERROR(HLOOKUP(K4217,データについて!$J$5:$AH$20,14,FALSE),"")</f>
        <v/>
      </c>
      <c r="AC4217" s="81" t="e">
        <f>IF(X4217=1,HLOOKUP(R4217,データについて!$J$12:$M$18,7,FALSE),"*")</f>
        <v>#N/A</v>
      </c>
      <c r="AD4217" s="81" t="e">
        <f>IF(X4217=2,HLOOKUP(R4217,データについて!$J$12:$M$18,7,FALSE),"*")</f>
        <v>#N/A</v>
      </c>
    </row>
    <row r="4218" spans="19:30">
      <c r="S4218" s="81" t="e">
        <f>HLOOKUP(L4218,データについて!$J$6:$M$18,13,FALSE)</f>
        <v>#N/A</v>
      </c>
      <c r="T4218" s="81" t="e">
        <f>HLOOKUP(M4218,データについて!$J$7:$M$18,12,FALSE)</f>
        <v>#N/A</v>
      </c>
      <c r="U4218" s="81" t="e">
        <f>HLOOKUP(N4218,データについて!$J$8:$M$18,11,FALSE)</f>
        <v>#N/A</v>
      </c>
      <c r="V4218" s="81" t="e">
        <f>HLOOKUP(O4218,データについて!$J$9:$M$18,10,FALSE)</f>
        <v>#N/A</v>
      </c>
      <c r="W4218" s="81" t="e">
        <f>HLOOKUP(P4218,データについて!$J$10:$M$18,9,FALSE)</f>
        <v>#N/A</v>
      </c>
      <c r="X4218" s="81" t="e">
        <f>HLOOKUP(Q4218,データについて!$J$11:$M$18,8,FALSE)</f>
        <v>#N/A</v>
      </c>
      <c r="Y4218" s="81" t="e">
        <f>HLOOKUP(R4218,データについて!$J$12:$M$18,7,FALSE)</f>
        <v>#N/A</v>
      </c>
      <c r="Z4218" s="81" t="e">
        <f>HLOOKUP(I4218,データについて!$J$3:$M$18,16,FALSE)</f>
        <v>#N/A</v>
      </c>
      <c r="AA4218" s="81" t="str">
        <f>IFERROR(HLOOKUP(J4218,データについて!$J$4:$AH$19,16,FALSE),"")</f>
        <v/>
      </c>
      <c r="AB4218" s="81" t="str">
        <f>IFERROR(HLOOKUP(K4218,データについて!$J$5:$AH$20,14,FALSE),"")</f>
        <v/>
      </c>
      <c r="AC4218" s="81" t="e">
        <f>IF(X4218=1,HLOOKUP(R4218,データについて!$J$12:$M$18,7,FALSE),"*")</f>
        <v>#N/A</v>
      </c>
      <c r="AD4218" s="81" t="e">
        <f>IF(X4218=2,HLOOKUP(R4218,データについて!$J$12:$M$18,7,FALSE),"*")</f>
        <v>#N/A</v>
      </c>
    </row>
    <row r="4219" spans="19:30">
      <c r="S4219" s="81" t="e">
        <f>HLOOKUP(L4219,データについて!$J$6:$M$18,13,FALSE)</f>
        <v>#N/A</v>
      </c>
      <c r="T4219" s="81" t="e">
        <f>HLOOKUP(M4219,データについて!$J$7:$M$18,12,FALSE)</f>
        <v>#N/A</v>
      </c>
      <c r="U4219" s="81" t="e">
        <f>HLOOKUP(N4219,データについて!$J$8:$M$18,11,FALSE)</f>
        <v>#N/A</v>
      </c>
      <c r="V4219" s="81" t="e">
        <f>HLOOKUP(O4219,データについて!$J$9:$M$18,10,FALSE)</f>
        <v>#N/A</v>
      </c>
      <c r="W4219" s="81" t="e">
        <f>HLOOKUP(P4219,データについて!$J$10:$M$18,9,FALSE)</f>
        <v>#N/A</v>
      </c>
      <c r="X4219" s="81" t="e">
        <f>HLOOKUP(Q4219,データについて!$J$11:$M$18,8,FALSE)</f>
        <v>#N/A</v>
      </c>
      <c r="Y4219" s="81" t="e">
        <f>HLOOKUP(R4219,データについて!$J$12:$M$18,7,FALSE)</f>
        <v>#N/A</v>
      </c>
      <c r="Z4219" s="81" t="e">
        <f>HLOOKUP(I4219,データについて!$J$3:$M$18,16,FALSE)</f>
        <v>#N/A</v>
      </c>
      <c r="AA4219" s="81" t="str">
        <f>IFERROR(HLOOKUP(J4219,データについて!$J$4:$AH$19,16,FALSE),"")</f>
        <v/>
      </c>
      <c r="AB4219" s="81" t="str">
        <f>IFERROR(HLOOKUP(K4219,データについて!$J$5:$AH$20,14,FALSE),"")</f>
        <v/>
      </c>
      <c r="AC4219" s="81" t="e">
        <f>IF(X4219=1,HLOOKUP(R4219,データについて!$J$12:$M$18,7,FALSE),"*")</f>
        <v>#N/A</v>
      </c>
      <c r="AD4219" s="81" t="e">
        <f>IF(X4219=2,HLOOKUP(R4219,データについて!$J$12:$M$18,7,FALSE),"*")</f>
        <v>#N/A</v>
      </c>
    </row>
    <row r="4220" spans="19:30">
      <c r="S4220" s="81" t="e">
        <f>HLOOKUP(L4220,データについて!$J$6:$M$18,13,FALSE)</f>
        <v>#N/A</v>
      </c>
      <c r="T4220" s="81" t="e">
        <f>HLOOKUP(M4220,データについて!$J$7:$M$18,12,FALSE)</f>
        <v>#N/A</v>
      </c>
      <c r="U4220" s="81" t="e">
        <f>HLOOKUP(N4220,データについて!$J$8:$M$18,11,FALSE)</f>
        <v>#N/A</v>
      </c>
      <c r="V4220" s="81" t="e">
        <f>HLOOKUP(O4220,データについて!$J$9:$M$18,10,FALSE)</f>
        <v>#N/A</v>
      </c>
      <c r="W4220" s="81" t="e">
        <f>HLOOKUP(P4220,データについて!$J$10:$M$18,9,FALSE)</f>
        <v>#N/A</v>
      </c>
      <c r="X4220" s="81" t="e">
        <f>HLOOKUP(Q4220,データについて!$J$11:$M$18,8,FALSE)</f>
        <v>#N/A</v>
      </c>
      <c r="Y4220" s="81" t="e">
        <f>HLOOKUP(R4220,データについて!$J$12:$M$18,7,FALSE)</f>
        <v>#N/A</v>
      </c>
      <c r="Z4220" s="81" t="e">
        <f>HLOOKUP(I4220,データについて!$J$3:$M$18,16,FALSE)</f>
        <v>#N/A</v>
      </c>
      <c r="AA4220" s="81" t="str">
        <f>IFERROR(HLOOKUP(J4220,データについて!$J$4:$AH$19,16,FALSE),"")</f>
        <v/>
      </c>
      <c r="AB4220" s="81" t="str">
        <f>IFERROR(HLOOKUP(K4220,データについて!$J$5:$AH$20,14,FALSE),"")</f>
        <v/>
      </c>
      <c r="AC4220" s="81" t="e">
        <f>IF(X4220=1,HLOOKUP(R4220,データについて!$J$12:$M$18,7,FALSE),"*")</f>
        <v>#N/A</v>
      </c>
      <c r="AD4220" s="81" t="e">
        <f>IF(X4220=2,HLOOKUP(R4220,データについて!$J$12:$M$18,7,FALSE),"*")</f>
        <v>#N/A</v>
      </c>
    </row>
    <row r="4221" spans="19:30">
      <c r="S4221" s="81" t="e">
        <f>HLOOKUP(L4221,データについて!$J$6:$M$18,13,FALSE)</f>
        <v>#N/A</v>
      </c>
      <c r="T4221" s="81" t="e">
        <f>HLOOKUP(M4221,データについて!$J$7:$M$18,12,FALSE)</f>
        <v>#N/A</v>
      </c>
      <c r="U4221" s="81" t="e">
        <f>HLOOKUP(N4221,データについて!$J$8:$M$18,11,FALSE)</f>
        <v>#N/A</v>
      </c>
      <c r="V4221" s="81" t="e">
        <f>HLOOKUP(O4221,データについて!$J$9:$M$18,10,FALSE)</f>
        <v>#N/A</v>
      </c>
      <c r="W4221" s="81" t="e">
        <f>HLOOKUP(P4221,データについて!$J$10:$M$18,9,FALSE)</f>
        <v>#N/A</v>
      </c>
      <c r="X4221" s="81" t="e">
        <f>HLOOKUP(Q4221,データについて!$J$11:$M$18,8,FALSE)</f>
        <v>#N/A</v>
      </c>
      <c r="Y4221" s="81" t="e">
        <f>HLOOKUP(R4221,データについて!$J$12:$M$18,7,FALSE)</f>
        <v>#N/A</v>
      </c>
      <c r="Z4221" s="81" t="e">
        <f>HLOOKUP(I4221,データについて!$J$3:$M$18,16,FALSE)</f>
        <v>#N/A</v>
      </c>
      <c r="AA4221" s="81" t="str">
        <f>IFERROR(HLOOKUP(J4221,データについて!$J$4:$AH$19,16,FALSE),"")</f>
        <v/>
      </c>
      <c r="AB4221" s="81" t="str">
        <f>IFERROR(HLOOKUP(K4221,データについて!$J$5:$AH$20,14,FALSE),"")</f>
        <v/>
      </c>
      <c r="AC4221" s="81" t="e">
        <f>IF(X4221=1,HLOOKUP(R4221,データについて!$J$12:$M$18,7,FALSE),"*")</f>
        <v>#N/A</v>
      </c>
      <c r="AD4221" s="81" t="e">
        <f>IF(X4221=2,HLOOKUP(R4221,データについて!$J$12:$M$18,7,FALSE),"*")</f>
        <v>#N/A</v>
      </c>
    </row>
    <row r="4222" spans="19:30">
      <c r="S4222" s="81" t="e">
        <f>HLOOKUP(L4222,データについて!$J$6:$M$18,13,FALSE)</f>
        <v>#N/A</v>
      </c>
      <c r="T4222" s="81" t="e">
        <f>HLOOKUP(M4222,データについて!$J$7:$M$18,12,FALSE)</f>
        <v>#N/A</v>
      </c>
      <c r="U4222" s="81" t="e">
        <f>HLOOKUP(N4222,データについて!$J$8:$M$18,11,FALSE)</f>
        <v>#N/A</v>
      </c>
      <c r="V4222" s="81" t="e">
        <f>HLOOKUP(O4222,データについて!$J$9:$M$18,10,FALSE)</f>
        <v>#N/A</v>
      </c>
      <c r="W4222" s="81" t="e">
        <f>HLOOKUP(P4222,データについて!$J$10:$M$18,9,FALSE)</f>
        <v>#N/A</v>
      </c>
      <c r="X4222" s="81" t="e">
        <f>HLOOKUP(Q4222,データについて!$J$11:$M$18,8,FALSE)</f>
        <v>#N/A</v>
      </c>
      <c r="Y4222" s="81" t="e">
        <f>HLOOKUP(R4222,データについて!$J$12:$M$18,7,FALSE)</f>
        <v>#N/A</v>
      </c>
      <c r="Z4222" s="81" t="e">
        <f>HLOOKUP(I4222,データについて!$J$3:$M$18,16,FALSE)</f>
        <v>#N/A</v>
      </c>
      <c r="AA4222" s="81" t="str">
        <f>IFERROR(HLOOKUP(J4222,データについて!$J$4:$AH$19,16,FALSE),"")</f>
        <v/>
      </c>
      <c r="AB4222" s="81" t="str">
        <f>IFERROR(HLOOKUP(K4222,データについて!$J$5:$AH$20,14,FALSE),"")</f>
        <v/>
      </c>
      <c r="AC4222" s="81" t="e">
        <f>IF(X4222=1,HLOOKUP(R4222,データについて!$J$12:$M$18,7,FALSE),"*")</f>
        <v>#N/A</v>
      </c>
      <c r="AD4222" s="81" t="e">
        <f>IF(X4222=2,HLOOKUP(R4222,データについて!$J$12:$M$18,7,FALSE),"*")</f>
        <v>#N/A</v>
      </c>
    </row>
    <row r="4223" spans="19:30">
      <c r="S4223" s="81" t="e">
        <f>HLOOKUP(L4223,データについて!$J$6:$M$18,13,FALSE)</f>
        <v>#N/A</v>
      </c>
      <c r="T4223" s="81" t="e">
        <f>HLOOKUP(M4223,データについて!$J$7:$M$18,12,FALSE)</f>
        <v>#N/A</v>
      </c>
      <c r="U4223" s="81" t="e">
        <f>HLOOKUP(N4223,データについて!$J$8:$M$18,11,FALSE)</f>
        <v>#N/A</v>
      </c>
      <c r="V4223" s="81" t="e">
        <f>HLOOKUP(O4223,データについて!$J$9:$M$18,10,FALSE)</f>
        <v>#N/A</v>
      </c>
      <c r="W4223" s="81" t="e">
        <f>HLOOKUP(P4223,データについて!$J$10:$M$18,9,FALSE)</f>
        <v>#N/A</v>
      </c>
      <c r="X4223" s="81" t="e">
        <f>HLOOKUP(Q4223,データについて!$J$11:$M$18,8,FALSE)</f>
        <v>#N/A</v>
      </c>
      <c r="Y4223" s="81" t="e">
        <f>HLOOKUP(R4223,データについて!$J$12:$M$18,7,FALSE)</f>
        <v>#N/A</v>
      </c>
      <c r="Z4223" s="81" t="e">
        <f>HLOOKUP(I4223,データについて!$J$3:$M$18,16,FALSE)</f>
        <v>#N/A</v>
      </c>
      <c r="AA4223" s="81" t="str">
        <f>IFERROR(HLOOKUP(J4223,データについて!$J$4:$AH$19,16,FALSE),"")</f>
        <v/>
      </c>
      <c r="AB4223" s="81" t="str">
        <f>IFERROR(HLOOKUP(K4223,データについて!$J$5:$AH$20,14,FALSE),"")</f>
        <v/>
      </c>
      <c r="AC4223" s="81" t="e">
        <f>IF(X4223=1,HLOOKUP(R4223,データについて!$J$12:$M$18,7,FALSE),"*")</f>
        <v>#N/A</v>
      </c>
      <c r="AD4223" s="81" t="e">
        <f>IF(X4223=2,HLOOKUP(R4223,データについて!$J$12:$M$18,7,FALSE),"*")</f>
        <v>#N/A</v>
      </c>
    </row>
    <row r="4224" spans="19:30">
      <c r="S4224" s="81" t="e">
        <f>HLOOKUP(L4224,データについて!$J$6:$M$18,13,FALSE)</f>
        <v>#N/A</v>
      </c>
      <c r="T4224" s="81" t="e">
        <f>HLOOKUP(M4224,データについて!$J$7:$M$18,12,FALSE)</f>
        <v>#N/A</v>
      </c>
      <c r="U4224" s="81" t="e">
        <f>HLOOKUP(N4224,データについて!$J$8:$M$18,11,FALSE)</f>
        <v>#N/A</v>
      </c>
      <c r="V4224" s="81" t="e">
        <f>HLOOKUP(O4224,データについて!$J$9:$M$18,10,FALSE)</f>
        <v>#N/A</v>
      </c>
      <c r="W4224" s="81" t="e">
        <f>HLOOKUP(P4224,データについて!$J$10:$M$18,9,FALSE)</f>
        <v>#N/A</v>
      </c>
      <c r="X4224" s="81" t="e">
        <f>HLOOKUP(Q4224,データについて!$J$11:$M$18,8,FALSE)</f>
        <v>#N/A</v>
      </c>
      <c r="Y4224" s="81" t="e">
        <f>HLOOKUP(R4224,データについて!$J$12:$M$18,7,FALSE)</f>
        <v>#N/A</v>
      </c>
      <c r="Z4224" s="81" t="e">
        <f>HLOOKUP(I4224,データについて!$J$3:$M$18,16,FALSE)</f>
        <v>#N/A</v>
      </c>
      <c r="AA4224" s="81" t="str">
        <f>IFERROR(HLOOKUP(J4224,データについて!$J$4:$AH$19,16,FALSE),"")</f>
        <v/>
      </c>
      <c r="AB4224" s="81" t="str">
        <f>IFERROR(HLOOKUP(K4224,データについて!$J$5:$AH$20,14,FALSE),"")</f>
        <v/>
      </c>
      <c r="AC4224" s="81" t="e">
        <f>IF(X4224=1,HLOOKUP(R4224,データについて!$J$12:$M$18,7,FALSE),"*")</f>
        <v>#N/A</v>
      </c>
      <c r="AD4224" s="81" t="e">
        <f>IF(X4224=2,HLOOKUP(R4224,データについて!$J$12:$M$18,7,FALSE),"*")</f>
        <v>#N/A</v>
      </c>
    </row>
    <row r="4225" spans="19:30">
      <c r="S4225" s="81" t="e">
        <f>HLOOKUP(L4225,データについて!$J$6:$M$18,13,FALSE)</f>
        <v>#N/A</v>
      </c>
      <c r="T4225" s="81" t="e">
        <f>HLOOKUP(M4225,データについて!$J$7:$M$18,12,FALSE)</f>
        <v>#N/A</v>
      </c>
      <c r="U4225" s="81" t="e">
        <f>HLOOKUP(N4225,データについて!$J$8:$M$18,11,FALSE)</f>
        <v>#N/A</v>
      </c>
      <c r="V4225" s="81" t="e">
        <f>HLOOKUP(O4225,データについて!$J$9:$M$18,10,FALSE)</f>
        <v>#N/A</v>
      </c>
      <c r="W4225" s="81" t="e">
        <f>HLOOKUP(P4225,データについて!$J$10:$M$18,9,FALSE)</f>
        <v>#N/A</v>
      </c>
      <c r="X4225" s="81" t="e">
        <f>HLOOKUP(Q4225,データについて!$J$11:$M$18,8,FALSE)</f>
        <v>#N/A</v>
      </c>
      <c r="Y4225" s="81" t="e">
        <f>HLOOKUP(R4225,データについて!$J$12:$M$18,7,FALSE)</f>
        <v>#N/A</v>
      </c>
      <c r="Z4225" s="81" t="e">
        <f>HLOOKUP(I4225,データについて!$J$3:$M$18,16,FALSE)</f>
        <v>#N/A</v>
      </c>
      <c r="AA4225" s="81" t="str">
        <f>IFERROR(HLOOKUP(J4225,データについて!$J$4:$AH$19,16,FALSE),"")</f>
        <v/>
      </c>
      <c r="AB4225" s="81" t="str">
        <f>IFERROR(HLOOKUP(K4225,データについて!$J$5:$AH$20,14,FALSE),"")</f>
        <v/>
      </c>
      <c r="AC4225" s="81" t="e">
        <f>IF(X4225=1,HLOOKUP(R4225,データについて!$J$12:$M$18,7,FALSE),"*")</f>
        <v>#N/A</v>
      </c>
      <c r="AD4225" s="81" t="e">
        <f>IF(X4225=2,HLOOKUP(R4225,データについて!$J$12:$M$18,7,FALSE),"*")</f>
        <v>#N/A</v>
      </c>
    </row>
    <row r="4226" spans="19:30">
      <c r="S4226" s="81" t="e">
        <f>HLOOKUP(L4226,データについて!$J$6:$M$18,13,FALSE)</f>
        <v>#N/A</v>
      </c>
      <c r="T4226" s="81" t="e">
        <f>HLOOKUP(M4226,データについて!$J$7:$M$18,12,FALSE)</f>
        <v>#N/A</v>
      </c>
      <c r="U4226" s="81" t="e">
        <f>HLOOKUP(N4226,データについて!$J$8:$M$18,11,FALSE)</f>
        <v>#N/A</v>
      </c>
      <c r="V4226" s="81" t="e">
        <f>HLOOKUP(O4226,データについて!$J$9:$M$18,10,FALSE)</f>
        <v>#N/A</v>
      </c>
      <c r="W4226" s="81" t="e">
        <f>HLOOKUP(P4226,データについて!$J$10:$M$18,9,FALSE)</f>
        <v>#N/A</v>
      </c>
      <c r="X4226" s="81" t="e">
        <f>HLOOKUP(Q4226,データについて!$J$11:$M$18,8,FALSE)</f>
        <v>#N/A</v>
      </c>
      <c r="Y4226" s="81" t="e">
        <f>HLOOKUP(R4226,データについて!$J$12:$M$18,7,FALSE)</f>
        <v>#N/A</v>
      </c>
      <c r="Z4226" s="81" t="e">
        <f>HLOOKUP(I4226,データについて!$J$3:$M$18,16,FALSE)</f>
        <v>#N/A</v>
      </c>
      <c r="AA4226" s="81" t="str">
        <f>IFERROR(HLOOKUP(J4226,データについて!$J$4:$AH$19,16,FALSE),"")</f>
        <v/>
      </c>
      <c r="AB4226" s="81" t="str">
        <f>IFERROR(HLOOKUP(K4226,データについて!$J$5:$AH$20,14,FALSE),"")</f>
        <v/>
      </c>
      <c r="AC4226" s="81" t="e">
        <f>IF(X4226=1,HLOOKUP(R4226,データについて!$J$12:$M$18,7,FALSE),"*")</f>
        <v>#N/A</v>
      </c>
      <c r="AD4226" s="81" t="e">
        <f>IF(X4226=2,HLOOKUP(R4226,データについて!$J$12:$M$18,7,FALSE),"*")</f>
        <v>#N/A</v>
      </c>
    </row>
    <row r="4227" spans="19:30">
      <c r="S4227" s="81" t="e">
        <f>HLOOKUP(L4227,データについて!$J$6:$M$18,13,FALSE)</f>
        <v>#N/A</v>
      </c>
      <c r="T4227" s="81" t="e">
        <f>HLOOKUP(M4227,データについて!$J$7:$M$18,12,FALSE)</f>
        <v>#N/A</v>
      </c>
      <c r="U4227" s="81" t="e">
        <f>HLOOKUP(N4227,データについて!$J$8:$M$18,11,FALSE)</f>
        <v>#N/A</v>
      </c>
      <c r="V4227" s="81" t="e">
        <f>HLOOKUP(O4227,データについて!$J$9:$M$18,10,FALSE)</f>
        <v>#N/A</v>
      </c>
      <c r="W4227" s="81" t="e">
        <f>HLOOKUP(P4227,データについて!$J$10:$M$18,9,FALSE)</f>
        <v>#N/A</v>
      </c>
      <c r="X4227" s="81" t="e">
        <f>HLOOKUP(Q4227,データについて!$J$11:$M$18,8,FALSE)</f>
        <v>#N/A</v>
      </c>
      <c r="Y4227" s="81" t="e">
        <f>HLOOKUP(R4227,データについて!$J$12:$M$18,7,FALSE)</f>
        <v>#N/A</v>
      </c>
      <c r="Z4227" s="81" t="e">
        <f>HLOOKUP(I4227,データについて!$J$3:$M$18,16,FALSE)</f>
        <v>#N/A</v>
      </c>
      <c r="AA4227" s="81" t="str">
        <f>IFERROR(HLOOKUP(J4227,データについて!$J$4:$AH$19,16,FALSE),"")</f>
        <v/>
      </c>
      <c r="AB4227" s="81" t="str">
        <f>IFERROR(HLOOKUP(K4227,データについて!$J$5:$AH$20,14,FALSE),"")</f>
        <v/>
      </c>
      <c r="AC4227" s="81" t="e">
        <f>IF(X4227=1,HLOOKUP(R4227,データについて!$J$12:$M$18,7,FALSE),"*")</f>
        <v>#N/A</v>
      </c>
      <c r="AD4227" s="81" t="e">
        <f>IF(X4227=2,HLOOKUP(R4227,データについて!$J$12:$M$18,7,FALSE),"*")</f>
        <v>#N/A</v>
      </c>
    </row>
    <row r="4228" spans="19:30">
      <c r="S4228" s="81" t="e">
        <f>HLOOKUP(L4228,データについて!$J$6:$M$18,13,FALSE)</f>
        <v>#N/A</v>
      </c>
      <c r="T4228" s="81" t="e">
        <f>HLOOKUP(M4228,データについて!$J$7:$M$18,12,FALSE)</f>
        <v>#N/A</v>
      </c>
      <c r="U4228" s="81" t="e">
        <f>HLOOKUP(N4228,データについて!$J$8:$M$18,11,FALSE)</f>
        <v>#N/A</v>
      </c>
      <c r="V4228" s="81" t="e">
        <f>HLOOKUP(O4228,データについて!$J$9:$M$18,10,FALSE)</f>
        <v>#N/A</v>
      </c>
      <c r="W4228" s="81" t="e">
        <f>HLOOKUP(P4228,データについて!$J$10:$M$18,9,FALSE)</f>
        <v>#N/A</v>
      </c>
      <c r="X4228" s="81" t="e">
        <f>HLOOKUP(Q4228,データについて!$J$11:$M$18,8,FALSE)</f>
        <v>#N/A</v>
      </c>
      <c r="Y4228" s="81" t="e">
        <f>HLOOKUP(R4228,データについて!$J$12:$M$18,7,FALSE)</f>
        <v>#N/A</v>
      </c>
      <c r="Z4228" s="81" t="e">
        <f>HLOOKUP(I4228,データについて!$J$3:$M$18,16,FALSE)</f>
        <v>#N/A</v>
      </c>
      <c r="AA4228" s="81" t="str">
        <f>IFERROR(HLOOKUP(J4228,データについて!$J$4:$AH$19,16,FALSE),"")</f>
        <v/>
      </c>
      <c r="AB4228" s="81" t="str">
        <f>IFERROR(HLOOKUP(K4228,データについて!$J$5:$AH$20,14,FALSE),"")</f>
        <v/>
      </c>
      <c r="AC4228" s="81" t="e">
        <f>IF(X4228=1,HLOOKUP(R4228,データについて!$J$12:$M$18,7,FALSE),"*")</f>
        <v>#N/A</v>
      </c>
      <c r="AD4228" s="81" t="e">
        <f>IF(X4228=2,HLOOKUP(R4228,データについて!$J$12:$M$18,7,FALSE),"*")</f>
        <v>#N/A</v>
      </c>
    </row>
    <row r="4229" spans="19:30">
      <c r="S4229" s="81" t="e">
        <f>HLOOKUP(L4229,データについて!$J$6:$M$18,13,FALSE)</f>
        <v>#N/A</v>
      </c>
      <c r="T4229" s="81" t="e">
        <f>HLOOKUP(M4229,データについて!$J$7:$M$18,12,FALSE)</f>
        <v>#N/A</v>
      </c>
      <c r="U4229" s="81" t="e">
        <f>HLOOKUP(N4229,データについて!$J$8:$M$18,11,FALSE)</f>
        <v>#N/A</v>
      </c>
      <c r="V4229" s="81" t="e">
        <f>HLOOKUP(O4229,データについて!$J$9:$M$18,10,FALSE)</f>
        <v>#N/A</v>
      </c>
      <c r="W4229" s="81" t="e">
        <f>HLOOKUP(P4229,データについて!$J$10:$M$18,9,FALSE)</f>
        <v>#N/A</v>
      </c>
      <c r="X4229" s="81" t="e">
        <f>HLOOKUP(Q4229,データについて!$J$11:$M$18,8,FALSE)</f>
        <v>#N/A</v>
      </c>
      <c r="Y4229" s="81" t="e">
        <f>HLOOKUP(R4229,データについて!$J$12:$M$18,7,FALSE)</f>
        <v>#N/A</v>
      </c>
      <c r="Z4229" s="81" t="e">
        <f>HLOOKUP(I4229,データについて!$J$3:$M$18,16,FALSE)</f>
        <v>#N/A</v>
      </c>
      <c r="AA4229" s="81" t="str">
        <f>IFERROR(HLOOKUP(J4229,データについて!$J$4:$AH$19,16,FALSE),"")</f>
        <v/>
      </c>
      <c r="AB4229" s="81" t="str">
        <f>IFERROR(HLOOKUP(K4229,データについて!$J$5:$AH$20,14,FALSE),"")</f>
        <v/>
      </c>
      <c r="AC4229" s="81" t="e">
        <f>IF(X4229=1,HLOOKUP(R4229,データについて!$J$12:$M$18,7,FALSE),"*")</f>
        <v>#N/A</v>
      </c>
      <c r="AD4229" s="81" t="e">
        <f>IF(X4229=2,HLOOKUP(R4229,データについて!$J$12:$M$18,7,FALSE),"*")</f>
        <v>#N/A</v>
      </c>
    </row>
    <row r="4230" spans="19:30">
      <c r="S4230" s="81" t="e">
        <f>HLOOKUP(L4230,データについて!$J$6:$M$18,13,FALSE)</f>
        <v>#N/A</v>
      </c>
      <c r="T4230" s="81" t="e">
        <f>HLOOKUP(M4230,データについて!$J$7:$M$18,12,FALSE)</f>
        <v>#N/A</v>
      </c>
      <c r="U4230" s="81" t="e">
        <f>HLOOKUP(N4230,データについて!$J$8:$M$18,11,FALSE)</f>
        <v>#N/A</v>
      </c>
      <c r="V4230" s="81" t="e">
        <f>HLOOKUP(O4230,データについて!$J$9:$M$18,10,FALSE)</f>
        <v>#N/A</v>
      </c>
      <c r="W4230" s="81" t="e">
        <f>HLOOKUP(P4230,データについて!$J$10:$M$18,9,FALSE)</f>
        <v>#N/A</v>
      </c>
      <c r="X4230" s="81" t="e">
        <f>HLOOKUP(Q4230,データについて!$J$11:$M$18,8,FALSE)</f>
        <v>#N/A</v>
      </c>
      <c r="Y4230" s="81" t="e">
        <f>HLOOKUP(R4230,データについて!$J$12:$M$18,7,FALSE)</f>
        <v>#N/A</v>
      </c>
      <c r="Z4230" s="81" t="e">
        <f>HLOOKUP(I4230,データについて!$J$3:$M$18,16,FALSE)</f>
        <v>#N/A</v>
      </c>
      <c r="AA4230" s="81" t="str">
        <f>IFERROR(HLOOKUP(J4230,データについて!$J$4:$AH$19,16,FALSE),"")</f>
        <v/>
      </c>
      <c r="AB4230" s="81" t="str">
        <f>IFERROR(HLOOKUP(K4230,データについて!$J$5:$AH$20,14,FALSE),"")</f>
        <v/>
      </c>
      <c r="AC4230" s="81" t="e">
        <f>IF(X4230=1,HLOOKUP(R4230,データについて!$J$12:$M$18,7,FALSE),"*")</f>
        <v>#N/A</v>
      </c>
      <c r="AD4230" s="81" t="e">
        <f>IF(X4230=2,HLOOKUP(R4230,データについて!$J$12:$M$18,7,FALSE),"*")</f>
        <v>#N/A</v>
      </c>
    </row>
    <row r="4231" spans="19:30">
      <c r="S4231" s="81" t="e">
        <f>HLOOKUP(L4231,データについて!$J$6:$M$18,13,FALSE)</f>
        <v>#N/A</v>
      </c>
      <c r="T4231" s="81" t="e">
        <f>HLOOKUP(M4231,データについて!$J$7:$M$18,12,FALSE)</f>
        <v>#N/A</v>
      </c>
      <c r="U4231" s="81" t="e">
        <f>HLOOKUP(N4231,データについて!$J$8:$M$18,11,FALSE)</f>
        <v>#N/A</v>
      </c>
      <c r="V4231" s="81" t="e">
        <f>HLOOKUP(O4231,データについて!$J$9:$M$18,10,FALSE)</f>
        <v>#N/A</v>
      </c>
      <c r="W4231" s="81" t="e">
        <f>HLOOKUP(P4231,データについて!$J$10:$M$18,9,FALSE)</f>
        <v>#N/A</v>
      </c>
      <c r="X4231" s="81" t="e">
        <f>HLOOKUP(Q4231,データについて!$J$11:$M$18,8,FALSE)</f>
        <v>#N/A</v>
      </c>
      <c r="Y4231" s="81" t="e">
        <f>HLOOKUP(R4231,データについて!$J$12:$M$18,7,FALSE)</f>
        <v>#N/A</v>
      </c>
      <c r="Z4231" s="81" t="e">
        <f>HLOOKUP(I4231,データについて!$J$3:$M$18,16,FALSE)</f>
        <v>#N/A</v>
      </c>
      <c r="AA4231" s="81" t="str">
        <f>IFERROR(HLOOKUP(J4231,データについて!$J$4:$AH$19,16,FALSE),"")</f>
        <v/>
      </c>
      <c r="AB4231" s="81" t="str">
        <f>IFERROR(HLOOKUP(K4231,データについて!$J$5:$AH$20,14,FALSE),"")</f>
        <v/>
      </c>
      <c r="AC4231" s="81" t="e">
        <f>IF(X4231=1,HLOOKUP(R4231,データについて!$J$12:$M$18,7,FALSE),"*")</f>
        <v>#N/A</v>
      </c>
      <c r="AD4231" s="81" t="e">
        <f>IF(X4231=2,HLOOKUP(R4231,データについて!$J$12:$M$18,7,FALSE),"*")</f>
        <v>#N/A</v>
      </c>
    </row>
    <row r="4232" spans="19:30">
      <c r="S4232" s="81" t="e">
        <f>HLOOKUP(L4232,データについて!$J$6:$M$18,13,FALSE)</f>
        <v>#N/A</v>
      </c>
      <c r="T4232" s="81" t="e">
        <f>HLOOKUP(M4232,データについて!$J$7:$M$18,12,FALSE)</f>
        <v>#N/A</v>
      </c>
      <c r="U4232" s="81" t="e">
        <f>HLOOKUP(N4232,データについて!$J$8:$M$18,11,FALSE)</f>
        <v>#N/A</v>
      </c>
      <c r="V4232" s="81" t="e">
        <f>HLOOKUP(O4232,データについて!$J$9:$M$18,10,FALSE)</f>
        <v>#N/A</v>
      </c>
      <c r="W4232" s="81" t="e">
        <f>HLOOKUP(P4232,データについて!$J$10:$M$18,9,FALSE)</f>
        <v>#N/A</v>
      </c>
      <c r="X4232" s="81" t="e">
        <f>HLOOKUP(Q4232,データについて!$J$11:$M$18,8,FALSE)</f>
        <v>#N/A</v>
      </c>
      <c r="Y4232" s="81" t="e">
        <f>HLOOKUP(R4232,データについて!$J$12:$M$18,7,FALSE)</f>
        <v>#N/A</v>
      </c>
      <c r="Z4232" s="81" t="e">
        <f>HLOOKUP(I4232,データについて!$J$3:$M$18,16,FALSE)</f>
        <v>#N/A</v>
      </c>
      <c r="AA4232" s="81" t="str">
        <f>IFERROR(HLOOKUP(J4232,データについて!$J$4:$AH$19,16,FALSE),"")</f>
        <v/>
      </c>
      <c r="AB4232" s="81" t="str">
        <f>IFERROR(HLOOKUP(K4232,データについて!$J$5:$AH$20,14,FALSE),"")</f>
        <v/>
      </c>
      <c r="AC4232" s="81" t="e">
        <f>IF(X4232=1,HLOOKUP(R4232,データについて!$J$12:$M$18,7,FALSE),"*")</f>
        <v>#N/A</v>
      </c>
      <c r="AD4232" s="81" t="e">
        <f>IF(X4232=2,HLOOKUP(R4232,データについて!$J$12:$M$18,7,FALSE),"*")</f>
        <v>#N/A</v>
      </c>
    </row>
    <row r="4233" spans="19:30">
      <c r="S4233" s="81" t="e">
        <f>HLOOKUP(L4233,データについて!$J$6:$M$18,13,FALSE)</f>
        <v>#N/A</v>
      </c>
      <c r="T4233" s="81" t="e">
        <f>HLOOKUP(M4233,データについて!$J$7:$M$18,12,FALSE)</f>
        <v>#N/A</v>
      </c>
      <c r="U4233" s="81" t="e">
        <f>HLOOKUP(N4233,データについて!$J$8:$M$18,11,FALSE)</f>
        <v>#N/A</v>
      </c>
      <c r="V4233" s="81" t="e">
        <f>HLOOKUP(O4233,データについて!$J$9:$M$18,10,FALSE)</f>
        <v>#N/A</v>
      </c>
      <c r="W4233" s="81" t="e">
        <f>HLOOKUP(P4233,データについて!$J$10:$M$18,9,FALSE)</f>
        <v>#N/A</v>
      </c>
      <c r="X4233" s="81" t="e">
        <f>HLOOKUP(Q4233,データについて!$J$11:$M$18,8,FALSE)</f>
        <v>#N/A</v>
      </c>
      <c r="Y4233" s="81" t="e">
        <f>HLOOKUP(R4233,データについて!$J$12:$M$18,7,FALSE)</f>
        <v>#N/A</v>
      </c>
      <c r="Z4233" s="81" t="e">
        <f>HLOOKUP(I4233,データについて!$J$3:$M$18,16,FALSE)</f>
        <v>#N/A</v>
      </c>
      <c r="AA4233" s="81" t="str">
        <f>IFERROR(HLOOKUP(J4233,データについて!$J$4:$AH$19,16,FALSE),"")</f>
        <v/>
      </c>
      <c r="AB4233" s="81" t="str">
        <f>IFERROR(HLOOKUP(K4233,データについて!$J$5:$AH$20,14,FALSE),"")</f>
        <v/>
      </c>
      <c r="AC4233" s="81" t="e">
        <f>IF(X4233=1,HLOOKUP(R4233,データについて!$J$12:$M$18,7,FALSE),"*")</f>
        <v>#N/A</v>
      </c>
      <c r="AD4233" s="81" t="e">
        <f>IF(X4233=2,HLOOKUP(R4233,データについて!$J$12:$M$18,7,FALSE),"*")</f>
        <v>#N/A</v>
      </c>
    </row>
    <row r="4234" spans="19:30">
      <c r="S4234" s="81" t="e">
        <f>HLOOKUP(L4234,データについて!$J$6:$M$18,13,FALSE)</f>
        <v>#N/A</v>
      </c>
      <c r="T4234" s="81" t="e">
        <f>HLOOKUP(M4234,データについて!$J$7:$M$18,12,FALSE)</f>
        <v>#N/A</v>
      </c>
      <c r="U4234" s="81" t="e">
        <f>HLOOKUP(N4234,データについて!$J$8:$M$18,11,FALSE)</f>
        <v>#N/A</v>
      </c>
      <c r="V4234" s="81" t="e">
        <f>HLOOKUP(O4234,データについて!$J$9:$M$18,10,FALSE)</f>
        <v>#N/A</v>
      </c>
      <c r="W4234" s="81" t="e">
        <f>HLOOKUP(P4234,データについて!$J$10:$M$18,9,FALSE)</f>
        <v>#N/A</v>
      </c>
      <c r="X4234" s="81" t="e">
        <f>HLOOKUP(Q4234,データについて!$J$11:$M$18,8,FALSE)</f>
        <v>#N/A</v>
      </c>
      <c r="Y4234" s="81" t="e">
        <f>HLOOKUP(R4234,データについて!$J$12:$M$18,7,FALSE)</f>
        <v>#N/A</v>
      </c>
      <c r="Z4234" s="81" t="e">
        <f>HLOOKUP(I4234,データについて!$J$3:$M$18,16,FALSE)</f>
        <v>#N/A</v>
      </c>
      <c r="AA4234" s="81" t="str">
        <f>IFERROR(HLOOKUP(J4234,データについて!$J$4:$AH$19,16,FALSE),"")</f>
        <v/>
      </c>
      <c r="AB4234" s="81" t="str">
        <f>IFERROR(HLOOKUP(K4234,データについて!$J$5:$AH$20,14,FALSE),"")</f>
        <v/>
      </c>
      <c r="AC4234" s="81" t="e">
        <f>IF(X4234=1,HLOOKUP(R4234,データについて!$J$12:$M$18,7,FALSE),"*")</f>
        <v>#N/A</v>
      </c>
      <c r="AD4234" s="81" t="e">
        <f>IF(X4234=2,HLOOKUP(R4234,データについて!$J$12:$M$18,7,FALSE),"*")</f>
        <v>#N/A</v>
      </c>
    </row>
    <row r="4235" spans="19:30">
      <c r="S4235" s="81" t="e">
        <f>HLOOKUP(L4235,データについて!$J$6:$M$18,13,FALSE)</f>
        <v>#N/A</v>
      </c>
      <c r="T4235" s="81" t="e">
        <f>HLOOKUP(M4235,データについて!$J$7:$M$18,12,FALSE)</f>
        <v>#N/A</v>
      </c>
      <c r="U4235" s="81" t="e">
        <f>HLOOKUP(N4235,データについて!$J$8:$M$18,11,FALSE)</f>
        <v>#N/A</v>
      </c>
      <c r="V4235" s="81" t="e">
        <f>HLOOKUP(O4235,データについて!$J$9:$M$18,10,FALSE)</f>
        <v>#N/A</v>
      </c>
      <c r="W4235" s="81" t="e">
        <f>HLOOKUP(P4235,データについて!$J$10:$M$18,9,FALSE)</f>
        <v>#N/A</v>
      </c>
      <c r="X4235" s="81" t="e">
        <f>HLOOKUP(Q4235,データについて!$J$11:$M$18,8,FALSE)</f>
        <v>#N/A</v>
      </c>
      <c r="Y4235" s="81" t="e">
        <f>HLOOKUP(R4235,データについて!$J$12:$M$18,7,FALSE)</f>
        <v>#N/A</v>
      </c>
      <c r="Z4235" s="81" t="e">
        <f>HLOOKUP(I4235,データについて!$J$3:$M$18,16,FALSE)</f>
        <v>#N/A</v>
      </c>
      <c r="AA4235" s="81" t="str">
        <f>IFERROR(HLOOKUP(J4235,データについて!$J$4:$AH$19,16,FALSE),"")</f>
        <v/>
      </c>
      <c r="AB4235" s="81" t="str">
        <f>IFERROR(HLOOKUP(K4235,データについて!$J$5:$AH$20,14,FALSE),"")</f>
        <v/>
      </c>
      <c r="AC4235" s="81" t="e">
        <f>IF(X4235=1,HLOOKUP(R4235,データについて!$J$12:$M$18,7,FALSE),"*")</f>
        <v>#N/A</v>
      </c>
      <c r="AD4235" s="81" t="e">
        <f>IF(X4235=2,HLOOKUP(R4235,データについて!$J$12:$M$18,7,FALSE),"*")</f>
        <v>#N/A</v>
      </c>
    </row>
    <row r="4236" spans="19:30">
      <c r="S4236" s="81" t="e">
        <f>HLOOKUP(L4236,データについて!$J$6:$M$18,13,FALSE)</f>
        <v>#N/A</v>
      </c>
      <c r="T4236" s="81" t="e">
        <f>HLOOKUP(M4236,データについて!$J$7:$M$18,12,FALSE)</f>
        <v>#N/A</v>
      </c>
      <c r="U4236" s="81" t="e">
        <f>HLOOKUP(N4236,データについて!$J$8:$M$18,11,FALSE)</f>
        <v>#N/A</v>
      </c>
      <c r="V4236" s="81" t="e">
        <f>HLOOKUP(O4236,データについて!$J$9:$M$18,10,FALSE)</f>
        <v>#N/A</v>
      </c>
      <c r="W4236" s="81" t="e">
        <f>HLOOKUP(P4236,データについて!$J$10:$M$18,9,FALSE)</f>
        <v>#N/A</v>
      </c>
      <c r="X4236" s="81" t="e">
        <f>HLOOKUP(Q4236,データについて!$J$11:$M$18,8,FALSE)</f>
        <v>#N/A</v>
      </c>
      <c r="Y4236" s="81" t="e">
        <f>HLOOKUP(R4236,データについて!$J$12:$M$18,7,FALSE)</f>
        <v>#N/A</v>
      </c>
      <c r="Z4236" s="81" t="e">
        <f>HLOOKUP(I4236,データについて!$J$3:$M$18,16,FALSE)</f>
        <v>#N/A</v>
      </c>
      <c r="AA4236" s="81" t="str">
        <f>IFERROR(HLOOKUP(J4236,データについて!$J$4:$AH$19,16,FALSE),"")</f>
        <v/>
      </c>
      <c r="AB4236" s="81" t="str">
        <f>IFERROR(HLOOKUP(K4236,データについて!$J$5:$AH$20,14,FALSE),"")</f>
        <v/>
      </c>
      <c r="AC4236" s="81" t="e">
        <f>IF(X4236=1,HLOOKUP(R4236,データについて!$J$12:$M$18,7,FALSE),"*")</f>
        <v>#N/A</v>
      </c>
      <c r="AD4236" s="81" t="e">
        <f>IF(X4236=2,HLOOKUP(R4236,データについて!$J$12:$M$18,7,FALSE),"*")</f>
        <v>#N/A</v>
      </c>
    </row>
    <row r="4237" spans="19:30">
      <c r="S4237" s="81" t="e">
        <f>HLOOKUP(L4237,データについて!$J$6:$M$18,13,FALSE)</f>
        <v>#N/A</v>
      </c>
      <c r="T4237" s="81" t="e">
        <f>HLOOKUP(M4237,データについて!$J$7:$M$18,12,FALSE)</f>
        <v>#N/A</v>
      </c>
      <c r="U4237" s="81" t="e">
        <f>HLOOKUP(N4237,データについて!$J$8:$M$18,11,FALSE)</f>
        <v>#N/A</v>
      </c>
      <c r="V4237" s="81" t="e">
        <f>HLOOKUP(O4237,データについて!$J$9:$M$18,10,FALSE)</f>
        <v>#N/A</v>
      </c>
      <c r="W4237" s="81" t="e">
        <f>HLOOKUP(P4237,データについて!$J$10:$M$18,9,FALSE)</f>
        <v>#N/A</v>
      </c>
      <c r="X4237" s="81" t="e">
        <f>HLOOKUP(Q4237,データについて!$J$11:$M$18,8,FALSE)</f>
        <v>#N/A</v>
      </c>
      <c r="Y4237" s="81" t="e">
        <f>HLOOKUP(R4237,データについて!$J$12:$M$18,7,FALSE)</f>
        <v>#N/A</v>
      </c>
      <c r="Z4237" s="81" t="e">
        <f>HLOOKUP(I4237,データについて!$J$3:$M$18,16,FALSE)</f>
        <v>#N/A</v>
      </c>
      <c r="AA4237" s="81" t="str">
        <f>IFERROR(HLOOKUP(J4237,データについて!$J$4:$AH$19,16,FALSE),"")</f>
        <v/>
      </c>
      <c r="AB4237" s="81" t="str">
        <f>IFERROR(HLOOKUP(K4237,データについて!$J$5:$AH$20,14,FALSE),"")</f>
        <v/>
      </c>
      <c r="AC4237" s="81" t="e">
        <f>IF(X4237=1,HLOOKUP(R4237,データについて!$J$12:$M$18,7,FALSE),"*")</f>
        <v>#N/A</v>
      </c>
      <c r="AD4237" s="81" t="e">
        <f>IF(X4237=2,HLOOKUP(R4237,データについて!$J$12:$M$18,7,FALSE),"*")</f>
        <v>#N/A</v>
      </c>
    </row>
    <row r="4238" spans="19:30">
      <c r="S4238" s="81" t="e">
        <f>HLOOKUP(L4238,データについて!$J$6:$M$18,13,FALSE)</f>
        <v>#N/A</v>
      </c>
      <c r="T4238" s="81" t="e">
        <f>HLOOKUP(M4238,データについて!$J$7:$M$18,12,FALSE)</f>
        <v>#N/A</v>
      </c>
      <c r="U4238" s="81" t="e">
        <f>HLOOKUP(N4238,データについて!$J$8:$M$18,11,FALSE)</f>
        <v>#N/A</v>
      </c>
      <c r="V4238" s="81" t="e">
        <f>HLOOKUP(O4238,データについて!$J$9:$M$18,10,FALSE)</f>
        <v>#N/A</v>
      </c>
      <c r="W4238" s="81" t="e">
        <f>HLOOKUP(P4238,データについて!$J$10:$M$18,9,FALSE)</f>
        <v>#N/A</v>
      </c>
      <c r="X4238" s="81" t="e">
        <f>HLOOKUP(Q4238,データについて!$J$11:$M$18,8,FALSE)</f>
        <v>#N/A</v>
      </c>
      <c r="Y4238" s="81" t="e">
        <f>HLOOKUP(R4238,データについて!$J$12:$M$18,7,FALSE)</f>
        <v>#N/A</v>
      </c>
      <c r="Z4238" s="81" t="e">
        <f>HLOOKUP(I4238,データについて!$J$3:$M$18,16,FALSE)</f>
        <v>#N/A</v>
      </c>
      <c r="AA4238" s="81" t="str">
        <f>IFERROR(HLOOKUP(J4238,データについて!$J$4:$AH$19,16,FALSE),"")</f>
        <v/>
      </c>
      <c r="AB4238" s="81" t="str">
        <f>IFERROR(HLOOKUP(K4238,データについて!$J$5:$AH$20,14,FALSE),"")</f>
        <v/>
      </c>
      <c r="AC4238" s="81" t="e">
        <f>IF(X4238=1,HLOOKUP(R4238,データについて!$J$12:$M$18,7,FALSE),"*")</f>
        <v>#N/A</v>
      </c>
      <c r="AD4238" s="81" t="e">
        <f>IF(X4238=2,HLOOKUP(R4238,データについて!$J$12:$M$18,7,FALSE),"*")</f>
        <v>#N/A</v>
      </c>
    </row>
    <row r="4239" spans="19:30">
      <c r="S4239" s="81" t="e">
        <f>HLOOKUP(L4239,データについて!$J$6:$M$18,13,FALSE)</f>
        <v>#N/A</v>
      </c>
      <c r="T4239" s="81" t="e">
        <f>HLOOKUP(M4239,データについて!$J$7:$M$18,12,FALSE)</f>
        <v>#N/A</v>
      </c>
      <c r="U4239" s="81" t="e">
        <f>HLOOKUP(N4239,データについて!$J$8:$M$18,11,FALSE)</f>
        <v>#N/A</v>
      </c>
      <c r="V4239" s="81" t="e">
        <f>HLOOKUP(O4239,データについて!$J$9:$M$18,10,FALSE)</f>
        <v>#N/A</v>
      </c>
      <c r="W4239" s="81" t="e">
        <f>HLOOKUP(P4239,データについて!$J$10:$M$18,9,FALSE)</f>
        <v>#N/A</v>
      </c>
      <c r="X4239" s="81" t="e">
        <f>HLOOKUP(Q4239,データについて!$J$11:$M$18,8,FALSE)</f>
        <v>#N/A</v>
      </c>
      <c r="Y4239" s="81" t="e">
        <f>HLOOKUP(R4239,データについて!$J$12:$M$18,7,FALSE)</f>
        <v>#N/A</v>
      </c>
      <c r="Z4239" s="81" t="e">
        <f>HLOOKUP(I4239,データについて!$J$3:$M$18,16,FALSE)</f>
        <v>#N/A</v>
      </c>
      <c r="AA4239" s="81" t="str">
        <f>IFERROR(HLOOKUP(J4239,データについて!$J$4:$AH$19,16,FALSE),"")</f>
        <v/>
      </c>
      <c r="AB4239" s="81" t="str">
        <f>IFERROR(HLOOKUP(K4239,データについて!$J$5:$AH$20,14,FALSE),"")</f>
        <v/>
      </c>
      <c r="AC4239" s="81" t="e">
        <f>IF(X4239=1,HLOOKUP(R4239,データについて!$J$12:$M$18,7,FALSE),"*")</f>
        <v>#N/A</v>
      </c>
      <c r="AD4239" s="81" t="e">
        <f>IF(X4239=2,HLOOKUP(R4239,データについて!$J$12:$M$18,7,FALSE),"*")</f>
        <v>#N/A</v>
      </c>
    </row>
    <row r="4240" spans="19:30">
      <c r="S4240" s="81" t="e">
        <f>HLOOKUP(L4240,データについて!$J$6:$M$18,13,FALSE)</f>
        <v>#N/A</v>
      </c>
      <c r="T4240" s="81" t="e">
        <f>HLOOKUP(M4240,データについて!$J$7:$M$18,12,FALSE)</f>
        <v>#N/A</v>
      </c>
      <c r="U4240" s="81" t="e">
        <f>HLOOKUP(N4240,データについて!$J$8:$M$18,11,FALSE)</f>
        <v>#N/A</v>
      </c>
      <c r="V4240" s="81" t="e">
        <f>HLOOKUP(O4240,データについて!$J$9:$M$18,10,FALSE)</f>
        <v>#N/A</v>
      </c>
      <c r="W4240" s="81" t="e">
        <f>HLOOKUP(P4240,データについて!$J$10:$M$18,9,FALSE)</f>
        <v>#N/A</v>
      </c>
      <c r="X4240" s="81" t="e">
        <f>HLOOKUP(Q4240,データについて!$J$11:$M$18,8,FALSE)</f>
        <v>#N/A</v>
      </c>
      <c r="Y4240" s="81" t="e">
        <f>HLOOKUP(R4240,データについて!$J$12:$M$18,7,FALSE)</f>
        <v>#N/A</v>
      </c>
      <c r="Z4240" s="81" t="e">
        <f>HLOOKUP(I4240,データについて!$J$3:$M$18,16,FALSE)</f>
        <v>#N/A</v>
      </c>
      <c r="AA4240" s="81" t="str">
        <f>IFERROR(HLOOKUP(J4240,データについて!$J$4:$AH$19,16,FALSE),"")</f>
        <v/>
      </c>
      <c r="AB4240" s="81" t="str">
        <f>IFERROR(HLOOKUP(K4240,データについて!$J$5:$AH$20,14,FALSE),"")</f>
        <v/>
      </c>
      <c r="AC4240" s="81" t="e">
        <f>IF(X4240=1,HLOOKUP(R4240,データについて!$J$12:$M$18,7,FALSE),"*")</f>
        <v>#N/A</v>
      </c>
      <c r="AD4240" s="81" t="e">
        <f>IF(X4240=2,HLOOKUP(R4240,データについて!$J$12:$M$18,7,FALSE),"*")</f>
        <v>#N/A</v>
      </c>
    </row>
    <row r="4241" spans="19:30">
      <c r="S4241" s="81" t="e">
        <f>HLOOKUP(L4241,データについて!$J$6:$M$18,13,FALSE)</f>
        <v>#N/A</v>
      </c>
      <c r="T4241" s="81" t="e">
        <f>HLOOKUP(M4241,データについて!$J$7:$M$18,12,FALSE)</f>
        <v>#N/A</v>
      </c>
      <c r="U4241" s="81" t="e">
        <f>HLOOKUP(N4241,データについて!$J$8:$M$18,11,FALSE)</f>
        <v>#N/A</v>
      </c>
      <c r="V4241" s="81" t="e">
        <f>HLOOKUP(O4241,データについて!$J$9:$M$18,10,FALSE)</f>
        <v>#N/A</v>
      </c>
      <c r="W4241" s="81" t="e">
        <f>HLOOKUP(P4241,データについて!$J$10:$M$18,9,FALSE)</f>
        <v>#N/A</v>
      </c>
      <c r="X4241" s="81" t="e">
        <f>HLOOKUP(Q4241,データについて!$J$11:$M$18,8,FALSE)</f>
        <v>#N/A</v>
      </c>
      <c r="Y4241" s="81" t="e">
        <f>HLOOKUP(R4241,データについて!$J$12:$M$18,7,FALSE)</f>
        <v>#N/A</v>
      </c>
      <c r="Z4241" s="81" t="e">
        <f>HLOOKUP(I4241,データについて!$J$3:$M$18,16,FALSE)</f>
        <v>#N/A</v>
      </c>
      <c r="AA4241" s="81" t="str">
        <f>IFERROR(HLOOKUP(J4241,データについて!$J$4:$AH$19,16,FALSE),"")</f>
        <v/>
      </c>
      <c r="AB4241" s="81" t="str">
        <f>IFERROR(HLOOKUP(K4241,データについて!$J$5:$AH$20,14,FALSE),"")</f>
        <v/>
      </c>
      <c r="AC4241" s="81" t="e">
        <f>IF(X4241=1,HLOOKUP(R4241,データについて!$J$12:$M$18,7,FALSE),"*")</f>
        <v>#N/A</v>
      </c>
      <c r="AD4241" s="81" t="e">
        <f>IF(X4241=2,HLOOKUP(R4241,データについて!$J$12:$M$18,7,FALSE),"*")</f>
        <v>#N/A</v>
      </c>
    </row>
    <row r="4242" spans="19:30">
      <c r="S4242" s="81" t="e">
        <f>HLOOKUP(L4242,データについて!$J$6:$M$18,13,FALSE)</f>
        <v>#N/A</v>
      </c>
      <c r="T4242" s="81" t="e">
        <f>HLOOKUP(M4242,データについて!$J$7:$M$18,12,FALSE)</f>
        <v>#N/A</v>
      </c>
      <c r="U4242" s="81" t="e">
        <f>HLOOKUP(N4242,データについて!$J$8:$M$18,11,FALSE)</f>
        <v>#N/A</v>
      </c>
      <c r="V4242" s="81" t="e">
        <f>HLOOKUP(O4242,データについて!$J$9:$M$18,10,FALSE)</f>
        <v>#N/A</v>
      </c>
      <c r="W4242" s="81" t="e">
        <f>HLOOKUP(P4242,データについて!$J$10:$M$18,9,FALSE)</f>
        <v>#N/A</v>
      </c>
      <c r="X4242" s="81" t="e">
        <f>HLOOKUP(Q4242,データについて!$J$11:$M$18,8,FALSE)</f>
        <v>#N/A</v>
      </c>
      <c r="Y4242" s="81" t="e">
        <f>HLOOKUP(R4242,データについて!$J$12:$M$18,7,FALSE)</f>
        <v>#N/A</v>
      </c>
      <c r="Z4242" s="81" t="e">
        <f>HLOOKUP(I4242,データについて!$J$3:$M$18,16,FALSE)</f>
        <v>#N/A</v>
      </c>
      <c r="AA4242" s="81" t="str">
        <f>IFERROR(HLOOKUP(J4242,データについて!$J$4:$AH$19,16,FALSE),"")</f>
        <v/>
      </c>
      <c r="AB4242" s="81" t="str">
        <f>IFERROR(HLOOKUP(K4242,データについて!$J$5:$AH$20,14,FALSE),"")</f>
        <v/>
      </c>
      <c r="AC4242" s="81" t="e">
        <f>IF(X4242=1,HLOOKUP(R4242,データについて!$J$12:$M$18,7,FALSE),"*")</f>
        <v>#N/A</v>
      </c>
      <c r="AD4242" s="81" t="e">
        <f>IF(X4242=2,HLOOKUP(R4242,データについて!$J$12:$M$18,7,FALSE),"*")</f>
        <v>#N/A</v>
      </c>
    </row>
    <row r="4243" spans="19:30">
      <c r="S4243" s="81" t="e">
        <f>HLOOKUP(L4243,データについて!$J$6:$M$18,13,FALSE)</f>
        <v>#N/A</v>
      </c>
      <c r="T4243" s="81" t="e">
        <f>HLOOKUP(M4243,データについて!$J$7:$M$18,12,FALSE)</f>
        <v>#N/A</v>
      </c>
      <c r="U4243" s="81" t="e">
        <f>HLOOKUP(N4243,データについて!$J$8:$M$18,11,FALSE)</f>
        <v>#N/A</v>
      </c>
      <c r="V4243" s="81" t="e">
        <f>HLOOKUP(O4243,データについて!$J$9:$M$18,10,FALSE)</f>
        <v>#N/A</v>
      </c>
      <c r="W4243" s="81" t="e">
        <f>HLOOKUP(P4243,データについて!$J$10:$M$18,9,FALSE)</f>
        <v>#N/A</v>
      </c>
      <c r="X4243" s="81" t="e">
        <f>HLOOKUP(Q4243,データについて!$J$11:$M$18,8,FALSE)</f>
        <v>#N/A</v>
      </c>
      <c r="Y4243" s="81" t="e">
        <f>HLOOKUP(R4243,データについて!$J$12:$M$18,7,FALSE)</f>
        <v>#N/A</v>
      </c>
      <c r="Z4243" s="81" t="e">
        <f>HLOOKUP(I4243,データについて!$J$3:$M$18,16,FALSE)</f>
        <v>#N/A</v>
      </c>
      <c r="AA4243" s="81" t="str">
        <f>IFERROR(HLOOKUP(J4243,データについて!$J$4:$AH$19,16,FALSE),"")</f>
        <v/>
      </c>
      <c r="AB4243" s="81" t="str">
        <f>IFERROR(HLOOKUP(K4243,データについて!$J$5:$AH$20,14,FALSE),"")</f>
        <v/>
      </c>
      <c r="AC4243" s="81" t="e">
        <f>IF(X4243=1,HLOOKUP(R4243,データについて!$J$12:$M$18,7,FALSE),"*")</f>
        <v>#N/A</v>
      </c>
      <c r="AD4243" s="81" t="e">
        <f>IF(X4243=2,HLOOKUP(R4243,データについて!$J$12:$M$18,7,FALSE),"*")</f>
        <v>#N/A</v>
      </c>
    </row>
    <row r="4244" spans="19:30">
      <c r="S4244" s="81" t="e">
        <f>HLOOKUP(L4244,データについて!$J$6:$M$18,13,FALSE)</f>
        <v>#N/A</v>
      </c>
      <c r="T4244" s="81" t="e">
        <f>HLOOKUP(M4244,データについて!$J$7:$M$18,12,FALSE)</f>
        <v>#N/A</v>
      </c>
      <c r="U4244" s="81" t="e">
        <f>HLOOKUP(N4244,データについて!$J$8:$M$18,11,FALSE)</f>
        <v>#N/A</v>
      </c>
      <c r="V4244" s="81" t="e">
        <f>HLOOKUP(O4244,データについて!$J$9:$M$18,10,FALSE)</f>
        <v>#N/A</v>
      </c>
      <c r="W4244" s="81" t="e">
        <f>HLOOKUP(P4244,データについて!$J$10:$M$18,9,FALSE)</f>
        <v>#N/A</v>
      </c>
      <c r="X4244" s="81" t="e">
        <f>HLOOKUP(Q4244,データについて!$J$11:$M$18,8,FALSE)</f>
        <v>#N/A</v>
      </c>
      <c r="Y4244" s="81" t="e">
        <f>HLOOKUP(R4244,データについて!$J$12:$M$18,7,FALSE)</f>
        <v>#N/A</v>
      </c>
      <c r="Z4244" s="81" t="e">
        <f>HLOOKUP(I4244,データについて!$J$3:$M$18,16,FALSE)</f>
        <v>#N/A</v>
      </c>
      <c r="AA4244" s="81" t="str">
        <f>IFERROR(HLOOKUP(J4244,データについて!$J$4:$AH$19,16,FALSE),"")</f>
        <v/>
      </c>
      <c r="AB4244" s="81" t="str">
        <f>IFERROR(HLOOKUP(K4244,データについて!$J$5:$AH$20,14,FALSE),"")</f>
        <v/>
      </c>
      <c r="AC4244" s="81" t="e">
        <f>IF(X4244=1,HLOOKUP(R4244,データについて!$J$12:$M$18,7,FALSE),"*")</f>
        <v>#N/A</v>
      </c>
      <c r="AD4244" s="81" t="e">
        <f>IF(X4244=2,HLOOKUP(R4244,データについて!$J$12:$M$18,7,FALSE),"*")</f>
        <v>#N/A</v>
      </c>
    </row>
    <row r="4245" spans="19:30">
      <c r="S4245" s="81" t="e">
        <f>HLOOKUP(L4245,データについて!$J$6:$M$18,13,FALSE)</f>
        <v>#N/A</v>
      </c>
      <c r="T4245" s="81" t="e">
        <f>HLOOKUP(M4245,データについて!$J$7:$M$18,12,FALSE)</f>
        <v>#N/A</v>
      </c>
      <c r="U4245" s="81" t="e">
        <f>HLOOKUP(N4245,データについて!$J$8:$M$18,11,FALSE)</f>
        <v>#N/A</v>
      </c>
      <c r="V4245" s="81" t="e">
        <f>HLOOKUP(O4245,データについて!$J$9:$M$18,10,FALSE)</f>
        <v>#N/A</v>
      </c>
      <c r="W4245" s="81" t="e">
        <f>HLOOKUP(P4245,データについて!$J$10:$M$18,9,FALSE)</f>
        <v>#N/A</v>
      </c>
      <c r="X4245" s="81" t="e">
        <f>HLOOKUP(Q4245,データについて!$J$11:$M$18,8,FALSE)</f>
        <v>#N/A</v>
      </c>
      <c r="Y4245" s="81" t="e">
        <f>HLOOKUP(R4245,データについて!$J$12:$M$18,7,FALSE)</f>
        <v>#N/A</v>
      </c>
      <c r="Z4245" s="81" t="e">
        <f>HLOOKUP(I4245,データについて!$J$3:$M$18,16,FALSE)</f>
        <v>#N/A</v>
      </c>
      <c r="AA4245" s="81" t="str">
        <f>IFERROR(HLOOKUP(J4245,データについて!$J$4:$AH$19,16,FALSE),"")</f>
        <v/>
      </c>
      <c r="AB4245" s="81" t="str">
        <f>IFERROR(HLOOKUP(K4245,データについて!$J$5:$AH$20,14,FALSE),"")</f>
        <v/>
      </c>
      <c r="AC4245" s="81" t="e">
        <f>IF(X4245=1,HLOOKUP(R4245,データについて!$J$12:$M$18,7,FALSE),"*")</f>
        <v>#N/A</v>
      </c>
      <c r="AD4245" s="81" t="e">
        <f>IF(X4245=2,HLOOKUP(R4245,データについて!$J$12:$M$18,7,FALSE),"*")</f>
        <v>#N/A</v>
      </c>
    </row>
    <row r="4246" spans="19:30">
      <c r="S4246" s="81" t="e">
        <f>HLOOKUP(L4246,データについて!$J$6:$M$18,13,FALSE)</f>
        <v>#N/A</v>
      </c>
      <c r="T4246" s="81" t="e">
        <f>HLOOKUP(M4246,データについて!$J$7:$M$18,12,FALSE)</f>
        <v>#N/A</v>
      </c>
      <c r="U4246" s="81" t="e">
        <f>HLOOKUP(N4246,データについて!$J$8:$M$18,11,FALSE)</f>
        <v>#N/A</v>
      </c>
      <c r="V4246" s="81" t="e">
        <f>HLOOKUP(O4246,データについて!$J$9:$M$18,10,FALSE)</f>
        <v>#N/A</v>
      </c>
      <c r="W4246" s="81" t="e">
        <f>HLOOKUP(P4246,データについて!$J$10:$M$18,9,FALSE)</f>
        <v>#N/A</v>
      </c>
      <c r="X4246" s="81" t="e">
        <f>HLOOKUP(Q4246,データについて!$J$11:$M$18,8,FALSE)</f>
        <v>#N/A</v>
      </c>
      <c r="Y4246" s="81" t="e">
        <f>HLOOKUP(R4246,データについて!$J$12:$M$18,7,FALSE)</f>
        <v>#N/A</v>
      </c>
      <c r="Z4246" s="81" t="e">
        <f>HLOOKUP(I4246,データについて!$J$3:$M$18,16,FALSE)</f>
        <v>#N/A</v>
      </c>
      <c r="AA4246" s="81" t="str">
        <f>IFERROR(HLOOKUP(J4246,データについて!$J$4:$AH$19,16,FALSE),"")</f>
        <v/>
      </c>
      <c r="AB4246" s="81" t="str">
        <f>IFERROR(HLOOKUP(K4246,データについて!$J$5:$AH$20,14,FALSE),"")</f>
        <v/>
      </c>
      <c r="AC4246" s="81" t="e">
        <f>IF(X4246=1,HLOOKUP(R4246,データについて!$J$12:$M$18,7,FALSE),"*")</f>
        <v>#N/A</v>
      </c>
      <c r="AD4246" s="81" t="e">
        <f>IF(X4246=2,HLOOKUP(R4246,データについて!$J$12:$M$18,7,FALSE),"*")</f>
        <v>#N/A</v>
      </c>
    </row>
    <row r="4247" spans="19:30">
      <c r="S4247" s="81" t="e">
        <f>HLOOKUP(L4247,データについて!$J$6:$M$18,13,FALSE)</f>
        <v>#N/A</v>
      </c>
      <c r="T4247" s="81" t="e">
        <f>HLOOKUP(M4247,データについて!$J$7:$M$18,12,FALSE)</f>
        <v>#N/A</v>
      </c>
      <c r="U4247" s="81" t="e">
        <f>HLOOKUP(N4247,データについて!$J$8:$M$18,11,FALSE)</f>
        <v>#N/A</v>
      </c>
      <c r="V4247" s="81" t="e">
        <f>HLOOKUP(O4247,データについて!$J$9:$M$18,10,FALSE)</f>
        <v>#N/A</v>
      </c>
      <c r="W4247" s="81" t="e">
        <f>HLOOKUP(P4247,データについて!$J$10:$M$18,9,FALSE)</f>
        <v>#N/A</v>
      </c>
      <c r="X4247" s="81" t="e">
        <f>HLOOKUP(Q4247,データについて!$J$11:$M$18,8,FALSE)</f>
        <v>#N/A</v>
      </c>
      <c r="Y4247" s="81" t="e">
        <f>HLOOKUP(R4247,データについて!$J$12:$M$18,7,FALSE)</f>
        <v>#N/A</v>
      </c>
      <c r="Z4247" s="81" t="e">
        <f>HLOOKUP(I4247,データについて!$J$3:$M$18,16,FALSE)</f>
        <v>#N/A</v>
      </c>
      <c r="AA4247" s="81" t="str">
        <f>IFERROR(HLOOKUP(J4247,データについて!$J$4:$AH$19,16,FALSE),"")</f>
        <v/>
      </c>
      <c r="AB4247" s="81" t="str">
        <f>IFERROR(HLOOKUP(K4247,データについて!$J$5:$AH$20,14,FALSE),"")</f>
        <v/>
      </c>
      <c r="AC4247" s="81" t="e">
        <f>IF(X4247=1,HLOOKUP(R4247,データについて!$J$12:$M$18,7,FALSE),"*")</f>
        <v>#N/A</v>
      </c>
      <c r="AD4247" s="81" t="e">
        <f>IF(X4247=2,HLOOKUP(R4247,データについて!$J$12:$M$18,7,FALSE),"*")</f>
        <v>#N/A</v>
      </c>
    </row>
    <row r="4248" spans="19:30">
      <c r="S4248" s="81" t="e">
        <f>HLOOKUP(L4248,データについて!$J$6:$M$18,13,FALSE)</f>
        <v>#N/A</v>
      </c>
      <c r="T4248" s="81" t="e">
        <f>HLOOKUP(M4248,データについて!$J$7:$M$18,12,FALSE)</f>
        <v>#N/A</v>
      </c>
      <c r="U4248" s="81" t="e">
        <f>HLOOKUP(N4248,データについて!$J$8:$M$18,11,FALSE)</f>
        <v>#N/A</v>
      </c>
      <c r="V4248" s="81" t="e">
        <f>HLOOKUP(O4248,データについて!$J$9:$M$18,10,FALSE)</f>
        <v>#N/A</v>
      </c>
      <c r="W4248" s="81" t="e">
        <f>HLOOKUP(P4248,データについて!$J$10:$M$18,9,FALSE)</f>
        <v>#N/A</v>
      </c>
      <c r="X4248" s="81" t="e">
        <f>HLOOKUP(Q4248,データについて!$J$11:$M$18,8,FALSE)</f>
        <v>#N/A</v>
      </c>
      <c r="Y4248" s="81" t="e">
        <f>HLOOKUP(R4248,データについて!$J$12:$M$18,7,FALSE)</f>
        <v>#N/A</v>
      </c>
      <c r="Z4248" s="81" t="e">
        <f>HLOOKUP(I4248,データについて!$J$3:$M$18,16,FALSE)</f>
        <v>#N/A</v>
      </c>
      <c r="AA4248" s="81" t="str">
        <f>IFERROR(HLOOKUP(J4248,データについて!$J$4:$AH$19,16,FALSE),"")</f>
        <v/>
      </c>
      <c r="AB4248" s="81" t="str">
        <f>IFERROR(HLOOKUP(K4248,データについて!$J$5:$AH$20,14,FALSE),"")</f>
        <v/>
      </c>
      <c r="AC4248" s="81" t="e">
        <f>IF(X4248=1,HLOOKUP(R4248,データについて!$J$12:$M$18,7,FALSE),"*")</f>
        <v>#N/A</v>
      </c>
      <c r="AD4248" s="81" t="e">
        <f>IF(X4248=2,HLOOKUP(R4248,データについて!$J$12:$M$18,7,FALSE),"*")</f>
        <v>#N/A</v>
      </c>
    </row>
    <row r="4249" spans="19:30">
      <c r="S4249" s="81" t="e">
        <f>HLOOKUP(L4249,データについて!$J$6:$M$18,13,FALSE)</f>
        <v>#N/A</v>
      </c>
      <c r="T4249" s="81" t="e">
        <f>HLOOKUP(M4249,データについて!$J$7:$M$18,12,FALSE)</f>
        <v>#N/A</v>
      </c>
      <c r="U4249" s="81" t="e">
        <f>HLOOKUP(N4249,データについて!$J$8:$M$18,11,FALSE)</f>
        <v>#N/A</v>
      </c>
      <c r="V4249" s="81" t="e">
        <f>HLOOKUP(O4249,データについて!$J$9:$M$18,10,FALSE)</f>
        <v>#N/A</v>
      </c>
      <c r="W4249" s="81" t="e">
        <f>HLOOKUP(P4249,データについて!$J$10:$M$18,9,FALSE)</f>
        <v>#N/A</v>
      </c>
      <c r="X4249" s="81" t="e">
        <f>HLOOKUP(Q4249,データについて!$J$11:$M$18,8,FALSE)</f>
        <v>#N/A</v>
      </c>
      <c r="Y4249" s="81" t="e">
        <f>HLOOKUP(R4249,データについて!$J$12:$M$18,7,FALSE)</f>
        <v>#N/A</v>
      </c>
      <c r="Z4249" s="81" t="e">
        <f>HLOOKUP(I4249,データについて!$J$3:$M$18,16,FALSE)</f>
        <v>#N/A</v>
      </c>
      <c r="AA4249" s="81" t="str">
        <f>IFERROR(HLOOKUP(J4249,データについて!$J$4:$AH$19,16,FALSE),"")</f>
        <v/>
      </c>
      <c r="AB4249" s="81" t="str">
        <f>IFERROR(HLOOKUP(K4249,データについて!$J$5:$AH$20,14,FALSE),"")</f>
        <v/>
      </c>
      <c r="AC4249" s="81" t="e">
        <f>IF(X4249=1,HLOOKUP(R4249,データについて!$J$12:$M$18,7,FALSE),"*")</f>
        <v>#N/A</v>
      </c>
      <c r="AD4249" s="81" t="e">
        <f>IF(X4249=2,HLOOKUP(R4249,データについて!$J$12:$M$18,7,FALSE),"*")</f>
        <v>#N/A</v>
      </c>
    </row>
    <row r="4250" spans="19:30">
      <c r="S4250" s="81" t="e">
        <f>HLOOKUP(L4250,データについて!$J$6:$M$18,13,FALSE)</f>
        <v>#N/A</v>
      </c>
      <c r="T4250" s="81" t="e">
        <f>HLOOKUP(M4250,データについて!$J$7:$M$18,12,FALSE)</f>
        <v>#N/A</v>
      </c>
      <c r="U4250" s="81" t="e">
        <f>HLOOKUP(N4250,データについて!$J$8:$M$18,11,FALSE)</f>
        <v>#N/A</v>
      </c>
      <c r="V4250" s="81" t="e">
        <f>HLOOKUP(O4250,データについて!$J$9:$M$18,10,FALSE)</f>
        <v>#N/A</v>
      </c>
      <c r="W4250" s="81" t="e">
        <f>HLOOKUP(P4250,データについて!$J$10:$M$18,9,FALSE)</f>
        <v>#N/A</v>
      </c>
      <c r="X4250" s="81" t="e">
        <f>HLOOKUP(Q4250,データについて!$J$11:$M$18,8,FALSE)</f>
        <v>#N/A</v>
      </c>
      <c r="Y4250" s="81" t="e">
        <f>HLOOKUP(R4250,データについて!$J$12:$M$18,7,FALSE)</f>
        <v>#N/A</v>
      </c>
      <c r="Z4250" s="81" t="e">
        <f>HLOOKUP(I4250,データについて!$J$3:$M$18,16,FALSE)</f>
        <v>#N/A</v>
      </c>
      <c r="AA4250" s="81" t="str">
        <f>IFERROR(HLOOKUP(J4250,データについて!$J$4:$AH$19,16,FALSE),"")</f>
        <v/>
      </c>
      <c r="AB4250" s="81" t="str">
        <f>IFERROR(HLOOKUP(K4250,データについて!$J$5:$AH$20,14,FALSE),"")</f>
        <v/>
      </c>
      <c r="AC4250" s="81" t="e">
        <f>IF(X4250=1,HLOOKUP(R4250,データについて!$J$12:$M$18,7,FALSE),"*")</f>
        <v>#N/A</v>
      </c>
      <c r="AD4250" s="81" t="e">
        <f>IF(X4250=2,HLOOKUP(R4250,データについて!$J$12:$M$18,7,FALSE),"*")</f>
        <v>#N/A</v>
      </c>
    </row>
    <row r="4251" spans="19:30">
      <c r="S4251" s="81" t="e">
        <f>HLOOKUP(L4251,データについて!$J$6:$M$18,13,FALSE)</f>
        <v>#N/A</v>
      </c>
      <c r="T4251" s="81" t="e">
        <f>HLOOKUP(M4251,データについて!$J$7:$M$18,12,FALSE)</f>
        <v>#N/A</v>
      </c>
      <c r="U4251" s="81" t="e">
        <f>HLOOKUP(N4251,データについて!$J$8:$M$18,11,FALSE)</f>
        <v>#N/A</v>
      </c>
      <c r="V4251" s="81" t="e">
        <f>HLOOKUP(O4251,データについて!$J$9:$M$18,10,FALSE)</f>
        <v>#N/A</v>
      </c>
      <c r="W4251" s="81" t="e">
        <f>HLOOKUP(P4251,データについて!$J$10:$M$18,9,FALSE)</f>
        <v>#N/A</v>
      </c>
      <c r="X4251" s="81" t="e">
        <f>HLOOKUP(Q4251,データについて!$J$11:$M$18,8,FALSE)</f>
        <v>#N/A</v>
      </c>
      <c r="Y4251" s="81" t="e">
        <f>HLOOKUP(R4251,データについて!$J$12:$M$18,7,FALSE)</f>
        <v>#N/A</v>
      </c>
      <c r="Z4251" s="81" t="e">
        <f>HLOOKUP(I4251,データについて!$J$3:$M$18,16,FALSE)</f>
        <v>#N/A</v>
      </c>
      <c r="AA4251" s="81" t="str">
        <f>IFERROR(HLOOKUP(J4251,データについて!$J$4:$AH$19,16,FALSE),"")</f>
        <v/>
      </c>
      <c r="AB4251" s="81" t="str">
        <f>IFERROR(HLOOKUP(K4251,データについて!$J$5:$AH$20,14,FALSE),"")</f>
        <v/>
      </c>
      <c r="AC4251" s="81" t="e">
        <f>IF(X4251=1,HLOOKUP(R4251,データについて!$J$12:$M$18,7,FALSE),"*")</f>
        <v>#N/A</v>
      </c>
      <c r="AD4251" s="81" t="e">
        <f>IF(X4251=2,HLOOKUP(R4251,データについて!$J$12:$M$18,7,FALSE),"*")</f>
        <v>#N/A</v>
      </c>
    </row>
    <row r="4252" spans="19:30">
      <c r="S4252" s="81" t="e">
        <f>HLOOKUP(L4252,データについて!$J$6:$M$18,13,FALSE)</f>
        <v>#N/A</v>
      </c>
      <c r="T4252" s="81" t="e">
        <f>HLOOKUP(M4252,データについて!$J$7:$M$18,12,FALSE)</f>
        <v>#N/A</v>
      </c>
      <c r="U4252" s="81" t="e">
        <f>HLOOKUP(N4252,データについて!$J$8:$M$18,11,FALSE)</f>
        <v>#N/A</v>
      </c>
      <c r="V4252" s="81" t="e">
        <f>HLOOKUP(O4252,データについて!$J$9:$M$18,10,FALSE)</f>
        <v>#N/A</v>
      </c>
      <c r="W4252" s="81" t="e">
        <f>HLOOKUP(P4252,データについて!$J$10:$M$18,9,FALSE)</f>
        <v>#N/A</v>
      </c>
      <c r="X4252" s="81" t="e">
        <f>HLOOKUP(Q4252,データについて!$J$11:$M$18,8,FALSE)</f>
        <v>#N/A</v>
      </c>
      <c r="Y4252" s="81" t="e">
        <f>HLOOKUP(R4252,データについて!$J$12:$M$18,7,FALSE)</f>
        <v>#N/A</v>
      </c>
      <c r="Z4252" s="81" t="e">
        <f>HLOOKUP(I4252,データについて!$J$3:$M$18,16,FALSE)</f>
        <v>#N/A</v>
      </c>
      <c r="AA4252" s="81" t="str">
        <f>IFERROR(HLOOKUP(J4252,データについて!$J$4:$AH$19,16,FALSE),"")</f>
        <v/>
      </c>
      <c r="AB4252" s="81" t="str">
        <f>IFERROR(HLOOKUP(K4252,データについて!$J$5:$AH$20,14,FALSE),"")</f>
        <v/>
      </c>
      <c r="AC4252" s="81" t="e">
        <f>IF(X4252=1,HLOOKUP(R4252,データについて!$J$12:$M$18,7,FALSE),"*")</f>
        <v>#N/A</v>
      </c>
      <c r="AD4252" s="81" t="e">
        <f>IF(X4252=2,HLOOKUP(R4252,データについて!$J$12:$M$18,7,FALSE),"*")</f>
        <v>#N/A</v>
      </c>
    </row>
    <row r="4253" spans="19:30">
      <c r="S4253" s="81" t="e">
        <f>HLOOKUP(L4253,データについて!$J$6:$M$18,13,FALSE)</f>
        <v>#N/A</v>
      </c>
      <c r="T4253" s="81" t="e">
        <f>HLOOKUP(M4253,データについて!$J$7:$M$18,12,FALSE)</f>
        <v>#N/A</v>
      </c>
      <c r="U4253" s="81" t="e">
        <f>HLOOKUP(N4253,データについて!$J$8:$M$18,11,FALSE)</f>
        <v>#N/A</v>
      </c>
      <c r="V4253" s="81" t="e">
        <f>HLOOKUP(O4253,データについて!$J$9:$M$18,10,FALSE)</f>
        <v>#N/A</v>
      </c>
      <c r="W4253" s="81" t="e">
        <f>HLOOKUP(P4253,データについて!$J$10:$M$18,9,FALSE)</f>
        <v>#N/A</v>
      </c>
      <c r="X4253" s="81" t="e">
        <f>HLOOKUP(Q4253,データについて!$J$11:$M$18,8,FALSE)</f>
        <v>#N/A</v>
      </c>
      <c r="Y4253" s="81" t="e">
        <f>HLOOKUP(R4253,データについて!$J$12:$M$18,7,FALSE)</f>
        <v>#N/A</v>
      </c>
      <c r="Z4253" s="81" t="e">
        <f>HLOOKUP(I4253,データについて!$J$3:$M$18,16,FALSE)</f>
        <v>#N/A</v>
      </c>
      <c r="AA4253" s="81" t="str">
        <f>IFERROR(HLOOKUP(J4253,データについて!$J$4:$AH$19,16,FALSE),"")</f>
        <v/>
      </c>
      <c r="AB4253" s="81" t="str">
        <f>IFERROR(HLOOKUP(K4253,データについて!$J$5:$AH$20,14,FALSE),"")</f>
        <v/>
      </c>
      <c r="AC4253" s="81" t="e">
        <f>IF(X4253=1,HLOOKUP(R4253,データについて!$J$12:$M$18,7,FALSE),"*")</f>
        <v>#N/A</v>
      </c>
      <c r="AD4253" s="81" t="e">
        <f>IF(X4253=2,HLOOKUP(R4253,データについて!$J$12:$M$18,7,FALSE),"*")</f>
        <v>#N/A</v>
      </c>
    </row>
    <row r="4254" spans="19:30">
      <c r="S4254" s="81" t="e">
        <f>HLOOKUP(L4254,データについて!$J$6:$M$18,13,FALSE)</f>
        <v>#N/A</v>
      </c>
      <c r="T4254" s="81" t="e">
        <f>HLOOKUP(M4254,データについて!$J$7:$M$18,12,FALSE)</f>
        <v>#N/A</v>
      </c>
      <c r="U4254" s="81" t="e">
        <f>HLOOKUP(N4254,データについて!$J$8:$M$18,11,FALSE)</f>
        <v>#N/A</v>
      </c>
      <c r="V4254" s="81" t="e">
        <f>HLOOKUP(O4254,データについて!$J$9:$M$18,10,FALSE)</f>
        <v>#N/A</v>
      </c>
      <c r="W4254" s="81" t="e">
        <f>HLOOKUP(P4254,データについて!$J$10:$M$18,9,FALSE)</f>
        <v>#N/A</v>
      </c>
      <c r="X4254" s="81" t="e">
        <f>HLOOKUP(Q4254,データについて!$J$11:$M$18,8,FALSE)</f>
        <v>#N/A</v>
      </c>
      <c r="Y4254" s="81" t="e">
        <f>HLOOKUP(R4254,データについて!$J$12:$M$18,7,FALSE)</f>
        <v>#N/A</v>
      </c>
      <c r="Z4254" s="81" t="e">
        <f>HLOOKUP(I4254,データについて!$J$3:$M$18,16,FALSE)</f>
        <v>#N/A</v>
      </c>
      <c r="AA4254" s="81" t="str">
        <f>IFERROR(HLOOKUP(J4254,データについて!$J$4:$AH$19,16,FALSE),"")</f>
        <v/>
      </c>
      <c r="AB4254" s="81" t="str">
        <f>IFERROR(HLOOKUP(K4254,データについて!$J$5:$AH$20,14,FALSE),"")</f>
        <v/>
      </c>
      <c r="AC4254" s="81" t="e">
        <f>IF(X4254=1,HLOOKUP(R4254,データについて!$J$12:$M$18,7,FALSE),"*")</f>
        <v>#N/A</v>
      </c>
      <c r="AD4254" s="81" t="e">
        <f>IF(X4254=2,HLOOKUP(R4254,データについて!$J$12:$M$18,7,FALSE),"*")</f>
        <v>#N/A</v>
      </c>
    </row>
    <row r="4255" spans="19:30">
      <c r="S4255" s="81" t="e">
        <f>HLOOKUP(L4255,データについて!$J$6:$M$18,13,FALSE)</f>
        <v>#N/A</v>
      </c>
      <c r="T4255" s="81" t="e">
        <f>HLOOKUP(M4255,データについて!$J$7:$M$18,12,FALSE)</f>
        <v>#N/A</v>
      </c>
      <c r="U4255" s="81" t="e">
        <f>HLOOKUP(N4255,データについて!$J$8:$M$18,11,FALSE)</f>
        <v>#N/A</v>
      </c>
      <c r="V4255" s="81" t="e">
        <f>HLOOKUP(O4255,データについて!$J$9:$M$18,10,FALSE)</f>
        <v>#N/A</v>
      </c>
      <c r="W4255" s="81" t="e">
        <f>HLOOKUP(P4255,データについて!$J$10:$M$18,9,FALSE)</f>
        <v>#N/A</v>
      </c>
      <c r="X4255" s="81" t="e">
        <f>HLOOKUP(Q4255,データについて!$J$11:$M$18,8,FALSE)</f>
        <v>#N/A</v>
      </c>
      <c r="Y4255" s="81" t="e">
        <f>HLOOKUP(R4255,データについて!$J$12:$M$18,7,FALSE)</f>
        <v>#N/A</v>
      </c>
      <c r="Z4255" s="81" t="e">
        <f>HLOOKUP(I4255,データについて!$J$3:$M$18,16,FALSE)</f>
        <v>#N/A</v>
      </c>
      <c r="AA4255" s="81" t="str">
        <f>IFERROR(HLOOKUP(J4255,データについて!$J$4:$AH$19,16,FALSE),"")</f>
        <v/>
      </c>
      <c r="AB4255" s="81" t="str">
        <f>IFERROR(HLOOKUP(K4255,データについて!$J$5:$AH$20,14,FALSE),"")</f>
        <v/>
      </c>
      <c r="AC4255" s="81" t="e">
        <f>IF(X4255=1,HLOOKUP(R4255,データについて!$J$12:$M$18,7,FALSE),"*")</f>
        <v>#N/A</v>
      </c>
      <c r="AD4255" s="81" t="e">
        <f>IF(X4255=2,HLOOKUP(R4255,データについて!$J$12:$M$18,7,FALSE),"*")</f>
        <v>#N/A</v>
      </c>
    </row>
    <row r="4256" spans="19:30">
      <c r="S4256" s="81" t="e">
        <f>HLOOKUP(L4256,データについて!$J$6:$M$18,13,FALSE)</f>
        <v>#N/A</v>
      </c>
      <c r="T4256" s="81" t="e">
        <f>HLOOKUP(M4256,データについて!$J$7:$M$18,12,FALSE)</f>
        <v>#N/A</v>
      </c>
      <c r="U4256" s="81" t="e">
        <f>HLOOKUP(N4256,データについて!$J$8:$M$18,11,FALSE)</f>
        <v>#N/A</v>
      </c>
      <c r="V4256" s="81" t="e">
        <f>HLOOKUP(O4256,データについて!$J$9:$M$18,10,FALSE)</f>
        <v>#N/A</v>
      </c>
      <c r="W4256" s="81" t="e">
        <f>HLOOKUP(P4256,データについて!$J$10:$M$18,9,FALSE)</f>
        <v>#N/A</v>
      </c>
      <c r="X4256" s="81" t="e">
        <f>HLOOKUP(Q4256,データについて!$J$11:$M$18,8,FALSE)</f>
        <v>#N/A</v>
      </c>
      <c r="Y4256" s="81" t="e">
        <f>HLOOKUP(R4256,データについて!$J$12:$M$18,7,FALSE)</f>
        <v>#N/A</v>
      </c>
      <c r="Z4256" s="81" t="e">
        <f>HLOOKUP(I4256,データについて!$J$3:$M$18,16,FALSE)</f>
        <v>#N/A</v>
      </c>
      <c r="AA4256" s="81" t="str">
        <f>IFERROR(HLOOKUP(J4256,データについて!$J$4:$AH$19,16,FALSE),"")</f>
        <v/>
      </c>
      <c r="AB4256" s="81" t="str">
        <f>IFERROR(HLOOKUP(K4256,データについて!$J$5:$AH$20,14,FALSE),"")</f>
        <v/>
      </c>
      <c r="AC4256" s="81" t="e">
        <f>IF(X4256=1,HLOOKUP(R4256,データについて!$J$12:$M$18,7,FALSE),"*")</f>
        <v>#N/A</v>
      </c>
      <c r="AD4256" s="81" t="e">
        <f>IF(X4256=2,HLOOKUP(R4256,データについて!$J$12:$M$18,7,FALSE),"*")</f>
        <v>#N/A</v>
      </c>
    </row>
    <row r="4257" spans="19:30">
      <c r="S4257" s="81" t="e">
        <f>HLOOKUP(L4257,データについて!$J$6:$M$18,13,FALSE)</f>
        <v>#N/A</v>
      </c>
      <c r="T4257" s="81" t="e">
        <f>HLOOKUP(M4257,データについて!$J$7:$M$18,12,FALSE)</f>
        <v>#N/A</v>
      </c>
      <c r="U4257" s="81" t="e">
        <f>HLOOKUP(N4257,データについて!$J$8:$M$18,11,FALSE)</f>
        <v>#N/A</v>
      </c>
      <c r="V4257" s="81" t="e">
        <f>HLOOKUP(O4257,データについて!$J$9:$M$18,10,FALSE)</f>
        <v>#N/A</v>
      </c>
      <c r="W4257" s="81" t="e">
        <f>HLOOKUP(P4257,データについて!$J$10:$M$18,9,FALSE)</f>
        <v>#N/A</v>
      </c>
      <c r="X4257" s="81" t="e">
        <f>HLOOKUP(Q4257,データについて!$J$11:$M$18,8,FALSE)</f>
        <v>#N/A</v>
      </c>
      <c r="Y4257" s="81" t="e">
        <f>HLOOKUP(R4257,データについて!$J$12:$M$18,7,FALSE)</f>
        <v>#N/A</v>
      </c>
      <c r="Z4257" s="81" t="e">
        <f>HLOOKUP(I4257,データについて!$J$3:$M$18,16,FALSE)</f>
        <v>#N/A</v>
      </c>
      <c r="AA4257" s="81" t="str">
        <f>IFERROR(HLOOKUP(J4257,データについて!$J$4:$AH$19,16,FALSE),"")</f>
        <v/>
      </c>
      <c r="AB4257" s="81" t="str">
        <f>IFERROR(HLOOKUP(K4257,データについて!$J$5:$AH$20,14,FALSE),"")</f>
        <v/>
      </c>
      <c r="AC4257" s="81" t="e">
        <f>IF(X4257=1,HLOOKUP(R4257,データについて!$J$12:$M$18,7,FALSE),"*")</f>
        <v>#N/A</v>
      </c>
      <c r="AD4257" s="81" t="e">
        <f>IF(X4257=2,HLOOKUP(R4257,データについて!$J$12:$M$18,7,FALSE),"*")</f>
        <v>#N/A</v>
      </c>
    </row>
    <row r="4258" spans="19:30">
      <c r="S4258" s="81" t="e">
        <f>HLOOKUP(L4258,データについて!$J$6:$M$18,13,FALSE)</f>
        <v>#N/A</v>
      </c>
      <c r="T4258" s="81" t="e">
        <f>HLOOKUP(M4258,データについて!$J$7:$M$18,12,FALSE)</f>
        <v>#N/A</v>
      </c>
      <c r="U4258" s="81" t="e">
        <f>HLOOKUP(N4258,データについて!$J$8:$M$18,11,FALSE)</f>
        <v>#N/A</v>
      </c>
      <c r="V4258" s="81" t="e">
        <f>HLOOKUP(O4258,データについて!$J$9:$M$18,10,FALSE)</f>
        <v>#N/A</v>
      </c>
      <c r="W4258" s="81" t="e">
        <f>HLOOKUP(P4258,データについて!$J$10:$M$18,9,FALSE)</f>
        <v>#N/A</v>
      </c>
      <c r="X4258" s="81" t="e">
        <f>HLOOKUP(Q4258,データについて!$J$11:$M$18,8,FALSE)</f>
        <v>#N/A</v>
      </c>
      <c r="Y4258" s="81" t="e">
        <f>HLOOKUP(R4258,データについて!$J$12:$M$18,7,FALSE)</f>
        <v>#N/A</v>
      </c>
      <c r="Z4258" s="81" t="e">
        <f>HLOOKUP(I4258,データについて!$J$3:$M$18,16,FALSE)</f>
        <v>#N/A</v>
      </c>
      <c r="AA4258" s="81" t="str">
        <f>IFERROR(HLOOKUP(J4258,データについて!$J$4:$AH$19,16,FALSE),"")</f>
        <v/>
      </c>
      <c r="AB4258" s="81" t="str">
        <f>IFERROR(HLOOKUP(K4258,データについて!$J$5:$AH$20,14,FALSE),"")</f>
        <v/>
      </c>
      <c r="AC4258" s="81" t="e">
        <f>IF(X4258=1,HLOOKUP(R4258,データについて!$J$12:$M$18,7,FALSE),"*")</f>
        <v>#N/A</v>
      </c>
      <c r="AD4258" s="81" t="e">
        <f>IF(X4258=2,HLOOKUP(R4258,データについて!$J$12:$M$18,7,FALSE),"*")</f>
        <v>#N/A</v>
      </c>
    </row>
    <row r="4259" spans="19:30">
      <c r="S4259" s="81" t="e">
        <f>HLOOKUP(L4259,データについて!$J$6:$M$18,13,FALSE)</f>
        <v>#N/A</v>
      </c>
      <c r="T4259" s="81" t="e">
        <f>HLOOKUP(M4259,データについて!$J$7:$M$18,12,FALSE)</f>
        <v>#N/A</v>
      </c>
      <c r="U4259" s="81" t="e">
        <f>HLOOKUP(N4259,データについて!$J$8:$M$18,11,FALSE)</f>
        <v>#N/A</v>
      </c>
      <c r="V4259" s="81" t="e">
        <f>HLOOKUP(O4259,データについて!$J$9:$M$18,10,FALSE)</f>
        <v>#N/A</v>
      </c>
      <c r="W4259" s="81" t="e">
        <f>HLOOKUP(P4259,データについて!$J$10:$M$18,9,FALSE)</f>
        <v>#N/A</v>
      </c>
      <c r="X4259" s="81" t="e">
        <f>HLOOKUP(Q4259,データについて!$J$11:$M$18,8,FALSE)</f>
        <v>#N/A</v>
      </c>
      <c r="Y4259" s="81" t="e">
        <f>HLOOKUP(R4259,データについて!$J$12:$M$18,7,FALSE)</f>
        <v>#N/A</v>
      </c>
      <c r="Z4259" s="81" t="e">
        <f>HLOOKUP(I4259,データについて!$J$3:$M$18,16,FALSE)</f>
        <v>#N/A</v>
      </c>
      <c r="AA4259" s="81" t="str">
        <f>IFERROR(HLOOKUP(J4259,データについて!$J$4:$AH$19,16,FALSE),"")</f>
        <v/>
      </c>
      <c r="AB4259" s="81" t="str">
        <f>IFERROR(HLOOKUP(K4259,データについて!$J$5:$AH$20,14,FALSE),"")</f>
        <v/>
      </c>
      <c r="AC4259" s="81" t="e">
        <f>IF(X4259=1,HLOOKUP(R4259,データについて!$J$12:$M$18,7,FALSE),"*")</f>
        <v>#N/A</v>
      </c>
      <c r="AD4259" s="81" t="e">
        <f>IF(X4259=2,HLOOKUP(R4259,データについて!$J$12:$M$18,7,FALSE),"*")</f>
        <v>#N/A</v>
      </c>
    </row>
    <row r="4260" spans="19:30">
      <c r="S4260" s="81" t="e">
        <f>HLOOKUP(L4260,データについて!$J$6:$M$18,13,FALSE)</f>
        <v>#N/A</v>
      </c>
      <c r="T4260" s="81" t="e">
        <f>HLOOKUP(M4260,データについて!$J$7:$M$18,12,FALSE)</f>
        <v>#N/A</v>
      </c>
      <c r="U4260" s="81" t="e">
        <f>HLOOKUP(N4260,データについて!$J$8:$M$18,11,FALSE)</f>
        <v>#N/A</v>
      </c>
      <c r="V4260" s="81" t="e">
        <f>HLOOKUP(O4260,データについて!$J$9:$M$18,10,FALSE)</f>
        <v>#N/A</v>
      </c>
      <c r="W4260" s="81" t="e">
        <f>HLOOKUP(P4260,データについて!$J$10:$M$18,9,FALSE)</f>
        <v>#N/A</v>
      </c>
      <c r="X4260" s="81" t="e">
        <f>HLOOKUP(Q4260,データについて!$J$11:$M$18,8,FALSE)</f>
        <v>#N/A</v>
      </c>
      <c r="Y4260" s="81" t="e">
        <f>HLOOKUP(R4260,データについて!$J$12:$M$18,7,FALSE)</f>
        <v>#N/A</v>
      </c>
      <c r="Z4260" s="81" t="e">
        <f>HLOOKUP(I4260,データについて!$J$3:$M$18,16,FALSE)</f>
        <v>#N/A</v>
      </c>
      <c r="AA4260" s="81" t="str">
        <f>IFERROR(HLOOKUP(J4260,データについて!$J$4:$AH$19,16,FALSE),"")</f>
        <v/>
      </c>
      <c r="AB4260" s="81" t="str">
        <f>IFERROR(HLOOKUP(K4260,データについて!$J$5:$AH$20,14,FALSE),"")</f>
        <v/>
      </c>
      <c r="AC4260" s="81" t="e">
        <f>IF(X4260=1,HLOOKUP(R4260,データについて!$J$12:$M$18,7,FALSE),"*")</f>
        <v>#N/A</v>
      </c>
      <c r="AD4260" s="81" t="e">
        <f>IF(X4260=2,HLOOKUP(R4260,データについて!$J$12:$M$18,7,FALSE),"*")</f>
        <v>#N/A</v>
      </c>
    </row>
    <row r="4261" spans="19:30">
      <c r="S4261" s="81" t="e">
        <f>HLOOKUP(L4261,データについて!$J$6:$M$18,13,FALSE)</f>
        <v>#N/A</v>
      </c>
      <c r="T4261" s="81" t="e">
        <f>HLOOKUP(M4261,データについて!$J$7:$M$18,12,FALSE)</f>
        <v>#N/A</v>
      </c>
      <c r="U4261" s="81" t="e">
        <f>HLOOKUP(N4261,データについて!$J$8:$M$18,11,FALSE)</f>
        <v>#N/A</v>
      </c>
      <c r="V4261" s="81" t="e">
        <f>HLOOKUP(O4261,データについて!$J$9:$M$18,10,FALSE)</f>
        <v>#N/A</v>
      </c>
      <c r="W4261" s="81" t="e">
        <f>HLOOKUP(P4261,データについて!$J$10:$M$18,9,FALSE)</f>
        <v>#N/A</v>
      </c>
      <c r="X4261" s="81" t="e">
        <f>HLOOKUP(Q4261,データについて!$J$11:$M$18,8,FALSE)</f>
        <v>#N/A</v>
      </c>
      <c r="Y4261" s="81" t="e">
        <f>HLOOKUP(R4261,データについて!$J$12:$M$18,7,FALSE)</f>
        <v>#N/A</v>
      </c>
      <c r="Z4261" s="81" t="e">
        <f>HLOOKUP(I4261,データについて!$J$3:$M$18,16,FALSE)</f>
        <v>#N/A</v>
      </c>
      <c r="AA4261" s="81" t="str">
        <f>IFERROR(HLOOKUP(J4261,データについて!$J$4:$AH$19,16,FALSE),"")</f>
        <v/>
      </c>
      <c r="AB4261" s="81" t="str">
        <f>IFERROR(HLOOKUP(K4261,データについて!$J$5:$AH$20,14,FALSE),"")</f>
        <v/>
      </c>
      <c r="AC4261" s="81" t="e">
        <f>IF(X4261=1,HLOOKUP(R4261,データについて!$J$12:$M$18,7,FALSE),"*")</f>
        <v>#N/A</v>
      </c>
      <c r="AD4261" s="81" t="e">
        <f>IF(X4261=2,HLOOKUP(R4261,データについて!$J$12:$M$18,7,FALSE),"*")</f>
        <v>#N/A</v>
      </c>
    </row>
    <row r="4262" spans="19:30">
      <c r="S4262" s="81" t="e">
        <f>HLOOKUP(L4262,データについて!$J$6:$M$18,13,FALSE)</f>
        <v>#N/A</v>
      </c>
      <c r="T4262" s="81" t="e">
        <f>HLOOKUP(M4262,データについて!$J$7:$M$18,12,FALSE)</f>
        <v>#N/A</v>
      </c>
      <c r="U4262" s="81" t="e">
        <f>HLOOKUP(N4262,データについて!$J$8:$M$18,11,FALSE)</f>
        <v>#N/A</v>
      </c>
      <c r="V4262" s="81" t="e">
        <f>HLOOKUP(O4262,データについて!$J$9:$M$18,10,FALSE)</f>
        <v>#N/A</v>
      </c>
      <c r="W4262" s="81" t="e">
        <f>HLOOKUP(P4262,データについて!$J$10:$M$18,9,FALSE)</f>
        <v>#N/A</v>
      </c>
      <c r="X4262" s="81" t="e">
        <f>HLOOKUP(Q4262,データについて!$J$11:$M$18,8,FALSE)</f>
        <v>#N/A</v>
      </c>
      <c r="Y4262" s="81" t="e">
        <f>HLOOKUP(R4262,データについて!$J$12:$M$18,7,FALSE)</f>
        <v>#N/A</v>
      </c>
      <c r="Z4262" s="81" t="e">
        <f>HLOOKUP(I4262,データについて!$J$3:$M$18,16,FALSE)</f>
        <v>#N/A</v>
      </c>
      <c r="AA4262" s="81" t="str">
        <f>IFERROR(HLOOKUP(J4262,データについて!$J$4:$AH$19,16,FALSE),"")</f>
        <v/>
      </c>
      <c r="AB4262" s="81" t="str">
        <f>IFERROR(HLOOKUP(K4262,データについて!$J$5:$AH$20,14,FALSE),"")</f>
        <v/>
      </c>
      <c r="AC4262" s="81" t="e">
        <f>IF(X4262=1,HLOOKUP(R4262,データについて!$J$12:$M$18,7,FALSE),"*")</f>
        <v>#N/A</v>
      </c>
      <c r="AD4262" s="81" t="e">
        <f>IF(X4262=2,HLOOKUP(R4262,データについて!$J$12:$M$18,7,FALSE),"*")</f>
        <v>#N/A</v>
      </c>
    </row>
    <row r="4263" spans="19:30">
      <c r="S4263" s="81" t="e">
        <f>HLOOKUP(L4263,データについて!$J$6:$M$18,13,FALSE)</f>
        <v>#N/A</v>
      </c>
      <c r="T4263" s="81" t="e">
        <f>HLOOKUP(M4263,データについて!$J$7:$M$18,12,FALSE)</f>
        <v>#N/A</v>
      </c>
      <c r="U4263" s="81" t="e">
        <f>HLOOKUP(N4263,データについて!$J$8:$M$18,11,FALSE)</f>
        <v>#N/A</v>
      </c>
      <c r="V4263" s="81" t="e">
        <f>HLOOKUP(O4263,データについて!$J$9:$M$18,10,FALSE)</f>
        <v>#N/A</v>
      </c>
      <c r="W4263" s="81" t="e">
        <f>HLOOKUP(P4263,データについて!$J$10:$M$18,9,FALSE)</f>
        <v>#N/A</v>
      </c>
      <c r="X4263" s="81" t="e">
        <f>HLOOKUP(Q4263,データについて!$J$11:$M$18,8,FALSE)</f>
        <v>#N/A</v>
      </c>
      <c r="Y4263" s="81" t="e">
        <f>HLOOKUP(R4263,データについて!$J$12:$M$18,7,FALSE)</f>
        <v>#N/A</v>
      </c>
      <c r="Z4263" s="81" t="e">
        <f>HLOOKUP(I4263,データについて!$J$3:$M$18,16,FALSE)</f>
        <v>#N/A</v>
      </c>
      <c r="AA4263" s="81" t="str">
        <f>IFERROR(HLOOKUP(J4263,データについて!$J$4:$AH$19,16,FALSE),"")</f>
        <v/>
      </c>
      <c r="AB4263" s="81" t="str">
        <f>IFERROR(HLOOKUP(K4263,データについて!$J$5:$AH$20,14,FALSE),"")</f>
        <v/>
      </c>
      <c r="AC4263" s="81" t="e">
        <f>IF(X4263=1,HLOOKUP(R4263,データについて!$J$12:$M$18,7,FALSE),"*")</f>
        <v>#N/A</v>
      </c>
      <c r="AD4263" s="81" t="e">
        <f>IF(X4263=2,HLOOKUP(R4263,データについて!$J$12:$M$18,7,FALSE),"*")</f>
        <v>#N/A</v>
      </c>
    </row>
    <row r="4264" spans="19:30">
      <c r="S4264" s="81" t="e">
        <f>HLOOKUP(L4264,データについて!$J$6:$M$18,13,FALSE)</f>
        <v>#N/A</v>
      </c>
      <c r="T4264" s="81" t="e">
        <f>HLOOKUP(M4264,データについて!$J$7:$M$18,12,FALSE)</f>
        <v>#N/A</v>
      </c>
      <c r="U4264" s="81" t="e">
        <f>HLOOKUP(N4264,データについて!$J$8:$M$18,11,FALSE)</f>
        <v>#N/A</v>
      </c>
      <c r="V4264" s="81" t="e">
        <f>HLOOKUP(O4264,データについて!$J$9:$M$18,10,FALSE)</f>
        <v>#N/A</v>
      </c>
      <c r="W4264" s="81" t="e">
        <f>HLOOKUP(P4264,データについて!$J$10:$M$18,9,FALSE)</f>
        <v>#N/A</v>
      </c>
      <c r="X4264" s="81" t="e">
        <f>HLOOKUP(Q4264,データについて!$J$11:$M$18,8,FALSE)</f>
        <v>#N/A</v>
      </c>
      <c r="Y4264" s="81" t="e">
        <f>HLOOKUP(R4264,データについて!$J$12:$M$18,7,FALSE)</f>
        <v>#N/A</v>
      </c>
      <c r="Z4264" s="81" t="e">
        <f>HLOOKUP(I4264,データについて!$J$3:$M$18,16,FALSE)</f>
        <v>#N/A</v>
      </c>
      <c r="AA4264" s="81" t="str">
        <f>IFERROR(HLOOKUP(J4264,データについて!$J$4:$AH$19,16,FALSE),"")</f>
        <v/>
      </c>
      <c r="AB4264" s="81" t="str">
        <f>IFERROR(HLOOKUP(K4264,データについて!$J$5:$AH$20,14,FALSE),"")</f>
        <v/>
      </c>
      <c r="AC4264" s="81" t="e">
        <f>IF(X4264=1,HLOOKUP(R4264,データについて!$J$12:$M$18,7,FALSE),"*")</f>
        <v>#N/A</v>
      </c>
      <c r="AD4264" s="81" t="e">
        <f>IF(X4264=2,HLOOKUP(R4264,データについて!$J$12:$M$18,7,FALSE),"*")</f>
        <v>#N/A</v>
      </c>
    </row>
    <row r="4265" spans="19:30">
      <c r="S4265" s="81" t="e">
        <f>HLOOKUP(L4265,データについて!$J$6:$M$18,13,FALSE)</f>
        <v>#N/A</v>
      </c>
      <c r="T4265" s="81" t="e">
        <f>HLOOKUP(M4265,データについて!$J$7:$M$18,12,FALSE)</f>
        <v>#N/A</v>
      </c>
      <c r="U4265" s="81" t="e">
        <f>HLOOKUP(N4265,データについて!$J$8:$M$18,11,FALSE)</f>
        <v>#N/A</v>
      </c>
      <c r="V4265" s="81" t="e">
        <f>HLOOKUP(O4265,データについて!$J$9:$M$18,10,FALSE)</f>
        <v>#N/A</v>
      </c>
      <c r="W4265" s="81" t="e">
        <f>HLOOKUP(P4265,データについて!$J$10:$M$18,9,FALSE)</f>
        <v>#N/A</v>
      </c>
      <c r="X4265" s="81" t="e">
        <f>HLOOKUP(Q4265,データについて!$J$11:$M$18,8,FALSE)</f>
        <v>#N/A</v>
      </c>
      <c r="Y4265" s="81" t="e">
        <f>HLOOKUP(R4265,データについて!$J$12:$M$18,7,FALSE)</f>
        <v>#N/A</v>
      </c>
      <c r="Z4265" s="81" t="e">
        <f>HLOOKUP(I4265,データについて!$J$3:$M$18,16,FALSE)</f>
        <v>#N/A</v>
      </c>
      <c r="AA4265" s="81" t="str">
        <f>IFERROR(HLOOKUP(J4265,データについて!$J$4:$AH$19,16,FALSE),"")</f>
        <v/>
      </c>
      <c r="AB4265" s="81" t="str">
        <f>IFERROR(HLOOKUP(K4265,データについて!$J$5:$AH$20,14,FALSE),"")</f>
        <v/>
      </c>
      <c r="AC4265" s="81" t="e">
        <f>IF(X4265=1,HLOOKUP(R4265,データについて!$J$12:$M$18,7,FALSE),"*")</f>
        <v>#N/A</v>
      </c>
      <c r="AD4265" s="81" t="e">
        <f>IF(X4265=2,HLOOKUP(R4265,データについて!$J$12:$M$18,7,FALSE),"*")</f>
        <v>#N/A</v>
      </c>
    </row>
    <row r="4266" spans="19:30">
      <c r="S4266" s="81" t="e">
        <f>HLOOKUP(L4266,データについて!$J$6:$M$18,13,FALSE)</f>
        <v>#N/A</v>
      </c>
      <c r="T4266" s="81" t="e">
        <f>HLOOKUP(M4266,データについて!$J$7:$M$18,12,FALSE)</f>
        <v>#N/A</v>
      </c>
      <c r="U4266" s="81" t="e">
        <f>HLOOKUP(N4266,データについて!$J$8:$M$18,11,FALSE)</f>
        <v>#N/A</v>
      </c>
      <c r="V4266" s="81" t="e">
        <f>HLOOKUP(O4266,データについて!$J$9:$M$18,10,FALSE)</f>
        <v>#N/A</v>
      </c>
      <c r="W4266" s="81" t="e">
        <f>HLOOKUP(P4266,データについて!$J$10:$M$18,9,FALSE)</f>
        <v>#N/A</v>
      </c>
      <c r="X4266" s="81" t="e">
        <f>HLOOKUP(Q4266,データについて!$J$11:$M$18,8,FALSE)</f>
        <v>#N/A</v>
      </c>
      <c r="Y4266" s="81" t="e">
        <f>HLOOKUP(R4266,データについて!$J$12:$M$18,7,FALSE)</f>
        <v>#N/A</v>
      </c>
      <c r="Z4266" s="81" t="e">
        <f>HLOOKUP(I4266,データについて!$J$3:$M$18,16,FALSE)</f>
        <v>#N/A</v>
      </c>
      <c r="AA4266" s="81" t="str">
        <f>IFERROR(HLOOKUP(J4266,データについて!$J$4:$AH$19,16,FALSE),"")</f>
        <v/>
      </c>
      <c r="AB4266" s="81" t="str">
        <f>IFERROR(HLOOKUP(K4266,データについて!$J$5:$AH$20,14,FALSE),"")</f>
        <v/>
      </c>
      <c r="AC4266" s="81" t="e">
        <f>IF(X4266=1,HLOOKUP(R4266,データについて!$J$12:$M$18,7,FALSE),"*")</f>
        <v>#N/A</v>
      </c>
      <c r="AD4266" s="81" t="e">
        <f>IF(X4266=2,HLOOKUP(R4266,データについて!$J$12:$M$18,7,FALSE),"*")</f>
        <v>#N/A</v>
      </c>
    </row>
    <row r="4267" spans="19:30">
      <c r="S4267" s="81" t="e">
        <f>HLOOKUP(L4267,データについて!$J$6:$M$18,13,FALSE)</f>
        <v>#N/A</v>
      </c>
      <c r="T4267" s="81" t="e">
        <f>HLOOKUP(M4267,データについて!$J$7:$M$18,12,FALSE)</f>
        <v>#N/A</v>
      </c>
      <c r="U4267" s="81" t="e">
        <f>HLOOKUP(N4267,データについて!$J$8:$M$18,11,FALSE)</f>
        <v>#N/A</v>
      </c>
      <c r="V4267" s="81" t="e">
        <f>HLOOKUP(O4267,データについて!$J$9:$M$18,10,FALSE)</f>
        <v>#N/A</v>
      </c>
      <c r="W4267" s="81" t="e">
        <f>HLOOKUP(P4267,データについて!$J$10:$M$18,9,FALSE)</f>
        <v>#N/A</v>
      </c>
      <c r="X4267" s="81" t="e">
        <f>HLOOKUP(Q4267,データについて!$J$11:$M$18,8,FALSE)</f>
        <v>#N/A</v>
      </c>
      <c r="Y4267" s="81" t="e">
        <f>HLOOKUP(R4267,データについて!$J$12:$M$18,7,FALSE)</f>
        <v>#N/A</v>
      </c>
      <c r="Z4267" s="81" t="e">
        <f>HLOOKUP(I4267,データについて!$J$3:$M$18,16,FALSE)</f>
        <v>#N/A</v>
      </c>
      <c r="AA4267" s="81" t="str">
        <f>IFERROR(HLOOKUP(J4267,データについて!$J$4:$AH$19,16,FALSE),"")</f>
        <v/>
      </c>
      <c r="AB4267" s="81" t="str">
        <f>IFERROR(HLOOKUP(K4267,データについて!$J$5:$AH$20,14,FALSE),"")</f>
        <v/>
      </c>
      <c r="AC4267" s="81" t="e">
        <f>IF(X4267=1,HLOOKUP(R4267,データについて!$J$12:$M$18,7,FALSE),"*")</f>
        <v>#N/A</v>
      </c>
      <c r="AD4267" s="81" t="e">
        <f>IF(X4267=2,HLOOKUP(R4267,データについて!$J$12:$M$18,7,FALSE),"*")</f>
        <v>#N/A</v>
      </c>
    </row>
    <row r="4268" spans="19:30">
      <c r="S4268" s="81" t="e">
        <f>HLOOKUP(L4268,データについて!$J$6:$M$18,13,FALSE)</f>
        <v>#N/A</v>
      </c>
      <c r="T4268" s="81" t="e">
        <f>HLOOKUP(M4268,データについて!$J$7:$M$18,12,FALSE)</f>
        <v>#N/A</v>
      </c>
      <c r="U4268" s="81" t="e">
        <f>HLOOKUP(N4268,データについて!$J$8:$M$18,11,FALSE)</f>
        <v>#N/A</v>
      </c>
      <c r="V4268" s="81" t="e">
        <f>HLOOKUP(O4268,データについて!$J$9:$M$18,10,FALSE)</f>
        <v>#N/A</v>
      </c>
      <c r="W4268" s="81" t="e">
        <f>HLOOKUP(P4268,データについて!$J$10:$M$18,9,FALSE)</f>
        <v>#N/A</v>
      </c>
      <c r="X4268" s="81" t="e">
        <f>HLOOKUP(Q4268,データについて!$J$11:$M$18,8,FALSE)</f>
        <v>#N/A</v>
      </c>
      <c r="Y4268" s="81" t="e">
        <f>HLOOKUP(R4268,データについて!$J$12:$M$18,7,FALSE)</f>
        <v>#N/A</v>
      </c>
      <c r="Z4268" s="81" t="e">
        <f>HLOOKUP(I4268,データについて!$J$3:$M$18,16,FALSE)</f>
        <v>#N/A</v>
      </c>
      <c r="AA4268" s="81" t="str">
        <f>IFERROR(HLOOKUP(J4268,データについて!$J$4:$AH$19,16,FALSE),"")</f>
        <v/>
      </c>
      <c r="AB4268" s="81" t="str">
        <f>IFERROR(HLOOKUP(K4268,データについて!$J$5:$AH$20,14,FALSE),"")</f>
        <v/>
      </c>
      <c r="AC4268" s="81" t="e">
        <f>IF(X4268=1,HLOOKUP(R4268,データについて!$J$12:$M$18,7,FALSE),"*")</f>
        <v>#N/A</v>
      </c>
      <c r="AD4268" s="81" t="e">
        <f>IF(X4268=2,HLOOKUP(R4268,データについて!$J$12:$M$18,7,FALSE),"*")</f>
        <v>#N/A</v>
      </c>
    </row>
    <row r="4269" spans="19:30">
      <c r="S4269" s="81" t="e">
        <f>HLOOKUP(L4269,データについて!$J$6:$M$18,13,FALSE)</f>
        <v>#N/A</v>
      </c>
      <c r="T4269" s="81" t="e">
        <f>HLOOKUP(M4269,データについて!$J$7:$M$18,12,FALSE)</f>
        <v>#N/A</v>
      </c>
      <c r="U4269" s="81" t="e">
        <f>HLOOKUP(N4269,データについて!$J$8:$M$18,11,FALSE)</f>
        <v>#N/A</v>
      </c>
      <c r="V4269" s="81" t="e">
        <f>HLOOKUP(O4269,データについて!$J$9:$M$18,10,FALSE)</f>
        <v>#N/A</v>
      </c>
      <c r="W4269" s="81" t="e">
        <f>HLOOKUP(P4269,データについて!$J$10:$M$18,9,FALSE)</f>
        <v>#N/A</v>
      </c>
      <c r="X4269" s="81" t="e">
        <f>HLOOKUP(Q4269,データについて!$J$11:$M$18,8,FALSE)</f>
        <v>#N/A</v>
      </c>
      <c r="Y4269" s="81" t="e">
        <f>HLOOKUP(R4269,データについて!$J$12:$M$18,7,FALSE)</f>
        <v>#N/A</v>
      </c>
      <c r="Z4269" s="81" t="e">
        <f>HLOOKUP(I4269,データについて!$J$3:$M$18,16,FALSE)</f>
        <v>#N/A</v>
      </c>
      <c r="AA4269" s="81" t="str">
        <f>IFERROR(HLOOKUP(J4269,データについて!$J$4:$AH$19,16,FALSE),"")</f>
        <v/>
      </c>
      <c r="AB4269" s="81" t="str">
        <f>IFERROR(HLOOKUP(K4269,データについて!$J$5:$AH$20,14,FALSE),"")</f>
        <v/>
      </c>
      <c r="AC4269" s="81" t="e">
        <f>IF(X4269=1,HLOOKUP(R4269,データについて!$J$12:$M$18,7,FALSE),"*")</f>
        <v>#N/A</v>
      </c>
      <c r="AD4269" s="81" t="e">
        <f>IF(X4269=2,HLOOKUP(R4269,データについて!$J$12:$M$18,7,FALSE),"*")</f>
        <v>#N/A</v>
      </c>
    </row>
    <row r="4270" spans="19:30">
      <c r="S4270" s="81" t="e">
        <f>HLOOKUP(L4270,データについて!$J$6:$M$18,13,FALSE)</f>
        <v>#N/A</v>
      </c>
      <c r="T4270" s="81" t="e">
        <f>HLOOKUP(M4270,データについて!$J$7:$M$18,12,FALSE)</f>
        <v>#N/A</v>
      </c>
      <c r="U4270" s="81" t="e">
        <f>HLOOKUP(N4270,データについて!$J$8:$M$18,11,FALSE)</f>
        <v>#N/A</v>
      </c>
      <c r="V4270" s="81" t="e">
        <f>HLOOKUP(O4270,データについて!$J$9:$M$18,10,FALSE)</f>
        <v>#N/A</v>
      </c>
      <c r="W4270" s="81" t="e">
        <f>HLOOKUP(P4270,データについて!$J$10:$M$18,9,FALSE)</f>
        <v>#N/A</v>
      </c>
      <c r="X4270" s="81" t="e">
        <f>HLOOKUP(Q4270,データについて!$J$11:$M$18,8,FALSE)</f>
        <v>#N/A</v>
      </c>
      <c r="Y4270" s="81" t="e">
        <f>HLOOKUP(R4270,データについて!$J$12:$M$18,7,FALSE)</f>
        <v>#N/A</v>
      </c>
      <c r="Z4270" s="81" t="e">
        <f>HLOOKUP(I4270,データについて!$J$3:$M$18,16,FALSE)</f>
        <v>#N/A</v>
      </c>
      <c r="AA4270" s="81" t="str">
        <f>IFERROR(HLOOKUP(J4270,データについて!$J$4:$AH$19,16,FALSE),"")</f>
        <v/>
      </c>
      <c r="AB4270" s="81" t="str">
        <f>IFERROR(HLOOKUP(K4270,データについて!$J$5:$AH$20,14,FALSE),"")</f>
        <v/>
      </c>
      <c r="AC4270" s="81" t="e">
        <f>IF(X4270=1,HLOOKUP(R4270,データについて!$J$12:$M$18,7,FALSE),"*")</f>
        <v>#N/A</v>
      </c>
      <c r="AD4270" s="81" t="e">
        <f>IF(X4270=2,HLOOKUP(R4270,データについて!$J$12:$M$18,7,FALSE),"*")</f>
        <v>#N/A</v>
      </c>
    </row>
    <row r="4271" spans="19:30">
      <c r="S4271" s="81" t="e">
        <f>HLOOKUP(L4271,データについて!$J$6:$M$18,13,FALSE)</f>
        <v>#N/A</v>
      </c>
      <c r="T4271" s="81" t="e">
        <f>HLOOKUP(M4271,データについて!$J$7:$M$18,12,FALSE)</f>
        <v>#N/A</v>
      </c>
      <c r="U4271" s="81" t="e">
        <f>HLOOKUP(N4271,データについて!$J$8:$M$18,11,FALSE)</f>
        <v>#N/A</v>
      </c>
      <c r="V4271" s="81" t="e">
        <f>HLOOKUP(O4271,データについて!$J$9:$M$18,10,FALSE)</f>
        <v>#N/A</v>
      </c>
      <c r="W4271" s="81" t="e">
        <f>HLOOKUP(P4271,データについて!$J$10:$M$18,9,FALSE)</f>
        <v>#N/A</v>
      </c>
      <c r="X4271" s="81" t="e">
        <f>HLOOKUP(Q4271,データについて!$J$11:$M$18,8,FALSE)</f>
        <v>#N/A</v>
      </c>
      <c r="Y4271" s="81" t="e">
        <f>HLOOKUP(R4271,データについて!$J$12:$M$18,7,FALSE)</f>
        <v>#N/A</v>
      </c>
      <c r="Z4271" s="81" t="e">
        <f>HLOOKUP(I4271,データについて!$J$3:$M$18,16,FALSE)</f>
        <v>#N/A</v>
      </c>
      <c r="AA4271" s="81" t="str">
        <f>IFERROR(HLOOKUP(J4271,データについて!$J$4:$AH$19,16,FALSE),"")</f>
        <v/>
      </c>
      <c r="AB4271" s="81" t="str">
        <f>IFERROR(HLOOKUP(K4271,データについて!$J$5:$AH$20,14,FALSE),"")</f>
        <v/>
      </c>
      <c r="AC4271" s="81" t="e">
        <f>IF(X4271=1,HLOOKUP(R4271,データについて!$J$12:$M$18,7,FALSE),"*")</f>
        <v>#N/A</v>
      </c>
      <c r="AD4271" s="81" t="e">
        <f>IF(X4271=2,HLOOKUP(R4271,データについて!$J$12:$M$18,7,FALSE),"*")</f>
        <v>#N/A</v>
      </c>
    </row>
    <row r="4272" spans="19:30">
      <c r="S4272" s="81" t="e">
        <f>HLOOKUP(L4272,データについて!$J$6:$M$18,13,FALSE)</f>
        <v>#N/A</v>
      </c>
      <c r="T4272" s="81" t="e">
        <f>HLOOKUP(M4272,データについて!$J$7:$M$18,12,FALSE)</f>
        <v>#N/A</v>
      </c>
      <c r="U4272" s="81" t="e">
        <f>HLOOKUP(N4272,データについて!$J$8:$M$18,11,FALSE)</f>
        <v>#N/A</v>
      </c>
      <c r="V4272" s="81" t="e">
        <f>HLOOKUP(O4272,データについて!$J$9:$M$18,10,FALSE)</f>
        <v>#N/A</v>
      </c>
      <c r="W4272" s="81" t="e">
        <f>HLOOKUP(P4272,データについて!$J$10:$M$18,9,FALSE)</f>
        <v>#N/A</v>
      </c>
      <c r="X4272" s="81" t="e">
        <f>HLOOKUP(Q4272,データについて!$J$11:$M$18,8,FALSE)</f>
        <v>#N/A</v>
      </c>
      <c r="Y4272" s="81" t="e">
        <f>HLOOKUP(R4272,データについて!$J$12:$M$18,7,FALSE)</f>
        <v>#N/A</v>
      </c>
      <c r="Z4272" s="81" t="e">
        <f>HLOOKUP(I4272,データについて!$J$3:$M$18,16,FALSE)</f>
        <v>#N/A</v>
      </c>
      <c r="AA4272" s="81" t="str">
        <f>IFERROR(HLOOKUP(J4272,データについて!$J$4:$AH$19,16,FALSE),"")</f>
        <v/>
      </c>
      <c r="AB4272" s="81" t="str">
        <f>IFERROR(HLOOKUP(K4272,データについて!$J$5:$AH$20,14,FALSE),"")</f>
        <v/>
      </c>
      <c r="AC4272" s="81" t="e">
        <f>IF(X4272=1,HLOOKUP(R4272,データについて!$J$12:$M$18,7,FALSE),"*")</f>
        <v>#N/A</v>
      </c>
      <c r="AD4272" s="81" t="e">
        <f>IF(X4272=2,HLOOKUP(R4272,データについて!$J$12:$M$18,7,FALSE),"*")</f>
        <v>#N/A</v>
      </c>
    </row>
    <row r="4273" spans="19:30">
      <c r="S4273" s="81" t="e">
        <f>HLOOKUP(L4273,データについて!$J$6:$M$18,13,FALSE)</f>
        <v>#N/A</v>
      </c>
      <c r="T4273" s="81" t="e">
        <f>HLOOKUP(M4273,データについて!$J$7:$M$18,12,FALSE)</f>
        <v>#N/A</v>
      </c>
      <c r="U4273" s="81" t="e">
        <f>HLOOKUP(N4273,データについて!$J$8:$M$18,11,FALSE)</f>
        <v>#N/A</v>
      </c>
      <c r="V4273" s="81" t="e">
        <f>HLOOKUP(O4273,データについて!$J$9:$M$18,10,FALSE)</f>
        <v>#N/A</v>
      </c>
      <c r="W4273" s="81" t="e">
        <f>HLOOKUP(P4273,データについて!$J$10:$M$18,9,FALSE)</f>
        <v>#N/A</v>
      </c>
      <c r="X4273" s="81" t="e">
        <f>HLOOKUP(Q4273,データについて!$J$11:$M$18,8,FALSE)</f>
        <v>#N/A</v>
      </c>
      <c r="Y4273" s="81" t="e">
        <f>HLOOKUP(R4273,データについて!$J$12:$M$18,7,FALSE)</f>
        <v>#N/A</v>
      </c>
      <c r="Z4273" s="81" t="e">
        <f>HLOOKUP(I4273,データについて!$J$3:$M$18,16,FALSE)</f>
        <v>#N/A</v>
      </c>
      <c r="AA4273" s="81" t="str">
        <f>IFERROR(HLOOKUP(J4273,データについて!$J$4:$AH$19,16,FALSE),"")</f>
        <v/>
      </c>
      <c r="AB4273" s="81" t="str">
        <f>IFERROR(HLOOKUP(K4273,データについて!$J$5:$AH$20,14,FALSE),"")</f>
        <v/>
      </c>
      <c r="AC4273" s="81" t="e">
        <f>IF(X4273=1,HLOOKUP(R4273,データについて!$J$12:$M$18,7,FALSE),"*")</f>
        <v>#N/A</v>
      </c>
      <c r="AD4273" s="81" t="e">
        <f>IF(X4273=2,HLOOKUP(R4273,データについて!$J$12:$M$18,7,FALSE),"*")</f>
        <v>#N/A</v>
      </c>
    </row>
    <row r="4274" spans="19:30">
      <c r="S4274" s="81" t="e">
        <f>HLOOKUP(L4274,データについて!$J$6:$M$18,13,FALSE)</f>
        <v>#N/A</v>
      </c>
      <c r="T4274" s="81" t="e">
        <f>HLOOKUP(M4274,データについて!$J$7:$M$18,12,FALSE)</f>
        <v>#N/A</v>
      </c>
      <c r="U4274" s="81" t="e">
        <f>HLOOKUP(N4274,データについて!$J$8:$M$18,11,FALSE)</f>
        <v>#N/A</v>
      </c>
      <c r="V4274" s="81" t="e">
        <f>HLOOKUP(O4274,データについて!$J$9:$M$18,10,FALSE)</f>
        <v>#N/A</v>
      </c>
      <c r="W4274" s="81" t="e">
        <f>HLOOKUP(P4274,データについて!$J$10:$M$18,9,FALSE)</f>
        <v>#N/A</v>
      </c>
      <c r="X4274" s="81" t="e">
        <f>HLOOKUP(Q4274,データについて!$J$11:$M$18,8,FALSE)</f>
        <v>#N/A</v>
      </c>
      <c r="Y4274" s="81" t="e">
        <f>HLOOKUP(R4274,データについて!$J$12:$M$18,7,FALSE)</f>
        <v>#N/A</v>
      </c>
      <c r="Z4274" s="81" t="e">
        <f>HLOOKUP(I4274,データについて!$J$3:$M$18,16,FALSE)</f>
        <v>#N/A</v>
      </c>
      <c r="AA4274" s="81" t="str">
        <f>IFERROR(HLOOKUP(J4274,データについて!$J$4:$AH$19,16,FALSE),"")</f>
        <v/>
      </c>
      <c r="AB4274" s="81" t="str">
        <f>IFERROR(HLOOKUP(K4274,データについて!$J$5:$AH$20,14,FALSE),"")</f>
        <v/>
      </c>
      <c r="AC4274" s="81" t="e">
        <f>IF(X4274=1,HLOOKUP(R4274,データについて!$J$12:$M$18,7,FALSE),"*")</f>
        <v>#N/A</v>
      </c>
      <c r="AD4274" s="81" t="e">
        <f>IF(X4274=2,HLOOKUP(R4274,データについて!$J$12:$M$18,7,FALSE),"*")</f>
        <v>#N/A</v>
      </c>
    </row>
    <row r="4275" spans="19:30">
      <c r="S4275" s="81" t="e">
        <f>HLOOKUP(L4275,データについて!$J$6:$M$18,13,FALSE)</f>
        <v>#N/A</v>
      </c>
      <c r="T4275" s="81" t="e">
        <f>HLOOKUP(M4275,データについて!$J$7:$M$18,12,FALSE)</f>
        <v>#N/A</v>
      </c>
      <c r="U4275" s="81" t="e">
        <f>HLOOKUP(N4275,データについて!$J$8:$M$18,11,FALSE)</f>
        <v>#N/A</v>
      </c>
      <c r="V4275" s="81" t="e">
        <f>HLOOKUP(O4275,データについて!$J$9:$M$18,10,FALSE)</f>
        <v>#N/A</v>
      </c>
      <c r="W4275" s="81" t="e">
        <f>HLOOKUP(P4275,データについて!$J$10:$M$18,9,FALSE)</f>
        <v>#N/A</v>
      </c>
      <c r="X4275" s="81" t="e">
        <f>HLOOKUP(Q4275,データについて!$J$11:$M$18,8,FALSE)</f>
        <v>#N/A</v>
      </c>
      <c r="Y4275" s="81" t="e">
        <f>HLOOKUP(R4275,データについて!$J$12:$M$18,7,FALSE)</f>
        <v>#N/A</v>
      </c>
      <c r="Z4275" s="81" t="e">
        <f>HLOOKUP(I4275,データについて!$J$3:$M$18,16,FALSE)</f>
        <v>#N/A</v>
      </c>
      <c r="AA4275" s="81" t="str">
        <f>IFERROR(HLOOKUP(J4275,データについて!$J$4:$AH$19,16,FALSE),"")</f>
        <v/>
      </c>
      <c r="AB4275" s="81" t="str">
        <f>IFERROR(HLOOKUP(K4275,データについて!$J$5:$AH$20,14,FALSE),"")</f>
        <v/>
      </c>
      <c r="AC4275" s="81" t="e">
        <f>IF(X4275=1,HLOOKUP(R4275,データについて!$J$12:$M$18,7,FALSE),"*")</f>
        <v>#N/A</v>
      </c>
      <c r="AD4275" s="81" t="e">
        <f>IF(X4275=2,HLOOKUP(R4275,データについて!$J$12:$M$18,7,FALSE),"*")</f>
        <v>#N/A</v>
      </c>
    </row>
    <row r="4276" spans="19:30">
      <c r="S4276" s="81" t="e">
        <f>HLOOKUP(L4276,データについて!$J$6:$M$18,13,FALSE)</f>
        <v>#N/A</v>
      </c>
      <c r="T4276" s="81" t="e">
        <f>HLOOKUP(M4276,データについて!$J$7:$M$18,12,FALSE)</f>
        <v>#N/A</v>
      </c>
      <c r="U4276" s="81" t="e">
        <f>HLOOKUP(N4276,データについて!$J$8:$M$18,11,FALSE)</f>
        <v>#N/A</v>
      </c>
      <c r="V4276" s="81" t="e">
        <f>HLOOKUP(O4276,データについて!$J$9:$M$18,10,FALSE)</f>
        <v>#N/A</v>
      </c>
      <c r="W4276" s="81" t="e">
        <f>HLOOKUP(P4276,データについて!$J$10:$M$18,9,FALSE)</f>
        <v>#N/A</v>
      </c>
      <c r="X4276" s="81" t="e">
        <f>HLOOKUP(Q4276,データについて!$J$11:$M$18,8,FALSE)</f>
        <v>#N/A</v>
      </c>
      <c r="Y4276" s="81" t="e">
        <f>HLOOKUP(R4276,データについて!$J$12:$M$18,7,FALSE)</f>
        <v>#N/A</v>
      </c>
      <c r="Z4276" s="81" t="e">
        <f>HLOOKUP(I4276,データについて!$J$3:$M$18,16,FALSE)</f>
        <v>#N/A</v>
      </c>
      <c r="AA4276" s="81" t="str">
        <f>IFERROR(HLOOKUP(J4276,データについて!$J$4:$AH$19,16,FALSE),"")</f>
        <v/>
      </c>
      <c r="AB4276" s="81" t="str">
        <f>IFERROR(HLOOKUP(K4276,データについて!$J$5:$AH$20,14,FALSE),"")</f>
        <v/>
      </c>
      <c r="AC4276" s="81" t="e">
        <f>IF(X4276=1,HLOOKUP(R4276,データについて!$J$12:$M$18,7,FALSE),"*")</f>
        <v>#N/A</v>
      </c>
      <c r="AD4276" s="81" t="e">
        <f>IF(X4276=2,HLOOKUP(R4276,データについて!$J$12:$M$18,7,FALSE),"*")</f>
        <v>#N/A</v>
      </c>
    </row>
    <row r="4277" spans="19:30">
      <c r="S4277" s="81" t="e">
        <f>HLOOKUP(L4277,データについて!$J$6:$M$18,13,FALSE)</f>
        <v>#N/A</v>
      </c>
      <c r="T4277" s="81" t="e">
        <f>HLOOKUP(M4277,データについて!$J$7:$M$18,12,FALSE)</f>
        <v>#N/A</v>
      </c>
      <c r="U4277" s="81" t="e">
        <f>HLOOKUP(N4277,データについて!$J$8:$M$18,11,FALSE)</f>
        <v>#N/A</v>
      </c>
      <c r="V4277" s="81" t="e">
        <f>HLOOKUP(O4277,データについて!$J$9:$M$18,10,FALSE)</f>
        <v>#N/A</v>
      </c>
      <c r="W4277" s="81" t="e">
        <f>HLOOKUP(P4277,データについて!$J$10:$M$18,9,FALSE)</f>
        <v>#N/A</v>
      </c>
      <c r="X4277" s="81" t="e">
        <f>HLOOKUP(Q4277,データについて!$J$11:$M$18,8,FALSE)</f>
        <v>#N/A</v>
      </c>
      <c r="Y4277" s="81" t="e">
        <f>HLOOKUP(R4277,データについて!$J$12:$M$18,7,FALSE)</f>
        <v>#N/A</v>
      </c>
      <c r="Z4277" s="81" t="e">
        <f>HLOOKUP(I4277,データについて!$J$3:$M$18,16,FALSE)</f>
        <v>#N/A</v>
      </c>
      <c r="AA4277" s="81" t="str">
        <f>IFERROR(HLOOKUP(J4277,データについて!$J$4:$AH$19,16,FALSE),"")</f>
        <v/>
      </c>
      <c r="AB4277" s="81" t="str">
        <f>IFERROR(HLOOKUP(K4277,データについて!$J$5:$AH$20,14,FALSE),"")</f>
        <v/>
      </c>
      <c r="AC4277" s="81" t="e">
        <f>IF(X4277=1,HLOOKUP(R4277,データについて!$J$12:$M$18,7,FALSE),"*")</f>
        <v>#N/A</v>
      </c>
      <c r="AD4277" s="81" t="e">
        <f>IF(X4277=2,HLOOKUP(R4277,データについて!$J$12:$M$18,7,FALSE),"*")</f>
        <v>#N/A</v>
      </c>
    </row>
    <row r="4278" spans="19:30">
      <c r="S4278" s="81" t="e">
        <f>HLOOKUP(L4278,データについて!$J$6:$M$18,13,FALSE)</f>
        <v>#N/A</v>
      </c>
      <c r="T4278" s="81" t="e">
        <f>HLOOKUP(M4278,データについて!$J$7:$M$18,12,FALSE)</f>
        <v>#N/A</v>
      </c>
      <c r="U4278" s="81" t="e">
        <f>HLOOKUP(N4278,データについて!$J$8:$M$18,11,FALSE)</f>
        <v>#N/A</v>
      </c>
      <c r="V4278" s="81" t="e">
        <f>HLOOKUP(O4278,データについて!$J$9:$M$18,10,FALSE)</f>
        <v>#N/A</v>
      </c>
      <c r="W4278" s="81" t="e">
        <f>HLOOKUP(P4278,データについて!$J$10:$M$18,9,FALSE)</f>
        <v>#N/A</v>
      </c>
      <c r="X4278" s="81" t="e">
        <f>HLOOKUP(Q4278,データについて!$J$11:$M$18,8,FALSE)</f>
        <v>#N/A</v>
      </c>
      <c r="Y4278" s="81" t="e">
        <f>HLOOKUP(R4278,データについて!$J$12:$M$18,7,FALSE)</f>
        <v>#N/A</v>
      </c>
      <c r="Z4278" s="81" t="e">
        <f>HLOOKUP(I4278,データについて!$J$3:$M$18,16,FALSE)</f>
        <v>#N/A</v>
      </c>
      <c r="AA4278" s="81" t="str">
        <f>IFERROR(HLOOKUP(J4278,データについて!$J$4:$AH$19,16,FALSE),"")</f>
        <v/>
      </c>
      <c r="AB4278" s="81" t="str">
        <f>IFERROR(HLOOKUP(K4278,データについて!$J$5:$AH$20,14,FALSE),"")</f>
        <v/>
      </c>
      <c r="AC4278" s="81" t="e">
        <f>IF(X4278=1,HLOOKUP(R4278,データについて!$J$12:$M$18,7,FALSE),"*")</f>
        <v>#N/A</v>
      </c>
      <c r="AD4278" s="81" t="e">
        <f>IF(X4278=2,HLOOKUP(R4278,データについて!$J$12:$M$18,7,FALSE),"*")</f>
        <v>#N/A</v>
      </c>
    </row>
    <row r="4279" spans="19:30">
      <c r="S4279" s="81" t="e">
        <f>HLOOKUP(L4279,データについて!$J$6:$M$18,13,FALSE)</f>
        <v>#N/A</v>
      </c>
      <c r="T4279" s="81" t="e">
        <f>HLOOKUP(M4279,データについて!$J$7:$M$18,12,FALSE)</f>
        <v>#N/A</v>
      </c>
      <c r="U4279" s="81" t="e">
        <f>HLOOKUP(N4279,データについて!$J$8:$M$18,11,FALSE)</f>
        <v>#N/A</v>
      </c>
      <c r="V4279" s="81" t="e">
        <f>HLOOKUP(O4279,データについて!$J$9:$M$18,10,FALSE)</f>
        <v>#N/A</v>
      </c>
      <c r="W4279" s="81" t="e">
        <f>HLOOKUP(P4279,データについて!$J$10:$M$18,9,FALSE)</f>
        <v>#N/A</v>
      </c>
      <c r="X4279" s="81" t="e">
        <f>HLOOKUP(Q4279,データについて!$J$11:$M$18,8,FALSE)</f>
        <v>#N/A</v>
      </c>
      <c r="Y4279" s="81" t="e">
        <f>HLOOKUP(R4279,データについて!$J$12:$M$18,7,FALSE)</f>
        <v>#N/A</v>
      </c>
      <c r="Z4279" s="81" t="e">
        <f>HLOOKUP(I4279,データについて!$J$3:$M$18,16,FALSE)</f>
        <v>#N/A</v>
      </c>
      <c r="AA4279" s="81" t="str">
        <f>IFERROR(HLOOKUP(J4279,データについて!$J$4:$AH$19,16,FALSE),"")</f>
        <v/>
      </c>
      <c r="AB4279" s="81" t="str">
        <f>IFERROR(HLOOKUP(K4279,データについて!$J$5:$AH$20,14,FALSE),"")</f>
        <v/>
      </c>
      <c r="AC4279" s="81" t="e">
        <f>IF(X4279=1,HLOOKUP(R4279,データについて!$J$12:$M$18,7,FALSE),"*")</f>
        <v>#N/A</v>
      </c>
      <c r="AD4279" s="81" t="e">
        <f>IF(X4279=2,HLOOKUP(R4279,データについて!$J$12:$M$18,7,FALSE),"*")</f>
        <v>#N/A</v>
      </c>
    </row>
    <row r="4280" spans="19:30">
      <c r="S4280" s="81" t="e">
        <f>HLOOKUP(L4280,データについて!$J$6:$M$18,13,FALSE)</f>
        <v>#N/A</v>
      </c>
      <c r="T4280" s="81" t="e">
        <f>HLOOKUP(M4280,データについて!$J$7:$M$18,12,FALSE)</f>
        <v>#N/A</v>
      </c>
      <c r="U4280" s="81" t="e">
        <f>HLOOKUP(N4280,データについて!$J$8:$M$18,11,FALSE)</f>
        <v>#N/A</v>
      </c>
      <c r="V4280" s="81" t="e">
        <f>HLOOKUP(O4280,データについて!$J$9:$M$18,10,FALSE)</f>
        <v>#N/A</v>
      </c>
      <c r="W4280" s="81" t="e">
        <f>HLOOKUP(P4280,データについて!$J$10:$M$18,9,FALSE)</f>
        <v>#N/A</v>
      </c>
      <c r="X4280" s="81" t="e">
        <f>HLOOKUP(Q4280,データについて!$J$11:$M$18,8,FALSE)</f>
        <v>#N/A</v>
      </c>
      <c r="Y4280" s="81" t="e">
        <f>HLOOKUP(R4280,データについて!$J$12:$M$18,7,FALSE)</f>
        <v>#N/A</v>
      </c>
      <c r="Z4280" s="81" t="e">
        <f>HLOOKUP(I4280,データについて!$J$3:$M$18,16,FALSE)</f>
        <v>#N/A</v>
      </c>
      <c r="AA4280" s="81" t="str">
        <f>IFERROR(HLOOKUP(J4280,データについて!$J$4:$AH$19,16,FALSE),"")</f>
        <v/>
      </c>
      <c r="AB4280" s="81" t="str">
        <f>IFERROR(HLOOKUP(K4280,データについて!$J$5:$AH$20,14,FALSE),"")</f>
        <v/>
      </c>
      <c r="AC4280" s="81" t="e">
        <f>IF(X4280=1,HLOOKUP(R4280,データについて!$J$12:$M$18,7,FALSE),"*")</f>
        <v>#N/A</v>
      </c>
      <c r="AD4280" s="81" t="e">
        <f>IF(X4280=2,HLOOKUP(R4280,データについて!$J$12:$M$18,7,FALSE),"*")</f>
        <v>#N/A</v>
      </c>
    </row>
    <row r="4281" spans="19:30">
      <c r="S4281" s="81" t="e">
        <f>HLOOKUP(L4281,データについて!$J$6:$M$18,13,FALSE)</f>
        <v>#N/A</v>
      </c>
      <c r="T4281" s="81" t="e">
        <f>HLOOKUP(M4281,データについて!$J$7:$M$18,12,FALSE)</f>
        <v>#N/A</v>
      </c>
      <c r="U4281" s="81" t="e">
        <f>HLOOKUP(N4281,データについて!$J$8:$M$18,11,FALSE)</f>
        <v>#N/A</v>
      </c>
      <c r="V4281" s="81" t="e">
        <f>HLOOKUP(O4281,データについて!$J$9:$M$18,10,FALSE)</f>
        <v>#N/A</v>
      </c>
      <c r="W4281" s="81" t="e">
        <f>HLOOKUP(P4281,データについて!$J$10:$M$18,9,FALSE)</f>
        <v>#N/A</v>
      </c>
      <c r="X4281" s="81" t="e">
        <f>HLOOKUP(Q4281,データについて!$J$11:$M$18,8,FALSE)</f>
        <v>#N/A</v>
      </c>
      <c r="Y4281" s="81" t="e">
        <f>HLOOKUP(R4281,データについて!$J$12:$M$18,7,FALSE)</f>
        <v>#N/A</v>
      </c>
      <c r="Z4281" s="81" t="e">
        <f>HLOOKUP(I4281,データについて!$J$3:$M$18,16,FALSE)</f>
        <v>#N/A</v>
      </c>
      <c r="AA4281" s="81" t="str">
        <f>IFERROR(HLOOKUP(J4281,データについて!$J$4:$AH$19,16,FALSE),"")</f>
        <v/>
      </c>
      <c r="AB4281" s="81" t="str">
        <f>IFERROR(HLOOKUP(K4281,データについて!$J$5:$AH$20,14,FALSE),"")</f>
        <v/>
      </c>
      <c r="AC4281" s="81" t="e">
        <f>IF(X4281=1,HLOOKUP(R4281,データについて!$J$12:$M$18,7,FALSE),"*")</f>
        <v>#N/A</v>
      </c>
      <c r="AD4281" s="81" t="e">
        <f>IF(X4281=2,HLOOKUP(R4281,データについて!$J$12:$M$18,7,FALSE),"*")</f>
        <v>#N/A</v>
      </c>
    </row>
    <row r="4282" spans="19:30">
      <c r="S4282" s="81" t="e">
        <f>HLOOKUP(L4282,データについて!$J$6:$M$18,13,FALSE)</f>
        <v>#N/A</v>
      </c>
      <c r="T4282" s="81" t="e">
        <f>HLOOKUP(M4282,データについて!$J$7:$M$18,12,FALSE)</f>
        <v>#N/A</v>
      </c>
      <c r="U4282" s="81" t="e">
        <f>HLOOKUP(N4282,データについて!$J$8:$M$18,11,FALSE)</f>
        <v>#N/A</v>
      </c>
      <c r="V4282" s="81" t="e">
        <f>HLOOKUP(O4282,データについて!$J$9:$M$18,10,FALSE)</f>
        <v>#N/A</v>
      </c>
      <c r="W4282" s="81" t="e">
        <f>HLOOKUP(P4282,データについて!$J$10:$M$18,9,FALSE)</f>
        <v>#N/A</v>
      </c>
      <c r="X4282" s="81" t="e">
        <f>HLOOKUP(Q4282,データについて!$J$11:$M$18,8,FALSE)</f>
        <v>#N/A</v>
      </c>
      <c r="Y4282" s="81" t="e">
        <f>HLOOKUP(R4282,データについて!$J$12:$M$18,7,FALSE)</f>
        <v>#N/A</v>
      </c>
      <c r="Z4282" s="81" t="e">
        <f>HLOOKUP(I4282,データについて!$J$3:$M$18,16,FALSE)</f>
        <v>#N/A</v>
      </c>
      <c r="AA4282" s="81" t="str">
        <f>IFERROR(HLOOKUP(J4282,データについて!$J$4:$AH$19,16,FALSE),"")</f>
        <v/>
      </c>
      <c r="AB4282" s="81" t="str">
        <f>IFERROR(HLOOKUP(K4282,データについて!$J$5:$AH$20,14,FALSE),"")</f>
        <v/>
      </c>
      <c r="AC4282" s="81" t="e">
        <f>IF(X4282=1,HLOOKUP(R4282,データについて!$J$12:$M$18,7,FALSE),"*")</f>
        <v>#N/A</v>
      </c>
      <c r="AD4282" s="81" t="e">
        <f>IF(X4282=2,HLOOKUP(R4282,データについて!$J$12:$M$18,7,FALSE),"*")</f>
        <v>#N/A</v>
      </c>
    </row>
    <row r="4283" spans="19:30">
      <c r="S4283" s="81" t="e">
        <f>HLOOKUP(L4283,データについて!$J$6:$M$18,13,FALSE)</f>
        <v>#N/A</v>
      </c>
      <c r="T4283" s="81" t="e">
        <f>HLOOKUP(M4283,データについて!$J$7:$M$18,12,FALSE)</f>
        <v>#N/A</v>
      </c>
      <c r="U4283" s="81" t="e">
        <f>HLOOKUP(N4283,データについて!$J$8:$M$18,11,FALSE)</f>
        <v>#N/A</v>
      </c>
      <c r="V4283" s="81" t="e">
        <f>HLOOKUP(O4283,データについて!$J$9:$M$18,10,FALSE)</f>
        <v>#N/A</v>
      </c>
      <c r="W4283" s="81" t="e">
        <f>HLOOKUP(P4283,データについて!$J$10:$M$18,9,FALSE)</f>
        <v>#N/A</v>
      </c>
      <c r="X4283" s="81" t="e">
        <f>HLOOKUP(Q4283,データについて!$J$11:$M$18,8,FALSE)</f>
        <v>#N/A</v>
      </c>
      <c r="Y4283" s="81" t="e">
        <f>HLOOKUP(R4283,データについて!$J$12:$M$18,7,FALSE)</f>
        <v>#N/A</v>
      </c>
      <c r="Z4283" s="81" t="e">
        <f>HLOOKUP(I4283,データについて!$J$3:$M$18,16,FALSE)</f>
        <v>#N/A</v>
      </c>
      <c r="AA4283" s="81" t="str">
        <f>IFERROR(HLOOKUP(J4283,データについて!$J$4:$AH$19,16,FALSE),"")</f>
        <v/>
      </c>
      <c r="AB4283" s="81" t="str">
        <f>IFERROR(HLOOKUP(K4283,データについて!$J$5:$AH$20,14,FALSE),"")</f>
        <v/>
      </c>
      <c r="AC4283" s="81" t="e">
        <f>IF(X4283=1,HLOOKUP(R4283,データについて!$J$12:$M$18,7,FALSE),"*")</f>
        <v>#N/A</v>
      </c>
      <c r="AD4283" s="81" t="e">
        <f>IF(X4283=2,HLOOKUP(R4283,データについて!$J$12:$M$18,7,FALSE),"*")</f>
        <v>#N/A</v>
      </c>
    </row>
    <row r="4284" spans="19:30">
      <c r="S4284" s="81" t="e">
        <f>HLOOKUP(L4284,データについて!$J$6:$M$18,13,FALSE)</f>
        <v>#N/A</v>
      </c>
      <c r="T4284" s="81" t="e">
        <f>HLOOKUP(M4284,データについて!$J$7:$M$18,12,FALSE)</f>
        <v>#N/A</v>
      </c>
      <c r="U4284" s="81" t="e">
        <f>HLOOKUP(N4284,データについて!$J$8:$M$18,11,FALSE)</f>
        <v>#N/A</v>
      </c>
      <c r="V4284" s="81" t="e">
        <f>HLOOKUP(O4284,データについて!$J$9:$M$18,10,FALSE)</f>
        <v>#N/A</v>
      </c>
      <c r="W4284" s="81" t="e">
        <f>HLOOKUP(P4284,データについて!$J$10:$M$18,9,FALSE)</f>
        <v>#N/A</v>
      </c>
      <c r="X4284" s="81" t="e">
        <f>HLOOKUP(Q4284,データについて!$J$11:$M$18,8,FALSE)</f>
        <v>#N/A</v>
      </c>
      <c r="Y4284" s="81" t="e">
        <f>HLOOKUP(R4284,データについて!$J$12:$M$18,7,FALSE)</f>
        <v>#N/A</v>
      </c>
      <c r="Z4284" s="81" t="e">
        <f>HLOOKUP(I4284,データについて!$J$3:$M$18,16,FALSE)</f>
        <v>#N/A</v>
      </c>
      <c r="AA4284" s="81" t="str">
        <f>IFERROR(HLOOKUP(J4284,データについて!$J$4:$AH$19,16,FALSE),"")</f>
        <v/>
      </c>
      <c r="AB4284" s="81" t="str">
        <f>IFERROR(HLOOKUP(K4284,データについて!$J$5:$AH$20,14,FALSE),"")</f>
        <v/>
      </c>
      <c r="AC4284" s="81" t="e">
        <f>IF(X4284=1,HLOOKUP(R4284,データについて!$J$12:$M$18,7,FALSE),"*")</f>
        <v>#N/A</v>
      </c>
      <c r="AD4284" s="81" t="e">
        <f>IF(X4284=2,HLOOKUP(R4284,データについて!$J$12:$M$18,7,FALSE),"*")</f>
        <v>#N/A</v>
      </c>
    </row>
    <row r="4285" spans="19:30">
      <c r="S4285" s="81" t="e">
        <f>HLOOKUP(L4285,データについて!$J$6:$M$18,13,FALSE)</f>
        <v>#N/A</v>
      </c>
      <c r="T4285" s="81" t="e">
        <f>HLOOKUP(M4285,データについて!$J$7:$M$18,12,FALSE)</f>
        <v>#N/A</v>
      </c>
      <c r="U4285" s="81" t="e">
        <f>HLOOKUP(N4285,データについて!$J$8:$M$18,11,FALSE)</f>
        <v>#N/A</v>
      </c>
      <c r="V4285" s="81" t="e">
        <f>HLOOKUP(O4285,データについて!$J$9:$M$18,10,FALSE)</f>
        <v>#N/A</v>
      </c>
      <c r="W4285" s="81" t="e">
        <f>HLOOKUP(P4285,データについて!$J$10:$M$18,9,FALSE)</f>
        <v>#N/A</v>
      </c>
      <c r="X4285" s="81" t="e">
        <f>HLOOKUP(Q4285,データについて!$J$11:$M$18,8,FALSE)</f>
        <v>#N/A</v>
      </c>
      <c r="Y4285" s="81" t="e">
        <f>HLOOKUP(R4285,データについて!$J$12:$M$18,7,FALSE)</f>
        <v>#N/A</v>
      </c>
      <c r="Z4285" s="81" t="e">
        <f>HLOOKUP(I4285,データについて!$J$3:$M$18,16,FALSE)</f>
        <v>#N/A</v>
      </c>
      <c r="AA4285" s="81" t="str">
        <f>IFERROR(HLOOKUP(J4285,データについて!$J$4:$AH$19,16,FALSE),"")</f>
        <v/>
      </c>
      <c r="AB4285" s="81" t="str">
        <f>IFERROR(HLOOKUP(K4285,データについて!$J$5:$AH$20,14,FALSE),"")</f>
        <v/>
      </c>
      <c r="AC4285" s="81" t="e">
        <f>IF(X4285=1,HLOOKUP(R4285,データについて!$J$12:$M$18,7,FALSE),"*")</f>
        <v>#N/A</v>
      </c>
      <c r="AD4285" s="81" t="e">
        <f>IF(X4285=2,HLOOKUP(R4285,データについて!$J$12:$M$18,7,FALSE),"*")</f>
        <v>#N/A</v>
      </c>
    </row>
    <row r="4286" spans="19:30">
      <c r="S4286" s="81" t="e">
        <f>HLOOKUP(L4286,データについて!$J$6:$M$18,13,FALSE)</f>
        <v>#N/A</v>
      </c>
      <c r="T4286" s="81" t="e">
        <f>HLOOKUP(M4286,データについて!$J$7:$M$18,12,FALSE)</f>
        <v>#N/A</v>
      </c>
      <c r="U4286" s="81" t="e">
        <f>HLOOKUP(N4286,データについて!$J$8:$M$18,11,FALSE)</f>
        <v>#N/A</v>
      </c>
      <c r="V4286" s="81" t="e">
        <f>HLOOKUP(O4286,データについて!$J$9:$M$18,10,FALSE)</f>
        <v>#N/A</v>
      </c>
      <c r="W4286" s="81" t="e">
        <f>HLOOKUP(P4286,データについて!$J$10:$M$18,9,FALSE)</f>
        <v>#N/A</v>
      </c>
      <c r="X4286" s="81" t="e">
        <f>HLOOKUP(Q4286,データについて!$J$11:$M$18,8,FALSE)</f>
        <v>#N/A</v>
      </c>
      <c r="Y4286" s="81" t="e">
        <f>HLOOKUP(R4286,データについて!$J$12:$M$18,7,FALSE)</f>
        <v>#N/A</v>
      </c>
      <c r="Z4286" s="81" t="e">
        <f>HLOOKUP(I4286,データについて!$J$3:$M$18,16,FALSE)</f>
        <v>#N/A</v>
      </c>
      <c r="AA4286" s="81" t="str">
        <f>IFERROR(HLOOKUP(J4286,データについて!$J$4:$AH$19,16,FALSE),"")</f>
        <v/>
      </c>
      <c r="AB4286" s="81" t="str">
        <f>IFERROR(HLOOKUP(K4286,データについて!$J$5:$AH$20,14,FALSE),"")</f>
        <v/>
      </c>
      <c r="AC4286" s="81" t="e">
        <f>IF(X4286=1,HLOOKUP(R4286,データについて!$J$12:$M$18,7,FALSE),"*")</f>
        <v>#N/A</v>
      </c>
      <c r="AD4286" s="81" t="e">
        <f>IF(X4286=2,HLOOKUP(R4286,データについて!$J$12:$M$18,7,FALSE),"*")</f>
        <v>#N/A</v>
      </c>
    </row>
    <row r="4287" spans="19:30">
      <c r="S4287" s="81" t="e">
        <f>HLOOKUP(L4287,データについて!$J$6:$M$18,13,FALSE)</f>
        <v>#N/A</v>
      </c>
      <c r="T4287" s="81" t="e">
        <f>HLOOKUP(M4287,データについて!$J$7:$M$18,12,FALSE)</f>
        <v>#N/A</v>
      </c>
      <c r="U4287" s="81" t="e">
        <f>HLOOKUP(N4287,データについて!$J$8:$M$18,11,FALSE)</f>
        <v>#N/A</v>
      </c>
      <c r="V4287" s="81" t="e">
        <f>HLOOKUP(O4287,データについて!$J$9:$M$18,10,FALSE)</f>
        <v>#N/A</v>
      </c>
      <c r="W4287" s="81" t="e">
        <f>HLOOKUP(P4287,データについて!$J$10:$M$18,9,FALSE)</f>
        <v>#N/A</v>
      </c>
      <c r="X4287" s="81" t="e">
        <f>HLOOKUP(Q4287,データについて!$J$11:$M$18,8,FALSE)</f>
        <v>#N/A</v>
      </c>
      <c r="Y4287" s="81" t="e">
        <f>HLOOKUP(R4287,データについて!$J$12:$M$18,7,FALSE)</f>
        <v>#N/A</v>
      </c>
      <c r="Z4287" s="81" t="e">
        <f>HLOOKUP(I4287,データについて!$J$3:$M$18,16,FALSE)</f>
        <v>#N/A</v>
      </c>
      <c r="AA4287" s="81" t="str">
        <f>IFERROR(HLOOKUP(J4287,データについて!$J$4:$AH$19,16,FALSE),"")</f>
        <v/>
      </c>
      <c r="AB4287" s="81" t="str">
        <f>IFERROR(HLOOKUP(K4287,データについて!$J$5:$AH$20,14,FALSE),"")</f>
        <v/>
      </c>
      <c r="AC4287" s="81" t="e">
        <f>IF(X4287=1,HLOOKUP(R4287,データについて!$J$12:$M$18,7,FALSE),"*")</f>
        <v>#N/A</v>
      </c>
      <c r="AD4287" s="81" t="e">
        <f>IF(X4287=2,HLOOKUP(R4287,データについて!$J$12:$M$18,7,FALSE),"*")</f>
        <v>#N/A</v>
      </c>
    </row>
    <row r="4288" spans="19:30">
      <c r="S4288" s="81" t="e">
        <f>HLOOKUP(L4288,データについて!$J$6:$M$18,13,FALSE)</f>
        <v>#N/A</v>
      </c>
      <c r="T4288" s="81" t="e">
        <f>HLOOKUP(M4288,データについて!$J$7:$M$18,12,FALSE)</f>
        <v>#N/A</v>
      </c>
      <c r="U4288" s="81" t="e">
        <f>HLOOKUP(N4288,データについて!$J$8:$M$18,11,FALSE)</f>
        <v>#N/A</v>
      </c>
      <c r="V4288" s="81" t="e">
        <f>HLOOKUP(O4288,データについて!$J$9:$M$18,10,FALSE)</f>
        <v>#N/A</v>
      </c>
      <c r="W4288" s="81" t="e">
        <f>HLOOKUP(P4288,データについて!$J$10:$M$18,9,FALSE)</f>
        <v>#N/A</v>
      </c>
      <c r="X4288" s="81" t="e">
        <f>HLOOKUP(Q4288,データについて!$J$11:$M$18,8,FALSE)</f>
        <v>#N/A</v>
      </c>
      <c r="Y4288" s="81" t="e">
        <f>HLOOKUP(R4288,データについて!$J$12:$M$18,7,FALSE)</f>
        <v>#N/A</v>
      </c>
      <c r="Z4288" s="81" t="e">
        <f>HLOOKUP(I4288,データについて!$J$3:$M$18,16,FALSE)</f>
        <v>#N/A</v>
      </c>
      <c r="AA4288" s="81" t="str">
        <f>IFERROR(HLOOKUP(J4288,データについて!$J$4:$AH$19,16,FALSE),"")</f>
        <v/>
      </c>
      <c r="AB4288" s="81" t="str">
        <f>IFERROR(HLOOKUP(K4288,データについて!$J$5:$AH$20,14,FALSE),"")</f>
        <v/>
      </c>
      <c r="AC4288" s="81" t="e">
        <f>IF(X4288=1,HLOOKUP(R4288,データについて!$J$12:$M$18,7,FALSE),"*")</f>
        <v>#N/A</v>
      </c>
      <c r="AD4288" s="81" t="e">
        <f>IF(X4288=2,HLOOKUP(R4288,データについて!$J$12:$M$18,7,FALSE),"*")</f>
        <v>#N/A</v>
      </c>
    </row>
    <row r="4289" spans="19:30">
      <c r="S4289" s="81" t="e">
        <f>HLOOKUP(L4289,データについて!$J$6:$M$18,13,FALSE)</f>
        <v>#N/A</v>
      </c>
      <c r="T4289" s="81" t="e">
        <f>HLOOKUP(M4289,データについて!$J$7:$M$18,12,FALSE)</f>
        <v>#N/A</v>
      </c>
      <c r="U4289" s="81" t="e">
        <f>HLOOKUP(N4289,データについて!$J$8:$M$18,11,FALSE)</f>
        <v>#N/A</v>
      </c>
      <c r="V4289" s="81" t="e">
        <f>HLOOKUP(O4289,データについて!$J$9:$M$18,10,FALSE)</f>
        <v>#N/A</v>
      </c>
      <c r="W4289" s="81" t="e">
        <f>HLOOKUP(P4289,データについて!$J$10:$M$18,9,FALSE)</f>
        <v>#N/A</v>
      </c>
      <c r="X4289" s="81" t="e">
        <f>HLOOKUP(Q4289,データについて!$J$11:$M$18,8,FALSE)</f>
        <v>#N/A</v>
      </c>
      <c r="Y4289" s="81" t="e">
        <f>HLOOKUP(R4289,データについて!$J$12:$M$18,7,FALSE)</f>
        <v>#N/A</v>
      </c>
      <c r="Z4289" s="81" t="e">
        <f>HLOOKUP(I4289,データについて!$J$3:$M$18,16,FALSE)</f>
        <v>#N/A</v>
      </c>
      <c r="AA4289" s="81" t="str">
        <f>IFERROR(HLOOKUP(J4289,データについて!$J$4:$AH$19,16,FALSE),"")</f>
        <v/>
      </c>
      <c r="AB4289" s="81" t="str">
        <f>IFERROR(HLOOKUP(K4289,データについて!$J$5:$AH$20,14,FALSE),"")</f>
        <v/>
      </c>
      <c r="AC4289" s="81" t="e">
        <f>IF(X4289=1,HLOOKUP(R4289,データについて!$J$12:$M$18,7,FALSE),"*")</f>
        <v>#N/A</v>
      </c>
      <c r="AD4289" s="81" t="e">
        <f>IF(X4289=2,HLOOKUP(R4289,データについて!$J$12:$M$18,7,FALSE),"*")</f>
        <v>#N/A</v>
      </c>
    </row>
    <row r="4290" spans="19:30">
      <c r="S4290" s="81" t="e">
        <f>HLOOKUP(L4290,データについて!$J$6:$M$18,13,FALSE)</f>
        <v>#N/A</v>
      </c>
      <c r="T4290" s="81" t="e">
        <f>HLOOKUP(M4290,データについて!$J$7:$M$18,12,FALSE)</f>
        <v>#N/A</v>
      </c>
      <c r="U4290" s="81" t="e">
        <f>HLOOKUP(N4290,データについて!$J$8:$M$18,11,FALSE)</f>
        <v>#N/A</v>
      </c>
      <c r="V4290" s="81" t="e">
        <f>HLOOKUP(O4290,データについて!$J$9:$M$18,10,FALSE)</f>
        <v>#N/A</v>
      </c>
      <c r="W4290" s="81" t="e">
        <f>HLOOKUP(P4290,データについて!$J$10:$M$18,9,FALSE)</f>
        <v>#N/A</v>
      </c>
      <c r="X4290" s="81" t="e">
        <f>HLOOKUP(Q4290,データについて!$J$11:$M$18,8,FALSE)</f>
        <v>#N/A</v>
      </c>
      <c r="Y4290" s="81" t="e">
        <f>HLOOKUP(R4290,データについて!$J$12:$M$18,7,FALSE)</f>
        <v>#N/A</v>
      </c>
      <c r="Z4290" s="81" t="e">
        <f>HLOOKUP(I4290,データについて!$J$3:$M$18,16,FALSE)</f>
        <v>#N/A</v>
      </c>
      <c r="AA4290" s="81" t="str">
        <f>IFERROR(HLOOKUP(J4290,データについて!$J$4:$AH$19,16,FALSE),"")</f>
        <v/>
      </c>
      <c r="AB4290" s="81" t="str">
        <f>IFERROR(HLOOKUP(K4290,データについて!$J$5:$AH$20,14,FALSE),"")</f>
        <v/>
      </c>
      <c r="AC4290" s="81" t="e">
        <f>IF(X4290=1,HLOOKUP(R4290,データについて!$J$12:$M$18,7,FALSE),"*")</f>
        <v>#N/A</v>
      </c>
      <c r="AD4290" s="81" t="e">
        <f>IF(X4290=2,HLOOKUP(R4290,データについて!$J$12:$M$18,7,FALSE),"*")</f>
        <v>#N/A</v>
      </c>
    </row>
    <row r="4291" spans="19:30">
      <c r="S4291" s="81" t="e">
        <f>HLOOKUP(L4291,データについて!$J$6:$M$18,13,FALSE)</f>
        <v>#N/A</v>
      </c>
      <c r="T4291" s="81" t="e">
        <f>HLOOKUP(M4291,データについて!$J$7:$M$18,12,FALSE)</f>
        <v>#N/A</v>
      </c>
      <c r="U4291" s="81" t="e">
        <f>HLOOKUP(N4291,データについて!$J$8:$M$18,11,FALSE)</f>
        <v>#N/A</v>
      </c>
      <c r="V4291" s="81" t="e">
        <f>HLOOKUP(O4291,データについて!$J$9:$M$18,10,FALSE)</f>
        <v>#N/A</v>
      </c>
      <c r="W4291" s="81" t="e">
        <f>HLOOKUP(P4291,データについて!$J$10:$M$18,9,FALSE)</f>
        <v>#N/A</v>
      </c>
      <c r="X4291" s="81" t="e">
        <f>HLOOKUP(Q4291,データについて!$J$11:$M$18,8,FALSE)</f>
        <v>#N/A</v>
      </c>
      <c r="Y4291" s="81" t="e">
        <f>HLOOKUP(R4291,データについて!$J$12:$M$18,7,FALSE)</f>
        <v>#N/A</v>
      </c>
      <c r="Z4291" s="81" t="e">
        <f>HLOOKUP(I4291,データについて!$J$3:$M$18,16,FALSE)</f>
        <v>#N/A</v>
      </c>
      <c r="AA4291" s="81" t="str">
        <f>IFERROR(HLOOKUP(J4291,データについて!$J$4:$AH$19,16,FALSE),"")</f>
        <v/>
      </c>
      <c r="AB4291" s="81" t="str">
        <f>IFERROR(HLOOKUP(K4291,データについて!$J$5:$AH$20,14,FALSE),"")</f>
        <v/>
      </c>
      <c r="AC4291" s="81" t="e">
        <f>IF(X4291=1,HLOOKUP(R4291,データについて!$J$12:$M$18,7,FALSE),"*")</f>
        <v>#N/A</v>
      </c>
      <c r="AD4291" s="81" t="e">
        <f>IF(X4291=2,HLOOKUP(R4291,データについて!$J$12:$M$18,7,FALSE),"*")</f>
        <v>#N/A</v>
      </c>
    </row>
    <row r="4292" spans="19:30">
      <c r="S4292" s="81" t="e">
        <f>HLOOKUP(L4292,データについて!$J$6:$M$18,13,FALSE)</f>
        <v>#N/A</v>
      </c>
      <c r="T4292" s="81" t="e">
        <f>HLOOKUP(M4292,データについて!$J$7:$M$18,12,FALSE)</f>
        <v>#N/A</v>
      </c>
      <c r="U4292" s="81" t="e">
        <f>HLOOKUP(N4292,データについて!$J$8:$M$18,11,FALSE)</f>
        <v>#N/A</v>
      </c>
      <c r="V4292" s="81" t="e">
        <f>HLOOKUP(O4292,データについて!$J$9:$M$18,10,FALSE)</f>
        <v>#N/A</v>
      </c>
      <c r="W4292" s="81" t="e">
        <f>HLOOKUP(P4292,データについて!$J$10:$M$18,9,FALSE)</f>
        <v>#N/A</v>
      </c>
      <c r="X4292" s="81" t="e">
        <f>HLOOKUP(Q4292,データについて!$J$11:$M$18,8,FALSE)</f>
        <v>#N/A</v>
      </c>
      <c r="Y4292" s="81" t="e">
        <f>HLOOKUP(R4292,データについて!$J$12:$M$18,7,FALSE)</f>
        <v>#N/A</v>
      </c>
      <c r="Z4292" s="81" t="e">
        <f>HLOOKUP(I4292,データについて!$J$3:$M$18,16,FALSE)</f>
        <v>#N/A</v>
      </c>
      <c r="AA4292" s="81" t="str">
        <f>IFERROR(HLOOKUP(J4292,データについて!$J$4:$AH$19,16,FALSE),"")</f>
        <v/>
      </c>
      <c r="AB4292" s="81" t="str">
        <f>IFERROR(HLOOKUP(K4292,データについて!$J$5:$AH$20,14,FALSE),"")</f>
        <v/>
      </c>
      <c r="AC4292" s="81" t="e">
        <f>IF(X4292=1,HLOOKUP(R4292,データについて!$J$12:$M$18,7,FALSE),"*")</f>
        <v>#N/A</v>
      </c>
      <c r="AD4292" s="81" t="e">
        <f>IF(X4292=2,HLOOKUP(R4292,データについて!$J$12:$M$18,7,FALSE),"*")</f>
        <v>#N/A</v>
      </c>
    </row>
    <row r="4293" spans="19:30">
      <c r="S4293" s="81" t="e">
        <f>HLOOKUP(L4293,データについて!$J$6:$M$18,13,FALSE)</f>
        <v>#N/A</v>
      </c>
      <c r="T4293" s="81" t="e">
        <f>HLOOKUP(M4293,データについて!$J$7:$M$18,12,FALSE)</f>
        <v>#N/A</v>
      </c>
      <c r="U4293" s="81" t="e">
        <f>HLOOKUP(N4293,データについて!$J$8:$M$18,11,FALSE)</f>
        <v>#N/A</v>
      </c>
      <c r="V4293" s="81" t="e">
        <f>HLOOKUP(O4293,データについて!$J$9:$M$18,10,FALSE)</f>
        <v>#N/A</v>
      </c>
      <c r="W4293" s="81" t="e">
        <f>HLOOKUP(P4293,データについて!$J$10:$M$18,9,FALSE)</f>
        <v>#N/A</v>
      </c>
      <c r="X4293" s="81" t="e">
        <f>HLOOKUP(Q4293,データについて!$J$11:$M$18,8,FALSE)</f>
        <v>#N/A</v>
      </c>
      <c r="Y4293" s="81" t="e">
        <f>HLOOKUP(R4293,データについて!$J$12:$M$18,7,FALSE)</f>
        <v>#N/A</v>
      </c>
      <c r="Z4293" s="81" t="e">
        <f>HLOOKUP(I4293,データについて!$J$3:$M$18,16,FALSE)</f>
        <v>#N/A</v>
      </c>
      <c r="AA4293" s="81" t="str">
        <f>IFERROR(HLOOKUP(J4293,データについて!$J$4:$AH$19,16,FALSE),"")</f>
        <v/>
      </c>
      <c r="AB4293" s="81" t="str">
        <f>IFERROR(HLOOKUP(K4293,データについて!$J$5:$AH$20,14,FALSE),"")</f>
        <v/>
      </c>
      <c r="AC4293" s="81" t="e">
        <f>IF(X4293=1,HLOOKUP(R4293,データについて!$J$12:$M$18,7,FALSE),"*")</f>
        <v>#N/A</v>
      </c>
      <c r="AD4293" s="81" t="e">
        <f>IF(X4293=2,HLOOKUP(R4293,データについて!$J$12:$M$18,7,FALSE),"*")</f>
        <v>#N/A</v>
      </c>
    </row>
    <row r="4294" spans="19:30">
      <c r="S4294" s="81" t="e">
        <f>HLOOKUP(L4294,データについて!$J$6:$M$18,13,FALSE)</f>
        <v>#N/A</v>
      </c>
      <c r="T4294" s="81" t="e">
        <f>HLOOKUP(M4294,データについて!$J$7:$M$18,12,FALSE)</f>
        <v>#N/A</v>
      </c>
      <c r="U4294" s="81" t="e">
        <f>HLOOKUP(N4294,データについて!$J$8:$M$18,11,FALSE)</f>
        <v>#N/A</v>
      </c>
      <c r="V4294" s="81" t="e">
        <f>HLOOKUP(O4294,データについて!$J$9:$M$18,10,FALSE)</f>
        <v>#N/A</v>
      </c>
      <c r="W4294" s="81" t="e">
        <f>HLOOKUP(P4294,データについて!$J$10:$M$18,9,FALSE)</f>
        <v>#N/A</v>
      </c>
      <c r="X4294" s="81" t="e">
        <f>HLOOKUP(Q4294,データについて!$J$11:$M$18,8,FALSE)</f>
        <v>#N/A</v>
      </c>
      <c r="Y4294" s="81" t="e">
        <f>HLOOKUP(R4294,データについて!$J$12:$M$18,7,FALSE)</f>
        <v>#N/A</v>
      </c>
      <c r="Z4294" s="81" t="e">
        <f>HLOOKUP(I4294,データについて!$J$3:$M$18,16,FALSE)</f>
        <v>#N/A</v>
      </c>
      <c r="AA4294" s="81" t="str">
        <f>IFERROR(HLOOKUP(J4294,データについて!$J$4:$AH$19,16,FALSE),"")</f>
        <v/>
      </c>
      <c r="AB4294" s="81" t="str">
        <f>IFERROR(HLOOKUP(K4294,データについて!$J$5:$AH$20,14,FALSE),"")</f>
        <v/>
      </c>
      <c r="AC4294" s="81" t="e">
        <f>IF(X4294=1,HLOOKUP(R4294,データについて!$J$12:$M$18,7,FALSE),"*")</f>
        <v>#N/A</v>
      </c>
      <c r="AD4294" s="81" t="e">
        <f>IF(X4294=2,HLOOKUP(R4294,データについて!$J$12:$M$18,7,FALSE),"*")</f>
        <v>#N/A</v>
      </c>
    </row>
    <row r="4295" spans="19:30">
      <c r="S4295" s="81" t="e">
        <f>HLOOKUP(L4295,データについて!$J$6:$M$18,13,FALSE)</f>
        <v>#N/A</v>
      </c>
      <c r="T4295" s="81" t="e">
        <f>HLOOKUP(M4295,データについて!$J$7:$M$18,12,FALSE)</f>
        <v>#N/A</v>
      </c>
      <c r="U4295" s="81" t="e">
        <f>HLOOKUP(N4295,データについて!$J$8:$M$18,11,FALSE)</f>
        <v>#N/A</v>
      </c>
      <c r="V4295" s="81" t="e">
        <f>HLOOKUP(O4295,データについて!$J$9:$M$18,10,FALSE)</f>
        <v>#N/A</v>
      </c>
      <c r="W4295" s="81" t="e">
        <f>HLOOKUP(P4295,データについて!$J$10:$M$18,9,FALSE)</f>
        <v>#N/A</v>
      </c>
      <c r="X4295" s="81" t="e">
        <f>HLOOKUP(Q4295,データについて!$J$11:$M$18,8,FALSE)</f>
        <v>#N/A</v>
      </c>
      <c r="Y4295" s="81" t="e">
        <f>HLOOKUP(R4295,データについて!$J$12:$M$18,7,FALSE)</f>
        <v>#N/A</v>
      </c>
      <c r="Z4295" s="81" t="e">
        <f>HLOOKUP(I4295,データについて!$J$3:$M$18,16,FALSE)</f>
        <v>#N/A</v>
      </c>
      <c r="AA4295" s="81" t="str">
        <f>IFERROR(HLOOKUP(J4295,データについて!$J$4:$AH$19,16,FALSE),"")</f>
        <v/>
      </c>
      <c r="AB4295" s="81" t="str">
        <f>IFERROR(HLOOKUP(K4295,データについて!$J$5:$AH$20,14,FALSE),"")</f>
        <v/>
      </c>
      <c r="AC4295" s="81" t="e">
        <f>IF(X4295=1,HLOOKUP(R4295,データについて!$J$12:$M$18,7,FALSE),"*")</f>
        <v>#N/A</v>
      </c>
      <c r="AD4295" s="81" t="e">
        <f>IF(X4295=2,HLOOKUP(R4295,データについて!$J$12:$M$18,7,FALSE),"*")</f>
        <v>#N/A</v>
      </c>
    </row>
    <row r="4296" spans="19:30">
      <c r="S4296" s="81" t="e">
        <f>HLOOKUP(L4296,データについて!$J$6:$M$18,13,FALSE)</f>
        <v>#N/A</v>
      </c>
      <c r="T4296" s="81" t="e">
        <f>HLOOKUP(M4296,データについて!$J$7:$M$18,12,FALSE)</f>
        <v>#N/A</v>
      </c>
      <c r="U4296" s="81" t="e">
        <f>HLOOKUP(N4296,データについて!$J$8:$M$18,11,FALSE)</f>
        <v>#N/A</v>
      </c>
      <c r="V4296" s="81" t="e">
        <f>HLOOKUP(O4296,データについて!$J$9:$M$18,10,FALSE)</f>
        <v>#N/A</v>
      </c>
      <c r="W4296" s="81" t="e">
        <f>HLOOKUP(P4296,データについて!$J$10:$M$18,9,FALSE)</f>
        <v>#N/A</v>
      </c>
      <c r="X4296" s="81" t="e">
        <f>HLOOKUP(Q4296,データについて!$J$11:$M$18,8,FALSE)</f>
        <v>#N/A</v>
      </c>
      <c r="Y4296" s="81" t="e">
        <f>HLOOKUP(R4296,データについて!$J$12:$M$18,7,FALSE)</f>
        <v>#N/A</v>
      </c>
      <c r="Z4296" s="81" t="e">
        <f>HLOOKUP(I4296,データについて!$J$3:$M$18,16,FALSE)</f>
        <v>#N/A</v>
      </c>
      <c r="AA4296" s="81" t="str">
        <f>IFERROR(HLOOKUP(J4296,データについて!$J$4:$AH$19,16,FALSE),"")</f>
        <v/>
      </c>
      <c r="AB4296" s="81" t="str">
        <f>IFERROR(HLOOKUP(K4296,データについて!$J$5:$AH$20,14,FALSE),"")</f>
        <v/>
      </c>
      <c r="AC4296" s="81" t="e">
        <f>IF(X4296=1,HLOOKUP(R4296,データについて!$J$12:$M$18,7,FALSE),"*")</f>
        <v>#N/A</v>
      </c>
      <c r="AD4296" s="81" t="e">
        <f>IF(X4296=2,HLOOKUP(R4296,データについて!$J$12:$M$18,7,FALSE),"*")</f>
        <v>#N/A</v>
      </c>
    </row>
    <row r="4297" spans="19:30">
      <c r="S4297" s="81" t="e">
        <f>HLOOKUP(L4297,データについて!$J$6:$M$18,13,FALSE)</f>
        <v>#N/A</v>
      </c>
      <c r="T4297" s="81" t="e">
        <f>HLOOKUP(M4297,データについて!$J$7:$M$18,12,FALSE)</f>
        <v>#N/A</v>
      </c>
      <c r="U4297" s="81" t="e">
        <f>HLOOKUP(N4297,データについて!$J$8:$M$18,11,FALSE)</f>
        <v>#N/A</v>
      </c>
      <c r="V4297" s="81" t="e">
        <f>HLOOKUP(O4297,データについて!$J$9:$M$18,10,FALSE)</f>
        <v>#N/A</v>
      </c>
      <c r="W4297" s="81" t="e">
        <f>HLOOKUP(P4297,データについて!$J$10:$M$18,9,FALSE)</f>
        <v>#N/A</v>
      </c>
      <c r="X4297" s="81" t="e">
        <f>HLOOKUP(Q4297,データについて!$J$11:$M$18,8,FALSE)</f>
        <v>#N/A</v>
      </c>
      <c r="Y4297" s="81" t="e">
        <f>HLOOKUP(R4297,データについて!$J$12:$M$18,7,FALSE)</f>
        <v>#N/A</v>
      </c>
      <c r="Z4297" s="81" t="e">
        <f>HLOOKUP(I4297,データについて!$J$3:$M$18,16,FALSE)</f>
        <v>#N/A</v>
      </c>
      <c r="AA4297" s="81" t="str">
        <f>IFERROR(HLOOKUP(J4297,データについて!$J$4:$AH$19,16,FALSE),"")</f>
        <v/>
      </c>
      <c r="AB4297" s="81" t="str">
        <f>IFERROR(HLOOKUP(K4297,データについて!$J$5:$AH$20,14,FALSE),"")</f>
        <v/>
      </c>
      <c r="AC4297" s="81" t="e">
        <f>IF(X4297=1,HLOOKUP(R4297,データについて!$J$12:$M$18,7,FALSE),"*")</f>
        <v>#N/A</v>
      </c>
      <c r="AD4297" s="81" t="e">
        <f>IF(X4297=2,HLOOKUP(R4297,データについて!$J$12:$M$18,7,FALSE),"*")</f>
        <v>#N/A</v>
      </c>
    </row>
    <row r="4298" spans="19:30">
      <c r="S4298" s="81" t="e">
        <f>HLOOKUP(L4298,データについて!$J$6:$M$18,13,FALSE)</f>
        <v>#N/A</v>
      </c>
      <c r="T4298" s="81" t="e">
        <f>HLOOKUP(M4298,データについて!$J$7:$M$18,12,FALSE)</f>
        <v>#N/A</v>
      </c>
      <c r="U4298" s="81" t="e">
        <f>HLOOKUP(N4298,データについて!$J$8:$M$18,11,FALSE)</f>
        <v>#N/A</v>
      </c>
      <c r="V4298" s="81" t="e">
        <f>HLOOKUP(O4298,データについて!$J$9:$M$18,10,FALSE)</f>
        <v>#N/A</v>
      </c>
      <c r="W4298" s="81" t="e">
        <f>HLOOKUP(P4298,データについて!$J$10:$M$18,9,FALSE)</f>
        <v>#N/A</v>
      </c>
      <c r="X4298" s="81" t="e">
        <f>HLOOKUP(Q4298,データについて!$J$11:$M$18,8,FALSE)</f>
        <v>#N/A</v>
      </c>
      <c r="Y4298" s="81" t="e">
        <f>HLOOKUP(R4298,データについて!$J$12:$M$18,7,FALSE)</f>
        <v>#N/A</v>
      </c>
      <c r="Z4298" s="81" t="e">
        <f>HLOOKUP(I4298,データについて!$J$3:$M$18,16,FALSE)</f>
        <v>#N/A</v>
      </c>
      <c r="AA4298" s="81" t="str">
        <f>IFERROR(HLOOKUP(J4298,データについて!$J$4:$AH$19,16,FALSE),"")</f>
        <v/>
      </c>
      <c r="AB4298" s="81" t="str">
        <f>IFERROR(HLOOKUP(K4298,データについて!$J$5:$AH$20,14,FALSE),"")</f>
        <v/>
      </c>
      <c r="AC4298" s="81" t="e">
        <f>IF(X4298=1,HLOOKUP(R4298,データについて!$J$12:$M$18,7,FALSE),"*")</f>
        <v>#N/A</v>
      </c>
      <c r="AD4298" s="81" t="e">
        <f>IF(X4298=2,HLOOKUP(R4298,データについて!$J$12:$M$18,7,FALSE),"*")</f>
        <v>#N/A</v>
      </c>
    </row>
    <row r="4299" spans="19:30">
      <c r="S4299" s="81" t="e">
        <f>HLOOKUP(L4299,データについて!$J$6:$M$18,13,FALSE)</f>
        <v>#N/A</v>
      </c>
      <c r="T4299" s="81" t="e">
        <f>HLOOKUP(M4299,データについて!$J$7:$M$18,12,FALSE)</f>
        <v>#N/A</v>
      </c>
      <c r="U4299" s="81" t="e">
        <f>HLOOKUP(N4299,データについて!$J$8:$M$18,11,FALSE)</f>
        <v>#N/A</v>
      </c>
      <c r="V4299" s="81" t="e">
        <f>HLOOKUP(O4299,データについて!$J$9:$M$18,10,FALSE)</f>
        <v>#N/A</v>
      </c>
      <c r="W4299" s="81" t="e">
        <f>HLOOKUP(P4299,データについて!$J$10:$M$18,9,FALSE)</f>
        <v>#N/A</v>
      </c>
      <c r="X4299" s="81" t="e">
        <f>HLOOKUP(Q4299,データについて!$J$11:$M$18,8,FALSE)</f>
        <v>#N/A</v>
      </c>
      <c r="Y4299" s="81" t="e">
        <f>HLOOKUP(R4299,データについて!$J$12:$M$18,7,FALSE)</f>
        <v>#N/A</v>
      </c>
      <c r="Z4299" s="81" t="e">
        <f>HLOOKUP(I4299,データについて!$J$3:$M$18,16,FALSE)</f>
        <v>#N/A</v>
      </c>
      <c r="AA4299" s="81" t="str">
        <f>IFERROR(HLOOKUP(J4299,データについて!$J$4:$AH$19,16,FALSE),"")</f>
        <v/>
      </c>
      <c r="AB4299" s="81" t="str">
        <f>IFERROR(HLOOKUP(K4299,データについて!$J$5:$AH$20,14,FALSE),"")</f>
        <v/>
      </c>
      <c r="AC4299" s="81" t="e">
        <f>IF(X4299=1,HLOOKUP(R4299,データについて!$J$12:$M$18,7,FALSE),"*")</f>
        <v>#N/A</v>
      </c>
      <c r="AD4299" s="81" t="e">
        <f>IF(X4299=2,HLOOKUP(R4299,データについて!$J$12:$M$18,7,FALSE),"*")</f>
        <v>#N/A</v>
      </c>
    </row>
    <row r="4300" spans="19:30">
      <c r="S4300" s="81" t="e">
        <f>HLOOKUP(L4300,データについて!$J$6:$M$18,13,FALSE)</f>
        <v>#N/A</v>
      </c>
      <c r="T4300" s="81" t="e">
        <f>HLOOKUP(M4300,データについて!$J$7:$M$18,12,FALSE)</f>
        <v>#N/A</v>
      </c>
      <c r="U4300" s="81" t="e">
        <f>HLOOKUP(N4300,データについて!$J$8:$M$18,11,FALSE)</f>
        <v>#N/A</v>
      </c>
      <c r="V4300" s="81" t="e">
        <f>HLOOKUP(O4300,データについて!$J$9:$M$18,10,FALSE)</f>
        <v>#N/A</v>
      </c>
      <c r="W4300" s="81" t="e">
        <f>HLOOKUP(P4300,データについて!$J$10:$M$18,9,FALSE)</f>
        <v>#N/A</v>
      </c>
      <c r="X4300" s="81" t="e">
        <f>HLOOKUP(Q4300,データについて!$J$11:$M$18,8,FALSE)</f>
        <v>#N/A</v>
      </c>
      <c r="Y4300" s="81" t="e">
        <f>HLOOKUP(R4300,データについて!$J$12:$M$18,7,FALSE)</f>
        <v>#N/A</v>
      </c>
      <c r="Z4300" s="81" t="e">
        <f>HLOOKUP(I4300,データについて!$J$3:$M$18,16,FALSE)</f>
        <v>#N/A</v>
      </c>
      <c r="AA4300" s="81" t="str">
        <f>IFERROR(HLOOKUP(J4300,データについて!$J$4:$AH$19,16,FALSE),"")</f>
        <v/>
      </c>
      <c r="AB4300" s="81" t="str">
        <f>IFERROR(HLOOKUP(K4300,データについて!$J$5:$AH$20,14,FALSE),"")</f>
        <v/>
      </c>
      <c r="AC4300" s="81" t="e">
        <f>IF(X4300=1,HLOOKUP(R4300,データについて!$J$12:$M$18,7,FALSE),"*")</f>
        <v>#N/A</v>
      </c>
      <c r="AD4300" s="81" t="e">
        <f>IF(X4300=2,HLOOKUP(R4300,データについて!$J$12:$M$18,7,FALSE),"*")</f>
        <v>#N/A</v>
      </c>
    </row>
    <row r="4301" spans="19:30">
      <c r="S4301" s="81" t="e">
        <f>HLOOKUP(L4301,データについて!$J$6:$M$18,13,FALSE)</f>
        <v>#N/A</v>
      </c>
      <c r="T4301" s="81" t="e">
        <f>HLOOKUP(M4301,データについて!$J$7:$M$18,12,FALSE)</f>
        <v>#N/A</v>
      </c>
      <c r="U4301" s="81" t="e">
        <f>HLOOKUP(N4301,データについて!$J$8:$M$18,11,FALSE)</f>
        <v>#N/A</v>
      </c>
      <c r="V4301" s="81" t="e">
        <f>HLOOKUP(O4301,データについて!$J$9:$M$18,10,FALSE)</f>
        <v>#N/A</v>
      </c>
      <c r="W4301" s="81" t="e">
        <f>HLOOKUP(P4301,データについて!$J$10:$M$18,9,FALSE)</f>
        <v>#N/A</v>
      </c>
      <c r="X4301" s="81" t="e">
        <f>HLOOKUP(Q4301,データについて!$J$11:$M$18,8,FALSE)</f>
        <v>#N/A</v>
      </c>
      <c r="Y4301" s="81" t="e">
        <f>HLOOKUP(R4301,データについて!$J$12:$M$18,7,FALSE)</f>
        <v>#N/A</v>
      </c>
      <c r="Z4301" s="81" t="e">
        <f>HLOOKUP(I4301,データについて!$J$3:$M$18,16,FALSE)</f>
        <v>#N/A</v>
      </c>
      <c r="AA4301" s="81" t="str">
        <f>IFERROR(HLOOKUP(J4301,データについて!$J$4:$AH$19,16,FALSE),"")</f>
        <v/>
      </c>
      <c r="AB4301" s="81" t="str">
        <f>IFERROR(HLOOKUP(K4301,データについて!$J$5:$AH$20,14,FALSE),"")</f>
        <v/>
      </c>
      <c r="AC4301" s="81" t="e">
        <f>IF(X4301=1,HLOOKUP(R4301,データについて!$J$12:$M$18,7,FALSE),"*")</f>
        <v>#N/A</v>
      </c>
      <c r="AD4301" s="81" t="e">
        <f>IF(X4301=2,HLOOKUP(R4301,データについて!$J$12:$M$18,7,FALSE),"*")</f>
        <v>#N/A</v>
      </c>
    </row>
    <row r="4302" spans="19:30">
      <c r="S4302" s="81" t="e">
        <f>HLOOKUP(L4302,データについて!$J$6:$M$18,13,FALSE)</f>
        <v>#N/A</v>
      </c>
      <c r="T4302" s="81" t="e">
        <f>HLOOKUP(M4302,データについて!$J$7:$M$18,12,FALSE)</f>
        <v>#N/A</v>
      </c>
      <c r="U4302" s="81" t="e">
        <f>HLOOKUP(N4302,データについて!$J$8:$M$18,11,FALSE)</f>
        <v>#N/A</v>
      </c>
      <c r="V4302" s="81" t="e">
        <f>HLOOKUP(O4302,データについて!$J$9:$M$18,10,FALSE)</f>
        <v>#N/A</v>
      </c>
      <c r="W4302" s="81" t="e">
        <f>HLOOKUP(P4302,データについて!$J$10:$M$18,9,FALSE)</f>
        <v>#N/A</v>
      </c>
      <c r="X4302" s="81" t="e">
        <f>HLOOKUP(Q4302,データについて!$J$11:$M$18,8,FALSE)</f>
        <v>#N/A</v>
      </c>
      <c r="Y4302" s="81" t="e">
        <f>HLOOKUP(R4302,データについて!$J$12:$M$18,7,FALSE)</f>
        <v>#N/A</v>
      </c>
      <c r="Z4302" s="81" t="e">
        <f>HLOOKUP(I4302,データについて!$J$3:$M$18,16,FALSE)</f>
        <v>#N/A</v>
      </c>
      <c r="AA4302" s="81" t="str">
        <f>IFERROR(HLOOKUP(J4302,データについて!$J$4:$AH$19,16,FALSE),"")</f>
        <v/>
      </c>
      <c r="AB4302" s="81" t="str">
        <f>IFERROR(HLOOKUP(K4302,データについて!$J$5:$AH$20,14,FALSE),"")</f>
        <v/>
      </c>
      <c r="AC4302" s="81" t="e">
        <f>IF(X4302=1,HLOOKUP(R4302,データについて!$J$12:$M$18,7,FALSE),"*")</f>
        <v>#N/A</v>
      </c>
      <c r="AD4302" s="81" t="e">
        <f>IF(X4302=2,HLOOKUP(R4302,データについて!$J$12:$M$18,7,FALSE),"*")</f>
        <v>#N/A</v>
      </c>
    </row>
    <row r="4303" spans="19:30">
      <c r="S4303" s="81" t="e">
        <f>HLOOKUP(L4303,データについて!$J$6:$M$18,13,FALSE)</f>
        <v>#N/A</v>
      </c>
      <c r="T4303" s="81" t="e">
        <f>HLOOKUP(M4303,データについて!$J$7:$M$18,12,FALSE)</f>
        <v>#N/A</v>
      </c>
      <c r="U4303" s="81" t="e">
        <f>HLOOKUP(N4303,データについて!$J$8:$M$18,11,FALSE)</f>
        <v>#N/A</v>
      </c>
      <c r="V4303" s="81" t="e">
        <f>HLOOKUP(O4303,データについて!$J$9:$M$18,10,FALSE)</f>
        <v>#N/A</v>
      </c>
      <c r="W4303" s="81" t="e">
        <f>HLOOKUP(P4303,データについて!$J$10:$M$18,9,FALSE)</f>
        <v>#N/A</v>
      </c>
      <c r="X4303" s="81" t="e">
        <f>HLOOKUP(Q4303,データについて!$J$11:$M$18,8,FALSE)</f>
        <v>#N/A</v>
      </c>
      <c r="Y4303" s="81" t="e">
        <f>HLOOKUP(R4303,データについて!$J$12:$M$18,7,FALSE)</f>
        <v>#N/A</v>
      </c>
      <c r="Z4303" s="81" t="e">
        <f>HLOOKUP(I4303,データについて!$J$3:$M$18,16,FALSE)</f>
        <v>#N/A</v>
      </c>
      <c r="AA4303" s="81" t="str">
        <f>IFERROR(HLOOKUP(J4303,データについて!$J$4:$AH$19,16,FALSE),"")</f>
        <v/>
      </c>
      <c r="AB4303" s="81" t="str">
        <f>IFERROR(HLOOKUP(K4303,データについて!$J$5:$AH$20,14,FALSE),"")</f>
        <v/>
      </c>
      <c r="AC4303" s="81" t="e">
        <f>IF(X4303=1,HLOOKUP(R4303,データについて!$J$12:$M$18,7,FALSE),"*")</f>
        <v>#N/A</v>
      </c>
      <c r="AD4303" s="81" t="e">
        <f>IF(X4303=2,HLOOKUP(R4303,データについて!$J$12:$M$18,7,FALSE),"*")</f>
        <v>#N/A</v>
      </c>
    </row>
    <row r="4304" spans="19:30">
      <c r="S4304" s="81" t="e">
        <f>HLOOKUP(L4304,データについて!$J$6:$M$18,13,FALSE)</f>
        <v>#N/A</v>
      </c>
      <c r="T4304" s="81" t="e">
        <f>HLOOKUP(M4304,データについて!$J$7:$M$18,12,FALSE)</f>
        <v>#N/A</v>
      </c>
      <c r="U4304" s="81" t="e">
        <f>HLOOKUP(N4304,データについて!$J$8:$M$18,11,FALSE)</f>
        <v>#N/A</v>
      </c>
      <c r="V4304" s="81" t="e">
        <f>HLOOKUP(O4304,データについて!$J$9:$M$18,10,FALSE)</f>
        <v>#N/A</v>
      </c>
      <c r="W4304" s="81" t="e">
        <f>HLOOKUP(P4304,データについて!$J$10:$M$18,9,FALSE)</f>
        <v>#N/A</v>
      </c>
      <c r="X4304" s="81" t="e">
        <f>HLOOKUP(Q4304,データについて!$J$11:$M$18,8,FALSE)</f>
        <v>#N/A</v>
      </c>
      <c r="Y4304" s="81" t="e">
        <f>HLOOKUP(R4304,データについて!$J$12:$M$18,7,FALSE)</f>
        <v>#N/A</v>
      </c>
      <c r="Z4304" s="81" t="e">
        <f>HLOOKUP(I4304,データについて!$J$3:$M$18,16,FALSE)</f>
        <v>#N/A</v>
      </c>
      <c r="AA4304" s="81" t="str">
        <f>IFERROR(HLOOKUP(J4304,データについて!$J$4:$AH$19,16,FALSE),"")</f>
        <v/>
      </c>
      <c r="AB4304" s="81" t="str">
        <f>IFERROR(HLOOKUP(K4304,データについて!$J$5:$AH$20,14,FALSE),"")</f>
        <v/>
      </c>
      <c r="AC4304" s="81" t="e">
        <f>IF(X4304=1,HLOOKUP(R4304,データについて!$J$12:$M$18,7,FALSE),"*")</f>
        <v>#N/A</v>
      </c>
      <c r="AD4304" s="81" t="e">
        <f>IF(X4304=2,HLOOKUP(R4304,データについて!$J$12:$M$18,7,FALSE),"*")</f>
        <v>#N/A</v>
      </c>
    </row>
    <row r="4305" spans="19:30">
      <c r="S4305" s="81" t="e">
        <f>HLOOKUP(L4305,データについて!$J$6:$M$18,13,FALSE)</f>
        <v>#N/A</v>
      </c>
      <c r="T4305" s="81" t="e">
        <f>HLOOKUP(M4305,データについて!$J$7:$M$18,12,FALSE)</f>
        <v>#N/A</v>
      </c>
      <c r="U4305" s="81" t="e">
        <f>HLOOKUP(N4305,データについて!$J$8:$M$18,11,FALSE)</f>
        <v>#N/A</v>
      </c>
      <c r="V4305" s="81" t="e">
        <f>HLOOKUP(O4305,データについて!$J$9:$M$18,10,FALSE)</f>
        <v>#N/A</v>
      </c>
      <c r="W4305" s="81" t="e">
        <f>HLOOKUP(P4305,データについて!$J$10:$M$18,9,FALSE)</f>
        <v>#N/A</v>
      </c>
      <c r="X4305" s="81" t="e">
        <f>HLOOKUP(Q4305,データについて!$J$11:$M$18,8,FALSE)</f>
        <v>#N/A</v>
      </c>
      <c r="Y4305" s="81" t="e">
        <f>HLOOKUP(R4305,データについて!$J$12:$M$18,7,FALSE)</f>
        <v>#N/A</v>
      </c>
      <c r="Z4305" s="81" t="e">
        <f>HLOOKUP(I4305,データについて!$J$3:$M$18,16,FALSE)</f>
        <v>#N/A</v>
      </c>
      <c r="AA4305" s="81" t="str">
        <f>IFERROR(HLOOKUP(J4305,データについて!$J$4:$AH$19,16,FALSE),"")</f>
        <v/>
      </c>
      <c r="AB4305" s="81" t="str">
        <f>IFERROR(HLOOKUP(K4305,データについて!$J$5:$AH$20,14,FALSE),"")</f>
        <v/>
      </c>
      <c r="AC4305" s="81" t="e">
        <f>IF(X4305=1,HLOOKUP(R4305,データについて!$J$12:$M$18,7,FALSE),"*")</f>
        <v>#N/A</v>
      </c>
      <c r="AD4305" s="81" t="e">
        <f>IF(X4305=2,HLOOKUP(R4305,データについて!$J$12:$M$18,7,FALSE),"*")</f>
        <v>#N/A</v>
      </c>
    </row>
    <row r="4306" spans="19:30">
      <c r="S4306" s="81" t="e">
        <f>HLOOKUP(L4306,データについて!$J$6:$M$18,13,FALSE)</f>
        <v>#N/A</v>
      </c>
      <c r="T4306" s="81" t="e">
        <f>HLOOKUP(M4306,データについて!$J$7:$M$18,12,FALSE)</f>
        <v>#N/A</v>
      </c>
      <c r="U4306" s="81" t="e">
        <f>HLOOKUP(N4306,データについて!$J$8:$M$18,11,FALSE)</f>
        <v>#N/A</v>
      </c>
      <c r="V4306" s="81" t="e">
        <f>HLOOKUP(O4306,データについて!$J$9:$M$18,10,FALSE)</f>
        <v>#N/A</v>
      </c>
      <c r="W4306" s="81" t="e">
        <f>HLOOKUP(P4306,データについて!$J$10:$M$18,9,FALSE)</f>
        <v>#N/A</v>
      </c>
      <c r="X4306" s="81" t="e">
        <f>HLOOKUP(Q4306,データについて!$J$11:$M$18,8,FALSE)</f>
        <v>#N/A</v>
      </c>
      <c r="Y4306" s="81" t="e">
        <f>HLOOKUP(R4306,データについて!$J$12:$M$18,7,FALSE)</f>
        <v>#N/A</v>
      </c>
      <c r="Z4306" s="81" t="e">
        <f>HLOOKUP(I4306,データについて!$J$3:$M$18,16,FALSE)</f>
        <v>#N/A</v>
      </c>
      <c r="AA4306" s="81" t="str">
        <f>IFERROR(HLOOKUP(J4306,データについて!$J$4:$AH$19,16,FALSE),"")</f>
        <v/>
      </c>
      <c r="AB4306" s="81" t="str">
        <f>IFERROR(HLOOKUP(K4306,データについて!$J$5:$AH$20,14,FALSE),"")</f>
        <v/>
      </c>
      <c r="AC4306" s="81" t="e">
        <f>IF(X4306=1,HLOOKUP(R4306,データについて!$J$12:$M$18,7,FALSE),"*")</f>
        <v>#N/A</v>
      </c>
      <c r="AD4306" s="81" t="e">
        <f>IF(X4306=2,HLOOKUP(R4306,データについて!$J$12:$M$18,7,FALSE),"*")</f>
        <v>#N/A</v>
      </c>
    </row>
    <row r="4307" spans="19:30">
      <c r="S4307" s="81" t="e">
        <f>HLOOKUP(L4307,データについて!$J$6:$M$18,13,FALSE)</f>
        <v>#N/A</v>
      </c>
      <c r="T4307" s="81" t="e">
        <f>HLOOKUP(M4307,データについて!$J$7:$M$18,12,FALSE)</f>
        <v>#N/A</v>
      </c>
      <c r="U4307" s="81" t="e">
        <f>HLOOKUP(N4307,データについて!$J$8:$M$18,11,FALSE)</f>
        <v>#N/A</v>
      </c>
      <c r="V4307" s="81" t="e">
        <f>HLOOKUP(O4307,データについて!$J$9:$M$18,10,FALSE)</f>
        <v>#N/A</v>
      </c>
      <c r="W4307" s="81" t="e">
        <f>HLOOKUP(P4307,データについて!$J$10:$M$18,9,FALSE)</f>
        <v>#N/A</v>
      </c>
      <c r="X4307" s="81" t="e">
        <f>HLOOKUP(Q4307,データについて!$J$11:$M$18,8,FALSE)</f>
        <v>#N/A</v>
      </c>
      <c r="Y4307" s="81" t="e">
        <f>HLOOKUP(R4307,データについて!$J$12:$M$18,7,FALSE)</f>
        <v>#N/A</v>
      </c>
      <c r="Z4307" s="81" t="e">
        <f>HLOOKUP(I4307,データについて!$J$3:$M$18,16,FALSE)</f>
        <v>#N/A</v>
      </c>
      <c r="AA4307" s="81" t="str">
        <f>IFERROR(HLOOKUP(J4307,データについて!$J$4:$AH$19,16,FALSE),"")</f>
        <v/>
      </c>
      <c r="AB4307" s="81" t="str">
        <f>IFERROR(HLOOKUP(K4307,データについて!$J$5:$AH$20,14,FALSE),"")</f>
        <v/>
      </c>
      <c r="AC4307" s="81" t="e">
        <f>IF(X4307=1,HLOOKUP(R4307,データについて!$J$12:$M$18,7,FALSE),"*")</f>
        <v>#N/A</v>
      </c>
      <c r="AD4307" s="81" t="e">
        <f>IF(X4307=2,HLOOKUP(R4307,データについて!$J$12:$M$18,7,FALSE),"*")</f>
        <v>#N/A</v>
      </c>
    </row>
    <row r="4308" spans="19:30">
      <c r="S4308" s="81" t="e">
        <f>HLOOKUP(L4308,データについて!$J$6:$M$18,13,FALSE)</f>
        <v>#N/A</v>
      </c>
      <c r="T4308" s="81" t="e">
        <f>HLOOKUP(M4308,データについて!$J$7:$M$18,12,FALSE)</f>
        <v>#N/A</v>
      </c>
      <c r="U4308" s="81" t="e">
        <f>HLOOKUP(N4308,データについて!$J$8:$M$18,11,FALSE)</f>
        <v>#N/A</v>
      </c>
      <c r="V4308" s="81" t="e">
        <f>HLOOKUP(O4308,データについて!$J$9:$M$18,10,FALSE)</f>
        <v>#N/A</v>
      </c>
      <c r="W4308" s="81" t="e">
        <f>HLOOKUP(P4308,データについて!$J$10:$M$18,9,FALSE)</f>
        <v>#N/A</v>
      </c>
      <c r="X4308" s="81" t="e">
        <f>HLOOKUP(Q4308,データについて!$J$11:$M$18,8,FALSE)</f>
        <v>#N/A</v>
      </c>
      <c r="Y4308" s="81" t="e">
        <f>HLOOKUP(R4308,データについて!$J$12:$M$18,7,FALSE)</f>
        <v>#N/A</v>
      </c>
      <c r="Z4308" s="81" t="e">
        <f>HLOOKUP(I4308,データについて!$J$3:$M$18,16,FALSE)</f>
        <v>#N/A</v>
      </c>
      <c r="AA4308" s="81" t="str">
        <f>IFERROR(HLOOKUP(J4308,データについて!$J$4:$AH$19,16,FALSE),"")</f>
        <v/>
      </c>
      <c r="AB4308" s="81" t="str">
        <f>IFERROR(HLOOKUP(K4308,データについて!$J$5:$AH$20,14,FALSE),"")</f>
        <v/>
      </c>
      <c r="AC4308" s="81" t="e">
        <f>IF(X4308=1,HLOOKUP(R4308,データについて!$J$12:$M$18,7,FALSE),"*")</f>
        <v>#N/A</v>
      </c>
      <c r="AD4308" s="81" t="e">
        <f>IF(X4308=2,HLOOKUP(R4308,データについて!$J$12:$M$18,7,FALSE),"*")</f>
        <v>#N/A</v>
      </c>
    </row>
    <row r="4309" spans="19:30">
      <c r="S4309" s="81" t="e">
        <f>HLOOKUP(L4309,データについて!$J$6:$M$18,13,FALSE)</f>
        <v>#N/A</v>
      </c>
      <c r="T4309" s="81" t="e">
        <f>HLOOKUP(M4309,データについて!$J$7:$M$18,12,FALSE)</f>
        <v>#N/A</v>
      </c>
      <c r="U4309" s="81" t="e">
        <f>HLOOKUP(N4309,データについて!$J$8:$M$18,11,FALSE)</f>
        <v>#N/A</v>
      </c>
      <c r="V4309" s="81" t="e">
        <f>HLOOKUP(O4309,データについて!$J$9:$M$18,10,FALSE)</f>
        <v>#N/A</v>
      </c>
      <c r="W4309" s="81" t="e">
        <f>HLOOKUP(P4309,データについて!$J$10:$M$18,9,FALSE)</f>
        <v>#N/A</v>
      </c>
      <c r="X4309" s="81" t="e">
        <f>HLOOKUP(Q4309,データについて!$J$11:$M$18,8,FALSE)</f>
        <v>#N/A</v>
      </c>
      <c r="Y4309" s="81" t="e">
        <f>HLOOKUP(R4309,データについて!$J$12:$M$18,7,FALSE)</f>
        <v>#N/A</v>
      </c>
      <c r="Z4309" s="81" t="e">
        <f>HLOOKUP(I4309,データについて!$J$3:$M$18,16,FALSE)</f>
        <v>#N/A</v>
      </c>
      <c r="AA4309" s="81" t="str">
        <f>IFERROR(HLOOKUP(J4309,データについて!$J$4:$AH$19,16,FALSE),"")</f>
        <v/>
      </c>
      <c r="AB4309" s="81" t="str">
        <f>IFERROR(HLOOKUP(K4309,データについて!$J$5:$AH$20,14,FALSE),"")</f>
        <v/>
      </c>
      <c r="AC4309" s="81" t="e">
        <f>IF(X4309=1,HLOOKUP(R4309,データについて!$J$12:$M$18,7,FALSE),"*")</f>
        <v>#N/A</v>
      </c>
      <c r="AD4309" s="81" t="e">
        <f>IF(X4309=2,HLOOKUP(R4309,データについて!$J$12:$M$18,7,FALSE),"*")</f>
        <v>#N/A</v>
      </c>
    </row>
    <row r="4310" spans="19:30">
      <c r="S4310" s="81" t="e">
        <f>HLOOKUP(L4310,データについて!$J$6:$M$18,13,FALSE)</f>
        <v>#N/A</v>
      </c>
      <c r="T4310" s="81" t="e">
        <f>HLOOKUP(M4310,データについて!$J$7:$M$18,12,FALSE)</f>
        <v>#N/A</v>
      </c>
      <c r="U4310" s="81" t="e">
        <f>HLOOKUP(N4310,データについて!$J$8:$M$18,11,FALSE)</f>
        <v>#N/A</v>
      </c>
      <c r="V4310" s="81" t="e">
        <f>HLOOKUP(O4310,データについて!$J$9:$M$18,10,FALSE)</f>
        <v>#N/A</v>
      </c>
      <c r="W4310" s="81" t="e">
        <f>HLOOKUP(P4310,データについて!$J$10:$M$18,9,FALSE)</f>
        <v>#N/A</v>
      </c>
      <c r="X4310" s="81" t="e">
        <f>HLOOKUP(Q4310,データについて!$J$11:$M$18,8,FALSE)</f>
        <v>#N/A</v>
      </c>
      <c r="Y4310" s="81" t="e">
        <f>HLOOKUP(R4310,データについて!$J$12:$M$18,7,FALSE)</f>
        <v>#N/A</v>
      </c>
      <c r="Z4310" s="81" t="e">
        <f>HLOOKUP(I4310,データについて!$J$3:$M$18,16,FALSE)</f>
        <v>#N/A</v>
      </c>
      <c r="AA4310" s="81" t="str">
        <f>IFERROR(HLOOKUP(J4310,データについて!$J$4:$AH$19,16,FALSE),"")</f>
        <v/>
      </c>
      <c r="AB4310" s="81" t="str">
        <f>IFERROR(HLOOKUP(K4310,データについて!$J$5:$AH$20,14,FALSE),"")</f>
        <v/>
      </c>
      <c r="AC4310" s="81" t="e">
        <f>IF(X4310=1,HLOOKUP(R4310,データについて!$J$12:$M$18,7,FALSE),"*")</f>
        <v>#N/A</v>
      </c>
      <c r="AD4310" s="81" t="e">
        <f>IF(X4310=2,HLOOKUP(R4310,データについて!$J$12:$M$18,7,FALSE),"*")</f>
        <v>#N/A</v>
      </c>
    </row>
    <row r="4311" spans="19:30">
      <c r="S4311" s="81" t="e">
        <f>HLOOKUP(L4311,データについて!$J$6:$M$18,13,FALSE)</f>
        <v>#N/A</v>
      </c>
      <c r="T4311" s="81" t="e">
        <f>HLOOKUP(M4311,データについて!$J$7:$M$18,12,FALSE)</f>
        <v>#N/A</v>
      </c>
      <c r="U4311" s="81" t="e">
        <f>HLOOKUP(N4311,データについて!$J$8:$M$18,11,FALSE)</f>
        <v>#N/A</v>
      </c>
      <c r="V4311" s="81" t="e">
        <f>HLOOKUP(O4311,データについて!$J$9:$M$18,10,FALSE)</f>
        <v>#N/A</v>
      </c>
      <c r="W4311" s="81" t="e">
        <f>HLOOKUP(P4311,データについて!$J$10:$M$18,9,FALSE)</f>
        <v>#N/A</v>
      </c>
      <c r="X4311" s="81" t="e">
        <f>HLOOKUP(Q4311,データについて!$J$11:$M$18,8,FALSE)</f>
        <v>#N/A</v>
      </c>
      <c r="Y4311" s="81" t="e">
        <f>HLOOKUP(R4311,データについて!$J$12:$M$18,7,FALSE)</f>
        <v>#N/A</v>
      </c>
      <c r="Z4311" s="81" t="e">
        <f>HLOOKUP(I4311,データについて!$J$3:$M$18,16,FALSE)</f>
        <v>#N/A</v>
      </c>
      <c r="AA4311" s="81" t="str">
        <f>IFERROR(HLOOKUP(J4311,データについて!$J$4:$AH$19,16,FALSE),"")</f>
        <v/>
      </c>
      <c r="AB4311" s="81" t="str">
        <f>IFERROR(HLOOKUP(K4311,データについて!$J$5:$AH$20,14,FALSE),"")</f>
        <v/>
      </c>
      <c r="AC4311" s="81" t="e">
        <f>IF(X4311=1,HLOOKUP(R4311,データについて!$J$12:$M$18,7,FALSE),"*")</f>
        <v>#N/A</v>
      </c>
      <c r="AD4311" s="81" t="e">
        <f>IF(X4311=2,HLOOKUP(R4311,データについて!$J$12:$M$18,7,FALSE),"*")</f>
        <v>#N/A</v>
      </c>
    </row>
    <row r="4312" spans="19:30">
      <c r="S4312" s="81" t="e">
        <f>HLOOKUP(L4312,データについて!$J$6:$M$18,13,FALSE)</f>
        <v>#N/A</v>
      </c>
      <c r="T4312" s="81" t="e">
        <f>HLOOKUP(M4312,データについて!$J$7:$M$18,12,FALSE)</f>
        <v>#N/A</v>
      </c>
      <c r="U4312" s="81" t="e">
        <f>HLOOKUP(N4312,データについて!$J$8:$M$18,11,FALSE)</f>
        <v>#N/A</v>
      </c>
      <c r="V4312" s="81" t="e">
        <f>HLOOKUP(O4312,データについて!$J$9:$M$18,10,FALSE)</f>
        <v>#N/A</v>
      </c>
      <c r="W4312" s="81" t="e">
        <f>HLOOKUP(P4312,データについて!$J$10:$M$18,9,FALSE)</f>
        <v>#N/A</v>
      </c>
      <c r="X4312" s="81" t="e">
        <f>HLOOKUP(Q4312,データについて!$J$11:$M$18,8,FALSE)</f>
        <v>#N/A</v>
      </c>
      <c r="Y4312" s="81" t="e">
        <f>HLOOKUP(R4312,データについて!$J$12:$M$18,7,FALSE)</f>
        <v>#N/A</v>
      </c>
      <c r="Z4312" s="81" t="e">
        <f>HLOOKUP(I4312,データについて!$J$3:$M$18,16,FALSE)</f>
        <v>#N/A</v>
      </c>
      <c r="AA4312" s="81" t="str">
        <f>IFERROR(HLOOKUP(J4312,データについて!$J$4:$AH$19,16,FALSE),"")</f>
        <v/>
      </c>
      <c r="AB4312" s="81" t="str">
        <f>IFERROR(HLOOKUP(K4312,データについて!$J$5:$AH$20,14,FALSE),"")</f>
        <v/>
      </c>
      <c r="AC4312" s="81" t="e">
        <f>IF(X4312=1,HLOOKUP(R4312,データについて!$J$12:$M$18,7,FALSE),"*")</f>
        <v>#N/A</v>
      </c>
      <c r="AD4312" s="81" t="e">
        <f>IF(X4312=2,HLOOKUP(R4312,データについて!$J$12:$M$18,7,FALSE),"*")</f>
        <v>#N/A</v>
      </c>
    </row>
    <row r="4313" spans="19:30">
      <c r="S4313" s="81" t="e">
        <f>HLOOKUP(L4313,データについて!$J$6:$M$18,13,FALSE)</f>
        <v>#N/A</v>
      </c>
      <c r="T4313" s="81" t="e">
        <f>HLOOKUP(M4313,データについて!$J$7:$M$18,12,FALSE)</f>
        <v>#N/A</v>
      </c>
      <c r="U4313" s="81" t="e">
        <f>HLOOKUP(N4313,データについて!$J$8:$M$18,11,FALSE)</f>
        <v>#N/A</v>
      </c>
      <c r="V4313" s="81" t="e">
        <f>HLOOKUP(O4313,データについて!$J$9:$M$18,10,FALSE)</f>
        <v>#N/A</v>
      </c>
      <c r="W4313" s="81" t="e">
        <f>HLOOKUP(P4313,データについて!$J$10:$M$18,9,FALSE)</f>
        <v>#N/A</v>
      </c>
      <c r="X4313" s="81" t="e">
        <f>HLOOKUP(Q4313,データについて!$J$11:$M$18,8,FALSE)</f>
        <v>#N/A</v>
      </c>
      <c r="Y4313" s="81" t="e">
        <f>HLOOKUP(R4313,データについて!$J$12:$M$18,7,FALSE)</f>
        <v>#N/A</v>
      </c>
      <c r="Z4313" s="81" t="e">
        <f>HLOOKUP(I4313,データについて!$J$3:$M$18,16,FALSE)</f>
        <v>#N/A</v>
      </c>
      <c r="AA4313" s="81" t="str">
        <f>IFERROR(HLOOKUP(J4313,データについて!$J$4:$AH$19,16,FALSE),"")</f>
        <v/>
      </c>
      <c r="AB4313" s="81" t="str">
        <f>IFERROR(HLOOKUP(K4313,データについて!$J$5:$AH$20,14,FALSE),"")</f>
        <v/>
      </c>
      <c r="AC4313" s="81" t="e">
        <f>IF(X4313=1,HLOOKUP(R4313,データについて!$J$12:$M$18,7,FALSE),"*")</f>
        <v>#N/A</v>
      </c>
      <c r="AD4313" s="81" t="e">
        <f>IF(X4313=2,HLOOKUP(R4313,データについて!$J$12:$M$18,7,FALSE),"*")</f>
        <v>#N/A</v>
      </c>
    </row>
    <row r="4314" spans="19:30">
      <c r="S4314" s="81" t="e">
        <f>HLOOKUP(L4314,データについて!$J$6:$M$18,13,FALSE)</f>
        <v>#N/A</v>
      </c>
      <c r="T4314" s="81" t="e">
        <f>HLOOKUP(M4314,データについて!$J$7:$M$18,12,FALSE)</f>
        <v>#N/A</v>
      </c>
      <c r="U4314" s="81" t="e">
        <f>HLOOKUP(N4314,データについて!$J$8:$M$18,11,FALSE)</f>
        <v>#N/A</v>
      </c>
      <c r="V4314" s="81" t="e">
        <f>HLOOKUP(O4314,データについて!$J$9:$M$18,10,FALSE)</f>
        <v>#N/A</v>
      </c>
      <c r="W4314" s="81" t="e">
        <f>HLOOKUP(P4314,データについて!$J$10:$M$18,9,FALSE)</f>
        <v>#N/A</v>
      </c>
      <c r="X4314" s="81" t="e">
        <f>HLOOKUP(Q4314,データについて!$J$11:$M$18,8,FALSE)</f>
        <v>#N/A</v>
      </c>
      <c r="Y4314" s="81" t="e">
        <f>HLOOKUP(R4314,データについて!$J$12:$M$18,7,FALSE)</f>
        <v>#N/A</v>
      </c>
      <c r="Z4314" s="81" t="e">
        <f>HLOOKUP(I4314,データについて!$J$3:$M$18,16,FALSE)</f>
        <v>#N/A</v>
      </c>
      <c r="AA4314" s="81" t="str">
        <f>IFERROR(HLOOKUP(J4314,データについて!$J$4:$AH$19,16,FALSE),"")</f>
        <v/>
      </c>
      <c r="AB4314" s="81" t="str">
        <f>IFERROR(HLOOKUP(K4314,データについて!$J$5:$AH$20,14,FALSE),"")</f>
        <v/>
      </c>
      <c r="AC4314" s="81" t="e">
        <f>IF(X4314=1,HLOOKUP(R4314,データについて!$J$12:$M$18,7,FALSE),"*")</f>
        <v>#N/A</v>
      </c>
      <c r="AD4314" s="81" t="e">
        <f>IF(X4314=2,HLOOKUP(R4314,データについて!$J$12:$M$18,7,FALSE),"*")</f>
        <v>#N/A</v>
      </c>
    </row>
    <row r="4315" spans="19:30">
      <c r="S4315" s="81" t="e">
        <f>HLOOKUP(L4315,データについて!$J$6:$M$18,13,FALSE)</f>
        <v>#N/A</v>
      </c>
      <c r="T4315" s="81" t="e">
        <f>HLOOKUP(M4315,データについて!$J$7:$M$18,12,FALSE)</f>
        <v>#N/A</v>
      </c>
      <c r="U4315" s="81" t="e">
        <f>HLOOKUP(N4315,データについて!$J$8:$M$18,11,FALSE)</f>
        <v>#N/A</v>
      </c>
      <c r="V4315" s="81" t="e">
        <f>HLOOKUP(O4315,データについて!$J$9:$M$18,10,FALSE)</f>
        <v>#N/A</v>
      </c>
      <c r="W4315" s="81" t="e">
        <f>HLOOKUP(P4315,データについて!$J$10:$M$18,9,FALSE)</f>
        <v>#N/A</v>
      </c>
      <c r="X4315" s="81" t="e">
        <f>HLOOKUP(Q4315,データについて!$J$11:$M$18,8,FALSE)</f>
        <v>#N/A</v>
      </c>
      <c r="Y4315" s="81" t="e">
        <f>HLOOKUP(R4315,データについて!$J$12:$M$18,7,FALSE)</f>
        <v>#N/A</v>
      </c>
      <c r="Z4315" s="81" t="e">
        <f>HLOOKUP(I4315,データについて!$J$3:$M$18,16,FALSE)</f>
        <v>#N/A</v>
      </c>
      <c r="AA4315" s="81" t="str">
        <f>IFERROR(HLOOKUP(J4315,データについて!$J$4:$AH$19,16,FALSE),"")</f>
        <v/>
      </c>
      <c r="AB4315" s="81" t="str">
        <f>IFERROR(HLOOKUP(K4315,データについて!$J$5:$AH$20,14,FALSE),"")</f>
        <v/>
      </c>
      <c r="AC4315" s="81" t="e">
        <f>IF(X4315=1,HLOOKUP(R4315,データについて!$J$12:$M$18,7,FALSE),"*")</f>
        <v>#N/A</v>
      </c>
      <c r="AD4315" s="81" t="e">
        <f>IF(X4315=2,HLOOKUP(R4315,データについて!$J$12:$M$18,7,FALSE),"*")</f>
        <v>#N/A</v>
      </c>
    </row>
    <row r="4316" spans="19:30">
      <c r="S4316" s="81" t="e">
        <f>HLOOKUP(L4316,データについて!$J$6:$M$18,13,FALSE)</f>
        <v>#N/A</v>
      </c>
      <c r="T4316" s="81" t="e">
        <f>HLOOKUP(M4316,データについて!$J$7:$M$18,12,FALSE)</f>
        <v>#N/A</v>
      </c>
      <c r="U4316" s="81" t="e">
        <f>HLOOKUP(N4316,データについて!$J$8:$M$18,11,FALSE)</f>
        <v>#N/A</v>
      </c>
      <c r="V4316" s="81" t="e">
        <f>HLOOKUP(O4316,データについて!$J$9:$M$18,10,FALSE)</f>
        <v>#N/A</v>
      </c>
      <c r="W4316" s="81" t="e">
        <f>HLOOKUP(P4316,データについて!$J$10:$M$18,9,FALSE)</f>
        <v>#N/A</v>
      </c>
      <c r="X4316" s="81" t="e">
        <f>HLOOKUP(Q4316,データについて!$J$11:$M$18,8,FALSE)</f>
        <v>#N/A</v>
      </c>
      <c r="Y4316" s="81" t="e">
        <f>HLOOKUP(R4316,データについて!$J$12:$M$18,7,FALSE)</f>
        <v>#N/A</v>
      </c>
      <c r="Z4316" s="81" t="e">
        <f>HLOOKUP(I4316,データについて!$J$3:$M$18,16,FALSE)</f>
        <v>#N/A</v>
      </c>
      <c r="AA4316" s="81" t="str">
        <f>IFERROR(HLOOKUP(J4316,データについて!$J$4:$AH$19,16,FALSE),"")</f>
        <v/>
      </c>
      <c r="AB4316" s="81" t="str">
        <f>IFERROR(HLOOKUP(K4316,データについて!$J$5:$AH$20,14,FALSE),"")</f>
        <v/>
      </c>
      <c r="AC4316" s="81" t="e">
        <f>IF(X4316=1,HLOOKUP(R4316,データについて!$J$12:$M$18,7,FALSE),"*")</f>
        <v>#N/A</v>
      </c>
      <c r="AD4316" s="81" t="e">
        <f>IF(X4316=2,HLOOKUP(R4316,データについて!$J$12:$M$18,7,FALSE),"*")</f>
        <v>#N/A</v>
      </c>
    </row>
    <row r="4317" spans="19:30">
      <c r="S4317" s="81" t="e">
        <f>HLOOKUP(L4317,データについて!$J$6:$M$18,13,FALSE)</f>
        <v>#N/A</v>
      </c>
      <c r="T4317" s="81" t="e">
        <f>HLOOKUP(M4317,データについて!$J$7:$M$18,12,FALSE)</f>
        <v>#N/A</v>
      </c>
      <c r="U4317" s="81" t="e">
        <f>HLOOKUP(N4317,データについて!$J$8:$M$18,11,FALSE)</f>
        <v>#N/A</v>
      </c>
      <c r="V4317" s="81" t="e">
        <f>HLOOKUP(O4317,データについて!$J$9:$M$18,10,FALSE)</f>
        <v>#N/A</v>
      </c>
      <c r="W4317" s="81" t="e">
        <f>HLOOKUP(P4317,データについて!$J$10:$M$18,9,FALSE)</f>
        <v>#N/A</v>
      </c>
      <c r="X4317" s="81" t="e">
        <f>HLOOKUP(Q4317,データについて!$J$11:$M$18,8,FALSE)</f>
        <v>#N/A</v>
      </c>
      <c r="Y4317" s="81" t="e">
        <f>HLOOKUP(R4317,データについて!$J$12:$M$18,7,FALSE)</f>
        <v>#N/A</v>
      </c>
      <c r="Z4317" s="81" t="e">
        <f>HLOOKUP(I4317,データについて!$J$3:$M$18,16,FALSE)</f>
        <v>#N/A</v>
      </c>
      <c r="AA4317" s="81" t="str">
        <f>IFERROR(HLOOKUP(J4317,データについて!$J$4:$AH$19,16,FALSE),"")</f>
        <v/>
      </c>
      <c r="AB4317" s="81" t="str">
        <f>IFERROR(HLOOKUP(K4317,データについて!$J$5:$AH$20,14,FALSE),"")</f>
        <v/>
      </c>
      <c r="AC4317" s="81" t="e">
        <f>IF(X4317=1,HLOOKUP(R4317,データについて!$J$12:$M$18,7,FALSE),"*")</f>
        <v>#N/A</v>
      </c>
      <c r="AD4317" s="81" t="e">
        <f>IF(X4317=2,HLOOKUP(R4317,データについて!$J$12:$M$18,7,FALSE),"*")</f>
        <v>#N/A</v>
      </c>
    </row>
    <row r="4318" spans="19:30">
      <c r="S4318" s="81" t="e">
        <f>HLOOKUP(L4318,データについて!$J$6:$M$18,13,FALSE)</f>
        <v>#N/A</v>
      </c>
      <c r="T4318" s="81" t="e">
        <f>HLOOKUP(M4318,データについて!$J$7:$M$18,12,FALSE)</f>
        <v>#N/A</v>
      </c>
      <c r="U4318" s="81" t="e">
        <f>HLOOKUP(N4318,データについて!$J$8:$M$18,11,FALSE)</f>
        <v>#N/A</v>
      </c>
      <c r="V4318" s="81" t="e">
        <f>HLOOKUP(O4318,データについて!$J$9:$M$18,10,FALSE)</f>
        <v>#N/A</v>
      </c>
      <c r="W4318" s="81" t="e">
        <f>HLOOKUP(P4318,データについて!$J$10:$M$18,9,FALSE)</f>
        <v>#N/A</v>
      </c>
      <c r="X4318" s="81" t="e">
        <f>HLOOKUP(Q4318,データについて!$J$11:$M$18,8,FALSE)</f>
        <v>#N/A</v>
      </c>
      <c r="Y4318" s="81" t="e">
        <f>HLOOKUP(R4318,データについて!$J$12:$M$18,7,FALSE)</f>
        <v>#N/A</v>
      </c>
      <c r="Z4318" s="81" t="e">
        <f>HLOOKUP(I4318,データについて!$J$3:$M$18,16,FALSE)</f>
        <v>#N/A</v>
      </c>
      <c r="AA4318" s="81" t="str">
        <f>IFERROR(HLOOKUP(J4318,データについて!$J$4:$AH$19,16,FALSE),"")</f>
        <v/>
      </c>
      <c r="AB4318" s="81" t="str">
        <f>IFERROR(HLOOKUP(K4318,データについて!$J$5:$AH$20,14,FALSE),"")</f>
        <v/>
      </c>
      <c r="AC4318" s="81" t="e">
        <f>IF(X4318=1,HLOOKUP(R4318,データについて!$J$12:$M$18,7,FALSE),"*")</f>
        <v>#N/A</v>
      </c>
      <c r="AD4318" s="81" t="e">
        <f>IF(X4318=2,HLOOKUP(R4318,データについて!$J$12:$M$18,7,FALSE),"*")</f>
        <v>#N/A</v>
      </c>
    </row>
    <row r="4319" spans="19:30">
      <c r="S4319" s="81" t="e">
        <f>HLOOKUP(L4319,データについて!$J$6:$M$18,13,FALSE)</f>
        <v>#N/A</v>
      </c>
      <c r="T4319" s="81" t="e">
        <f>HLOOKUP(M4319,データについて!$J$7:$M$18,12,FALSE)</f>
        <v>#N/A</v>
      </c>
      <c r="U4319" s="81" t="e">
        <f>HLOOKUP(N4319,データについて!$J$8:$M$18,11,FALSE)</f>
        <v>#N/A</v>
      </c>
      <c r="V4319" s="81" t="e">
        <f>HLOOKUP(O4319,データについて!$J$9:$M$18,10,FALSE)</f>
        <v>#N/A</v>
      </c>
      <c r="W4319" s="81" t="e">
        <f>HLOOKUP(P4319,データについて!$J$10:$M$18,9,FALSE)</f>
        <v>#N/A</v>
      </c>
      <c r="X4319" s="81" t="e">
        <f>HLOOKUP(Q4319,データについて!$J$11:$M$18,8,FALSE)</f>
        <v>#N/A</v>
      </c>
      <c r="Y4319" s="81" t="e">
        <f>HLOOKUP(R4319,データについて!$J$12:$M$18,7,FALSE)</f>
        <v>#N/A</v>
      </c>
      <c r="Z4319" s="81" t="e">
        <f>HLOOKUP(I4319,データについて!$J$3:$M$18,16,FALSE)</f>
        <v>#N/A</v>
      </c>
      <c r="AA4319" s="81" t="str">
        <f>IFERROR(HLOOKUP(J4319,データについて!$J$4:$AH$19,16,FALSE),"")</f>
        <v/>
      </c>
      <c r="AB4319" s="81" t="str">
        <f>IFERROR(HLOOKUP(K4319,データについて!$J$5:$AH$20,14,FALSE),"")</f>
        <v/>
      </c>
      <c r="AC4319" s="81" t="e">
        <f>IF(X4319=1,HLOOKUP(R4319,データについて!$J$12:$M$18,7,FALSE),"*")</f>
        <v>#N/A</v>
      </c>
      <c r="AD4319" s="81" t="e">
        <f>IF(X4319=2,HLOOKUP(R4319,データについて!$J$12:$M$18,7,FALSE),"*")</f>
        <v>#N/A</v>
      </c>
    </row>
    <row r="4320" spans="19:30">
      <c r="S4320" s="81" t="e">
        <f>HLOOKUP(L4320,データについて!$J$6:$M$18,13,FALSE)</f>
        <v>#N/A</v>
      </c>
      <c r="T4320" s="81" t="e">
        <f>HLOOKUP(M4320,データについて!$J$7:$M$18,12,FALSE)</f>
        <v>#N/A</v>
      </c>
      <c r="U4320" s="81" t="e">
        <f>HLOOKUP(N4320,データについて!$J$8:$M$18,11,FALSE)</f>
        <v>#N/A</v>
      </c>
      <c r="V4320" s="81" t="e">
        <f>HLOOKUP(O4320,データについて!$J$9:$M$18,10,FALSE)</f>
        <v>#N/A</v>
      </c>
      <c r="W4320" s="81" t="e">
        <f>HLOOKUP(P4320,データについて!$J$10:$M$18,9,FALSE)</f>
        <v>#N/A</v>
      </c>
      <c r="X4320" s="81" t="e">
        <f>HLOOKUP(Q4320,データについて!$J$11:$M$18,8,FALSE)</f>
        <v>#N/A</v>
      </c>
      <c r="Y4320" s="81" t="e">
        <f>HLOOKUP(R4320,データについて!$J$12:$M$18,7,FALSE)</f>
        <v>#N/A</v>
      </c>
      <c r="Z4320" s="81" t="e">
        <f>HLOOKUP(I4320,データについて!$J$3:$M$18,16,FALSE)</f>
        <v>#N/A</v>
      </c>
      <c r="AA4320" s="81" t="str">
        <f>IFERROR(HLOOKUP(J4320,データについて!$J$4:$AH$19,16,FALSE),"")</f>
        <v/>
      </c>
      <c r="AB4320" s="81" t="str">
        <f>IFERROR(HLOOKUP(K4320,データについて!$J$5:$AH$20,14,FALSE),"")</f>
        <v/>
      </c>
      <c r="AC4320" s="81" t="e">
        <f>IF(X4320=1,HLOOKUP(R4320,データについて!$J$12:$M$18,7,FALSE),"*")</f>
        <v>#N/A</v>
      </c>
      <c r="AD4320" s="81" t="e">
        <f>IF(X4320=2,HLOOKUP(R4320,データについて!$J$12:$M$18,7,FALSE),"*")</f>
        <v>#N/A</v>
      </c>
    </row>
    <row r="4321" spans="19:30">
      <c r="S4321" s="81" t="e">
        <f>HLOOKUP(L4321,データについて!$J$6:$M$18,13,FALSE)</f>
        <v>#N/A</v>
      </c>
      <c r="T4321" s="81" t="e">
        <f>HLOOKUP(M4321,データについて!$J$7:$M$18,12,FALSE)</f>
        <v>#N/A</v>
      </c>
      <c r="U4321" s="81" t="e">
        <f>HLOOKUP(N4321,データについて!$J$8:$M$18,11,FALSE)</f>
        <v>#N/A</v>
      </c>
      <c r="V4321" s="81" t="e">
        <f>HLOOKUP(O4321,データについて!$J$9:$M$18,10,FALSE)</f>
        <v>#N/A</v>
      </c>
      <c r="W4321" s="81" t="e">
        <f>HLOOKUP(P4321,データについて!$J$10:$M$18,9,FALSE)</f>
        <v>#N/A</v>
      </c>
      <c r="X4321" s="81" t="e">
        <f>HLOOKUP(Q4321,データについて!$J$11:$M$18,8,FALSE)</f>
        <v>#N/A</v>
      </c>
      <c r="Y4321" s="81" t="e">
        <f>HLOOKUP(R4321,データについて!$J$12:$M$18,7,FALSE)</f>
        <v>#N/A</v>
      </c>
      <c r="Z4321" s="81" t="e">
        <f>HLOOKUP(I4321,データについて!$J$3:$M$18,16,FALSE)</f>
        <v>#N/A</v>
      </c>
      <c r="AA4321" s="81" t="str">
        <f>IFERROR(HLOOKUP(J4321,データについて!$J$4:$AH$19,16,FALSE),"")</f>
        <v/>
      </c>
      <c r="AB4321" s="81" t="str">
        <f>IFERROR(HLOOKUP(K4321,データについて!$J$5:$AH$20,14,FALSE),"")</f>
        <v/>
      </c>
      <c r="AC4321" s="81" t="e">
        <f>IF(X4321=1,HLOOKUP(R4321,データについて!$J$12:$M$18,7,FALSE),"*")</f>
        <v>#N/A</v>
      </c>
      <c r="AD4321" s="81" t="e">
        <f>IF(X4321=2,HLOOKUP(R4321,データについて!$J$12:$M$18,7,FALSE),"*")</f>
        <v>#N/A</v>
      </c>
    </row>
    <row r="4322" spans="19:30">
      <c r="S4322" s="81" t="e">
        <f>HLOOKUP(L4322,データについて!$J$6:$M$18,13,FALSE)</f>
        <v>#N/A</v>
      </c>
      <c r="T4322" s="81" t="e">
        <f>HLOOKUP(M4322,データについて!$J$7:$M$18,12,FALSE)</f>
        <v>#N/A</v>
      </c>
      <c r="U4322" s="81" t="e">
        <f>HLOOKUP(N4322,データについて!$J$8:$M$18,11,FALSE)</f>
        <v>#N/A</v>
      </c>
      <c r="V4322" s="81" t="e">
        <f>HLOOKUP(O4322,データについて!$J$9:$M$18,10,FALSE)</f>
        <v>#N/A</v>
      </c>
      <c r="W4322" s="81" t="e">
        <f>HLOOKUP(P4322,データについて!$J$10:$M$18,9,FALSE)</f>
        <v>#N/A</v>
      </c>
      <c r="X4322" s="81" t="e">
        <f>HLOOKUP(Q4322,データについて!$J$11:$M$18,8,FALSE)</f>
        <v>#N/A</v>
      </c>
      <c r="Y4322" s="81" t="e">
        <f>HLOOKUP(R4322,データについて!$J$12:$M$18,7,FALSE)</f>
        <v>#N/A</v>
      </c>
      <c r="Z4322" s="81" t="e">
        <f>HLOOKUP(I4322,データについて!$J$3:$M$18,16,FALSE)</f>
        <v>#N/A</v>
      </c>
      <c r="AA4322" s="81" t="str">
        <f>IFERROR(HLOOKUP(J4322,データについて!$J$4:$AH$19,16,FALSE),"")</f>
        <v/>
      </c>
      <c r="AB4322" s="81" t="str">
        <f>IFERROR(HLOOKUP(K4322,データについて!$J$5:$AH$20,14,FALSE),"")</f>
        <v/>
      </c>
      <c r="AC4322" s="81" t="e">
        <f>IF(X4322=1,HLOOKUP(R4322,データについて!$J$12:$M$18,7,FALSE),"*")</f>
        <v>#N/A</v>
      </c>
      <c r="AD4322" s="81" t="e">
        <f>IF(X4322=2,HLOOKUP(R4322,データについて!$J$12:$M$18,7,FALSE),"*")</f>
        <v>#N/A</v>
      </c>
    </row>
    <row r="4323" spans="19:30">
      <c r="S4323" s="81" t="e">
        <f>HLOOKUP(L4323,データについて!$J$6:$M$18,13,FALSE)</f>
        <v>#N/A</v>
      </c>
      <c r="T4323" s="81" t="e">
        <f>HLOOKUP(M4323,データについて!$J$7:$M$18,12,FALSE)</f>
        <v>#N/A</v>
      </c>
      <c r="U4323" s="81" t="e">
        <f>HLOOKUP(N4323,データについて!$J$8:$M$18,11,FALSE)</f>
        <v>#N/A</v>
      </c>
      <c r="V4323" s="81" t="e">
        <f>HLOOKUP(O4323,データについて!$J$9:$M$18,10,FALSE)</f>
        <v>#N/A</v>
      </c>
      <c r="W4323" s="81" t="e">
        <f>HLOOKUP(P4323,データについて!$J$10:$M$18,9,FALSE)</f>
        <v>#N/A</v>
      </c>
      <c r="X4323" s="81" t="e">
        <f>HLOOKUP(Q4323,データについて!$J$11:$M$18,8,FALSE)</f>
        <v>#N/A</v>
      </c>
      <c r="Y4323" s="81" t="e">
        <f>HLOOKUP(R4323,データについて!$J$12:$M$18,7,FALSE)</f>
        <v>#N/A</v>
      </c>
      <c r="Z4323" s="81" t="e">
        <f>HLOOKUP(I4323,データについて!$J$3:$M$18,16,FALSE)</f>
        <v>#N/A</v>
      </c>
      <c r="AA4323" s="81" t="str">
        <f>IFERROR(HLOOKUP(J4323,データについて!$J$4:$AH$19,16,FALSE),"")</f>
        <v/>
      </c>
      <c r="AB4323" s="81" t="str">
        <f>IFERROR(HLOOKUP(K4323,データについて!$J$5:$AH$20,14,FALSE),"")</f>
        <v/>
      </c>
      <c r="AC4323" s="81" t="e">
        <f>IF(X4323=1,HLOOKUP(R4323,データについて!$J$12:$M$18,7,FALSE),"*")</f>
        <v>#N/A</v>
      </c>
      <c r="AD4323" s="81" t="e">
        <f>IF(X4323=2,HLOOKUP(R4323,データについて!$J$12:$M$18,7,FALSE),"*")</f>
        <v>#N/A</v>
      </c>
    </row>
    <row r="4324" spans="19:30">
      <c r="S4324" s="81" t="e">
        <f>HLOOKUP(L4324,データについて!$J$6:$M$18,13,FALSE)</f>
        <v>#N/A</v>
      </c>
      <c r="T4324" s="81" t="e">
        <f>HLOOKUP(M4324,データについて!$J$7:$M$18,12,FALSE)</f>
        <v>#N/A</v>
      </c>
      <c r="U4324" s="81" t="e">
        <f>HLOOKUP(N4324,データについて!$J$8:$M$18,11,FALSE)</f>
        <v>#N/A</v>
      </c>
      <c r="V4324" s="81" t="e">
        <f>HLOOKUP(O4324,データについて!$J$9:$M$18,10,FALSE)</f>
        <v>#N/A</v>
      </c>
      <c r="W4324" s="81" t="e">
        <f>HLOOKUP(P4324,データについて!$J$10:$M$18,9,FALSE)</f>
        <v>#N/A</v>
      </c>
      <c r="X4324" s="81" t="e">
        <f>HLOOKUP(Q4324,データについて!$J$11:$M$18,8,FALSE)</f>
        <v>#N/A</v>
      </c>
      <c r="Y4324" s="81" t="e">
        <f>HLOOKUP(R4324,データについて!$J$12:$M$18,7,FALSE)</f>
        <v>#N/A</v>
      </c>
      <c r="Z4324" s="81" t="e">
        <f>HLOOKUP(I4324,データについて!$J$3:$M$18,16,FALSE)</f>
        <v>#N/A</v>
      </c>
      <c r="AA4324" s="81" t="str">
        <f>IFERROR(HLOOKUP(J4324,データについて!$J$4:$AH$19,16,FALSE),"")</f>
        <v/>
      </c>
      <c r="AB4324" s="81" t="str">
        <f>IFERROR(HLOOKUP(K4324,データについて!$J$5:$AH$20,14,FALSE),"")</f>
        <v/>
      </c>
      <c r="AC4324" s="81" t="e">
        <f>IF(X4324=1,HLOOKUP(R4324,データについて!$J$12:$M$18,7,FALSE),"*")</f>
        <v>#N/A</v>
      </c>
      <c r="AD4324" s="81" t="e">
        <f>IF(X4324=2,HLOOKUP(R4324,データについて!$J$12:$M$18,7,FALSE),"*")</f>
        <v>#N/A</v>
      </c>
    </row>
    <row r="4325" spans="19:30">
      <c r="S4325" s="81" t="e">
        <f>HLOOKUP(L4325,データについて!$J$6:$M$18,13,FALSE)</f>
        <v>#N/A</v>
      </c>
      <c r="T4325" s="81" t="e">
        <f>HLOOKUP(M4325,データについて!$J$7:$M$18,12,FALSE)</f>
        <v>#N/A</v>
      </c>
      <c r="U4325" s="81" t="e">
        <f>HLOOKUP(N4325,データについて!$J$8:$M$18,11,FALSE)</f>
        <v>#N/A</v>
      </c>
      <c r="V4325" s="81" t="e">
        <f>HLOOKUP(O4325,データについて!$J$9:$M$18,10,FALSE)</f>
        <v>#N/A</v>
      </c>
      <c r="W4325" s="81" t="e">
        <f>HLOOKUP(P4325,データについて!$J$10:$M$18,9,FALSE)</f>
        <v>#N/A</v>
      </c>
      <c r="X4325" s="81" t="e">
        <f>HLOOKUP(Q4325,データについて!$J$11:$M$18,8,FALSE)</f>
        <v>#N/A</v>
      </c>
      <c r="Y4325" s="81" t="e">
        <f>HLOOKUP(R4325,データについて!$J$12:$M$18,7,FALSE)</f>
        <v>#N/A</v>
      </c>
      <c r="Z4325" s="81" t="e">
        <f>HLOOKUP(I4325,データについて!$J$3:$M$18,16,FALSE)</f>
        <v>#N/A</v>
      </c>
      <c r="AA4325" s="81" t="str">
        <f>IFERROR(HLOOKUP(J4325,データについて!$J$4:$AH$19,16,FALSE),"")</f>
        <v/>
      </c>
      <c r="AB4325" s="81" t="str">
        <f>IFERROR(HLOOKUP(K4325,データについて!$J$5:$AH$20,14,FALSE),"")</f>
        <v/>
      </c>
      <c r="AC4325" s="81" t="e">
        <f>IF(X4325=1,HLOOKUP(R4325,データについて!$J$12:$M$18,7,FALSE),"*")</f>
        <v>#N/A</v>
      </c>
      <c r="AD4325" s="81" t="e">
        <f>IF(X4325=2,HLOOKUP(R4325,データについて!$J$12:$M$18,7,FALSE),"*")</f>
        <v>#N/A</v>
      </c>
    </row>
    <row r="4326" spans="19:30">
      <c r="S4326" s="81" t="e">
        <f>HLOOKUP(L4326,データについて!$J$6:$M$18,13,FALSE)</f>
        <v>#N/A</v>
      </c>
      <c r="T4326" s="81" t="e">
        <f>HLOOKUP(M4326,データについて!$J$7:$M$18,12,FALSE)</f>
        <v>#N/A</v>
      </c>
      <c r="U4326" s="81" t="e">
        <f>HLOOKUP(N4326,データについて!$J$8:$M$18,11,FALSE)</f>
        <v>#N/A</v>
      </c>
      <c r="V4326" s="81" t="e">
        <f>HLOOKUP(O4326,データについて!$J$9:$M$18,10,FALSE)</f>
        <v>#N/A</v>
      </c>
      <c r="W4326" s="81" t="e">
        <f>HLOOKUP(P4326,データについて!$J$10:$M$18,9,FALSE)</f>
        <v>#N/A</v>
      </c>
      <c r="X4326" s="81" t="e">
        <f>HLOOKUP(Q4326,データについて!$J$11:$M$18,8,FALSE)</f>
        <v>#N/A</v>
      </c>
      <c r="Y4326" s="81" t="e">
        <f>HLOOKUP(R4326,データについて!$J$12:$M$18,7,FALSE)</f>
        <v>#N/A</v>
      </c>
      <c r="Z4326" s="81" t="e">
        <f>HLOOKUP(I4326,データについて!$J$3:$M$18,16,FALSE)</f>
        <v>#N/A</v>
      </c>
      <c r="AA4326" s="81" t="str">
        <f>IFERROR(HLOOKUP(J4326,データについて!$J$4:$AH$19,16,FALSE),"")</f>
        <v/>
      </c>
      <c r="AB4326" s="81" t="str">
        <f>IFERROR(HLOOKUP(K4326,データについて!$J$5:$AH$20,14,FALSE),"")</f>
        <v/>
      </c>
      <c r="AC4326" s="81" t="e">
        <f>IF(X4326=1,HLOOKUP(R4326,データについて!$J$12:$M$18,7,FALSE),"*")</f>
        <v>#N/A</v>
      </c>
      <c r="AD4326" s="81" t="e">
        <f>IF(X4326=2,HLOOKUP(R4326,データについて!$J$12:$M$18,7,FALSE),"*")</f>
        <v>#N/A</v>
      </c>
    </row>
    <row r="4327" spans="19:30">
      <c r="S4327" s="81" t="e">
        <f>HLOOKUP(L4327,データについて!$J$6:$M$18,13,FALSE)</f>
        <v>#N/A</v>
      </c>
      <c r="T4327" s="81" t="e">
        <f>HLOOKUP(M4327,データについて!$J$7:$M$18,12,FALSE)</f>
        <v>#N/A</v>
      </c>
      <c r="U4327" s="81" t="e">
        <f>HLOOKUP(N4327,データについて!$J$8:$M$18,11,FALSE)</f>
        <v>#N/A</v>
      </c>
      <c r="V4327" s="81" t="e">
        <f>HLOOKUP(O4327,データについて!$J$9:$M$18,10,FALSE)</f>
        <v>#N/A</v>
      </c>
      <c r="W4327" s="81" t="e">
        <f>HLOOKUP(P4327,データについて!$J$10:$M$18,9,FALSE)</f>
        <v>#N/A</v>
      </c>
      <c r="X4327" s="81" t="e">
        <f>HLOOKUP(Q4327,データについて!$J$11:$M$18,8,FALSE)</f>
        <v>#N/A</v>
      </c>
      <c r="Y4327" s="81" t="e">
        <f>HLOOKUP(R4327,データについて!$J$12:$M$18,7,FALSE)</f>
        <v>#N/A</v>
      </c>
      <c r="Z4327" s="81" t="e">
        <f>HLOOKUP(I4327,データについて!$J$3:$M$18,16,FALSE)</f>
        <v>#N/A</v>
      </c>
      <c r="AA4327" s="81" t="str">
        <f>IFERROR(HLOOKUP(J4327,データについて!$J$4:$AH$19,16,FALSE),"")</f>
        <v/>
      </c>
      <c r="AB4327" s="81" t="str">
        <f>IFERROR(HLOOKUP(K4327,データについて!$J$5:$AH$20,14,FALSE),"")</f>
        <v/>
      </c>
      <c r="AC4327" s="81" t="e">
        <f>IF(X4327=1,HLOOKUP(R4327,データについて!$J$12:$M$18,7,FALSE),"*")</f>
        <v>#N/A</v>
      </c>
      <c r="AD4327" s="81" t="e">
        <f>IF(X4327=2,HLOOKUP(R4327,データについて!$J$12:$M$18,7,FALSE),"*")</f>
        <v>#N/A</v>
      </c>
    </row>
    <row r="4328" spans="19:30">
      <c r="S4328" s="81" t="e">
        <f>HLOOKUP(L4328,データについて!$J$6:$M$18,13,FALSE)</f>
        <v>#N/A</v>
      </c>
      <c r="T4328" s="81" t="e">
        <f>HLOOKUP(M4328,データについて!$J$7:$M$18,12,FALSE)</f>
        <v>#N/A</v>
      </c>
      <c r="U4328" s="81" t="e">
        <f>HLOOKUP(N4328,データについて!$J$8:$M$18,11,FALSE)</f>
        <v>#N/A</v>
      </c>
      <c r="V4328" s="81" t="e">
        <f>HLOOKUP(O4328,データについて!$J$9:$M$18,10,FALSE)</f>
        <v>#N/A</v>
      </c>
      <c r="W4328" s="81" t="e">
        <f>HLOOKUP(P4328,データについて!$J$10:$M$18,9,FALSE)</f>
        <v>#N/A</v>
      </c>
      <c r="X4328" s="81" t="e">
        <f>HLOOKUP(Q4328,データについて!$J$11:$M$18,8,FALSE)</f>
        <v>#N/A</v>
      </c>
      <c r="Y4328" s="81" t="e">
        <f>HLOOKUP(R4328,データについて!$J$12:$M$18,7,FALSE)</f>
        <v>#N/A</v>
      </c>
      <c r="Z4328" s="81" t="e">
        <f>HLOOKUP(I4328,データについて!$J$3:$M$18,16,FALSE)</f>
        <v>#N/A</v>
      </c>
      <c r="AA4328" s="81" t="str">
        <f>IFERROR(HLOOKUP(J4328,データについて!$J$4:$AH$19,16,FALSE),"")</f>
        <v/>
      </c>
      <c r="AB4328" s="81" t="str">
        <f>IFERROR(HLOOKUP(K4328,データについて!$J$5:$AH$20,14,FALSE),"")</f>
        <v/>
      </c>
      <c r="AC4328" s="81" t="e">
        <f>IF(X4328=1,HLOOKUP(R4328,データについて!$J$12:$M$18,7,FALSE),"*")</f>
        <v>#N/A</v>
      </c>
      <c r="AD4328" s="81" t="e">
        <f>IF(X4328=2,HLOOKUP(R4328,データについて!$J$12:$M$18,7,FALSE),"*")</f>
        <v>#N/A</v>
      </c>
    </row>
    <row r="4329" spans="19:30">
      <c r="S4329" s="81" t="e">
        <f>HLOOKUP(L4329,データについて!$J$6:$M$18,13,FALSE)</f>
        <v>#N/A</v>
      </c>
      <c r="T4329" s="81" t="e">
        <f>HLOOKUP(M4329,データについて!$J$7:$M$18,12,FALSE)</f>
        <v>#N/A</v>
      </c>
      <c r="U4329" s="81" t="e">
        <f>HLOOKUP(N4329,データについて!$J$8:$M$18,11,FALSE)</f>
        <v>#N/A</v>
      </c>
      <c r="V4329" s="81" t="e">
        <f>HLOOKUP(O4329,データについて!$J$9:$M$18,10,FALSE)</f>
        <v>#N/A</v>
      </c>
      <c r="W4329" s="81" t="e">
        <f>HLOOKUP(P4329,データについて!$J$10:$M$18,9,FALSE)</f>
        <v>#N/A</v>
      </c>
      <c r="X4329" s="81" t="e">
        <f>HLOOKUP(Q4329,データについて!$J$11:$M$18,8,FALSE)</f>
        <v>#N/A</v>
      </c>
      <c r="Y4329" s="81" t="e">
        <f>HLOOKUP(R4329,データについて!$J$12:$M$18,7,FALSE)</f>
        <v>#N/A</v>
      </c>
      <c r="Z4329" s="81" t="e">
        <f>HLOOKUP(I4329,データについて!$J$3:$M$18,16,FALSE)</f>
        <v>#N/A</v>
      </c>
      <c r="AA4329" s="81" t="str">
        <f>IFERROR(HLOOKUP(J4329,データについて!$J$4:$AH$19,16,FALSE),"")</f>
        <v/>
      </c>
      <c r="AB4329" s="81" t="str">
        <f>IFERROR(HLOOKUP(K4329,データについて!$J$5:$AH$20,14,FALSE),"")</f>
        <v/>
      </c>
      <c r="AC4329" s="81" t="e">
        <f>IF(X4329=1,HLOOKUP(R4329,データについて!$J$12:$M$18,7,FALSE),"*")</f>
        <v>#N/A</v>
      </c>
      <c r="AD4329" s="81" t="e">
        <f>IF(X4329=2,HLOOKUP(R4329,データについて!$J$12:$M$18,7,FALSE),"*")</f>
        <v>#N/A</v>
      </c>
    </row>
    <row r="4330" spans="19:30">
      <c r="S4330" s="81" t="e">
        <f>HLOOKUP(L4330,データについて!$J$6:$M$18,13,FALSE)</f>
        <v>#N/A</v>
      </c>
      <c r="T4330" s="81" t="e">
        <f>HLOOKUP(M4330,データについて!$J$7:$M$18,12,FALSE)</f>
        <v>#N/A</v>
      </c>
      <c r="U4330" s="81" t="e">
        <f>HLOOKUP(N4330,データについて!$J$8:$M$18,11,FALSE)</f>
        <v>#N/A</v>
      </c>
      <c r="V4330" s="81" t="e">
        <f>HLOOKUP(O4330,データについて!$J$9:$M$18,10,FALSE)</f>
        <v>#N/A</v>
      </c>
      <c r="W4330" s="81" t="e">
        <f>HLOOKUP(P4330,データについて!$J$10:$M$18,9,FALSE)</f>
        <v>#N/A</v>
      </c>
      <c r="X4330" s="81" t="e">
        <f>HLOOKUP(Q4330,データについて!$J$11:$M$18,8,FALSE)</f>
        <v>#N/A</v>
      </c>
      <c r="Y4330" s="81" t="e">
        <f>HLOOKUP(R4330,データについて!$J$12:$M$18,7,FALSE)</f>
        <v>#N/A</v>
      </c>
      <c r="Z4330" s="81" t="e">
        <f>HLOOKUP(I4330,データについて!$J$3:$M$18,16,FALSE)</f>
        <v>#N/A</v>
      </c>
      <c r="AA4330" s="81" t="str">
        <f>IFERROR(HLOOKUP(J4330,データについて!$J$4:$AH$19,16,FALSE),"")</f>
        <v/>
      </c>
      <c r="AB4330" s="81" t="str">
        <f>IFERROR(HLOOKUP(K4330,データについて!$J$5:$AH$20,14,FALSE),"")</f>
        <v/>
      </c>
      <c r="AC4330" s="81" t="e">
        <f>IF(X4330=1,HLOOKUP(R4330,データについて!$J$12:$M$18,7,FALSE),"*")</f>
        <v>#N/A</v>
      </c>
      <c r="AD4330" s="81" t="e">
        <f>IF(X4330=2,HLOOKUP(R4330,データについて!$J$12:$M$18,7,FALSE),"*")</f>
        <v>#N/A</v>
      </c>
    </row>
    <row r="4331" spans="19:30">
      <c r="S4331" s="81" t="e">
        <f>HLOOKUP(L4331,データについて!$J$6:$M$18,13,FALSE)</f>
        <v>#N/A</v>
      </c>
      <c r="T4331" s="81" t="e">
        <f>HLOOKUP(M4331,データについて!$J$7:$M$18,12,FALSE)</f>
        <v>#N/A</v>
      </c>
      <c r="U4331" s="81" t="e">
        <f>HLOOKUP(N4331,データについて!$J$8:$M$18,11,FALSE)</f>
        <v>#N/A</v>
      </c>
      <c r="V4331" s="81" t="e">
        <f>HLOOKUP(O4331,データについて!$J$9:$M$18,10,FALSE)</f>
        <v>#N/A</v>
      </c>
      <c r="W4331" s="81" t="e">
        <f>HLOOKUP(P4331,データについて!$J$10:$M$18,9,FALSE)</f>
        <v>#N/A</v>
      </c>
      <c r="X4331" s="81" t="e">
        <f>HLOOKUP(Q4331,データについて!$J$11:$M$18,8,FALSE)</f>
        <v>#N/A</v>
      </c>
      <c r="Y4331" s="81" t="e">
        <f>HLOOKUP(R4331,データについて!$J$12:$M$18,7,FALSE)</f>
        <v>#N/A</v>
      </c>
      <c r="Z4331" s="81" t="e">
        <f>HLOOKUP(I4331,データについて!$J$3:$M$18,16,FALSE)</f>
        <v>#N/A</v>
      </c>
      <c r="AA4331" s="81" t="str">
        <f>IFERROR(HLOOKUP(J4331,データについて!$J$4:$AH$19,16,FALSE),"")</f>
        <v/>
      </c>
      <c r="AB4331" s="81" t="str">
        <f>IFERROR(HLOOKUP(K4331,データについて!$J$5:$AH$20,14,FALSE),"")</f>
        <v/>
      </c>
      <c r="AC4331" s="81" t="e">
        <f>IF(X4331=1,HLOOKUP(R4331,データについて!$J$12:$M$18,7,FALSE),"*")</f>
        <v>#N/A</v>
      </c>
      <c r="AD4331" s="81" t="e">
        <f>IF(X4331=2,HLOOKUP(R4331,データについて!$J$12:$M$18,7,FALSE),"*")</f>
        <v>#N/A</v>
      </c>
    </row>
    <row r="4332" spans="19:30">
      <c r="S4332" s="81" t="e">
        <f>HLOOKUP(L4332,データについて!$J$6:$M$18,13,FALSE)</f>
        <v>#N/A</v>
      </c>
      <c r="T4332" s="81" t="e">
        <f>HLOOKUP(M4332,データについて!$J$7:$M$18,12,FALSE)</f>
        <v>#N/A</v>
      </c>
      <c r="U4332" s="81" t="e">
        <f>HLOOKUP(N4332,データについて!$J$8:$M$18,11,FALSE)</f>
        <v>#N/A</v>
      </c>
      <c r="V4332" s="81" t="e">
        <f>HLOOKUP(O4332,データについて!$J$9:$M$18,10,FALSE)</f>
        <v>#N/A</v>
      </c>
      <c r="W4332" s="81" t="e">
        <f>HLOOKUP(P4332,データについて!$J$10:$M$18,9,FALSE)</f>
        <v>#N/A</v>
      </c>
      <c r="X4332" s="81" t="e">
        <f>HLOOKUP(Q4332,データについて!$J$11:$M$18,8,FALSE)</f>
        <v>#N/A</v>
      </c>
      <c r="Y4332" s="81" t="e">
        <f>HLOOKUP(R4332,データについて!$J$12:$M$18,7,FALSE)</f>
        <v>#N/A</v>
      </c>
      <c r="Z4332" s="81" t="e">
        <f>HLOOKUP(I4332,データについて!$J$3:$M$18,16,FALSE)</f>
        <v>#N/A</v>
      </c>
      <c r="AA4332" s="81" t="str">
        <f>IFERROR(HLOOKUP(J4332,データについて!$J$4:$AH$19,16,FALSE),"")</f>
        <v/>
      </c>
      <c r="AB4332" s="81" t="str">
        <f>IFERROR(HLOOKUP(K4332,データについて!$J$5:$AH$20,14,FALSE),"")</f>
        <v/>
      </c>
      <c r="AC4332" s="81" t="e">
        <f>IF(X4332=1,HLOOKUP(R4332,データについて!$J$12:$M$18,7,FALSE),"*")</f>
        <v>#N/A</v>
      </c>
      <c r="AD4332" s="81" t="e">
        <f>IF(X4332=2,HLOOKUP(R4332,データについて!$J$12:$M$18,7,FALSE),"*")</f>
        <v>#N/A</v>
      </c>
    </row>
    <row r="4333" spans="19:30">
      <c r="S4333" s="81" t="e">
        <f>HLOOKUP(L4333,データについて!$J$6:$M$18,13,FALSE)</f>
        <v>#N/A</v>
      </c>
      <c r="T4333" s="81" t="e">
        <f>HLOOKUP(M4333,データについて!$J$7:$M$18,12,FALSE)</f>
        <v>#N/A</v>
      </c>
      <c r="U4333" s="81" t="e">
        <f>HLOOKUP(N4333,データについて!$J$8:$M$18,11,FALSE)</f>
        <v>#N/A</v>
      </c>
      <c r="V4333" s="81" t="e">
        <f>HLOOKUP(O4333,データについて!$J$9:$M$18,10,FALSE)</f>
        <v>#N/A</v>
      </c>
      <c r="W4333" s="81" t="e">
        <f>HLOOKUP(P4333,データについて!$J$10:$M$18,9,FALSE)</f>
        <v>#N/A</v>
      </c>
      <c r="X4333" s="81" t="e">
        <f>HLOOKUP(Q4333,データについて!$J$11:$M$18,8,FALSE)</f>
        <v>#N/A</v>
      </c>
      <c r="Y4333" s="81" t="e">
        <f>HLOOKUP(R4333,データについて!$J$12:$M$18,7,FALSE)</f>
        <v>#N/A</v>
      </c>
      <c r="Z4333" s="81" t="e">
        <f>HLOOKUP(I4333,データについて!$J$3:$M$18,16,FALSE)</f>
        <v>#N/A</v>
      </c>
      <c r="AA4333" s="81" t="str">
        <f>IFERROR(HLOOKUP(J4333,データについて!$J$4:$AH$19,16,FALSE),"")</f>
        <v/>
      </c>
      <c r="AB4333" s="81" t="str">
        <f>IFERROR(HLOOKUP(K4333,データについて!$J$5:$AH$20,14,FALSE),"")</f>
        <v/>
      </c>
      <c r="AC4333" s="81" t="e">
        <f>IF(X4333=1,HLOOKUP(R4333,データについて!$J$12:$M$18,7,FALSE),"*")</f>
        <v>#N/A</v>
      </c>
      <c r="AD4333" s="81" t="e">
        <f>IF(X4333=2,HLOOKUP(R4333,データについて!$J$12:$M$18,7,FALSE),"*")</f>
        <v>#N/A</v>
      </c>
    </row>
    <row r="4334" spans="19:30">
      <c r="S4334" s="81" t="e">
        <f>HLOOKUP(L4334,データについて!$J$6:$M$18,13,FALSE)</f>
        <v>#N/A</v>
      </c>
      <c r="T4334" s="81" t="e">
        <f>HLOOKUP(M4334,データについて!$J$7:$M$18,12,FALSE)</f>
        <v>#N/A</v>
      </c>
      <c r="U4334" s="81" t="e">
        <f>HLOOKUP(N4334,データについて!$J$8:$M$18,11,FALSE)</f>
        <v>#N/A</v>
      </c>
      <c r="V4334" s="81" t="e">
        <f>HLOOKUP(O4334,データについて!$J$9:$M$18,10,FALSE)</f>
        <v>#N/A</v>
      </c>
      <c r="W4334" s="81" t="e">
        <f>HLOOKUP(P4334,データについて!$J$10:$M$18,9,FALSE)</f>
        <v>#N/A</v>
      </c>
      <c r="X4334" s="81" t="e">
        <f>HLOOKUP(Q4334,データについて!$J$11:$M$18,8,FALSE)</f>
        <v>#N/A</v>
      </c>
      <c r="Y4334" s="81" t="e">
        <f>HLOOKUP(R4334,データについて!$J$12:$M$18,7,FALSE)</f>
        <v>#N/A</v>
      </c>
      <c r="Z4334" s="81" t="e">
        <f>HLOOKUP(I4334,データについて!$J$3:$M$18,16,FALSE)</f>
        <v>#N/A</v>
      </c>
      <c r="AA4334" s="81" t="str">
        <f>IFERROR(HLOOKUP(J4334,データについて!$J$4:$AH$19,16,FALSE),"")</f>
        <v/>
      </c>
      <c r="AB4334" s="81" t="str">
        <f>IFERROR(HLOOKUP(K4334,データについて!$J$5:$AH$20,14,FALSE),"")</f>
        <v/>
      </c>
      <c r="AC4334" s="81" t="e">
        <f>IF(X4334=1,HLOOKUP(R4334,データについて!$J$12:$M$18,7,FALSE),"*")</f>
        <v>#N/A</v>
      </c>
      <c r="AD4334" s="81" t="e">
        <f>IF(X4334=2,HLOOKUP(R4334,データについて!$J$12:$M$18,7,FALSE),"*")</f>
        <v>#N/A</v>
      </c>
    </row>
    <row r="4335" spans="19:30">
      <c r="S4335" s="81" t="e">
        <f>HLOOKUP(L4335,データについて!$J$6:$M$18,13,FALSE)</f>
        <v>#N/A</v>
      </c>
      <c r="T4335" s="81" t="e">
        <f>HLOOKUP(M4335,データについて!$J$7:$M$18,12,FALSE)</f>
        <v>#N/A</v>
      </c>
      <c r="U4335" s="81" t="e">
        <f>HLOOKUP(N4335,データについて!$J$8:$M$18,11,FALSE)</f>
        <v>#N/A</v>
      </c>
      <c r="V4335" s="81" t="e">
        <f>HLOOKUP(O4335,データについて!$J$9:$M$18,10,FALSE)</f>
        <v>#N/A</v>
      </c>
      <c r="W4335" s="81" t="e">
        <f>HLOOKUP(P4335,データについて!$J$10:$M$18,9,FALSE)</f>
        <v>#N/A</v>
      </c>
      <c r="X4335" s="81" t="e">
        <f>HLOOKUP(Q4335,データについて!$J$11:$M$18,8,FALSE)</f>
        <v>#N/A</v>
      </c>
      <c r="Y4335" s="81" t="e">
        <f>HLOOKUP(R4335,データについて!$J$12:$M$18,7,FALSE)</f>
        <v>#N/A</v>
      </c>
      <c r="Z4335" s="81" t="e">
        <f>HLOOKUP(I4335,データについて!$J$3:$M$18,16,FALSE)</f>
        <v>#N/A</v>
      </c>
      <c r="AA4335" s="81" t="str">
        <f>IFERROR(HLOOKUP(J4335,データについて!$J$4:$AH$19,16,FALSE),"")</f>
        <v/>
      </c>
      <c r="AB4335" s="81" t="str">
        <f>IFERROR(HLOOKUP(K4335,データについて!$J$5:$AH$20,14,FALSE),"")</f>
        <v/>
      </c>
      <c r="AC4335" s="81" t="e">
        <f>IF(X4335=1,HLOOKUP(R4335,データについて!$J$12:$M$18,7,FALSE),"*")</f>
        <v>#N/A</v>
      </c>
      <c r="AD4335" s="81" t="e">
        <f>IF(X4335=2,HLOOKUP(R4335,データについて!$J$12:$M$18,7,FALSE),"*")</f>
        <v>#N/A</v>
      </c>
    </row>
    <row r="4336" spans="19:30">
      <c r="S4336" s="81" t="e">
        <f>HLOOKUP(L4336,データについて!$J$6:$M$18,13,FALSE)</f>
        <v>#N/A</v>
      </c>
      <c r="T4336" s="81" t="e">
        <f>HLOOKUP(M4336,データについて!$J$7:$M$18,12,FALSE)</f>
        <v>#N/A</v>
      </c>
      <c r="U4336" s="81" t="e">
        <f>HLOOKUP(N4336,データについて!$J$8:$M$18,11,FALSE)</f>
        <v>#N/A</v>
      </c>
      <c r="V4336" s="81" t="e">
        <f>HLOOKUP(O4336,データについて!$J$9:$M$18,10,FALSE)</f>
        <v>#N/A</v>
      </c>
      <c r="W4336" s="81" t="e">
        <f>HLOOKUP(P4336,データについて!$J$10:$M$18,9,FALSE)</f>
        <v>#N/A</v>
      </c>
      <c r="X4336" s="81" t="e">
        <f>HLOOKUP(Q4336,データについて!$J$11:$M$18,8,FALSE)</f>
        <v>#N/A</v>
      </c>
      <c r="Y4336" s="81" t="e">
        <f>HLOOKUP(R4336,データについて!$J$12:$M$18,7,FALSE)</f>
        <v>#N/A</v>
      </c>
      <c r="Z4336" s="81" t="e">
        <f>HLOOKUP(I4336,データについて!$J$3:$M$18,16,FALSE)</f>
        <v>#N/A</v>
      </c>
      <c r="AA4336" s="81" t="str">
        <f>IFERROR(HLOOKUP(J4336,データについて!$J$4:$AH$19,16,FALSE),"")</f>
        <v/>
      </c>
      <c r="AB4336" s="81" t="str">
        <f>IFERROR(HLOOKUP(K4336,データについて!$J$5:$AH$20,14,FALSE),"")</f>
        <v/>
      </c>
      <c r="AC4336" s="81" t="e">
        <f>IF(X4336=1,HLOOKUP(R4336,データについて!$J$12:$M$18,7,FALSE),"*")</f>
        <v>#N/A</v>
      </c>
      <c r="AD4336" s="81" t="e">
        <f>IF(X4336=2,HLOOKUP(R4336,データについて!$J$12:$M$18,7,FALSE),"*")</f>
        <v>#N/A</v>
      </c>
    </row>
    <row r="4337" spans="19:30">
      <c r="S4337" s="81" t="e">
        <f>HLOOKUP(L4337,データについて!$J$6:$M$18,13,FALSE)</f>
        <v>#N/A</v>
      </c>
      <c r="T4337" s="81" t="e">
        <f>HLOOKUP(M4337,データについて!$J$7:$M$18,12,FALSE)</f>
        <v>#N/A</v>
      </c>
      <c r="U4337" s="81" t="e">
        <f>HLOOKUP(N4337,データについて!$J$8:$M$18,11,FALSE)</f>
        <v>#N/A</v>
      </c>
      <c r="V4337" s="81" t="e">
        <f>HLOOKUP(O4337,データについて!$J$9:$M$18,10,FALSE)</f>
        <v>#N/A</v>
      </c>
      <c r="W4337" s="81" t="e">
        <f>HLOOKUP(P4337,データについて!$J$10:$M$18,9,FALSE)</f>
        <v>#N/A</v>
      </c>
      <c r="X4337" s="81" t="e">
        <f>HLOOKUP(Q4337,データについて!$J$11:$M$18,8,FALSE)</f>
        <v>#N/A</v>
      </c>
      <c r="Y4337" s="81" t="e">
        <f>HLOOKUP(R4337,データについて!$J$12:$M$18,7,FALSE)</f>
        <v>#N/A</v>
      </c>
      <c r="Z4337" s="81" t="e">
        <f>HLOOKUP(I4337,データについて!$J$3:$M$18,16,FALSE)</f>
        <v>#N/A</v>
      </c>
      <c r="AA4337" s="81" t="str">
        <f>IFERROR(HLOOKUP(J4337,データについて!$J$4:$AH$19,16,FALSE),"")</f>
        <v/>
      </c>
      <c r="AB4337" s="81" t="str">
        <f>IFERROR(HLOOKUP(K4337,データについて!$J$5:$AH$20,14,FALSE),"")</f>
        <v/>
      </c>
      <c r="AC4337" s="81" t="e">
        <f>IF(X4337=1,HLOOKUP(R4337,データについて!$J$12:$M$18,7,FALSE),"*")</f>
        <v>#N/A</v>
      </c>
      <c r="AD4337" s="81" t="e">
        <f>IF(X4337=2,HLOOKUP(R4337,データについて!$J$12:$M$18,7,FALSE),"*")</f>
        <v>#N/A</v>
      </c>
    </row>
    <row r="4338" spans="19:30">
      <c r="S4338" s="81" t="e">
        <f>HLOOKUP(L4338,データについて!$J$6:$M$18,13,FALSE)</f>
        <v>#N/A</v>
      </c>
      <c r="T4338" s="81" t="e">
        <f>HLOOKUP(M4338,データについて!$J$7:$M$18,12,FALSE)</f>
        <v>#N/A</v>
      </c>
      <c r="U4338" s="81" t="e">
        <f>HLOOKUP(N4338,データについて!$J$8:$M$18,11,FALSE)</f>
        <v>#N/A</v>
      </c>
      <c r="V4338" s="81" t="e">
        <f>HLOOKUP(O4338,データについて!$J$9:$M$18,10,FALSE)</f>
        <v>#N/A</v>
      </c>
      <c r="W4338" s="81" t="e">
        <f>HLOOKUP(P4338,データについて!$J$10:$M$18,9,FALSE)</f>
        <v>#N/A</v>
      </c>
      <c r="X4338" s="81" t="e">
        <f>HLOOKUP(Q4338,データについて!$J$11:$M$18,8,FALSE)</f>
        <v>#N/A</v>
      </c>
      <c r="Y4338" s="81" t="e">
        <f>HLOOKUP(R4338,データについて!$J$12:$M$18,7,FALSE)</f>
        <v>#N/A</v>
      </c>
      <c r="Z4338" s="81" t="e">
        <f>HLOOKUP(I4338,データについて!$J$3:$M$18,16,FALSE)</f>
        <v>#N/A</v>
      </c>
      <c r="AA4338" s="81" t="str">
        <f>IFERROR(HLOOKUP(J4338,データについて!$J$4:$AH$19,16,FALSE),"")</f>
        <v/>
      </c>
      <c r="AB4338" s="81" t="str">
        <f>IFERROR(HLOOKUP(K4338,データについて!$J$5:$AH$20,14,FALSE),"")</f>
        <v/>
      </c>
      <c r="AC4338" s="81" t="e">
        <f>IF(X4338=1,HLOOKUP(R4338,データについて!$J$12:$M$18,7,FALSE),"*")</f>
        <v>#N/A</v>
      </c>
      <c r="AD4338" s="81" t="e">
        <f>IF(X4338=2,HLOOKUP(R4338,データについて!$J$12:$M$18,7,FALSE),"*")</f>
        <v>#N/A</v>
      </c>
    </row>
    <row r="4339" spans="19:30">
      <c r="S4339" s="81" t="e">
        <f>HLOOKUP(L4339,データについて!$J$6:$M$18,13,FALSE)</f>
        <v>#N/A</v>
      </c>
      <c r="T4339" s="81" t="e">
        <f>HLOOKUP(M4339,データについて!$J$7:$M$18,12,FALSE)</f>
        <v>#N/A</v>
      </c>
      <c r="U4339" s="81" t="e">
        <f>HLOOKUP(N4339,データについて!$J$8:$M$18,11,FALSE)</f>
        <v>#N/A</v>
      </c>
      <c r="V4339" s="81" t="e">
        <f>HLOOKUP(O4339,データについて!$J$9:$M$18,10,FALSE)</f>
        <v>#N/A</v>
      </c>
      <c r="W4339" s="81" t="e">
        <f>HLOOKUP(P4339,データについて!$J$10:$M$18,9,FALSE)</f>
        <v>#N/A</v>
      </c>
      <c r="X4339" s="81" t="e">
        <f>HLOOKUP(Q4339,データについて!$J$11:$M$18,8,FALSE)</f>
        <v>#N/A</v>
      </c>
      <c r="Y4339" s="81" t="e">
        <f>HLOOKUP(R4339,データについて!$J$12:$M$18,7,FALSE)</f>
        <v>#N/A</v>
      </c>
      <c r="Z4339" s="81" t="e">
        <f>HLOOKUP(I4339,データについて!$J$3:$M$18,16,FALSE)</f>
        <v>#N/A</v>
      </c>
      <c r="AA4339" s="81" t="str">
        <f>IFERROR(HLOOKUP(J4339,データについて!$J$4:$AH$19,16,FALSE),"")</f>
        <v/>
      </c>
      <c r="AB4339" s="81" t="str">
        <f>IFERROR(HLOOKUP(K4339,データについて!$J$5:$AH$20,14,FALSE),"")</f>
        <v/>
      </c>
      <c r="AC4339" s="81" t="e">
        <f>IF(X4339=1,HLOOKUP(R4339,データについて!$J$12:$M$18,7,FALSE),"*")</f>
        <v>#N/A</v>
      </c>
      <c r="AD4339" s="81" t="e">
        <f>IF(X4339=2,HLOOKUP(R4339,データについて!$J$12:$M$18,7,FALSE),"*")</f>
        <v>#N/A</v>
      </c>
    </row>
    <row r="4340" spans="19:30">
      <c r="S4340" s="81" t="e">
        <f>HLOOKUP(L4340,データについて!$J$6:$M$18,13,FALSE)</f>
        <v>#N/A</v>
      </c>
      <c r="T4340" s="81" t="e">
        <f>HLOOKUP(M4340,データについて!$J$7:$M$18,12,FALSE)</f>
        <v>#N/A</v>
      </c>
      <c r="U4340" s="81" t="e">
        <f>HLOOKUP(N4340,データについて!$J$8:$M$18,11,FALSE)</f>
        <v>#N/A</v>
      </c>
      <c r="V4340" s="81" t="e">
        <f>HLOOKUP(O4340,データについて!$J$9:$M$18,10,FALSE)</f>
        <v>#N/A</v>
      </c>
      <c r="W4340" s="81" t="e">
        <f>HLOOKUP(P4340,データについて!$J$10:$M$18,9,FALSE)</f>
        <v>#N/A</v>
      </c>
      <c r="X4340" s="81" t="e">
        <f>HLOOKUP(Q4340,データについて!$J$11:$M$18,8,FALSE)</f>
        <v>#N/A</v>
      </c>
      <c r="Y4340" s="81" t="e">
        <f>HLOOKUP(R4340,データについて!$J$12:$M$18,7,FALSE)</f>
        <v>#N/A</v>
      </c>
      <c r="Z4340" s="81" t="e">
        <f>HLOOKUP(I4340,データについて!$J$3:$M$18,16,FALSE)</f>
        <v>#N/A</v>
      </c>
      <c r="AA4340" s="81" t="str">
        <f>IFERROR(HLOOKUP(J4340,データについて!$J$4:$AH$19,16,FALSE),"")</f>
        <v/>
      </c>
      <c r="AB4340" s="81" t="str">
        <f>IFERROR(HLOOKUP(K4340,データについて!$J$5:$AH$20,14,FALSE),"")</f>
        <v/>
      </c>
      <c r="AC4340" s="81" t="e">
        <f>IF(X4340=1,HLOOKUP(R4340,データについて!$J$12:$M$18,7,FALSE),"*")</f>
        <v>#N/A</v>
      </c>
      <c r="AD4340" s="81" t="e">
        <f>IF(X4340=2,HLOOKUP(R4340,データについて!$J$12:$M$18,7,FALSE),"*")</f>
        <v>#N/A</v>
      </c>
    </row>
    <row r="4341" spans="19:30">
      <c r="S4341" s="81" t="e">
        <f>HLOOKUP(L4341,データについて!$J$6:$M$18,13,FALSE)</f>
        <v>#N/A</v>
      </c>
      <c r="T4341" s="81" t="e">
        <f>HLOOKUP(M4341,データについて!$J$7:$M$18,12,FALSE)</f>
        <v>#N/A</v>
      </c>
      <c r="U4341" s="81" t="e">
        <f>HLOOKUP(N4341,データについて!$J$8:$M$18,11,FALSE)</f>
        <v>#N/A</v>
      </c>
      <c r="V4341" s="81" t="e">
        <f>HLOOKUP(O4341,データについて!$J$9:$M$18,10,FALSE)</f>
        <v>#N/A</v>
      </c>
      <c r="W4341" s="81" t="e">
        <f>HLOOKUP(P4341,データについて!$J$10:$M$18,9,FALSE)</f>
        <v>#N/A</v>
      </c>
      <c r="X4341" s="81" t="e">
        <f>HLOOKUP(Q4341,データについて!$J$11:$M$18,8,FALSE)</f>
        <v>#N/A</v>
      </c>
      <c r="Y4341" s="81" t="e">
        <f>HLOOKUP(R4341,データについて!$J$12:$M$18,7,FALSE)</f>
        <v>#N/A</v>
      </c>
      <c r="Z4341" s="81" t="e">
        <f>HLOOKUP(I4341,データについて!$J$3:$M$18,16,FALSE)</f>
        <v>#N/A</v>
      </c>
      <c r="AA4341" s="81" t="str">
        <f>IFERROR(HLOOKUP(J4341,データについて!$J$4:$AH$19,16,FALSE),"")</f>
        <v/>
      </c>
      <c r="AB4341" s="81" t="str">
        <f>IFERROR(HLOOKUP(K4341,データについて!$J$5:$AH$20,14,FALSE),"")</f>
        <v/>
      </c>
      <c r="AC4341" s="81" t="e">
        <f>IF(X4341=1,HLOOKUP(R4341,データについて!$J$12:$M$18,7,FALSE),"*")</f>
        <v>#N/A</v>
      </c>
      <c r="AD4341" s="81" t="e">
        <f>IF(X4341=2,HLOOKUP(R4341,データについて!$J$12:$M$18,7,FALSE),"*")</f>
        <v>#N/A</v>
      </c>
    </row>
    <row r="4342" spans="19:30">
      <c r="S4342" s="81" t="e">
        <f>HLOOKUP(L4342,データについて!$J$6:$M$18,13,FALSE)</f>
        <v>#N/A</v>
      </c>
      <c r="T4342" s="81" t="e">
        <f>HLOOKUP(M4342,データについて!$J$7:$M$18,12,FALSE)</f>
        <v>#N/A</v>
      </c>
      <c r="U4342" s="81" t="e">
        <f>HLOOKUP(N4342,データについて!$J$8:$M$18,11,FALSE)</f>
        <v>#N/A</v>
      </c>
      <c r="V4342" s="81" t="e">
        <f>HLOOKUP(O4342,データについて!$J$9:$M$18,10,FALSE)</f>
        <v>#N/A</v>
      </c>
      <c r="W4342" s="81" t="e">
        <f>HLOOKUP(P4342,データについて!$J$10:$M$18,9,FALSE)</f>
        <v>#N/A</v>
      </c>
      <c r="X4342" s="81" t="e">
        <f>HLOOKUP(Q4342,データについて!$J$11:$M$18,8,FALSE)</f>
        <v>#N/A</v>
      </c>
      <c r="Y4342" s="81" t="e">
        <f>HLOOKUP(R4342,データについて!$J$12:$M$18,7,FALSE)</f>
        <v>#N/A</v>
      </c>
      <c r="Z4342" s="81" t="e">
        <f>HLOOKUP(I4342,データについて!$J$3:$M$18,16,FALSE)</f>
        <v>#N/A</v>
      </c>
      <c r="AA4342" s="81" t="str">
        <f>IFERROR(HLOOKUP(J4342,データについて!$J$4:$AH$19,16,FALSE),"")</f>
        <v/>
      </c>
      <c r="AB4342" s="81" t="str">
        <f>IFERROR(HLOOKUP(K4342,データについて!$J$5:$AH$20,14,FALSE),"")</f>
        <v/>
      </c>
      <c r="AC4342" s="81" t="e">
        <f>IF(X4342=1,HLOOKUP(R4342,データについて!$J$12:$M$18,7,FALSE),"*")</f>
        <v>#N/A</v>
      </c>
      <c r="AD4342" s="81" t="e">
        <f>IF(X4342=2,HLOOKUP(R4342,データについて!$J$12:$M$18,7,FALSE),"*")</f>
        <v>#N/A</v>
      </c>
    </row>
    <row r="4343" spans="19:30">
      <c r="S4343" s="81" t="e">
        <f>HLOOKUP(L4343,データについて!$J$6:$M$18,13,FALSE)</f>
        <v>#N/A</v>
      </c>
      <c r="T4343" s="81" t="e">
        <f>HLOOKUP(M4343,データについて!$J$7:$M$18,12,FALSE)</f>
        <v>#N/A</v>
      </c>
      <c r="U4343" s="81" t="e">
        <f>HLOOKUP(N4343,データについて!$J$8:$M$18,11,FALSE)</f>
        <v>#N/A</v>
      </c>
      <c r="V4343" s="81" t="e">
        <f>HLOOKUP(O4343,データについて!$J$9:$M$18,10,FALSE)</f>
        <v>#N/A</v>
      </c>
      <c r="W4343" s="81" t="e">
        <f>HLOOKUP(P4343,データについて!$J$10:$M$18,9,FALSE)</f>
        <v>#N/A</v>
      </c>
      <c r="X4343" s="81" t="e">
        <f>HLOOKUP(Q4343,データについて!$J$11:$M$18,8,FALSE)</f>
        <v>#N/A</v>
      </c>
      <c r="Y4343" s="81" t="e">
        <f>HLOOKUP(R4343,データについて!$J$12:$M$18,7,FALSE)</f>
        <v>#N/A</v>
      </c>
      <c r="Z4343" s="81" t="e">
        <f>HLOOKUP(I4343,データについて!$J$3:$M$18,16,FALSE)</f>
        <v>#N/A</v>
      </c>
      <c r="AA4343" s="81" t="str">
        <f>IFERROR(HLOOKUP(J4343,データについて!$J$4:$AH$19,16,FALSE),"")</f>
        <v/>
      </c>
      <c r="AB4343" s="81" t="str">
        <f>IFERROR(HLOOKUP(K4343,データについて!$J$5:$AH$20,14,FALSE),"")</f>
        <v/>
      </c>
      <c r="AC4343" s="81" t="e">
        <f>IF(X4343=1,HLOOKUP(R4343,データについて!$J$12:$M$18,7,FALSE),"*")</f>
        <v>#N/A</v>
      </c>
      <c r="AD4343" s="81" t="e">
        <f>IF(X4343=2,HLOOKUP(R4343,データについて!$J$12:$M$18,7,FALSE),"*")</f>
        <v>#N/A</v>
      </c>
    </row>
    <row r="4344" spans="19:30">
      <c r="S4344" s="81" t="e">
        <f>HLOOKUP(L4344,データについて!$J$6:$M$18,13,FALSE)</f>
        <v>#N/A</v>
      </c>
      <c r="T4344" s="81" t="e">
        <f>HLOOKUP(M4344,データについて!$J$7:$M$18,12,FALSE)</f>
        <v>#N/A</v>
      </c>
      <c r="U4344" s="81" t="e">
        <f>HLOOKUP(N4344,データについて!$J$8:$M$18,11,FALSE)</f>
        <v>#N/A</v>
      </c>
      <c r="V4344" s="81" t="e">
        <f>HLOOKUP(O4344,データについて!$J$9:$M$18,10,FALSE)</f>
        <v>#N/A</v>
      </c>
      <c r="W4344" s="81" t="e">
        <f>HLOOKUP(P4344,データについて!$J$10:$M$18,9,FALSE)</f>
        <v>#N/A</v>
      </c>
      <c r="X4344" s="81" t="e">
        <f>HLOOKUP(Q4344,データについて!$J$11:$M$18,8,FALSE)</f>
        <v>#N/A</v>
      </c>
      <c r="Y4344" s="81" t="e">
        <f>HLOOKUP(R4344,データについて!$J$12:$M$18,7,FALSE)</f>
        <v>#N/A</v>
      </c>
      <c r="Z4344" s="81" t="e">
        <f>HLOOKUP(I4344,データについて!$J$3:$M$18,16,FALSE)</f>
        <v>#N/A</v>
      </c>
      <c r="AA4344" s="81" t="str">
        <f>IFERROR(HLOOKUP(J4344,データについて!$J$4:$AH$19,16,FALSE),"")</f>
        <v/>
      </c>
      <c r="AB4344" s="81" t="str">
        <f>IFERROR(HLOOKUP(K4344,データについて!$J$5:$AH$20,14,FALSE),"")</f>
        <v/>
      </c>
      <c r="AC4344" s="81" t="e">
        <f>IF(X4344=1,HLOOKUP(R4344,データについて!$J$12:$M$18,7,FALSE),"*")</f>
        <v>#N/A</v>
      </c>
      <c r="AD4344" s="81" t="e">
        <f>IF(X4344=2,HLOOKUP(R4344,データについて!$J$12:$M$18,7,FALSE),"*")</f>
        <v>#N/A</v>
      </c>
    </row>
    <row r="4345" spans="19:30">
      <c r="S4345" s="81" t="e">
        <f>HLOOKUP(L4345,データについて!$J$6:$M$18,13,FALSE)</f>
        <v>#N/A</v>
      </c>
      <c r="T4345" s="81" t="e">
        <f>HLOOKUP(M4345,データについて!$J$7:$M$18,12,FALSE)</f>
        <v>#N/A</v>
      </c>
      <c r="U4345" s="81" t="e">
        <f>HLOOKUP(N4345,データについて!$J$8:$M$18,11,FALSE)</f>
        <v>#N/A</v>
      </c>
      <c r="V4345" s="81" t="e">
        <f>HLOOKUP(O4345,データについて!$J$9:$M$18,10,FALSE)</f>
        <v>#N/A</v>
      </c>
      <c r="W4345" s="81" t="e">
        <f>HLOOKUP(P4345,データについて!$J$10:$M$18,9,FALSE)</f>
        <v>#N/A</v>
      </c>
      <c r="X4345" s="81" t="e">
        <f>HLOOKUP(Q4345,データについて!$J$11:$M$18,8,FALSE)</f>
        <v>#N/A</v>
      </c>
      <c r="Y4345" s="81" t="e">
        <f>HLOOKUP(R4345,データについて!$J$12:$M$18,7,FALSE)</f>
        <v>#N/A</v>
      </c>
      <c r="Z4345" s="81" t="e">
        <f>HLOOKUP(I4345,データについて!$J$3:$M$18,16,FALSE)</f>
        <v>#N/A</v>
      </c>
      <c r="AA4345" s="81" t="str">
        <f>IFERROR(HLOOKUP(J4345,データについて!$J$4:$AH$19,16,FALSE),"")</f>
        <v/>
      </c>
      <c r="AB4345" s="81" t="str">
        <f>IFERROR(HLOOKUP(K4345,データについて!$J$5:$AH$20,14,FALSE),"")</f>
        <v/>
      </c>
      <c r="AC4345" s="81" t="e">
        <f>IF(X4345=1,HLOOKUP(R4345,データについて!$J$12:$M$18,7,FALSE),"*")</f>
        <v>#N/A</v>
      </c>
      <c r="AD4345" s="81" t="e">
        <f>IF(X4345=2,HLOOKUP(R4345,データについて!$J$12:$M$18,7,FALSE),"*")</f>
        <v>#N/A</v>
      </c>
    </row>
    <row r="4346" spans="19:30">
      <c r="S4346" s="81" t="e">
        <f>HLOOKUP(L4346,データについて!$J$6:$M$18,13,FALSE)</f>
        <v>#N/A</v>
      </c>
      <c r="T4346" s="81" t="e">
        <f>HLOOKUP(M4346,データについて!$J$7:$M$18,12,FALSE)</f>
        <v>#N/A</v>
      </c>
      <c r="U4346" s="81" t="e">
        <f>HLOOKUP(N4346,データについて!$J$8:$M$18,11,FALSE)</f>
        <v>#N/A</v>
      </c>
      <c r="V4346" s="81" t="e">
        <f>HLOOKUP(O4346,データについて!$J$9:$M$18,10,FALSE)</f>
        <v>#N/A</v>
      </c>
      <c r="W4346" s="81" t="e">
        <f>HLOOKUP(P4346,データについて!$J$10:$M$18,9,FALSE)</f>
        <v>#N/A</v>
      </c>
      <c r="X4346" s="81" t="e">
        <f>HLOOKUP(Q4346,データについて!$J$11:$M$18,8,FALSE)</f>
        <v>#N/A</v>
      </c>
      <c r="Y4346" s="81" t="e">
        <f>HLOOKUP(R4346,データについて!$J$12:$M$18,7,FALSE)</f>
        <v>#N/A</v>
      </c>
      <c r="Z4346" s="81" t="e">
        <f>HLOOKUP(I4346,データについて!$J$3:$M$18,16,FALSE)</f>
        <v>#N/A</v>
      </c>
      <c r="AA4346" s="81" t="str">
        <f>IFERROR(HLOOKUP(J4346,データについて!$J$4:$AH$19,16,FALSE),"")</f>
        <v/>
      </c>
      <c r="AB4346" s="81" t="str">
        <f>IFERROR(HLOOKUP(K4346,データについて!$J$5:$AH$20,14,FALSE),"")</f>
        <v/>
      </c>
      <c r="AC4346" s="81" t="e">
        <f>IF(X4346=1,HLOOKUP(R4346,データについて!$J$12:$M$18,7,FALSE),"*")</f>
        <v>#N/A</v>
      </c>
      <c r="AD4346" s="81" t="e">
        <f>IF(X4346=2,HLOOKUP(R4346,データについて!$J$12:$M$18,7,FALSE),"*")</f>
        <v>#N/A</v>
      </c>
    </row>
    <row r="4347" spans="19:30">
      <c r="S4347" s="81" t="e">
        <f>HLOOKUP(L4347,データについて!$J$6:$M$18,13,FALSE)</f>
        <v>#N/A</v>
      </c>
      <c r="T4347" s="81" t="e">
        <f>HLOOKUP(M4347,データについて!$J$7:$M$18,12,FALSE)</f>
        <v>#N/A</v>
      </c>
      <c r="U4347" s="81" t="e">
        <f>HLOOKUP(N4347,データについて!$J$8:$M$18,11,FALSE)</f>
        <v>#N/A</v>
      </c>
      <c r="V4347" s="81" t="e">
        <f>HLOOKUP(O4347,データについて!$J$9:$M$18,10,FALSE)</f>
        <v>#N/A</v>
      </c>
      <c r="W4347" s="81" t="e">
        <f>HLOOKUP(P4347,データについて!$J$10:$M$18,9,FALSE)</f>
        <v>#N/A</v>
      </c>
      <c r="X4347" s="81" t="e">
        <f>HLOOKUP(Q4347,データについて!$J$11:$M$18,8,FALSE)</f>
        <v>#N/A</v>
      </c>
      <c r="Y4347" s="81" t="e">
        <f>HLOOKUP(R4347,データについて!$J$12:$M$18,7,FALSE)</f>
        <v>#N/A</v>
      </c>
      <c r="Z4347" s="81" t="e">
        <f>HLOOKUP(I4347,データについて!$J$3:$M$18,16,FALSE)</f>
        <v>#N/A</v>
      </c>
      <c r="AA4347" s="81" t="str">
        <f>IFERROR(HLOOKUP(J4347,データについて!$J$4:$AH$19,16,FALSE),"")</f>
        <v/>
      </c>
      <c r="AB4347" s="81" t="str">
        <f>IFERROR(HLOOKUP(K4347,データについて!$J$5:$AH$20,14,FALSE),"")</f>
        <v/>
      </c>
      <c r="AC4347" s="81" t="e">
        <f>IF(X4347=1,HLOOKUP(R4347,データについて!$J$12:$M$18,7,FALSE),"*")</f>
        <v>#N/A</v>
      </c>
      <c r="AD4347" s="81" t="e">
        <f>IF(X4347=2,HLOOKUP(R4347,データについて!$J$12:$M$18,7,FALSE),"*")</f>
        <v>#N/A</v>
      </c>
    </row>
    <row r="4348" spans="19:30">
      <c r="S4348" s="81" t="e">
        <f>HLOOKUP(L4348,データについて!$J$6:$M$18,13,FALSE)</f>
        <v>#N/A</v>
      </c>
      <c r="T4348" s="81" t="e">
        <f>HLOOKUP(M4348,データについて!$J$7:$M$18,12,FALSE)</f>
        <v>#N/A</v>
      </c>
      <c r="U4348" s="81" t="e">
        <f>HLOOKUP(N4348,データについて!$J$8:$M$18,11,FALSE)</f>
        <v>#N/A</v>
      </c>
      <c r="V4348" s="81" t="e">
        <f>HLOOKUP(O4348,データについて!$J$9:$M$18,10,FALSE)</f>
        <v>#N/A</v>
      </c>
      <c r="W4348" s="81" t="e">
        <f>HLOOKUP(P4348,データについて!$J$10:$M$18,9,FALSE)</f>
        <v>#N/A</v>
      </c>
      <c r="X4348" s="81" t="e">
        <f>HLOOKUP(Q4348,データについて!$J$11:$M$18,8,FALSE)</f>
        <v>#N/A</v>
      </c>
      <c r="Y4348" s="81" t="e">
        <f>HLOOKUP(R4348,データについて!$J$12:$M$18,7,FALSE)</f>
        <v>#N/A</v>
      </c>
      <c r="Z4348" s="81" t="e">
        <f>HLOOKUP(I4348,データについて!$J$3:$M$18,16,FALSE)</f>
        <v>#N/A</v>
      </c>
      <c r="AA4348" s="81" t="str">
        <f>IFERROR(HLOOKUP(J4348,データについて!$J$4:$AH$19,16,FALSE),"")</f>
        <v/>
      </c>
      <c r="AB4348" s="81" t="str">
        <f>IFERROR(HLOOKUP(K4348,データについて!$J$5:$AH$20,14,FALSE),"")</f>
        <v/>
      </c>
      <c r="AC4348" s="81" t="e">
        <f>IF(X4348=1,HLOOKUP(R4348,データについて!$J$12:$M$18,7,FALSE),"*")</f>
        <v>#N/A</v>
      </c>
      <c r="AD4348" s="81" t="e">
        <f>IF(X4348=2,HLOOKUP(R4348,データについて!$J$12:$M$18,7,FALSE),"*")</f>
        <v>#N/A</v>
      </c>
    </row>
    <row r="4349" spans="19:30">
      <c r="S4349" s="81" t="e">
        <f>HLOOKUP(L4349,データについて!$J$6:$M$18,13,FALSE)</f>
        <v>#N/A</v>
      </c>
      <c r="T4349" s="81" t="e">
        <f>HLOOKUP(M4349,データについて!$J$7:$M$18,12,FALSE)</f>
        <v>#N/A</v>
      </c>
      <c r="U4349" s="81" t="e">
        <f>HLOOKUP(N4349,データについて!$J$8:$M$18,11,FALSE)</f>
        <v>#N/A</v>
      </c>
      <c r="V4349" s="81" t="e">
        <f>HLOOKUP(O4349,データについて!$J$9:$M$18,10,FALSE)</f>
        <v>#N/A</v>
      </c>
      <c r="W4349" s="81" t="e">
        <f>HLOOKUP(P4349,データについて!$J$10:$M$18,9,FALSE)</f>
        <v>#N/A</v>
      </c>
      <c r="X4349" s="81" t="e">
        <f>HLOOKUP(Q4349,データについて!$J$11:$M$18,8,FALSE)</f>
        <v>#N/A</v>
      </c>
      <c r="Y4349" s="81" t="e">
        <f>HLOOKUP(R4349,データについて!$J$12:$M$18,7,FALSE)</f>
        <v>#N/A</v>
      </c>
      <c r="Z4349" s="81" t="e">
        <f>HLOOKUP(I4349,データについて!$J$3:$M$18,16,FALSE)</f>
        <v>#N/A</v>
      </c>
      <c r="AA4349" s="81" t="str">
        <f>IFERROR(HLOOKUP(J4349,データについて!$J$4:$AH$19,16,FALSE),"")</f>
        <v/>
      </c>
      <c r="AB4349" s="81" t="str">
        <f>IFERROR(HLOOKUP(K4349,データについて!$J$5:$AH$20,14,FALSE),"")</f>
        <v/>
      </c>
      <c r="AC4349" s="81" t="e">
        <f>IF(X4349=1,HLOOKUP(R4349,データについて!$J$12:$M$18,7,FALSE),"*")</f>
        <v>#N/A</v>
      </c>
      <c r="AD4349" s="81" t="e">
        <f>IF(X4349=2,HLOOKUP(R4349,データについて!$J$12:$M$18,7,FALSE),"*")</f>
        <v>#N/A</v>
      </c>
    </row>
    <row r="4350" spans="19:30">
      <c r="S4350" s="81" t="e">
        <f>HLOOKUP(L4350,データについて!$J$6:$M$18,13,FALSE)</f>
        <v>#N/A</v>
      </c>
      <c r="T4350" s="81" t="e">
        <f>HLOOKUP(M4350,データについて!$J$7:$M$18,12,FALSE)</f>
        <v>#N/A</v>
      </c>
      <c r="U4350" s="81" t="e">
        <f>HLOOKUP(N4350,データについて!$J$8:$M$18,11,FALSE)</f>
        <v>#N/A</v>
      </c>
      <c r="V4350" s="81" t="e">
        <f>HLOOKUP(O4350,データについて!$J$9:$M$18,10,FALSE)</f>
        <v>#N/A</v>
      </c>
      <c r="W4350" s="81" t="e">
        <f>HLOOKUP(P4350,データについて!$J$10:$M$18,9,FALSE)</f>
        <v>#N/A</v>
      </c>
      <c r="X4350" s="81" t="e">
        <f>HLOOKUP(Q4350,データについて!$J$11:$M$18,8,FALSE)</f>
        <v>#N/A</v>
      </c>
      <c r="Y4350" s="81" t="e">
        <f>HLOOKUP(R4350,データについて!$J$12:$M$18,7,FALSE)</f>
        <v>#N/A</v>
      </c>
      <c r="Z4350" s="81" t="e">
        <f>HLOOKUP(I4350,データについて!$J$3:$M$18,16,FALSE)</f>
        <v>#N/A</v>
      </c>
      <c r="AA4350" s="81" t="str">
        <f>IFERROR(HLOOKUP(J4350,データについて!$J$4:$AH$19,16,FALSE),"")</f>
        <v/>
      </c>
      <c r="AB4350" s="81" t="str">
        <f>IFERROR(HLOOKUP(K4350,データについて!$J$5:$AH$20,14,FALSE),"")</f>
        <v/>
      </c>
      <c r="AC4350" s="81" t="e">
        <f>IF(X4350=1,HLOOKUP(R4350,データについて!$J$12:$M$18,7,FALSE),"*")</f>
        <v>#N/A</v>
      </c>
      <c r="AD4350" s="81" t="e">
        <f>IF(X4350=2,HLOOKUP(R4350,データについて!$J$12:$M$18,7,FALSE),"*")</f>
        <v>#N/A</v>
      </c>
    </row>
    <row r="4351" spans="19:30">
      <c r="S4351" s="81" t="e">
        <f>HLOOKUP(L4351,データについて!$J$6:$M$18,13,FALSE)</f>
        <v>#N/A</v>
      </c>
      <c r="T4351" s="81" t="e">
        <f>HLOOKUP(M4351,データについて!$J$7:$M$18,12,FALSE)</f>
        <v>#N/A</v>
      </c>
      <c r="U4351" s="81" t="e">
        <f>HLOOKUP(N4351,データについて!$J$8:$M$18,11,FALSE)</f>
        <v>#N/A</v>
      </c>
      <c r="V4351" s="81" t="e">
        <f>HLOOKUP(O4351,データについて!$J$9:$M$18,10,FALSE)</f>
        <v>#N/A</v>
      </c>
      <c r="W4351" s="81" t="e">
        <f>HLOOKUP(P4351,データについて!$J$10:$M$18,9,FALSE)</f>
        <v>#N/A</v>
      </c>
      <c r="X4351" s="81" t="e">
        <f>HLOOKUP(Q4351,データについて!$J$11:$M$18,8,FALSE)</f>
        <v>#N/A</v>
      </c>
      <c r="Y4351" s="81" t="e">
        <f>HLOOKUP(R4351,データについて!$J$12:$M$18,7,FALSE)</f>
        <v>#N/A</v>
      </c>
      <c r="Z4351" s="81" t="e">
        <f>HLOOKUP(I4351,データについて!$J$3:$M$18,16,FALSE)</f>
        <v>#N/A</v>
      </c>
      <c r="AA4351" s="81" t="str">
        <f>IFERROR(HLOOKUP(J4351,データについて!$J$4:$AH$19,16,FALSE),"")</f>
        <v/>
      </c>
      <c r="AB4351" s="81" t="str">
        <f>IFERROR(HLOOKUP(K4351,データについて!$J$5:$AH$20,14,FALSE),"")</f>
        <v/>
      </c>
      <c r="AC4351" s="81" t="e">
        <f>IF(X4351=1,HLOOKUP(R4351,データについて!$J$12:$M$18,7,FALSE),"*")</f>
        <v>#N/A</v>
      </c>
      <c r="AD4351" s="81" t="e">
        <f>IF(X4351=2,HLOOKUP(R4351,データについて!$J$12:$M$18,7,FALSE),"*")</f>
        <v>#N/A</v>
      </c>
    </row>
    <row r="4352" spans="19:30">
      <c r="S4352" s="81" t="e">
        <f>HLOOKUP(L4352,データについて!$J$6:$M$18,13,FALSE)</f>
        <v>#N/A</v>
      </c>
      <c r="T4352" s="81" t="e">
        <f>HLOOKUP(M4352,データについて!$J$7:$M$18,12,FALSE)</f>
        <v>#N/A</v>
      </c>
      <c r="U4352" s="81" t="e">
        <f>HLOOKUP(N4352,データについて!$J$8:$M$18,11,FALSE)</f>
        <v>#N/A</v>
      </c>
      <c r="V4352" s="81" t="e">
        <f>HLOOKUP(O4352,データについて!$J$9:$M$18,10,FALSE)</f>
        <v>#N/A</v>
      </c>
      <c r="W4352" s="81" t="e">
        <f>HLOOKUP(P4352,データについて!$J$10:$M$18,9,FALSE)</f>
        <v>#N/A</v>
      </c>
      <c r="X4352" s="81" t="e">
        <f>HLOOKUP(Q4352,データについて!$J$11:$M$18,8,FALSE)</f>
        <v>#N/A</v>
      </c>
      <c r="Y4352" s="81" t="e">
        <f>HLOOKUP(R4352,データについて!$J$12:$M$18,7,FALSE)</f>
        <v>#N/A</v>
      </c>
      <c r="Z4352" s="81" t="e">
        <f>HLOOKUP(I4352,データについて!$J$3:$M$18,16,FALSE)</f>
        <v>#N/A</v>
      </c>
      <c r="AA4352" s="81" t="str">
        <f>IFERROR(HLOOKUP(J4352,データについて!$J$4:$AH$19,16,FALSE),"")</f>
        <v/>
      </c>
      <c r="AB4352" s="81" t="str">
        <f>IFERROR(HLOOKUP(K4352,データについて!$J$5:$AH$20,14,FALSE),"")</f>
        <v/>
      </c>
      <c r="AC4352" s="81" t="e">
        <f>IF(X4352=1,HLOOKUP(R4352,データについて!$J$12:$M$18,7,FALSE),"*")</f>
        <v>#N/A</v>
      </c>
      <c r="AD4352" s="81" t="e">
        <f>IF(X4352=2,HLOOKUP(R4352,データについて!$J$12:$M$18,7,FALSE),"*")</f>
        <v>#N/A</v>
      </c>
    </row>
    <row r="4353" spans="19:30">
      <c r="S4353" s="81" t="e">
        <f>HLOOKUP(L4353,データについて!$J$6:$M$18,13,FALSE)</f>
        <v>#N/A</v>
      </c>
      <c r="T4353" s="81" t="e">
        <f>HLOOKUP(M4353,データについて!$J$7:$M$18,12,FALSE)</f>
        <v>#N/A</v>
      </c>
      <c r="U4353" s="81" t="e">
        <f>HLOOKUP(N4353,データについて!$J$8:$M$18,11,FALSE)</f>
        <v>#N/A</v>
      </c>
      <c r="V4353" s="81" t="e">
        <f>HLOOKUP(O4353,データについて!$J$9:$M$18,10,FALSE)</f>
        <v>#N/A</v>
      </c>
      <c r="W4353" s="81" t="e">
        <f>HLOOKUP(P4353,データについて!$J$10:$M$18,9,FALSE)</f>
        <v>#N/A</v>
      </c>
      <c r="X4353" s="81" t="e">
        <f>HLOOKUP(Q4353,データについて!$J$11:$M$18,8,FALSE)</f>
        <v>#N/A</v>
      </c>
      <c r="Y4353" s="81" t="e">
        <f>HLOOKUP(R4353,データについて!$J$12:$M$18,7,FALSE)</f>
        <v>#N/A</v>
      </c>
      <c r="Z4353" s="81" t="e">
        <f>HLOOKUP(I4353,データについて!$J$3:$M$18,16,FALSE)</f>
        <v>#N/A</v>
      </c>
      <c r="AA4353" s="81" t="str">
        <f>IFERROR(HLOOKUP(J4353,データについて!$J$4:$AH$19,16,FALSE),"")</f>
        <v/>
      </c>
      <c r="AB4353" s="81" t="str">
        <f>IFERROR(HLOOKUP(K4353,データについて!$J$5:$AH$20,14,FALSE),"")</f>
        <v/>
      </c>
      <c r="AC4353" s="81" t="e">
        <f>IF(X4353=1,HLOOKUP(R4353,データについて!$J$12:$M$18,7,FALSE),"*")</f>
        <v>#N/A</v>
      </c>
      <c r="AD4353" s="81" t="e">
        <f>IF(X4353=2,HLOOKUP(R4353,データについて!$J$12:$M$18,7,FALSE),"*")</f>
        <v>#N/A</v>
      </c>
    </row>
    <row r="4354" spans="19:30">
      <c r="S4354" s="81" t="e">
        <f>HLOOKUP(L4354,データについて!$J$6:$M$18,13,FALSE)</f>
        <v>#N/A</v>
      </c>
      <c r="T4354" s="81" t="e">
        <f>HLOOKUP(M4354,データについて!$J$7:$M$18,12,FALSE)</f>
        <v>#N/A</v>
      </c>
      <c r="U4354" s="81" t="e">
        <f>HLOOKUP(N4354,データについて!$J$8:$M$18,11,FALSE)</f>
        <v>#N/A</v>
      </c>
      <c r="V4354" s="81" t="e">
        <f>HLOOKUP(O4354,データについて!$J$9:$M$18,10,FALSE)</f>
        <v>#N/A</v>
      </c>
      <c r="W4354" s="81" t="e">
        <f>HLOOKUP(P4354,データについて!$J$10:$M$18,9,FALSE)</f>
        <v>#N/A</v>
      </c>
      <c r="X4354" s="81" t="e">
        <f>HLOOKUP(Q4354,データについて!$J$11:$M$18,8,FALSE)</f>
        <v>#N/A</v>
      </c>
      <c r="Y4354" s="81" t="e">
        <f>HLOOKUP(R4354,データについて!$J$12:$M$18,7,FALSE)</f>
        <v>#N/A</v>
      </c>
      <c r="Z4354" s="81" t="e">
        <f>HLOOKUP(I4354,データについて!$J$3:$M$18,16,FALSE)</f>
        <v>#N/A</v>
      </c>
      <c r="AA4354" s="81" t="str">
        <f>IFERROR(HLOOKUP(J4354,データについて!$J$4:$AH$19,16,FALSE),"")</f>
        <v/>
      </c>
      <c r="AB4354" s="81" t="str">
        <f>IFERROR(HLOOKUP(K4354,データについて!$J$5:$AH$20,14,FALSE),"")</f>
        <v/>
      </c>
      <c r="AC4354" s="81" t="e">
        <f>IF(X4354=1,HLOOKUP(R4354,データについて!$J$12:$M$18,7,FALSE),"*")</f>
        <v>#N/A</v>
      </c>
      <c r="AD4354" s="81" t="e">
        <f>IF(X4354=2,HLOOKUP(R4354,データについて!$J$12:$M$18,7,FALSE),"*")</f>
        <v>#N/A</v>
      </c>
    </row>
    <row r="4355" spans="19:30">
      <c r="S4355" s="81" t="e">
        <f>HLOOKUP(L4355,データについて!$J$6:$M$18,13,FALSE)</f>
        <v>#N/A</v>
      </c>
      <c r="T4355" s="81" t="e">
        <f>HLOOKUP(M4355,データについて!$J$7:$M$18,12,FALSE)</f>
        <v>#N/A</v>
      </c>
      <c r="U4355" s="81" t="e">
        <f>HLOOKUP(N4355,データについて!$J$8:$M$18,11,FALSE)</f>
        <v>#N/A</v>
      </c>
      <c r="V4355" s="81" t="e">
        <f>HLOOKUP(O4355,データについて!$J$9:$M$18,10,FALSE)</f>
        <v>#N/A</v>
      </c>
      <c r="W4355" s="81" t="e">
        <f>HLOOKUP(P4355,データについて!$J$10:$M$18,9,FALSE)</f>
        <v>#N/A</v>
      </c>
      <c r="X4355" s="81" t="e">
        <f>HLOOKUP(Q4355,データについて!$J$11:$M$18,8,FALSE)</f>
        <v>#N/A</v>
      </c>
      <c r="Y4355" s="81" t="e">
        <f>HLOOKUP(R4355,データについて!$J$12:$M$18,7,FALSE)</f>
        <v>#N/A</v>
      </c>
      <c r="Z4355" s="81" t="e">
        <f>HLOOKUP(I4355,データについて!$J$3:$M$18,16,FALSE)</f>
        <v>#N/A</v>
      </c>
      <c r="AA4355" s="81" t="str">
        <f>IFERROR(HLOOKUP(J4355,データについて!$J$4:$AH$19,16,FALSE),"")</f>
        <v/>
      </c>
      <c r="AB4355" s="81" t="str">
        <f>IFERROR(HLOOKUP(K4355,データについて!$J$5:$AH$20,14,FALSE),"")</f>
        <v/>
      </c>
      <c r="AC4355" s="81" t="e">
        <f>IF(X4355=1,HLOOKUP(R4355,データについて!$J$12:$M$18,7,FALSE),"*")</f>
        <v>#N/A</v>
      </c>
      <c r="AD4355" s="81" t="e">
        <f>IF(X4355=2,HLOOKUP(R4355,データについて!$J$12:$M$18,7,FALSE),"*")</f>
        <v>#N/A</v>
      </c>
    </row>
    <row r="4356" spans="19:30">
      <c r="S4356" s="81" t="e">
        <f>HLOOKUP(L4356,データについて!$J$6:$M$18,13,FALSE)</f>
        <v>#N/A</v>
      </c>
      <c r="T4356" s="81" t="e">
        <f>HLOOKUP(M4356,データについて!$J$7:$M$18,12,FALSE)</f>
        <v>#N/A</v>
      </c>
      <c r="U4356" s="81" t="e">
        <f>HLOOKUP(N4356,データについて!$J$8:$M$18,11,FALSE)</f>
        <v>#N/A</v>
      </c>
      <c r="V4356" s="81" t="e">
        <f>HLOOKUP(O4356,データについて!$J$9:$M$18,10,FALSE)</f>
        <v>#N/A</v>
      </c>
      <c r="W4356" s="81" t="e">
        <f>HLOOKUP(P4356,データについて!$J$10:$M$18,9,FALSE)</f>
        <v>#N/A</v>
      </c>
      <c r="X4356" s="81" t="e">
        <f>HLOOKUP(Q4356,データについて!$J$11:$M$18,8,FALSE)</f>
        <v>#N/A</v>
      </c>
      <c r="Y4356" s="81" t="e">
        <f>HLOOKUP(R4356,データについて!$J$12:$M$18,7,FALSE)</f>
        <v>#N/A</v>
      </c>
      <c r="Z4356" s="81" t="e">
        <f>HLOOKUP(I4356,データについて!$J$3:$M$18,16,FALSE)</f>
        <v>#N/A</v>
      </c>
      <c r="AA4356" s="81" t="str">
        <f>IFERROR(HLOOKUP(J4356,データについて!$J$4:$AH$19,16,FALSE),"")</f>
        <v/>
      </c>
      <c r="AB4356" s="81" t="str">
        <f>IFERROR(HLOOKUP(K4356,データについて!$J$5:$AH$20,14,FALSE),"")</f>
        <v/>
      </c>
      <c r="AC4356" s="81" t="e">
        <f>IF(X4356=1,HLOOKUP(R4356,データについて!$J$12:$M$18,7,FALSE),"*")</f>
        <v>#N/A</v>
      </c>
      <c r="AD4356" s="81" t="e">
        <f>IF(X4356=2,HLOOKUP(R4356,データについて!$J$12:$M$18,7,FALSE),"*")</f>
        <v>#N/A</v>
      </c>
    </row>
    <row r="4357" spans="19:30">
      <c r="S4357" s="81" t="e">
        <f>HLOOKUP(L4357,データについて!$J$6:$M$18,13,FALSE)</f>
        <v>#N/A</v>
      </c>
      <c r="T4357" s="81" t="e">
        <f>HLOOKUP(M4357,データについて!$J$7:$M$18,12,FALSE)</f>
        <v>#N/A</v>
      </c>
      <c r="U4357" s="81" t="e">
        <f>HLOOKUP(N4357,データについて!$J$8:$M$18,11,FALSE)</f>
        <v>#N/A</v>
      </c>
      <c r="V4357" s="81" t="e">
        <f>HLOOKUP(O4357,データについて!$J$9:$M$18,10,FALSE)</f>
        <v>#N/A</v>
      </c>
      <c r="W4357" s="81" t="e">
        <f>HLOOKUP(P4357,データについて!$J$10:$M$18,9,FALSE)</f>
        <v>#N/A</v>
      </c>
      <c r="X4357" s="81" t="e">
        <f>HLOOKUP(Q4357,データについて!$J$11:$M$18,8,FALSE)</f>
        <v>#N/A</v>
      </c>
      <c r="Y4357" s="81" t="e">
        <f>HLOOKUP(R4357,データについて!$J$12:$M$18,7,FALSE)</f>
        <v>#N/A</v>
      </c>
      <c r="Z4357" s="81" t="e">
        <f>HLOOKUP(I4357,データについて!$J$3:$M$18,16,FALSE)</f>
        <v>#N/A</v>
      </c>
      <c r="AA4357" s="81" t="str">
        <f>IFERROR(HLOOKUP(J4357,データについて!$J$4:$AH$19,16,FALSE),"")</f>
        <v/>
      </c>
      <c r="AB4357" s="81" t="str">
        <f>IFERROR(HLOOKUP(K4357,データについて!$J$5:$AH$20,14,FALSE),"")</f>
        <v/>
      </c>
      <c r="AC4357" s="81" t="e">
        <f>IF(X4357=1,HLOOKUP(R4357,データについて!$J$12:$M$18,7,FALSE),"*")</f>
        <v>#N/A</v>
      </c>
      <c r="AD4357" s="81" t="e">
        <f>IF(X4357=2,HLOOKUP(R4357,データについて!$J$12:$M$18,7,FALSE),"*")</f>
        <v>#N/A</v>
      </c>
    </row>
    <row r="4358" spans="19:30">
      <c r="S4358" s="81" t="e">
        <f>HLOOKUP(L4358,データについて!$J$6:$M$18,13,FALSE)</f>
        <v>#N/A</v>
      </c>
      <c r="T4358" s="81" t="e">
        <f>HLOOKUP(M4358,データについて!$J$7:$M$18,12,FALSE)</f>
        <v>#N/A</v>
      </c>
      <c r="U4358" s="81" t="e">
        <f>HLOOKUP(N4358,データについて!$J$8:$M$18,11,FALSE)</f>
        <v>#N/A</v>
      </c>
      <c r="V4358" s="81" t="e">
        <f>HLOOKUP(O4358,データについて!$J$9:$M$18,10,FALSE)</f>
        <v>#N/A</v>
      </c>
      <c r="W4358" s="81" t="e">
        <f>HLOOKUP(P4358,データについて!$J$10:$M$18,9,FALSE)</f>
        <v>#N/A</v>
      </c>
      <c r="X4358" s="81" t="e">
        <f>HLOOKUP(Q4358,データについて!$J$11:$M$18,8,FALSE)</f>
        <v>#N/A</v>
      </c>
      <c r="Y4358" s="81" t="e">
        <f>HLOOKUP(R4358,データについて!$J$12:$M$18,7,FALSE)</f>
        <v>#N/A</v>
      </c>
      <c r="Z4358" s="81" t="e">
        <f>HLOOKUP(I4358,データについて!$J$3:$M$18,16,FALSE)</f>
        <v>#N/A</v>
      </c>
      <c r="AA4358" s="81" t="str">
        <f>IFERROR(HLOOKUP(J4358,データについて!$J$4:$AH$19,16,FALSE),"")</f>
        <v/>
      </c>
      <c r="AB4358" s="81" t="str">
        <f>IFERROR(HLOOKUP(K4358,データについて!$J$5:$AH$20,14,FALSE),"")</f>
        <v/>
      </c>
      <c r="AC4358" s="81" t="e">
        <f>IF(X4358=1,HLOOKUP(R4358,データについて!$J$12:$M$18,7,FALSE),"*")</f>
        <v>#N/A</v>
      </c>
      <c r="AD4358" s="81" t="e">
        <f>IF(X4358=2,HLOOKUP(R4358,データについて!$J$12:$M$18,7,FALSE),"*")</f>
        <v>#N/A</v>
      </c>
    </row>
    <row r="4359" spans="19:30">
      <c r="S4359" s="81" t="e">
        <f>HLOOKUP(L4359,データについて!$J$6:$M$18,13,FALSE)</f>
        <v>#N/A</v>
      </c>
      <c r="T4359" s="81" t="e">
        <f>HLOOKUP(M4359,データについて!$J$7:$M$18,12,FALSE)</f>
        <v>#N/A</v>
      </c>
      <c r="U4359" s="81" t="e">
        <f>HLOOKUP(N4359,データについて!$J$8:$M$18,11,FALSE)</f>
        <v>#N/A</v>
      </c>
      <c r="V4359" s="81" t="e">
        <f>HLOOKUP(O4359,データについて!$J$9:$M$18,10,FALSE)</f>
        <v>#N/A</v>
      </c>
      <c r="W4359" s="81" t="e">
        <f>HLOOKUP(P4359,データについて!$J$10:$M$18,9,FALSE)</f>
        <v>#N/A</v>
      </c>
      <c r="X4359" s="81" t="e">
        <f>HLOOKUP(Q4359,データについて!$J$11:$M$18,8,FALSE)</f>
        <v>#N/A</v>
      </c>
      <c r="Y4359" s="81" t="e">
        <f>HLOOKUP(R4359,データについて!$J$12:$M$18,7,FALSE)</f>
        <v>#N/A</v>
      </c>
      <c r="Z4359" s="81" t="e">
        <f>HLOOKUP(I4359,データについて!$J$3:$M$18,16,FALSE)</f>
        <v>#N/A</v>
      </c>
      <c r="AA4359" s="81" t="str">
        <f>IFERROR(HLOOKUP(J4359,データについて!$J$4:$AH$19,16,FALSE),"")</f>
        <v/>
      </c>
      <c r="AB4359" s="81" t="str">
        <f>IFERROR(HLOOKUP(K4359,データについて!$J$5:$AH$20,14,FALSE),"")</f>
        <v/>
      </c>
      <c r="AC4359" s="81" t="e">
        <f>IF(X4359=1,HLOOKUP(R4359,データについて!$J$12:$M$18,7,FALSE),"*")</f>
        <v>#N/A</v>
      </c>
      <c r="AD4359" s="81" t="e">
        <f>IF(X4359=2,HLOOKUP(R4359,データについて!$J$12:$M$18,7,FALSE),"*")</f>
        <v>#N/A</v>
      </c>
    </row>
    <row r="4360" spans="19:30">
      <c r="S4360" s="81" t="e">
        <f>HLOOKUP(L4360,データについて!$J$6:$M$18,13,FALSE)</f>
        <v>#N/A</v>
      </c>
      <c r="T4360" s="81" t="e">
        <f>HLOOKUP(M4360,データについて!$J$7:$M$18,12,FALSE)</f>
        <v>#N/A</v>
      </c>
      <c r="U4360" s="81" t="e">
        <f>HLOOKUP(N4360,データについて!$J$8:$M$18,11,FALSE)</f>
        <v>#N/A</v>
      </c>
      <c r="V4360" s="81" t="e">
        <f>HLOOKUP(O4360,データについて!$J$9:$M$18,10,FALSE)</f>
        <v>#N/A</v>
      </c>
      <c r="W4360" s="81" t="e">
        <f>HLOOKUP(P4360,データについて!$J$10:$M$18,9,FALSE)</f>
        <v>#N/A</v>
      </c>
      <c r="X4360" s="81" t="e">
        <f>HLOOKUP(Q4360,データについて!$J$11:$M$18,8,FALSE)</f>
        <v>#N/A</v>
      </c>
      <c r="Y4360" s="81" t="e">
        <f>HLOOKUP(R4360,データについて!$J$12:$M$18,7,FALSE)</f>
        <v>#N/A</v>
      </c>
      <c r="Z4360" s="81" t="e">
        <f>HLOOKUP(I4360,データについて!$J$3:$M$18,16,FALSE)</f>
        <v>#N/A</v>
      </c>
      <c r="AA4360" s="81" t="str">
        <f>IFERROR(HLOOKUP(J4360,データについて!$J$4:$AH$19,16,FALSE),"")</f>
        <v/>
      </c>
      <c r="AB4360" s="81" t="str">
        <f>IFERROR(HLOOKUP(K4360,データについて!$J$5:$AH$20,14,FALSE),"")</f>
        <v/>
      </c>
      <c r="AC4360" s="81" t="e">
        <f>IF(X4360=1,HLOOKUP(R4360,データについて!$J$12:$M$18,7,FALSE),"*")</f>
        <v>#N/A</v>
      </c>
      <c r="AD4360" s="81" t="e">
        <f>IF(X4360=2,HLOOKUP(R4360,データについて!$J$12:$M$18,7,FALSE),"*")</f>
        <v>#N/A</v>
      </c>
    </row>
    <row r="4361" spans="19:30">
      <c r="S4361" s="81" t="e">
        <f>HLOOKUP(L4361,データについて!$J$6:$M$18,13,FALSE)</f>
        <v>#N/A</v>
      </c>
      <c r="T4361" s="81" t="e">
        <f>HLOOKUP(M4361,データについて!$J$7:$M$18,12,FALSE)</f>
        <v>#N/A</v>
      </c>
      <c r="U4361" s="81" t="e">
        <f>HLOOKUP(N4361,データについて!$J$8:$M$18,11,FALSE)</f>
        <v>#N/A</v>
      </c>
      <c r="V4361" s="81" t="e">
        <f>HLOOKUP(O4361,データについて!$J$9:$M$18,10,FALSE)</f>
        <v>#N/A</v>
      </c>
      <c r="W4361" s="81" t="e">
        <f>HLOOKUP(P4361,データについて!$J$10:$M$18,9,FALSE)</f>
        <v>#N/A</v>
      </c>
      <c r="X4361" s="81" t="e">
        <f>HLOOKUP(Q4361,データについて!$J$11:$M$18,8,FALSE)</f>
        <v>#N/A</v>
      </c>
      <c r="Y4361" s="81" t="e">
        <f>HLOOKUP(R4361,データについて!$J$12:$M$18,7,FALSE)</f>
        <v>#N/A</v>
      </c>
      <c r="Z4361" s="81" t="e">
        <f>HLOOKUP(I4361,データについて!$J$3:$M$18,16,FALSE)</f>
        <v>#N/A</v>
      </c>
      <c r="AA4361" s="81" t="str">
        <f>IFERROR(HLOOKUP(J4361,データについて!$J$4:$AH$19,16,FALSE),"")</f>
        <v/>
      </c>
      <c r="AB4361" s="81" t="str">
        <f>IFERROR(HLOOKUP(K4361,データについて!$J$5:$AH$20,14,FALSE),"")</f>
        <v/>
      </c>
      <c r="AC4361" s="81" t="e">
        <f>IF(X4361=1,HLOOKUP(R4361,データについて!$J$12:$M$18,7,FALSE),"*")</f>
        <v>#N/A</v>
      </c>
      <c r="AD4361" s="81" t="e">
        <f>IF(X4361=2,HLOOKUP(R4361,データについて!$J$12:$M$18,7,FALSE),"*")</f>
        <v>#N/A</v>
      </c>
    </row>
    <row r="4362" spans="19:30">
      <c r="S4362" s="81" t="e">
        <f>HLOOKUP(L4362,データについて!$J$6:$M$18,13,FALSE)</f>
        <v>#N/A</v>
      </c>
      <c r="T4362" s="81" t="e">
        <f>HLOOKUP(M4362,データについて!$J$7:$M$18,12,FALSE)</f>
        <v>#N/A</v>
      </c>
      <c r="U4362" s="81" t="e">
        <f>HLOOKUP(N4362,データについて!$J$8:$M$18,11,FALSE)</f>
        <v>#N/A</v>
      </c>
      <c r="V4362" s="81" t="e">
        <f>HLOOKUP(O4362,データについて!$J$9:$M$18,10,FALSE)</f>
        <v>#N/A</v>
      </c>
      <c r="W4362" s="81" t="e">
        <f>HLOOKUP(P4362,データについて!$J$10:$M$18,9,FALSE)</f>
        <v>#N/A</v>
      </c>
      <c r="X4362" s="81" t="e">
        <f>HLOOKUP(Q4362,データについて!$J$11:$M$18,8,FALSE)</f>
        <v>#N/A</v>
      </c>
      <c r="Y4362" s="81" t="e">
        <f>HLOOKUP(R4362,データについて!$J$12:$M$18,7,FALSE)</f>
        <v>#N/A</v>
      </c>
      <c r="Z4362" s="81" t="e">
        <f>HLOOKUP(I4362,データについて!$J$3:$M$18,16,FALSE)</f>
        <v>#N/A</v>
      </c>
      <c r="AA4362" s="81" t="str">
        <f>IFERROR(HLOOKUP(J4362,データについて!$J$4:$AH$19,16,FALSE),"")</f>
        <v/>
      </c>
      <c r="AB4362" s="81" t="str">
        <f>IFERROR(HLOOKUP(K4362,データについて!$J$5:$AH$20,14,FALSE),"")</f>
        <v/>
      </c>
      <c r="AC4362" s="81" t="e">
        <f>IF(X4362=1,HLOOKUP(R4362,データについて!$J$12:$M$18,7,FALSE),"*")</f>
        <v>#N/A</v>
      </c>
      <c r="AD4362" s="81" t="e">
        <f>IF(X4362=2,HLOOKUP(R4362,データについて!$J$12:$M$18,7,FALSE),"*")</f>
        <v>#N/A</v>
      </c>
    </row>
    <row r="4363" spans="19:30">
      <c r="S4363" s="81" t="e">
        <f>HLOOKUP(L4363,データについて!$J$6:$M$18,13,FALSE)</f>
        <v>#N/A</v>
      </c>
      <c r="T4363" s="81" t="e">
        <f>HLOOKUP(M4363,データについて!$J$7:$M$18,12,FALSE)</f>
        <v>#N/A</v>
      </c>
      <c r="U4363" s="81" t="e">
        <f>HLOOKUP(N4363,データについて!$J$8:$M$18,11,FALSE)</f>
        <v>#N/A</v>
      </c>
      <c r="V4363" s="81" t="e">
        <f>HLOOKUP(O4363,データについて!$J$9:$M$18,10,FALSE)</f>
        <v>#N/A</v>
      </c>
      <c r="W4363" s="81" t="e">
        <f>HLOOKUP(P4363,データについて!$J$10:$M$18,9,FALSE)</f>
        <v>#N/A</v>
      </c>
      <c r="X4363" s="81" t="e">
        <f>HLOOKUP(Q4363,データについて!$J$11:$M$18,8,FALSE)</f>
        <v>#N/A</v>
      </c>
      <c r="Y4363" s="81" t="e">
        <f>HLOOKUP(R4363,データについて!$J$12:$M$18,7,FALSE)</f>
        <v>#N/A</v>
      </c>
      <c r="Z4363" s="81" t="e">
        <f>HLOOKUP(I4363,データについて!$J$3:$M$18,16,FALSE)</f>
        <v>#N/A</v>
      </c>
      <c r="AA4363" s="81" t="str">
        <f>IFERROR(HLOOKUP(J4363,データについて!$J$4:$AH$19,16,FALSE),"")</f>
        <v/>
      </c>
      <c r="AB4363" s="81" t="str">
        <f>IFERROR(HLOOKUP(K4363,データについて!$J$5:$AH$20,14,FALSE),"")</f>
        <v/>
      </c>
      <c r="AC4363" s="81" t="e">
        <f>IF(X4363=1,HLOOKUP(R4363,データについて!$J$12:$M$18,7,FALSE),"*")</f>
        <v>#N/A</v>
      </c>
      <c r="AD4363" s="81" t="e">
        <f>IF(X4363=2,HLOOKUP(R4363,データについて!$J$12:$M$18,7,FALSE),"*")</f>
        <v>#N/A</v>
      </c>
    </row>
    <row r="4364" spans="19:30">
      <c r="S4364" s="81" t="e">
        <f>HLOOKUP(L4364,データについて!$J$6:$M$18,13,FALSE)</f>
        <v>#N/A</v>
      </c>
      <c r="T4364" s="81" t="e">
        <f>HLOOKUP(M4364,データについて!$J$7:$M$18,12,FALSE)</f>
        <v>#N/A</v>
      </c>
      <c r="U4364" s="81" t="e">
        <f>HLOOKUP(N4364,データについて!$J$8:$M$18,11,FALSE)</f>
        <v>#N/A</v>
      </c>
      <c r="V4364" s="81" t="e">
        <f>HLOOKUP(O4364,データについて!$J$9:$M$18,10,FALSE)</f>
        <v>#N/A</v>
      </c>
      <c r="W4364" s="81" t="e">
        <f>HLOOKUP(P4364,データについて!$J$10:$M$18,9,FALSE)</f>
        <v>#N/A</v>
      </c>
      <c r="X4364" s="81" t="e">
        <f>HLOOKUP(Q4364,データについて!$J$11:$M$18,8,FALSE)</f>
        <v>#N/A</v>
      </c>
      <c r="Y4364" s="81" t="e">
        <f>HLOOKUP(R4364,データについて!$J$12:$M$18,7,FALSE)</f>
        <v>#N/A</v>
      </c>
      <c r="Z4364" s="81" t="e">
        <f>HLOOKUP(I4364,データについて!$J$3:$M$18,16,FALSE)</f>
        <v>#N/A</v>
      </c>
      <c r="AA4364" s="81" t="str">
        <f>IFERROR(HLOOKUP(J4364,データについて!$J$4:$AH$19,16,FALSE),"")</f>
        <v/>
      </c>
      <c r="AB4364" s="81" t="str">
        <f>IFERROR(HLOOKUP(K4364,データについて!$J$5:$AH$20,14,FALSE),"")</f>
        <v/>
      </c>
      <c r="AC4364" s="81" t="e">
        <f>IF(X4364=1,HLOOKUP(R4364,データについて!$J$12:$M$18,7,FALSE),"*")</f>
        <v>#N/A</v>
      </c>
      <c r="AD4364" s="81" t="e">
        <f>IF(X4364=2,HLOOKUP(R4364,データについて!$J$12:$M$18,7,FALSE),"*")</f>
        <v>#N/A</v>
      </c>
    </row>
    <row r="4365" spans="19:30">
      <c r="S4365" s="81" t="e">
        <f>HLOOKUP(L4365,データについて!$J$6:$M$18,13,FALSE)</f>
        <v>#N/A</v>
      </c>
      <c r="T4365" s="81" t="e">
        <f>HLOOKUP(M4365,データについて!$J$7:$M$18,12,FALSE)</f>
        <v>#N/A</v>
      </c>
      <c r="U4365" s="81" t="e">
        <f>HLOOKUP(N4365,データについて!$J$8:$M$18,11,FALSE)</f>
        <v>#N/A</v>
      </c>
      <c r="V4365" s="81" t="e">
        <f>HLOOKUP(O4365,データについて!$J$9:$M$18,10,FALSE)</f>
        <v>#N/A</v>
      </c>
      <c r="W4365" s="81" t="e">
        <f>HLOOKUP(P4365,データについて!$J$10:$M$18,9,FALSE)</f>
        <v>#N/A</v>
      </c>
      <c r="X4365" s="81" t="e">
        <f>HLOOKUP(Q4365,データについて!$J$11:$M$18,8,FALSE)</f>
        <v>#N/A</v>
      </c>
      <c r="Y4365" s="81" t="e">
        <f>HLOOKUP(R4365,データについて!$J$12:$M$18,7,FALSE)</f>
        <v>#N/A</v>
      </c>
      <c r="Z4365" s="81" t="e">
        <f>HLOOKUP(I4365,データについて!$J$3:$M$18,16,FALSE)</f>
        <v>#N/A</v>
      </c>
      <c r="AA4365" s="81" t="str">
        <f>IFERROR(HLOOKUP(J4365,データについて!$J$4:$AH$19,16,FALSE),"")</f>
        <v/>
      </c>
      <c r="AB4365" s="81" t="str">
        <f>IFERROR(HLOOKUP(K4365,データについて!$J$5:$AH$20,14,FALSE),"")</f>
        <v/>
      </c>
      <c r="AC4365" s="81" t="e">
        <f>IF(X4365=1,HLOOKUP(R4365,データについて!$J$12:$M$18,7,FALSE),"*")</f>
        <v>#N/A</v>
      </c>
      <c r="AD4365" s="81" t="e">
        <f>IF(X4365=2,HLOOKUP(R4365,データについて!$J$12:$M$18,7,FALSE),"*")</f>
        <v>#N/A</v>
      </c>
    </row>
    <row r="4366" spans="19:30">
      <c r="S4366" s="81" t="e">
        <f>HLOOKUP(L4366,データについて!$J$6:$M$18,13,FALSE)</f>
        <v>#N/A</v>
      </c>
      <c r="T4366" s="81" t="e">
        <f>HLOOKUP(M4366,データについて!$J$7:$M$18,12,FALSE)</f>
        <v>#N/A</v>
      </c>
      <c r="U4366" s="81" t="e">
        <f>HLOOKUP(N4366,データについて!$J$8:$M$18,11,FALSE)</f>
        <v>#N/A</v>
      </c>
      <c r="V4366" s="81" t="e">
        <f>HLOOKUP(O4366,データについて!$J$9:$M$18,10,FALSE)</f>
        <v>#N/A</v>
      </c>
      <c r="W4366" s="81" t="e">
        <f>HLOOKUP(P4366,データについて!$J$10:$M$18,9,FALSE)</f>
        <v>#N/A</v>
      </c>
      <c r="X4366" s="81" t="e">
        <f>HLOOKUP(Q4366,データについて!$J$11:$M$18,8,FALSE)</f>
        <v>#N/A</v>
      </c>
      <c r="Y4366" s="81" t="e">
        <f>HLOOKUP(R4366,データについて!$J$12:$M$18,7,FALSE)</f>
        <v>#N/A</v>
      </c>
      <c r="Z4366" s="81" t="e">
        <f>HLOOKUP(I4366,データについて!$J$3:$M$18,16,FALSE)</f>
        <v>#N/A</v>
      </c>
      <c r="AA4366" s="81" t="str">
        <f>IFERROR(HLOOKUP(J4366,データについて!$J$4:$AH$19,16,FALSE),"")</f>
        <v/>
      </c>
      <c r="AB4366" s="81" t="str">
        <f>IFERROR(HLOOKUP(K4366,データについて!$J$5:$AH$20,14,FALSE),"")</f>
        <v/>
      </c>
      <c r="AC4366" s="81" t="e">
        <f>IF(X4366=1,HLOOKUP(R4366,データについて!$J$12:$M$18,7,FALSE),"*")</f>
        <v>#N/A</v>
      </c>
      <c r="AD4366" s="81" t="e">
        <f>IF(X4366=2,HLOOKUP(R4366,データについて!$J$12:$M$18,7,FALSE),"*")</f>
        <v>#N/A</v>
      </c>
    </row>
    <row r="4367" spans="19:30">
      <c r="S4367" s="81" t="e">
        <f>HLOOKUP(L4367,データについて!$J$6:$M$18,13,FALSE)</f>
        <v>#N/A</v>
      </c>
      <c r="T4367" s="81" t="e">
        <f>HLOOKUP(M4367,データについて!$J$7:$M$18,12,FALSE)</f>
        <v>#N/A</v>
      </c>
      <c r="U4367" s="81" t="e">
        <f>HLOOKUP(N4367,データについて!$J$8:$M$18,11,FALSE)</f>
        <v>#N/A</v>
      </c>
      <c r="V4367" s="81" t="e">
        <f>HLOOKUP(O4367,データについて!$J$9:$M$18,10,FALSE)</f>
        <v>#N/A</v>
      </c>
      <c r="W4367" s="81" t="e">
        <f>HLOOKUP(P4367,データについて!$J$10:$M$18,9,FALSE)</f>
        <v>#N/A</v>
      </c>
      <c r="X4367" s="81" t="e">
        <f>HLOOKUP(Q4367,データについて!$J$11:$M$18,8,FALSE)</f>
        <v>#N/A</v>
      </c>
      <c r="Y4367" s="81" t="e">
        <f>HLOOKUP(R4367,データについて!$J$12:$M$18,7,FALSE)</f>
        <v>#N/A</v>
      </c>
      <c r="Z4367" s="81" t="e">
        <f>HLOOKUP(I4367,データについて!$J$3:$M$18,16,FALSE)</f>
        <v>#N/A</v>
      </c>
      <c r="AA4367" s="81" t="str">
        <f>IFERROR(HLOOKUP(J4367,データについて!$J$4:$AH$19,16,FALSE),"")</f>
        <v/>
      </c>
      <c r="AB4367" s="81" t="str">
        <f>IFERROR(HLOOKUP(K4367,データについて!$J$5:$AH$20,14,FALSE),"")</f>
        <v/>
      </c>
      <c r="AC4367" s="81" t="e">
        <f>IF(X4367=1,HLOOKUP(R4367,データについて!$J$12:$M$18,7,FALSE),"*")</f>
        <v>#N/A</v>
      </c>
      <c r="AD4367" s="81" t="e">
        <f>IF(X4367=2,HLOOKUP(R4367,データについて!$J$12:$M$18,7,FALSE),"*")</f>
        <v>#N/A</v>
      </c>
    </row>
    <row r="4368" spans="19:30">
      <c r="S4368" s="81" t="e">
        <f>HLOOKUP(L4368,データについて!$J$6:$M$18,13,FALSE)</f>
        <v>#N/A</v>
      </c>
      <c r="T4368" s="81" t="e">
        <f>HLOOKUP(M4368,データについて!$J$7:$M$18,12,FALSE)</f>
        <v>#N/A</v>
      </c>
      <c r="U4368" s="81" t="e">
        <f>HLOOKUP(N4368,データについて!$J$8:$M$18,11,FALSE)</f>
        <v>#N/A</v>
      </c>
      <c r="V4368" s="81" t="e">
        <f>HLOOKUP(O4368,データについて!$J$9:$M$18,10,FALSE)</f>
        <v>#N/A</v>
      </c>
      <c r="W4368" s="81" t="e">
        <f>HLOOKUP(P4368,データについて!$J$10:$M$18,9,FALSE)</f>
        <v>#N/A</v>
      </c>
      <c r="X4368" s="81" t="e">
        <f>HLOOKUP(Q4368,データについて!$J$11:$M$18,8,FALSE)</f>
        <v>#N/A</v>
      </c>
      <c r="Y4368" s="81" t="e">
        <f>HLOOKUP(R4368,データについて!$J$12:$M$18,7,FALSE)</f>
        <v>#N/A</v>
      </c>
      <c r="Z4368" s="81" t="e">
        <f>HLOOKUP(I4368,データについて!$J$3:$M$18,16,FALSE)</f>
        <v>#N/A</v>
      </c>
      <c r="AA4368" s="81" t="str">
        <f>IFERROR(HLOOKUP(J4368,データについて!$J$4:$AH$19,16,FALSE),"")</f>
        <v/>
      </c>
      <c r="AB4368" s="81" t="str">
        <f>IFERROR(HLOOKUP(K4368,データについて!$J$5:$AH$20,14,FALSE),"")</f>
        <v/>
      </c>
      <c r="AC4368" s="81" t="e">
        <f>IF(X4368=1,HLOOKUP(R4368,データについて!$J$12:$M$18,7,FALSE),"*")</f>
        <v>#N/A</v>
      </c>
      <c r="AD4368" s="81" t="e">
        <f>IF(X4368=2,HLOOKUP(R4368,データについて!$J$12:$M$18,7,FALSE),"*")</f>
        <v>#N/A</v>
      </c>
    </row>
    <row r="4369" spans="19:30">
      <c r="S4369" s="81" t="e">
        <f>HLOOKUP(L4369,データについて!$J$6:$M$18,13,FALSE)</f>
        <v>#N/A</v>
      </c>
      <c r="T4369" s="81" t="e">
        <f>HLOOKUP(M4369,データについて!$J$7:$M$18,12,FALSE)</f>
        <v>#N/A</v>
      </c>
      <c r="U4369" s="81" t="e">
        <f>HLOOKUP(N4369,データについて!$J$8:$M$18,11,FALSE)</f>
        <v>#N/A</v>
      </c>
      <c r="V4369" s="81" t="e">
        <f>HLOOKUP(O4369,データについて!$J$9:$M$18,10,FALSE)</f>
        <v>#N/A</v>
      </c>
      <c r="W4369" s="81" t="e">
        <f>HLOOKUP(P4369,データについて!$J$10:$M$18,9,FALSE)</f>
        <v>#N/A</v>
      </c>
      <c r="X4369" s="81" t="e">
        <f>HLOOKUP(Q4369,データについて!$J$11:$M$18,8,FALSE)</f>
        <v>#N/A</v>
      </c>
      <c r="Y4369" s="81" t="e">
        <f>HLOOKUP(R4369,データについて!$J$12:$M$18,7,FALSE)</f>
        <v>#N/A</v>
      </c>
      <c r="Z4369" s="81" t="e">
        <f>HLOOKUP(I4369,データについて!$J$3:$M$18,16,FALSE)</f>
        <v>#N/A</v>
      </c>
      <c r="AA4369" s="81" t="str">
        <f>IFERROR(HLOOKUP(J4369,データについて!$J$4:$AH$19,16,FALSE),"")</f>
        <v/>
      </c>
      <c r="AB4369" s="81" t="str">
        <f>IFERROR(HLOOKUP(K4369,データについて!$J$5:$AH$20,14,FALSE),"")</f>
        <v/>
      </c>
      <c r="AC4369" s="81" t="e">
        <f>IF(X4369=1,HLOOKUP(R4369,データについて!$J$12:$M$18,7,FALSE),"*")</f>
        <v>#N/A</v>
      </c>
      <c r="AD4369" s="81" t="e">
        <f>IF(X4369=2,HLOOKUP(R4369,データについて!$J$12:$M$18,7,FALSE),"*")</f>
        <v>#N/A</v>
      </c>
    </row>
    <row r="4370" spans="19:30">
      <c r="S4370" s="81" t="e">
        <f>HLOOKUP(L4370,データについて!$J$6:$M$18,13,FALSE)</f>
        <v>#N/A</v>
      </c>
      <c r="T4370" s="81" t="e">
        <f>HLOOKUP(M4370,データについて!$J$7:$M$18,12,FALSE)</f>
        <v>#N/A</v>
      </c>
      <c r="U4370" s="81" t="e">
        <f>HLOOKUP(N4370,データについて!$J$8:$M$18,11,FALSE)</f>
        <v>#N/A</v>
      </c>
      <c r="V4370" s="81" t="e">
        <f>HLOOKUP(O4370,データについて!$J$9:$M$18,10,FALSE)</f>
        <v>#N/A</v>
      </c>
      <c r="W4370" s="81" t="e">
        <f>HLOOKUP(P4370,データについて!$J$10:$M$18,9,FALSE)</f>
        <v>#N/A</v>
      </c>
      <c r="X4370" s="81" t="e">
        <f>HLOOKUP(Q4370,データについて!$J$11:$M$18,8,FALSE)</f>
        <v>#N/A</v>
      </c>
      <c r="Y4370" s="81" t="e">
        <f>HLOOKUP(R4370,データについて!$J$12:$M$18,7,FALSE)</f>
        <v>#N/A</v>
      </c>
      <c r="Z4370" s="81" t="e">
        <f>HLOOKUP(I4370,データについて!$J$3:$M$18,16,FALSE)</f>
        <v>#N/A</v>
      </c>
      <c r="AA4370" s="81" t="str">
        <f>IFERROR(HLOOKUP(J4370,データについて!$J$4:$AH$19,16,FALSE),"")</f>
        <v/>
      </c>
      <c r="AB4370" s="81" t="str">
        <f>IFERROR(HLOOKUP(K4370,データについて!$J$5:$AH$20,14,FALSE),"")</f>
        <v/>
      </c>
      <c r="AC4370" s="81" t="e">
        <f>IF(X4370=1,HLOOKUP(R4370,データについて!$J$12:$M$18,7,FALSE),"*")</f>
        <v>#N/A</v>
      </c>
      <c r="AD4370" s="81" t="e">
        <f>IF(X4370=2,HLOOKUP(R4370,データについて!$J$12:$M$18,7,FALSE),"*")</f>
        <v>#N/A</v>
      </c>
    </row>
    <row r="4371" spans="19:30">
      <c r="S4371" s="81" t="e">
        <f>HLOOKUP(L4371,データについて!$J$6:$M$18,13,FALSE)</f>
        <v>#N/A</v>
      </c>
      <c r="T4371" s="81" t="e">
        <f>HLOOKUP(M4371,データについて!$J$7:$M$18,12,FALSE)</f>
        <v>#N/A</v>
      </c>
      <c r="U4371" s="81" t="e">
        <f>HLOOKUP(N4371,データについて!$J$8:$M$18,11,FALSE)</f>
        <v>#N/A</v>
      </c>
      <c r="V4371" s="81" t="e">
        <f>HLOOKUP(O4371,データについて!$J$9:$M$18,10,FALSE)</f>
        <v>#N/A</v>
      </c>
      <c r="W4371" s="81" t="e">
        <f>HLOOKUP(P4371,データについて!$J$10:$M$18,9,FALSE)</f>
        <v>#N/A</v>
      </c>
      <c r="X4371" s="81" t="e">
        <f>HLOOKUP(Q4371,データについて!$J$11:$M$18,8,FALSE)</f>
        <v>#N/A</v>
      </c>
      <c r="Y4371" s="81" t="e">
        <f>HLOOKUP(R4371,データについて!$J$12:$M$18,7,FALSE)</f>
        <v>#N/A</v>
      </c>
      <c r="Z4371" s="81" t="e">
        <f>HLOOKUP(I4371,データについて!$J$3:$M$18,16,FALSE)</f>
        <v>#N/A</v>
      </c>
      <c r="AA4371" s="81" t="str">
        <f>IFERROR(HLOOKUP(J4371,データについて!$J$4:$AH$19,16,FALSE),"")</f>
        <v/>
      </c>
      <c r="AB4371" s="81" t="str">
        <f>IFERROR(HLOOKUP(K4371,データについて!$J$5:$AH$20,14,FALSE),"")</f>
        <v/>
      </c>
      <c r="AC4371" s="81" t="e">
        <f>IF(X4371=1,HLOOKUP(R4371,データについて!$J$12:$M$18,7,FALSE),"*")</f>
        <v>#N/A</v>
      </c>
      <c r="AD4371" s="81" t="e">
        <f>IF(X4371=2,HLOOKUP(R4371,データについて!$J$12:$M$18,7,FALSE),"*")</f>
        <v>#N/A</v>
      </c>
    </row>
    <row r="4372" spans="19:30">
      <c r="S4372" s="81" t="e">
        <f>HLOOKUP(L4372,データについて!$J$6:$M$18,13,FALSE)</f>
        <v>#N/A</v>
      </c>
      <c r="T4372" s="81" t="e">
        <f>HLOOKUP(M4372,データについて!$J$7:$M$18,12,FALSE)</f>
        <v>#N/A</v>
      </c>
      <c r="U4372" s="81" t="e">
        <f>HLOOKUP(N4372,データについて!$J$8:$M$18,11,FALSE)</f>
        <v>#N/A</v>
      </c>
      <c r="V4372" s="81" t="e">
        <f>HLOOKUP(O4372,データについて!$J$9:$M$18,10,FALSE)</f>
        <v>#N/A</v>
      </c>
      <c r="W4372" s="81" t="e">
        <f>HLOOKUP(P4372,データについて!$J$10:$M$18,9,FALSE)</f>
        <v>#N/A</v>
      </c>
      <c r="X4372" s="81" t="e">
        <f>HLOOKUP(Q4372,データについて!$J$11:$M$18,8,FALSE)</f>
        <v>#N/A</v>
      </c>
      <c r="Y4372" s="81" t="e">
        <f>HLOOKUP(R4372,データについて!$J$12:$M$18,7,FALSE)</f>
        <v>#N/A</v>
      </c>
      <c r="Z4372" s="81" t="e">
        <f>HLOOKUP(I4372,データについて!$J$3:$M$18,16,FALSE)</f>
        <v>#N/A</v>
      </c>
      <c r="AA4372" s="81" t="str">
        <f>IFERROR(HLOOKUP(J4372,データについて!$J$4:$AH$19,16,FALSE),"")</f>
        <v/>
      </c>
      <c r="AB4372" s="81" t="str">
        <f>IFERROR(HLOOKUP(K4372,データについて!$J$5:$AH$20,14,FALSE),"")</f>
        <v/>
      </c>
      <c r="AC4372" s="81" t="e">
        <f>IF(X4372=1,HLOOKUP(R4372,データについて!$J$12:$M$18,7,FALSE),"*")</f>
        <v>#N/A</v>
      </c>
      <c r="AD4372" s="81" t="e">
        <f>IF(X4372=2,HLOOKUP(R4372,データについて!$J$12:$M$18,7,FALSE),"*")</f>
        <v>#N/A</v>
      </c>
    </row>
    <row r="4373" spans="19:30">
      <c r="S4373" s="81" t="e">
        <f>HLOOKUP(L4373,データについて!$J$6:$M$18,13,FALSE)</f>
        <v>#N/A</v>
      </c>
      <c r="T4373" s="81" t="e">
        <f>HLOOKUP(M4373,データについて!$J$7:$M$18,12,FALSE)</f>
        <v>#N/A</v>
      </c>
      <c r="U4373" s="81" t="e">
        <f>HLOOKUP(N4373,データについて!$J$8:$M$18,11,FALSE)</f>
        <v>#N/A</v>
      </c>
      <c r="V4373" s="81" t="e">
        <f>HLOOKUP(O4373,データについて!$J$9:$M$18,10,FALSE)</f>
        <v>#N/A</v>
      </c>
      <c r="W4373" s="81" t="e">
        <f>HLOOKUP(P4373,データについて!$J$10:$M$18,9,FALSE)</f>
        <v>#N/A</v>
      </c>
      <c r="X4373" s="81" t="e">
        <f>HLOOKUP(Q4373,データについて!$J$11:$M$18,8,FALSE)</f>
        <v>#N/A</v>
      </c>
      <c r="Y4373" s="81" t="e">
        <f>HLOOKUP(R4373,データについて!$J$12:$M$18,7,FALSE)</f>
        <v>#N/A</v>
      </c>
      <c r="Z4373" s="81" t="e">
        <f>HLOOKUP(I4373,データについて!$J$3:$M$18,16,FALSE)</f>
        <v>#N/A</v>
      </c>
      <c r="AA4373" s="81" t="str">
        <f>IFERROR(HLOOKUP(J4373,データについて!$J$4:$AH$19,16,FALSE),"")</f>
        <v/>
      </c>
      <c r="AB4373" s="81" t="str">
        <f>IFERROR(HLOOKUP(K4373,データについて!$J$5:$AH$20,14,FALSE),"")</f>
        <v/>
      </c>
      <c r="AC4373" s="81" t="e">
        <f>IF(X4373=1,HLOOKUP(R4373,データについて!$J$12:$M$18,7,FALSE),"*")</f>
        <v>#N/A</v>
      </c>
      <c r="AD4373" s="81" t="e">
        <f>IF(X4373=2,HLOOKUP(R4373,データについて!$J$12:$M$18,7,FALSE),"*")</f>
        <v>#N/A</v>
      </c>
    </row>
    <row r="4374" spans="19:30">
      <c r="S4374" s="81" t="e">
        <f>HLOOKUP(L4374,データについて!$J$6:$M$18,13,FALSE)</f>
        <v>#N/A</v>
      </c>
      <c r="T4374" s="81" t="e">
        <f>HLOOKUP(M4374,データについて!$J$7:$M$18,12,FALSE)</f>
        <v>#N/A</v>
      </c>
      <c r="U4374" s="81" t="e">
        <f>HLOOKUP(N4374,データについて!$J$8:$M$18,11,FALSE)</f>
        <v>#N/A</v>
      </c>
      <c r="V4374" s="81" t="e">
        <f>HLOOKUP(O4374,データについて!$J$9:$M$18,10,FALSE)</f>
        <v>#N/A</v>
      </c>
      <c r="W4374" s="81" t="e">
        <f>HLOOKUP(P4374,データについて!$J$10:$M$18,9,FALSE)</f>
        <v>#N/A</v>
      </c>
      <c r="X4374" s="81" t="e">
        <f>HLOOKUP(Q4374,データについて!$J$11:$M$18,8,FALSE)</f>
        <v>#N/A</v>
      </c>
      <c r="Y4374" s="81" t="e">
        <f>HLOOKUP(R4374,データについて!$J$12:$M$18,7,FALSE)</f>
        <v>#N/A</v>
      </c>
      <c r="Z4374" s="81" t="e">
        <f>HLOOKUP(I4374,データについて!$J$3:$M$18,16,FALSE)</f>
        <v>#N/A</v>
      </c>
      <c r="AA4374" s="81" t="str">
        <f>IFERROR(HLOOKUP(J4374,データについて!$J$4:$AH$19,16,FALSE),"")</f>
        <v/>
      </c>
      <c r="AB4374" s="81" t="str">
        <f>IFERROR(HLOOKUP(K4374,データについて!$J$5:$AH$20,14,FALSE),"")</f>
        <v/>
      </c>
      <c r="AC4374" s="81" t="e">
        <f>IF(X4374=1,HLOOKUP(R4374,データについて!$J$12:$M$18,7,FALSE),"*")</f>
        <v>#N/A</v>
      </c>
      <c r="AD4374" s="81" t="e">
        <f>IF(X4374=2,HLOOKUP(R4374,データについて!$J$12:$M$18,7,FALSE),"*")</f>
        <v>#N/A</v>
      </c>
    </row>
    <row r="4375" spans="19:30">
      <c r="S4375" s="81" t="e">
        <f>HLOOKUP(L4375,データについて!$J$6:$M$18,13,FALSE)</f>
        <v>#N/A</v>
      </c>
      <c r="T4375" s="81" t="e">
        <f>HLOOKUP(M4375,データについて!$J$7:$M$18,12,FALSE)</f>
        <v>#N/A</v>
      </c>
      <c r="U4375" s="81" t="e">
        <f>HLOOKUP(N4375,データについて!$J$8:$M$18,11,FALSE)</f>
        <v>#N/A</v>
      </c>
      <c r="V4375" s="81" t="e">
        <f>HLOOKUP(O4375,データについて!$J$9:$M$18,10,FALSE)</f>
        <v>#N/A</v>
      </c>
      <c r="W4375" s="81" t="e">
        <f>HLOOKUP(P4375,データについて!$J$10:$M$18,9,FALSE)</f>
        <v>#N/A</v>
      </c>
      <c r="X4375" s="81" t="e">
        <f>HLOOKUP(Q4375,データについて!$J$11:$M$18,8,FALSE)</f>
        <v>#N/A</v>
      </c>
      <c r="Y4375" s="81" t="e">
        <f>HLOOKUP(R4375,データについて!$J$12:$M$18,7,FALSE)</f>
        <v>#N/A</v>
      </c>
      <c r="Z4375" s="81" t="e">
        <f>HLOOKUP(I4375,データについて!$J$3:$M$18,16,FALSE)</f>
        <v>#N/A</v>
      </c>
      <c r="AA4375" s="81" t="str">
        <f>IFERROR(HLOOKUP(J4375,データについて!$J$4:$AH$19,16,FALSE),"")</f>
        <v/>
      </c>
      <c r="AB4375" s="81" t="str">
        <f>IFERROR(HLOOKUP(K4375,データについて!$J$5:$AH$20,14,FALSE),"")</f>
        <v/>
      </c>
      <c r="AC4375" s="81" t="e">
        <f>IF(X4375=1,HLOOKUP(R4375,データについて!$J$12:$M$18,7,FALSE),"*")</f>
        <v>#N/A</v>
      </c>
      <c r="AD4375" s="81" t="e">
        <f>IF(X4375=2,HLOOKUP(R4375,データについて!$J$12:$M$18,7,FALSE),"*")</f>
        <v>#N/A</v>
      </c>
    </row>
    <row r="4376" spans="19:30">
      <c r="S4376" s="81" t="e">
        <f>HLOOKUP(L4376,データについて!$J$6:$M$18,13,FALSE)</f>
        <v>#N/A</v>
      </c>
      <c r="T4376" s="81" t="e">
        <f>HLOOKUP(M4376,データについて!$J$7:$M$18,12,FALSE)</f>
        <v>#N/A</v>
      </c>
      <c r="U4376" s="81" t="e">
        <f>HLOOKUP(N4376,データについて!$J$8:$M$18,11,FALSE)</f>
        <v>#N/A</v>
      </c>
      <c r="V4376" s="81" t="e">
        <f>HLOOKUP(O4376,データについて!$J$9:$M$18,10,FALSE)</f>
        <v>#N/A</v>
      </c>
      <c r="W4376" s="81" t="e">
        <f>HLOOKUP(P4376,データについて!$J$10:$M$18,9,FALSE)</f>
        <v>#N/A</v>
      </c>
      <c r="X4376" s="81" t="e">
        <f>HLOOKUP(Q4376,データについて!$J$11:$M$18,8,FALSE)</f>
        <v>#N/A</v>
      </c>
      <c r="Y4376" s="81" t="e">
        <f>HLOOKUP(R4376,データについて!$J$12:$M$18,7,FALSE)</f>
        <v>#N/A</v>
      </c>
      <c r="Z4376" s="81" t="e">
        <f>HLOOKUP(I4376,データについて!$J$3:$M$18,16,FALSE)</f>
        <v>#N/A</v>
      </c>
      <c r="AA4376" s="81" t="str">
        <f>IFERROR(HLOOKUP(J4376,データについて!$J$4:$AH$19,16,FALSE),"")</f>
        <v/>
      </c>
      <c r="AB4376" s="81" t="str">
        <f>IFERROR(HLOOKUP(K4376,データについて!$J$5:$AH$20,14,FALSE),"")</f>
        <v/>
      </c>
      <c r="AC4376" s="81" t="e">
        <f>IF(X4376=1,HLOOKUP(R4376,データについて!$J$12:$M$18,7,FALSE),"*")</f>
        <v>#N/A</v>
      </c>
      <c r="AD4376" s="81" t="e">
        <f>IF(X4376=2,HLOOKUP(R4376,データについて!$J$12:$M$18,7,FALSE),"*")</f>
        <v>#N/A</v>
      </c>
    </row>
    <row r="4377" spans="19:30">
      <c r="S4377" s="81" t="e">
        <f>HLOOKUP(L4377,データについて!$J$6:$M$18,13,FALSE)</f>
        <v>#N/A</v>
      </c>
      <c r="T4377" s="81" t="e">
        <f>HLOOKUP(M4377,データについて!$J$7:$M$18,12,FALSE)</f>
        <v>#N/A</v>
      </c>
      <c r="U4377" s="81" t="e">
        <f>HLOOKUP(N4377,データについて!$J$8:$M$18,11,FALSE)</f>
        <v>#N/A</v>
      </c>
      <c r="V4377" s="81" t="e">
        <f>HLOOKUP(O4377,データについて!$J$9:$M$18,10,FALSE)</f>
        <v>#N/A</v>
      </c>
      <c r="W4377" s="81" t="e">
        <f>HLOOKUP(P4377,データについて!$J$10:$M$18,9,FALSE)</f>
        <v>#N/A</v>
      </c>
      <c r="X4377" s="81" t="e">
        <f>HLOOKUP(Q4377,データについて!$J$11:$M$18,8,FALSE)</f>
        <v>#N/A</v>
      </c>
      <c r="Y4377" s="81" t="e">
        <f>HLOOKUP(R4377,データについて!$J$12:$M$18,7,FALSE)</f>
        <v>#N/A</v>
      </c>
      <c r="Z4377" s="81" t="e">
        <f>HLOOKUP(I4377,データについて!$J$3:$M$18,16,FALSE)</f>
        <v>#N/A</v>
      </c>
      <c r="AA4377" s="81" t="str">
        <f>IFERROR(HLOOKUP(J4377,データについて!$J$4:$AH$19,16,FALSE),"")</f>
        <v/>
      </c>
      <c r="AB4377" s="81" t="str">
        <f>IFERROR(HLOOKUP(K4377,データについて!$J$5:$AH$20,14,FALSE),"")</f>
        <v/>
      </c>
      <c r="AC4377" s="81" t="e">
        <f>IF(X4377=1,HLOOKUP(R4377,データについて!$J$12:$M$18,7,FALSE),"*")</f>
        <v>#N/A</v>
      </c>
      <c r="AD4377" s="81" t="e">
        <f>IF(X4377=2,HLOOKUP(R4377,データについて!$J$12:$M$18,7,FALSE),"*")</f>
        <v>#N/A</v>
      </c>
    </row>
    <row r="4378" spans="19:30">
      <c r="S4378" s="81" t="e">
        <f>HLOOKUP(L4378,データについて!$J$6:$M$18,13,FALSE)</f>
        <v>#N/A</v>
      </c>
      <c r="T4378" s="81" t="e">
        <f>HLOOKUP(M4378,データについて!$J$7:$M$18,12,FALSE)</f>
        <v>#N/A</v>
      </c>
      <c r="U4378" s="81" t="e">
        <f>HLOOKUP(N4378,データについて!$J$8:$M$18,11,FALSE)</f>
        <v>#N/A</v>
      </c>
      <c r="V4378" s="81" t="e">
        <f>HLOOKUP(O4378,データについて!$J$9:$M$18,10,FALSE)</f>
        <v>#N/A</v>
      </c>
      <c r="W4378" s="81" t="e">
        <f>HLOOKUP(P4378,データについて!$J$10:$M$18,9,FALSE)</f>
        <v>#N/A</v>
      </c>
      <c r="X4378" s="81" t="e">
        <f>HLOOKUP(Q4378,データについて!$J$11:$M$18,8,FALSE)</f>
        <v>#N/A</v>
      </c>
      <c r="Y4378" s="81" t="e">
        <f>HLOOKUP(R4378,データについて!$J$12:$M$18,7,FALSE)</f>
        <v>#N/A</v>
      </c>
      <c r="Z4378" s="81" t="e">
        <f>HLOOKUP(I4378,データについて!$J$3:$M$18,16,FALSE)</f>
        <v>#N/A</v>
      </c>
      <c r="AA4378" s="81" t="str">
        <f>IFERROR(HLOOKUP(J4378,データについて!$J$4:$AH$19,16,FALSE),"")</f>
        <v/>
      </c>
      <c r="AB4378" s="81" t="str">
        <f>IFERROR(HLOOKUP(K4378,データについて!$J$5:$AH$20,14,FALSE),"")</f>
        <v/>
      </c>
      <c r="AC4378" s="81" t="e">
        <f>IF(X4378=1,HLOOKUP(R4378,データについて!$J$12:$M$18,7,FALSE),"*")</f>
        <v>#N/A</v>
      </c>
      <c r="AD4378" s="81" t="e">
        <f>IF(X4378=2,HLOOKUP(R4378,データについて!$J$12:$M$18,7,FALSE),"*")</f>
        <v>#N/A</v>
      </c>
    </row>
    <row r="4379" spans="19:30">
      <c r="S4379" s="81" t="e">
        <f>HLOOKUP(L4379,データについて!$J$6:$M$18,13,FALSE)</f>
        <v>#N/A</v>
      </c>
      <c r="T4379" s="81" t="e">
        <f>HLOOKUP(M4379,データについて!$J$7:$M$18,12,FALSE)</f>
        <v>#N/A</v>
      </c>
      <c r="U4379" s="81" t="e">
        <f>HLOOKUP(N4379,データについて!$J$8:$M$18,11,FALSE)</f>
        <v>#N/A</v>
      </c>
      <c r="V4379" s="81" t="e">
        <f>HLOOKUP(O4379,データについて!$J$9:$M$18,10,FALSE)</f>
        <v>#N/A</v>
      </c>
      <c r="W4379" s="81" t="e">
        <f>HLOOKUP(P4379,データについて!$J$10:$M$18,9,FALSE)</f>
        <v>#N/A</v>
      </c>
      <c r="X4379" s="81" t="e">
        <f>HLOOKUP(Q4379,データについて!$J$11:$M$18,8,FALSE)</f>
        <v>#N/A</v>
      </c>
      <c r="Y4379" s="81" t="e">
        <f>HLOOKUP(R4379,データについて!$J$12:$M$18,7,FALSE)</f>
        <v>#N/A</v>
      </c>
      <c r="Z4379" s="81" t="e">
        <f>HLOOKUP(I4379,データについて!$J$3:$M$18,16,FALSE)</f>
        <v>#N/A</v>
      </c>
      <c r="AA4379" s="81" t="str">
        <f>IFERROR(HLOOKUP(J4379,データについて!$J$4:$AH$19,16,FALSE),"")</f>
        <v/>
      </c>
      <c r="AB4379" s="81" t="str">
        <f>IFERROR(HLOOKUP(K4379,データについて!$J$5:$AH$20,14,FALSE),"")</f>
        <v/>
      </c>
      <c r="AC4379" s="81" t="e">
        <f>IF(X4379=1,HLOOKUP(R4379,データについて!$J$12:$M$18,7,FALSE),"*")</f>
        <v>#N/A</v>
      </c>
      <c r="AD4379" s="81" t="e">
        <f>IF(X4379=2,HLOOKUP(R4379,データについて!$J$12:$M$18,7,FALSE),"*")</f>
        <v>#N/A</v>
      </c>
    </row>
    <row r="4380" spans="19:30">
      <c r="S4380" s="81" t="e">
        <f>HLOOKUP(L4380,データについて!$J$6:$M$18,13,FALSE)</f>
        <v>#N/A</v>
      </c>
      <c r="T4380" s="81" t="e">
        <f>HLOOKUP(M4380,データについて!$J$7:$M$18,12,FALSE)</f>
        <v>#N/A</v>
      </c>
      <c r="U4380" s="81" t="e">
        <f>HLOOKUP(N4380,データについて!$J$8:$M$18,11,FALSE)</f>
        <v>#N/A</v>
      </c>
      <c r="V4380" s="81" t="e">
        <f>HLOOKUP(O4380,データについて!$J$9:$M$18,10,FALSE)</f>
        <v>#N/A</v>
      </c>
      <c r="W4380" s="81" t="e">
        <f>HLOOKUP(P4380,データについて!$J$10:$M$18,9,FALSE)</f>
        <v>#N/A</v>
      </c>
      <c r="X4380" s="81" t="e">
        <f>HLOOKUP(Q4380,データについて!$J$11:$M$18,8,FALSE)</f>
        <v>#N/A</v>
      </c>
      <c r="Y4380" s="81" t="e">
        <f>HLOOKUP(R4380,データについて!$J$12:$M$18,7,FALSE)</f>
        <v>#N/A</v>
      </c>
      <c r="Z4380" s="81" t="e">
        <f>HLOOKUP(I4380,データについて!$J$3:$M$18,16,FALSE)</f>
        <v>#N/A</v>
      </c>
      <c r="AA4380" s="81" t="str">
        <f>IFERROR(HLOOKUP(J4380,データについて!$J$4:$AH$19,16,FALSE),"")</f>
        <v/>
      </c>
      <c r="AB4380" s="81" t="str">
        <f>IFERROR(HLOOKUP(K4380,データについて!$J$5:$AH$20,14,FALSE),"")</f>
        <v/>
      </c>
      <c r="AC4380" s="81" t="e">
        <f>IF(X4380=1,HLOOKUP(R4380,データについて!$J$12:$M$18,7,FALSE),"*")</f>
        <v>#N/A</v>
      </c>
      <c r="AD4380" s="81" t="e">
        <f>IF(X4380=2,HLOOKUP(R4380,データについて!$J$12:$M$18,7,FALSE),"*")</f>
        <v>#N/A</v>
      </c>
    </row>
    <row r="4381" spans="19:30">
      <c r="S4381" s="81" t="e">
        <f>HLOOKUP(L4381,データについて!$J$6:$M$18,13,FALSE)</f>
        <v>#N/A</v>
      </c>
      <c r="T4381" s="81" t="e">
        <f>HLOOKUP(M4381,データについて!$J$7:$M$18,12,FALSE)</f>
        <v>#N/A</v>
      </c>
      <c r="U4381" s="81" t="e">
        <f>HLOOKUP(N4381,データについて!$J$8:$M$18,11,FALSE)</f>
        <v>#N/A</v>
      </c>
      <c r="V4381" s="81" t="e">
        <f>HLOOKUP(O4381,データについて!$J$9:$M$18,10,FALSE)</f>
        <v>#N/A</v>
      </c>
      <c r="W4381" s="81" t="e">
        <f>HLOOKUP(P4381,データについて!$J$10:$M$18,9,FALSE)</f>
        <v>#N/A</v>
      </c>
      <c r="X4381" s="81" t="e">
        <f>HLOOKUP(Q4381,データについて!$J$11:$M$18,8,FALSE)</f>
        <v>#N/A</v>
      </c>
      <c r="Y4381" s="81" t="e">
        <f>HLOOKUP(R4381,データについて!$J$12:$M$18,7,FALSE)</f>
        <v>#N/A</v>
      </c>
      <c r="Z4381" s="81" t="e">
        <f>HLOOKUP(I4381,データについて!$J$3:$M$18,16,FALSE)</f>
        <v>#N/A</v>
      </c>
      <c r="AA4381" s="81" t="str">
        <f>IFERROR(HLOOKUP(J4381,データについて!$J$4:$AH$19,16,FALSE),"")</f>
        <v/>
      </c>
      <c r="AB4381" s="81" t="str">
        <f>IFERROR(HLOOKUP(K4381,データについて!$J$5:$AH$20,14,FALSE),"")</f>
        <v/>
      </c>
      <c r="AC4381" s="81" t="e">
        <f>IF(X4381=1,HLOOKUP(R4381,データについて!$J$12:$M$18,7,FALSE),"*")</f>
        <v>#N/A</v>
      </c>
      <c r="AD4381" s="81" t="e">
        <f>IF(X4381=2,HLOOKUP(R4381,データについて!$J$12:$M$18,7,FALSE),"*")</f>
        <v>#N/A</v>
      </c>
    </row>
    <row r="4382" spans="19:30">
      <c r="S4382" s="81" t="e">
        <f>HLOOKUP(L4382,データについて!$J$6:$M$18,13,FALSE)</f>
        <v>#N/A</v>
      </c>
      <c r="T4382" s="81" t="e">
        <f>HLOOKUP(M4382,データについて!$J$7:$M$18,12,FALSE)</f>
        <v>#N/A</v>
      </c>
      <c r="U4382" s="81" t="e">
        <f>HLOOKUP(N4382,データについて!$J$8:$M$18,11,FALSE)</f>
        <v>#N/A</v>
      </c>
      <c r="V4382" s="81" t="e">
        <f>HLOOKUP(O4382,データについて!$J$9:$M$18,10,FALSE)</f>
        <v>#N/A</v>
      </c>
      <c r="W4382" s="81" t="e">
        <f>HLOOKUP(P4382,データについて!$J$10:$M$18,9,FALSE)</f>
        <v>#N/A</v>
      </c>
      <c r="X4382" s="81" t="e">
        <f>HLOOKUP(Q4382,データについて!$J$11:$M$18,8,FALSE)</f>
        <v>#N/A</v>
      </c>
      <c r="Y4382" s="81" t="e">
        <f>HLOOKUP(R4382,データについて!$J$12:$M$18,7,FALSE)</f>
        <v>#N/A</v>
      </c>
      <c r="Z4382" s="81" t="e">
        <f>HLOOKUP(I4382,データについて!$J$3:$M$18,16,FALSE)</f>
        <v>#N/A</v>
      </c>
      <c r="AA4382" s="81" t="str">
        <f>IFERROR(HLOOKUP(J4382,データについて!$J$4:$AH$19,16,FALSE),"")</f>
        <v/>
      </c>
      <c r="AB4382" s="81" t="str">
        <f>IFERROR(HLOOKUP(K4382,データについて!$J$5:$AH$20,14,FALSE),"")</f>
        <v/>
      </c>
      <c r="AC4382" s="81" t="e">
        <f>IF(X4382=1,HLOOKUP(R4382,データについて!$J$12:$M$18,7,FALSE),"*")</f>
        <v>#N/A</v>
      </c>
      <c r="AD4382" s="81" t="e">
        <f>IF(X4382=2,HLOOKUP(R4382,データについて!$J$12:$M$18,7,FALSE),"*")</f>
        <v>#N/A</v>
      </c>
    </row>
    <row r="4383" spans="19:30">
      <c r="S4383" s="81" t="e">
        <f>HLOOKUP(L4383,データについて!$J$6:$M$18,13,FALSE)</f>
        <v>#N/A</v>
      </c>
      <c r="T4383" s="81" t="e">
        <f>HLOOKUP(M4383,データについて!$J$7:$M$18,12,FALSE)</f>
        <v>#N/A</v>
      </c>
      <c r="U4383" s="81" t="e">
        <f>HLOOKUP(N4383,データについて!$J$8:$M$18,11,FALSE)</f>
        <v>#N/A</v>
      </c>
      <c r="V4383" s="81" t="e">
        <f>HLOOKUP(O4383,データについて!$J$9:$M$18,10,FALSE)</f>
        <v>#N/A</v>
      </c>
      <c r="W4383" s="81" t="e">
        <f>HLOOKUP(P4383,データについて!$J$10:$M$18,9,FALSE)</f>
        <v>#N/A</v>
      </c>
      <c r="X4383" s="81" t="e">
        <f>HLOOKUP(Q4383,データについて!$J$11:$M$18,8,FALSE)</f>
        <v>#N/A</v>
      </c>
      <c r="Y4383" s="81" t="e">
        <f>HLOOKUP(R4383,データについて!$J$12:$M$18,7,FALSE)</f>
        <v>#N/A</v>
      </c>
      <c r="Z4383" s="81" t="e">
        <f>HLOOKUP(I4383,データについて!$J$3:$M$18,16,FALSE)</f>
        <v>#N/A</v>
      </c>
      <c r="AA4383" s="81" t="str">
        <f>IFERROR(HLOOKUP(J4383,データについて!$J$4:$AH$19,16,FALSE),"")</f>
        <v/>
      </c>
      <c r="AB4383" s="81" t="str">
        <f>IFERROR(HLOOKUP(K4383,データについて!$J$5:$AH$20,14,FALSE),"")</f>
        <v/>
      </c>
      <c r="AC4383" s="81" t="e">
        <f>IF(X4383=1,HLOOKUP(R4383,データについて!$J$12:$M$18,7,FALSE),"*")</f>
        <v>#N/A</v>
      </c>
      <c r="AD4383" s="81" t="e">
        <f>IF(X4383=2,HLOOKUP(R4383,データについて!$J$12:$M$18,7,FALSE),"*")</f>
        <v>#N/A</v>
      </c>
    </row>
    <row r="4384" spans="19:30">
      <c r="S4384" s="81" t="e">
        <f>HLOOKUP(L4384,データについて!$J$6:$M$18,13,FALSE)</f>
        <v>#N/A</v>
      </c>
      <c r="T4384" s="81" t="e">
        <f>HLOOKUP(M4384,データについて!$J$7:$M$18,12,FALSE)</f>
        <v>#N/A</v>
      </c>
      <c r="U4384" s="81" t="e">
        <f>HLOOKUP(N4384,データについて!$J$8:$M$18,11,FALSE)</f>
        <v>#N/A</v>
      </c>
      <c r="V4384" s="81" t="e">
        <f>HLOOKUP(O4384,データについて!$J$9:$M$18,10,FALSE)</f>
        <v>#N/A</v>
      </c>
      <c r="W4384" s="81" t="e">
        <f>HLOOKUP(P4384,データについて!$J$10:$M$18,9,FALSE)</f>
        <v>#N/A</v>
      </c>
      <c r="X4384" s="81" t="e">
        <f>HLOOKUP(Q4384,データについて!$J$11:$M$18,8,FALSE)</f>
        <v>#N/A</v>
      </c>
      <c r="Y4384" s="81" t="e">
        <f>HLOOKUP(R4384,データについて!$J$12:$M$18,7,FALSE)</f>
        <v>#N/A</v>
      </c>
      <c r="Z4384" s="81" t="e">
        <f>HLOOKUP(I4384,データについて!$J$3:$M$18,16,FALSE)</f>
        <v>#N/A</v>
      </c>
      <c r="AA4384" s="81" t="str">
        <f>IFERROR(HLOOKUP(J4384,データについて!$J$4:$AH$19,16,FALSE),"")</f>
        <v/>
      </c>
      <c r="AB4384" s="81" t="str">
        <f>IFERROR(HLOOKUP(K4384,データについて!$J$5:$AH$20,14,FALSE),"")</f>
        <v/>
      </c>
      <c r="AC4384" s="81" t="e">
        <f>IF(X4384=1,HLOOKUP(R4384,データについて!$J$12:$M$18,7,FALSE),"*")</f>
        <v>#N/A</v>
      </c>
      <c r="AD4384" s="81" t="e">
        <f>IF(X4384=2,HLOOKUP(R4384,データについて!$J$12:$M$18,7,FALSE),"*")</f>
        <v>#N/A</v>
      </c>
    </row>
    <row r="4385" spans="19:30">
      <c r="S4385" s="81" t="e">
        <f>HLOOKUP(L4385,データについて!$J$6:$M$18,13,FALSE)</f>
        <v>#N/A</v>
      </c>
      <c r="T4385" s="81" t="e">
        <f>HLOOKUP(M4385,データについて!$J$7:$M$18,12,FALSE)</f>
        <v>#N/A</v>
      </c>
      <c r="U4385" s="81" t="e">
        <f>HLOOKUP(N4385,データについて!$J$8:$M$18,11,FALSE)</f>
        <v>#N/A</v>
      </c>
      <c r="V4385" s="81" t="e">
        <f>HLOOKUP(O4385,データについて!$J$9:$M$18,10,FALSE)</f>
        <v>#N/A</v>
      </c>
      <c r="W4385" s="81" t="e">
        <f>HLOOKUP(P4385,データについて!$J$10:$M$18,9,FALSE)</f>
        <v>#N/A</v>
      </c>
      <c r="X4385" s="81" t="e">
        <f>HLOOKUP(Q4385,データについて!$J$11:$M$18,8,FALSE)</f>
        <v>#N/A</v>
      </c>
      <c r="Y4385" s="81" t="e">
        <f>HLOOKUP(R4385,データについて!$J$12:$M$18,7,FALSE)</f>
        <v>#N/A</v>
      </c>
      <c r="Z4385" s="81" t="e">
        <f>HLOOKUP(I4385,データについて!$J$3:$M$18,16,FALSE)</f>
        <v>#N/A</v>
      </c>
      <c r="AA4385" s="81" t="str">
        <f>IFERROR(HLOOKUP(J4385,データについて!$J$4:$AH$19,16,FALSE),"")</f>
        <v/>
      </c>
      <c r="AB4385" s="81" t="str">
        <f>IFERROR(HLOOKUP(K4385,データについて!$J$5:$AH$20,14,FALSE),"")</f>
        <v/>
      </c>
      <c r="AC4385" s="81" t="e">
        <f>IF(X4385=1,HLOOKUP(R4385,データについて!$J$12:$M$18,7,FALSE),"*")</f>
        <v>#N/A</v>
      </c>
      <c r="AD4385" s="81" t="e">
        <f>IF(X4385=2,HLOOKUP(R4385,データについて!$J$12:$M$18,7,FALSE),"*")</f>
        <v>#N/A</v>
      </c>
    </row>
    <row r="4386" spans="19:30">
      <c r="S4386" s="81" t="e">
        <f>HLOOKUP(L4386,データについて!$J$6:$M$18,13,FALSE)</f>
        <v>#N/A</v>
      </c>
      <c r="T4386" s="81" t="e">
        <f>HLOOKUP(M4386,データについて!$J$7:$M$18,12,FALSE)</f>
        <v>#N/A</v>
      </c>
      <c r="U4386" s="81" t="e">
        <f>HLOOKUP(N4386,データについて!$J$8:$M$18,11,FALSE)</f>
        <v>#N/A</v>
      </c>
      <c r="V4386" s="81" t="e">
        <f>HLOOKUP(O4386,データについて!$J$9:$M$18,10,FALSE)</f>
        <v>#N/A</v>
      </c>
      <c r="W4386" s="81" t="e">
        <f>HLOOKUP(P4386,データについて!$J$10:$M$18,9,FALSE)</f>
        <v>#N/A</v>
      </c>
      <c r="X4386" s="81" t="e">
        <f>HLOOKUP(Q4386,データについて!$J$11:$M$18,8,FALSE)</f>
        <v>#N/A</v>
      </c>
      <c r="Y4386" s="81" t="e">
        <f>HLOOKUP(R4386,データについて!$J$12:$M$18,7,FALSE)</f>
        <v>#N/A</v>
      </c>
      <c r="Z4386" s="81" t="e">
        <f>HLOOKUP(I4386,データについて!$J$3:$M$18,16,FALSE)</f>
        <v>#N/A</v>
      </c>
      <c r="AA4386" s="81" t="str">
        <f>IFERROR(HLOOKUP(J4386,データについて!$J$4:$AH$19,16,FALSE),"")</f>
        <v/>
      </c>
      <c r="AB4386" s="81" t="str">
        <f>IFERROR(HLOOKUP(K4386,データについて!$J$5:$AH$20,14,FALSE),"")</f>
        <v/>
      </c>
      <c r="AC4386" s="81" t="e">
        <f>IF(X4386=1,HLOOKUP(R4386,データについて!$J$12:$M$18,7,FALSE),"*")</f>
        <v>#N/A</v>
      </c>
      <c r="AD4386" s="81" t="e">
        <f>IF(X4386=2,HLOOKUP(R4386,データについて!$J$12:$M$18,7,FALSE),"*")</f>
        <v>#N/A</v>
      </c>
    </row>
    <row r="4387" spans="19:30">
      <c r="S4387" s="81" t="e">
        <f>HLOOKUP(L4387,データについて!$J$6:$M$18,13,FALSE)</f>
        <v>#N/A</v>
      </c>
      <c r="T4387" s="81" t="e">
        <f>HLOOKUP(M4387,データについて!$J$7:$M$18,12,FALSE)</f>
        <v>#N/A</v>
      </c>
      <c r="U4387" s="81" t="e">
        <f>HLOOKUP(N4387,データについて!$J$8:$M$18,11,FALSE)</f>
        <v>#N/A</v>
      </c>
      <c r="V4387" s="81" t="e">
        <f>HLOOKUP(O4387,データについて!$J$9:$M$18,10,FALSE)</f>
        <v>#N/A</v>
      </c>
      <c r="W4387" s="81" t="e">
        <f>HLOOKUP(P4387,データについて!$J$10:$M$18,9,FALSE)</f>
        <v>#N/A</v>
      </c>
      <c r="X4387" s="81" t="e">
        <f>HLOOKUP(Q4387,データについて!$J$11:$M$18,8,FALSE)</f>
        <v>#N/A</v>
      </c>
      <c r="Y4387" s="81" t="e">
        <f>HLOOKUP(R4387,データについて!$J$12:$M$18,7,FALSE)</f>
        <v>#N/A</v>
      </c>
      <c r="Z4387" s="81" t="e">
        <f>HLOOKUP(I4387,データについて!$J$3:$M$18,16,FALSE)</f>
        <v>#N/A</v>
      </c>
      <c r="AA4387" s="81" t="str">
        <f>IFERROR(HLOOKUP(J4387,データについて!$J$4:$AH$19,16,FALSE),"")</f>
        <v/>
      </c>
      <c r="AB4387" s="81" t="str">
        <f>IFERROR(HLOOKUP(K4387,データについて!$J$5:$AH$20,14,FALSE),"")</f>
        <v/>
      </c>
      <c r="AC4387" s="81" t="e">
        <f>IF(X4387=1,HLOOKUP(R4387,データについて!$J$12:$M$18,7,FALSE),"*")</f>
        <v>#N/A</v>
      </c>
      <c r="AD4387" s="81" t="e">
        <f>IF(X4387=2,HLOOKUP(R4387,データについて!$J$12:$M$18,7,FALSE),"*")</f>
        <v>#N/A</v>
      </c>
    </row>
    <row r="4388" spans="19:30">
      <c r="S4388" s="81" t="e">
        <f>HLOOKUP(L4388,データについて!$J$6:$M$18,13,FALSE)</f>
        <v>#N/A</v>
      </c>
      <c r="T4388" s="81" t="e">
        <f>HLOOKUP(M4388,データについて!$J$7:$M$18,12,FALSE)</f>
        <v>#N/A</v>
      </c>
      <c r="U4388" s="81" t="e">
        <f>HLOOKUP(N4388,データについて!$J$8:$M$18,11,FALSE)</f>
        <v>#N/A</v>
      </c>
      <c r="V4388" s="81" t="e">
        <f>HLOOKUP(O4388,データについて!$J$9:$M$18,10,FALSE)</f>
        <v>#N/A</v>
      </c>
      <c r="W4388" s="81" t="e">
        <f>HLOOKUP(P4388,データについて!$J$10:$M$18,9,FALSE)</f>
        <v>#N/A</v>
      </c>
      <c r="X4388" s="81" t="e">
        <f>HLOOKUP(Q4388,データについて!$J$11:$M$18,8,FALSE)</f>
        <v>#N/A</v>
      </c>
      <c r="Y4388" s="81" t="e">
        <f>HLOOKUP(R4388,データについて!$J$12:$M$18,7,FALSE)</f>
        <v>#N/A</v>
      </c>
      <c r="Z4388" s="81" t="e">
        <f>HLOOKUP(I4388,データについて!$J$3:$M$18,16,FALSE)</f>
        <v>#N/A</v>
      </c>
      <c r="AA4388" s="81" t="str">
        <f>IFERROR(HLOOKUP(J4388,データについて!$J$4:$AH$19,16,FALSE),"")</f>
        <v/>
      </c>
      <c r="AB4388" s="81" t="str">
        <f>IFERROR(HLOOKUP(K4388,データについて!$J$5:$AH$20,14,FALSE),"")</f>
        <v/>
      </c>
      <c r="AC4388" s="81" t="e">
        <f>IF(X4388=1,HLOOKUP(R4388,データについて!$J$12:$M$18,7,FALSE),"*")</f>
        <v>#N/A</v>
      </c>
      <c r="AD4388" s="81" t="e">
        <f>IF(X4388=2,HLOOKUP(R4388,データについて!$J$12:$M$18,7,FALSE),"*")</f>
        <v>#N/A</v>
      </c>
    </row>
    <row r="4389" spans="19:30">
      <c r="S4389" s="81" t="e">
        <f>HLOOKUP(L4389,データについて!$J$6:$M$18,13,FALSE)</f>
        <v>#N/A</v>
      </c>
      <c r="T4389" s="81" t="e">
        <f>HLOOKUP(M4389,データについて!$J$7:$M$18,12,FALSE)</f>
        <v>#N/A</v>
      </c>
      <c r="U4389" s="81" t="e">
        <f>HLOOKUP(N4389,データについて!$J$8:$M$18,11,FALSE)</f>
        <v>#N/A</v>
      </c>
      <c r="V4389" s="81" t="e">
        <f>HLOOKUP(O4389,データについて!$J$9:$M$18,10,FALSE)</f>
        <v>#N/A</v>
      </c>
      <c r="W4389" s="81" t="e">
        <f>HLOOKUP(P4389,データについて!$J$10:$M$18,9,FALSE)</f>
        <v>#N/A</v>
      </c>
      <c r="X4389" s="81" t="e">
        <f>HLOOKUP(Q4389,データについて!$J$11:$M$18,8,FALSE)</f>
        <v>#N/A</v>
      </c>
      <c r="Y4389" s="81" t="e">
        <f>HLOOKUP(R4389,データについて!$J$12:$M$18,7,FALSE)</f>
        <v>#N/A</v>
      </c>
      <c r="Z4389" s="81" t="e">
        <f>HLOOKUP(I4389,データについて!$J$3:$M$18,16,FALSE)</f>
        <v>#N/A</v>
      </c>
      <c r="AA4389" s="81" t="str">
        <f>IFERROR(HLOOKUP(J4389,データについて!$J$4:$AH$19,16,FALSE),"")</f>
        <v/>
      </c>
      <c r="AB4389" s="81" t="str">
        <f>IFERROR(HLOOKUP(K4389,データについて!$J$5:$AH$20,14,FALSE),"")</f>
        <v/>
      </c>
      <c r="AC4389" s="81" t="e">
        <f>IF(X4389=1,HLOOKUP(R4389,データについて!$J$12:$M$18,7,FALSE),"*")</f>
        <v>#N/A</v>
      </c>
      <c r="AD4389" s="81" t="e">
        <f>IF(X4389=2,HLOOKUP(R4389,データについて!$J$12:$M$18,7,FALSE),"*")</f>
        <v>#N/A</v>
      </c>
    </row>
    <row r="4390" spans="19:30">
      <c r="S4390" s="81" t="e">
        <f>HLOOKUP(L4390,データについて!$J$6:$M$18,13,FALSE)</f>
        <v>#N/A</v>
      </c>
      <c r="T4390" s="81" t="e">
        <f>HLOOKUP(M4390,データについて!$J$7:$M$18,12,FALSE)</f>
        <v>#N/A</v>
      </c>
      <c r="U4390" s="81" t="e">
        <f>HLOOKUP(N4390,データについて!$J$8:$M$18,11,FALSE)</f>
        <v>#N/A</v>
      </c>
      <c r="V4390" s="81" t="e">
        <f>HLOOKUP(O4390,データについて!$J$9:$M$18,10,FALSE)</f>
        <v>#N/A</v>
      </c>
      <c r="W4390" s="81" t="e">
        <f>HLOOKUP(P4390,データについて!$J$10:$M$18,9,FALSE)</f>
        <v>#N/A</v>
      </c>
      <c r="X4390" s="81" t="e">
        <f>HLOOKUP(Q4390,データについて!$J$11:$M$18,8,FALSE)</f>
        <v>#N/A</v>
      </c>
      <c r="Y4390" s="81" t="e">
        <f>HLOOKUP(R4390,データについて!$J$12:$M$18,7,FALSE)</f>
        <v>#N/A</v>
      </c>
      <c r="Z4390" s="81" t="e">
        <f>HLOOKUP(I4390,データについて!$J$3:$M$18,16,FALSE)</f>
        <v>#N/A</v>
      </c>
      <c r="AA4390" s="81" t="str">
        <f>IFERROR(HLOOKUP(J4390,データについて!$J$4:$AH$19,16,FALSE),"")</f>
        <v/>
      </c>
      <c r="AB4390" s="81" t="str">
        <f>IFERROR(HLOOKUP(K4390,データについて!$J$5:$AH$20,14,FALSE),"")</f>
        <v/>
      </c>
      <c r="AC4390" s="81" t="e">
        <f>IF(X4390=1,HLOOKUP(R4390,データについて!$J$12:$M$18,7,FALSE),"*")</f>
        <v>#N/A</v>
      </c>
      <c r="AD4390" s="81" t="e">
        <f>IF(X4390=2,HLOOKUP(R4390,データについて!$J$12:$M$18,7,FALSE),"*")</f>
        <v>#N/A</v>
      </c>
    </row>
    <row r="4391" spans="19:30">
      <c r="S4391" s="81" t="e">
        <f>HLOOKUP(L4391,データについて!$J$6:$M$18,13,FALSE)</f>
        <v>#N/A</v>
      </c>
      <c r="T4391" s="81" t="e">
        <f>HLOOKUP(M4391,データについて!$J$7:$M$18,12,FALSE)</f>
        <v>#N/A</v>
      </c>
      <c r="U4391" s="81" t="e">
        <f>HLOOKUP(N4391,データについて!$J$8:$M$18,11,FALSE)</f>
        <v>#N/A</v>
      </c>
      <c r="V4391" s="81" t="e">
        <f>HLOOKUP(O4391,データについて!$J$9:$M$18,10,FALSE)</f>
        <v>#N/A</v>
      </c>
      <c r="W4391" s="81" t="e">
        <f>HLOOKUP(P4391,データについて!$J$10:$M$18,9,FALSE)</f>
        <v>#N/A</v>
      </c>
      <c r="X4391" s="81" t="e">
        <f>HLOOKUP(Q4391,データについて!$J$11:$M$18,8,FALSE)</f>
        <v>#N/A</v>
      </c>
      <c r="Y4391" s="81" t="e">
        <f>HLOOKUP(R4391,データについて!$J$12:$M$18,7,FALSE)</f>
        <v>#N/A</v>
      </c>
      <c r="Z4391" s="81" t="e">
        <f>HLOOKUP(I4391,データについて!$J$3:$M$18,16,FALSE)</f>
        <v>#N/A</v>
      </c>
      <c r="AA4391" s="81" t="str">
        <f>IFERROR(HLOOKUP(J4391,データについて!$J$4:$AH$19,16,FALSE),"")</f>
        <v/>
      </c>
      <c r="AB4391" s="81" t="str">
        <f>IFERROR(HLOOKUP(K4391,データについて!$J$5:$AH$20,14,FALSE),"")</f>
        <v/>
      </c>
      <c r="AC4391" s="81" t="e">
        <f>IF(X4391=1,HLOOKUP(R4391,データについて!$J$12:$M$18,7,FALSE),"*")</f>
        <v>#N/A</v>
      </c>
      <c r="AD4391" s="81" t="e">
        <f>IF(X4391=2,HLOOKUP(R4391,データについて!$J$12:$M$18,7,FALSE),"*")</f>
        <v>#N/A</v>
      </c>
    </row>
    <row r="4392" spans="19:30">
      <c r="S4392" s="81" t="e">
        <f>HLOOKUP(L4392,データについて!$J$6:$M$18,13,FALSE)</f>
        <v>#N/A</v>
      </c>
      <c r="T4392" s="81" t="e">
        <f>HLOOKUP(M4392,データについて!$J$7:$M$18,12,FALSE)</f>
        <v>#N/A</v>
      </c>
      <c r="U4392" s="81" t="e">
        <f>HLOOKUP(N4392,データについて!$J$8:$M$18,11,FALSE)</f>
        <v>#N/A</v>
      </c>
      <c r="V4392" s="81" t="e">
        <f>HLOOKUP(O4392,データについて!$J$9:$M$18,10,FALSE)</f>
        <v>#N/A</v>
      </c>
      <c r="W4392" s="81" t="e">
        <f>HLOOKUP(P4392,データについて!$J$10:$M$18,9,FALSE)</f>
        <v>#N/A</v>
      </c>
      <c r="X4392" s="81" t="e">
        <f>HLOOKUP(Q4392,データについて!$J$11:$M$18,8,FALSE)</f>
        <v>#N/A</v>
      </c>
      <c r="Y4392" s="81" t="e">
        <f>HLOOKUP(R4392,データについて!$J$12:$M$18,7,FALSE)</f>
        <v>#N/A</v>
      </c>
      <c r="Z4392" s="81" t="e">
        <f>HLOOKUP(I4392,データについて!$J$3:$M$18,16,FALSE)</f>
        <v>#N/A</v>
      </c>
      <c r="AA4392" s="81" t="str">
        <f>IFERROR(HLOOKUP(J4392,データについて!$J$4:$AH$19,16,FALSE),"")</f>
        <v/>
      </c>
      <c r="AB4392" s="81" t="str">
        <f>IFERROR(HLOOKUP(K4392,データについて!$J$5:$AH$20,14,FALSE),"")</f>
        <v/>
      </c>
      <c r="AC4392" s="81" t="e">
        <f>IF(X4392=1,HLOOKUP(R4392,データについて!$J$12:$M$18,7,FALSE),"*")</f>
        <v>#N/A</v>
      </c>
      <c r="AD4392" s="81" t="e">
        <f>IF(X4392=2,HLOOKUP(R4392,データについて!$J$12:$M$18,7,FALSE),"*")</f>
        <v>#N/A</v>
      </c>
    </row>
    <row r="4393" spans="19:30">
      <c r="S4393" s="81" t="e">
        <f>HLOOKUP(L4393,データについて!$J$6:$M$18,13,FALSE)</f>
        <v>#N/A</v>
      </c>
      <c r="T4393" s="81" t="e">
        <f>HLOOKUP(M4393,データについて!$J$7:$M$18,12,FALSE)</f>
        <v>#N/A</v>
      </c>
      <c r="U4393" s="81" t="e">
        <f>HLOOKUP(N4393,データについて!$J$8:$M$18,11,FALSE)</f>
        <v>#N/A</v>
      </c>
      <c r="V4393" s="81" t="e">
        <f>HLOOKUP(O4393,データについて!$J$9:$M$18,10,FALSE)</f>
        <v>#N/A</v>
      </c>
      <c r="W4393" s="81" t="e">
        <f>HLOOKUP(P4393,データについて!$J$10:$M$18,9,FALSE)</f>
        <v>#N/A</v>
      </c>
      <c r="X4393" s="81" t="e">
        <f>HLOOKUP(Q4393,データについて!$J$11:$M$18,8,FALSE)</f>
        <v>#N/A</v>
      </c>
      <c r="Y4393" s="81" t="e">
        <f>HLOOKUP(R4393,データについて!$J$12:$M$18,7,FALSE)</f>
        <v>#N/A</v>
      </c>
      <c r="Z4393" s="81" t="e">
        <f>HLOOKUP(I4393,データについて!$J$3:$M$18,16,FALSE)</f>
        <v>#N/A</v>
      </c>
      <c r="AA4393" s="81" t="str">
        <f>IFERROR(HLOOKUP(J4393,データについて!$J$4:$AH$19,16,FALSE),"")</f>
        <v/>
      </c>
      <c r="AB4393" s="81" t="str">
        <f>IFERROR(HLOOKUP(K4393,データについて!$J$5:$AH$20,14,FALSE),"")</f>
        <v/>
      </c>
      <c r="AC4393" s="81" t="e">
        <f>IF(X4393=1,HLOOKUP(R4393,データについて!$J$12:$M$18,7,FALSE),"*")</f>
        <v>#N/A</v>
      </c>
      <c r="AD4393" s="81" t="e">
        <f>IF(X4393=2,HLOOKUP(R4393,データについて!$J$12:$M$18,7,FALSE),"*")</f>
        <v>#N/A</v>
      </c>
    </row>
    <row r="4394" spans="19:30">
      <c r="S4394" s="81" t="e">
        <f>HLOOKUP(L4394,データについて!$J$6:$M$18,13,FALSE)</f>
        <v>#N/A</v>
      </c>
      <c r="T4394" s="81" t="e">
        <f>HLOOKUP(M4394,データについて!$J$7:$M$18,12,FALSE)</f>
        <v>#N/A</v>
      </c>
      <c r="U4394" s="81" t="e">
        <f>HLOOKUP(N4394,データについて!$J$8:$M$18,11,FALSE)</f>
        <v>#N/A</v>
      </c>
      <c r="V4394" s="81" t="e">
        <f>HLOOKUP(O4394,データについて!$J$9:$M$18,10,FALSE)</f>
        <v>#N/A</v>
      </c>
      <c r="W4394" s="81" t="e">
        <f>HLOOKUP(P4394,データについて!$J$10:$M$18,9,FALSE)</f>
        <v>#N/A</v>
      </c>
      <c r="X4394" s="81" t="e">
        <f>HLOOKUP(Q4394,データについて!$J$11:$M$18,8,FALSE)</f>
        <v>#N/A</v>
      </c>
      <c r="Y4394" s="81" t="e">
        <f>HLOOKUP(R4394,データについて!$J$12:$M$18,7,FALSE)</f>
        <v>#N/A</v>
      </c>
      <c r="Z4394" s="81" t="e">
        <f>HLOOKUP(I4394,データについて!$J$3:$M$18,16,FALSE)</f>
        <v>#N/A</v>
      </c>
      <c r="AA4394" s="81" t="str">
        <f>IFERROR(HLOOKUP(J4394,データについて!$J$4:$AH$19,16,FALSE),"")</f>
        <v/>
      </c>
      <c r="AB4394" s="81" t="str">
        <f>IFERROR(HLOOKUP(K4394,データについて!$J$5:$AH$20,14,FALSE),"")</f>
        <v/>
      </c>
      <c r="AC4394" s="81" t="e">
        <f>IF(X4394=1,HLOOKUP(R4394,データについて!$J$12:$M$18,7,FALSE),"*")</f>
        <v>#N/A</v>
      </c>
      <c r="AD4394" s="81" t="e">
        <f>IF(X4394=2,HLOOKUP(R4394,データについて!$J$12:$M$18,7,FALSE),"*")</f>
        <v>#N/A</v>
      </c>
    </row>
    <row r="4395" spans="19:30">
      <c r="S4395" s="81" t="e">
        <f>HLOOKUP(L4395,データについて!$J$6:$M$18,13,FALSE)</f>
        <v>#N/A</v>
      </c>
      <c r="T4395" s="81" t="e">
        <f>HLOOKUP(M4395,データについて!$J$7:$M$18,12,FALSE)</f>
        <v>#N/A</v>
      </c>
      <c r="U4395" s="81" t="e">
        <f>HLOOKUP(N4395,データについて!$J$8:$M$18,11,FALSE)</f>
        <v>#N/A</v>
      </c>
      <c r="V4395" s="81" t="e">
        <f>HLOOKUP(O4395,データについて!$J$9:$M$18,10,FALSE)</f>
        <v>#N/A</v>
      </c>
      <c r="W4395" s="81" t="e">
        <f>HLOOKUP(P4395,データについて!$J$10:$M$18,9,FALSE)</f>
        <v>#N/A</v>
      </c>
      <c r="X4395" s="81" t="e">
        <f>HLOOKUP(Q4395,データについて!$J$11:$M$18,8,FALSE)</f>
        <v>#N/A</v>
      </c>
      <c r="Y4395" s="81" t="e">
        <f>HLOOKUP(R4395,データについて!$J$12:$M$18,7,FALSE)</f>
        <v>#N/A</v>
      </c>
      <c r="Z4395" s="81" t="e">
        <f>HLOOKUP(I4395,データについて!$J$3:$M$18,16,FALSE)</f>
        <v>#N/A</v>
      </c>
      <c r="AA4395" s="81" t="str">
        <f>IFERROR(HLOOKUP(J4395,データについて!$J$4:$AH$19,16,FALSE),"")</f>
        <v/>
      </c>
      <c r="AB4395" s="81" t="str">
        <f>IFERROR(HLOOKUP(K4395,データについて!$J$5:$AH$20,14,FALSE),"")</f>
        <v/>
      </c>
      <c r="AC4395" s="81" t="e">
        <f>IF(X4395=1,HLOOKUP(R4395,データについて!$J$12:$M$18,7,FALSE),"*")</f>
        <v>#N/A</v>
      </c>
      <c r="AD4395" s="81" t="e">
        <f>IF(X4395=2,HLOOKUP(R4395,データについて!$J$12:$M$18,7,FALSE),"*")</f>
        <v>#N/A</v>
      </c>
    </row>
    <row r="4396" spans="19:30">
      <c r="S4396" s="81" t="e">
        <f>HLOOKUP(L4396,データについて!$J$6:$M$18,13,FALSE)</f>
        <v>#N/A</v>
      </c>
      <c r="T4396" s="81" t="e">
        <f>HLOOKUP(M4396,データについて!$J$7:$M$18,12,FALSE)</f>
        <v>#N/A</v>
      </c>
      <c r="U4396" s="81" t="e">
        <f>HLOOKUP(N4396,データについて!$J$8:$M$18,11,FALSE)</f>
        <v>#N/A</v>
      </c>
      <c r="V4396" s="81" t="e">
        <f>HLOOKUP(O4396,データについて!$J$9:$M$18,10,FALSE)</f>
        <v>#N/A</v>
      </c>
      <c r="W4396" s="81" t="e">
        <f>HLOOKUP(P4396,データについて!$J$10:$M$18,9,FALSE)</f>
        <v>#N/A</v>
      </c>
      <c r="X4396" s="81" t="e">
        <f>HLOOKUP(Q4396,データについて!$J$11:$M$18,8,FALSE)</f>
        <v>#N/A</v>
      </c>
      <c r="Y4396" s="81" t="e">
        <f>HLOOKUP(R4396,データについて!$J$12:$M$18,7,FALSE)</f>
        <v>#N/A</v>
      </c>
      <c r="Z4396" s="81" t="e">
        <f>HLOOKUP(I4396,データについて!$J$3:$M$18,16,FALSE)</f>
        <v>#N/A</v>
      </c>
      <c r="AA4396" s="81" t="str">
        <f>IFERROR(HLOOKUP(J4396,データについて!$J$4:$AH$19,16,FALSE),"")</f>
        <v/>
      </c>
      <c r="AB4396" s="81" t="str">
        <f>IFERROR(HLOOKUP(K4396,データについて!$J$5:$AH$20,14,FALSE),"")</f>
        <v/>
      </c>
      <c r="AC4396" s="81" t="e">
        <f>IF(X4396=1,HLOOKUP(R4396,データについて!$J$12:$M$18,7,FALSE),"*")</f>
        <v>#N/A</v>
      </c>
      <c r="AD4396" s="81" t="e">
        <f>IF(X4396=2,HLOOKUP(R4396,データについて!$J$12:$M$18,7,FALSE),"*")</f>
        <v>#N/A</v>
      </c>
    </row>
    <row r="4397" spans="19:30">
      <c r="S4397" s="81" t="e">
        <f>HLOOKUP(L4397,データについて!$J$6:$M$18,13,FALSE)</f>
        <v>#N/A</v>
      </c>
      <c r="T4397" s="81" t="e">
        <f>HLOOKUP(M4397,データについて!$J$7:$M$18,12,FALSE)</f>
        <v>#N/A</v>
      </c>
      <c r="U4397" s="81" t="e">
        <f>HLOOKUP(N4397,データについて!$J$8:$M$18,11,FALSE)</f>
        <v>#N/A</v>
      </c>
      <c r="V4397" s="81" t="e">
        <f>HLOOKUP(O4397,データについて!$J$9:$M$18,10,FALSE)</f>
        <v>#N/A</v>
      </c>
      <c r="W4397" s="81" t="e">
        <f>HLOOKUP(P4397,データについて!$J$10:$M$18,9,FALSE)</f>
        <v>#N/A</v>
      </c>
      <c r="X4397" s="81" t="e">
        <f>HLOOKUP(Q4397,データについて!$J$11:$M$18,8,FALSE)</f>
        <v>#N/A</v>
      </c>
      <c r="Y4397" s="81" t="e">
        <f>HLOOKUP(R4397,データについて!$J$12:$M$18,7,FALSE)</f>
        <v>#N/A</v>
      </c>
      <c r="Z4397" s="81" t="e">
        <f>HLOOKUP(I4397,データについて!$J$3:$M$18,16,FALSE)</f>
        <v>#N/A</v>
      </c>
      <c r="AA4397" s="81" t="str">
        <f>IFERROR(HLOOKUP(J4397,データについて!$J$4:$AH$19,16,FALSE),"")</f>
        <v/>
      </c>
      <c r="AB4397" s="81" t="str">
        <f>IFERROR(HLOOKUP(K4397,データについて!$J$5:$AH$20,14,FALSE),"")</f>
        <v/>
      </c>
      <c r="AC4397" s="81" t="e">
        <f>IF(X4397=1,HLOOKUP(R4397,データについて!$J$12:$M$18,7,FALSE),"*")</f>
        <v>#N/A</v>
      </c>
      <c r="AD4397" s="81" t="e">
        <f>IF(X4397=2,HLOOKUP(R4397,データについて!$J$12:$M$18,7,FALSE),"*")</f>
        <v>#N/A</v>
      </c>
    </row>
    <row r="4398" spans="19:30">
      <c r="S4398" s="81" t="e">
        <f>HLOOKUP(L4398,データについて!$J$6:$M$18,13,FALSE)</f>
        <v>#N/A</v>
      </c>
      <c r="T4398" s="81" t="e">
        <f>HLOOKUP(M4398,データについて!$J$7:$M$18,12,FALSE)</f>
        <v>#N/A</v>
      </c>
      <c r="U4398" s="81" t="e">
        <f>HLOOKUP(N4398,データについて!$J$8:$M$18,11,FALSE)</f>
        <v>#N/A</v>
      </c>
      <c r="V4398" s="81" t="e">
        <f>HLOOKUP(O4398,データについて!$J$9:$M$18,10,FALSE)</f>
        <v>#N/A</v>
      </c>
      <c r="W4398" s="81" t="e">
        <f>HLOOKUP(P4398,データについて!$J$10:$M$18,9,FALSE)</f>
        <v>#N/A</v>
      </c>
      <c r="X4398" s="81" t="e">
        <f>HLOOKUP(Q4398,データについて!$J$11:$M$18,8,FALSE)</f>
        <v>#N/A</v>
      </c>
      <c r="Y4398" s="81" t="e">
        <f>HLOOKUP(R4398,データについて!$J$12:$M$18,7,FALSE)</f>
        <v>#N/A</v>
      </c>
      <c r="Z4398" s="81" t="e">
        <f>HLOOKUP(I4398,データについて!$J$3:$M$18,16,FALSE)</f>
        <v>#N/A</v>
      </c>
      <c r="AA4398" s="81" t="str">
        <f>IFERROR(HLOOKUP(J4398,データについて!$J$4:$AH$19,16,FALSE),"")</f>
        <v/>
      </c>
      <c r="AB4398" s="81" t="str">
        <f>IFERROR(HLOOKUP(K4398,データについて!$J$5:$AH$20,14,FALSE),"")</f>
        <v/>
      </c>
      <c r="AC4398" s="81" t="e">
        <f>IF(X4398=1,HLOOKUP(R4398,データについて!$J$12:$M$18,7,FALSE),"*")</f>
        <v>#N/A</v>
      </c>
      <c r="AD4398" s="81" t="e">
        <f>IF(X4398=2,HLOOKUP(R4398,データについて!$J$12:$M$18,7,FALSE),"*")</f>
        <v>#N/A</v>
      </c>
    </row>
    <row r="4399" spans="19:30">
      <c r="S4399" s="81" t="e">
        <f>HLOOKUP(L4399,データについて!$J$6:$M$18,13,FALSE)</f>
        <v>#N/A</v>
      </c>
      <c r="T4399" s="81" t="e">
        <f>HLOOKUP(M4399,データについて!$J$7:$M$18,12,FALSE)</f>
        <v>#N/A</v>
      </c>
      <c r="U4399" s="81" t="e">
        <f>HLOOKUP(N4399,データについて!$J$8:$M$18,11,FALSE)</f>
        <v>#N/A</v>
      </c>
      <c r="V4399" s="81" t="e">
        <f>HLOOKUP(O4399,データについて!$J$9:$M$18,10,FALSE)</f>
        <v>#N/A</v>
      </c>
      <c r="W4399" s="81" t="e">
        <f>HLOOKUP(P4399,データについて!$J$10:$M$18,9,FALSE)</f>
        <v>#N/A</v>
      </c>
      <c r="X4399" s="81" t="e">
        <f>HLOOKUP(Q4399,データについて!$J$11:$M$18,8,FALSE)</f>
        <v>#N/A</v>
      </c>
      <c r="Y4399" s="81" t="e">
        <f>HLOOKUP(R4399,データについて!$J$12:$M$18,7,FALSE)</f>
        <v>#N/A</v>
      </c>
      <c r="Z4399" s="81" t="e">
        <f>HLOOKUP(I4399,データについて!$J$3:$M$18,16,FALSE)</f>
        <v>#N/A</v>
      </c>
      <c r="AA4399" s="81" t="str">
        <f>IFERROR(HLOOKUP(J4399,データについて!$J$4:$AH$19,16,FALSE),"")</f>
        <v/>
      </c>
      <c r="AB4399" s="81" t="str">
        <f>IFERROR(HLOOKUP(K4399,データについて!$J$5:$AH$20,14,FALSE),"")</f>
        <v/>
      </c>
      <c r="AC4399" s="81" t="e">
        <f>IF(X4399=1,HLOOKUP(R4399,データについて!$J$12:$M$18,7,FALSE),"*")</f>
        <v>#N/A</v>
      </c>
      <c r="AD4399" s="81" t="e">
        <f>IF(X4399=2,HLOOKUP(R4399,データについて!$J$12:$M$18,7,FALSE),"*")</f>
        <v>#N/A</v>
      </c>
    </row>
    <row r="4400" spans="19:30">
      <c r="S4400" s="81" t="e">
        <f>HLOOKUP(L4400,データについて!$J$6:$M$18,13,FALSE)</f>
        <v>#N/A</v>
      </c>
      <c r="T4400" s="81" t="e">
        <f>HLOOKUP(M4400,データについて!$J$7:$M$18,12,FALSE)</f>
        <v>#N/A</v>
      </c>
      <c r="U4400" s="81" t="e">
        <f>HLOOKUP(N4400,データについて!$J$8:$M$18,11,FALSE)</f>
        <v>#N/A</v>
      </c>
      <c r="V4400" s="81" t="e">
        <f>HLOOKUP(O4400,データについて!$J$9:$M$18,10,FALSE)</f>
        <v>#N/A</v>
      </c>
      <c r="W4400" s="81" t="e">
        <f>HLOOKUP(P4400,データについて!$J$10:$M$18,9,FALSE)</f>
        <v>#N/A</v>
      </c>
      <c r="X4400" s="81" t="e">
        <f>HLOOKUP(Q4400,データについて!$J$11:$M$18,8,FALSE)</f>
        <v>#N/A</v>
      </c>
      <c r="Y4400" s="81" t="e">
        <f>HLOOKUP(R4400,データについて!$J$12:$M$18,7,FALSE)</f>
        <v>#N/A</v>
      </c>
      <c r="Z4400" s="81" t="e">
        <f>HLOOKUP(I4400,データについて!$J$3:$M$18,16,FALSE)</f>
        <v>#N/A</v>
      </c>
      <c r="AA4400" s="81" t="str">
        <f>IFERROR(HLOOKUP(J4400,データについて!$J$4:$AH$19,16,FALSE),"")</f>
        <v/>
      </c>
      <c r="AB4400" s="81" t="str">
        <f>IFERROR(HLOOKUP(K4400,データについて!$J$5:$AH$20,14,FALSE),"")</f>
        <v/>
      </c>
      <c r="AC4400" s="81" t="e">
        <f>IF(X4400=1,HLOOKUP(R4400,データについて!$J$12:$M$18,7,FALSE),"*")</f>
        <v>#N/A</v>
      </c>
      <c r="AD4400" s="81" t="e">
        <f>IF(X4400=2,HLOOKUP(R4400,データについて!$J$12:$M$18,7,FALSE),"*")</f>
        <v>#N/A</v>
      </c>
    </row>
    <row r="4401" spans="19:30">
      <c r="S4401" s="81" t="e">
        <f>HLOOKUP(L4401,データについて!$J$6:$M$18,13,FALSE)</f>
        <v>#N/A</v>
      </c>
      <c r="T4401" s="81" t="e">
        <f>HLOOKUP(M4401,データについて!$J$7:$M$18,12,FALSE)</f>
        <v>#N/A</v>
      </c>
      <c r="U4401" s="81" t="e">
        <f>HLOOKUP(N4401,データについて!$J$8:$M$18,11,FALSE)</f>
        <v>#N/A</v>
      </c>
      <c r="V4401" s="81" t="e">
        <f>HLOOKUP(O4401,データについて!$J$9:$M$18,10,FALSE)</f>
        <v>#N/A</v>
      </c>
      <c r="W4401" s="81" t="e">
        <f>HLOOKUP(P4401,データについて!$J$10:$M$18,9,FALSE)</f>
        <v>#N/A</v>
      </c>
      <c r="X4401" s="81" t="e">
        <f>HLOOKUP(Q4401,データについて!$J$11:$M$18,8,FALSE)</f>
        <v>#N/A</v>
      </c>
      <c r="Y4401" s="81" t="e">
        <f>HLOOKUP(R4401,データについて!$J$12:$M$18,7,FALSE)</f>
        <v>#N/A</v>
      </c>
      <c r="Z4401" s="81" t="e">
        <f>HLOOKUP(I4401,データについて!$J$3:$M$18,16,FALSE)</f>
        <v>#N/A</v>
      </c>
      <c r="AA4401" s="81" t="str">
        <f>IFERROR(HLOOKUP(J4401,データについて!$J$4:$AH$19,16,FALSE),"")</f>
        <v/>
      </c>
      <c r="AB4401" s="81" t="str">
        <f>IFERROR(HLOOKUP(K4401,データについて!$J$5:$AH$20,14,FALSE),"")</f>
        <v/>
      </c>
      <c r="AC4401" s="81" t="e">
        <f>IF(X4401=1,HLOOKUP(R4401,データについて!$J$12:$M$18,7,FALSE),"*")</f>
        <v>#N/A</v>
      </c>
      <c r="AD4401" s="81" t="e">
        <f>IF(X4401=2,HLOOKUP(R4401,データについて!$J$12:$M$18,7,FALSE),"*")</f>
        <v>#N/A</v>
      </c>
    </row>
    <row r="4402" spans="19:30">
      <c r="S4402" s="81" t="e">
        <f>HLOOKUP(L4402,データについて!$J$6:$M$18,13,FALSE)</f>
        <v>#N/A</v>
      </c>
      <c r="T4402" s="81" t="e">
        <f>HLOOKUP(M4402,データについて!$J$7:$M$18,12,FALSE)</f>
        <v>#N/A</v>
      </c>
      <c r="U4402" s="81" t="e">
        <f>HLOOKUP(N4402,データについて!$J$8:$M$18,11,FALSE)</f>
        <v>#N/A</v>
      </c>
      <c r="V4402" s="81" t="e">
        <f>HLOOKUP(O4402,データについて!$J$9:$M$18,10,FALSE)</f>
        <v>#N/A</v>
      </c>
      <c r="W4402" s="81" t="e">
        <f>HLOOKUP(P4402,データについて!$J$10:$M$18,9,FALSE)</f>
        <v>#N/A</v>
      </c>
      <c r="X4402" s="81" t="e">
        <f>HLOOKUP(Q4402,データについて!$J$11:$M$18,8,FALSE)</f>
        <v>#N/A</v>
      </c>
      <c r="Y4402" s="81" t="e">
        <f>HLOOKUP(R4402,データについて!$J$12:$M$18,7,FALSE)</f>
        <v>#N/A</v>
      </c>
      <c r="Z4402" s="81" t="e">
        <f>HLOOKUP(I4402,データについて!$J$3:$M$18,16,FALSE)</f>
        <v>#N/A</v>
      </c>
      <c r="AA4402" s="81" t="str">
        <f>IFERROR(HLOOKUP(J4402,データについて!$J$4:$AH$19,16,FALSE),"")</f>
        <v/>
      </c>
      <c r="AB4402" s="81" t="str">
        <f>IFERROR(HLOOKUP(K4402,データについて!$J$5:$AH$20,14,FALSE),"")</f>
        <v/>
      </c>
      <c r="AC4402" s="81" t="e">
        <f>IF(X4402=1,HLOOKUP(R4402,データについて!$J$12:$M$18,7,FALSE),"*")</f>
        <v>#N/A</v>
      </c>
      <c r="AD4402" s="81" t="e">
        <f>IF(X4402=2,HLOOKUP(R4402,データについて!$J$12:$M$18,7,FALSE),"*")</f>
        <v>#N/A</v>
      </c>
    </row>
    <row r="4403" spans="19:30">
      <c r="S4403" s="81" t="e">
        <f>HLOOKUP(L4403,データについて!$J$6:$M$18,13,FALSE)</f>
        <v>#N/A</v>
      </c>
      <c r="T4403" s="81" t="e">
        <f>HLOOKUP(M4403,データについて!$J$7:$M$18,12,FALSE)</f>
        <v>#N/A</v>
      </c>
      <c r="U4403" s="81" t="e">
        <f>HLOOKUP(N4403,データについて!$J$8:$M$18,11,FALSE)</f>
        <v>#N/A</v>
      </c>
      <c r="V4403" s="81" t="e">
        <f>HLOOKUP(O4403,データについて!$J$9:$M$18,10,FALSE)</f>
        <v>#N/A</v>
      </c>
      <c r="W4403" s="81" t="e">
        <f>HLOOKUP(P4403,データについて!$J$10:$M$18,9,FALSE)</f>
        <v>#N/A</v>
      </c>
      <c r="X4403" s="81" t="e">
        <f>HLOOKUP(Q4403,データについて!$J$11:$M$18,8,FALSE)</f>
        <v>#N/A</v>
      </c>
      <c r="Y4403" s="81" t="e">
        <f>HLOOKUP(R4403,データについて!$J$12:$M$18,7,FALSE)</f>
        <v>#N/A</v>
      </c>
      <c r="Z4403" s="81" t="e">
        <f>HLOOKUP(I4403,データについて!$J$3:$M$18,16,FALSE)</f>
        <v>#N/A</v>
      </c>
      <c r="AA4403" s="81" t="str">
        <f>IFERROR(HLOOKUP(J4403,データについて!$J$4:$AH$19,16,FALSE),"")</f>
        <v/>
      </c>
      <c r="AB4403" s="81" t="str">
        <f>IFERROR(HLOOKUP(K4403,データについて!$J$5:$AH$20,14,FALSE),"")</f>
        <v/>
      </c>
      <c r="AC4403" s="81" t="e">
        <f>IF(X4403=1,HLOOKUP(R4403,データについて!$J$12:$M$18,7,FALSE),"*")</f>
        <v>#N/A</v>
      </c>
      <c r="AD4403" s="81" t="e">
        <f>IF(X4403=2,HLOOKUP(R4403,データについて!$J$12:$M$18,7,FALSE),"*")</f>
        <v>#N/A</v>
      </c>
    </row>
    <row r="4404" spans="19:30">
      <c r="S4404" s="81" t="e">
        <f>HLOOKUP(L4404,データについて!$J$6:$M$18,13,FALSE)</f>
        <v>#N/A</v>
      </c>
      <c r="T4404" s="81" t="e">
        <f>HLOOKUP(M4404,データについて!$J$7:$M$18,12,FALSE)</f>
        <v>#N/A</v>
      </c>
      <c r="U4404" s="81" t="e">
        <f>HLOOKUP(N4404,データについて!$J$8:$M$18,11,FALSE)</f>
        <v>#N/A</v>
      </c>
      <c r="V4404" s="81" t="e">
        <f>HLOOKUP(O4404,データについて!$J$9:$M$18,10,FALSE)</f>
        <v>#N/A</v>
      </c>
      <c r="W4404" s="81" t="e">
        <f>HLOOKUP(P4404,データについて!$J$10:$M$18,9,FALSE)</f>
        <v>#N/A</v>
      </c>
      <c r="X4404" s="81" t="e">
        <f>HLOOKUP(Q4404,データについて!$J$11:$M$18,8,FALSE)</f>
        <v>#N/A</v>
      </c>
      <c r="Y4404" s="81" t="e">
        <f>HLOOKUP(R4404,データについて!$J$12:$M$18,7,FALSE)</f>
        <v>#N/A</v>
      </c>
      <c r="Z4404" s="81" t="e">
        <f>HLOOKUP(I4404,データについて!$J$3:$M$18,16,FALSE)</f>
        <v>#N/A</v>
      </c>
      <c r="AA4404" s="81" t="str">
        <f>IFERROR(HLOOKUP(J4404,データについて!$J$4:$AH$19,16,FALSE),"")</f>
        <v/>
      </c>
      <c r="AB4404" s="81" t="str">
        <f>IFERROR(HLOOKUP(K4404,データについて!$J$5:$AH$20,14,FALSE),"")</f>
        <v/>
      </c>
      <c r="AC4404" s="81" t="e">
        <f>IF(X4404=1,HLOOKUP(R4404,データについて!$J$12:$M$18,7,FALSE),"*")</f>
        <v>#N/A</v>
      </c>
      <c r="AD4404" s="81" t="e">
        <f>IF(X4404=2,HLOOKUP(R4404,データについて!$J$12:$M$18,7,FALSE),"*")</f>
        <v>#N/A</v>
      </c>
    </row>
    <row r="4405" spans="19:30">
      <c r="S4405" s="81" t="e">
        <f>HLOOKUP(L4405,データについて!$J$6:$M$18,13,FALSE)</f>
        <v>#N/A</v>
      </c>
      <c r="T4405" s="81" t="e">
        <f>HLOOKUP(M4405,データについて!$J$7:$M$18,12,FALSE)</f>
        <v>#N/A</v>
      </c>
      <c r="U4405" s="81" t="e">
        <f>HLOOKUP(N4405,データについて!$J$8:$M$18,11,FALSE)</f>
        <v>#N/A</v>
      </c>
      <c r="V4405" s="81" t="e">
        <f>HLOOKUP(O4405,データについて!$J$9:$M$18,10,FALSE)</f>
        <v>#N/A</v>
      </c>
      <c r="W4405" s="81" t="e">
        <f>HLOOKUP(P4405,データについて!$J$10:$M$18,9,FALSE)</f>
        <v>#N/A</v>
      </c>
      <c r="X4405" s="81" t="e">
        <f>HLOOKUP(Q4405,データについて!$J$11:$M$18,8,FALSE)</f>
        <v>#N/A</v>
      </c>
      <c r="Y4405" s="81" t="e">
        <f>HLOOKUP(R4405,データについて!$J$12:$M$18,7,FALSE)</f>
        <v>#N/A</v>
      </c>
      <c r="Z4405" s="81" t="e">
        <f>HLOOKUP(I4405,データについて!$J$3:$M$18,16,FALSE)</f>
        <v>#N/A</v>
      </c>
      <c r="AA4405" s="81" t="str">
        <f>IFERROR(HLOOKUP(J4405,データについて!$J$4:$AH$19,16,FALSE),"")</f>
        <v/>
      </c>
      <c r="AB4405" s="81" t="str">
        <f>IFERROR(HLOOKUP(K4405,データについて!$J$5:$AH$20,14,FALSE),"")</f>
        <v/>
      </c>
      <c r="AC4405" s="81" t="e">
        <f>IF(X4405=1,HLOOKUP(R4405,データについて!$J$12:$M$18,7,FALSE),"*")</f>
        <v>#N/A</v>
      </c>
      <c r="AD4405" s="81" t="e">
        <f>IF(X4405=2,HLOOKUP(R4405,データについて!$J$12:$M$18,7,FALSE),"*")</f>
        <v>#N/A</v>
      </c>
    </row>
    <row r="4406" spans="19:30">
      <c r="S4406" s="81" t="e">
        <f>HLOOKUP(L4406,データについて!$J$6:$M$18,13,FALSE)</f>
        <v>#N/A</v>
      </c>
      <c r="T4406" s="81" t="e">
        <f>HLOOKUP(M4406,データについて!$J$7:$M$18,12,FALSE)</f>
        <v>#N/A</v>
      </c>
      <c r="U4406" s="81" t="e">
        <f>HLOOKUP(N4406,データについて!$J$8:$M$18,11,FALSE)</f>
        <v>#N/A</v>
      </c>
      <c r="V4406" s="81" t="e">
        <f>HLOOKUP(O4406,データについて!$J$9:$M$18,10,FALSE)</f>
        <v>#N/A</v>
      </c>
      <c r="W4406" s="81" t="e">
        <f>HLOOKUP(P4406,データについて!$J$10:$M$18,9,FALSE)</f>
        <v>#N/A</v>
      </c>
      <c r="X4406" s="81" t="e">
        <f>HLOOKUP(Q4406,データについて!$J$11:$M$18,8,FALSE)</f>
        <v>#N/A</v>
      </c>
      <c r="Y4406" s="81" t="e">
        <f>HLOOKUP(R4406,データについて!$J$12:$M$18,7,FALSE)</f>
        <v>#N/A</v>
      </c>
      <c r="Z4406" s="81" t="e">
        <f>HLOOKUP(I4406,データについて!$J$3:$M$18,16,FALSE)</f>
        <v>#N/A</v>
      </c>
      <c r="AA4406" s="81" t="str">
        <f>IFERROR(HLOOKUP(J4406,データについて!$J$4:$AH$19,16,FALSE),"")</f>
        <v/>
      </c>
      <c r="AB4406" s="81" t="str">
        <f>IFERROR(HLOOKUP(K4406,データについて!$J$5:$AH$20,14,FALSE),"")</f>
        <v/>
      </c>
      <c r="AC4406" s="81" t="e">
        <f>IF(X4406=1,HLOOKUP(R4406,データについて!$J$12:$M$18,7,FALSE),"*")</f>
        <v>#N/A</v>
      </c>
      <c r="AD4406" s="81" t="e">
        <f>IF(X4406=2,HLOOKUP(R4406,データについて!$J$12:$M$18,7,FALSE),"*")</f>
        <v>#N/A</v>
      </c>
    </row>
    <row r="4407" spans="19:30">
      <c r="S4407" s="81" t="e">
        <f>HLOOKUP(L4407,データについて!$J$6:$M$18,13,FALSE)</f>
        <v>#N/A</v>
      </c>
      <c r="T4407" s="81" t="e">
        <f>HLOOKUP(M4407,データについて!$J$7:$M$18,12,FALSE)</f>
        <v>#N/A</v>
      </c>
      <c r="U4407" s="81" t="e">
        <f>HLOOKUP(N4407,データについて!$J$8:$M$18,11,FALSE)</f>
        <v>#N/A</v>
      </c>
      <c r="V4407" s="81" t="e">
        <f>HLOOKUP(O4407,データについて!$J$9:$M$18,10,FALSE)</f>
        <v>#N/A</v>
      </c>
      <c r="W4407" s="81" t="e">
        <f>HLOOKUP(P4407,データについて!$J$10:$M$18,9,FALSE)</f>
        <v>#N/A</v>
      </c>
      <c r="X4407" s="81" t="e">
        <f>HLOOKUP(Q4407,データについて!$J$11:$M$18,8,FALSE)</f>
        <v>#N/A</v>
      </c>
      <c r="Y4407" s="81" t="e">
        <f>HLOOKUP(R4407,データについて!$J$12:$M$18,7,FALSE)</f>
        <v>#N/A</v>
      </c>
      <c r="Z4407" s="81" t="e">
        <f>HLOOKUP(I4407,データについて!$J$3:$M$18,16,FALSE)</f>
        <v>#N/A</v>
      </c>
      <c r="AA4407" s="81" t="str">
        <f>IFERROR(HLOOKUP(J4407,データについて!$J$4:$AH$19,16,FALSE),"")</f>
        <v/>
      </c>
      <c r="AB4407" s="81" t="str">
        <f>IFERROR(HLOOKUP(K4407,データについて!$J$5:$AH$20,14,FALSE),"")</f>
        <v/>
      </c>
      <c r="AC4407" s="81" t="e">
        <f>IF(X4407=1,HLOOKUP(R4407,データについて!$J$12:$M$18,7,FALSE),"*")</f>
        <v>#N/A</v>
      </c>
      <c r="AD4407" s="81" t="e">
        <f>IF(X4407=2,HLOOKUP(R4407,データについて!$J$12:$M$18,7,FALSE),"*")</f>
        <v>#N/A</v>
      </c>
    </row>
    <row r="4408" spans="19:30">
      <c r="S4408" s="81" t="e">
        <f>HLOOKUP(L4408,データについて!$J$6:$M$18,13,FALSE)</f>
        <v>#N/A</v>
      </c>
      <c r="T4408" s="81" t="e">
        <f>HLOOKUP(M4408,データについて!$J$7:$M$18,12,FALSE)</f>
        <v>#N/A</v>
      </c>
      <c r="U4408" s="81" t="e">
        <f>HLOOKUP(N4408,データについて!$J$8:$M$18,11,FALSE)</f>
        <v>#N/A</v>
      </c>
      <c r="V4408" s="81" t="e">
        <f>HLOOKUP(O4408,データについて!$J$9:$M$18,10,FALSE)</f>
        <v>#N/A</v>
      </c>
      <c r="W4408" s="81" t="e">
        <f>HLOOKUP(P4408,データについて!$J$10:$M$18,9,FALSE)</f>
        <v>#N/A</v>
      </c>
      <c r="X4408" s="81" t="e">
        <f>HLOOKUP(Q4408,データについて!$J$11:$M$18,8,FALSE)</f>
        <v>#N/A</v>
      </c>
      <c r="Y4408" s="81" t="e">
        <f>HLOOKUP(R4408,データについて!$J$12:$M$18,7,FALSE)</f>
        <v>#N/A</v>
      </c>
      <c r="Z4408" s="81" t="e">
        <f>HLOOKUP(I4408,データについて!$J$3:$M$18,16,FALSE)</f>
        <v>#N/A</v>
      </c>
      <c r="AA4408" s="81" t="str">
        <f>IFERROR(HLOOKUP(J4408,データについて!$J$4:$AH$19,16,FALSE),"")</f>
        <v/>
      </c>
      <c r="AB4408" s="81" t="str">
        <f>IFERROR(HLOOKUP(K4408,データについて!$J$5:$AH$20,14,FALSE),"")</f>
        <v/>
      </c>
      <c r="AC4408" s="81" t="e">
        <f>IF(X4408=1,HLOOKUP(R4408,データについて!$J$12:$M$18,7,FALSE),"*")</f>
        <v>#N/A</v>
      </c>
      <c r="AD4408" s="81" t="e">
        <f>IF(X4408=2,HLOOKUP(R4408,データについて!$J$12:$M$18,7,FALSE),"*")</f>
        <v>#N/A</v>
      </c>
    </row>
    <row r="4409" spans="19:30">
      <c r="S4409" s="81" t="e">
        <f>HLOOKUP(L4409,データについて!$J$6:$M$18,13,FALSE)</f>
        <v>#N/A</v>
      </c>
      <c r="T4409" s="81" t="e">
        <f>HLOOKUP(M4409,データについて!$J$7:$M$18,12,FALSE)</f>
        <v>#N/A</v>
      </c>
      <c r="U4409" s="81" t="e">
        <f>HLOOKUP(N4409,データについて!$J$8:$M$18,11,FALSE)</f>
        <v>#N/A</v>
      </c>
      <c r="V4409" s="81" t="e">
        <f>HLOOKUP(O4409,データについて!$J$9:$M$18,10,FALSE)</f>
        <v>#N/A</v>
      </c>
      <c r="W4409" s="81" t="e">
        <f>HLOOKUP(P4409,データについて!$J$10:$M$18,9,FALSE)</f>
        <v>#N/A</v>
      </c>
      <c r="X4409" s="81" t="e">
        <f>HLOOKUP(Q4409,データについて!$J$11:$M$18,8,FALSE)</f>
        <v>#N/A</v>
      </c>
      <c r="Y4409" s="81" t="e">
        <f>HLOOKUP(R4409,データについて!$J$12:$M$18,7,FALSE)</f>
        <v>#N/A</v>
      </c>
      <c r="Z4409" s="81" t="e">
        <f>HLOOKUP(I4409,データについて!$J$3:$M$18,16,FALSE)</f>
        <v>#N/A</v>
      </c>
      <c r="AA4409" s="81" t="str">
        <f>IFERROR(HLOOKUP(J4409,データについて!$J$4:$AH$19,16,FALSE),"")</f>
        <v/>
      </c>
      <c r="AB4409" s="81" t="str">
        <f>IFERROR(HLOOKUP(K4409,データについて!$J$5:$AH$20,14,FALSE),"")</f>
        <v/>
      </c>
      <c r="AC4409" s="81" t="e">
        <f>IF(X4409=1,HLOOKUP(R4409,データについて!$J$12:$M$18,7,FALSE),"*")</f>
        <v>#N/A</v>
      </c>
      <c r="AD4409" s="81" t="e">
        <f>IF(X4409=2,HLOOKUP(R4409,データについて!$J$12:$M$18,7,FALSE),"*")</f>
        <v>#N/A</v>
      </c>
    </row>
    <row r="4410" spans="19:30">
      <c r="S4410" s="81" t="e">
        <f>HLOOKUP(L4410,データについて!$J$6:$M$18,13,FALSE)</f>
        <v>#N/A</v>
      </c>
      <c r="T4410" s="81" t="e">
        <f>HLOOKUP(M4410,データについて!$J$7:$M$18,12,FALSE)</f>
        <v>#N/A</v>
      </c>
      <c r="U4410" s="81" t="e">
        <f>HLOOKUP(N4410,データについて!$J$8:$M$18,11,FALSE)</f>
        <v>#N/A</v>
      </c>
      <c r="V4410" s="81" t="e">
        <f>HLOOKUP(O4410,データについて!$J$9:$M$18,10,FALSE)</f>
        <v>#N/A</v>
      </c>
      <c r="W4410" s="81" t="e">
        <f>HLOOKUP(P4410,データについて!$J$10:$M$18,9,FALSE)</f>
        <v>#N/A</v>
      </c>
      <c r="X4410" s="81" t="e">
        <f>HLOOKUP(Q4410,データについて!$J$11:$M$18,8,FALSE)</f>
        <v>#N/A</v>
      </c>
      <c r="Y4410" s="81" t="e">
        <f>HLOOKUP(R4410,データについて!$J$12:$M$18,7,FALSE)</f>
        <v>#N/A</v>
      </c>
      <c r="Z4410" s="81" t="e">
        <f>HLOOKUP(I4410,データについて!$J$3:$M$18,16,FALSE)</f>
        <v>#N/A</v>
      </c>
      <c r="AA4410" s="81" t="str">
        <f>IFERROR(HLOOKUP(J4410,データについて!$J$4:$AH$19,16,FALSE),"")</f>
        <v/>
      </c>
      <c r="AB4410" s="81" t="str">
        <f>IFERROR(HLOOKUP(K4410,データについて!$J$5:$AH$20,14,FALSE),"")</f>
        <v/>
      </c>
      <c r="AC4410" s="81" t="e">
        <f>IF(X4410=1,HLOOKUP(R4410,データについて!$J$12:$M$18,7,FALSE),"*")</f>
        <v>#N/A</v>
      </c>
      <c r="AD4410" s="81" t="e">
        <f>IF(X4410=2,HLOOKUP(R4410,データについて!$J$12:$M$18,7,FALSE),"*")</f>
        <v>#N/A</v>
      </c>
    </row>
    <row r="4411" spans="19:30">
      <c r="S4411" s="81" t="e">
        <f>HLOOKUP(L4411,データについて!$J$6:$M$18,13,FALSE)</f>
        <v>#N/A</v>
      </c>
      <c r="T4411" s="81" t="e">
        <f>HLOOKUP(M4411,データについて!$J$7:$M$18,12,FALSE)</f>
        <v>#N/A</v>
      </c>
      <c r="U4411" s="81" t="e">
        <f>HLOOKUP(N4411,データについて!$J$8:$M$18,11,FALSE)</f>
        <v>#N/A</v>
      </c>
      <c r="V4411" s="81" t="e">
        <f>HLOOKUP(O4411,データについて!$J$9:$M$18,10,FALSE)</f>
        <v>#N/A</v>
      </c>
      <c r="W4411" s="81" t="e">
        <f>HLOOKUP(P4411,データについて!$J$10:$M$18,9,FALSE)</f>
        <v>#N/A</v>
      </c>
      <c r="X4411" s="81" t="e">
        <f>HLOOKUP(Q4411,データについて!$J$11:$M$18,8,FALSE)</f>
        <v>#N/A</v>
      </c>
      <c r="Y4411" s="81" t="e">
        <f>HLOOKUP(R4411,データについて!$J$12:$M$18,7,FALSE)</f>
        <v>#N/A</v>
      </c>
      <c r="Z4411" s="81" t="e">
        <f>HLOOKUP(I4411,データについて!$J$3:$M$18,16,FALSE)</f>
        <v>#N/A</v>
      </c>
      <c r="AA4411" s="81" t="str">
        <f>IFERROR(HLOOKUP(J4411,データについて!$J$4:$AH$19,16,FALSE),"")</f>
        <v/>
      </c>
      <c r="AB4411" s="81" t="str">
        <f>IFERROR(HLOOKUP(K4411,データについて!$J$5:$AH$20,14,FALSE),"")</f>
        <v/>
      </c>
      <c r="AC4411" s="81" t="e">
        <f>IF(X4411=1,HLOOKUP(R4411,データについて!$J$12:$M$18,7,FALSE),"*")</f>
        <v>#N/A</v>
      </c>
      <c r="AD4411" s="81" t="e">
        <f>IF(X4411=2,HLOOKUP(R4411,データについて!$J$12:$M$18,7,FALSE),"*")</f>
        <v>#N/A</v>
      </c>
    </row>
    <row r="4412" spans="19:30">
      <c r="S4412" s="81" t="e">
        <f>HLOOKUP(L4412,データについて!$J$6:$M$18,13,FALSE)</f>
        <v>#N/A</v>
      </c>
      <c r="T4412" s="81" t="e">
        <f>HLOOKUP(M4412,データについて!$J$7:$M$18,12,FALSE)</f>
        <v>#N/A</v>
      </c>
      <c r="U4412" s="81" t="e">
        <f>HLOOKUP(N4412,データについて!$J$8:$M$18,11,FALSE)</f>
        <v>#N/A</v>
      </c>
      <c r="V4412" s="81" t="e">
        <f>HLOOKUP(O4412,データについて!$J$9:$M$18,10,FALSE)</f>
        <v>#N/A</v>
      </c>
      <c r="W4412" s="81" t="e">
        <f>HLOOKUP(P4412,データについて!$J$10:$M$18,9,FALSE)</f>
        <v>#N/A</v>
      </c>
      <c r="X4412" s="81" t="e">
        <f>HLOOKUP(Q4412,データについて!$J$11:$M$18,8,FALSE)</f>
        <v>#N/A</v>
      </c>
      <c r="Y4412" s="81" t="e">
        <f>HLOOKUP(R4412,データについて!$J$12:$M$18,7,FALSE)</f>
        <v>#N/A</v>
      </c>
      <c r="Z4412" s="81" t="e">
        <f>HLOOKUP(I4412,データについて!$J$3:$M$18,16,FALSE)</f>
        <v>#N/A</v>
      </c>
      <c r="AA4412" s="81" t="str">
        <f>IFERROR(HLOOKUP(J4412,データについて!$J$4:$AH$19,16,FALSE),"")</f>
        <v/>
      </c>
      <c r="AB4412" s="81" t="str">
        <f>IFERROR(HLOOKUP(K4412,データについて!$J$5:$AH$20,14,FALSE),"")</f>
        <v/>
      </c>
      <c r="AC4412" s="81" t="e">
        <f>IF(X4412=1,HLOOKUP(R4412,データについて!$J$12:$M$18,7,FALSE),"*")</f>
        <v>#N/A</v>
      </c>
      <c r="AD4412" s="81" t="e">
        <f>IF(X4412=2,HLOOKUP(R4412,データについて!$J$12:$M$18,7,FALSE),"*")</f>
        <v>#N/A</v>
      </c>
    </row>
    <row r="4413" spans="19:30">
      <c r="S4413" s="81" t="e">
        <f>HLOOKUP(L4413,データについて!$J$6:$M$18,13,FALSE)</f>
        <v>#N/A</v>
      </c>
      <c r="T4413" s="81" t="e">
        <f>HLOOKUP(M4413,データについて!$J$7:$M$18,12,FALSE)</f>
        <v>#N/A</v>
      </c>
      <c r="U4413" s="81" t="e">
        <f>HLOOKUP(N4413,データについて!$J$8:$M$18,11,FALSE)</f>
        <v>#N/A</v>
      </c>
      <c r="V4413" s="81" t="e">
        <f>HLOOKUP(O4413,データについて!$J$9:$M$18,10,FALSE)</f>
        <v>#N/A</v>
      </c>
      <c r="W4413" s="81" t="e">
        <f>HLOOKUP(P4413,データについて!$J$10:$M$18,9,FALSE)</f>
        <v>#N/A</v>
      </c>
      <c r="X4413" s="81" t="e">
        <f>HLOOKUP(Q4413,データについて!$J$11:$M$18,8,FALSE)</f>
        <v>#N/A</v>
      </c>
      <c r="Y4413" s="81" t="e">
        <f>HLOOKUP(R4413,データについて!$J$12:$M$18,7,FALSE)</f>
        <v>#N/A</v>
      </c>
      <c r="Z4413" s="81" t="e">
        <f>HLOOKUP(I4413,データについて!$J$3:$M$18,16,FALSE)</f>
        <v>#N/A</v>
      </c>
      <c r="AA4413" s="81" t="str">
        <f>IFERROR(HLOOKUP(J4413,データについて!$J$4:$AH$19,16,FALSE),"")</f>
        <v/>
      </c>
      <c r="AB4413" s="81" t="str">
        <f>IFERROR(HLOOKUP(K4413,データについて!$J$5:$AH$20,14,FALSE),"")</f>
        <v/>
      </c>
      <c r="AC4413" s="81" t="e">
        <f>IF(X4413=1,HLOOKUP(R4413,データについて!$J$12:$M$18,7,FALSE),"*")</f>
        <v>#N/A</v>
      </c>
      <c r="AD4413" s="81" t="e">
        <f>IF(X4413=2,HLOOKUP(R4413,データについて!$J$12:$M$18,7,FALSE),"*")</f>
        <v>#N/A</v>
      </c>
    </row>
    <row r="4414" spans="19:30">
      <c r="S4414" s="81" t="e">
        <f>HLOOKUP(L4414,データについて!$J$6:$M$18,13,FALSE)</f>
        <v>#N/A</v>
      </c>
      <c r="T4414" s="81" t="e">
        <f>HLOOKUP(M4414,データについて!$J$7:$M$18,12,FALSE)</f>
        <v>#N/A</v>
      </c>
      <c r="U4414" s="81" t="e">
        <f>HLOOKUP(N4414,データについて!$J$8:$M$18,11,FALSE)</f>
        <v>#N/A</v>
      </c>
      <c r="V4414" s="81" t="e">
        <f>HLOOKUP(O4414,データについて!$J$9:$M$18,10,FALSE)</f>
        <v>#N/A</v>
      </c>
      <c r="W4414" s="81" t="e">
        <f>HLOOKUP(P4414,データについて!$J$10:$M$18,9,FALSE)</f>
        <v>#N/A</v>
      </c>
      <c r="X4414" s="81" t="e">
        <f>HLOOKUP(Q4414,データについて!$J$11:$M$18,8,FALSE)</f>
        <v>#N/A</v>
      </c>
      <c r="Y4414" s="81" t="e">
        <f>HLOOKUP(R4414,データについて!$J$12:$M$18,7,FALSE)</f>
        <v>#N/A</v>
      </c>
      <c r="Z4414" s="81" t="e">
        <f>HLOOKUP(I4414,データについて!$J$3:$M$18,16,FALSE)</f>
        <v>#N/A</v>
      </c>
      <c r="AA4414" s="81" t="str">
        <f>IFERROR(HLOOKUP(J4414,データについて!$J$4:$AH$19,16,FALSE),"")</f>
        <v/>
      </c>
      <c r="AB4414" s="81" t="str">
        <f>IFERROR(HLOOKUP(K4414,データについて!$J$5:$AH$20,14,FALSE),"")</f>
        <v/>
      </c>
      <c r="AC4414" s="81" t="e">
        <f>IF(X4414=1,HLOOKUP(R4414,データについて!$J$12:$M$18,7,FALSE),"*")</f>
        <v>#N/A</v>
      </c>
      <c r="AD4414" s="81" t="e">
        <f>IF(X4414=2,HLOOKUP(R4414,データについて!$J$12:$M$18,7,FALSE),"*")</f>
        <v>#N/A</v>
      </c>
    </row>
    <row r="4415" spans="19:30">
      <c r="S4415" s="81" t="e">
        <f>HLOOKUP(L4415,データについて!$J$6:$M$18,13,FALSE)</f>
        <v>#N/A</v>
      </c>
      <c r="T4415" s="81" t="e">
        <f>HLOOKUP(M4415,データについて!$J$7:$M$18,12,FALSE)</f>
        <v>#N/A</v>
      </c>
      <c r="U4415" s="81" t="e">
        <f>HLOOKUP(N4415,データについて!$J$8:$M$18,11,FALSE)</f>
        <v>#N/A</v>
      </c>
      <c r="V4415" s="81" t="e">
        <f>HLOOKUP(O4415,データについて!$J$9:$M$18,10,FALSE)</f>
        <v>#N/A</v>
      </c>
      <c r="W4415" s="81" t="e">
        <f>HLOOKUP(P4415,データについて!$J$10:$M$18,9,FALSE)</f>
        <v>#N/A</v>
      </c>
      <c r="X4415" s="81" t="e">
        <f>HLOOKUP(Q4415,データについて!$J$11:$M$18,8,FALSE)</f>
        <v>#N/A</v>
      </c>
      <c r="Y4415" s="81" t="e">
        <f>HLOOKUP(R4415,データについて!$J$12:$M$18,7,FALSE)</f>
        <v>#N/A</v>
      </c>
      <c r="Z4415" s="81" t="e">
        <f>HLOOKUP(I4415,データについて!$J$3:$M$18,16,FALSE)</f>
        <v>#N/A</v>
      </c>
      <c r="AA4415" s="81" t="str">
        <f>IFERROR(HLOOKUP(J4415,データについて!$J$4:$AH$19,16,FALSE),"")</f>
        <v/>
      </c>
      <c r="AB4415" s="81" t="str">
        <f>IFERROR(HLOOKUP(K4415,データについて!$J$5:$AH$20,14,FALSE),"")</f>
        <v/>
      </c>
      <c r="AC4415" s="81" t="e">
        <f>IF(X4415=1,HLOOKUP(R4415,データについて!$J$12:$M$18,7,FALSE),"*")</f>
        <v>#N/A</v>
      </c>
      <c r="AD4415" s="81" t="e">
        <f>IF(X4415=2,HLOOKUP(R4415,データについて!$J$12:$M$18,7,FALSE),"*")</f>
        <v>#N/A</v>
      </c>
    </row>
    <row r="4416" spans="19:30">
      <c r="S4416" s="81" t="e">
        <f>HLOOKUP(L4416,データについて!$J$6:$M$18,13,FALSE)</f>
        <v>#N/A</v>
      </c>
      <c r="T4416" s="81" t="e">
        <f>HLOOKUP(M4416,データについて!$J$7:$M$18,12,FALSE)</f>
        <v>#N/A</v>
      </c>
      <c r="U4416" s="81" t="e">
        <f>HLOOKUP(N4416,データについて!$J$8:$M$18,11,FALSE)</f>
        <v>#N/A</v>
      </c>
      <c r="V4416" s="81" t="e">
        <f>HLOOKUP(O4416,データについて!$J$9:$M$18,10,FALSE)</f>
        <v>#N/A</v>
      </c>
      <c r="W4416" s="81" t="e">
        <f>HLOOKUP(P4416,データについて!$J$10:$M$18,9,FALSE)</f>
        <v>#N/A</v>
      </c>
      <c r="X4416" s="81" t="e">
        <f>HLOOKUP(Q4416,データについて!$J$11:$M$18,8,FALSE)</f>
        <v>#N/A</v>
      </c>
      <c r="Y4416" s="81" t="e">
        <f>HLOOKUP(R4416,データについて!$J$12:$M$18,7,FALSE)</f>
        <v>#N/A</v>
      </c>
      <c r="Z4416" s="81" t="e">
        <f>HLOOKUP(I4416,データについて!$J$3:$M$18,16,FALSE)</f>
        <v>#N/A</v>
      </c>
      <c r="AA4416" s="81" t="str">
        <f>IFERROR(HLOOKUP(J4416,データについて!$J$4:$AH$19,16,FALSE),"")</f>
        <v/>
      </c>
      <c r="AB4416" s="81" t="str">
        <f>IFERROR(HLOOKUP(K4416,データについて!$J$5:$AH$20,14,FALSE),"")</f>
        <v/>
      </c>
      <c r="AC4416" s="81" t="e">
        <f>IF(X4416=1,HLOOKUP(R4416,データについて!$J$12:$M$18,7,FALSE),"*")</f>
        <v>#N/A</v>
      </c>
      <c r="AD4416" s="81" t="e">
        <f>IF(X4416=2,HLOOKUP(R4416,データについて!$J$12:$M$18,7,FALSE),"*")</f>
        <v>#N/A</v>
      </c>
    </row>
    <row r="4417" spans="19:30">
      <c r="S4417" s="81" t="e">
        <f>HLOOKUP(L4417,データについて!$J$6:$M$18,13,FALSE)</f>
        <v>#N/A</v>
      </c>
      <c r="T4417" s="81" t="e">
        <f>HLOOKUP(M4417,データについて!$J$7:$M$18,12,FALSE)</f>
        <v>#N/A</v>
      </c>
      <c r="U4417" s="81" t="e">
        <f>HLOOKUP(N4417,データについて!$J$8:$M$18,11,FALSE)</f>
        <v>#N/A</v>
      </c>
      <c r="V4417" s="81" t="e">
        <f>HLOOKUP(O4417,データについて!$J$9:$M$18,10,FALSE)</f>
        <v>#N/A</v>
      </c>
      <c r="W4417" s="81" t="e">
        <f>HLOOKUP(P4417,データについて!$J$10:$M$18,9,FALSE)</f>
        <v>#N/A</v>
      </c>
      <c r="X4417" s="81" t="e">
        <f>HLOOKUP(Q4417,データについて!$J$11:$M$18,8,FALSE)</f>
        <v>#N/A</v>
      </c>
      <c r="Y4417" s="81" t="e">
        <f>HLOOKUP(R4417,データについて!$J$12:$M$18,7,FALSE)</f>
        <v>#N/A</v>
      </c>
      <c r="Z4417" s="81" t="e">
        <f>HLOOKUP(I4417,データについて!$J$3:$M$18,16,FALSE)</f>
        <v>#N/A</v>
      </c>
      <c r="AA4417" s="81" t="str">
        <f>IFERROR(HLOOKUP(J4417,データについて!$J$4:$AH$19,16,FALSE),"")</f>
        <v/>
      </c>
      <c r="AB4417" s="81" t="str">
        <f>IFERROR(HLOOKUP(K4417,データについて!$J$5:$AH$20,14,FALSE),"")</f>
        <v/>
      </c>
      <c r="AC4417" s="81" t="e">
        <f>IF(X4417=1,HLOOKUP(R4417,データについて!$J$12:$M$18,7,FALSE),"*")</f>
        <v>#N/A</v>
      </c>
      <c r="AD4417" s="81" t="e">
        <f>IF(X4417=2,HLOOKUP(R4417,データについて!$J$12:$M$18,7,FALSE),"*")</f>
        <v>#N/A</v>
      </c>
    </row>
    <row r="4418" spans="19:30">
      <c r="S4418" s="81" t="e">
        <f>HLOOKUP(L4418,データについて!$J$6:$M$18,13,FALSE)</f>
        <v>#N/A</v>
      </c>
      <c r="T4418" s="81" t="e">
        <f>HLOOKUP(M4418,データについて!$J$7:$M$18,12,FALSE)</f>
        <v>#N/A</v>
      </c>
      <c r="U4418" s="81" t="e">
        <f>HLOOKUP(N4418,データについて!$J$8:$M$18,11,FALSE)</f>
        <v>#N/A</v>
      </c>
      <c r="V4418" s="81" t="e">
        <f>HLOOKUP(O4418,データについて!$J$9:$M$18,10,FALSE)</f>
        <v>#N/A</v>
      </c>
      <c r="W4418" s="81" t="e">
        <f>HLOOKUP(P4418,データについて!$J$10:$M$18,9,FALSE)</f>
        <v>#N/A</v>
      </c>
      <c r="X4418" s="81" t="e">
        <f>HLOOKUP(Q4418,データについて!$J$11:$M$18,8,FALSE)</f>
        <v>#N/A</v>
      </c>
      <c r="Y4418" s="81" t="e">
        <f>HLOOKUP(R4418,データについて!$J$12:$M$18,7,FALSE)</f>
        <v>#N/A</v>
      </c>
      <c r="Z4418" s="81" t="e">
        <f>HLOOKUP(I4418,データについて!$J$3:$M$18,16,FALSE)</f>
        <v>#N/A</v>
      </c>
      <c r="AA4418" s="81" t="str">
        <f>IFERROR(HLOOKUP(J4418,データについて!$J$4:$AH$19,16,FALSE),"")</f>
        <v/>
      </c>
      <c r="AB4418" s="81" t="str">
        <f>IFERROR(HLOOKUP(K4418,データについて!$J$5:$AH$20,14,FALSE),"")</f>
        <v/>
      </c>
      <c r="AC4418" s="81" t="e">
        <f>IF(X4418=1,HLOOKUP(R4418,データについて!$J$12:$M$18,7,FALSE),"*")</f>
        <v>#N/A</v>
      </c>
      <c r="AD4418" s="81" t="e">
        <f>IF(X4418=2,HLOOKUP(R4418,データについて!$J$12:$M$18,7,FALSE),"*")</f>
        <v>#N/A</v>
      </c>
    </row>
    <row r="4419" spans="19:30">
      <c r="S4419" s="81" t="e">
        <f>HLOOKUP(L4419,データについて!$J$6:$M$18,13,FALSE)</f>
        <v>#N/A</v>
      </c>
      <c r="T4419" s="81" t="e">
        <f>HLOOKUP(M4419,データについて!$J$7:$M$18,12,FALSE)</f>
        <v>#N/A</v>
      </c>
      <c r="U4419" s="81" t="e">
        <f>HLOOKUP(N4419,データについて!$J$8:$M$18,11,FALSE)</f>
        <v>#N/A</v>
      </c>
      <c r="V4419" s="81" t="e">
        <f>HLOOKUP(O4419,データについて!$J$9:$M$18,10,FALSE)</f>
        <v>#N/A</v>
      </c>
      <c r="W4419" s="81" t="e">
        <f>HLOOKUP(P4419,データについて!$J$10:$M$18,9,FALSE)</f>
        <v>#N/A</v>
      </c>
      <c r="X4419" s="81" t="e">
        <f>HLOOKUP(Q4419,データについて!$J$11:$M$18,8,FALSE)</f>
        <v>#N/A</v>
      </c>
      <c r="Y4419" s="81" t="e">
        <f>HLOOKUP(R4419,データについて!$J$12:$M$18,7,FALSE)</f>
        <v>#N/A</v>
      </c>
      <c r="Z4419" s="81" t="e">
        <f>HLOOKUP(I4419,データについて!$J$3:$M$18,16,FALSE)</f>
        <v>#N/A</v>
      </c>
      <c r="AA4419" s="81" t="str">
        <f>IFERROR(HLOOKUP(J4419,データについて!$J$4:$AH$19,16,FALSE),"")</f>
        <v/>
      </c>
      <c r="AB4419" s="81" t="str">
        <f>IFERROR(HLOOKUP(K4419,データについて!$J$5:$AH$20,14,FALSE),"")</f>
        <v/>
      </c>
      <c r="AC4419" s="81" t="e">
        <f>IF(X4419=1,HLOOKUP(R4419,データについて!$J$12:$M$18,7,FALSE),"*")</f>
        <v>#N/A</v>
      </c>
      <c r="AD4419" s="81" t="e">
        <f>IF(X4419=2,HLOOKUP(R4419,データについて!$J$12:$M$18,7,FALSE),"*")</f>
        <v>#N/A</v>
      </c>
    </row>
    <row r="4420" spans="19:30">
      <c r="S4420" s="81" t="e">
        <f>HLOOKUP(L4420,データについて!$J$6:$M$18,13,FALSE)</f>
        <v>#N/A</v>
      </c>
      <c r="T4420" s="81" t="e">
        <f>HLOOKUP(M4420,データについて!$J$7:$M$18,12,FALSE)</f>
        <v>#N/A</v>
      </c>
      <c r="U4420" s="81" t="e">
        <f>HLOOKUP(N4420,データについて!$J$8:$M$18,11,FALSE)</f>
        <v>#N/A</v>
      </c>
      <c r="V4420" s="81" t="e">
        <f>HLOOKUP(O4420,データについて!$J$9:$M$18,10,FALSE)</f>
        <v>#N/A</v>
      </c>
      <c r="W4420" s="81" t="e">
        <f>HLOOKUP(P4420,データについて!$J$10:$M$18,9,FALSE)</f>
        <v>#N/A</v>
      </c>
      <c r="X4420" s="81" t="e">
        <f>HLOOKUP(Q4420,データについて!$J$11:$M$18,8,FALSE)</f>
        <v>#N/A</v>
      </c>
      <c r="Y4420" s="81" t="e">
        <f>HLOOKUP(R4420,データについて!$J$12:$M$18,7,FALSE)</f>
        <v>#N/A</v>
      </c>
      <c r="Z4420" s="81" t="e">
        <f>HLOOKUP(I4420,データについて!$J$3:$M$18,16,FALSE)</f>
        <v>#N/A</v>
      </c>
      <c r="AA4420" s="81" t="str">
        <f>IFERROR(HLOOKUP(J4420,データについて!$J$4:$AH$19,16,FALSE),"")</f>
        <v/>
      </c>
      <c r="AB4420" s="81" t="str">
        <f>IFERROR(HLOOKUP(K4420,データについて!$J$5:$AH$20,14,FALSE),"")</f>
        <v/>
      </c>
      <c r="AC4420" s="81" t="e">
        <f>IF(X4420=1,HLOOKUP(R4420,データについて!$J$12:$M$18,7,FALSE),"*")</f>
        <v>#N/A</v>
      </c>
      <c r="AD4420" s="81" t="e">
        <f>IF(X4420=2,HLOOKUP(R4420,データについて!$J$12:$M$18,7,FALSE),"*")</f>
        <v>#N/A</v>
      </c>
    </row>
    <row r="4421" spans="19:30">
      <c r="S4421" s="81" t="e">
        <f>HLOOKUP(L4421,データについて!$J$6:$M$18,13,FALSE)</f>
        <v>#N/A</v>
      </c>
      <c r="T4421" s="81" t="e">
        <f>HLOOKUP(M4421,データについて!$J$7:$M$18,12,FALSE)</f>
        <v>#N/A</v>
      </c>
      <c r="U4421" s="81" t="e">
        <f>HLOOKUP(N4421,データについて!$J$8:$M$18,11,FALSE)</f>
        <v>#N/A</v>
      </c>
      <c r="V4421" s="81" t="e">
        <f>HLOOKUP(O4421,データについて!$J$9:$M$18,10,FALSE)</f>
        <v>#N/A</v>
      </c>
      <c r="W4421" s="81" t="e">
        <f>HLOOKUP(P4421,データについて!$J$10:$M$18,9,FALSE)</f>
        <v>#N/A</v>
      </c>
      <c r="X4421" s="81" t="e">
        <f>HLOOKUP(Q4421,データについて!$J$11:$M$18,8,FALSE)</f>
        <v>#N/A</v>
      </c>
      <c r="Y4421" s="81" t="e">
        <f>HLOOKUP(R4421,データについて!$J$12:$M$18,7,FALSE)</f>
        <v>#N/A</v>
      </c>
      <c r="Z4421" s="81" t="e">
        <f>HLOOKUP(I4421,データについて!$J$3:$M$18,16,FALSE)</f>
        <v>#N/A</v>
      </c>
      <c r="AA4421" s="81" t="str">
        <f>IFERROR(HLOOKUP(J4421,データについて!$J$4:$AH$19,16,FALSE),"")</f>
        <v/>
      </c>
      <c r="AB4421" s="81" t="str">
        <f>IFERROR(HLOOKUP(K4421,データについて!$J$5:$AH$20,14,FALSE),"")</f>
        <v/>
      </c>
      <c r="AC4421" s="81" t="e">
        <f>IF(X4421=1,HLOOKUP(R4421,データについて!$J$12:$M$18,7,FALSE),"*")</f>
        <v>#N/A</v>
      </c>
      <c r="AD4421" s="81" t="e">
        <f>IF(X4421=2,HLOOKUP(R4421,データについて!$J$12:$M$18,7,FALSE),"*")</f>
        <v>#N/A</v>
      </c>
    </row>
    <row r="4422" spans="19:30">
      <c r="S4422" s="81" t="e">
        <f>HLOOKUP(L4422,データについて!$J$6:$M$18,13,FALSE)</f>
        <v>#N/A</v>
      </c>
      <c r="T4422" s="81" t="e">
        <f>HLOOKUP(M4422,データについて!$J$7:$M$18,12,FALSE)</f>
        <v>#N/A</v>
      </c>
      <c r="U4422" s="81" t="e">
        <f>HLOOKUP(N4422,データについて!$J$8:$M$18,11,FALSE)</f>
        <v>#N/A</v>
      </c>
      <c r="V4422" s="81" t="e">
        <f>HLOOKUP(O4422,データについて!$J$9:$M$18,10,FALSE)</f>
        <v>#N/A</v>
      </c>
      <c r="W4422" s="81" t="e">
        <f>HLOOKUP(P4422,データについて!$J$10:$M$18,9,FALSE)</f>
        <v>#N/A</v>
      </c>
      <c r="X4422" s="81" t="e">
        <f>HLOOKUP(Q4422,データについて!$J$11:$M$18,8,FALSE)</f>
        <v>#N/A</v>
      </c>
      <c r="Y4422" s="81" t="e">
        <f>HLOOKUP(R4422,データについて!$J$12:$M$18,7,FALSE)</f>
        <v>#N/A</v>
      </c>
      <c r="Z4422" s="81" t="e">
        <f>HLOOKUP(I4422,データについて!$J$3:$M$18,16,FALSE)</f>
        <v>#N/A</v>
      </c>
      <c r="AA4422" s="81" t="str">
        <f>IFERROR(HLOOKUP(J4422,データについて!$J$4:$AH$19,16,FALSE),"")</f>
        <v/>
      </c>
      <c r="AB4422" s="81" t="str">
        <f>IFERROR(HLOOKUP(K4422,データについて!$J$5:$AH$20,14,FALSE),"")</f>
        <v/>
      </c>
      <c r="AC4422" s="81" t="e">
        <f>IF(X4422=1,HLOOKUP(R4422,データについて!$J$12:$M$18,7,FALSE),"*")</f>
        <v>#N/A</v>
      </c>
      <c r="AD4422" s="81" t="e">
        <f>IF(X4422=2,HLOOKUP(R4422,データについて!$J$12:$M$18,7,FALSE),"*")</f>
        <v>#N/A</v>
      </c>
    </row>
    <row r="4423" spans="19:30">
      <c r="S4423" s="81" t="e">
        <f>HLOOKUP(L4423,データについて!$J$6:$M$18,13,FALSE)</f>
        <v>#N/A</v>
      </c>
      <c r="T4423" s="81" t="e">
        <f>HLOOKUP(M4423,データについて!$J$7:$M$18,12,FALSE)</f>
        <v>#N/A</v>
      </c>
      <c r="U4423" s="81" t="e">
        <f>HLOOKUP(N4423,データについて!$J$8:$M$18,11,FALSE)</f>
        <v>#N/A</v>
      </c>
      <c r="V4423" s="81" t="e">
        <f>HLOOKUP(O4423,データについて!$J$9:$M$18,10,FALSE)</f>
        <v>#N/A</v>
      </c>
      <c r="W4423" s="81" t="e">
        <f>HLOOKUP(P4423,データについて!$J$10:$M$18,9,FALSE)</f>
        <v>#N/A</v>
      </c>
      <c r="X4423" s="81" t="e">
        <f>HLOOKUP(Q4423,データについて!$J$11:$M$18,8,FALSE)</f>
        <v>#N/A</v>
      </c>
      <c r="Y4423" s="81" t="e">
        <f>HLOOKUP(R4423,データについて!$J$12:$M$18,7,FALSE)</f>
        <v>#N/A</v>
      </c>
      <c r="Z4423" s="81" t="e">
        <f>HLOOKUP(I4423,データについて!$J$3:$M$18,16,FALSE)</f>
        <v>#N/A</v>
      </c>
      <c r="AA4423" s="81" t="str">
        <f>IFERROR(HLOOKUP(J4423,データについて!$J$4:$AH$19,16,FALSE),"")</f>
        <v/>
      </c>
      <c r="AB4423" s="81" t="str">
        <f>IFERROR(HLOOKUP(K4423,データについて!$J$5:$AH$20,14,FALSE),"")</f>
        <v/>
      </c>
      <c r="AC4423" s="81" t="e">
        <f>IF(X4423=1,HLOOKUP(R4423,データについて!$J$12:$M$18,7,FALSE),"*")</f>
        <v>#N/A</v>
      </c>
      <c r="AD4423" s="81" t="e">
        <f>IF(X4423=2,HLOOKUP(R4423,データについて!$J$12:$M$18,7,FALSE),"*")</f>
        <v>#N/A</v>
      </c>
    </row>
    <row r="4424" spans="19:30">
      <c r="S4424" s="81" t="e">
        <f>HLOOKUP(L4424,データについて!$J$6:$M$18,13,FALSE)</f>
        <v>#N/A</v>
      </c>
      <c r="T4424" s="81" t="e">
        <f>HLOOKUP(M4424,データについて!$J$7:$M$18,12,FALSE)</f>
        <v>#N/A</v>
      </c>
      <c r="U4424" s="81" t="e">
        <f>HLOOKUP(N4424,データについて!$J$8:$M$18,11,FALSE)</f>
        <v>#N/A</v>
      </c>
      <c r="V4424" s="81" t="e">
        <f>HLOOKUP(O4424,データについて!$J$9:$M$18,10,FALSE)</f>
        <v>#N/A</v>
      </c>
      <c r="W4424" s="81" t="e">
        <f>HLOOKUP(P4424,データについて!$J$10:$M$18,9,FALSE)</f>
        <v>#N/A</v>
      </c>
      <c r="X4424" s="81" t="e">
        <f>HLOOKUP(Q4424,データについて!$J$11:$M$18,8,FALSE)</f>
        <v>#N/A</v>
      </c>
      <c r="Y4424" s="81" t="e">
        <f>HLOOKUP(R4424,データについて!$J$12:$M$18,7,FALSE)</f>
        <v>#N/A</v>
      </c>
      <c r="Z4424" s="81" t="e">
        <f>HLOOKUP(I4424,データについて!$J$3:$M$18,16,FALSE)</f>
        <v>#N/A</v>
      </c>
      <c r="AA4424" s="81" t="str">
        <f>IFERROR(HLOOKUP(J4424,データについて!$J$4:$AH$19,16,FALSE),"")</f>
        <v/>
      </c>
      <c r="AB4424" s="81" t="str">
        <f>IFERROR(HLOOKUP(K4424,データについて!$J$5:$AH$20,14,FALSE),"")</f>
        <v/>
      </c>
      <c r="AC4424" s="81" t="e">
        <f>IF(X4424=1,HLOOKUP(R4424,データについて!$J$12:$M$18,7,FALSE),"*")</f>
        <v>#N/A</v>
      </c>
      <c r="AD4424" s="81" t="e">
        <f>IF(X4424=2,HLOOKUP(R4424,データについて!$J$12:$M$18,7,FALSE),"*")</f>
        <v>#N/A</v>
      </c>
    </row>
    <row r="4425" spans="19:30">
      <c r="S4425" s="81" t="e">
        <f>HLOOKUP(L4425,データについて!$J$6:$M$18,13,FALSE)</f>
        <v>#N/A</v>
      </c>
      <c r="T4425" s="81" t="e">
        <f>HLOOKUP(M4425,データについて!$J$7:$M$18,12,FALSE)</f>
        <v>#N/A</v>
      </c>
      <c r="U4425" s="81" t="e">
        <f>HLOOKUP(N4425,データについて!$J$8:$M$18,11,FALSE)</f>
        <v>#N/A</v>
      </c>
      <c r="V4425" s="81" t="e">
        <f>HLOOKUP(O4425,データについて!$J$9:$M$18,10,FALSE)</f>
        <v>#N/A</v>
      </c>
      <c r="W4425" s="81" t="e">
        <f>HLOOKUP(P4425,データについて!$J$10:$M$18,9,FALSE)</f>
        <v>#N/A</v>
      </c>
      <c r="X4425" s="81" t="e">
        <f>HLOOKUP(Q4425,データについて!$J$11:$M$18,8,FALSE)</f>
        <v>#N/A</v>
      </c>
      <c r="Y4425" s="81" t="e">
        <f>HLOOKUP(R4425,データについて!$J$12:$M$18,7,FALSE)</f>
        <v>#N/A</v>
      </c>
      <c r="Z4425" s="81" t="e">
        <f>HLOOKUP(I4425,データについて!$J$3:$M$18,16,FALSE)</f>
        <v>#N/A</v>
      </c>
      <c r="AA4425" s="81" t="str">
        <f>IFERROR(HLOOKUP(J4425,データについて!$J$4:$AH$19,16,FALSE),"")</f>
        <v/>
      </c>
      <c r="AB4425" s="81" t="str">
        <f>IFERROR(HLOOKUP(K4425,データについて!$J$5:$AH$20,14,FALSE),"")</f>
        <v/>
      </c>
      <c r="AC4425" s="81" t="e">
        <f>IF(X4425=1,HLOOKUP(R4425,データについて!$J$12:$M$18,7,FALSE),"*")</f>
        <v>#N/A</v>
      </c>
      <c r="AD4425" s="81" t="e">
        <f>IF(X4425=2,HLOOKUP(R4425,データについて!$J$12:$M$18,7,FALSE),"*")</f>
        <v>#N/A</v>
      </c>
    </row>
    <row r="4426" spans="19:30">
      <c r="S4426" s="81" t="e">
        <f>HLOOKUP(L4426,データについて!$J$6:$M$18,13,FALSE)</f>
        <v>#N/A</v>
      </c>
      <c r="T4426" s="81" t="e">
        <f>HLOOKUP(M4426,データについて!$J$7:$M$18,12,FALSE)</f>
        <v>#N/A</v>
      </c>
      <c r="U4426" s="81" t="e">
        <f>HLOOKUP(N4426,データについて!$J$8:$M$18,11,FALSE)</f>
        <v>#N/A</v>
      </c>
      <c r="V4426" s="81" t="e">
        <f>HLOOKUP(O4426,データについて!$J$9:$M$18,10,FALSE)</f>
        <v>#N/A</v>
      </c>
      <c r="W4426" s="81" t="e">
        <f>HLOOKUP(P4426,データについて!$J$10:$M$18,9,FALSE)</f>
        <v>#N/A</v>
      </c>
      <c r="X4426" s="81" t="e">
        <f>HLOOKUP(Q4426,データについて!$J$11:$M$18,8,FALSE)</f>
        <v>#N/A</v>
      </c>
      <c r="Y4426" s="81" t="e">
        <f>HLOOKUP(R4426,データについて!$J$12:$M$18,7,FALSE)</f>
        <v>#N/A</v>
      </c>
      <c r="Z4426" s="81" t="e">
        <f>HLOOKUP(I4426,データについて!$J$3:$M$18,16,FALSE)</f>
        <v>#N/A</v>
      </c>
      <c r="AA4426" s="81" t="str">
        <f>IFERROR(HLOOKUP(J4426,データについて!$J$4:$AH$19,16,FALSE),"")</f>
        <v/>
      </c>
      <c r="AB4426" s="81" t="str">
        <f>IFERROR(HLOOKUP(K4426,データについて!$J$5:$AH$20,14,FALSE),"")</f>
        <v/>
      </c>
      <c r="AC4426" s="81" t="e">
        <f>IF(X4426=1,HLOOKUP(R4426,データについて!$J$12:$M$18,7,FALSE),"*")</f>
        <v>#N/A</v>
      </c>
      <c r="AD4426" s="81" t="e">
        <f>IF(X4426=2,HLOOKUP(R4426,データについて!$J$12:$M$18,7,FALSE),"*")</f>
        <v>#N/A</v>
      </c>
    </row>
    <row r="4427" spans="19:30">
      <c r="S4427" s="81" t="e">
        <f>HLOOKUP(L4427,データについて!$J$6:$M$18,13,FALSE)</f>
        <v>#N/A</v>
      </c>
      <c r="T4427" s="81" t="e">
        <f>HLOOKUP(M4427,データについて!$J$7:$M$18,12,FALSE)</f>
        <v>#N/A</v>
      </c>
      <c r="U4427" s="81" t="e">
        <f>HLOOKUP(N4427,データについて!$J$8:$M$18,11,FALSE)</f>
        <v>#N/A</v>
      </c>
      <c r="V4427" s="81" t="e">
        <f>HLOOKUP(O4427,データについて!$J$9:$M$18,10,FALSE)</f>
        <v>#N/A</v>
      </c>
      <c r="W4427" s="81" t="e">
        <f>HLOOKUP(P4427,データについて!$J$10:$M$18,9,FALSE)</f>
        <v>#N/A</v>
      </c>
      <c r="X4427" s="81" t="e">
        <f>HLOOKUP(Q4427,データについて!$J$11:$M$18,8,FALSE)</f>
        <v>#N/A</v>
      </c>
      <c r="Y4427" s="81" t="e">
        <f>HLOOKUP(R4427,データについて!$J$12:$M$18,7,FALSE)</f>
        <v>#N/A</v>
      </c>
      <c r="Z4427" s="81" t="e">
        <f>HLOOKUP(I4427,データについて!$J$3:$M$18,16,FALSE)</f>
        <v>#N/A</v>
      </c>
      <c r="AA4427" s="81" t="str">
        <f>IFERROR(HLOOKUP(J4427,データについて!$J$4:$AH$19,16,FALSE),"")</f>
        <v/>
      </c>
      <c r="AB4427" s="81" t="str">
        <f>IFERROR(HLOOKUP(K4427,データについて!$J$5:$AH$20,14,FALSE),"")</f>
        <v/>
      </c>
      <c r="AC4427" s="81" t="e">
        <f>IF(X4427=1,HLOOKUP(R4427,データについて!$J$12:$M$18,7,FALSE),"*")</f>
        <v>#N/A</v>
      </c>
      <c r="AD4427" s="81" t="e">
        <f>IF(X4427=2,HLOOKUP(R4427,データについて!$J$12:$M$18,7,FALSE),"*")</f>
        <v>#N/A</v>
      </c>
    </row>
    <row r="4428" spans="19:30">
      <c r="S4428" s="81" t="e">
        <f>HLOOKUP(L4428,データについて!$J$6:$M$18,13,FALSE)</f>
        <v>#N/A</v>
      </c>
      <c r="T4428" s="81" t="e">
        <f>HLOOKUP(M4428,データについて!$J$7:$M$18,12,FALSE)</f>
        <v>#N/A</v>
      </c>
      <c r="U4428" s="81" t="e">
        <f>HLOOKUP(N4428,データについて!$J$8:$M$18,11,FALSE)</f>
        <v>#N/A</v>
      </c>
      <c r="V4428" s="81" t="e">
        <f>HLOOKUP(O4428,データについて!$J$9:$M$18,10,FALSE)</f>
        <v>#N/A</v>
      </c>
      <c r="W4428" s="81" t="e">
        <f>HLOOKUP(P4428,データについて!$J$10:$M$18,9,FALSE)</f>
        <v>#N/A</v>
      </c>
      <c r="X4428" s="81" t="e">
        <f>HLOOKUP(Q4428,データについて!$J$11:$M$18,8,FALSE)</f>
        <v>#N/A</v>
      </c>
      <c r="Y4428" s="81" t="e">
        <f>HLOOKUP(R4428,データについて!$J$12:$M$18,7,FALSE)</f>
        <v>#N/A</v>
      </c>
      <c r="Z4428" s="81" t="e">
        <f>HLOOKUP(I4428,データについて!$J$3:$M$18,16,FALSE)</f>
        <v>#N/A</v>
      </c>
      <c r="AA4428" s="81" t="str">
        <f>IFERROR(HLOOKUP(J4428,データについて!$J$4:$AH$19,16,FALSE),"")</f>
        <v/>
      </c>
      <c r="AB4428" s="81" t="str">
        <f>IFERROR(HLOOKUP(K4428,データについて!$J$5:$AH$20,14,FALSE),"")</f>
        <v/>
      </c>
      <c r="AC4428" s="81" t="e">
        <f>IF(X4428=1,HLOOKUP(R4428,データについて!$J$12:$M$18,7,FALSE),"*")</f>
        <v>#N/A</v>
      </c>
      <c r="AD4428" s="81" t="e">
        <f>IF(X4428=2,HLOOKUP(R4428,データについて!$J$12:$M$18,7,FALSE),"*")</f>
        <v>#N/A</v>
      </c>
    </row>
    <row r="4429" spans="19:30">
      <c r="S4429" s="81" t="e">
        <f>HLOOKUP(L4429,データについて!$J$6:$M$18,13,FALSE)</f>
        <v>#N/A</v>
      </c>
      <c r="T4429" s="81" t="e">
        <f>HLOOKUP(M4429,データについて!$J$7:$M$18,12,FALSE)</f>
        <v>#N/A</v>
      </c>
      <c r="U4429" s="81" t="e">
        <f>HLOOKUP(N4429,データについて!$J$8:$M$18,11,FALSE)</f>
        <v>#N/A</v>
      </c>
      <c r="V4429" s="81" t="e">
        <f>HLOOKUP(O4429,データについて!$J$9:$M$18,10,FALSE)</f>
        <v>#N/A</v>
      </c>
      <c r="W4429" s="81" t="e">
        <f>HLOOKUP(P4429,データについて!$J$10:$M$18,9,FALSE)</f>
        <v>#N/A</v>
      </c>
      <c r="X4429" s="81" t="e">
        <f>HLOOKUP(Q4429,データについて!$J$11:$M$18,8,FALSE)</f>
        <v>#N/A</v>
      </c>
      <c r="Y4429" s="81" t="e">
        <f>HLOOKUP(R4429,データについて!$J$12:$M$18,7,FALSE)</f>
        <v>#N/A</v>
      </c>
      <c r="Z4429" s="81" t="e">
        <f>HLOOKUP(I4429,データについて!$J$3:$M$18,16,FALSE)</f>
        <v>#N/A</v>
      </c>
      <c r="AA4429" s="81" t="str">
        <f>IFERROR(HLOOKUP(J4429,データについて!$J$4:$AH$19,16,FALSE),"")</f>
        <v/>
      </c>
      <c r="AB4429" s="81" t="str">
        <f>IFERROR(HLOOKUP(K4429,データについて!$J$5:$AH$20,14,FALSE),"")</f>
        <v/>
      </c>
      <c r="AC4429" s="81" t="e">
        <f>IF(X4429=1,HLOOKUP(R4429,データについて!$J$12:$M$18,7,FALSE),"*")</f>
        <v>#N/A</v>
      </c>
      <c r="AD4429" s="81" t="e">
        <f>IF(X4429=2,HLOOKUP(R4429,データについて!$J$12:$M$18,7,FALSE),"*")</f>
        <v>#N/A</v>
      </c>
    </row>
    <row r="4430" spans="19:30">
      <c r="S4430" s="81" t="e">
        <f>HLOOKUP(L4430,データについて!$J$6:$M$18,13,FALSE)</f>
        <v>#N/A</v>
      </c>
      <c r="T4430" s="81" t="e">
        <f>HLOOKUP(M4430,データについて!$J$7:$M$18,12,FALSE)</f>
        <v>#N/A</v>
      </c>
      <c r="U4430" s="81" t="e">
        <f>HLOOKUP(N4430,データについて!$J$8:$M$18,11,FALSE)</f>
        <v>#N/A</v>
      </c>
      <c r="V4430" s="81" t="e">
        <f>HLOOKUP(O4430,データについて!$J$9:$M$18,10,FALSE)</f>
        <v>#N/A</v>
      </c>
      <c r="W4430" s="81" t="e">
        <f>HLOOKUP(P4430,データについて!$J$10:$M$18,9,FALSE)</f>
        <v>#N/A</v>
      </c>
      <c r="X4430" s="81" t="e">
        <f>HLOOKUP(Q4430,データについて!$J$11:$M$18,8,FALSE)</f>
        <v>#N/A</v>
      </c>
      <c r="Y4430" s="81" t="e">
        <f>HLOOKUP(R4430,データについて!$J$12:$M$18,7,FALSE)</f>
        <v>#N/A</v>
      </c>
      <c r="Z4430" s="81" t="e">
        <f>HLOOKUP(I4430,データについて!$J$3:$M$18,16,FALSE)</f>
        <v>#N/A</v>
      </c>
      <c r="AA4430" s="81" t="str">
        <f>IFERROR(HLOOKUP(J4430,データについて!$J$4:$AH$19,16,FALSE),"")</f>
        <v/>
      </c>
      <c r="AB4430" s="81" t="str">
        <f>IFERROR(HLOOKUP(K4430,データについて!$J$5:$AH$20,14,FALSE),"")</f>
        <v/>
      </c>
      <c r="AC4430" s="81" t="e">
        <f>IF(X4430=1,HLOOKUP(R4430,データについて!$J$12:$M$18,7,FALSE),"*")</f>
        <v>#N/A</v>
      </c>
      <c r="AD4430" s="81" t="e">
        <f>IF(X4430=2,HLOOKUP(R4430,データについて!$J$12:$M$18,7,FALSE),"*")</f>
        <v>#N/A</v>
      </c>
    </row>
    <row r="4431" spans="19:30">
      <c r="S4431" s="81" t="e">
        <f>HLOOKUP(L4431,データについて!$J$6:$M$18,13,FALSE)</f>
        <v>#N/A</v>
      </c>
      <c r="T4431" s="81" t="e">
        <f>HLOOKUP(M4431,データについて!$J$7:$M$18,12,FALSE)</f>
        <v>#N/A</v>
      </c>
      <c r="U4431" s="81" t="e">
        <f>HLOOKUP(N4431,データについて!$J$8:$M$18,11,FALSE)</f>
        <v>#N/A</v>
      </c>
      <c r="V4431" s="81" t="e">
        <f>HLOOKUP(O4431,データについて!$J$9:$M$18,10,FALSE)</f>
        <v>#N/A</v>
      </c>
      <c r="W4431" s="81" t="e">
        <f>HLOOKUP(P4431,データについて!$J$10:$M$18,9,FALSE)</f>
        <v>#N/A</v>
      </c>
      <c r="X4431" s="81" t="e">
        <f>HLOOKUP(Q4431,データについて!$J$11:$M$18,8,FALSE)</f>
        <v>#N/A</v>
      </c>
      <c r="Y4431" s="81" t="e">
        <f>HLOOKUP(R4431,データについて!$J$12:$M$18,7,FALSE)</f>
        <v>#N/A</v>
      </c>
      <c r="Z4431" s="81" t="e">
        <f>HLOOKUP(I4431,データについて!$J$3:$M$18,16,FALSE)</f>
        <v>#N/A</v>
      </c>
      <c r="AA4431" s="81" t="str">
        <f>IFERROR(HLOOKUP(J4431,データについて!$J$4:$AH$19,16,FALSE),"")</f>
        <v/>
      </c>
      <c r="AB4431" s="81" t="str">
        <f>IFERROR(HLOOKUP(K4431,データについて!$J$5:$AH$20,14,FALSE),"")</f>
        <v/>
      </c>
      <c r="AC4431" s="81" t="e">
        <f>IF(X4431=1,HLOOKUP(R4431,データについて!$J$12:$M$18,7,FALSE),"*")</f>
        <v>#N/A</v>
      </c>
      <c r="AD4431" s="81" t="e">
        <f>IF(X4431=2,HLOOKUP(R4431,データについて!$J$12:$M$18,7,FALSE),"*")</f>
        <v>#N/A</v>
      </c>
    </row>
    <row r="4432" spans="19:30">
      <c r="S4432" s="81" t="e">
        <f>HLOOKUP(L4432,データについて!$J$6:$M$18,13,FALSE)</f>
        <v>#N/A</v>
      </c>
      <c r="T4432" s="81" t="e">
        <f>HLOOKUP(M4432,データについて!$J$7:$M$18,12,FALSE)</f>
        <v>#N/A</v>
      </c>
      <c r="U4432" s="81" t="e">
        <f>HLOOKUP(N4432,データについて!$J$8:$M$18,11,FALSE)</f>
        <v>#N/A</v>
      </c>
      <c r="V4432" s="81" t="e">
        <f>HLOOKUP(O4432,データについて!$J$9:$M$18,10,FALSE)</f>
        <v>#N/A</v>
      </c>
      <c r="W4432" s="81" t="e">
        <f>HLOOKUP(P4432,データについて!$J$10:$M$18,9,FALSE)</f>
        <v>#N/A</v>
      </c>
      <c r="X4432" s="81" t="e">
        <f>HLOOKUP(Q4432,データについて!$J$11:$M$18,8,FALSE)</f>
        <v>#N/A</v>
      </c>
      <c r="Y4432" s="81" t="e">
        <f>HLOOKUP(R4432,データについて!$J$12:$M$18,7,FALSE)</f>
        <v>#N/A</v>
      </c>
      <c r="Z4432" s="81" t="e">
        <f>HLOOKUP(I4432,データについて!$J$3:$M$18,16,FALSE)</f>
        <v>#N/A</v>
      </c>
      <c r="AA4432" s="81" t="str">
        <f>IFERROR(HLOOKUP(J4432,データについて!$J$4:$AH$19,16,FALSE),"")</f>
        <v/>
      </c>
      <c r="AB4432" s="81" t="str">
        <f>IFERROR(HLOOKUP(K4432,データについて!$J$5:$AH$20,14,FALSE),"")</f>
        <v/>
      </c>
      <c r="AC4432" s="81" t="e">
        <f>IF(X4432=1,HLOOKUP(R4432,データについて!$J$12:$M$18,7,FALSE),"*")</f>
        <v>#N/A</v>
      </c>
      <c r="AD4432" s="81" t="e">
        <f>IF(X4432=2,HLOOKUP(R4432,データについて!$J$12:$M$18,7,FALSE),"*")</f>
        <v>#N/A</v>
      </c>
    </row>
    <row r="4433" spans="19:30">
      <c r="S4433" s="81" t="e">
        <f>HLOOKUP(L4433,データについて!$J$6:$M$18,13,FALSE)</f>
        <v>#N/A</v>
      </c>
      <c r="T4433" s="81" t="e">
        <f>HLOOKUP(M4433,データについて!$J$7:$M$18,12,FALSE)</f>
        <v>#N/A</v>
      </c>
      <c r="U4433" s="81" t="e">
        <f>HLOOKUP(N4433,データについて!$J$8:$M$18,11,FALSE)</f>
        <v>#N/A</v>
      </c>
      <c r="V4433" s="81" t="e">
        <f>HLOOKUP(O4433,データについて!$J$9:$M$18,10,FALSE)</f>
        <v>#N/A</v>
      </c>
      <c r="W4433" s="81" t="e">
        <f>HLOOKUP(P4433,データについて!$J$10:$M$18,9,FALSE)</f>
        <v>#N/A</v>
      </c>
      <c r="X4433" s="81" t="e">
        <f>HLOOKUP(Q4433,データについて!$J$11:$M$18,8,FALSE)</f>
        <v>#N/A</v>
      </c>
      <c r="Y4433" s="81" t="e">
        <f>HLOOKUP(R4433,データについて!$J$12:$M$18,7,FALSE)</f>
        <v>#N/A</v>
      </c>
      <c r="Z4433" s="81" t="e">
        <f>HLOOKUP(I4433,データについて!$J$3:$M$18,16,FALSE)</f>
        <v>#N/A</v>
      </c>
      <c r="AA4433" s="81" t="str">
        <f>IFERROR(HLOOKUP(J4433,データについて!$J$4:$AH$19,16,FALSE),"")</f>
        <v/>
      </c>
      <c r="AB4433" s="81" t="str">
        <f>IFERROR(HLOOKUP(K4433,データについて!$J$5:$AH$20,14,FALSE),"")</f>
        <v/>
      </c>
      <c r="AC4433" s="81" t="e">
        <f>IF(X4433=1,HLOOKUP(R4433,データについて!$J$12:$M$18,7,FALSE),"*")</f>
        <v>#N/A</v>
      </c>
      <c r="AD4433" s="81" t="e">
        <f>IF(X4433=2,HLOOKUP(R4433,データについて!$J$12:$M$18,7,FALSE),"*")</f>
        <v>#N/A</v>
      </c>
    </row>
    <row r="4434" spans="19:30">
      <c r="S4434" s="81" t="e">
        <f>HLOOKUP(L4434,データについて!$J$6:$M$18,13,FALSE)</f>
        <v>#N/A</v>
      </c>
      <c r="T4434" s="81" t="e">
        <f>HLOOKUP(M4434,データについて!$J$7:$M$18,12,FALSE)</f>
        <v>#N/A</v>
      </c>
      <c r="U4434" s="81" t="e">
        <f>HLOOKUP(N4434,データについて!$J$8:$M$18,11,FALSE)</f>
        <v>#N/A</v>
      </c>
      <c r="V4434" s="81" t="e">
        <f>HLOOKUP(O4434,データについて!$J$9:$M$18,10,FALSE)</f>
        <v>#N/A</v>
      </c>
      <c r="W4434" s="81" t="e">
        <f>HLOOKUP(P4434,データについて!$J$10:$M$18,9,FALSE)</f>
        <v>#N/A</v>
      </c>
      <c r="X4434" s="81" t="e">
        <f>HLOOKUP(Q4434,データについて!$J$11:$M$18,8,FALSE)</f>
        <v>#N/A</v>
      </c>
      <c r="Y4434" s="81" t="e">
        <f>HLOOKUP(R4434,データについて!$J$12:$M$18,7,FALSE)</f>
        <v>#N/A</v>
      </c>
      <c r="Z4434" s="81" t="e">
        <f>HLOOKUP(I4434,データについて!$J$3:$M$18,16,FALSE)</f>
        <v>#N/A</v>
      </c>
      <c r="AA4434" s="81" t="str">
        <f>IFERROR(HLOOKUP(J4434,データについて!$J$4:$AH$19,16,FALSE),"")</f>
        <v/>
      </c>
      <c r="AB4434" s="81" t="str">
        <f>IFERROR(HLOOKUP(K4434,データについて!$J$5:$AH$20,14,FALSE),"")</f>
        <v/>
      </c>
      <c r="AC4434" s="81" t="e">
        <f>IF(X4434=1,HLOOKUP(R4434,データについて!$J$12:$M$18,7,FALSE),"*")</f>
        <v>#N/A</v>
      </c>
      <c r="AD4434" s="81" t="e">
        <f>IF(X4434=2,HLOOKUP(R4434,データについて!$J$12:$M$18,7,FALSE),"*")</f>
        <v>#N/A</v>
      </c>
    </row>
    <row r="4435" spans="19:30">
      <c r="S4435" s="81" t="e">
        <f>HLOOKUP(L4435,データについて!$J$6:$M$18,13,FALSE)</f>
        <v>#N/A</v>
      </c>
      <c r="T4435" s="81" t="e">
        <f>HLOOKUP(M4435,データについて!$J$7:$M$18,12,FALSE)</f>
        <v>#N/A</v>
      </c>
      <c r="U4435" s="81" t="e">
        <f>HLOOKUP(N4435,データについて!$J$8:$M$18,11,FALSE)</f>
        <v>#N/A</v>
      </c>
      <c r="V4435" s="81" t="e">
        <f>HLOOKUP(O4435,データについて!$J$9:$M$18,10,FALSE)</f>
        <v>#N/A</v>
      </c>
      <c r="W4435" s="81" t="e">
        <f>HLOOKUP(P4435,データについて!$J$10:$M$18,9,FALSE)</f>
        <v>#N/A</v>
      </c>
      <c r="X4435" s="81" t="e">
        <f>HLOOKUP(Q4435,データについて!$J$11:$M$18,8,FALSE)</f>
        <v>#N/A</v>
      </c>
      <c r="Y4435" s="81" t="e">
        <f>HLOOKUP(R4435,データについて!$J$12:$M$18,7,FALSE)</f>
        <v>#N/A</v>
      </c>
      <c r="Z4435" s="81" t="e">
        <f>HLOOKUP(I4435,データについて!$J$3:$M$18,16,FALSE)</f>
        <v>#N/A</v>
      </c>
      <c r="AA4435" s="81" t="str">
        <f>IFERROR(HLOOKUP(J4435,データについて!$J$4:$AH$19,16,FALSE),"")</f>
        <v/>
      </c>
      <c r="AB4435" s="81" t="str">
        <f>IFERROR(HLOOKUP(K4435,データについて!$J$5:$AH$20,14,FALSE),"")</f>
        <v/>
      </c>
      <c r="AC4435" s="81" t="e">
        <f>IF(X4435=1,HLOOKUP(R4435,データについて!$J$12:$M$18,7,FALSE),"*")</f>
        <v>#N/A</v>
      </c>
      <c r="AD4435" s="81" t="e">
        <f>IF(X4435=2,HLOOKUP(R4435,データについて!$J$12:$M$18,7,FALSE),"*")</f>
        <v>#N/A</v>
      </c>
    </row>
    <row r="4436" spans="19:30">
      <c r="S4436" s="81" t="e">
        <f>HLOOKUP(L4436,データについて!$J$6:$M$18,13,FALSE)</f>
        <v>#N/A</v>
      </c>
      <c r="T4436" s="81" t="e">
        <f>HLOOKUP(M4436,データについて!$J$7:$M$18,12,FALSE)</f>
        <v>#N/A</v>
      </c>
      <c r="U4436" s="81" t="e">
        <f>HLOOKUP(N4436,データについて!$J$8:$M$18,11,FALSE)</f>
        <v>#N/A</v>
      </c>
      <c r="V4436" s="81" t="e">
        <f>HLOOKUP(O4436,データについて!$J$9:$M$18,10,FALSE)</f>
        <v>#N/A</v>
      </c>
      <c r="W4436" s="81" t="e">
        <f>HLOOKUP(P4436,データについて!$J$10:$M$18,9,FALSE)</f>
        <v>#N/A</v>
      </c>
      <c r="X4436" s="81" t="e">
        <f>HLOOKUP(Q4436,データについて!$J$11:$M$18,8,FALSE)</f>
        <v>#N/A</v>
      </c>
      <c r="Y4436" s="81" t="e">
        <f>HLOOKUP(R4436,データについて!$J$12:$M$18,7,FALSE)</f>
        <v>#N/A</v>
      </c>
      <c r="Z4436" s="81" t="e">
        <f>HLOOKUP(I4436,データについて!$J$3:$M$18,16,FALSE)</f>
        <v>#N/A</v>
      </c>
      <c r="AA4436" s="81" t="str">
        <f>IFERROR(HLOOKUP(J4436,データについて!$J$4:$AH$19,16,FALSE),"")</f>
        <v/>
      </c>
      <c r="AB4436" s="81" t="str">
        <f>IFERROR(HLOOKUP(K4436,データについて!$J$5:$AH$20,14,FALSE),"")</f>
        <v/>
      </c>
      <c r="AC4436" s="81" t="e">
        <f>IF(X4436=1,HLOOKUP(R4436,データについて!$J$12:$M$18,7,FALSE),"*")</f>
        <v>#N/A</v>
      </c>
      <c r="AD4436" s="81" t="e">
        <f>IF(X4436=2,HLOOKUP(R4436,データについて!$J$12:$M$18,7,FALSE),"*")</f>
        <v>#N/A</v>
      </c>
    </row>
    <row r="4437" spans="19:30">
      <c r="S4437" s="81" t="e">
        <f>HLOOKUP(L4437,データについて!$J$6:$M$18,13,FALSE)</f>
        <v>#N/A</v>
      </c>
      <c r="T4437" s="81" t="e">
        <f>HLOOKUP(M4437,データについて!$J$7:$M$18,12,FALSE)</f>
        <v>#N/A</v>
      </c>
      <c r="U4437" s="81" t="e">
        <f>HLOOKUP(N4437,データについて!$J$8:$M$18,11,FALSE)</f>
        <v>#N/A</v>
      </c>
      <c r="V4437" s="81" t="e">
        <f>HLOOKUP(O4437,データについて!$J$9:$M$18,10,FALSE)</f>
        <v>#N/A</v>
      </c>
      <c r="W4437" s="81" t="e">
        <f>HLOOKUP(P4437,データについて!$J$10:$M$18,9,FALSE)</f>
        <v>#N/A</v>
      </c>
      <c r="X4437" s="81" t="e">
        <f>HLOOKUP(Q4437,データについて!$J$11:$M$18,8,FALSE)</f>
        <v>#N/A</v>
      </c>
      <c r="Y4437" s="81" t="e">
        <f>HLOOKUP(R4437,データについて!$J$12:$M$18,7,FALSE)</f>
        <v>#N/A</v>
      </c>
      <c r="Z4437" s="81" t="e">
        <f>HLOOKUP(I4437,データについて!$J$3:$M$18,16,FALSE)</f>
        <v>#N/A</v>
      </c>
      <c r="AA4437" s="81" t="str">
        <f>IFERROR(HLOOKUP(J4437,データについて!$J$4:$AH$19,16,FALSE),"")</f>
        <v/>
      </c>
      <c r="AB4437" s="81" t="str">
        <f>IFERROR(HLOOKUP(K4437,データについて!$J$5:$AH$20,14,FALSE),"")</f>
        <v/>
      </c>
      <c r="AC4437" s="81" t="e">
        <f>IF(X4437=1,HLOOKUP(R4437,データについて!$J$12:$M$18,7,FALSE),"*")</f>
        <v>#N/A</v>
      </c>
      <c r="AD4437" s="81" t="e">
        <f>IF(X4437=2,HLOOKUP(R4437,データについて!$J$12:$M$18,7,FALSE),"*")</f>
        <v>#N/A</v>
      </c>
    </row>
    <row r="4438" spans="19:30">
      <c r="S4438" s="81" t="e">
        <f>HLOOKUP(L4438,データについて!$J$6:$M$18,13,FALSE)</f>
        <v>#N/A</v>
      </c>
      <c r="T4438" s="81" t="e">
        <f>HLOOKUP(M4438,データについて!$J$7:$M$18,12,FALSE)</f>
        <v>#N/A</v>
      </c>
      <c r="U4438" s="81" t="e">
        <f>HLOOKUP(N4438,データについて!$J$8:$M$18,11,FALSE)</f>
        <v>#N/A</v>
      </c>
      <c r="V4438" s="81" t="e">
        <f>HLOOKUP(O4438,データについて!$J$9:$M$18,10,FALSE)</f>
        <v>#N/A</v>
      </c>
      <c r="W4438" s="81" t="e">
        <f>HLOOKUP(P4438,データについて!$J$10:$M$18,9,FALSE)</f>
        <v>#N/A</v>
      </c>
      <c r="X4438" s="81" t="e">
        <f>HLOOKUP(Q4438,データについて!$J$11:$M$18,8,FALSE)</f>
        <v>#N/A</v>
      </c>
      <c r="Y4438" s="81" t="e">
        <f>HLOOKUP(R4438,データについて!$J$12:$M$18,7,FALSE)</f>
        <v>#N/A</v>
      </c>
      <c r="Z4438" s="81" t="e">
        <f>HLOOKUP(I4438,データについて!$J$3:$M$18,16,FALSE)</f>
        <v>#N/A</v>
      </c>
      <c r="AA4438" s="81" t="str">
        <f>IFERROR(HLOOKUP(J4438,データについて!$J$4:$AH$19,16,FALSE),"")</f>
        <v/>
      </c>
      <c r="AB4438" s="81" t="str">
        <f>IFERROR(HLOOKUP(K4438,データについて!$J$5:$AH$20,14,FALSE),"")</f>
        <v/>
      </c>
      <c r="AC4438" s="81" t="e">
        <f>IF(X4438=1,HLOOKUP(R4438,データについて!$J$12:$M$18,7,FALSE),"*")</f>
        <v>#N/A</v>
      </c>
      <c r="AD4438" s="81" t="e">
        <f>IF(X4438=2,HLOOKUP(R4438,データについて!$J$12:$M$18,7,FALSE),"*")</f>
        <v>#N/A</v>
      </c>
    </row>
    <row r="4439" spans="19:30">
      <c r="S4439" s="81" t="e">
        <f>HLOOKUP(L4439,データについて!$J$6:$M$18,13,FALSE)</f>
        <v>#N/A</v>
      </c>
      <c r="T4439" s="81" t="e">
        <f>HLOOKUP(M4439,データについて!$J$7:$M$18,12,FALSE)</f>
        <v>#N/A</v>
      </c>
      <c r="U4439" s="81" t="e">
        <f>HLOOKUP(N4439,データについて!$J$8:$M$18,11,FALSE)</f>
        <v>#N/A</v>
      </c>
      <c r="V4439" s="81" t="e">
        <f>HLOOKUP(O4439,データについて!$J$9:$M$18,10,FALSE)</f>
        <v>#N/A</v>
      </c>
      <c r="W4439" s="81" t="e">
        <f>HLOOKUP(P4439,データについて!$J$10:$M$18,9,FALSE)</f>
        <v>#N/A</v>
      </c>
      <c r="X4439" s="81" t="e">
        <f>HLOOKUP(Q4439,データについて!$J$11:$M$18,8,FALSE)</f>
        <v>#N/A</v>
      </c>
      <c r="Y4439" s="81" t="e">
        <f>HLOOKUP(R4439,データについて!$J$12:$M$18,7,FALSE)</f>
        <v>#N/A</v>
      </c>
      <c r="Z4439" s="81" t="e">
        <f>HLOOKUP(I4439,データについて!$J$3:$M$18,16,FALSE)</f>
        <v>#N/A</v>
      </c>
      <c r="AA4439" s="81" t="str">
        <f>IFERROR(HLOOKUP(J4439,データについて!$J$4:$AH$19,16,FALSE),"")</f>
        <v/>
      </c>
      <c r="AB4439" s="81" t="str">
        <f>IFERROR(HLOOKUP(K4439,データについて!$J$5:$AH$20,14,FALSE),"")</f>
        <v/>
      </c>
      <c r="AC4439" s="81" t="e">
        <f>IF(X4439=1,HLOOKUP(R4439,データについて!$J$12:$M$18,7,FALSE),"*")</f>
        <v>#N/A</v>
      </c>
      <c r="AD4439" s="81" t="e">
        <f>IF(X4439=2,HLOOKUP(R4439,データについて!$J$12:$M$18,7,FALSE),"*")</f>
        <v>#N/A</v>
      </c>
    </row>
    <row r="4440" spans="19:30">
      <c r="S4440" s="81" t="e">
        <f>HLOOKUP(L4440,データについて!$J$6:$M$18,13,FALSE)</f>
        <v>#N/A</v>
      </c>
      <c r="T4440" s="81" t="e">
        <f>HLOOKUP(M4440,データについて!$J$7:$M$18,12,FALSE)</f>
        <v>#N/A</v>
      </c>
      <c r="U4440" s="81" t="e">
        <f>HLOOKUP(N4440,データについて!$J$8:$M$18,11,FALSE)</f>
        <v>#N/A</v>
      </c>
      <c r="V4440" s="81" t="e">
        <f>HLOOKUP(O4440,データについて!$J$9:$M$18,10,FALSE)</f>
        <v>#N/A</v>
      </c>
      <c r="W4440" s="81" t="e">
        <f>HLOOKUP(P4440,データについて!$J$10:$M$18,9,FALSE)</f>
        <v>#N/A</v>
      </c>
      <c r="X4440" s="81" t="e">
        <f>HLOOKUP(Q4440,データについて!$J$11:$M$18,8,FALSE)</f>
        <v>#N/A</v>
      </c>
      <c r="Y4440" s="81" t="e">
        <f>HLOOKUP(R4440,データについて!$J$12:$M$18,7,FALSE)</f>
        <v>#N/A</v>
      </c>
      <c r="Z4440" s="81" t="e">
        <f>HLOOKUP(I4440,データについて!$J$3:$M$18,16,FALSE)</f>
        <v>#N/A</v>
      </c>
      <c r="AA4440" s="81" t="str">
        <f>IFERROR(HLOOKUP(J4440,データについて!$J$4:$AH$19,16,FALSE),"")</f>
        <v/>
      </c>
      <c r="AB4440" s="81" t="str">
        <f>IFERROR(HLOOKUP(K4440,データについて!$J$5:$AH$20,14,FALSE),"")</f>
        <v/>
      </c>
      <c r="AC4440" s="81" t="e">
        <f>IF(X4440=1,HLOOKUP(R4440,データについて!$J$12:$M$18,7,FALSE),"*")</f>
        <v>#N/A</v>
      </c>
      <c r="AD4440" s="81" t="e">
        <f>IF(X4440=2,HLOOKUP(R4440,データについて!$J$12:$M$18,7,FALSE),"*")</f>
        <v>#N/A</v>
      </c>
    </row>
    <row r="4441" spans="19:30">
      <c r="S4441" s="81" t="e">
        <f>HLOOKUP(L4441,データについて!$J$6:$M$18,13,FALSE)</f>
        <v>#N/A</v>
      </c>
      <c r="T4441" s="81" t="e">
        <f>HLOOKUP(M4441,データについて!$J$7:$M$18,12,FALSE)</f>
        <v>#N/A</v>
      </c>
      <c r="U4441" s="81" t="e">
        <f>HLOOKUP(N4441,データについて!$J$8:$M$18,11,FALSE)</f>
        <v>#N/A</v>
      </c>
      <c r="V4441" s="81" t="e">
        <f>HLOOKUP(O4441,データについて!$J$9:$M$18,10,FALSE)</f>
        <v>#N/A</v>
      </c>
      <c r="W4441" s="81" t="e">
        <f>HLOOKUP(P4441,データについて!$J$10:$M$18,9,FALSE)</f>
        <v>#N/A</v>
      </c>
      <c r="X4441" s="81" t="e">
        <f>HLOOKUP(Q4441,データについて!$J$11:$M$18,8,FALSE)</f>
        <v>#N/A</v>
      </c>
      <c r="Y4441" s="81" t="e">
        <f>HLOOKUP(R4441,データについて!$J$12:$M$18,7,FALSE)</f>
        <v>#N/A</v>
      </c>
      <c r="Z4441" s="81" t="e">
        <f>HLOOKUP(I4441,データについて!$J$3:$M$18,16,FALSE)</f>
        <v>#N/A</v>
      </c>
      <c r="AA4441" s="81" t="str">
        <f>IFERROR(HLOOKUP(J4441,データについて!$J$4:$AH$19,16,FALSE),"")</f>
        <v/>
      </c>
      <c r="AB4441" s="81" t="str">
        <f>IFERROR(HLOOKUP(K4441,データについて!$J$5:$AH$20,14,FALSE),"")</f>
        <v/>
      </c>
      <c r="AC4441" s="81" t="e">
        <f>IF(X4441=1,HLOOKUP(R4441,データについて!$J$12:$M$18,7,FALSE),"*")</f>
        <v>#N/A</v>
      </c>
      <c r="AD4441" s="81" t="e">
        <f>IF(X4441=2,HLOOKUP(R4441,データについて!$J$12:$M$18,7,FALSE),"*")</f>
        <v>#N/A</v>
      </c>
    </row>
    <row r="4442" spans="19:30">
      <c r="S4442" s="81" t="e">
        <f>HLOOKUP(L4442,データについて!$J$6:$M$18,13,FALSE)</f>
        <v>#N/A</v>
      </c>
      <c r="T4442" s="81" t="e">
        <f>HLOOKUP(M4442,データについて!$J$7:$M$18,12,FALSE)</f>
        <v>#N/A</v>
      </c>
      <c r="U4442" s="81" t="e">
        <f>HLOOKUP(N4442,データについて!$J$8:$M$18,11,FALSE)</f>
        <v>#N/A</v>
      </c>
      <c r="V4442" s="81" t="e">
        <f>HLOOKUP(O4442,データについて!$J$9:$M$18,10,FALSE)</f>
        <v>#N/A</v>
      </c>
      <c r="W4442" s="81" t="e">
        <f>HLOOKUP(P4442,データについて!$J$10:$M$18,9,FALSE)</f>
        <v>#N/A</v>
      </c>
      <c r="X4442" s="81" t="e">
        <f>HLOOKUP(Q4442,データについて!$J$11:$M$18,8,FALSE)</f>
        <v>#N/A</v>
      </c>
      <c r="Y4442" s="81" t="e">
        <f>HLOOKUP(R4442,データについて!$J$12:$M$18,7,FALSE)</f>
        <v>#N/A</v>
      </c>
      <c r="Z4442" s="81" t="e">
        <f>HLOOKUP(I4442,データについて!$J$3:$M$18,16,FALSE)</f>
        <v>#N/A</v>
      </c>
      <c r="AA4442" s="81" t="str">
        <f>IFERROR(HLOOKUP(J4442,データについて!$J$4:$AH$19,16,FALSE),"")</f>
        <v/>
      </c>
      <c r="AB4442" s="81" t="str">
        <f>IFERROR(HLOOKUP(K4442,データについて!$J$5:$AH$20,14,FALSE),"")</f>
        <v/>
      </c>
      <c r="AC4442" s="81" t="e">
        <f>IF(X4442=1,HLOOKUP(R4442,データについて!$J$12:$M$18,7,FALSE),"*")</f>
        <v>#N/A</v>
      </c>
      <c r="AD4442" s="81" t="e">
        <f>IF(X4442=2,HLOOKUP(R4442,データについて!$J$12:$M$18,7,FALSE),"*")</f>
        <v>#N/A</v>
      </c>
    </row>
    <row r="4443" spans="19:30">
      <c r="S4443" s="81" t="e">
        <f>HLOOKUP(L4443,データについて!$J$6:$M$18,13,FALSE)</f>
        <v>#N/A</v>
      </c>
      <c r="T4443" s="81" t="e">
        <f>HLOOKUP(M4443,データについて!$J$7:$M$18,12,FALSE)</f>
        <v>#N/A</v>
      </c>
      <c r="U4443" s="81" t="e">
        <f>HLOOKUP(N4443,データについて!$J$8:$M$18,11,FALSE)</f>
        <v>#N/A</v>
      </c>
      <c r="V4443" s="81" t="e">
        <f>HLOOKUP(O4443,データについて!$J$9:$M$18,10,FALSE)</f>
        <v>#N/A</v>
      </c>
      <c r="W4443" s="81" t="e">
        <f>HLOOKUP(P4443,データについて!$J$10:$M$18,9,FALSE)</f>
        <v>#N/A</v>
      </c>
      <c r="X4443" s="81" t="e">
        <f>HLOOKUP(Q4443,データについて!$J$11:$M$18,8,FALSE)</f>
        <v>#N/A</v>
      </c>
      <c r="Y4443" s="81" t="e">
        <f>HLOOKUP(R4443,データについて!$J$12:$M$18,7,FALSE)</f>
        <v>#N/A</v>
      </c>
      <c r="Z4443" s="81" t="e">
        <f>HLOOKUP(I4443,データについて!$J$3:$M$18,16,FALSE)</f>
        <v>#N/A</v>
      </c>
      <c r="AA4443" s="81" t="str">
        <f>IFERROR(HLOOKUP(J4443,データについて!$J$4:$AH$19,16,FALSE),"")</f>
        <v/>
      </c>
      <c r="AB4443" s="81" t="str">
        <f>IFERROR(HLOOKUP(K4443,データについて!$J$5:$AH$20,14,FALSE),"")</f>
        <v/>
      </c>
      <c r="AC4443" s="81" t="e">
        <f>IF(X4443=1,HLOOKUP(R4443,データについて!$J$12:$M$18,7,FALSE),"*")</f>
        <v>#N/A</v>
      </c>
      <c r="AD4443" s="81" t="e">
        <f>IF(X4443=2,HLOOKUP(R4443,データについて!$J$12:$M$18,7,FALSE),"*")</f>
        <v>#N/A</v>
      </c>
    </row>
    <row r="4444" spans="19:30">
      <c r="S4444" s="81" t="e">
        <f>HLOOKUP(L4444,データについて!$J$6:$M$18,13,FALSE)</f>
        <v>#N/A</v>
      </c>
      <c r="T4444" s="81" t="e">
        <f>HLOOKUP(M4444,データについて!$J$7:$M$18,12,FALSE)</f>
        <v>#N/A</v>
      </c>
      <c r="U4444" s="81" t="e">
        <f>HLOOKUP(N4444,データについて!$J$8:$M$18,11,FALSE)</f>
        <v>#N/A</v>
      </c>
      <c r="V4444" s="81" t="e">
        <f>HLOOKUP(O4444,データについて!$J$9:$M$18,10,FALSE)</f>
        <v>#N/A</v>
      </c>
      <c r="W4444" s="81" t="e">
        <f>HLOOKUP(P4444,データについて!$J$10:$M$18,9,FALSE)</f>
        <v>#N/A</v>
      </c>
      <c r="X4444" s="81" t="e">
        <f>HLOOKUP(Q4444,データについて!$J$11:$M$18,8,FALSE)</f>
        <v>#N/A</v>
      </c>
      <c r="Y4444" s="81" t="e">
        <f>HLOOKUP(R4444,データについて!$J$12:$M$18,7,FALSE)</f>
        <v>#N/A</v>
      </c>
      <c r="Z4444" s="81" t="e">
        <f>HLOOKUP(I4444,データについて!$J$3:$M$18,16,FALSE)</f>
        <v>#N/A</v>
      </c>
      <c r="AA4444" s="81" t="str">
        <f>IFERROR(HLOOKUP(J4444,データについて!$J$4:$AH$19,16,FALSE),"")</f>
        <v/>
      </c>
      <c r="AB4444" s="81" t="str">
        <f>IFERROR(HLOOKUP(K4444,データについて!$J$5:$AH$20,14,FALSE),"")</f>
        <v/>
      </c>
      <c r="AC4444" s="81" t="e">
        <f>IF(X4444=1,HLOOKUP(R4444,データについて!$J$12:$M$18,7,FALSE),"*")</f>
        <v>#N/A</v>
      </c>
      <c r="AD4444" s="81" t="e">
        <f>IF(X4444=2,HLOOKUP(R4444,データについて!$J$12:$M$18,7,FALSE),"*")</f>
        <v>#N/A</v>
      </c>
    </row>
    <row r="4445" spans="19:30">
      <c r="S4445" s="81" t="e">
        <f>HLOOKUP(L4445,データについて!$J$6:$M$18,13,FALSE)</f>
        <v>#N/A</v>
      </c>
      <c r="T4445" s="81" t="e">
        <f>HLOOKUP(M4445,データについて!$J$7:$M$18,12,FALSE)</f>
        <v>#N/A</v>
      </c>
      <c r="U4445" s="81" t="e">
        <f>HLOOKUP(N4445,データについて!$J$8:$M$18,11,FALSE)</f>
        <v>#N/A</v>
      </c>
      <c r="V4445" s="81" t="e">
        <f>HLOOKUP(O4445,データについて!$J$9:$M$18,10,FALSE)</f>
        <v>#N/A</v>
      </c>
      <c r="W4445" s="81" t="e">
        <f>HLOOKUP(P4445,データについて!$J$10:$M$18,9,FALSE)</f>
        <v>#N/A</v>
      </c>
      <c r="X4445" s="81" t="e">
        <f>HLOOKUP(Q4445,データについて!$J$11:$M$18,8,FALSE)</f>
        <v>#N/A</v>
      </c>
      <c r="Y4445" s="81" t="e">
        <f>HLOOKUP(R4445,データについて!$J$12:$M$18,7,FALSE)</f>
        <v>#N/A</v>
      </c>
      <c r="Z4445" s="81" t="e">
        <f>HLOOKUP(I4445,データについて!$J$3:$M$18,16,FALSE)</f>
        <v>#N/A</v>
      </c>
      <c r="AA4445" s="81" t="str">
        <f>IFERROR(HLOOKUP(J4445,データについて!$J$4:$AH$19,16,FALSE),"")</f>
        <v/>
      </c>
      <c r="AB4445" s="81" t="str">
        <f>IFERROR(HLOOKUP(K4445,データについて!$J$5:$AH$20,14,FALSE),"")</f>
        <v/>
      </c>
      <c r="AC4445" s="81" t="e">
        <f>IF(X4445=1,HLOOKUP(R4445,データについて!$J$12:$M$18,7,FALSE),"*")</f>
        <v>#N/A</v>
      </c>
      <c r="AD4445" s="81" t="e">
        <f>IF(X4445=2,HLOOKUP(R4445,データについて!$J$12:$M$18,7,FALSE),"*")</f>
        <v>#N/A</v>
      </c>
    </row>
    <row r="4446" spans="19:30">
      <c r="S4446" s="81" t="e">
        <f>HLOOKUP(L4446,データについて!$J$6:$M$18,13,FALSE)</f>
        <v>#N/A</v>
      </c>
      <c r="T4446" s="81" t="e">
        <f>HLOOKUP(M4446,データについて!$J$7:$M$18,12,FALSE)</f>
        <v>#N/A</v>
      </c>
      <c r="U4446" s="81" t="e">
        <f>HLOOKUP(N4446,データについて!$J$8:$M$18,11,FALSE)</f>
        <v>#N/A</v>
      </c>
      <c r="V4446" s="81" t="e">
        <f>HLOOKUP(O4446,データについて!$J$9:$M$18,10,FALSE)</f>
        <v>#N/A</v>
      </c>
      <c r="W4446" s="81" t="e">
        <f>HLOOKUP(P4446,データについて!$J$10:$M$18,9,FALSE)</f>
        <v>#N/A</v>
      </c>
      <c r="X4446" s="81" t="e">
        <f>HLOOKUP(Q4446,データについて!$J$11:$M$18,8,FALSE)</f>
        <v>#N/A</v>
      </c>
      <c r="Y4446" s="81" t="e">
        <f>HLOOKUP(R4446,データについて!$J$12:$M$18,7,FALSE)</f>
        <v>#N/A</v>
      </c>
      <c r="Z4446" s="81" t="e">
        <f>HLOOKUP(I4446,データについて!$J$3:$M$18,16,FALSE)</f>
        <v>#N/A</v>
      </c>
      <c r="AA4446" s="81" t="str">
        <f>IFERROR(HLOOKUP(J4446,データについて!$J$4:$AH$19,16,FALSE),"")</f>
        <v/>
      </c>
      <c r="AB4446" s="81" t="str">
        <f>IFERROR(HLOOKUP(K4446,データについて!$J$5:$AH$20,14,FALSE),"")</f>
        <v/>
      </c>
      <c r="AC4446" s="81" t="e">
        <f>IF(X4446=1,HLOOKUP(R4446,データについて!$J$12:$M$18,7,FALSE),"*")</f>
        <v>#N/A</v>
      </c>
      <c r="AD4446" s="81" t="e">
        <f>IF(X4446=2,HLOOKUP(R4446,データについて!$J$12:$M$18,7,FALSE),"*")</f>
        <v>#N/A</v>
      </c>
    </row>
    <row r="4447" spans="19:30">
      <c r="S4447" s="81" t="e">
        <f>HLOOKUP(L4447,データについて!$J$6:$M$18,13,FALSE)</f>
        <v>#N/A</v>
      </c>
      <c r="T4447" s="81" t="e">
        <f>HLOOKUP(M4447,データについて!$J$7:$M$18,12,FALSE)</f>
        <v>#N/A</v>
      </c>
      <c r="U4447" s="81" t="e">
        <f>HLOOKUP(N4447,データについて!$J$8:$M$18,11,FALSE)</f>
        <v>#N/A</v>
      </c>
      <c r="V4447" s="81" t="e">
        <f>HLOOKUP(O4447,データについて!$J$9:$M$18,10,FALSE)</f>
        <v>#N/A</v>
      </c>
      <c r="W4447" s="81" t="e">
        <f>HLOOKUP(P4447,データについて!$J$10:$M$18,9,FALSE)</f>
        <v>#N/A</v>
      </c>
      <c r="X4447" s="81" t="e">
        <f>HLOOKUP(Q4447,データについて!$J$11:$M$18,8,FALSE)</f>
        <v>#N/A</v>
      </c>
      <c r="Y4447" s="81" t="e">
        <f>HLOOKUP(R4447,データについて!$J$12:$M$18,7,FALSE)</f>
        <v>#N/A</v>
      </c>
      <c r="Z4447" s="81" t="e">
        <f>HLOOKUP(I4447,データについて!$J$3:$M$18,16,FALSE)</f>
        <v>#N/A</v>
      </c>
      <c r="AA4447" s="81" t="str">
        <f>IFERROR(HLOOKUP(J4447,データについて!$J$4:$AH$19,16,FALSE),"")</f>
        <v/>
      </c>
      <c r="AB4447" s="81" t="str">
        <f>IFERROR(HLOOKUP(K4447,データについて!$J$5:$AH$20,14,FALSE),"")</f>
        <v/>
      </c>
      <c r="AC4447" s="81" t="e">
        <f>IF(X4447=1,HLOOKUP(R4447,データについて!$J$12:$M$18,7,FALSE),"*")</f>
        <v>#N/A</v>
      </c>
      <c r="AD4447" s="81" t="e">
        <f>IF(X4447=2,HLOOKUP(R4447,データについて!$J$12:$M$18,7,FALSE),"*")</f>
        <v>#N/A</v>
      </c>
    </row>
    <row r="4448" spans="19:30">
      <c r="S4448" s="81" t="e">
        <f>HLOOKUP(L4448,データについて!$J$6:$M$18,13,FALSE)</f>
        <v>#N/A</v>
      </c>
      <c r="T4448" s="81" t="e">
        <f>HLOOKUP(M4448,データについて!$J$7:$M$18,12,FALSE)</f>
        <v>#N/A</v>
      </c>
      <c r="U4448" s="81" t="e">
        <f>HLOOKUP(N4448,データについて!$J$8:$M$18,11,FALSE)</f>
        <v>#N/A</v>
      </c>
      <c r="V4448" s="81" t="e">
        <f>HLOOKUP(O4448,データについて!$J$9:$M$18,10,FALSE)</f>
        <v>#N/A</v>
      </c>
      <c r="W4448" s="81" t="e">
        <f>HLOOKUP(P4448,データについて!$J$10:$M$18,9,FALSE)</f>
        <v>#N/A</v>
      </c>
      <c r="X4448" s="81" t="e">
        <f>HLOOKUP(Q4448,データについて!$J$11:$M$18,8,FALSE)</f>
        <v>#N/A</v>
      </c>
      <c r="Y4448" s="81" t="e">
        <f>HLOOKUP(R4448,データについて!$J$12:$M$18,7,FALSE)</f>
        <v>#N/A</v>
      </c>
      <c r="Z4448" s="81" t="e">
        <f>HLOOKUP(I4448,データについて!$J$3:$M$18,16,FALSE)</f>
        <v>#N/A</v>
      </c>
      <c r="AA4448" s="81" t="str">
        <f>IFERROR(HLOOKUP(J4448,データについて!$J$4:$AH$19,16,FALSE),"")</f>
        <v/>
      </c>
      <c r="AB4448" s="81" t="str">
        <f>IFERROR(HLOOKUP(K4448,データについて!$J$5:$AH$20,14,FALSE),"")</f>
        <v/>
      </c>
      <c r="AC4448" s="81" t="e">
        <f>IF(X4448=1,HLOOKUP(R4448,データについて!$J$12:$M$18,7,FALSE),"*")</f>
        <v>#N/A</v>
      </c>
      <c r="AD4448" s="81" t="e">
        <f>IF(X4448=2,HLOOKUP(R4448,データについて!$J$12:$M$18,7,FALSE),"*")</f>
        <v>#N/A</v>
      </c>
    </row>
    <row r="4449" spans="19:30">
      <c r="S4449" s="81" t="e">
        <f>HLOOKUP(L4449,データについて!$J$6:$M$18,13,FALSE)</f>
        <v>#N/A</v>
      </c>
      <c r="T4449" s="81" t="e">
        <f>HLOOKUP(M4449,データについて!$J$7:$M$18,12,FALSE)</f>
        <v>#N/A</v>
      </c>
      <c r="U4449" s="81" t="e">
        <f>HLOOKUP(N4449,データについて!$J$8:$M$18,11,FALSE)</f>
        <v>#N/A</v>
      </c>
      <c r="V4449" s="81" t="e">
        <f>HLOOKUP(O4449,データについて!$J$9:$M$18,10,FALSE)</f>
        <v>#N/A</v>
      </c>
      <c r="W4449" s="81" t="e">
        <f>HLOOKUP(P4449,データについて!$J$10:$M$18,9,FALSE)</f>
        <v>#N/A</v>
      </c>
      <c r="X4449" s="81" t="e">
        <f>HLOOKUP(Q4449,データについて!$J$11:$M$18,8,FALSE)</f>
        <v>#N/A</v>
      </c>
      <c r="Y4449" s="81" t="e">
        <f>HLOOKUP(R4449,データについて!$J$12:$M$18,7,FALSE)</f>
        <v>#N/A</v>
      </c>
      <c r="Z4449" s="81" t="e">
        <f>HLOOKUP(I4449,データについて!$J$3:$M$18,16,FALSE)</f>
        <v>#N/A</v>
      </c>
      <c r="AA4449" s="81" t="str">
        <f>IFERROR(HLOOKUP(J4449,データについて!$J$4:$AH$19,16,FALSE),"")</f>
        <v/>
      </c>
      <c r="AB4449" s="81" t="str">
        <f>IFERROR(HLOOKUP(K4449,データについて!$J$5:$AH$20,14,FALSE),"")</f>
        <v/>
      </c>
      <c r="AC4449" s="81" t="e">
        <f>IF(X4449=1,HLOOKUP(R4449,データについて!$J$12:$M$18,7,FALSE),"*")</f>
        <v>#N/A</v>
      </c>
      <c r="AD4449" s="81" t="e">
        <f>IF(X4449=2,HLOOKUP(R4449,データについて!$J$12:$M$18,7,FALSE),"*")</f>
        <v>#N/A</v>
      </c>
    </row>
    <row r="4450" spans="19:30">
      <c r="S4450" s="81" t="e">
        <f>HLOOKUP(L4450,データについて!$J$6:$M$18,13,FALSE)</f>
        <v>#N/A</v>
      </c>
      <c r="T4450" s="81" t="e">
        <f>HLOOKUP(M4450,データについて!$J$7:$M$18,12,FALSE)</f>
        <v>#N/A</v>
      </c>
      <c r="U4450" s="81" t="e">
        <f>HLOOKUP(N4450,データについて!$J$8:$M$18,11,FALSE)</f>
        <v>#N/A</v>
      </c>
      <c r="V4450" s="81" t="e">
        <f>HLOOKUP(O4450,データについて!$J$9:$M$18,10,FALSE)</f>
        <v>#N/A</v>
      </c>
      <c r="W4450" s="81" t="e">
        <f>HLOOKUP(P4450,データについて!$J$10:$M$18,9,FALSE)</f>
        <v>#N/A</v>
      </c>
      <c r="X4450" s="81" t="e">
        <f>HLOOKUP(Q4450,データについて!$J$11:$M$18,8,FALSE)</f>
        <v>#N/A</v>
      </c>
      <c r="Y4450" s="81" t="e">
        <f>HLOOKUP(R4450,データについて!$J$12:$M$18,7,FALSE)</f>
        <v>#N/A</v>
      </c>
      <c r="Z4450" s="81" t="e">
        <f>HLOOKUP(I4450,データについて!$J$3:$M$18,16,FALSE)</f>
        <v>#N/A</v>
      </c>
      <c r="AA4450" s="81" t="str">
        <f>IFERROR(HLOOKUP(J4450,データについて!$J$4:$AH$19,16,FALSE),"")</f>
        <v/>
      </c>
      <c r="AB4450" s="81" t="str">
        <f>IFERROR(HLOOKUP(K4450,データについて!$J$5:$AH$20,14,FALSE),"")</f>
        <v/>
      </c>
      <c r="AC4450" s="81" t="e">
        <f>IF(X4450=1,HLOOKUP(R4450,データについて!$J$12:$M$18,7,FALSE),"*")</f>
        <v>#N/A</v>
      </c>
      <c r="AD4450" s="81" t="e">
        <f>IF(X4450=2,HLOOKUP(R4450,データについて!$J$12:$M$18,7,FALSE),"*")</f>
        <v>#N/A</v>
      </c>
    </row>
    <row r="4451" spans="19:30">
      <c r="S4451" s="81" t="e">
        <f>HLOOKUP(L4451,データについて!$J$6:$M$18,13,FALSE)</f>
        <v>#N/A</v>
      </c>
      <c r="T4451" s="81" t="e">
        <f>HLOOKUP(M4451,データについて!$J$7:$M$18,12,FALSE)</f>
        <v>#N/A</v>
      </c>
      <c r="U4451" s="81" t="e">
        <f>HLOOKUP(N4451,データについて!$J$8:$M$18,11,FALSE)</f>
        <v>#N/A</v>
      </c>
      <c r="V4451" s="81" t="e">
        <f>HLOOKUP(O4451,データについて!$J$9:$M$18,10,FALSE)</f>
        <v>#N/A</v>
      </c>
      <c r="W4451" s="81" t="e">
        <f>HLOOKUP(P4451,データについて!$J$10:$M$18,9,FALSE)</f>
        <v>#N/A</v>
      </c>
      <c r="X4451" s="81" t="e">
        <f>HLOOKUP(Q4451,データについて!$J$11:$M$18,8,FALSE)</f>
        <v>#N/A</v>
      </c>
      <c r="Y4451" s="81" t="e">
        <f>HLOOKUP(R4451,データについて!$J$12:$M$18,7,FALSE)</f>
        <v>#N/A</v>
      </c>
      <c r="Z4451" s="81" t="e">
        <f>HLOOKUP(I4451,データについて!$J$3:$M$18,16,FALSE)</f>
        <v>#N/A</v>
      </c>
      <c r="AA4451" s="81" t="str">
        <f>IFERROR(HLOOKUP(J4451,データについて!$J$4:$AH$19,16,FALSE),"")</f>
        <v/>
      </c>
      <c r="AB4451" s="81" t="str">
        <f>IFERROR(HLOOKUP(K4451,データについて!$J$5:$AH$20,14,FALSE),"")</f>
        <v/>
      </c>
      <c r="AC4451" s="81" t="e">
        <f>IF(X4451=1,HLOOKUP(R4451,データについて!$J$12:$M$18,7,FALSE),"*")</f>
        <v>#N/A</v>
      </c>
      <c r="AD4451" s="81" t="e">
        <f>IF(X4451=2,HLOOKUP(R4451,データについて!$J$12:$M$18,7,FALSE),"*")</f>
        <v>#N/A</v>
      </c>
    </row>
    <row r="4452" spans="19:30">
      <c r="S4452" s="81" t="e">
        <f>HLOOKUP(L4452,データについて!$J$6:$M$18,13,FALSE)</f>
        <v>#N/A</v>
      </c>
      <c r="T4452" s="81" t="e">
        <f>HLOOKUP(M4452,データについて!$J$7:$M$18,12,FALSE)</f>
        <v>#N/A</v>
      </c>
      <c r="U4452" s="81" t="e">
        <f>HLOOKUP(N4452,データについて!$J$8:$M$18,11,FALSE)</f>
        <v>#N/A</v>
      </c>
      <c r="V4452" s="81" t="e">
        <f>HLOOKUP(O4452,データについて!$J$9:$M$18,10,FALSE)</f>
        <v>#N/A</v>
      </c>
      <c r="W4452" s="81" t="e">
        <f>HLOOKUP(P4452,データについて!$J$10:$M$18,9,FALSE)</f>
        <v>#N/A</v>
      </c>
      <c r="X4452" s="81" t="e">
        <f>HLOOKUP(Q4452,データについて!$J$11:$M$18,8,FALSE)</f>
        <v>#N/A</v>
      </c>
      <c r="Y4452" s="81" t="e">
        <f>HLOOKUP(R4452,データについて!$J$12:$M$18,7,FALSE)</f>
        <v>#N/A</v>
      </c>
      <c r="Z4452" s="81" t="e">
        <f>HLOOKUP(I4452,データについて!$J$3:$M$18,16,FALSE)</f>
        <v>#N/A</v>
      </c>
      <c r="AA4452" s="81" t="str">
        <f>IFERROR(HLOOKUP(J4452,データについて!$J$4:$AH$19,16,FALSE),"")</f>
        <v/>
      </c>
      <c r="AB4452" s="81" t="str">
        <f>IFERROR(HLOOKUP(K4452,データについて!$J$5:$AH$20,14,FALSE),"")</f>
        <v/>
      </c>
      <c r="AC4452" s="81" t="e">
        <f>IF(X4452=1,HLOOKUP(R4452,データについて!$J$12:$M$18,7,FALSE),"*")</f>
        <v>#N/A</v>
      </c>
      <c r="AD4452" s="81" t="e">
        <f>IF(X4452=2,HLOOKUP(R4452,データについて!$J$12:$M$18,7,FALSE),"*")</f>
        <v>#N/A</v>
      </c>
    </row>
    <row r="4453" spans="19:30">
      <c r="S4453" s="81" t="e">
        <f>HLOOKUP(L4453,データについて!$J$6:$M$18,13,FALSE)</f>
        <v>#N/A</v>
      </c>
      <c r="T4453" s="81" t="e">
        <f>HLOOKUP(M4453,データについて!$J$7:$M$18,12,FALSE)</f>
        <v>#N/A</v>
      </c>
      <c r="U4453" s="81" t="e">
        <f>HLOOKUP(N4453,データについて!$J$8:$M$18,11,FALSE)</f>
        <v>#N/A</v>
      </c>
      <c r="V4453" s="81" t="e">
        <f>HLOOKUP(O4453,データについて!$J$9:$M$18,10,FALSE)</f>
        <v>#N/A</v>
      </c>
      <c r="W4453" s="81" t="e">
        <f>HLOOKUP(P4453,データについて!$J$10:$M$18,9,FALSE)</f>
        <v>#N/A</v>
      </c>
      <c r="X4453" s="81" t="e">
        <f>HLOOKUP(Q4453,データについて!$J$11:$M$18,8,FALSE)</f>
        <v>#N/A</v>
      </c>
      <c r="Y4453" s="81" t="e">
        <f>HLOOKUP(R4453,データについて!$J$12:$M$18,7,FALSE)</f>
        <v>#N/A</v>
      </c>
      <c r="Z4453" s="81" t="e">
        <f>HLOOKUP(I4453,データについて!$J$3:$M$18,16,FALSE)</f>
        <v>#N/A</v>
      </c>
      <c r="AA4453" s="81" t="str">
        <f>IFERROR(HLOOKUP(J4453,データについて!$J$4:$AH$19,16,FALSE),"")</f>
        <v/>
      </c>
      <c r="AB4453" s="81" t="str">
        <f>IFERROR(HLOOKUP(K4453,データについて!$J$5:$AH$20,14,FALSE),"")</f>
        <v/>
      </c>
      <c r="AC4453" s="81" t="e">
        <f>IF(X4453=1,HLOOKUP(R4453,データについて!$J$12:$M$18,7,FALSE),"*")</f>
        <v>#N/A</v>
      </c>
      <c r="AD4453" s="81" t="e">
        <f>IF(X4453=2,HLOOKUP(R4453,データについて!$J$12:$M$18,7,FALSE),"*")</f>
        <v>#N/A</v>
      </c>
    </row>
    <row r="4454" spans="19:30">
      <c r="S4454" s="81" t="e">
        <f>HLOOKUP(L4454,データについて!$J$6:$M$18,13,FALSE)</f>
        <v>#N/A</v>
      </c>
      <c r="T4454" s="81" t="e">
        <f>HLOOKUP(M4454,データについて!$J$7:$M$18,12,FALSE)</f>
        <v>#N/A</v>
      </c>
      <c r="U4454" s="81" t="e">
        <f>HLOOKUP(N4454,データについて!$J$8:$M$18,11,FALSE)</f>
        <v>#N/A</v>
      </c>
      <c r="V4454" s="81" t="e">
        <f>HLOOKUP(O4454,データについて!$J$9:$M$18,10,FALSE)</f>
        <v>#N/A</v>
      </c>
      <c r="W4454" s="81" t="e">
        <f>HLOOKUP(P4454,データについて!$J$10:$M$18,9,FALSE)</f>
        <v>#N/A</v>
      </c>
      <c r="X4454" s="81" t="e">
        <f>HLOOKUP(Q4454,データについて!$J$11:$M$18,8,FALSE)</f>
        <v>#N/A</v>
      </c>
      <c r="Y4454" s="81" t="e">
        <f>HLOOKUP(R4454,データについて!$J$12:$M$18,7,FALSE)</f>
        <v>#N/A</v>
      </c>
      <c r="Z4454" s="81" t="e">
        <f>HLOOKUP(I4454,データについて!$J$3:$M$18,16,FALSE)</f>
        <v>#N/A</v>
      </c>
      <c r="AA4454" s="81" t="str">
        <f>IFERROR(HLOOKUP(J4454,データについて!$J$4:$AH$19,16,FALSE),"")</f>
        <v/>
      </c>
      <c r="AB4454" s="81" t="str">
        <f>IFERROR(HLOOKUP(K4454,データについて!$J$5:$AH$20,14,FALSE),"")</f>
        <v/>
      </c>
      <c r="AC4454" s="81" t="e">
        <f>IF(X4454=1,HLOOKUP(R4454,データについて!$J$12:$M$18,7,FALSE),"*")</f>
        <v>#N/A</v>
      </c>
      <c r="AD4454" s="81" t="e">
        <f>IF(X4454=2,HLOOKUP(R4454,データについて!$J$12:$M$18,7,FALSE),"*")</f>
        <v>#N/A</v>
      </c>
    </row>
    <row r="4455" spans="19:30">
      <c r="S4455" s="81" t="e">
        <f>HLOOKUP(L4455,データについて!$J$6:$M$18,13,FALSE)</f>
        <v>#N/A</v>
      </c>
      <c r="T4455" s="81" t="e">
        <f>HLOOKUP(M4455,データについて!$J$7:$M$18,12,FALSE)</f>
        <v>#N/A</v>
      </c>
      <c r="U4455" s="81" t="e">
        <f>HLOOKUP(N4455,データについて!$J$8:$M$18,11,FALSE)</f>
        <v>#N/A</v>
      </c>
      <c r="V4455" s="81" t="e">
        <f>HLOOKUP(O4455,データについて!$J$9:$M$18,10,FALSE)</f>
        <v>#N/A</v>
      </c>
      <c r="W4455" s="81" t="e">
        <f>HLOOKUP(P4455,データについて!$J$10:$M$18,9,FALSE)</f>
        <v>#N/A</v>
      </c>
      <c r="X4455" s="81" t="e">
        <f>HLOOKUP(Q4455,データについて!$J$11:$M$18,8,FALSE)</f>
        <v>#N/A</v>
      </c>
      <c r="Y4455" s="81" t="e">
        <f>HLOOKUP(R4455,データについて!$J$12:$M$18,7,FALSE)</f>
        <v>#N/A</v>
      </c>
      <c r="Z4455" s="81" t="e">
        <f>HLOOKUP(I4455,データについて!$J$3:$M$18,16,FALSE)</f>
        <v>#N/A</v>
      </c>
      <c r="AA4455" s="81" t="str">
        <f>IFERROR(HLOOKUP(J4455,データについて!$J$4:$AH$19,16,FALSE),"")</f>
        <v/>
      </c>
      <c r="AB4455" s="81" t="str">
        <f>IFERROR(HLOOKUP(K4455,データについて!$J$5:$AH$20,14,FALSE),"")</f>
        <v/>
      </c>
      <c r="AC4455" s="81" t="e">
        <f>IF(X4455=1,HLOOKUP(R4455,データについて!$J$12:$M$18,7,FALSE),"*")</f>
        <v>#N/A</v>
      </c>
      <c r="AD4455" s="81" t="e">
        <f>IF(X4455=2,HLOOKUP(R4455,データについて!$J$12:$M$18,7,FALSE),"*")</f>
        <v>#N/A</v>
      </c>
    </row>
    <row r="4456" spans="19:30">
      <c r="S4456" s="81" t="e">
        <f>HLOOKUP(L4456,データについて!$J$6:$M$18,13,FALSE)</f>
        <v>#N/A</v>
      </c>
      <c r="T4456" s="81" t="e">
        <f>HLOOKUP(M4456,データについて!$J$7:$M$18,12,FALSE)</f>
        <v>#N/A</v>
      </c>
      <c r="U4456" s="81" t="e">
        <f>HLOOKUP(N4456,データについて!$J$8:$M$18,11,FALSE)</f>
        <v>#N/A</v>
      </c>
      <c r="V4456" s="81" t="e">
        <f>HLOOKUP(O4456,データについて!$J$9:$M$18,10,FALSE)</f>
        <v>#N/A</v>
      </c>
      <c r="W4456" s="81" t="e">
        <f>HLOOKUP(P4456,データについて!$J$10:$M$18,9,FALSE)</f>
        <v>#N/A</v>
      </c>
      <c r="X4456" s="81" t="e">
        <f>HLOOKUP(Q4456,データについて!$J$11:$M$18,8,FALSE)</f>
        <v>#N/A</v>
      </c>
      <c r="Y4456" s="81" t="e">
        <f>HLOOKUP(R4456,データについて!$J$12:$M$18,7,FALSE)</f>
        <v>#N/A</v>
      </c>
      <c r="Z4456" s="81" t="e">
        <f>HLOOKUP(I4456,データについて!$J$3:$M$18,16,FALSE)</f>
        <v>#N/A</v>
      </c>
      <c r="AA4456" s="81" t="str">
        <f>IFERROR(HLOOKUP(J4456,データについて!$J$4:$AH$19,16,FALSE),"")</f>
        <v/>
      </c>
      <c r="AB4456" s="81" t="str">
        <f>IFERROR(HLOOKUP(K4456,データについて!$J$5:$AH$20,14,FALSE),"")</f>
        <v/>
      </c>
      <c r="AC4456" s="81" t="e">
        <f>IF(X4456=1,HLOOKUP(R4456,データについて!$J$12:$M$18,7,FALSE),"*")</f>
        <v>#N/A</v>
      </c>
      <c r="AD4456" s="81" t="e">
        <f>IF(X4456=2,HLOOKUP(R4456,データについて!$J$12:$M$18,7,FALSE),"*")</f>
        <v>#N/A</v>
      </c>
    </row>
    <row r="4457" spans="19:30">
      <c r="S4457" s="81" t="e">
        <f>HLOOKUP(L4457,データについて!$J$6:$M$18,13,FALSE)</f>
        <v>#N/A</v>
      </c>
      <c r="T4457" s="81" t="e">
        <f>HLOOKUP(M4457,データについて!$J$7:$M$18,12,FALSE)</f>
        <v>#N/A</v>
      </c>
      <c r="U4457" s="81" t="e">
        <f>HLOOKUP(N4457,データについて!$J$8:$M$18,11,FALSE)</f>
        <v>#N/A</v>
      </c>
      <c r="V4457" s="81" t="e">
        <f>HLOOKUP(O4457,データについて!$J$9:$M$18,10,FALSE)</f>
        <v>#N/A</v>
      </c>
      <c r="W4457" s="81" t="e">
        <f>HLOOKUP(P4457,データについて!$J$10:$M$18,9,FALSE)</f>
        <v>#N/A</v>
      </c>
      <c r="X4457" s="81" t="e">
        <f>HLOOKUP(Q4457,データについて!$J$11:$M$18,8,FALSE)</f>
        <v>#N/A</v>
      </c>
      <c r="Y4457" s="81" t="e">
        <f>HLOOKUP(R4457,データについて!$J$12:$M$18,7,FALSE)</f>
        <v>#N/A</v>
      </c>
      <c r="Z4457" s="81" t="e">
        <f>HLOOKUP(I4457,データについて!$J$3:$M$18,16,FALSE)</f>
        <v>#N/A</v>
      </c>
      <c r="AA4457" s="81" t="str">
        <f>IFERROR(HLOOKUP(J4457,データについて!$J$4:$AH$19,16,FALSE),"")</f>
        <v/>
      </c>
      <c r="AB4457" s="81" t="str">
        <f>IFERROR(HLOOKUP(K4457,データについて!$J$5:$AH$20,14,FALSE),"")</f>
        <v/>
      </c>
      <c r="AC4457" s="81" t="e">
        <f>IF(X4457=1,HLOOKUP(R4457,データについて!$J$12:$M$18,7,FALSE),"*")</f>
        <v>#N/A</v>
      </c>
      <c r="AD4457" s="81" t="e">
        <f>IF(X4457=2,HLOOKUP(R4457,データについて!$J$12:$M$18,7,FALSE),"*")</f>
        <v>#N/A</v>
      </c>
    </row>
    <row r="4458" spans="19:30">
      <c r="S4458" s="81" t="e">
        <f>HLOOKUP(L4458,データについて!$J$6:$M$18,13,FALSE)</f>
        <v>#N/A</v>
      </c>
      <c r="T4458" s="81" t="e">
        <f>HLOOKUP(M4458,データについて!$J$7:$M$18,12,FALSE)</f>
        <v>#N/A</v>
      </c>
      <c r="U4458" s="81" t="e">
        <f>HLOOKUP(N4458,データについて!$J$8:$M$18,11,FALSE)</f>
        <v>#N/A</v>
      </c>
      <c r="V4458" s="81" t="e">
        <f>HLOOKUP(O4458,データについて!$J$9:$M$18,10,FALSE)</f>
        <v>#N/A</v>
      </c>
      <c r="W4458" s="81" t="e">
        <f>HLOOKUP(P4458,データについて!$J$10:$M$18,9,FALSE)</f>
        <v>#N/A</v>
      </c>
      <c r="X4458" s="81" t="e">
        <f>HLOOKUP(Q4458,データについて!$J$11:$M$18,8,FALSE)</f>
        <v>#N/A</v>
      </c>
      <c r="Y4458" s="81" t="e">
        <f>HLOOKUP(R4458,データについて!$J$12:$M$18,7,FALSE)</f>
        <v>#N/A</v>
      </c>
      <c r="Z4458" s="81" t="e">
        <f>HLOOKUP(I4458,データについて!$J$3:$M$18,16,FALSE)</f>
        <v>#N/A</v>
      </c>
      <c r="AA4458" s="81" t="str">
        <f>IFERROR(HLOOKUP(J4458,データについて!$J$4:$AH$19,16,FALSE),"")</f>
        <v/>
      </c>
      <c r="AB4458" s="81" t="str">
        <f>IFERROR(HLOOKUP(K4458,データについて!$J$5:$AH$20,14,FALSE),"")</f>
        <v/>
      </c>
      <c r="AC4458" s="81" t="e">
        <f>IF(X4458=1,HLOOKUP(R4458,データについて!$J$12:$M$18,7,FALSE),"*")</f>
        <v>#N/A</v>
      </c>
      <c r="AD4458" s="81" t="e">
        <f>IF(X4458=2,HLOOKUP(R4458,データについて!$J$12:$M$18,7,FALSE),"*")</f>
        <v>#N/A</v>
      </c>
    </row>
    <row r="4459" spans="19:30">
      <c r="S4459" s="81" t="e">
        <f>HLOOKUP(L4459,データについて!$J$6:$M$18,13,FALSE)</f>
        <v>#N/A</v>
      </c>
      <c r="T4459" s="81" t="e">
        <f>HLOOKUP(M4459,データについて!$J$7:$M$18,12,FALSE)</f>
        <v>#N/A</v>
      </c>
      <c r="U4459" s="81" t="e">
        <f>HLOOKUP(N4459,データについて!$J$8:$M$18,11,FALSE)</f>
        <v>#N/A</v>
      </c>
      <c r="V4459" s="81" t="e">
        <f>HLOOKUP(O4459,データについて!$J$9:$M$18,10,FALSE)</f>
        <v>#N/A</v>
      </c>
      <c r="W4459" s="81" t="e">
        <f>HLOOKUP(P4459,データについて!$J$10:$M$18,9,FALSE)</f>
        <v>#N/A</v>
      </c>
      <c r="X4459" s="81" t="e">
        <f>HLOOKUP(Q4459,データについて!$J$11:$M$18,8,FALSE)</f>
        <v>#N/A</v>
      </c>
      <c r="Y4459" s="81" t="e">
        <f>HLOOKUP(R4459,データについて!$J$12:$M$18,7,FALSE)</f>
        <v>#N/A</v>
      </c>
      <c r="Z4459" s="81" t="e">
        <f>HLOOKUP(I4459,データについて!$J$3:$M$18,16,FALSE)</f>
        <v>#N/A</v>
      </c>
      <c r="AA4459" s="81" t="str">
        <f>IFERROR(HLOOKUP(J4459,データについて!$J$4:$AH$19,16,FALSE),"")</f>
        <v/>
      </c>
      <c r="AB4459" s="81" t="str">
        <f>IFERROR(HLOOKUP(K4459,データについて!$J$5:$AH$20,14,FALSE),"")</f>
        <v/>
      </c>
      <c r="AC4459" s="81" t="e">
        <f>IF(X4459=1,HLOOKUP(R4459,データについて!$J$12:$M$18,7,FALSE),"*")</f>
        <v>#N/A</v>
      </c>
      <c r="AD4459" s="81" t="e">
        <f>IF(X4459=2,HLOOKUP(R4459,データについて!$J$12:$M$18,7,FALSE),"*")</f>
        <v>#N/A</v>
      </c>
    </row>
    <row r="4460" spans="19:30">
      <c r="S4460" s="81" t="e">
        <f>HLOOKUP(L4460,データについて!$J$6:$M$18,13,FALSE)</f>
        <v>#N/A</v>
      </c>
      <c r="T4460" s="81" t="e">
        <f>HLOOKUP(M4460,データについて!$J$7:$M$18,12,FALSE)</f>
        <v>#N/A</v>
      </c>
      <c r="U4460" s="81" t="e">
        <f>HLOOKUP(N4460,データについて!$J$8:$M$18,11,FALSE)</f>
        <v>#N/A</v>
      </c>
      <c r="V4460" s="81" t="e">
        <f>HLOOKUP(O4460,データについて!$J$9:$M$18,10,FALSE)</f>
        <v>#N/A</v>
      </c>
      <c r="W4460" s="81" t="e">
        <f>HLOOKUP(P4460,データについて!$J$10:$M$18,9,FALSE)</f>
        <v>#N/A</v>
      </c>
      <c r="X4460" s="81" t="e">
        <f>HLOOKUP(Q4460,データについて!$J$11:$M$18,8,FALSE)</f>
        <v>#N/A</v>
      </c>
      <c r="Y4460" s="81" t="e">
        <f>HLOOKUP(R4460,データについて!$J$12:$M$18,7,FALSE)</f>
        <v>#N/A</v>
      </c>
      <c r="Z4460" s="81" t="e">
        <f>HLOOKUP(I4460,データについて!$J$3:$M$18,16,FALSE)</f>
        <v>#N/A</v>
      </c>
      <c r="AA4460" s="81" t="str">
        <f>IFERROR(HLOOKUP(J4460,データについて!$J$4:$AH$19,16,FALSE),"")</f>
        <v/>
      </c>
      <c r="AB4460" s="81" t="str">
        <f>IFERROR(HLOOKUP(K4460,データについて!$J$5:$AH$20,14,FALSE),"")</f>
        <v/>
      </c>
      <c r="AC4460" s="81" t="e">
        <f>IF(X4460=1,HLOOKUP(R4460,データについて!$J$12:$M$18,7,FALSE),"*")</f>
        <v>#N/A</v>
      </c>
      <c r="AD4460" s="81" t="e">
        <f>IF(X4460=2,HLOOKUP(R4460,データについて!$J$12:$M$18,7,FALSE),"*")</f>
        <v>#N/A</v>
      </c>
    </row>
    <row r="4461" spans="19:30">
      <c r="S4461" s="81" t="e">
        <f>HLOOKUP(L4461,データについて!$J$6:$M$18,13,FALSE)</f>
        <v>#N/A</v>
      </c>
      <c r="T4461" s="81" t="e">
        <f>HLOOKUP(M4461,データについて!$J$7:$M$18,12,FALSE)</f>
        <v>#N/A</v>
      </c>
      <c r="U4461" s="81" t="e">
        <f>HLOOKUP(N4461,データについて!$J$8:$M$18,11,FALSE)</f>
        <v>#N/A</v>
      </c>
      <c r="V4461" s="81" t="e">
        <f>HLOOKUP(O4461,データについて!$J$9:$M$18,10,FALSE)</f>
        <v>#N/A</v>
      </c>
      <c r="W4461" s="81" t="e">
        <f>HLOOKUP(P4461,データについて!$J$10:$M$18,9,FALSE)</f>
        <v>#N/A</v>
      </c>
      <c r="X4461" s="81" t="e">
        <f>HLOOKUP(Q4461,データについて!$J$11:$M$18,8,FALSE)</f>
        <v>#N/A</v>
      </c>
      <c r="Y4461" s="81" t="e">
        <f>HLOOKUP(R4461,データについて!$J$12:$M$18,7,FALSE)</f>
        <v>#N/A</v>
      </c>
      <c r="Z4461" s="81" t="e">
        <f>HLOOKUP(I4461,データについて!$J$3:$M$18,16,FALSE)</f>
        <v>#N/A</v>
      </c>
      <c r="AA4461" s="81" t="str">
        <f>IFERROR(HLOOKUP(J4461,データについて!$J$4:$AH$19,16,FALSE),"")</f>
        <v/>
      </c>
      <c r="AB4461" s="81" t="str">
        <f>IFERROR(HLOOKUP(K4461,データについて!$J$5:$AH$20,14,FALSE),"")</f>
        <v/>
      </c>
      <c r="AC4461" s="81" t="e">
        <f>IF(X4461=1,HLOOKUP(R4461,データについて!$J$12:$M$18,7,FALSE),"*")</f>
        <v>#N/A</v>
      </c>
      <c r="AD4461" s="81" t="e">
        <f>IF(X4461=2,HLOOKUP(R4461,データについて!$J$12:$M$18,7,FALSE),"*")</f>
        <v>#N/A</v>
      </c>
    </row>
    <row r="4462" spans="19:30">
      <c r="S4462" s="81" t="e">
        <f>HLOOKUP(L4462,データについて!$J$6:$M$18,13,FALSE)</f>
        <v>#N/A</v>
      </c>
      <c r="T4462" s="81" t="e">
        <f>HLOOKUP(M4462,データについて!$J$7:$M$18,12,FALSE)</f>
        <v>#N/A</v>
      </c>
      <c r="U4462" s="81" t="e">
        <f>HLOOKUP(N4462,データについて!$J$8:$M$18,11,FALSE)</f>
        <v>#N/A</v>
      </c>
      <c r="V4462" s="81" t="e">
        <f>HLOOKUP(O4462,データについて!$J$9:$M$18,10,FALSE)</f>
        <v>#N/A</v>
      </c>
      <c r="W4462" s="81" t="e">
        <f>HLOOKUP(P4462,データについて!$J$10:$M$18,9,FALSE)</f>
        <v>#N/A</v>
      </c>
      <c r="X4462" s="81" t="e">
        <f>HLOOKUP(Q4462,データについて!$J$11:$M$18,8,FALSE)</f>
        <v>#N/A</v>
      </c>
      <c r="Y4462" s="81" t="e">
        <f>HLOOKUP(R4462,データについて!$J$12:$M$18,7,FALSE)</f>
        <v>#N/A</v>
      </c>
      <c r="Z4462" s="81" t="e">
        <f>HLOOKUP(I4462,データについて!$J$3:$M$18,16,FALSE)</f>
        <v>#N/A</v>
      </c>
      <c r="AA4462" s="81" t="str">
        <f>IFERROR(HLOOKUP(J4462,データについて!$J$4:$AH$19,16,FALSE),"")</f>
        <v/>
      </c>
      <c r="AB4462" s="81" t="str">
        <f>IFERROR(HLOOKUP(K4462,データについて!$J$5:$AH$20,14,FALSE),"")</f>
        <v/>
      </c>
      <c r="AC4462" s="81" t="e">
        <f>IF(X4462=1,HLOOKUP(R4462,データについて!$J$12:$M$18,7,FALSE),"*")</f>
        <v>#N/A</v>
      </c>
      <c r="AD4462" s="81" t="e">
        <f>IF(X4462=2,HLOOKUP(R4462,データについて!$J$12:$M$18,7,FALSE),"*")</f>
        <v>#N/A</v>
      </c>
    </row>
    <row r="4463" spans="19:30">
      <c r="S4463" s="81" t="e">
        <f>HLOOKUP(L4463,データについて!$J$6:$M$18,13,FALSE)</f>
        <v>#N/A</v>
      </c>
      <c r="T4463" s="81" t="e">
        <f>HLOOKUP(M4463,データについて!$J$7:$M$18,12,FALSE)</f>
        <v>#N/A</v>
      </c>
      <c r="U4463" s="81" t="e">
        <f>HLOOKUP(N4463,データについて!$J$8:$M$18,11,FALSE)</f>
        <v>#N/A</v>
      </c>
      <c r="V4463" s="81" t="e">
        <f>HLOOKUP(O4463,データについて!$J$9:$M$18,10,FALSE)</f>
        <v>#N/A</v>
      </c>
      <c r="W4463" s="81" t="e">
        <f>HLOOKUP(P4463,データについて!$J$10:$M$18,9,FALSE)</f>
        <v>#N/A</v>
      </c>
      <c r="X4463" s="81" t="e">
        <f>HLOOKUP(Q4463,データについて!$J$11:$M$18,8,FALSE)</f>
        <v>#N/A</v>
      </c>
      <c r="Y4463" s="81" t="e">
        <f>HLOOKUP(R4463,データについて!$J$12:$M$18,7,FALSE)</f>
        <v>#N/A</v>
      </c>
      <c r="Z4463" s="81" t="e">
        <f>HLOOKUP(I4463,データについて!$J$3:$M$18,16,FALSE)</f>
        <v>#N/A</v>
      </c>
      <c r="AA4463" s="81" t="str">
        <f>IFERROR(HLOOKUP(J4463,データについて!$J$4:$AH$19,16,FALSE),"")</f>
        <v/>
      </c>
      <c r="AB4463" s="81" t="str">
        <f>IFERROR(HLOOKUP(K4463,データについて!$J$5:$AH$20,14,FALSE),"")</f>
        <v/>
      </c>
      <c r="AC4463" s="81" t="e">
        <f>IF(X4463=1,HLOOKUP(R4463,データについて!$J$12:$M$18,7,FALSE),"*")</f>
        <v>#N/A</v>
      </c>
      <c r="AD4463" s="81" t="e">
        <f>IF(X4463=2,HLOOKUP(R4463,データについて!$J$12:$M$18,7,FALSE),"*")</f>
        <v>#N/A</v>
      </c>
    </row>
    <row r="4464" spans="19:30">
      <c r="S4464" s="81" t="e">
        <f>HLOOKUP(L4464,データについて!$J$6:$M$18,13,FALSE)</f>
        <v>#N/A</v>
      </c>
      <c r="T4464" s="81" t="e">
        <f>HLOOKUP(M4464,データについて!$J$7:$M$18,12,FALSE)</f>
        <v>#N/A</v>
      </c>
      <c r="U4464" s="81" t="e">
        <f>HLOOKUP(N4464,データについて!$J$8:$M$18,11,FALSE)</f>
        <v>#N/A</v>
      </c>
      <c r="V4464" s="81" t="e">
        <f>HLOOKUP(O4464,データについて!$J$9:$M$18,10,FALSE)</f>
        <v>#N/A</v>
      </c>
      <c r="W4464" s="81" t="e">
        <f>HLOOKUP(P4464,データについて!$J$10:$M$18,9,FALSE)</f>
        <v>#N/A</v>
      </c>
      <c r="X4464" s="81" t="e">
        <f>HLOOKUP(Q4464,データについて!$J$11:$M$18,8,FALSE)</f>
        <v>#N/A</v>
      </c>
      <c r="Y4464" s="81" t="e">
        <f>HLOOKUP(R4464,データについて!$J$12:$M$18,7,FALSE)</f>
        <v>#N/A</v>
      </c>
      <c r="Z4464" s="81" t="e">
        <f>HLOOKUP(I4464,データについて!$J$3:$M$18,16,FALSE)</f>
        <v>#N/A</v>
      </c>
      <c r="AA4464" s="81" t="str">
        <f>IFERROR(HLOOKUP(J4464,データについて!$J$4:$AH$19,16,FALSE),"")</f>
        <v/>
      </c>
      <c r="AB4464" s="81" t="str">
        <f>IFERROR(HLOOKUP(K4464,データについて!$J$5:$AH$20,14,FALSE),"")</f>
        <v/>
      </c>
      <c r="AC4464" s="81" t="e">
        <f>IF(X4464=1,HLOOKUP(R4464,データについて!$J$12:$M$18,7,FALSE),"*")</f>
        <v>#N/A</v>
      </c>
      <c r="AD4464" s="81" t="e">
        <f>IF(X4464=2,HLOOKUP(R4464,データについて!$J$12:$M$18,7,FALSE),"*")</f>
        <v>#N/A</v>
      </c>
    </row>
    <row r="4465" spans="19:30">
      <c r="S4465" s="81" t="e">
        <f>HLOOKUP(L4465,データについて!$J$6:$M$18,13,FALSE)</f>
        <v>#N/A</v>
      </c>
      <c r="T4465" s="81" t="e">
        <f>HLOOKUP(M4465,データについて!$J$7:$M$18,12,FALSE)</f>
        <v>#N/A</v>
      </c>
      <c r="U4465" s="81" t="e">
        <f>HLOOKUP(N4465,データについて!$J$8:$M$18,11,FALSE)</f>
        <v>#N/A</v>
      </c>
      <c r="V4465" s="81" t="e">
        <f>HLOOKUP(O4465,データについて!$J$9:$M$18,10,FALSE)</f>
        <v>#N/A</v>
      </c>
      <c r="W4465" s="81" t="e">
        <f>HLOOKUP(P4465,データについて!$J$10:$M$18,9,FALSE)</f>
        <v>#N/A</v>
      </c>
      <c r="X4465" s="81" t="e">
        <f>HLOOKUP(Q4465,データについて!$J$11:$M$18,8,FALSE)</f>
        <v>#N/A</v>
      </c>
      <c r="Y4465" s="81" t="e">
        <f>HLOOKUP(R4465,データについて!$J$12:$M$18,7,FALSE)</f>
        <v>#N/A</v>
      </c>
      <c r="Z4465" s="81" t="e">
        <f>HLOOKUP(I4465,データについて!$J$3:$M$18,16,FALSE)</f>
        <v>#N/A</v>
      </c>
      <c r="AA4465" s="81" t="str">
        <f>IFERROR(HLOOKUP(J4465,データについて!$J$4:$AH$19,16,FALSE),"")</f>
        <v/>
      </c>
      <c r="AB4465" s="81" t="str">
        <f>IFERROR(HLOOKUP(K4465,データについて!$J$5:$AH$20,14,FALSE),"")</f>
        <v/>
      </c>
      <c r="AC4465" s="81" t="e">
        <f>IF(X4465=1,HLOOKUP(R4465,データについて!$J$12:$M$18,7,FALSE),"*")</f>
        <v>#N/A</v>
      </c>
      <c r="AD4465" s="81" t="e">
        <f>IF(X4465=2,HLOOKUP(R4465,データについて!$J$12:$M$18,7,FALSE),"*")</f>
        <v>#N/A</v>
      </c>
    </row>
    <row r="4466" spans="19:30">
      <c r="S4466" s="81" t="e">
        <f>HLOOKUP(L4466,データについて!$J$6:$M$18,13,FALSE)</f>
        <v>#N/A</v>
      </c>
      <c r="T4466" s="81" t="e">
        <f>HLOOKUP(M4466,データについて!$J$7:$M$18,12,FALSE)</f>
        <v>#N/A</v>
      </c>
      <c r="U4466" s="81" t="e">
        <f>HLOOKUP(N4466,データについて!$J$8:$M$18,11,FALSE)</f>
        <v>#N/A</v>
      </c>
      <c r="V4466" s="81" t="e">
        <f>HLOOKUP(O4466,データについて!$J$9:$M$18,10,FALSE)</f>
        <v>#N/A</v>
      </c>
      <c r="W4466" s="81" t="e">
        <f>HLOOKUP(P4466,データについて!$J$10:$M$18,9,FALSE)</f>
        <v>#N/A</v>
      </c>
      <c r="X4466" s="81" t="e">
        <f>HLOOKUP(Q4466,データについて!$J$11:$M$18,8,FALSE)</f>
        <v>#N/A</v>
      </c>
      <c r="Y4466" s="81" t="e">
        <f>HLOOKUP(R4466,データについて!$J$12:$M$18,7,FALSE)</f>
        <v>#N/A</v>
      </c>
      <c r="Z4466" s="81" t="e">
        <f>HLOOKUP(I4466,データについて!$J$3:$M$18,16,FALSE)</f>
        <v>#N/A</v>
      </c>
      <c r="AA4466" s="81" t="str">
        <f>IFERROR(HLOOKUP(J4466,データについて!$J$4:$AH$19,16,FALSE),"")</f>
        <v/>
      </c>
      <c r="AB4466" s="81" t="str">
        <f>IFERROR(HLOOKUP(K4466,データについて!$J$5:$AH$20,14,FALSE),"")</f>
        <v/>
      </c>
      <c r="AC4466" s="81" t="e">
        <f>IF(X4466=1,HLOOKUP(R4466,データについて!$J$12:$M$18,7,FALSE),"*")</f>
        <v>#N/A</v>
      </c>
      <c r="AD4466" s="81" t="e">
        <f>IF(X4466=2,HLOOKUP(R4466,データについて!$J$12:$M$18,7,FALSE),"*")</f>
        <v>#N/A</v>
      </c>
    </row>
    <row r="4467" spans="19:30">
      <c r="S4467" s="81" t="e">
        <f>HLOOKUP(L4467,データについて!$J$6:$M$18,13,FALSE)</f>
        <v>#N/A</v>
      </c>
      <c r="T4467" s="81" t="e">
        <f>HLOOKUP(M4467,データについて!$J$7:$M$18,12,FALSE)</f>
        <v>#N/A</v>
      </c>
      <c r="U4467" s="81" t="e">
        <f>HLOOKUP(N4467,データについて!$J$8:$M$18,11,FALSE)</f>
        <v>#N/A</v>
      </c>
      <c r="V4467" s="81" t="e">
        <f>HLOOKUP(O4467,データについて!$J$9:$M$18,10,FALSE)</f>
        <v>#N/A</v>
      </c>
      <c r="W4467" s="81" t="e">
        <f>HLOOKUP(P4467,データについて!$J$10:$M$18,9,FALSE)</f>
        <v>#N/A</v>
      </c>
      <c r="X4467" s="81" t="e">
        <f>HLOOKUP(Q4467,データについて!$J$11:$M$18,8,FALSE)</f>
        <v>#N/A</v>
      </c>
      <c r="Y4467" s="81" t="e">
        <f>HLOOKUP(R4467,データについて!$J$12:$M$18,7,FALSE)</f>
        <v>#N/A</v>
      </c>
      <c r="Z4467" s="81" t="e">
        <f>HLOOKUP(I4467,データについて!$J$3:$M$18,16,FALSE)</f>
        <v>#N/A</v>
      </c>
      <c r="AA4467" s="81" t="str">
        <f>IFERROR(HLOOKUP(J4467,データについて!$J$4:$AH$19,16,FALSE),"")</f>
        <v/>
      </c>
      <c r="AB4467" s="81" t="str">
        <f>IFERROR(HLOOKUP(K4467,データについて!$J$5:$AH$20,14,FALSE),"")</f>
        <v/>
      </c>
      <c r="AC4467" s="81" t="e">
        <f>IF(X4467=1,HLOOKUP(R4467,データについて!$J$12:$M$18,7,FALSE),"*")</f>
        <v>#N/A</v>
      </c>
      <c r="AD4467" s="81" t="e">
        <f>IF(X4467=2,HLOOKUP(R4467,データについて!$J$12:$M$18,7,FALSE),"*")</f>
        <v>#N/A</v>
      </c>
    </row>
    <row r="4468" spans="19:30">
      <c r="S4468" s="81" t="e">
        <f>HLOOKUP(L4468,データについて!$J$6:$M$18,13,FALSE)</f>
        <v>#N/A</v>
      </c>
      <c r="T4468" s="81" t="e">
        <f>HLOOKUP(M4468,データについて!$J$7:$M$18,12,FALSE)</f>
        <v>#N/A</v>
      </c>
      <c r="U4468" s="81" t="e">
        <f>HLOOKUP(N4468,データについて!$J$8:$M$18,11,FALSE)</f>
        <v>#N/A</v>
      </c>
      <c r="V4468" s="81" t="e">
        <f>HLOOKUP(O4468,データについて!$J$9:$M$18,10,FALSE)</f>
        <v>#N/A</v>
      </c>
      <c r="W4468" s="81" t="e">
        <f>HLOOKUP(P4468,データについて!$J$10:$M$18,9,FALSE)</f>
        <v>#N/A</v>
      </c>
      <c r="X4468" s="81" t="e">
        <f>HLOOKUP(Q4468,データについて!$J$11:$M$18,8,FALSE)</f>
        <v>#N/A</v>
      </c>
      <c r="Y4468" s="81" t="e">
        <f>HLOOKUP(R4468,データについて!$J$12:$M$18,7,FALSE)</f>
        <v>#N/A</v>
      </c>
      <c r="Z4468" s="81" t="e">
        <f>HLOOKUP(I4468,データについて!$J$3:$M$18,16,FALSE)</f>
        <v>#N/A</v>
      </c>
      <c r="AA4468" s="81" t="str">
        <f>IFERROR(HLOOKUP(J4468,データについて!$J$4:$AH$19,16,FALSE),"")</f>
        <v/>
      </c>
      <c r="AB4468" s="81" t="str">
        <f>IFERROR(HLOOKUP(K4468,データについて!$J$5:$AH$20,14,FALSE),"")</f>
        <v/>
      </c>
      <c r="AC4468" s="81" t="e">
        <f>IF(X4468=1,HLOOKUP(R4468,データについて!$J$12:$M$18,7,FALSE),"*")</f>
        <v>#N/A</v>
      </c>
      <c r="AD4468" s="81" t="e">
        <f>IF(X4468=2,HLOOKUP(R4468,データについて!$J$12:$M$18,7,FALSE),"*")</f>
        <v>#N/A</v>
      </c>
    </row>
    <row r="4469" spans="19:30">
      <c r="S4469" s="81" t="e">
        <f>HLOOKUP(L4469,データについて!$J$6:$M$18,13,FALSE)</f>
        <v>#N/A</v>
      </c>
      <c r="T4469" s="81" t="e">
        <f>HLOOKUP(M4469,データについて!$J$7:$M$18,12,FALSE)</f>
        <v>#N/A</v>
      </c>
      <c r="U4469" s="81" t="e">
        <f>HLOOKUP(N4469,データについて!$J$8:$M$18,11,FALSE)</f>
        <v>#N/A</v>
      </c>
      <c r="V4469" s="81" t="e">
        <f>HLOOKUP(O4469,データについて!$J$9:$M$18,10,FALSE)</f>
        <v>#N/A</v>
      </c>
      <c r="W4469" s="81" t="e">
        <f>HLOOKUP(P4469,データについて!$J$10:$M$18,9,FALSE)</f>
        <v>#N/A</v>
      </c>
      <c r="X4469" s="81" t="e">
        <f>HLOOKUP(Q4469,データについて!$J$11:$M$18,8,FALSE)</f>
        <v>#N/A</v>
      </c>
      <c r="Y4469" s="81" t="e">
        <f>HLOOKUP(R4469,データについて!$J$12:$M$18,7,FALSE)</f>
        <v>#N/A</v>
      </c>
      <c r="Z4469" s="81" t="e">
        <f>HLOOKUP(I4469,データについて!$J$3:$M$18,16,FALSE)</f>
        <v>#N/A</v>
      </c>
      <c r="AA4469" s="81" t="str">
        <f>IFERROR(HLOOKUP(J4469,データについて!$J$4:$AH$19,16,FALSE),"")</f>
        <v/>
      </c>
      <c r="AB4469" s="81" t="str">
        <f>IFERROR(HLOOKUP(K4469,データについて!$J$5:$AH$20,14,FALSE),"")</f>
        <v/>
      </c>
      <c r="AC4469" s="81" t="e">
        <f>IF(X4469=1,HLOOKUP(R4469,データについて!$J$12:$M$18,7,FALSE),"*")</f>
        <v>#N/A</v>
      </c>
      <c r="AD4469" s="81" t="e">
        <f>IF(X4469=2,HLOOKUP(R4469,データについて!$J$12:$M$18,7,FALSE),"*")</f>
        <v>#N/A</v>
      </c>
    </row>
    <row r="4470" spans="19:30">
      <c r="S4470" s="81" t="e">
        <f>HLOOKUP(L4470,データについて!$J$6:$M$18,13,FALSE)</f>
        <v>#N/A</v>
      </c>
      <c r="T4470" s="81" t="e">
        <f>HLOOKUP(M4470,データについて!$J$7:$M$18,12,FALSE)</f>
        <v>#N/A</v>
      </c>
      <c r="U4470" s="81" t="e">
        <f>HLOOKUP(N4470,データについて!$J$8:$M$18,11,FALSE)</f>
        <v>#N/A</v>
      </c>
      <c r="V4470" s="81" t="e">
        <f>HLOOKUP(O4470,データについて!$J$9:$M$18,10,FALSE)</f>
        <v>#N/A</v>
      </c>
      <c r="W4470" s="81" t="e">
        <f>HLOOKUP(P4470,データについて!$J$10:$M$18,9,FALSE)</f>
        <v>#N/A</v>
      </c>
      <c r="X4470" s="81" t="e">
        <f>HLOOKUP(Q4470,データについて!$J$11:$M$18,8,FALSE)</f>
        <v>#N/A</v>
      </c>
      <c r="Y4470" s="81" t="e">
        <f>HLOOKUP(R4470,データについて!$J$12:$M$18,7,FALSE)</f>
        <v>#N/A</v>
      </c>
      <c r="Z4470" s="81" t="e">
        <f>HLOOKUP(I4470,データについて!$J$3:$M$18,16,FALSE)</f>
        <v>#N/A</v>
      </c>
      <c r="AA4470" s="81" t="str">
        <f>IFERROR(HLOOKUP(J4470,データについて!$J$4:$AH$19,16,FALSE),"")</f>
        <v/>
      </c>
      <c r="AB4470" s="81" t="str">
        <f>IFERROR(HLOOKUP(K4470,データについて!$J$5:$AH$20,14,FALSE),"")</f>
        <v/>
      </c>
      <c r="AC4470" s="81" t="e">
        <f>IF(X4470=1,HLOOKUP(R4470,データについて!$J$12:$M$18,7,FALSE),"*")</f>
        <v>#N/A</v>
      </c>
      <c r="AD4470" s="81" t="e">
        <f>IF(X4470=2,HLOOKUP(R4470,データについて!$J$12:$M$18,7,FALSE),"*")</f>
        <v>#N/A</v>
      </c>
    </row>
    <row r="4471" spans="19:30">
      <c r="S4471" s="81" t="e">
        <f>HLOOKUP(L4471,データについて!$J$6:$M$18,13,FALSE)</f>
        <v>#N/A</v>
      </c>
      <c r="T4471" s="81" t="e">
        <f>HLOOKUP(M4471,データについて!$J$7:$M$18,12,FALSE)</f>
        <v>#N/A</v>
      </c>
      <c r="U4471" s="81" t="e">
        <f>HLOOKUP(N4471,データについて!$J$8:$M$18,11,FALSE)</f>
        <v>#N/A</v>
      </c>
      <c r="V4471" s="81" t="e">
        <f>HLOOKUP(O4471,データについて!$J$9:$M$18,10,FALSE)</f>
        <v>#N/A</v>
      </c>
      <c r="W4471" s="81" t="e">
        <f>HLOOKUP(P4471,データについて!$J$10:$M$18,9,FALSE)</f>
        <v>#N/A</v>
      </c>
      <c r="X4471" s="81" t="e">
        <f>HLOOKUP(Q4471,データについて!$J$11:$M$18,8,FALSE)</f>
        <v>#N/A</v>
      </c>
      <c r="Y4471" s="81" t="e">
        <f>HLOOKUP(R4471,データについて!$J$12:$M$18,7,FALSE)</f>
        <v>#N/A</v>
      </c>
      <c r="Z4471" s="81" t="e">
        <f>HLOOKUP(I4471,データについて!$J$3:$M$18,16,FALSE)</f>
        <v>#N/A</v>
      </c>
      <c r="AA4471" s="81" t="str">
        <f>IFERROR(HLOOKUP(J4471,データについて!$J$4:$AH$19,16,FALSE),"")</f>
        <v/>
      </c>
      <c r="AB4471" s="81" t="str">
        <f>IFERROR(HLOOKUP(K4471,データについて!$J$5:$AH$20,14,FALSE),"")</f>
        <v/>
      </c>
      <c r="AC4471" s="81" t="e">
        <f>IF(X4471=1,HLOOKUP(R4471,データについて!$J$12:$M$18,7,FALSE),"*")</f>
        <v>#N/A</v>
      </c>
      <c r="AD4471" s="81" t="e">
        <f>IF(X4471=2,HLOOKUP(R4471,データについて!$J$12:$M$18,7,FALSE),"*")</f>
        <v>#N/A</v>
      </c>
    </row>
    <row r="4472" spans="19:30">
      <c r="S4472" s="81" t="e">
        <f>HLOOKUP(L4472,データについて!$J$6:$M$18,13,FALSE)</f>
        <v>#N/A</v>
      </c>
      <c r="T4472" s="81" t="e">
        <f>HLOOKUP(M4472,データについて!$J$7:$M$18,12,FALSE)</f>
        <v>#N/A</v>
      </c>
      <c r="U4472" s="81" t="e">
        <f>HLOOKUP(N4472,データについて!$J$8:$M$18,11,FALSE)</f>
        <v>#N/A</v>
      </c>
      <c r="V4472" s="81" t="e">
        <f>HLOOKUP(O4472,データについて!$J$9:$M$18,10,FALSE)</f>
        <v>#N/A</v>
      </c>
      <c r="W4472" s="81" t="e">
        <f>HLOOKUP(P4472,データについて!$J$10:$M$18,9,FALSE)</f>
        <v>#N/A</v>
      </c>
      <c r="X4472" s="81" t="e">
        <f>HLOOKUP(Q4472,データについて!$J$11:$M$18,8,FALSE)</f>
        <v>#N/A</v>
      </c>
      <c r="Y4472" s="81" t="e">
        <f>HLOOKUP(R4472,データについて!$J$12:$M$18,7,FALSE)</f>
        <v>#N/A</v>
      </c>
      <c r="Z4472" s="81" t="e">
        <f>HLOOKUP(I4472,データについて!$J$3:$M$18,16,FALSE)</f>
        <v>#N/A</v>
      </c>
      <c r="AA4472" s="81" t="str">
        <f>IFERROR(HLOOKUP(J4472,データについて!$J$4:$AH$19,16,FALSE),"")</f>
        <v/>
      </c>
      <c r="AB4472" s="81" t="str">
        <f>IFERROR(HLOOKUP(K4472,データについて!$J$5:$AH$20,14,FALSE),"")</f>
        <v/>
      </c>
      <c r="AC4472" s="81" t="e">
        <f>IF(X4472=1,HLOOKUP(R4472,データについて!$J$12:$M$18,7,FALSE),"*")</f>
        <v>#N/A</v>
      </c>
      <c r="AD4472" s="81" t="e">
        <f>IF(X4472=2,HLOOKUP(R4472,データについて!$J$12:$M$18,7,FALSE),"*")</f>
        <v>#N/A</v>
      </c>
    </row>
    <row r="4473" spans="19:30">
      <c r="S4473" s="81" t="e">
        <f>HLOOKUP(L4473,データについて!$J$6:$M$18,13,FALSE)</f>
        <v>#N/A</v>
      </c>
      <c r="T4473" s="81" t="e">
        <f>HLOOKUP(M4473,データについて!$J$7:$M$18,12,FALSE)</f>
        <v>#N/A</v>
      </c>
      <c r="U4473" s="81" t="e">
        <f>HLOOKUP(N4473,データについて!$J$8:$M$18,11,FALSE)</f>
        <v>#N/A</v>
      </c>
      <c r="V4473" s="81" t="e">
        <f>HLOOKUP(O4473,データについて!$J$9:$M$18,10,FALSE)</f>
        <v>#N/A</v>
      </c>
      <c r="W4473" s="81" t="e">
        <f>HLOOKUP(P4473,データについて!$J$10:$M$18,9,FALSE)</f>
        <v>#N/A</v>
      </c>
      <c r="X4473" s="81" t="e">
        <f>HLOOKUP(Q4473,データについて!$J$11:$M$18,8,FALSE)</f>
        <v>#N/A</v>
      </c>
      <c r="Y4473" s="81" t="e">
        <f>HLOOKUP(R4473,データについて!$J$12:$M$18,7,FALSE)</f>
        <v>#N/A</v>
      </c>
      <c r="Z4473" s="81" t="e">
        <f>HLOOKUP(I4473,データについて!$J$3:$M$18,16,FALSE)</f>
        <v>#N/A</v>
      </c>
      <c r="AA4473" s="81" t="str">
        <f>IFERROR(HLOOKUP(J4473,データについて!$J$4:$AH$19,16,FALSE),"")</f>
        <v/>
      </c>
      <c r="AB4473" s="81" t="str">
        <f>IFERROR(HLOOKUP(K4473,データについて!$J$5:$AH$20,14,FALSE),"")</f>
        <v/>
      </c>
      <c r="AC4473" s="81" t="e">
        <f>IF(X4473=1,HLOOKUP(R4473,データについて!$J$12:$M$18,7,FALSE),"*")</f>
        <v>#N/A</v>
      </c>
      <c r="AD4473" s="81" t="e">
        <f>IF(X4473=2,HLOOKUP(R4473,データについて!$J$12:$M$18,7,FALSE),"*")</f>
        <v>#N/A</v>
      </c>
    </row>
    <row r="4474" spans="19:30">
      <c r="S4474" s="81" t="e">
        <f>HLOOKUP(L4474,データについて!$J$6:$M$18,13,FALSE)</f>
        <v>#N/A</v>
      </c>
      <c r="T4474" s="81" t="e">
        <f>HLOOKUP(M4474,データについて!$J$7:$M$18,12,FALSE)</f>
        <v>#N/A</v>
      </c>
      <c r="U4474" s="81" t="e">
        <f>HLOOKUP(N4474,データについて!$J$8:$M$18,11,FALSE)</f>
        <v>#N/A</v>
      </c>
      <c r="V4474" s="81" t="e">
        <f>HLOOKUP(O4474,データについて!$J$9:$M$18,10,FALSE)</f>
        <v>#N/A</v>
      </c>
      <c r="W4474" s="81" t="e">
        <f>HLOOKUP(P4474,データについて!$J$10:$M$18,9,FALSE)</f>
        <v>#N/A</v>
      </c>
      <c r="X4474" s="81" t="e">
        <f>HLOOKUP(Q4474,データについて!$J$11:$M$18,8,FALSE)</f>
        <v>#N/A</v>
      </c>
      <c r="Y4474" s="81" t="e">
        <f>HLOOKUP(R4474,データについて!$J$12:$M$18,7,FALSE)</f>
        <v>#N/A</v>
      </c>
      <c r="Z4474" s="81" t="e">
        <f>HLOOKUP(I4474,データについて!$J$3:$M$18,16,FALSE)</f>
        <v>#N/A</v>
      </c>
      <c r="AA4474" s="81" t="str">
        <f>IFERROR(HLOOKUP(J4474,データについて!$J$4:$AH$19,16,FALSE),"")</f>
        <v/>
      </c>
      <c r="AB4474" s="81" t="str">
        <f>IFERROR(HLOOKUP(K4474,データについて!$J$5:$AH$20,14,FALSE),"")</f>
        <v/>
      </c>
      <c r="AC4474" s="81" t="e">
        <f>IF(X4474=1,HLOOKUP(R4474,データについて!$J$12:$M$18,7,FALSE),"*")</f>
        <v>#N/A</v>
      </c>
      <c r="AD4474" s="81" t="e">
        <f>IF(X4474=2,HLOOKUP(R4474,データについて!$J$12:$M$18,7,FALSE),"*")</f>
        <v>#N/A</v>
      </c>
    </row>
    <row r="4475" spans="19:30">
      <c r="S4475" s="81" t="e">
        <f>HLOOKUP(L4475,データについて!$J$6:$M$18,13,FALSE)</f>
        <v>#N/A</v>
      </c>
      <c r="T4475" s="81" t="e">
        <f>HLOOKUP(M4475,データについて!$J$7:$M$18,12,FALSE)</f>
        <v>#N/A</v>
      </c>
      <c r="U4475" s="81" t="e">
        <f>HLOOKUP(N4475,データについて!$J$8:$M$18,11,FALSE)</f>
        <v>#N/A</v>
      </c>
      <c r="V4475" s="81" t="e">
        <f>HLOOKUP(O4475,データについて!$J$9:$M$18,10,FALSE)</f>
        <v>#N/A</v>
      </c>
      <c r="W4475" s="81" t="e">
        <f>HLOOKUP(P4475,データについて!$J$10:$M$18,9,FALSE)</f>
        <v>#N/A</v>
      </c>
      <c r="X4475" s="81" t="e">
        <f>HLOOKUP(Q4475,データについて!$J$11:$M$18,8,FALSE)</f>
        <v>#N/A</v>
      </c>
      <c r="Y4475" s="81" t="e">
        <f>HLOOKUP(R4475,データについて!$J$12:$M$18,7,FALSE)</f>
        <v>#N/A</v>
      </c>
      <c r="Z4475" s="81" t="e">
        <f>HLOOKUP(I4475,データについて!$J$3:$M$18,16,FALSE)</f>
        <v>#N/A</v>
      </c>
      <c r="AA4475" s="81" t="str">
        <f>IFERROR(HLOOKUP(J4475,データについて!$J$4:$AH$19,16,FALSE),"")</f>
        <v/>
      </c>
      <c r="AB4475" s="81" t="str">
        <f>IFERROR(HLOOKUP(K4475,データについて!$J$5:$AH$20,14,FALSE),"")</f>
        <v/>
      </c>
      <c r="AC4475" s="81" t="e">
        <f>IF(X4475=1,HLOOKUP(R4475,データについて!$J$12:$M$18,7,FALSE),"*")</f>
        <v>#N/A</v>
      </c>
      <c r="AD4475" s="81" t="e">
        <f>IF(X4475=2,HLOOKUP(R4475,データについて!$J$12:$M$18,7,FALSE),"*")</f>
        <v>#N/A</v>
      </c>
    </row>
    <row r="4476" spans="19:30">
      <c r="S4476" s="81" t="e">
        <f>HLOOKUP(L4476,データについて!$J$6:$M$18,13,FALSE)</f>
        <v>#N/A</v>
      </c>
      <c r="T4476" s="81" t="e">
        <f>HLOOKUP(M4476,データについて!$J$7:$M$18,12,FALSE)</f>
        <v>#N/A</v>
      </c>
      <c r="U4476" s="81" t="e">
        <f>HLOOKUP(N4476,データについて!$J$8:$M$18,11,FALSE)</f>
        <v>#N/A</v>
      </c>
      <c r="V4476" s="81" t="e">
        <f>HLOOKUP(O4476,データについて!$J$9:$M$18,10,FALSE)</f>
        <v>#N/A</v>
      </c>
      <c r="W4476" s="81" t="e">
        <f>HLOOKUP(P4476,データについて!$J$10:$M$18,9,FALSE)</f>
        <v>#N/A</v>
      </c>
      <c r="X4476" s="81" t="e">
        <f>HLOOKUP(Q4476,データについて!$J$11:$M$18,8,FALSE)</f>
        <v>#N/A</v>
      </c>
      <c r="Y4476" s="81" t="e">
        <f>HLOOKUP(R4476,データについて!$J$12:$M$18,7,FALSE)</f>
        <v>#N/A</v>
      </c>
      <c r="Z4476" s="81" t="e">
        <f>HLOOKUP(I4476,データについて!$J$3:$M$18,16,FALSE)</f>
        <v>#N/A</v>
      </c>
      <c r="AA4476" s="81" t="str">
        <f>IFERROR(HLOOKUP(J4476,データについて!$J$4:$AH$19,16,FALSE),"")</f>
        <v/>
      </c>
      <c r="AB4476" s="81" t="str">
        <f>IFERROR(HLOOKUP(K4476,データについて!$J$5:$AH$20,14,FALSE),"")</f>
        <v/>
      </c>
      <c r="AC4476" s="81" t="e">
        <f>IF(X4476=1,HLOOKUP(R4476,データについて!$J$12:$M$18,7,FALSE),"*")</f>
        <v>#N/A</v>
      </c>
      <c r="AD4476" s="81" t="e">
        <f>IF(X4476=2,HLOOKUP(R4476,データについて!$J$12:$M$18,7,FALSE),"*")</f>
        <v>#N/A</v>
      </c>
    </row>
    <row r="4477" spans="19:30">
      <c r="S4477" s="81" t="e">
        <f>HLOOKUP(L4477,データについて!$J$6:$M$18,13,FALSE)</f>
        <v>#N/A</v>
      </c>
      <c r="T4477" s="81" t="e">
        <f>HLOOKUP(M4477,データについて!$J$7:$M$18,12,FALSE)</f>
        <v>#N/A</v>
      </c>
      <c r="U4477" s="81" t="e">
        <f>HLOOKUP(N4477,データについて!$J$8:$M$18,11,FALSE)</f>
        <v>#N/A</v>
      </c>
      <c r="V4477" s="81" t="e">
        <f>HLOOKUP(O4477,データについて!$J$9:$M$18,10,FALSE)</f>
        <v>#N/A</v>
      </c>
      <c r="W4477" s="81" t="e">
        <f>HLOOKUP(P4477,データについて!$J$10:$M$18,9,FALSE)</f>
        <v>#N/A</v>
      </c>
      <c r="X4477" s="81" t="e">
        <f>HLOOKUP(Q4477,データについて!$J$11:$M$18,8,FALSE)</f>
        <v>#N/A</v>
      </c>
      <c r="Y4477" s="81" t="e">
        <f>HLOOKUP(R4477,データについて!$J$12:$M$18,7,FALSE)</f>
        <v>#N/A</v>
      </c>
      <c r="Z4477" s="81" t="e">
        <f>HLOOKUP(I4477,データについて!$J$3:$M$18,16,FALSE)</f>
        <v>#N/A</v>
      </c>
      <c r="AA4477" s="81" t="str">
        <f>IFERROR(HLOOKUP(J4477,データについて!$J$4:$AH$19,16,FALSE),"")</f>
        <v/>
      </c>
      <c r="AB4477" s="81" t="str">
        <f>IFERROR(HLOOKUP(K4477,データについて!$J$5:$AH$20,14,FALSE),"")</f>
        <v/>
      </c>
      <c r="AC4477" s="81" t="e">
        <f>IF(X4477=1,HLOOKUP(R4477,データについて!$J$12:$M$18,7,FALSE),"*")</f>
        <v>#N/A</v>
      </c>
      <c r="AD4477" s="81" t="e">
        <f>IF(X4477=2,HLOOKUP(R4477,データについて!$J$12:$M$18,7,FALSE),"*")</f>
        <v>#N/A</v>
      </c>
    </row>
    <row r="4478" spans="19:30">
      <c r="S4478" s="81" t="e">
        <f>HLOOKUP(L4478,データについて!$J$6:$M$18,13,FALSE)</f>
        <v>#N/A</v>
      </c>
      <c r="T4478" s="81" t="e">
        <f>HLOOKUP(M4478,データについて!$J$7:$M$18,12,FALSE)</f>
        <v>#N/A</v>
      </c>
      <c r="U4478" s="81" t="e">
        <f>HLOOKUP(N4478,データについて!$J$8:$M$18,11,FALSE)</f>
        <v>#N/A</v>
      </c>
      <c r="V4478" s="81" t="e">
        <f>HLOOKUP(O4478,データについて!$J$9:$M$18,10,FALSE)</f>
        <v>#N/A</v>
      </c>
      <c r="W4478" s="81" t="e">
        <f>HLOOKUP(P4478,データについて!$J$10:$M$18,9,FALSE)</f>
        <v>#N/A</v>
      </c>
      <c r="X4478" s="81" t="e">
        <f>HLOOKUP(Q4478,データについて!$J$11:$M$18,8,FALSE)</f>
        <v>#N/A</v>
      </c>
      <c r="Y4478" s="81" t="e">
        <f>HLOOKUP(R4478,データについて!$J$12:$M$18,7,FALSE)</f>
        <v>#N/A</v>
      </c>
      <c r="Z4478" s="81" t="e">
        <f>HLOOKUP(I4478,データについて!$J$3:$M$18,16,FALSE)</f>
        <v>#N/A</v>
      </c>
      <c r="AA4478" s="81" t="str">
        <f>IFERROR(HLOOKUP(J4478,データについて!$J$4:$AH$19,16,FALSE),"")</f>
        <v/>
      </c>
      <c r="AB4478" s="81" t="str">
        <f>IFERROR(HLOOKUP(K4478,データについて!$J$5:$AH$20,14,FALSE),"")</f>
        <v/>
      </c>
      <c r="AC4478" s="81" t="e">
        <f>IF(X4478=1,HLOOKUP(R4478,データについて!$J$12:$M$18,7,FALSE),"*")</f>
        <v>#N/A</v>
      </c>
      <c r="AD4478" s="81" t="e">
        <f>IF(X4478=2,HLOOKUP(R4478,データについて!$J$12:$M$18,7,FALSE),"*")</f>
        <v>#N/A</v>
      </c>
    </row>
    <row r="4479" spans="19:30">
      <c r="S4479" s="81" t="e">
        <f>HLOOKUP(L4479,データについて!$J$6:$M$18,13,FALSE)</f>
        <v>#N/A</v>
      </c>
      <c r="T4479" s="81" t="e">
        <f>HLOOKUP(M4479,データについて!$J$7:$M$18,12,FALSE)</f>
        <v>#N/A</v>
      </c>
      <c r="U4479" s="81" t="e">
        <f>HLOOKUP(N4479,データについて!$J$8:$M$18,11,FALSE)</f>
        <v>#N/A</v>
      </c>
      <c r="V4479" s="81" t="e">
        <f>HLOOKUP(O4479,データについて!$J$9:$M$18,10,FALSE)</f>
        <v>#N/A</v>
      </c>
      <c r="W4479" s="81" t="e">
        <f>HLOOKUP(P4479,データについて!$J$10:$M$18,9,FALSE)</f>
        <v>#N/A</v>
      </c>
      <c r="X4479" s="81" t="e">
        <f>HLOOKUP(Q4479,データについて!$J$11:$M$18,8,FALSE)</f>
        <v>#N/A</v>
      </c>
      <c r="Y4479" s="81" t="e">
        <f>HLOOKUP(R4479,データについて!$J$12:$M$18,7,FALSE)</f>
        <v>#N/A</v>
      </c>
      <c r="Z4479" s="81" t="e">
        <f>HLOOKUP(I4479,データについて!$J$3:$M$18,16,FALSE)</f>
        <v>#N/A</v>
      </c>
      <c r="AA4479" s="81" t="str">
        <f>IFERROR(HLOOKUP(J4479,データについて!$J$4:$AH$19,16,FALSE),"")</f>
        <v/>
      </c>
      <c r="AB4479" s="81" t="str">
        <f>IFERROR(HLOOKUP(K4479,データについて!$J$5:$AH$20,14,FALSE),"")</f>
        <v/>
      </c>
      <c r="AC4479" s="81" t="e">
        <f>IF(X4479=1,HLOOKUP(R4479,データについて!$J$12:$M$18,7,FALSE),"*")</f>
        <v>#N/A</v>
      </c>
      <c r="AD4479" s="81" t="e">
        <f>IF(X4479=2,HLOOKUP(R4479,データについて!$J$12:$M$18,7,FALSE),"*")</f>
        <v>#N/A</v>
      </c>
    </row>
    <row r="4480" spans="19:30">
      <c r="S4480" s="81" t="e">
        <f>HLOOKUP(L4480,データについて!$J$6:$M$18,13,FALSE)</f>
        <v>#N/A</v>
      </c>
      <c r="T4480" s="81" t="e">
        <f>HLOOKUP(M4480,データについて!$J$7:$M$18,12,FALSE)</f>
        <v>#N/A</v>
      </c>
      <c r="U4480" s="81" t="e">
        <f>HLOOKUP(N4480,データについて!$J$8:$M$18,11,FALSE)</f>
        <v>#N/A</v>
      </c>
      <c r="V4480" s="81" t="e">
        <f>HLOOKUP(O4480,データについて!$J$9:$M$18,10,FALSE)</f>
        <v>#N/A</v>
      </c>
      <c r="W4480" s="81" t="e">
        <f>HLOOKUP(P4480,データについて!$J$10:$M$18,9,FALSE)</f>
        <v>#N/A</v>
      </c>
      <c r="X4480" s="81" t="e">
        <f>HLOOKUP(Q4480,データについて!$J$11:$M$18,8,FALSE)</f>
        <v>#N/A</v>
      </c>
      <c r="Y4480" s="81" t="e">
        <f>HLOOKUP(R4480,データについて!$J$12:$M$18,7,FALSE)</f>
        <v>#N/A</v>
      </c>
      <c r="Z4480" s="81" t="e">
        <f>HLOOKUP(I4480,データについて!$J$3:$M$18,16,FALSE)</f>
        <v>#N/A</v>
      </c>
      <c r="AA4480" s="81" t="str">
        <f>IFERROR(HLOOKUP(J4480,データについて!$J$4:$AH$19,16,FALSE),"")</f>
        <v/>
      </c>
      <c r="AB4480" s="81" t="str">
        <f>IFERROR(HLOOKUP(K4480,データについて!$J$5:$AH$20,14,FALSE),"")</f>
        <v/>
      </c>
      <c r="AC4480" s="81" t="e">
        <f>IF(X4480=1,HLOOKUP(R4480,データについて!$J$12:$M$18,7,FALSE),"*")</f>
        <v>#N/A</v>
      </c>
      <c r="AD4480" s="81" t="e">
        <f>IF(X4480=2,HLOOKUP(R4480,データについて!$J$12:$M$18,7,FALSE),"*")</f>
        <v>#N/A</v>
      </c>
    </row>
    <row r="4481" spans="19:30">
      <c r="S4481" s="81" t="e">
        <f>HLOOKUP(L4481,データについて!$J$6:$M$18,13,FALSE)</f>
        <v>#N/A</v>
      </c>
      <c r="T4481" s="81" t="e">
        <f>HLOOKUP(M4481,データについて!$J$7:$M$18,12,FALSE)</f>
        <v>#N/A</v>
      </c>
      <c r="U4481" s="81" t="e">
        <f>HLOOKUP(N4481,データについて!$J$8:$M$18,11,FALSE)</f>
        <v>#N/A</v>
      </c>
      <c r="V4481" s="81" t="e">
        <f>HLOOKUP(O4481,データについて!$J$9:$M$18,10,FALSE)</f>
        <v>#N/A</v>
      </c>
      <c r="W4481" s="81" t="e">
        <f>HLOOKUP(P4481,データについて!$J$10:$M$18,9,FALSE)</f>
        <v>#N/A</v>
      </c>
      <c r="X4481" s="81" t="e">
        <f>HLOOKUP(Q4481,データについて!$J$11:$M$18,8,FALSE)</f>
        <v>#N/A</v>
      </c>
      <c r="Y4481" s="81" t="e">
        <f>HLOOKUP(R4481,データについて!$J$12:$M$18,7,FALSE)</f>
        <v>#N/A</v>
      </c>
      <c r="Z4481" s="81" t="e">
        <f>HLOOKUP(I4481,データについて!$J$3:$M$18,16,FALSE)</f>
        <v>#N/A</v>
      </c>
      <c r="AA4481" s="81" t="str">
        <f>IFERROR(HLOOKUP(J4481,データについて!$J$4:$AH$19,16,FALSE),"")</f>
        <v/>
      </c>
      <c r="AB4481" s="81" t="str">
        <f>IFERROR(HLOOKUP(K4481,データについて!$J$5:$AH$20,14,FALSE),"")</f>
        <v/>
      </c>
      <c r="AC4481" s="81" t="e">
        <f>IF(X4481=1,HLOOKUP(R4481,データについて!$J$12:$M$18,7,FALSE),"*")</f>
        <v>#N/A</v>
      </c>
      <c r="AD4481" s="81" t="e">
        <f>IF(X4481=2,HLOOKUP(R4481,データについて!$J$12:$M$18,7,FALSE),"*")</f>
        <v>#N/A</v>
      </c>
    </row>
    <row r="4482" spans="19:30">
      <c r="S4482" s="81" t="e">
        <f>HLOOKUP(L4482,データについて!$J$6:$M$18,13,FALSE)</f>
        <v>#N/A</v>
      </c>
      <c r="T4482" s="81" t="e">
        <f>HLOOKUP(M4482,データについて!$J$7:$M$18,12,FALSE)</f>
        <v>#N/A</v>
      </c>
      <c r="U4482" s="81" t="e">
        <f>HLOOKUP(N4482,データについて!$J$8:$M$18,11,FALSE)</f>
        <v>#N/A</v>
      </c>
      <c r="V4482" s="81" t="e">
        <f>HLOOKUP(O4482,データについて!$J$9:$M$18,10,FALSE)</f>
        <v>#N/A</v>
      </c>
      <c r="W4482" s="81" t="e">
        <f>HLOOKUP(P4482,データについて!$J$10:$M$18,9,FALSE)</f>
        <v>#N/A</v>
      </c>
      <c r="X4482" s="81" t="e">
        <f>HLOOKUP(Q4482,データについて!$J$11:$M$18,8,FALSE)</f>
        <v>#N/A</v>
      </c>
      <c r="Y4482" s="81" t="e">
        <f>HLOOKUP(R4482,データについて!$J$12:$M$18,7,FALSE)</f>
        <v>#N/A</v>
      </c>
      <c r="Z4482" s="81" t="e">
        <f>HLOOKUP(I4482,データについて!$J$3:$M$18,16,FALSE)</f>
        <v>#N/A</v>
      </c>
      <c r="AA4482" s="81" t="str">
        <f>IFERROR(HLOOKUP(J4482,データについて!$J$4:$AH$19,16,FALSE),"")</f>
        <v/>
      </c>
      <c r="AB4482" s="81" t="str">
        <f>IFERROR(HLOOKUP(K4482,データについて!$J$5:$AH$20,14,FALSE),"")</f>
        <v/>
      </c>
      <c r="AC4482" s="81" t="e">
        <f>IF(X4482=1,HLOOKUP(R4482,データについて!$J$12:$M$18,7,FALSE),"*")</f>
        <v>#N/A</v>
      </c>
      <c r="AD4482" s="81" t="e">
        <f>IF(X4482=2,HLOOKUP(R4482,データについて!$J$12:$M$18,7,FALSE),"*")</f>
        <v>#N/A</v>
      </c>
    </row>
    <row r="4483" spans="19:30">
      <c r="S4483" s="81" t="e">
        <f>HLOOKUP(L4483,データについて!$J$6:$M$18,13,FALSE)</f>
        <v>#N/A</v>
      </c>
      <c r="T4483" s="81" t="e">
        <f>HLOOKUP(M4483,データについて!$J$7:$M$18,12,FALSE)</f>
        <v>#N/A</v>
      </c>
      <c r="U4483" s="81" t="e">
        <f>HLOOKUP(N4483,データについて!$J$8:$M$18,11,FALSE)</f>
        <v>#N/A</v>
      </c>
      <c r="V4483" s="81" t="e">
        <f>HLOOKUP(O4483,データについて!$J$9:$M$18,10,FALSE)</f>
        <v>#N/A</v>
      </c>
      <c r="W4483" s="81" t="e">
        <f>HLOOKUP(P4483,データについて!$J$10:$M$18,9,FALSE)</f>
        <v>#N/A</v>
      </c>
      <c r="X4483" s="81" t="e">
        <f>HLOOKUP(Q4483,データについて!$J$11:$M$18,8,FALSE)</f>
        <v>#N/A</v>
      </c>
      <c r="Y4483" s="81" t="e">
        <f>HLOOKUP(R4483,データについて!$J$12:$M$18,7,FALSE)</f>
        <v>#N/A</v>
      </c>
      <c r="Z4483" s="81" t="e">
        <f>HLOOKUP(I4483,データについて!$J$3:$M$18,16,FALSE)</f>
        <v>#N/A</v>
      </c>
      <c r="AA4483" s="81" t="str">
        <f>IFERROR(HLOOKUP(J4483,データについて!$J$4:$AH$19,16,FALSE),"")</f>
        <v/>
      </c>
      <c r="AB4483" s="81" t="str">
        <f>IFERROR(HLOOKUP(K4483,データについて!$J$5:$AH$20,14,FALSE),"")</f>
        <v/>
      </c>
      <c r="AC4483" s="81" t="e">
        <f>IF(X4483=1,HLOOKUP(R4483,データについて!$J$12:$M$18,7,FALSE),"*")</f>
        <v>#N/A</v>
      </c>
      <c r="AD4483" s="81" t="e">
        <f>IF(X4483=2,HLOOKUP(R4483,データについて!$J$12:$M$18,7,FALSE),"*")</f>
        <v>#N/A</v>
      </c>
    </row>
    <row r="4484" spans="19:30">
      <c r="S4484" s="81" t="e">
        <f>HLOOKUP(L4484,データについて!$J$6:$M$18,13,FALSE)</f>
        <v>#N/A</v>
      </c>
      <c r="T4484" s="81" t="e">
        <f>HLOOKUP(M4484,データについて!$J$7:$M$18,12,FALSE)</f>
        <v>#N/A</v>
      </c>
      <c r="U4484" s="81" t="e">
        <f>HLOOKUP(N4484,データについて!$J$8:$M$18,11,FALSE)</f>
        <v>#N/A</v>
      </c>
      <c r="V4484" s="81" t="e">
        <f>HLOOKUP(O4484,データについて!$J$9:$M$18,10,FALSE)</f>
        <v>#N/A</v>
      </c>
      <c r="W4484" s="81" t="e">
        <f>HLOOKUP(P4484,データについて!$J$10:$M$18,9,FALSE)</f>
        <v>#N/A</v>
      </c>
      <c r="X4484" s="81" t="e">
        <f>HLOOKUP(Q4484,データについて!$J$11:$M$18,8,FALSE)</f>
        <v>#N/A</v>
      </c>
      <c r="Y4484" s="81" t="e">
        <f>HLOOKUP(R4484,データについて!$J$12:$M$18,7,FALSE)</f>
        <v>#N/A</v>
      </c>
      <c r="Z4484" s="81" t="e">
        <f>HLOOKUP(I4484,データについて!$J$3:$M$18,16,FALSE)</f>
        <v>#N/A</v>
      </c>
      <c r="AA4484" s="81" t="str">
        <f>IFERROR(HLOOKUP(J4484,データについて!$J$4:$AH$19,16,FALSE),"")</f>
        <v/>
      </c>
      <c r="AB4484" s="81" t="str">
        <f>IFERROR(HLOOKUP(K4484,データについて!$J$5:$AH$20,14,FALSE),"")</f>
        <v/>
      </c>
      <c r="AC4484" s="81" t="e">
        <f>IF(X4484=1,HLOOKUP(R4484,データについて!$J$12:$M$18,7,FALSE),"*")</f>
        <v>#N/A</v>
      </c>
      <c r="AD4484" s="81" t="e">
        <f>IF(X4484=2,HLOOKUP(R4484,データについて!$J$12:$M$18,7,FALSE),"*")</f>
        <v>#N/A</v>
      </c>
    </row>
    <row r="4485" spans="19:30">
      <c r="S4485" s="81" t="e">
        <f>HLOOKUP(L4485,データについて!$J$6:$M$18,13,FALSE)</f>
        <v>#N/A</v>
      </c>
      <c r="T4485" s="81" t="e">
        <f>HLOOKUP(M4485,データについて!$J$7:$M$18,12,FALSE)</f>
        <v>#N/A</v>
      </c>
      <c r="U4485" s="81" t="e">
        <f>HLOOKUP(N4485,データについて!$J$8:$M$18,11,FALSE)</f>
        <v>#N/A</v>
      </c>
      <c r="V4485" s="81" t="e">
        <f>HLOOKUP(O4485,データについて!$J$9:$M$18,10,FALSE)</f>
        <v>#N/A</v>
      </c>
      <c r="W4485" s="81" t="e">
        <f>HLOOKUP(P4485,データについて!$J$10:$M$18,9,FALSE)</f>
        <v>#N/A</v>
      </c>
      <c r="X4485" s="81" t="e">
        <f>HLOOKUP(Q4485,データについて!$J$11:$M$18,8,FALSE)</f>
        <v>#N/A</v>
      </c>
      <c r="Y4485" s="81" t="e">
        <f>HLOOKUP(R4485,データについて!$J$12:$M$18,7,FALSE)</f>
        <v>#N/A</v>
      </c>
      <c r="Z4485" s="81" t="e">
        <f>HLOOKUP(I4485,データについて!$J$3:$M$18,16,FALSE)</f>
        <v>#N/A</v>
      </c>
      <c r="AA4485" s="81" t="str">
        <f>IFERROR(HLOOKUP(J4485,データについて!$J$4:$AH$19,16,FALSE),"")</f>
        <v/>
      </c>
      <c r="AB4485" s="81" t="str">
        <f>IFERROR(HLOOKUP(K4485,データについて!$J$5:$AH$20,14,FALSE),"")</f>
        <v/>
      </c>
      <c r="AC4485" s="81" t="e">
        <f>IF(X4485=1,HLOOKUP(R4485,データについて!$J$12:$M$18,7,FALSE),"*")</f>
        <v>#N/A</v>
      </c>
      <c r="AD4485" s="81" t="e">
        <f>IF(X4485=2,HLOOKUP(R4485,データについて!$J$12:$M$18,7,FALSE),"*")</f>
        <v>#N/A</v>
      </c>
    </row>
    <row r="4486" spans="19:30">
      <c r="S4486" s="81" t="e">
        <f>HLOOKUP(L4486,データについて!$J$6:$M$18,13,FALSE)</f>
        <v>#N/A</v>
      </c>
      <c r="T4486" s="81" t="e">
        <f>HLOOKUP(M4486,データについて!$J$7:$M$18,12,FALSE)</f>
        <v>#N/A</v>
      </c>
      <c r="U4486" s="81" t="e">
        <f>HLOOKUP(N4486,データについて!$J$8:$M$18,11,FALSE)</f>
        <v>#N/A</v>
      </c>
      <c r="V4486" s="81" t="e">
        <f>HLOOKUP(O4486,データについて!$J$9:$M$18,10,FALSE)</f>
        <v>#N/A</v>
      </c>
      <c r="W4486" s="81" t="e">
        <f>HLOOKUP(P4486,データについて!$J$10:$M$18,9,FALSE)</f>
        <v>#N/A</v>
      </c>
      <c r="X4486" s="81" t="e">
        <f>HLOOKUP(Q4486,データについて!$J$11:$M$18,8,FALSE)</f>
        <v>#N/A</v>
      </c>
      <c r="Y4486" s="81" t="e">
        <f>HLOOKUP(R4486,データについて!$J$12:$M$18,7,FALSE)</f>
        <v>#N/A</v>
      </c>
      <c r="Z4486" s="81" t="e">
        <f>HLOOKUP(I4486,データについて!$J$3:$M$18,16,FALSE)</f>
        <v>#N/A</v>
      </c>
      <c r="AA4486" s="81" t="str">
        <f>IFERROR(HLOOKUP(J4486,データについて!$J$4:$AH$19,16,FALSE),"")</f>
        <v/>
      </c>
      <c r="AB4486" s="81" t="str">
        <f>IFERROR(HLOOKUP(K4486,データについて!$J$5:$AH$20,14,FALSE),"")</f>
        <v/>
      </c>
      <c r="AC4486" s="81" t="e">
        <f>IF(X4486=1,HLOOKUP(R4486,データについて!$J$12:$M$18,7,FALSE),"*")</f>
        <v>#N/A</v>
      </c>
      <c r="AD4486" s="81" t="e">
        <f>IF(X4486=2,HLOOKUP(R4486,データについて!$J$12:$M$18,7,FALSE),"*")</f>
        <v>#N/A</v>
      </c>
    </row>
    <row r="4487" spans="19:30">
      <c r="S4487" s="81" t="e">
        <f>HLOOKUP(L4487,データについて!$J$6:$M$18,13,FALSE)</f>
        <v>#N/A</v>
      </c>
      <c r="T4487" s="81" t="e">
        <f>HLOOKUP(M4487,データについて!$J$7:$M$18,12,FALSE)</f>
        <v>#N/A</v>
      </c>
      <c r="U4487" s="81" t="e">
        <f>HLOOKUP(N4487,データについて!$J$8:$M$18,11,FALSE)</f>
        <v>#N/A</v>
      </c>
      <c r="V4487" s="81" t="e">
        <f>HLOOKUP(O4487,データについて!$J$9:$M$18,10,FALSE)</f>
        <v>#N/A</v>
      </c>
      <c r="W4487" s="81" t="e">
        <f>HLOOKUP(P4487,データについて!$J$10:$M$18,9,FALSE)</f>
        <v>#N/A</v>
      </c>
      <c r="X4487" s="81" t="e">
        <f>HLOOKUP(Q4487,データについて!$J$11:$M$18,8,FALSE)</f>
        <v>#N/A</v>
      </c>
      <c r="Y4487" s="81" t="e">
        <f>HLOOKUP(R4487,データについて!$J$12:$M$18,7,FALSE)</f>
        <v>#N/A</v>
      </c>
      <c r="Z4487" s="81" t="e">
        <f>HLOOKUP(I4487,データについて!$J$3:$M$18,16,FALSE)</f>
        <v>#N/A</v>
      </c>
      <c r="AA4487" s="81" t="str">
        <f>IFERROR(HLOOKUP(J4487,データについて!$J$4:$AH$19,16,FALSE),"")</f>
        <v/>
      </c>
      <c r="AB4487" s="81" t="str">
        <f>IFERROR(HLOOKUP(K4487,データについて!$J$5:$AH$20,14,FALSE),"")</f>
        <v/>
      </c>
      <c r="AC4487" s="81" t="e">
        <f>IF(X4487=1,HLOOKUP(R4487,データについて!$J$12:$M$18,7,FALSE),"*")</f>
        <v>#N/A</v>
      </c>
      <c r="AD4487" s="81" t="e">
        <f>IF(X4487=2,HLOOKUP(R4487,データについて!$J$12:$M$18,7,FALSE),"*")</f>
        <v>#N/A</v>
      </c>
    </row>
    <row r="4488" spans="19:30">
      <c r="S4488" s="81" t="e">
        <f>HLOOKUP(L4488,データについて!$J$6:$M$18,13,FALSE)</f>
        <v>#N/A</v>
      </c>
      <c r="T4488" s="81" t="e">
        <f>HLOOKUP(M4488,データについて!$J$7:$M$18,12,FALSE)</f>
        <v>#N/A</v>
      </c>
      <c r="U4488" s="81" t="e">
        <f>HLOOKUP(N4488,データについて!$J$8:$M$18,11,FALSE)</f>
        <v>#N/A</v>
      </c>
      <c r="V4488" s="81" t="e">
        <f>HLOOKUP(O4488,データについて!$J$9:$M$18,10,FALSE)</f>
        <v>#N/A</v>
      </c>
      <c r="W4488" s="81" t="e">
        <f>HLOOKUP(P4488,データについて!$J$10:$M$18,9,FALSE)</f>
        <v>#N/A</v>
      </c>
      <c r="X4488" s="81" t="e">
        <f>HLOOKUP(Q4488,データについて!$J$11:$M$18,8,FALSE)</f>
        <v>#N/A</v>
      </c>
      <c r="Y4488" s="81" t="e">
        <f>HLOOKUP(R4488,データについて!$J$12:$M$18,7,FALSE)</f>
        <v>#N/A</v>
      </c>
      <c r="Z4488" s="81" t="e">
        <f>HLOOKUP(I4488,データについて!$J$3:$M$18,16,FALSE)</f>
        <v>#N/A</v>
      </c>
      <c r="AA4488" s="81" t="str">
        <f>IFERROR(HLOOKUP(J4488,データについて!$J$4:$AH$19,16,FALSE),"")</f>
        <v/>
      </c>
      <c r="AB4488" s="81" t="str">
        <f>IFERROR(HLOOKUP(K4488,データについて!$J$5:$AH$20,14,FALSE),"")</f>
        <v/>
      </c>
      <c r="AC4488" s="81" t="e">
        <f>IF(X4488=1,HLOOKUP(R4488,データについて!$J$12:$M$18,7,FALSE),"*")</f>
        <v>#N/A</v>
      </c>
      <c r="AD4488" s="81" t="e">
        <f>IF(X4488=2,HLOOKUP(R4488,データについて!$J$12:$M$18,7,FALSE),"*")</f>
        <v>#N/A</v>
      </c>
    </row>
    <row r="4489" spans="19:30">
      <c r="S4489" s="81" t="e">
        <f>HLOOKUP(L4489,データについて!$J$6:$M$18,13,FALSE)</f>
        <v>#N/A</v>
      </c>
      <c r="T4489" s="81" t="e">
        <f>HLOOKUP(M4489,データについて!$J$7:$M$18,12,FALSE)</f>
        <v>#N/A</v>
      </c>
      <c r="U4489" s="81" t="e">
        <f>HLOOKUP(N4489,データについて!$J$8:$M$18,11,FALSE)</f>
        <v>#N/A</v>
      </c>
      <c r="V4489" s="81" t="e">
        <f>HLOOKUP(O4489,データについて!$J$9:$M$18,10,FALSE)</f>
        <v>#N/A</v>
      </c>
      <c r="W4489" s="81" t="e">
        <f>HLOOKUP(P4489,データについて!$J$10:$M$18,9,FALSE)</f>
        <v>#N/A</v>
      </c>
      <c r="X4489" s="81" t="e">
        <f>HLOOKUP(Q4489,データについて!$J$11:$M$18,8,FALSE)</f>
        <v>#N/A</v>
      </c>
      <c r="Y4489" s="81" t="e">
        <f>HLOOKUP(R4489,データについて!$J$12:$M$18,7,FALSE)</f>
        <v>#N/A</v>
      </c>
      <c r="Z4489" s="81" t="e">
        <f>HLOOKUP(I4489,データについて!$J$3:$M$18,16,FALSE)</f>
        <v>#N/A</v>
      </c>
      <c r="AA4489" s="81" t="str">
        <f>IFERROR(HLOOKUP(J4489,データについて!$J$4:$AH$19,16,FALSE),"")</f>
        <v/>
      </c>
      <c r="AB4489" s="81" t="str">
        <f>IFERROR(HLOOKUP(K4489,データについて!$J$5:$AH$20,14,FALSE),"")</f>
        <v/>
      </c>
      <c r="AC4489" s="81" t="e">
        <f>IF(X4489=1,HLOOKUP(R4489,データについて!$J$12:$M$18,7,FALSE),"*")</f>
        <v>#N/A</v>
      </c>
      <c r="AD4489" s="81" t="e">
        <f>IF(X4489=2,HLOOKUP(R4489,データについて!$J$12:$M$18,7,FALSE),"*")</f>
        <v>#N/A</v>
      </c>
    </row>
    <row r="4490" spans="19:30">
      <c r="S4490" s="81" t="e">
        <f>HLOOKUP(L4490,データについて!$J$6:$M$18,13,FALSE)</f>
        <v>#N/A</v>
      </c>
      <c r="T4490" s="81" t="e">
        <f>HLOOKUP(M4490,データについて!$J$7:$M$18,12,FALSE)</f>
        <v>#N/A</v>
      </c>
      <c r="U4490" s="81" t="e">
        <f>HLOOKUP(N4490,データについて!$J$8:$M$18,11,FALSE)</f>
        <v>#N/A</v>
      </c>
      <c r="V4490" s="81" t="e">
        <f>HLOOKUP(O4490,データについて!$J$9:$M$18,10,FALSE)</f>
        <v>#N/A</v>
      </c>
      <c r="W4490" s="81" t="e">
        <f>HLOOKUP(P4490,データについて!$J$10:$M$18,9,FALSE)</f>
        <v>#N/A</v>
      </c>
      <c r="X4490" s="81" t="e">
        <f>HLOOKUP(Q4490,データについて!$J$11:$M$18,8,FALSE)</f>
        <v>#N/A</v>
      </c>
      <c r="Y4490" s="81" t="e">
        <f>HLOOKUP(R4490,データについて!$J$12:$M$18,7,FALSE)</f>
        <v>#N/A</v>
      </c>
      <c r="Z4490" s="81" t="e">
        <f>HLOOKUP(I4490,データについて!$J$3:$M$18,16,FALSE)</f>
        <v>#N/A</v>
      </c>
      <c r="AA4490" s="81" t="str">
        <f>IFERROR(HLOOKUP(J4490,データについて!$J$4:$AH$19,16,FALSE),"")</f>
        <v/>
      </c>
      <c r="AB4490" s="81" t="str">
        <f>IFERROR(HLOOKUP(K4490,データについて!$J$5:$AH$20,14,FALSE),"")</f>
        <v/>
      </c>
      <c r="AC4490" s="81" t="e">
        <f>IF(X4490=1,HLOOKUP(R4490,データについて!$J$12:$M$18,7,FALSE),"*")</f>
        <v>#N/A</v>
      </c>
      <c r="AD4490" s="81" t="e">
        <f>IF(X4490=2,HLOOKUP(R4490,データについて!$J$12:$M$18,7,FALSE),"*")</f>
        <v>#N/A</v>
      </c>
    </row>
    <row r="4491" spans="19:30">
      <c r="S4491" s="81" t="e">
        <f>HLOOKUP(L4491,データについて!$J$6:$M$18,13,FALSE)</f>
        <v>#N/A</v>
      </c>
      <c r="T4491" s="81" t="e">
        <f>HLOOKUP(M4491,データについて!$J$7:$M$18,12,FALSE)</f>
        <v>#N/A</v>
      </c>
      <c r="U4491" s="81" t="e">
        <f>HLOOKUP(N4491,データについて!$J$8:$M$18,11,FALSE)</f>
        <v>#N/A</v>
      </c>
      <c r="V4491" s="81" t="e">
        <f>HLOOKUP(O4491,データについて!$J$9:$M$18,10,FALSE)</f>
        <v>#N/A</v>
      </c>
      <c r="W4491" s="81" t="e">
        <f>HLOOKUP(P4491,データについて!$J$10:$M$18,9,FALSE)</f>
        <v>#N/A</v>
      </c>
      <c r="X4491" s="81" t="e">
        <f>HLOOKUP(Q4491,データについて!$J$11:$M$18,8,FALSE)</f>
        <v>#N/A</v>
      </c>
      <c r="Y4491" s="81" t="e">
        <f>HLOOKUP(R4491,データについて!$J$12:$M$18,7,FALSE)</f>
        <v>#N/A</v>
      </c>
      <c r="Z4491" s="81" t="e">
        <f>HLOOKUP(I4491,データについて!$J$3:$M$18,16,FALSE)</f>
        <v>#N/A</v>
      </c>
      <c r="AA4491" s="81" t="str">
        <f>IFERROR(HLOOKUP(J4491,データについて!$J$4:$AH$19,16,FALSE),"")</f>
        <v/>
      </c>
      <c r="AB4491" s="81" t="str">
        <f>IFERROR(HLOOKUP(K4491,データについて!$J$5:$AH$20,14,FALSE),"")</f>
        <v/>
      </c>
      <c r="AC4491" s="81" t="e">
        <f>IF(X4491=1,HLOOKUP(R4491,データについて!$J$12:$M$18,7,FALSE),"*")</f>
        <v>#N/A</v>
      </c>
      <c r="AD4491" s="81" t="e">
        <f>IF(X4491=2,HLOOKUP(R4491,データについて!$J$12:$M$18,7,FALSE),"*")</f>
        <v>#N/A</v>
      </c>
    </row>
    <row r="4492" spans="19:30">
      <c r="S4492" s="81" t="e">
        <f>HLOOKUP(L4492,データについて!$J$6:$M$18,13,FALSE)</f>
        <v>#N/A</v>
      </c>
      <c r="T4492" s="81" t="e">
        <f>HLOOKUP(M4492,データについて!$J$7:$M$18,12,FALSE)</f>
        <v>#N/A</v>
      </c>
      <c r="U4492" s="81" t="e">
        <f>HLOOKUP(N4492,データについて!$J$8:$M$18,11,FALSE)</f>
        <v>#N/A</v>
      </c>
      <c r="V4492" s="81" t="e">
        <f>HLOOKUP(O4492,データについて!$J$9:$M$18,10,FALSE)</f>
        <v>#N/A</v>
      </c>
      <c r="W4492" s="81" t="e">
        <f>HLOOKUP(P4492,データについて!$J$10:$M$18,9,FALSE)</f>
        <v>#N/A</v>
      </c>
      <c r="X4492" s="81" t="e">
        <f>HLOOKUP(Q4492,データについて!$J$11:$M$18,8,FALSE)</f>
        <v>#N/A</v>
      </c>
      <c r="Y4492" s="81" t="e">
        <f>HLOOKUP(R4492,データについて!$J$12:$M$18,7,FALSE)</f>
        <v>#N/A</v>
      </c>
      <c r="Z4492" s="81" t="e">
        <f>HLOOKUP(I4492,データについて!$J$3:$M$18,16,FALSE)</f>
        <v>#N/A</v>
      </c>
      <c r="AA4492" s="81" t="str">
        <f>IFERROR(HLOOKUP(J4492,データについて!$J$4:$AH$19,16,FALSE),"")</f>
        <v/>
      </c>
      <c r="AB4492" s="81" t="str">
        <f>IFERROR(HLOOKUP(K4492,データについて!$J$5:$AH$20,14,FALSE),"")</f>
        <v/>
      </c>
      <c r="AC4492" s="81" t="e">
        <f>IF(X4492=1,HLOOKUP(R4492,データについて!$J$12:$M$18,7,FALSE),"*")</f>
        <v>#N/A</v>
      </c>
      <c r="AD4492" s="81" t="e">
        <f>IF(X4492=2,HLOOKUP(R4492,データについて!$J$12:$M$18,7,FALSE),"*")</f>
        <v>#N/A</v>
      </c>
    </row>
    <row r="4493" spans="19:30">
      <c r="S4493" s="81" t="e">
        <f>HLOOKUP(L4493,データについて!$J$6:$M$18,13,FALSE)</f>
        <v>#N/A</v>
      </c>
      <c r="T4493" s="81" t="e">
        <f>HLOOKUP(M4493,データについて!$J$7:$M$18,12,FALSE)</f>
        <v>#N/A</v>
      </c>
      <c r="U4493" s="81" t="e">
        <f>HLOOKUP(N4493,データについて!$J$8:$M$18,11,FALSE)</f>
        <v>#N/A</v>
      </c>
      <c r="V4493" s="81" t="e">
        <f>HLOOKUP(O4493,データについて!$J$9:$M$18,10,FALSE)</f>
        <v>#N/A</v>
      </c>
      <c r="W4493" s="81" t="e">
        <f>HLOOKUP(P4493,データについて!$J$10:$M$18,9,FALSE)</f>
        <v>#N/A</v>
      </c>
      <c r="X4493" s="81" t="e">
        <f>HLOOKUP(Q4493,データについて!$J$11:$M$18,8,FALSE)</f>
        <v>#N/A</v>
      </c>
      <c r="Y4493" s="81" t="e">
        <f>HLOOKUP(R4493,データについて!$J$12:$M$18,7,FALSE)</f>
        <v>#N/A</v>
      </c>
      <c r="Z4493" s="81" t="e">
        <f>HLOOKUP(I4493,データについて!$J$3:$M$18,16,FALSE)</f>
        <v>#N/A</v>
      </c>
      <c r="AA4493" s="81" t="str">
        <f>IFERROR(HLOOKUP(J4493,データについて!$J$4:$AH$19,16,FALSE),"")</f>
        <v/>
      </c>
      <c r="AB4493" s="81" t="str">
        <f>IFERROR(HLOOKUP(K4493,データについて!$J$5:$AH$20,14,FALSE),"")</f>
        <v/>
      </c>
      <c r="AC4493" s="81" t="e">
        <f>IF(X4493=1,HLOOKUP(R4493,データについて!$J$12:$M$18,7,FALSE),"*")</f>
        <v>#N/A</v>
      </c>
      <c r="AD4493" s="81" t="e">
        <f>IF(X4493=2,HLOOKUP(R4493,データについて!$J$12:$M$18,7,FALSE),"*")</f>
        <v>#N/A</v>
      </c>
    </row>
    <row r="4494" spans="19:30">
      <c r="S4494" s="81" t="e">
        <f>HLOOKUP(L4494,データについて!$J$6:$M$18,13,FALSE)</f>
        <v>#N/A</v>
      </c>
      <c r="T4494" s="81" t="e">
        <f>HLOOKUP(M4494,データについて!$J$7:$M$18,12,FALSE)</f>
        <v>#N/A</v>
      </c>
      <c r="U4494" s="81" t="e">
        <f>HLOOKUP(N4494,データについて!$J$8:$M$18,11,FALSE)</f>
        <v>#N/A</v>
      </c>
      <c r="V4494" s="81" t="e">
        <f>HLOOKUP(O4494,データについて!$J$9:$M$18,10,FALSE)</f>
        <v>#N/A</v>
      </c>
      <c r="W4494" s="81" t="e">
        <f>HLOOKUP(P4494,データについて!$J$10:$M$18,9,FALSE)</f>
        <v>#N/A</v>
      </c>
      <c r="X4494" s="81" t="e">
        <f>HLOOKUP(Q4494,データについて!$J$11:$M$18,8,FALSE)</f>
        <v>#N/A</v>
      </c>
      <c r="Y4494" s="81" t="e">
        <f>HLOOKUP(R4494,データについて!$J$12:$M$18,7,FALSE)</f>
        <v>#N/A</v>
      </c>
      <c r="Z4494" s="81" t="e">
        <f>HLOOKUP(I4494,データについて!$J$3:$M$18,16,FALSE)</f>
        <v>#N/A</v>
      </c>
      <c r="AA4494" s="81" t="str">
        <f>IFERROR(HLOOKUP(J4494,データについて!$J$4:$AH$19,16,FALSE),"")</f>
        <v/>
      </c>
      <c r="AB4494" s="81" t="str">
        <f>IFERROR(HLOOKUP(K4494,データについて!$J$5:$AH$20,14,FALSE),"")</f>
        <v/>
      </c>
      <c r="AC4494" s="81" t="e">
        <f>IF(X4494=1,HLOOKUP(R4494,データについて!$J$12:$M$18,7,FALSE),"*")</f>
        <v>#N/A</v>
      </c>
      <c r="AD4494" s="81" t="e">
        <f>IF(X4494=2,HLOOKUP(R4494,データについて!$J$12:$M$18,7,FALSE),"*")</f>
        <v>#N/A</v>
      </c>
    </row>
    <row r="4495" spans="19:30">
      <c r="S4495" s="81" t="e">
        <f>HLOOKUP(L4495,データについて!$J$6:$M$18,13,FALSE)</f>
        <v>#N/A</v>
      </c>
      <c r="T4495" s="81" t="e">
        <f>HLOOKUP(M4495,データについて!$J$7:$M$18,12,FALSE)</f>
        <v>#N/A</v>
      </c>
      <c r="U4495" s="81" t="e">
        <f>HLOOKUP(N4495,データについて!$J$8:$M$18,11,FALSE)</f>
        <v>#N/A</v>
      </c>
      <c r="V4495" s="81" t="e">
        <f>HLOOKUP(O4495,データについて!$J$9:$M$18,10,FALSE)</f>
        <v>#N/A</v>
      </c>
      <c r="W4495" s="81" t="e">
        <f>HLOOKUP(P4495,データについて!$J$10:$M$18,9,FALSE)</f>
        <v>#N/A</v>
      </c>
      <c r="X4495" s="81" t="e">
        <f>HLOOKUP(Q4495,データについて!$J$11:$M$18,8,FALSE)</f>
        <v>#N/A</v>
      </c>
      <c r="Y4495" s="81" t="e">
        <f>HLOOKUP(R4495,データについて!$J$12:$M$18,7,FALSE)</f>
        <v>#N/A</v>
      </c>
      <c r="Z4495" s="81" t="e">
        <f>HLOOKUP(I4495,データについて!$J$3:$M$18,16,FALSE)</f>
        <v>#N/A</v>
      </c>
      <c r="AA4495" s="81" t="str">
        <f>IFERROR(HLOOKUP(J4495,データについて!$J$4:$AH$19,16,FALSE),"")</f>
        <v/>
      </c>
      <c r="AB4495" s="81" t="str">
        <f>IFERROR(HLOOKUP(K4495,データについて!$J$5:$AH$20,14,FALSE),"")</f>
        <v/>
      </c>
      <c r="AC4495" s="81" t="e">
        <f>IF(X4495=1,HLOOKUP(R4495,データについて!$J$12:$M$18,7,FALSE),"*")</f>
        <v>#N/A</v>
      </c>
      <c r="AD4495" s="81" t="e">
        <f>IF(X4495=2,HLOOKUP(R4495,データについて!$J$12:$M$18,7,FALSE),"*")</f>
        <v>#N/A</v>
      </c>
    </row>
    <row r="4496" spans="19:30">
      <c r="S4496" s="81" t="e">
        <f>HLOOKUP(L4496,データについて!$J$6:$M$18,13,FALSE)</f>
        <v>#N/A</v>
      </c>
      <c r="T4496" s="81" t="e">
        <f>HLOOKUP(M4496,データについて!$J$7:$M$18,12,FALSE)</f>
        <v>#N/A</v>
      </c>
      <c r="U4496" s="81" t="e">
        <f>HLOOKUP(N4496,データについて!$J$8:$M$18,11,FALSE)</f>
        <v>#N/A</v>
      </c>
      <c r="V4496" s="81" t="e">
        <f>HLOOKUP(O4496,データについて!$J$9:$M$18,10,FALSE)</f>
        <v>#N/A</v>
      </c>
      <c r="W4496" s="81" t="e">
        <f>HLOOKUP(P4496,データについて!$J$10:$M$18,9,FALSE)</f>
        <v>#N/A</v>
      </c>
      <c r="X4496" s="81" t="e">
        <f>HLOOKUP(Q4496,データについて!$J$11:$M$18,8,FALSE)</f>
        <v>#N/A</v>
      </c>
      <c r="Y4496" s="81" t="e">
        <f>HLOOKUP(R4496,データについて!$J$12:$M$18,7,FALSE)</f>
        <v>#N/A</v>
      </c>
      <c r="Z4496" s="81" t="e">
        <f>HLOOKUP(I4496,データについて!$J$3:$M$18,16,FALSE)</f>
        <v>#N/A</v>
      </c>
      <c r="AA4496" s="81" t="str">
        <f>IFERROR(HLOOKUP(J4496,データについて!$J$4:$AH$19,16,FALSE),"")</f>
        <v/>
      </c>
      <c r="AB4496" s="81" t="str">
        <f>IFERROR(HLOOKUP(K4496,データについて!$J$5:$AH$20,14,FALSE),"")</f>
        <v/>
      </c>
      <c r="AC4496" s="81" t="e">
        <f>IF(X4496=1,HLOOKUP(R4496,データについて!$J$12:$M$18,7,FALSE),"*")</f>
        <v>#N/A</v>
      </c>
      <c r="AD4496" s="81" t="e">
        <f>IF(X4496=2,HLOOKUP(R4496,データについて!$J$12:$M$18,7,FALSE),"*")</f>
        <v>#N/A</v>
      </c>
    </row>
    <row r="4497" spans="19:30">
      <c r="S4497" s="81" t="e">
        <f>HLOOKUP(L4497,データについて!$J$6:$M$18,13,FALSE)</f>
        <v>#N/A</v>
      </c>
      <c r="T4497" s="81" t="e">
        <f>HLOOKUP(M4497,データについて!$J$7:$M$18,12,FALSE)</f>
        <v>#N/A</v>
      </c>
      <c r="U4497" s="81" t="e">
        <f>HLOOKUP(N4497,データについて!$J$8:$M$18,11,FALSE)</f>
        <v>#N/A</v>
      </c>
      <c r="V4497" s="81" t="e">
        <f>HLOOKUP(O4497,データについて!$J$9:$M$18,10,FALSE)</f>
        <v>#N/A</v>
      </c>
      <c r="W4497" s="81" t="e">
        <f>HLOOKUP(P4497,データについて!$J$10:$M$18,9,FALSE)</f>
        <v>#N/A</v>
      </c>
      <c r="X4497" s="81" t="e">
        <f>HLOOKUP(Q4497,データについて!$J$11:$M$18,8,FALSE)</f>
        <v>#N/A</v>
      </c>
      <c r="Y4497" s="81" t="e">
        <f>HLOOKUP(R4497,データについて!$J$12:$M$18,7,FALSE)</f>
        <v>#N/A</v>
      </c>
      <c r="Z4497" s="81" t="e">
        <f>HLOOKUP(I4497,データについて!$J$3:$M$18,16,FALSE)</f>
        <v>#N/A</v>
      </c>
      <c r="AA4497" s="81" t="str">
        <f>IFERROR(HLOOKUP(J4497,データについて!$J$4:$AH$19,16,FALSE),"")</f>
        <v/>
      </c>
      <c r="AB4497" s="81" t="str">
        <f>IFERROR(HLOOKUP(K4497,データについて!$J$5:$AH$20,14,FALSE),"")</f>
        <v/>
      </c>
      <c r="AC4497" s="81" t="e">
        <f>IF(X4497=1,HLOOKUP(R4497,データについて!$J$12:$M$18,7,FALSE),"*")</f>
        <v>#N/A</v>
      </c>
      <c r="AD4497" s="81" t="e">
        <f>IF(X4497=2,HLOOKUP(R4497,データについて!$J$12:$M$18,7,FALSE),"*")</f>
        <v>#N/A</v>
      </c>
    </row>
    <row r="4498" spans="19:30">
      <c r="S4498" s="81" t="e">
        <f>HLOOKUP(L4498,データについて!$J$6:$M$18,13,FALSE)</f>
        <v>#N/A</v>
      </c>
      <c r="T4498" s="81" t="e">
        <f>HLOOKUP(M4498,データについて!$J$7:$M$18,12,FALSE)</f>
        <v>#N/A</v>
      </c>
      <c r="U4498" s="81" t="e">
        <f>HLOOKUP(N4498,データについて!$J$8:$M$18,11,FALSE)</f>
        <v>#N/A</v>
      </c>
      <c r="V4498" s="81" t="e">
        <f>HLOOKUP(O4498,データについて!$J$9:$M$18,10,FALSE)</f>
        <v>#N/A</v>
      </c>
      <c r="W4498" s="81" t="e">
        <f>HLOOKUP(P4498,データについて!$J$10:$M$18,9,FALSE)</f>
        <v>#N/A</v>
      </c>
      <c r="X4498" s="81" t="e">
        <f>HLOOKUP(Q4498,データについて!$J$11:$M$18,8,FALSE)</f>
        <v>#N/A</v>
      </c>
      <c r="Y4498" s="81" t="e">
        <f>HLOOKUP(R4498,データについて!$J$12:$M$18,7,FALSE)</f>
        <v>#N/A</v>
      </c>
      <c r="Z4498" s="81" t="e">
        <f>HLOOKUP(I4498,データについて!$J$3:$M$18,16,FALSE)</f>
        <v>#N/A</v>
      </c>
      <c r="AA4498" s="81" t="str">
        <f>IFERROR(HLOOKUP(J4498,データについて!$J$4:$AH$19,16,FALSE),"")</f>
        <v/>
      </c>
      <c r="AB4498" s="81" t="str">
        <f>IFERROR(HLOOKUP(K4498,データについて!$J$5:$AH$20,14,FALSE),"")</f>
        <v/>
      </c>
      <c r="AC4498" s="81" t="e">
        <f>IF(X4498=1,HLOOKUP(R4498,データについて!$J$12:$M$18,7,FALSE),"*")</f>
        <v>#N/A</v>
      </c>
      <c r="AD4498" s="81" t="e">
        <f>IF(X4498=2,HLOOKUP(R4498,データについて!$J$12:$M$18,7,FALSE),"*")</f>
        <v>#N/A</v>
      </c>
    </row>
    <row r="4499" spans="19:30">
      <c r="S4499" s="81" t="e">
        <f>HLOOKUP(L4499,データについて!$J$6:$M$18,13,FALSE)</f>
        <v>#N/A</v>
      </c>
      <c r="T4499" s="81" t="e">
        <f>HLOOKUP(M4499,データについて!$J$7:$M$18,12,FALSE)</f>
        <v>#N/A</v>
      </c>
      <c r="U4499" s="81" t="e">
        <f>HLOOKUP(N4499,データについて!$J$8:$M$18,11,FALSE)</f>
        <v>#N/A</v>
      </c>
      <c r="V4499" s="81" t="e">
        <f>HLOOKUP(O4499,データについて!$J$9:$M$18,10,FALSE)</f>
        <v>#N/A</v>
      </c>
      <c r="W4499" s="81" t="e">
        <f>HLOOKUP(P4499,データについて!$J$10:$M$18,9,FALSE)</f>
        <v>#N/A</v>
      </c>
      <c r="X4499" s="81" t="e">
        <f>HLOOKUP(Q4499,データについて!$J$11:$M$18,8,FALSE)</f>
        <v>#N/A</v>
      </c>
      <c r="Y4499" s="81" t="e">
        <f>HLOOKUP(R4499,データについて!$J$12:$M$18,7,FALSE)</f>
        <v>#N/A</v>
      </c>
      <c r="Z4499" s="81" t="e">
        <f>HLOOKUP(I4499,データについて!$J$3:$M$18,16,FALSE)</f>
        <v>#N/A</v>
      </c>
      <c r="AA4499" s="81" t="str">
        <f>IFERROR(HLOOKUP(J4499,データについて!$J$4:$AH$19,16,FALSE),"")</f>
        <v/>
      </c>
      <c r="AB4499" s="81" t="str">
        <f>IFERROR(HLOOKUP(K4499,データについて!$J$5:$AH$20,14,FALSE),"")</f>
        <v/>
      </c>
      <c r="AC4499" s="81" t="e">
        <f>IF(X4499=1,HLOOKUP(R4499,データについて!$J$12:$M$18,7,FALSE),"*")</f>
        <v>#N/A</v>
      </c>
      <c r="AD4499" s="81" t="e">
        <f>IF(X4499=2,HLOOKUP(R4499,データについて!$J$12:$M$18,7,FALSE),"*")</f>
        <v>#N/A</v>
      </c>
    </row>
    <row r="4500" spans="19:30">
      <c r="S4500" s="81" t="e">
        <f>HLOOKUP(L4500,データについて!$J$6:$M$18,13,FALSE)</f>
        <v>#N/A</v>
      </c>
      <c r="T4500" s="81" t="e">
        <f>HLOOKUP(M4500,データについて!$J$7:$M$18,12,FALSE)</f>
        <v>#N/A</v>
      </c>
      <c r="U4500" s="81" t="e">
        <f>HLOOKUP(N4500,データについて!$J$8:$M$18,11,FALSE)</f>
        <v>#N/A</v>
      </c>
      <c r="V4500" s="81" t="e">
        <f>HLOOKUP(O4500,データについて!$J$9:$M$18,10,FALSE)</f>
        <v>#N/A</v>
      </c>
      <c r="W4500" s="81" t="e">
        <f>HLOOKUP(P4500,データについて!$J$10:$M$18,9,FALSE)</f>
        <v>#N/A</v>
      </c>
      <c r="X4500" s="81" t="e">
        <f>HLOOKUP(Q4500,データについて!$J$11:$M$18,8,FALSE)</f>
        <v>#N/A</v>
      </c>
      <c r="Y4500" s="81" t="e">
        <f>HLOOKUP(R4500,データについて!$J$12:$M$18,7,FALSE)</f>
        <v>#N/A</v>
      </c>
      <c r="Z4500" s="81" t="e">
        <f>HLOOKUP(I4500,データについて!$J$3:$M$18,16,FALSE)</f>
        <v>#N/A</v>
      </c>
      <c r="AA4500" s="81" t="str">
        <f>IFERROR(HLOOKUP(J4500,データについて!$J$4:$AH$19,16,FALSE),"")</f>
        <v/>
      </c>
      <c r="AB4500" s="81" t="str">
        <f>IFERROR(HLOOKUP(K4500,データについて!$J$5:$AH$20,14,FALSE),"")</f>
        <v/>
      </c>
      <c r="AC4500" s="81" t="e">
        <f>IF(X4500=1,HLOOKUP(R4500,データについて!$J$12:$M$18,7,FALSE),"*")</f>
        <v>#N/A</v>
      </c>
      <c r="AD4500" s="81" t="e">
        <f>IF(X4500=2,HLOOKUP(R4500,データについて!$J$12:$M$18,7,FALSE),"*")</f>
        <v>#N/A</v>
      </c>
    </row>
    <row r="4501" spans="19:30">
      <c r="S4501" s="81" t="e">
        <f>HLOOKUP(L4501,データについて!$J$6:$M$18,13,FALSE)</f>
        <v>#N/A</v>
      </c>
      <c r="T4501" s="81" t="e">
        <f>HLOOKUP(M4501,データについて!$J$7:$M$18,12,FALSE)</f>
        <v>#N/A</v>
      </c>
      <c r="U4501" s="81" t="e">
        <f>HLOOKUP(N4501,データについて!$J$8:$M$18,11,FALSE)</f>
        <v>#N/A</v>
      </c>
      <c r="V4501" s="81" t="e">
        <f>HLOOKUP(O4501,データについて!$J$9:$M$18,10,FALSE)</f>
        <v>#N/A</v>
      </c>
      <c r="W4501" s="81" t="e">
        <f>HLOOKUP(P4501,データについて!$J$10:$M$18,9,FALSE)</f>
        <v>#N/A</v>
      </c>
      <c r="X4501" s="81" t="e">
        <f>HLOOKUP(Q4501,データについて!$J$11:$M$18,8,FALSE)</f>
        <v>#N/A</v>
      </c>
      <c r="Y4501" s="81" t="e">
        <f>HLOOKUP(R4501,データについて!$J$12:$M$18,7,FALSE)</f>
        <v>#N/A</v>
      </c>
      <c r="Z4501" s="81" t="e">
        <f>HLOOKUP(I4501,データについて!$J$3:$M$18,16,FALSE)</f>
        <v>#N/A</v>
      </c>
      <c r="AA4501" s="81" t="str">
        <f>IFERROR(HLOOKUP(J4501,データについて!$J$4:$AH$19,16,FALSE),"")</f>
        <v/>
      </c>
      <c r="AB4501" s="81" t="str">
        <f>IFERROR(HLOOKUP(K4501,データについて!$J$5:$AH$20,14,FALSE),"")</f>
        <v/>
      </c>
      <c r="AC4501" s="81" t="e">
        <f>IF(X4501=1,HLOOKUP(R4501,データについて!$J$12:$M$18,7,FALSE),"*")</f>
        <v>#N/A</v>
      </c>
      <c r="AD4501" s="81" t="e">
        <f>IF(X4501=2,HLOOKUP(R4501,データについて!$J$12:$M$18,7,FALSE),"*")</f>
        <v>#N/A</v>
      </c>
    </row>
    <row r="4502" spans="19:30">
      <c r="S4502" s="81" t="e">
        <f>HLOOKUP(L4502,データについて!$J$6:$M$18,13,FALSE)</f>
        <v>#N/A</v>
      </c>
      <c r="T4502" s="81" t="e">
        <f>HLOOKUP(M4502,データについて!$J$7:$M$18,12,FALSE)</f>
        <v>#N/A</v>
      </c>
      <c r="U4502" s="81" t="e">
        <f>HLOOKUP(N4502,データについて!$J$8:$M$18,11,FALSE)</f>
        <v>#N/A</v>
      </c>
      <c r="V4502" s="81" t="e">
        <f>HLOOKUP(O4502,データについて!$J$9:$M$18,10,FALSE)</f>
        <v>#N/A</v>
      </c>
      <c r="W4502" s="81" t="e">
        <f>HLOOKUP(P4502,データについて!$J$10:$M$18,9,FALSE)</f>
        <v>#N/A</v>
      </c>
      <c r="X4502" s="81" t="e">
        <f>HLOOKUP(Q4502,データについて!$J$11:$M$18,8,FALSE)</f>
        <v>#N/A</v>
      </c>
      <c r="Y4502" s="81" t="e">
        <f>HLOOKUP(R4502,データについて!$J$12:$M$18,7,FALSE)</f>
        <v>#N/A</v>
      </c>
      <c r="Z4502" s="81" t="e">
        <f>HLOOKUP(I4502,データについて!$J$3:$M$18,16,FALSE)</f>
        <v>#N/A</v>
      </c>
      <c r="AA4502" s="81" t="str">
        <f>IFERROR(HLOOKUP(J4502,データについて!$J$4:$AH$19,16,FALSE),"")</f>
        <v/>
      </c>
      <c r="AB4502" s="81" t="str">
        <f>IFERROR(HLOOKUP(K4502,データについて!$J$5:$AH$20,14,FALSE),"")</f>
        <v/>
      </c>
      <c r="AC4502" s="81" t="e">
        <f>IF(X4502=1,HLOOKUP(R4502,データについて!$J$12:$M$18,7,FALSE),"*")</f>
        <v>#N/A</v>
      </c>
      <c r="AD4502" s="81" t="e">
        <f>IF(X4502=2,HLOOKUP(R4502,データについて!$J$12:$M$18,7,FALSE),"*")</f>
        <v>#N/A</v>
      </c>
    </row>
    <row r="4503" spans="19:30">
      <c r="S4503" s="81" t="e">
        <f>HLOOKUP(L4503,データについて!$J$6:$M$18,13,FALSE)</f>
        <v>#N/A</v>
      </c>
      <c r="T4503" s="81" t="e">
        <f>HLOOKUP(M4503,データについて!$J$7:$M$18,12,FALSE)</f>
        <v>#N/A</v>
      </c>
      <c r="U4503" s="81" t="e">
        <f>HLOOKUP(N4503,データについて!$J$8:$M$18,11,FALSE)</f>
        <v>#N/A</v>
      </c>
      <c r="V4503" s="81" t="e">
        <f>HLOOKUP(O4503,データについて!$J$9:$M$18,10,FALSE)</f>
        <v>#N/A</v>
      </c>
      <c r="W4503" s="81" t="e">
        <f>HLOOKUP(P4503,データについて!$J$10:$M$18,9,FALSE)</f>
        <v>#N/A</v>
      </c>
      <c r="X4503" s="81" t="e">
        <f>HLOOKUP(Q4503,データについて!$J$11:$M$18,8,FALSE)</f>
        <v>#N/A</v>
      </c>
      <c r="Y4503" s="81" t="e">
        <f>HLOOKUP(R4503,データについて!$J$12:$M$18,7,FALSE)</f>
        <v>#N/A</v>
      </c>
      <c r="Z4503" s="81" t="e">
        <f>HLOOKUP(I4503,データについて!$J$3:$M$18,16,FALSE)</f>
        <v>#N/A</v>
      </c>
      <c r="AA4503" s="81" t="str">
        <f>IFERROR(HLOOKUP(J4503,データについて!$J$4:$AH$19,16,FALSE),"")</f>
        <v/>
      </c>
      <c r="AB4503" s="81" t="str">
        <f>IFERROR(HLOOKUP(K4503,データについて!$J$5:$AH$20,14,FALSE),"")</f>
        <v/>
      </c>
      <c r="AC4503" s="81" t="e">
        <f>IF(X4503=1,HLOOKUP(R4503,データについて!$J$12:$M$18,7,FALSE),"*")</f>
        <v>#N/A</v>
      </c>
      <c r="AD4503" s="81" t="e">
        <f>IF(X4503=2,HLOOKUP(R4503,データについて!$J$12:$M$18,7,FALSE),"*")</f>
        <v>#N/A</v>
      </c>
    </row>
    <row r="4504" spans="19:30">
      <c r="S4504" s="81" t="e">
        <f>HLOOKUP(L4504,データについて!$J$6:$M$18,13,FALSE)</f>
        <v>#N/A</v>
      </c>
      <c r="T4504" s="81" t="e">
        <f>HLOOKUP(M4504,データについて!$J$7:$M$18,12,FALSE)</f>
        <v>#N/A</v>
      </c>
      <c r="U4504" s="81" t="e">
        <f>HLOOKUP(N4504,データについて!$J$8:$M$18,11,FALSE)</f>
        <v>#N/A</v>
      </c>
      <c r="V4504" s="81" t="e">
        <f>HLOOKUP(O4504,データについて!$J$9:$M$18,10,FALSE)</f>
        <v>#N/A</v>
      </c>
      <c r="W4504" s="81" t="e">
        <f>HLOOKUP(P4504,データについて!$J$10:$M$18,9,FALSE)</f>
        <v>#N/A</v>
      </c>
      <c r="X4504" s="81" t="e">
        <f>HLOOKUP(Q4504,データについて!$J$11:$M$18,8,FALSE)</f>
        <v>#N/A</v>
      </c>
      <c r="Y4504" s="81" t="e">
        <f>HLOOKUP(R4504,データについて!$J$12:$M$18,7,FALSE)</f>
        <v>#N/A</v>
      </c>
      <c r="Z4504" s="81" t="e">
        <f>HLOOKUP(I4504,データについて!$J$3:$M$18,16,FALSE)</f>
        <v>#N/A</v>
      </c>
      <c r="AA4504" s="81" t="str">
        <f>IFERROR(HLOOKUP(J4504,データについて!$J$4:$AH$19,16,FALSE),"")</f>
        <v/>
      </c>
      <c r="AB4504" s="81" t="str">
        <f>IFERROR(HLOOKUP(K4504,データについて!$J$5:$AH$20,14,FALSE),"")</f>
        <v/>
      </c>
      <c r="AC4504" s="81" t="e">
        <f>IF(X4504=1,HLOOKUP(R4504,データについて!$J$12:$M$18,7,FALSE),"*")</f>
        <v>#N/A</v>
      </c>
      <c r="AD4504" s="81" t="e">
        <f>IF(X4504=2,HLOOKUP(R4504,データについて!$J$12:$M$18,7,FALSE),"*")</f>
        <v>#N/A</v>
      </c>
    </row>
    <row r="4505" spans="19:30">
      <c r="S4505" s="81" t="e">
        <f>HLOOKUP(L4505,データについて!$J$6:$M$18,13,FALSE)</f>
        <v>#N/A</v>
      </c>
      <c r="T4505" s="81" t="e">
        <f>HLOOKUP(M4505,データについて!$J$7:$M$18,12,FALSE)</f>
        <v>#N/A</v>
      </c>
      <c r="U4505" s="81" t="e">
        <f>HLOOKUP(N4505,データについて!$J$8:$M$18,11,FALSE)</f>
        <v>#N/A</v>
      </c>
      <c r="V4505" s="81" t="e">
        <f>HLOOKUP(O4505,データについて!$J$9:$M$18,10,FALSE)</f>
        <v>#N/A</v>
      </c>
      <c r="W4505" s="81" t="e">
        <f>HLOOKUP(P4505,データについて!$J$10:$M$18,9,FALSE)</f>
        <v>#N/A</v>
      </c>
      <c r="X4505" s="81" t="e">
        <f>HLOOKUP(Q4505,データについて!$J$11:$M$18,8,FALSE)</f>
        <v>#N/A</v>
      </c>
      <c r="Y4505" s="81" t="e">
        <f>HLOOKUP(R4505,データについて!$J$12:$M$18,7,FALSE)</f>
        <v>#N/A</v>
      </c>
      <c r="Z4505" s="81" t="e">
        <f>HLOOKUP(I4505,データについて!$J$3:$M$18,16,FALSE)</f>
        <v>#N/A</v>
      </c>
      <c r="AA4505" s="81" t="str">
        <f>IFERROR(HLOOKUP(J4505,データについて!$J$4:$AH$19,16,FALSE),"")</f>
        <v/>
      </c>
      <c r="AB4505" s="81" t="str">
        <f>IFERROR(HLOOKUP(K4505,データについて!$J$5:$AH$20,14,FALSE),"")</f>
        <v/>
      </c>
      <c r="AC4505" s="81" t="e">
        <f>IF(X4505=1,HLOOKUP(R4505,データについて!$J$12:$M$18,7,FALSE),"*")</f>
        <v>#N/A</v>
      </c>
      <c r="AD4505" s="81" t="e">
        <f>IF(X4505=2,HLOOKUP(R4505,データについて!$J$12:$M$18,7,FALSE),"*")</f>
        <v>#N/A</v>
      </c>
    </row>
    <row r="4506" spans="19:30">
      <c r="S4506" s="81" t="e">
        <f>HLOOKUP(L4506,データについて!$J$6:$M$18,13,FALSE)</f>
        <v>#N/A</v>
      </c>
      <c r="T4506" s="81" t="e">
        <f>HLOOKUP(M4506,データについて!$J$7:$M$18,12,FALSE)</f>
        <v>#N/A</v>
      </c>
      <c r="U4506" s="81" t="e">
        <f>HLOOKUP(N4506,データについて!$J$8:$M$18,11,FALSE)</f>
        <v>#N/A</v>
      </c>
      <c r="V4506" s="81" t="e">
        <f>HLOOKUP(O4506,データについて!$J$9:$M$18,10,FALSE)</f>
        <v>#N/A</v>
      </c>
      <c r="W4506" s="81" t="e">
        <f>HLOOKUP(P4506,データについて!$J$10:$M$18,9,FALSE)</f>
        <v>#N/A</v>
      </c>
      <c r="X4506" s="81" t="e">
        <f>HLOOKUP(Q4506,データについて!$J$11:$M$18,8,FALSE)</f>
        <v>#N/A</v>
      </c>
      <c r="Y4506" s="81" t="e">
        <f>HLOOKUP(R4506,データについて!$J$12:$M$18,7,FALSE)</f>
        <v>#N/A</v>
      </c>
      <c r="Z4506" s="81" t="e">
        <f>HLOOKUP(I4506,データについて!$J$3:$M$18,16,FALSE)</f>
        <v>#N/A</v>
      </c>
      <c r="AA4506" s="81" t="str">
        <f>IFERROR(HLOOKUP(J4506,データについて!$J$4:$AH$19,16,FALSE),"")</f>
        <v/>
      </c>
      <c r="AB4506" s="81" t="str">
        <f>IFERROR(HLOOKUP(K4506,データについて!$J$5:$AH$20,14,FALSE),"")</f>
        <v/>
      </c>
      <c r="AC4506" s="81" t="e">
        <f>IF(X4506=1,HLOOKUP(R4506,データについて!$J$12:$M$18,7,FALSE),"*")</f>
        <v>#N/A</v>
      </c>
      <c r="AD4506" s="81" t="e">
        <f>IF(X4506=2,HLOOKUP(R4506,データについて!$J$12:$M$18,7,FALSE),"*")</f>
        <v>#N/A</v>
      </c>
    </row>
    <row r="4507" spans="19:30">
      <c r="S4507" s="81" t="e">
        <f>HLOOKUP(L4507,データについて!$J$6:$M$18,13,FALSE)</f>
        <v>#N/A</v>
      </c>
      <c r="T4507" s="81" t="e">
        <f>HLOOKUP(M4507,データについて!$J$7:$M$18,12,FALSE)</f>
        <v>#N/A</v>
      </c>
      <c r="U4507" s="81" t="e">
        <f>HLOOKUP(N4507,データについて!$J$8:$M$18,11,FALSE)</f>
        <v>#N/A</v>
      </c>
      <c r="V4507" s="81" t="e">
        <f>HLOOKUP(O4507,データについて!$J$9:$M$18,10,FALSE)</f>
        <v>#N/A</v>
      </c>
      <c r="W4507" s="81" t="e">
        <f>HLOOKUP(P4507,データについて!$J$10:$M$18,9,FALSE)</f>
        <v>#N/A</v>
      </c>
      <c r="X4507" s="81" t="e">
        <f>HLOOKUP(Q4507,データについて!$J$11:$M$18,8,FALSE)</f>
        <v>#N/A</v>
      </c>
      <c r="Y4507" s="81" t="e">
        <f>HLOOKUP(R4507,データについて!$J$12:$M$18,7,FALSE)</f>
        <v>#N/A</v>
      </c>
      <c r="Z4507" s="81" t="e">
        <f>HLOOKUP(I4507,データについて!$J$3:$M$18,16,FALSE)</f>
        <v>#N/A</v>
      </c>
      <c r="AA4507" s="81" t="str">
        <f>IFERROR(HLOOKUP(J4507,データについて!$J$4:$AH$19,16,FALSE),"")</f>
        <v/>
      </c>
      <c r="AB4507" s="81" t="str">
        <f>IFERROR(HLOOKUP(K4507,データについて!$J$5:$AH$20,14,FALSE),"")</f>
        <v/>
      </c>
      <c r="AC4507" s="81" t="e">
        <f>IF(X4507=1,HLOOKUP(R4507,データについて!$J$12:$M$18,7,FALSE),"*")</f>
        <v>#N/A</v>
      </c>
      <c r="AD4507" s="81" t="e">
        <f>IF(X4507=2,HLOOKUP(R4507,データについて!$J$12:$M$18,7,FALSE),"*")</f>
        <v>#N/A</v>
      </c>
    </row>
    <row r="4508" spans="19:30">
      <c r="S4508" s="81" t="e">
        <f>HLOOKUP(L4508,データについて!$J$6:$M$18,13,FALSE)</f>
        <v>#N/A</v>
      </c>
      <c r="T4508" s="81" t="e">
        <f>HLOOKUP(M4508,データについて!$J$7:$M$18,12,FALSE)</f>
        <v>#N/A</v>
      </c>
      <c r="U4508" s="81" t="e">
        <f>HLOOKUP(N4508,データについて!$J$8:$M$18,11,FALSE)</f>
        <v>#N/A</v>
      </c>
      <c r="V4508" s="81" t="e">
        <f>HLOOKUP(O4508,データについて!$J$9:$M$18,10,FALSE)</f>
        <v>#N/A</v>
      </c>
      <c r="W4508" s="81" t="e">
        <f>HLOOKUP(P4508,データについて!$J$10:$M$18,9,FALSE)</f>
        <v>#N/A</v>
      </c>
      <c r="X4508" s="81" t="e">
        <f>HLOOKUP(Q4508,データについて!$J$11:$M$18,8,FALSE)</f>
        <v>#N/A</v>
      </c>
      <c r="Y4508" s="81" t="e">
        <f>HLOOKUP(R4508,データについて!$J$12:$M$18,7,FALSE)</f>
        <v>#N/A</v>
      </c>
      <c r="Z4508" s="81" t="e">
        <f>HLOOKUP(I4508,データについて!$J$3:$M$18,16,FALSE)</f>
        <v>#N/A</v>
      </c>
      <c r="AA4508" s="81" t="str">
        <f>IFERROR(HLOOKUP(J4508,データについて!$J$4:$AH$19,16,FALSE),"")</f>
        <v/>
      </c>
      <c r="AB4508" s="81" t="str">
        <f>IFERROR(HLOOKUP(K4508,データについて!$J$5:$AH$20,14,FALSE),"")</f>
        <v/>
      </c>
      <c r="AC4508" s="81" t="e">
        <f>IF(X4508=1,HLOOKUP(R4508,データについて!$J$12:$M$18,7,FALSE),"*")</f>
        <v>#N/A</v>
      </c>
      <c r="AD4508" s="81" t="e">
        <f>IF(X4508=2,HLOOKUP(R4508,データについて!$J$12:$M$18,7,FALSE),"*")</f>
        <v>#N/A</v>
      </c>
    </row>
    <row r="4509" spans="19:30">
      <c r="S4509" s="81" t="e">
        <f>HLOOKUP(L4509,データについて!$J$6:$M$18,13,FALSE)</f>
        <v>#N/A</v>
      </c>
      <c r="T4509" s="81" t="e">
        <f>HLOOKUP(M4509,データについて!$J$7:$M$18,12,FALSE)</f>
        <v>#N/A</v>
      </c>
      <c r="U4509" s="81" t="e">
        <f>HLOOKUP(N4509,データについて!$J$8:$M$18,11,FALSE)</f>
        <v>#N/A</v>
      </c>
      <c r="V4509" s="81" t="e">
        <f>HLOOKUP(O4509,データについて!$J$9:$M$18,10,FALSE)</f>
        <v>#N/A</v>
      </c>
      <c r="W4509" s="81" t="e">
        <f>HLOOKUP(P4509,データについて!$J$10:$M$18,9,FALSE)</f>
        <v>#N/A</v>
      </c>
      <c r="X4509" s="81" t="e">
        <f>HLOOKUP(Q4509,データについて!$J$11:$M$18,8,FALSE)</f>
        <v>#N/A</v>
      </c>
      <c r="Y4509" s="81" t="e">
        <f>HLOOKUP(R4509,データについて!$J$12:$M$18,7,FALSE)</f>
        <v>#N/A</v>
      </c>
      <c r="Z4509" s="81" t="e">
        <f>HLOOKUP(I4509,データについて!$J$3:$M$18,16,FALSE)</f>
        <v>#N/A</v>
      </c>
      <c r="AA4509" s="81" t="str">
        <f>IFERROR(HLOOKUP(J4509,データについて!$J$4:$AH$19,16,FALSE),"")</f>
        <v/>
      </c>
      <c r="AB4509" s="81" t="str">
        <f>IFERROR(HLOOKUP(K4509,データについて!$J$5:$AH$20,14,FALSE),"")</f>
        <v/>
      </c>
      <c r="AC4509" s="81" t="e">
        <f>IF(X4509=1,HLOOKUP(R4509,データについて!$J$12:$M$18,7,FALSE),"*")</f>
        <v>#N/A</v>
      </c>
      <c r="AD4509" s="81" t="e">
        <f>IF(X4509=2,HLOOKUP(R4509,データについて!$J$12:$M$18,7,FALSE),"*")</f>
        <v>#N/A</v>
      </c>
    </row>
    <row r="4510" spans="19:30">
      <c r="S4510" s="81" t="e">
        <f>HLOOKUP(L4510,データについて!$J$6:$M$18,13,FALSE)</f>
        <v>#N/A</v>
      </c>
      <c r="T4510" s="81" t="e">
        <f>HLOOKUP(M4510,データについて!$J$7:$M$18,12,FALSE)</f>
        <v>#N/A</v>
      </c>
      <c r="U4510" s="81" t="e">
        <f>HLOOKUP(N4510,データについて!$J$8:$M$18,11,FALSE)</f>
        <v>#N/A</v>
      </c>
      <c r="V4510" s="81" t="e">
        <f>HLOOKUP(O4510,データについて!$J$9:$M$18,10,FALSE)</f>
        <v>#N/A</v>
      </c>
      <c r="W4510" s="81" t="e">
        <f>HLOOKUP(P4510,データについて!$J$10:$M$18,9,FALSE)</f>
        <v>#N/A</v>
      </c>
      <c r="X4510" s="81" t="e">
        <f>HLOOKUP(Q4510,データについて!$J$11:$M$18,8,FALSE)</f>
        <v>#N/A</v>
      </c>
      <c r="Y4510" s="81" t="e">
        <f>HLOOKUP(R4510,データについて!$J$12:$M$18,7,FALSE)</f>
        <v>#N/A</v>
      </c>
      <c r="Z4510" s="81" t="e">
        <f>HLOOKUP(I4510,データについて!$J$3:$M$18,16,FALSE)</f>
        <v>#N/A</v>
      </c>
      <c r="AA4510" s="81" t="str">
        <f>IFERROR(HLOOKUP(J4510,データについて!$J$4:$AH$19,16,FALSE),"")</f>
        <v/>
      </c>
      <c r="AB4510" s="81" t="str">
        <f>IFERROR(HLOOKUP(K4510,データについて!$J$5:$AH$20,14,FALSE),"")</f>
        <v/>
      </c>
      <c r="AC4510" s="81" t="e">
        <f>IF(X4510=1,HLOOKUP(R4510,データについて!$J$12:$M$18,7,FALSE),"*")</f>
        <v>#N/A</v>
      </c>
      <c r="AD4510" s="81" t="e">
        <f>IF(X4510=2,HLOOKUP(R4510,データについて!$J$12:$M$18,7,FALSE),"*")</f>
        <v>#N/A</v>
      </c>
    </row>
    <row r="4511" spans="19:30">
      <c r="S4511" s="81" t="e">
        <f>HLOOKUP(L4511,データについて!$J$6:$M$18,13,FALSE)</f>
        <v>#N/A</v>
      </c>
      <c r="T4511" s="81" t="e">
        <f>HLOOKUP(M4511,データについて!$J$7:$M$18,12,FALSE)</f>
        <v>#N/A</v>
      </c>
      <c r="U4511" s="81" t="e">
        <f>HLOOKUP(N4511,データについて!$J$8:$M$18,11,FALSE)</f>
        <v>#N/A</v>
      </c>
      <c r="V4511" s="81" t="e">
        <f>HLOOKUP(O4511,データについて!$J$9:$M$18,10,FALSE)</f>
        <v>#N/A</v>
      </c>
      <c r="W4511" s="81" t="e">
        <f>HLOOKUP(P4511,データについて!$J$10:$M$18,9,FALSE)</f>
        <v>#N/A</v>
      </c>
      <c r="X4511" s="81" t="e">
        <f>HLOOKUP(Q4511,データについて!$J$11:$M$18,8,FALSE)</f>
        <v>#N/A</v>
      </c>
      <c r="Y4511" s="81" t="e">
        <f>HLOOKUP(R4511,データについて!$J$12:$M$18,7,FALSE)</f>
        <v>#N/A</v>
      </c>
      <c r="Z4511" s="81" t="e">
        <f>HLOOKUP(I4511,データについて!$J$3:$M$18,16,FALSE)</f>
        <v>#N/A</v>
      </c>
      <c r="AA4511" s="81" t="str">
        <f>IFERROR(HLOOKUP(J4511,データについて!$J$4:$AH$19,16,FALSE),"")</f>
        <v/>
      </c>
      <c r="AB4511" s="81" t="str">
        <f>IFERROR(HLOOKUP(K4511,データについて!$J$5:$AH$20,14,FALSE),"")</f>
        <v/>
      </c>
      <c r="AC4511" s="81" t="e">
        <f>IF(X4511=1,HLOOKUP(R4511,データについて!$J$12:$M$18,7,FALSE),"*")</f>
        <v>#N/A</v>
      </c>
      <c r="AD4511" s="81" t="e">
        <f>IF(X4511=2,HLOOKUP(R4511,データについて!$J$12:$M$18,7,FALSE),"*")</f>
        <v>#N/A</v>
      </c>
    </row>
    <row r="4512" spans="19:30">
      <c r="S4512" s="81" t="e">
        <f>HLOOKUP(L4512,データについて!$J$6:$M$18,13,FALSE)</f>
        <v>#N/A</v>
      </c>
      <c r="T4512" s="81" t="e">
        <f>HLOOKUP(M4512,データについて!$J$7:$M$18,12,FALSE)</f>
        <v>#N/A</v>
      </c>
      <c r="U4512" s="81" t="e">
        <f>HLOOKUP(N4512,データについて!$J$8:$M$18,11,FALSE)</f>
        <v>#N/A</v>
      </c>
      <c r="V4512" s="81" t="e">
        <f>HLOOKUP(O4512,データについて!$J$9:$M$18,10,FALSE)</f>
        <v>#N/A</v>
      </c>
      <c r="W4512" s="81" t="e">
        <f>HLOOKUP(P4512,データについて!$J$10:$M$18,9,FALSE)</f>
        <v>#N/A</v>
      </c>
      <c r="X4512" s="81" t="e">
        <f>HLOOKUP(Q4512,データについて!$J$11:$M$18,8,FALSE)</f>
        <v>#N/A</v>
      </c>
      <c r="Y4512" s="81" t="e">
        <f>HLOOKUP(R4512,データについて!$J$12:$M$18,7,FALSE)</f>
        <v>#N/A</v>
      </c>
      <c r="Z4512" s="81" t="e">
        <f>HLOOKUP(I4512,データについて!$J$3:$M$18,16,FALSE)</f>
        <v>#N/A</v>
      </c>
      <c r="AA4512" s="81" t="str">
        <f>IFERROR(HLOOKUP(J4512,データについて!$J$4:$AH$19,16,FALSE),"")</f>
        <v/>
      </c>
      <c r="AB4512" s="81" t="str">
        <f>IFERROR(HLOOKUP(K4512,データについて!$J$5:$AH$20,14,FALSE),"")</f>
        <v/>
      </c>
      <c r="AC4512" s="81" t="e">
        <f>IF(X4512=1,HLOOKUP(R4512,データについて!$J$12:$M$18,7,FALSE),"*")</f>
        <v>#N/A</v>
      </c>
      <c r="AD4512" s="81" t="e">
        <f>IF(X4512=2,HLOOKUP(R4512,データについて!$J$12:$M$18,7,FALSE),"*")</f>
        <v>#N/A</v>
      </c>
    </row>
    <row r="4513" spans="19:30">
      <c r="S4513" s="81" t="e">
        <f>HLOOKUP(L4513,データについて!$J$6:$M$18,13,FALSE)</f>
        <v>#N/A</v>
      </c>
      <c r="T4513" s="81" t="e">
        <f>HLOOKUP(M4513,データについて!$J$7:$M$18,12,FALSE)</f>
        <v>#N/A</v>
      </c>
      <c r="U4513" s="81" t="e">
        <f>HLOOKUP(N4513,データについて!$J$8:$M$18,11,FALSE)</f>
        <v>#N/A</v>
      </c>
      <c r="V4513" s="81" t="e">
        <f>HLOOKUP(O4513,データについて!$J$9:$M$18,10,FALSE)</f>
        <v>#N/A</v>
      </c>
      <c r="W4513" s="81" t="e">
        <f>HLOOKUP(P4513,データについて!$J$10:$M$18,9,FALSE)</f>
        <v>#N/A</v>
      </c>
      <c r="X4513" s="81" t="e">
        <f>HLOOKUP(Q4513,データについて!$J$11:$M$18,8,FALSE)</f>
        <v>#N/A</v>
      </c>
      <c r="Y4513" s="81" t="e">
        <f>HLOOKUP(R4513,データについて!$J$12:$M$18,7,FALSE)</f>
        <v>#N/A</v>
      </c>
      <c r="Z4513" s="81" t="e">
        <f>HLOOKUP(I4513,データについて!$J$3:$M$18,16,FALSE)</f>
        <v>#N/A</v>
      </c>
      <c r="AA4513" s="81" t="str">
        <f>IFERROR(HLOOKUP(J4513,データについて!$J$4:$AH$19,16,FALSE),"")</f>
        <v/>
      </c>
      <c r="AB4513" s="81" t="str">
        <f>IFERROR(HLOOKUP(K4513,データについて!$J$5:$AH$20,14,FALSE),"")</f>
        <v/>
      </c>
      <c r="AC4513" s="81" t="e">
        <f>IF(X4513=1,HLOOKUP(R4513,データについて!$J$12:$M$18,7,FALSE),"*")</f>
        <v>#N/A</v>
      </c>
      <c r="AD4513" s="81" t="e">
        <f>IF(X4513=2,HLOOKUP(R4513,データについて!$J$12:$M$18,7,FALSE),"*")</f>
        <v>#N/A</v>
      </c>
    </row>
    <row r="4514" spans="19:30">
      <c r="S4514" s="81" t="e">
        <f>HLOOKUP(L4514,データについて!$J$6:$M$18,13,FALSE)</f>
        <v>#N/A</v>
      </c>
      <c r="T4514" s="81" t="e">
        <f>HLOOKUP(M4514,データについて!$J$7:$M$18,12,FALSE)</f>
        <v>#N/A</v>
      </c>
      <c r="U4514" s="81" t="e">
        <f>HLOOKUP(N4514,データについて!$J$8:$M$18,11,FALSE)</f>
        <v>#N/A</v>
      </c>
      <c r="V4514" s="81" t="e">
        <f>HLOOKUP(O4514,データについて!$J$9:$M$18,10,FALSE)</f>
        <v>#N/A</v>
      </c>
      <c r="W4514" s="81" t="e">
        <f>HLOOKUP(P4514,データについて!$J$10:$M$18,9,FALSE)</f>
        <v>#N/A</v>
      </c>
      <c r="X4514" s="81" t="e">
        <f>HLOOKUP(Q4514,データについて!$J$11:$M$18,8,FALSE)</f>
        <v>#N/A</v>
      </c>
      <c r="Y4514" s="81" t="e">
        <f>HLOOKUP(R4514,データについて!$J$12:$M$18,7,FALSE)</f>
        <v>#N/A</v>
      </c>
      <c r="Z4514" s="81" t="e">
        <f>HLOOKUP(I4514,データについて!$J$3:$M$18,16,FALSE)</f>
        <v>#N/A</v>
      </c>
      <c r="AA4514" s="81" t="str">
        <f>IFERROR(HLOOKUP(J4514,データについて!$J$4:$AH$19,16,FALSE),"")</f>
        <v/>
      </c>
      <c r="AB4514" s="81" t="str">
        <f>IFERROR(HLOOKUP(K4514,データについて!$J$5:$AH$20,14,FALSE),"")</f>
        <v/>
      </c>
      <c r="AC4514" s="81" t="e">
        <f>IF(X4514=1,HLOOKUP(R4514,データについて!$J$12:$M$18,7,FALSE),"*")</f>
        <v>#N/A</v>
      </c>
      <c r="AD4514" s="81" t="e">
        <f>IF(X4514=2,HLOOKUP(R4514,データについて!$J$12:$M$18,7,FALSE),"*")</f>
        <v>#N/A</v>
      </c>
    </row>
    <row r="4515" spans="19:30">
      <c r="S4515" s="81" t="e">
        <f>HLOOKUP(L4515,データについて!$J$6:$M$18,13,FALSE)</f>
        <v>#N/A</v>
      </c>
      <c r="T4515" s="81" t="e">
        <f>HLOOKUP(M4515,データについて!$J$7:$M$18,12,FALSE)</f>
        <v>#N/A</v>
      </c>
      <c r="U4515" s="81" t="e">
        <f>HLOOKUP(N4515,データについて!$J$8:$M$18,11,FALSE)</f>
        <v>#N/A</v>
      </c>
      <c r="V4515" s="81" t="e">
        <f>HLOOKUP(O4515,データについて!$J$9:$M$18,10,FALSE)</f>
        <v>#N/A</v>
      </c>
      <c r="W4515" s="81" t="e">
        <f>HLOOKUP(P4515,データについて!$J$10:$M$18,9,FALSE)</f>
        <v>#N/A</v>
      </c>
      <c r="X4515" s="81" t="e">
        <f>HLOOKUP(Q4515,データについて!$J$11:$M$18,8,FALSE)</f>
        <v>#N/A</v>
      </c>
      <c r="Y4515" s="81" t="e">
        <f>HLOOKUP(R4515,データについて!$J$12:$M$18,7,FALSE)</f>
        <v>#N/A</v>
      </c>
      <c r="Z4515" s="81" t="e">
        <f>HLOOKUP(I4515,データについて!$J$3:$M$18,16,FALSE)</f>
        <v>#N/A</v>
      </c>
      <c r="AA4515" s="81" t="str">
        <f>IFERROR(HLOOKUP(J4515,データについて!$J$4:$AH$19,16,FALSE),"")</f>
        <v/>
      </c>
      <c r="AB4515" s="81" t="str">
        <f>IFERROR(HLOOKUP(K4515,データについて!$J$5:$AH$20,14,FALSE),"")</f>
        <v/>
      </c>
      <c r="AC4515" s="81" t="e">
        <f>IF(X4515=1,HLOOKUP(R4515,データについて!$J$12:$M$18,7,FALSE),"*")</f>
        <v>#N/A</v>
      </c>
      <c r="AD4515" s="81" t="e">
        <f>IF(X4515=2,HLOOKUP(R4515,データについて!$J$12:$M$18,7,FALSE),"*")</f>
        <v>#N/A</v>
      </c>
    </row>
    <row r="4516" spans="19:30">
      <c r="S4516" s="81" t="e">
        <f>HLOOKUP(L4516,データについて!$J$6:$M$18,13,FALSE)</f>
        <v>#N/A</v>
      </c>
      <c r="T4516" s="81" t="e">
        <f>HLOOKUP(M4516,データについて!$J$7:$M$18,12,FALSE)</f>
        <v>#N/A</v>
      </c>
      <c r="U4516" s="81" t="e">
        <f>HLOOKUP(N4516,データについて!$J$8:$M$18,11,FALSE)</f>
        <v>#N/A</v>
      </c>
      <c r="V4516" s="81" t="e">
        <f>HLOOKUP(O4516,データについて!$J$9:$M$18,10,FALSE)</f>
        <v>#N/A</v>
      </c>
      <c r="W4516" s="81" t="e">
        <f>HLOOKUP(P4516,データについて!$J$10:$M$18,9,FALSE)</f>
        <v>#N/A</v>
      </c>
      <c r="X4516" s="81" t="e">
        <f>HLOOKUP(Q4516,データについて!$J$11:$M$18,8,FALSE)</f>
        <v>#N/A</v>
      </c>
      <c r="Y4516" s="81" t="e">
        <f>HLOOKUP(R4516,データについて!$J$12:$M$18,7,FALSE)</f>
        <v>#N/A</v>
      </c>
      <c r="Z4516" s="81" t="e">
        <f>HLOOKUP(I4516,データについて!$J$3:$M$18,16,FALSE)</f>
        <v>#N/A</v>
      </c>
      <c r="AA4516" s="81" t="str">
        <f>IFERROR(HLOOKUP(J4516,データについて!$J$4:$AH$19,16,FALSE),"")</f>
        <v/>
      </c>
      <c r="AB4516" s="81" t="str">
        <f>IFERROR(HLOOKUP(K4516,データについて!$J$5:$AH$20,14,FALSE),"")</f>
        <v/>
      </c>
      <c r="AC4516" s="81" t="e">
        <f>IF(X4516=1,HLOOKUP(R4516,データについて!$J$12:$M$18,7,FALSE),"*")</f>
        <v>#N/A</v>
      </c>
      <c r="AD4516" s="81" t="e">
        <f>IF(X4516=2,HLOOKUP(R4516,データについて!$J$12:$M$18,7,FALSE),"*")</f>
        <v>#N/A</v>
      </c>
    </row>
    <row r="4517" spans="19:30">
      <c r="S4517" s="81" t="e">
        <f>HLOOKUP(L4517,データについて!$J$6:$M$18,13,FALSE)</f>
        <v>#N/A</v>
      </c>
      <c r="T4517" s="81" t="e">
        <f>HLOOKUP(M4517,データについて!$J$7:$M$18,12,FALSE)</f>
        <v>#N/A</v>
      </c>
      <c r="U4517" s="81" t="e">
        <f>HLOOKUP(N4517,データについて!$J$8:$M$18,11,FALSE)</f>
        <v>#N/A</v>
      </c>
      <c r="V4517" s="81" t="e">
        <f>HLOOKUP(O4517,データについて!$J$9:$M$18,10,FALSE)</f>
        <v>#N/A</v>
      </c>
      <c r="W4517" s="81" t="e">
        <f>HLOOKUP(P4517,データについて!$J$10:$M$18,9,FALSE)</f>
        <v>#N/A</v>
      </c>
      <c r="X4517" s="81" t="e">
        <f>HLOOKUP(Q4517,データについて!$J$11:$M$18,8,FALSE)</f>
        <v>#N/A</v>
      </c>
      <c r="Y4517" s="81" t="e">
        <f>HLOOKUP(R4517,データについて!$J$12:$M$18,7,FALSE)</f>
        <v>#N/A</v>
      </c>
      <c r="Z4517" s="81" t="e">
        <f>HLOOKUP(I4517,データについて!$J$3:$M$18,16,FALSE)</f>
        <v>#N/A</v>
      </c>
      <c r="AA4517" s="81" t="str">
        <f>IFERROR(HLOOKUP(J4517,データについて!$J$4:$AH$19,16,FALSE),"")</f>
        <v/>
      </c>
      <c r="AB4517" s="81" t="str">
        <f>IFERROR(HLOOKUP(K4517,データについて!$J$5:$AH$20,14,FALSE),"")</f>
        <v/>
      </c>
      <c r="AC4517" s="81" t="e">
        <f>IF(X4517=1,HLOOKUP(R4517,データについて!$J$12:$M$18,7,FALSE),"*")</f>
        <v>#N/A</v>
      </c>
      <c r="AD4517" s="81" t="e">
        <f>IF(X4517=2,HLOOKUP(R4517,データについて!$J$12:$M$18,7,FALSE),"*")</f>
        <v>#N/A</v>
      </c>
    </row>
    <row r="4518" spans="19:30">
      <c r="S4518" s="81" t="e">
        <f>HLOOKUP(L4518,データについて!$J$6:$M$18,13,FALSE)</f>
        <v>#N/A</v>
      </c>
      <c r="T4518" s="81" t="e">
        <f>HLOOKUP(M4518,データについて!$J$7:$M$18,12,FALSE)</f>
        <v>#N/A</v>
      </c>
      <c r="U4518" s="81" t="e">
        <f>HLOOKUP(N4518,データについて!$J$8:$M$18,11,FALSE)</f>
        <v>#N/A</v>
      </c>
      <c r="V4518" s="81" t="e">
        <f>HLOOKUP(O4518,データについて!$J$9:$M$18,10,FALSE)</f>
        <v>#N/A</v>
      </c>
      <c r="W4518" s="81" t="e">
        <f>HLOOKUP(P4518,データについて!$J$10:$M$18,9,FALSE)</f>
        <v>#N/A</v>
      </c>
      <c r="X4518" s="81" t="e">
        <f>HLOOKUP(Q4518,データについて!$J$11:$M$18,8,FALSE)</f>
        <v>#N/A</v>
      </c>
      <c r="Y4518" s="81" t="e">
        <f>HLOOKUP(R4518,データについて!$J$12:$M$18,7,FALSE)</f>
        <v>#N/A</v>
      </c>
      <c r="Z4518" s="81" t="e">
        <f>HLOOKUP(I4518,データについて!$J$3:$M$18,16,FALSE)</f>
        <v>#N/A</v>
      </c>
      <c r="AA4518" s="81" t="str">
        <f>IFERROR(HLOOKUP(J4518,データについて!$J$4:$AH$19,16,FALSE),"")</f>
        <v/>
      </c>
      <c r="AB4518" s="81" t="str">
        <f>IFERROR(HLOOKUP(K4518,データについて!$J$5:$AH$20,14,FALSE),"")</f>
        <v/>
      </c>
      <c r="AC4518" s="81" t="e">
        <f>IF(X4518=1,HLOOKUP(R4518,データについて!$J$12:$M$18,7,FALSE),"*")</f>
        <v>#N/A</v>
      </c>
      <c r="AD4518" s="81" t="e">
        <f>IF(X4518=2,HLOOKUP(R4518,データについて!$J$12:$M$18,7,FALSE),"*")</f>
        <v>#N/A</v>
      </c>
    </row>
    <row r="4519" spans="19:30">
      <c r="S4519" s="81" t="e">
        <f>HLOOKUP(L4519,データについて!$J$6:$M$18,13,FALSE)</f>
        <v>#N/A</v>
      </c>
      <c r="T4519" s="81" t="e">
        <f>HLOOKUP(M4519,データについて!$J$7:$M$18,12,FALSE)</f>
        <v>#N/A</v>
      </c>
      <c r="U4519" s="81" t="e">
        <f>HLOOKUP(N4519,データについて!$J$8:$M$18,11,FALSE)</f>
        <v>#N/A</v>
      </c>
      <c r="V4519" s="81" t="e">
        <f>HLOOKUP(O4519,データについて!$J$9:$M$18,10,FALSE)</f>
        <v>#N/A</v>
      </c>
      <c r="W4519" s="81" t="e">
        <f>HLOOKUP(P4519,データについて!$J$10:$M$18,9,FALSE)</f>
        <v>#N/A</v>
      </c>
      <c r="X4519" s="81" t="e">
        <f>HLOOKUP(Q4519,データについて!$J$11:$M$18,8,FALSE)</f>
        <v>#N/A</v>
      </c>
      <c r="Y4519" s="81" t="e">
        <f>HLOOKUP(R4519,データについて!$J$12:$M$18,7,FALSE)</f>
        <v>#N/A</v>
      </c>
      <c r="Z4519" s="81" t="e">
        <f>HLOOKUP(I4519,データについて!$J$3:$M$18,16,FALSE)</f>
        <v>#N/A</v>
      </c>
      <c r="AA4519" s="81" t="str">
        <f>IFERROR(HLOOKUP(J4519,データについて!$J$4:$AH$19,16,FALSE),"")</f>
        <v/>
      </c>
      <c r="AB4519" s="81" t="str">
        <f>IFERROR(HLOOKUP(K4519,データについて!$J$5:$AH$20,14,FALSE),"")</f>
        <v/>
      </c>
      <c r="AC4519" s="81" t="e">
        <f>IF(X4519=1,HLOOKUP(R4519,データについて!$J$12:$M$18,7,FALSE),"*")</f>
        <v>#N/A</v>
      </c>
      <c r="AD4519" s="81" t="e">
        <f>IF(X4519=2,HLOOKUP(R4519,データについて!$J$12:$M$18,7,FALSE),"*")</f>
        <v>#N/A</v>
      </c>
    </row>
    <row r="4520" spans="19:30">
      <c r="S4520" s="81" t="e">
        <f>HLOOKUP(L4520,データについて!$J$6:$M$18,13,FALSE)</f>
        <v>#N/A</v>
      </c>
      <c r="T4520" s="81" t="e">
        <f>HLOOKUP(M4520,データについて!$J$7:$M$18,12,FALSE)</f>
        <v>#N/A</v>
      </c>
      <c r="U4520" s="81" t="e">
        <f>HLOOKUP(N4520,データについて!$J$8:$M$18,11,FALSE)</f>
        <v>#N/A</v>
      </c>
      <c r="V4520" s="81" t="e">
        <f>HLOOKUP(O4520,データについて!$J$9:$M$18,10,FALSE)</f>
        <v>#N/A</v>
      </c>
      <c r="W4520" s="81" t="e">
        <f>HLOOKUP(P4520,データについて!$J$10:$M$18,9,FALSE)</f>
        <v>#N/A</v>
      </c>
      <c r="X4520" s="81" t="e">
        <f>HLOOKUP(Q4520,データについて!$J$11:$M$18,8,FALSE)</f>
        <v>#N/A</v>
      </c>
      <c r="Y4520" s="81" t="e">
        <f>HLOOKUP(R4520,データについて!$J$12:$M$18,7,FALSE)</f>
        <v>#N/A</v>
      </c>
      <c r="Z4520" s="81" t="e">
        <f>HLOOKUP(I4520,データについて!$J$3:$M$18,16,FALSE)</f>
        <v>#N/A</v>
      </c>
      <c r="AA4520" s="81" t="str">
        <f>IFERROR(HLOOKUP(J4520,データについて!$J$4:$AH$19,16,FALSE),"")</f>
        <v/>
      </c>
      <c r="AB4520" s="81" t="str">
        <f>IFERROR(HLOOKUP(K4520,データについて!$J$5:$AH$20,14,FALSE),"")</f>
        <v/>
      </c>
      <c r="AC4520" s="81" t="e">
        <f>IF(X4520=1,HLOOKUP(R4520,データについて!$J$12:$M$18,7,FALSE),"*")</f>
        <v>#N/A</v>
      </c>
      <c r="AD4520" s="81" t="e">
        <f>IF(X4520=2,HLOOKUP(R4520,データについて!$J$12:$M$18,7,FALSE),"*")</f>
        <v>#N/A</v>
      </c>
    </row>
    <row r="4521" spans="19:30">
      <c r="S4521" s="81" t="e">
        <f>HLOOKUP(L4521,データについて!$J$6:$M$18,13,FALSE)</f>
        <v>#N/A</v>
      </c>
      <c r="T4521" s="81" t="e">
        <f>HLOOKUP(M4521,データについて!$J$7:$M$18,12,FALSE)</f>
        <v>#N/A</v>
      </c>
      <c r="U4521" s="81" t="e">
        <f>HLOOKUP(N4521,データについて!$J$8:$M$18,11,FALSE)</f>
        <v>#N/A</v>
      </c>
      <c r="V4521" s="81" t="e">
        <f>HLOOKUP(O4521,データについて!$J$9:$M$18,10,FALSE)</f>
        <v>#N/A</v>
      </c>
      <c r="W4521" s="81" t="e">
        <f>HLOOKUP(P4521,データについて!$J$10:$M$18,9,FALSE)</f>
        <v>#N/A</v>
      </c>
      <c r="X4521" s="81" t="e">
        <f>HLOOKUP(Q4521,データについて!$J$11:$M$18,8,FALSE)</f>
        <v>#N/A</v>
      </c>
      <c r="Y4521" s="81" t="e">
        <f>HLOOKUP(R4521,データについて!$J$12:$M$18,7,FALSE)</f>
        <v>#N/A</v>
      </c>
      <c r="Z4521" s="81" t="e">
        <f>HLOOKUP(I4521,データについて!$J$3:$M$18,16,FALSE)</f>
        <v>#N/A</v>
      </c>
      <c r="AA4521" s="81" t="str">
        <f>IFERROR(HLOOKUP(J4521,データについて!$J$4:$AH$19,16,FALSE),"")</f>
        <v/>
      </c>
      <c r="AB4521" s="81" t="str">
        <f>IFERROR(HLOOKUP(K4521,データについて!$J$5:$AH$20,14,FALSE),"")</f>
        <v/>
      </c>
      <c r="AC4521" s="81" t="e">
        <f>IF(X4521=1,HLOOKUP(R4521,データについて!$J$12:$M$18,7,FALSE),"*")</f>
        <v>#N/A</v>
      </c>
      <c r="AD4521" s="81" t="e">
        <f>IF(X4521=2,HLOOKUP(R4521,データについて!$J$12:$M$18,7,FALSE),"*")</f>
        <v>#N/A</v>
      </c>
    </row>
    <row r="4522" spans="19:30">
      <c r="S4522" s="81" t="e">
        <f>HLOOKUP(L4522,データについて!$J$6:$M$18,13,FALSE)</f>
        <v>#N/A</v>
      </c>
      <c r="T4522" s="81" t="e">
        <f>HLOOKUP(M4522,データについて!$J$7:$M$18,12,FALSE)</f>
        <v>#N/A</v>
      </c>
      <c r="U4522" s="81" t="e">
        <f>HLOOKUP(N4522,データについて!$J$8:$M$18,11,FALSE)</f>
        <v>#N/A</v>
      </c>
      <c r="V4522" s="81" t="e">
        <f>HLOOKUP(O4522,データについて!$J$9:$M$18,10,FALSE)</f>
        <v>#N/A</v>
      </c>
      <c r="W4522" s="81" t="e">
        <f>HLOOKUP(P4522,データについて!$J$10:$M$18,9,FALSE)</f>
        <v>#N/A</v>
      </c>
      <c r="X4522" s="81" t="e">
        <f>HLOOKUP(Q4522,データについて!$J$11:$M$18,8,FALSE)</f>
        <v>#N/A</v>
      </c>
      <c r="Y4522" s="81" t="e">
        <f>HLOOKUP(R4522,データについて!$J$12:$M$18,7,FALSE)</f>
        <v>#N/A</v>
      </c>
      <c r="Z4522" s="81" t="e">
        <f>HLOOKUP(I4522,データについて!$J$3:$M$18,16,FALSE)</f>
        <v>#N/A</v>
      </c>
      <c r="AA4522" s="81" t="str">
        <f>IFERROR(HLOOKUP(J4522,データについて!$J$4:$AH$19,16,FALSE),"")</f>
        <v/>
      </c>
      <c r="AB4522" s="81" t="str">
        <f>IFERROR(HLOOKUP(K4522,データについて!$J$5:$AH$20,14,FALSE),"")</f>
        <v/>
      </c>
      <c r="AC4522" s="81" t="e">
        <f>IF(X4522=1,HLOOKUP(R4522,データについて!$J$12:$M$18,7,FALSE),"*")</f>
        <v>#N/A</v>
      </c>
      <c r="AD4522" s="81" t="e">
        <f>IF(X4522=2,HLOOKUP(R4522,データについて!$J$12:$M$18,7,FALSE),"*")</f>
        <v>#N/A</v>
      </c>
    </row>
    <row r="4523" spans="19:30">
      <c r="S4523" s="81" t="e">
        <f>HLOOKUP(L4523,データについて!$J$6:$M$18,13,FALSE)</f>
        <v>#N/A</v>
      </c>
      <c r="T4523" s="81" t="e">
        <f>HLOOKUP(M4523,データについて!$J$7:$M$18,12,FALSE)</f>
        <v>#N/A</v>
      </c>
      <c r="U4523" s="81" t="e">
        <f>HLOOKUP(N4523,データについて!$J$8:$M$18,11,FALSE)</f>
        <v>#N/A</v>
      </c>
      <c r="V4523" s="81" t="e">
        <f>HLOOKUP(O4523,データについて!$J$9:$M$18,10,FALSE)</f>
        <v>#N/A</v>
      </c>
      <c r="W4523" s="81" t="e">
        <f>HLOOKUP(P4523,データについて!$J$10:$M$18,9,FALSE)</f>
        <v>#N/A</v>
      </c>
      <c r="X4523" s="81" t="e">
        <f>HLOOKUP(Q4523,データについて!$J$11:$M$18,8,FALSE)</f>
        <v>#N/A</v>
      </c>
      <c r="Y4523" s="81" t="e">
        <f>HLOOKUP(R4523,データについて!$J$12:$M$18,7,FALSE)</f>
        <v>#N/A</v>
      </c>
      <c r="Z4523" s="81" t="e">
        <f>HLOOKUP(I4523,データについて!$J$3:$M$18,16,FALSE)</f>
        <v>#N/A</v>
      </c>
      <c r="AA4523" s="81" t="str">
        <f>IFERROR(HLOOKUP(J4523,データについて!$J$4:$AH$19,16,FALSE),"")</f>
        <v/>
      </c>
      <c r="AB4523" s="81" t="str">
        <f>IFERROR(HLOOKUP(K4523,データについて!$J$5:$AH$20,14,FALSE),"")</f>
        <v/>
      </c>
      <c r="AC4523" s="81" t="e">
        <f>IF(X4523=1,HLOOKUP(R4523,データについて!$J$12:$M$18,7,FALSE),"*")</f>
        <v>#N/A</v>
      </c>
      <c r="AD4523" s="81" t="e">
        <f>IF(X4523=2,HLOOKUP(R4523,データについて!$J$12:$M$18,7,FALSE),"*")</f>
        <v>#N/A</v>
      </c>
    </row>
    <row r="4524" spans="19:30">
      <c r="S4524" s="81" t="e">
        <f>HLOOKUP(L4524,データについて!$J$6:$M$18,13,FALSE)</f>
        <v>#N/A</v>
      </c>
      <c r="T4524" s="81" t="e">
        <f>HLOOKUP(M4524,データについて!$J$7:$M$18,12,FALSE)</f>
        <v>#N/A</v>
      </c>
      <c r="U4524" s="81" t="e">
        <f>HLOOKUP(N4524,データについて!$J$8:$M$18,11,FALSE)</f>
        <v>#N/A</v>
      </c>
      <c r="V4524" s="81" t="e">
        <f>HLOOKUP(O4524,データについて!$J$9:$M$18,10,FALSE)</f>
        <v>#N/A</v>
      </c>
      <c r="W4524" s="81" t="e">
        <f>HLOOKUP(P4524,データについて!$J$10:$M$18,9,FALSE)</f>
        <v>#N/A</v>
      </c>
      <c r="X4524" s="81" t="e">
        <f>HLOOKUP(Q4524,データについて!$J$11:$M$18,8,FALSE)</f>
        <v>#N/A</v>
      </c>
      <c r="Y4524" s="81" t="e">
        <f>HLOOKUP(R4524,データについて!$J$12:$M$18,7,FALSE)</f>
        <v>#N/A</v>
      </c>
      <c r="Z4524" s="81" t="e">
        <f>HLOOKUP(I4524,データについて!$J$3:$M$18,16,FALSE)</f>
        <v>#N/A</v>
      </c>
      <c r="AA4524" s="81" t="str">
        <f>IFERROR(HLOOKUP(J4524,データについて!$J$4:$AH$19,16,FALSE),"")</f>
        <v/>
      </c>
      <c r="AB4524" s="81" t="str">
        <f>IFERROR(HLOOKUP(K4524,データについて!$J$5:$AH$20,14,FALSE),"")</f>
        <v/>
      </c>
      <c r="AC4524" s="81" t="e">
        <f>IF(X4524=1,HLOOKUP(R4524,データについて!$J$12:$M$18,7,FALSE),"*")</f>
        <v>#N/A</v>
      </c>
      <c r="AD4524" s="81" t="e">
        <f>IF(X4524=2,HLOOKUP(R4524,データについて!$J$12:$M$18,7,FALSE),"*")</f>
        <v>#N/A</v>
      </c>
    </row>
    <row r="4525" spans="19:30">
      <c r="S4525" s="81" t="e">
        <f>HLOOKUP(L4525,データについて!$J$6:$M$18,13,FALSE)</f>
        <v>#N/A</v>
      </c>
      <c r="T4525" s="81" t="e">
        <f>HLOOKUP(M4525,データについて!$J$7:$M$18,12,FALSE)</f>
        <v>#N/A</v>
      </c>
      <c r="U4525" s="81" t="e">
        <f>HLOOKUP(N4525,データについて!$J$8:$M$18,11,FALSE)</f>
        <v>#N/A</v>
      </c>
      <c r="V4525" s="81" t="e">
        <f>HLOOKUP(O4525,データについて!$J$9:$M$18,10,FALSE)</f>
        <v>#N/A</v>
      </c>
      <c r="W4525" s="81" t="e">
        <f>HLOOKUP(P4525,データについて!$J$10:$M$18,9,FALSE)</f>
        <v>#N/A</v>
      </c>
      <c r="X4525" s="81" t="e">
        <f>HLOOKUP(Q4525,データについて!$J$11:$M$18,8,FALSE)</f>
        <v>#N/A</v>
      </c>
      <c r="Y4525" s="81" t="e">
        <f>HLOOKUP(R4525,データについて!$J$12:$M$18,7,FALSE)</f>
        <v>#N/A</v>
      </c>
      <c r="Z4525" s="81" t="e">
        <f>HLOOKUP(I4525,データについて!$J$3:$M$18,16,FALSE)</f>
        <v>#N/A</v>
      </c>
      <c r="AA4525" s="81" t="str">
        <f>IFERROR(HLOOKUP(J4525,データについて!$J$4:$AH$19,16,FALSE),"")</f>
        <v/>
      </c>
      <c r="AB4525" s="81" t="str">
        <f>IFERROR(HLOOKUP(K4525,データについて!$J$5:$AH$20,14,FALSE),"")</f>
        <v/>
      </c>
      <c r="AC4525" s="81" t="e">
        <f>IF(X4525=1,HLOOKUP(R4525,データについて!$J$12:$M$18,7,FALSE),"*")</f>
        <v>#N/A</v>
      </c>
      <c r="AD4525" s="81" t="e">
        <f>IF(X4525=2,HLOOKUP(R4525,データについて!$J$12:$M$18,7,FALSE),"*")</f>
        <v>#N/A</v>
      </c>
    </row>
    <row r="4526" spans="19:30">
      <c r="S4526" s="81" t="e">
        <f>HLOOKUP(L4526,データについて!$J$6:$M$18,13,FALSE)</f>
        <v>#N/A</v>
      </c>
      <c r="T4526" s="81" t="e">
        <f>HLOOKUP(M4526,データについて!$J$7:$M$18,12,FALSE)</f>
        <v>#N/A</v>
      </c>
      <c r="U4526" s="81" t="e">
        <f>HLOOKUP(N4526,データについて!$J$8:$M$18,11,FALSE)</f>
        <v>#N/A</v>
      </c>
      <c r="V4526" s="81" t="e">
        <f>HLOOKUP(O4526,データについて!$J$9:$M$18,10,FALSE)</f>
        <v>#N/A</v>
      </c>
      <c r="W4526" s="81" t="e">
        <f>HLOOKUP(P4526,データについて!$J$10:$M$18,9,FALSE)</f>
        <v>#N/A</v>
      </c>
      <c r="X4526" s="81" t="e">
        <f>HLOOKUP(Q4526,データについて!$J$11:$M$18,8,FALSE)</f>
        <v>#N/A</v>
      </c>
      <c r="Y4526" s="81" t="e">
        <f>HLOOKUP(R4526,データについて!$J$12:$M$18,7,FALSE)</f>
        <v>#N/A</v>
      </c>
      <c r="Z4526" s="81" t="e">
        <f>HLOOKUP(I4526,データについて!$J$3:$M$18,16,FALSE)</f>
        <v>#N/A</v>
      </c>
      <c r="AA4526" s="81" t="str">
        <f>IFERROR(HLOOKUP(J4526,データについて!$J$4:$AH$19,16,FALSE),"")</f>
        <v/>
      </c>
      <c r="AB4526" s="81" t="str">
        <f>IFERROR(HLOOKUP(K4526,データについて!$J$5:$AH$20,14,FALSE),"")</f>
        <v/>
      </c>
      <c r="AC4526" s="81" t="e">
        <f>IF(X4526=1,HLOOKUP(R4526,データについて!$J$12:$M$18,7,FALSE),"*")</f>
        <v>#N/A</v>
      </c>
      <c r="AD4526" s="81" t="e">
        <f>IF(X4526=2,HLOOKUP(R4526,データについて!$J$12:$M$18,7,FALSE),"*")</f>
        <v>#N/A</v>
      </c>
    </row>
    <row r="4527" spans="19:30">
      <c r="S4527" s="81" t="e">
        <f>HLOOKUP(L4527,データについて!$J$6:$M$18,13,FALSE)</f>
        <v>#N/A</v>
      </c>
      <c r="T4527" s="81" t="e">
        <f>HLOOKUP(M4527,データについて!$J$7:$M$18,12,FALSE)</f>
        <v>#N/A</v>
      </c>
      <c r="U4527" s="81" t="e">
        <f>HLOOKUP(N4527,データについて!$J$8:$M$18,11,FALSE)</f>
        <v>#N/A</v>
      </c>
      <c r="V4527" s="81" t="e">
        <f>HLOOKUP(O4527,データについて!$J$9:$M$18,10,FALSE)</f>
        <v>#N/A</v>
      </c>
      <c r="W4527" s="81" t="e">
        <f>HLOOKUP(P4527,データについて!$J$10:$M$18,9,FALSE)</f>
        <v>#N/A</v>
      </c>
      <c r="X4527" s="81" t="e">
        <f>HLOOKUP(Q4527,データについて!$J$11:$M$18,8,FALSE)</f>
        <v>#N/A</v>
      </c>
      <c r="Y4527" s="81" t="e">
        <f>HLOOKUP(R4527,データについて!$J$12:$M$18,7,FALSE)</f>
        <v>#N/A</v>
      </c>
      <c r="Z4527" s="81" t="e">
        <f>HLOOKUP(I4527,データについて!$J$3:$M$18,16,FALSE)</f>
        <v>#N/A</v>
      </c>
      <c r="AA4527" s="81" t="str">
        <f>IFERROR(HLOOKUP(J4527,データについて!$J$4:$AH$19,16,FALSE),"")</f>
        <v/>
      </c>
      <c r="AB4527" s="81" t="str">
        <f>IFERROR(HLOOKUP(K4527,データについて!$J$5:$AH$20,14,FALSE),"")</f>
        <v/>
      </c>
      <c r="AC4527" s="81" t="e">
        <f>IF(X4527=1,HLOOKUP(R4527,データについて!$J$12:$M$18,7,FALSE),"*")</f>
        <v>#N/A</v>
      </c>
      <c r="AD4527" s="81" t="e">
        <f>IF(X4527=2,HLOOKUP(R4527,データについて!$J$12:$M$18,7,FALSE),"*")</f>
        <v>#N/A</v>
      </c>
    </row>
    <row r="4528" spans="19:30">
      <c r="S4528" s="81" t="e">
        <f>HLOOKUP(L4528,データについて!$J$6:$M$18,13,FALSE)</f>
        <v>#N/A</v>
      </c>
      <c r="T4528" s="81" t="e">
        <f>HLOOKUP(M4528,データについて!$J$7:$M$18,12,FALSE)</f>
        <v>#N/A</v>
      </c>
      <c r="U4528" s="81" t="e">
        <f>HLOOKUP(N4528,データについて!$J$8:$M$18,11,FALSE)</f>
        <v>#N/A</v>
      </c>
      <c r="V4528" s="81" t="e">
        <f>HLOOKUP(O4528,データについて!$J$9:$M$18,10,FALSE)</f>
        <v>#N/A</v>
      </c>
      <c r="W4528" s="81" t="e">
        <f>HLOOKUP(P4528,データについて!$J$10:$M$18,9,FALSE)</f>
        <v>#N/A</v>
      </c>
      <c r="X4528" s="81" t="e">
        <f>HLOOKUP(Q4528,データについて!$J$11:$M$18,8,FALSE)</f>
        <v>#N/A</v>
      </c>
      <c r="Y4528" s="81" t="e">
        <f>HLOOKUP(R4528,データについて!$J$12:$M$18,7,FALSE)</f>
        <v>#N/A</v>
      </c>
      <c r="Z4528" s="81" t="e">
        <f>HLOOKUP(I4528,データについて!$J$3:$M$18,16,FALSE)</f>
        <v>#N/A</v>
      </c>
      <c r="AA4528" s="81" t="str">
        <f>IFERROR(HLOOKUP(J4528,データについて!$J$4:$AH$19,16,FALSE),"")</f>
        <v/>
      </c>
      <c r="AB4528" s="81" t="str">
        <f>IFERROR(HLOOKUP(K4528,データについて!$J$5:$AH$20,14,FALSE),"")</f>
        <v/>
      </c>
      <c r="AC4528" s="81" t="e">
        <f>IF(X4528=1,HLOOKUP(R4528,データについて!$J$12:$M$18,7,FALSE),"*")</f>
        <v>#N/A</v>
      </c>
      <c r="AD4528" s="81" t="e">
        <f>IF(X4528=2,HLOOKUP(R4528,データについて!$J$12:$M$18,7,FALSE),"*")</f>
        <v>#N/A</v>
      </c>
    </row>
    <row r="4529" spans="19:30">
      <c r="S4529" s="81" t="e">
        <f>HLOOKUP(L4529,データについて!$J$6:$M$18,13,FALSE)</f>
        <v>#N/A</v>
      </c>
      <c r="T4529" s="81" t="e">
        <f>HLOOKUP(M4529,データについて!$J$7:$M$18,12,FALSE)</f>
        <v>#N/A</v>
      </c>
      <c r="U4529" s="81" t="e">
        <f>HLOOKUP(N4529,データについて!$J$8:$M$18,11,FALSE)</f>
        <v>#N/A</v>
      </c>
      <c r="V4529" s="81" t="e">
        <f>HLOOKUP(O4529,データについて!$J$9:$M$18,10,FALSE)</f>
        <v>#N/A</v>
      </c>
      <c r="W4529" s="81" t="e">
        <f>HLOOKUP(P4529,データについて!$J$10:$M$18,9,FALSE)</f>
        <v>#N/A</v>
      </c>
      <c r="X4529" s="81" t="e">
        <f>HLOOKUP(Q4529,データについて!$J$11:$M$18,8,FALSE)</f>
        <v>#N/A</v>
      </c>
      <c r="Y4529" s="81" t="e">
        <f>HLOOKUP(R4529,データについて!$J$12:$M$18,7,FALSE)</f>
        <v>#N/A</v>
      </c>
      <c r="Z4529" s="81" t="e">
        <f>HLOOKUP(I4529,データについて!$J$3:$M$18,16,FALSE)</f>
        <v>#N/A</v>
      </c>
      <c r="AA4529" s="81" t="str">
        <f>IFERROR(HLOOKUP(J4529,データについて!$J$4:$AH$19,16,FALSE),"")</f>
        <v/>
      </c>
      <c r="AB4529" s="81" t="str">
        <f>IFERROR(HLOOKUP(K4529,データについて!$J$5:$AH$20,14,FALSE),"")</f>
        <v/>
      </c>
      <c r="AC4529" s="81" t="e">
        <f>IF(X4529=1,HLOOKUP(R4529,データについて!$J$12:$M$18,7,FALSE),"*")</f>
        <v>#N/A</v>
      </c>
      <c r="AD4529" s="81" t="e">
        <f>IF(X4529=2,HLOOKUP(R4529,データについて!$J$12:$M$18,7,FALSE),"*")</f>
        <v>#N/A</v>
      </c>
    </row>
    <row r="4530" spans="19:30">
      <c r="S4530" s="81" t="e">
        <f>HLOOKUP(L4530,データについて!$J$6:$M$18,13,FALSE)</f>
        <v>#N/A</v>
      </c>
      <c r="T4530" s="81" t="e">
        <f>HLOOKUP(M4530,データについて!$J$7:$M$18,12,FALSE)</f>
        <v>#N/A</v>
      </c>
      <c r="U4530" s="81" t="e">
        <f>HLOOKUP(N4530,データについて!$J$8:$M$18,11,FALSE)</f>
        <v>#N/A</v>
      </c>
      <c r="V4530" s="81" t="e">
        <f>HLOOKUP(O4530,データについて!$J$9:$M$18,10,FALSE)</f>
        <v>#N/A</v>
      </c>
      <c r="W4530" s="81" t="e">
        <f>HLOOKUP(P4530,データについて!$J$10:$M$18,9,FALSE)</f>
        <v>#N/A</v>
      </c>
      <c r="X4530" s="81" t="e">
        <f>HLOOKUP(Q4530,データについて!$J$11:$M$18,8,FALSE)</f>
        <v>#N/A</v>
      </c>
      <c r="Y4530" s="81" t="e">
        <f>HLOOKUP(R4530,データについて!$J$12:$M$18,7,FALSE)</f>
        <v>#N/A</v>
      </c>
      <c r="Z4530" s="81" t="e">
        <f>HLOOKUP(I4530,データについて!$J$3:$M$18,16,FALSE)</f>
        <v>#N/A</v>
      </c>
      <c r="AA4530" s="81" t="str">
        <f>IFERROR(HLOOKUP(J4530,データについて!$J$4:$AH$19,16,FALSE),"")</f>
        <v/>
      </c>
      <c r="AB4530" s="81" t="str">
        <f>IFERROR(HLOOKUP(K4530,データについて!$J$5:$AH$20,14,FALSE),"")</f>
        <v/>
      </c>
      <c r="AC4530" s="81" t="e">
        <f>IF(X4530=1,HLOOKUP(R4530,データについて!$J$12:$M$18,7,FALSE),"*")</f>
        <v>#N/A</v>
      </c>
      <c r="AD4530" s="81" t="e">
        <f>IF(X4530=2,HLOOKUP(R4530,データについて!$J$12:$M$18,7,FALSE),"*")</f>
        <v>#N/A</v>
      </c>
    </row>
    <row r="4531" spans="19:30">
      <c r="S4531" s="81" t="e">
        <f>HLOOKUP(L4531,データについて!$J$6:$M$18,13,FALSE)</f>
        <v>#N/A</v>
      </c>
      <c r="T4531" s="81" t="e">
        <f>HLOOKUP(M4531,データについて!$J$7:$M$18,12,FALSE)</f>
        <v>#N/A</v>
      </c>
      <c r="U4531" s="81" t="e">
        <f>HLOOKUP(N4531,データについて!$J$8:$M$18,11,FALSE)</f>
        <v>#N/A</v>
      </c>
      <c r="V4531" s="81" t="e">
        <f>HLOOKUP(O4531,データについて!$J$9:$M$18,10,FALSE)</f>
        <v>#N/A</v>
      </c>
      <c r="W4531" s="81" t="e">
        <f>HLOOKUP(P4531,データについて!$J$10:$M$18,9,FALSE)</f>
        <v>#N/A</v>
      </c>
      <c r="X4531" s="81" t="e">
        <f>HLOOKUP(Q4531,データについて!$J$11:$M$18,8,FALSE)</f>
        <v>#N/A</v>
      </c>
      <c r="Y4531" s="81" t="e">
        <f>HLOOKUP(R4531,データについて!$J$12:$M$18,7,FALSE)</f>
        <v>#N/A</v>
      </c>
      <c r="Z4531" s="81" t="e">
        <f>HLOOKUP(I4531,データについて!$J$3:$M$18,16,FALSE)</f>
        <v>#N/A</v>
      </c>
      <c r="AA4531" s="81" t="str">
        <f>IFERROR(HLOOKUP(J4531,データについて!$J$4:$AH$19,16,FALSE),"")</f>
        <v/>
      </c>
      <c r="AB4531" s="81" t="str">
        <f>IFERROR(HLOOKUP(K4531,データについて!$J$5:$AH$20,14,FALSE),"")</f>
        <v/>
      </c>
      <c r="AC4531" s="81" t="e">
        <f>IF(X4531=1,HLOOKUP(R4531,データについて!$J$12:$M$18,7,FALSE),"*")</f>
        <v>#N/A</v>
      </c>
      <c r="AD4531" s="81" t="e">
        <f>IF(X4531=2,HLOOKUP(R4531,データについて!$J$12:$M$18,7,FALSE),"*")</f>
        <v>#N/A</v>
      </c>
    </row>
    <row r="4532" spans="19:30">
      <c r="S4532" s="81" t="e">
        <f>HLOOKUP(L4532,データについて!$J$6:$M$18,13,FALSE)</f>
        <v>#N/A</v>
      </c>
      <c r="T4532" s="81" t="e">
        <f>HLOOKUP(M4532,データについて!$J$7:$M$18,12,FALSE)</f>
        <v>#N/A</v>
      </c>
      <c r="U4532" s="81" t="e">
        <f>HLOOKUP(N4532,データについて!$J$8:$M$18,11,FALSE)</f>
        <v>#N/A</v>
      </c>
      <c r="V4532" s="81" t="e">
        <f>HLOOKUP(O4532,データについて!$J$9:$M$18,10,FALSE)</f>
        <v>#N/A</v>
      </c>
      <c r="W4532" s="81" t="e">
        <f>HLOOKUP(P4532,データについて!$J$10:$M$18,9,FALSE)</f>
        <v>#N/A</v>
      </c>
      <c r="X4532" s="81" t="e">
        <f>HLOOKUP(Q4532,データについて!$J$11:$M$18,8,FALSE)</f>
        <v>#N/A</v>
      </c>
      <c r="Y4532" s="81" t="e">
        <f>HLOOKUP(R4532,データについて!$J$12:$M$18,7,FALSE)</f>
        <v>#N/A</v>
      </c>
      <c r="Z4532" s="81" t="e">
        <f>HLOOKUP(I4532,データについて!$J$3:$M$18,16,FALSE)</f>
        <v>#N/A</v>
      </c>
      <c r="AA4532" s="81" t="str">
        <f>IFERROR(HLOOKUP(J4532,データについて!$J$4:$AH$19,16,FALSE),"")</f>
        <v/>
      </c>
      <c r="AB4532" s="81" t="str">
        <f>IFERROR(HLOOKUP(K4532,データについて!$J$5:$AH$20,14,FALSE),"")</f>
        <v/>
      </c>
      <c r="AC4532" s="81" t="e">
        <f>IF(X4532=1,HLOOKUP(R4532,データについて!$J$12:$M$18,7,FALSE),"*")</f>
        <v>#N/A</v>
      </c>
      <c r="AD4532" s="81" t="e">
        <f>IF(X4532=2,HLOOKUP(R4532,データについて!$J$12:$M$18,7,FALSE),"*")</f>
        <v>#N/A</v>
      </c>
    </row>
    <row r="4533" spans="19:30">
      <c r="S4533" s="81" t="e">
        <f>HLOOKUP(L4533,データについて!$J$6:$M$18,13,FALSE)</f>
        <v>#N/A</v>
      </c>
      <c r="T4533" s="81" t="e">
        <f>HLOOKUP(M4533,データについて!$J$7:$M$18,12,FALSE)</f>
        <v>#N/A</v>
      </c>
      <c r="U4533" s="81" t="e">
        <f>HLOOKUP(N4533,データについて!$J$8:$M$18,11,FALSE)</f>
        <v>#N/A</v>
      </c>
      <c r="V4533" s="81" t="e">
        <f>HLOOKUP(O4533,データについて!$J$9:$M$18,10,FALSE)</f>
        <v>#N/A</v>
      </c>
      <c r="W4533" s="81" t="e">
        <f>HLOOKUP(P4533,データについて!$J$10:$M$18,9,FALSE)</f>
        <v>#N/A</v>
      </c>
      <c r="X4533" s="81" t="e">
        <f>HLOOKUP(Q4533,データについて!$J$11:$M$18,8,FALSE)</f>
        <v>#N/A</v>
      </c>
      <c r="Y4533" s="81" t="e">
        <f>HLOOKUP(R4533,データについて!$J$12:$M$18,7,FALSE)</f>
        <v>#N/A</v>
      </c>
      <c r="Z4533" s="81" t="e">
        <f>HLOOKUP(I4533,データについて!$J$3:$M$18,16,FALSE)</f>
        <v>#N/A</v>
      </c>
      <c r="AA4533" s="81" t="str">
        <f>IFERROR(HLOOKUP(J4533,データについて!$J$4:$AH$19,16,FALSE),"")</f>
        <v/>
      </c>
      <c r="AB4533" s="81" t="str">
        <f>IFERROR(HLOOKUP(K4533,データについて!$J$5:$AH$20,14,FALSE),"")</f>
        <v/>
      </c>
      <c r="AC4533" s="81" t="e">
        <f>IF(X4533=1,HLOOKUP(R4533,データについて!$J$12:$M$18,7,FALSE),"*")</f>
        <v>#N/A</v>
      </c>
      <c r="AD4533" s="81" t="e">
        <f>IF(X4533=2,HLOOKUP(R4533,データについて!$J$12:$M$18,7,FALSE),"*")</f>
        <v>#N/A</v>
      </c>
    </row>
    <row r="4534" spans="19:30">
      <c r="S4534" s="81" t="e">
        <f>HLOOKUP(L4534,データについて!$J$6:$M$18,13,FALSE)</f>
        <v>#N/A</v>
      </c>
      <c r="T4534" s="81" t="e">
        <f>HLOOKUP(M4534,データについて!$J$7:$M$18,12,FALSE)</f>
        <v>#N/A</v>
      </c>
      <c r="U4534" s="81" t="e">
        <f>HLOOKUP(N4534,データについて!$J$8:$M$18,11,FALSE)</f>
        <v>#N/A</v>
      </c>
      <c r="V4534" s="81" t="e">
        <f>HLOOKUP(O4534,データについて!$J$9:$M$18,10,FALSE)</f>
        <v>#N/A</v>
      </c>
      <c r="W4534" s="81" t="e">
        <f>HLOOKUP(P4534,データについて!$J$10:$M$18,9,FALSE)</f>
        <v>#N/A</v>
      </c>
      <c r="X4534" s="81" t="e">
        <f>HLOOKUP(Q4534,データについて!$J$11:$M$18,8,FALSE)</f>
        <v>#N/A</v>
      </c>
      <c r="Y4534" s="81" t="e">
        <f>HLOOKUP(R4534,データについて!$J$12:$M$18,7,FALSE)</f>
        <v>#N/A</v>
      </c>
      <c r="Z4534" s="81" t="e">
        <f>HLOOKUP(I4534,データについて!$J$3:$M$18,16,FALSE)</f>
        <v>#N/A</v>
      </c>
      <c r="AA4534" s="81" t="str">
        <f>IFERROR(HLOOKUP(J4534,データについて!$J$4:$AH$19,16,FALSE),"")</f>
        <v/>
      </c>
      <c r="AB4534" s="81" t="str">
        <f>IFERROR(HLOOKUP(K4534,データについて!$J$5:$AH$20,14,FALSE),"")</f>
        <v/>
      </c>
      <c r="AC4534" s="81" t="e">
        <f>IF(X4534=1,HLOOKUP(R4534,データについて!$J$12:$M$18,7,FALSE),"*")</f>
        <v>#N/A</v>
      </c>
      <c r="AD4534" s="81" t="e">
        <f>IF(X4534=2,HLOOKUP(R4534,データについて!$J$12:$M$18,7,FALSE),"*")</f>
        <v>#N/A</v>
      </c>
    </row>
    <row r="4535" spans="19:30">
      <c r="S4535" s="81" t="e">
        <f>HLOOKUP(L4535,データについて!$J$6:$M$18,13,FALSE)</f>
        <v>#N/A</v>
      </c>
      <c r="T4535" s="81" t="e">
        <f>HLOOKUP(M4535,データについて!$J$7:$M$18,12,FALSE)</f>
        <v>#N/A</v>
      </c>
      <c r="U4535" s="81" t="e">
        <f>HLOOKUP(N4535,データについて!$J$8:$M$18,11,FALSE)</f>
        <v>#N/A</v>
      </c>
      <c r="V4535" s="81" t="e">
        <f>HLOOKUP(O4535,データについて!$J$9:$M$18,10,FALSE)</f>
        <v>#N/A</v>
      </c>
      <c r="W4535" s="81" t="e">
        <f>HLOOKUP(P4535,データについて!$J$10:$M$18,9,FALSE)</f>
        <v>#N/A</v>
      </c>
      <c r="X4535" s="81" t="e">
        <f>HLOOKUP(Q4535,データについて!$J$11:$M$18,8,FALSE)</f>
        <v>#N/A</v>
      </c>
      <c r="Y4535" s="81" t="e">
        <f>HLOOKUP(R4535,データについて!$J$12:$M$18,7,FALSE)</f>
        <v>#N/A</v>
      </c>
      <c r="Z4535" s="81" t="e">
        <f>HLOOKUP(I4535,データについて!$J$3:$M$18,16,FALSE)</f>
        <v>#N/A</v>
      </c>
      <c r="AA4535" s="81" t="str">
        <f>IFERROR(HLOOKUP(J4535,データについて!$J$4:$AH$19,16,FALSE),"")</f>
        <v/>
      </c>
      <c r="AB4535" s="81" t="str">
        <f>IFERROR(HLOOKUP(K4535,データについて!$J$5:$AH$20,14,FALSE),"")</f>
        <v/>
      </c>
      <c r="AC4535" s="81" t="e">
        <f>IF(X4535=1,HLOOKUP(R4535,データについて!$J$12:$M$18,7,FALSE),"*")</f>
        <v>#N/A</v>
      </c>
      <c r="AD4535" s="81" t="e">
        <f>IF(X4535=2,HLOOKUP(R4535,データについて!$J$12:$M$18,7,FALSE),"*")</f>
        <v>#N/A</v>
      </c>
    </row>
    <row r="4536" spans="19:30">
      <c r="S4536" s="81" t="e">
        <f>HLOOKUP(L4536,データについて!$J$6:$M$18,13,FALSE)</f>
        <v>#N/A</v>
      </c>
      <c r="T4536" s="81" t="e">
        <f>HLOOKUP(M4536,データについて!$J$7:$M$18,12,FALSE)</f>
        <v>#N/A</v>
      </c>
      <c r="U4536" s="81" t="e">
        <f>HLOOKUP(N4536,データについて!$J$8:$M$18,11,FALSE)</f>
        <v>#N/A</v>
      </c>
      <c r="V4536" s="81" t="e">
        <f>HLOOKUP(O4536,データについて!$J$9:$M$18,10,FALSE)</f>
        <v>#N/A</v>
      </c>
      <c r="W4536" s="81" t="e">
        <f>HLOOKUP(P4536,データについて!$J$10:$M$18,9,FALSE)</f>
        <v>#N/A</v>
      </c>
      <c r="X4536" s="81" t="e">
        <f>HLOOKUP(Q4536,データについて!$J$11:$M$18,8,FALSE)</f>
        <v>#N/A</v>
      </c>
      <c r="Y4536" s="81" t="e">
        <f>HLOOKUP(R4536,データについて!$J$12:$M$18,7,FALSE)</f>
        <v>#N/A</v>
      </c>
      <c r="Z4536" s="81" t="e">
        <f>HLOOKUP(I4536,データについて!$J$3:$M$18,16,FALSE)</f>
        <v>#N/A</v>
      </c>
      <c r="AA4536" s="81" t="str">
        <f>IFERROR(HLOOKUP(J4536,データについて!$J$4:$AH$19,16,FALSE),"")</f>
        <v/>
      </c>
      <c r="AB4536" s="81" t="str">
        <f>IFERROR(HLOOKUP(K4536,データについて!$J$5:$AH$20,14,FALSE),"")</f>
        <v/>
      </c>
      <c r="AC4536" s="81" t="e">
        <f>IF(X4536=1,HLOOKUP(R4536,データについて!$J$12:$M$18,7,FALSE),"*")</f>
        <v>#N/A</v>
      </c>
      <c r="AD4536" s="81" t="e">
        <f>IF(X4536=2,HLOOKUP(R4536,データについて!$J$12:$M$18,7,FALSE),"*")</f>
        <v>#N/A</v>
      </c>
    </row>
    <row r="4537" spans="19:30">
      <c r="S4537" s="81" t="e">
        <f>HLOOKUP(L4537,データについて!$J$6:$M$18,13,FALSE)</f>
        <v>#N/A</v>
      </c>
      <c r="T4537" s="81" t="e">
        <f>HLOOKUP(M4537,データについて!$J$7:$M$18,12,FALSE)</f>
        <v>#N/A</v>
      </c>
      <c r="U4537" s="81" t="e">
        <f>HLOOKUP(N4537,データについて!$J$8:$M$18,11,FALSE)</f>
        <v>#N/A</v>
      </c>
      <c r="V4537" s="81" t="e">
        <f>HLOOKUP(O4537,データについて!$J$9:$M$18,10,FALSE)</f>
        <v>#N/A</v>
      </c>
      <c r="W4537" s="81" t="e">
        <f>HLOOKUP(P4537,データについて!$J$10:$M$18,9,FALSE)</f>
        <v>#N/A</v>
      </c>
      <c r="X4537" s="81" t="e">
        <f>HLOOKUP(Q4537,データについて!$J$11:$M$18,8,FALSE)</f>
        <v>#N/A</v>
      </c>
      <c r="Y4537" s="81" t="e">
        <f>HLOOKUP(R4537,データについて!$J$12:$M$18,7,FALSE)</f>
        <v>#N/A</v>
      </c>
      <c r="Z4537" s="81" t="e">
        <f>HLOOKUP(I4537,データについて!$J$3:$M$18,16,FALSE)</f>
        <v>#N/A</v>
      </c>
      <c r="AA4537" s="81" t="str">
        <f>IFERROR(HLOOKUP(J4537,データについて!$J$4:$AH$19,16,FALSE),"")</f>
        <v/>
      </c>
      <c r="AB4537" s="81" t="str">
        <f>IFERROR(HLOOKUP(K4537,データについて!$J$5:$AH$20,14,FALSE),"")</f>
        <v/>
      </c>
      <c r="AC4537" s="81" t="e">
        <f>IF(X4537=1,HLOOKUP(R4537,データについて!$J$12:$M$18,7,FALSE),"*")</f>
        <v>#N/A</v>
      </c>
      <c r="AD4537" s="81" t="e">
        <f>IF(X4537=2,HLOOKUP(R4537,データについて!$J$12:$M$18,7,FALSE),"*")</f>
        <v>#N/A</v>
      </c>
    </row>
    <row r="4538" spans="19:30">
      <c r="S4538" s="81" t="e">
        <f>HLOOKUP(L4538,データについて!$J$6:$M$18,13,FALSE)</f>
        <v>#N/A</v>
      </c>
      <c r="T4538" s="81" t="e">
        <f>HLOOKUP(M4538,データについて!$J$7:$M$18,12,FALSE)</f>
        <v>#N/A</v>
      </c>
      <c r="U4538" s="81" t="e">
        <f>HLOOKUP(N4538,データについて!$J$8:$M$18,11,FALSE)</f>
        <v>#N/A</v>
      </c>
      <c r="V4538" s="81" t="e">
        <f>HLOOKUP(O4538,データについて!$J$9:$M$18,10,FALSE)</f>
        <v>#N/A</v>
      </c>
      <c r="W4538" s="81" t="e">
        <f>HLOOKUP(P4538,データについて!$J$10:$M$18,9,FALSE)</f>
        <v>#N/A</v>
      </c>
      <c r="X4538" s="81" t="e">
        <f>HLOOKUP(Q4538,データについて!$J$11:$M$18,8,FALSE)</f>
        <v>#N/A</v>
      </c>
      <c r="Y4538" s="81" t="e">
        <f>HLOOKUP(R4538,データについて!$J$12:$M$18,7,FALSE)</f>
        <v>#N/A</v>
      </c>
      <c r="Z4538" s="81" t="e">
        <f>HLOOKUP(I4538,データについて!$J$3:$M$18,16,FALSE)</f>
        <v>#N/A</v>
      </c>
      <c r="AA4538" s="81" t="str">
        <f>IFERROR(HLOOKUP(J4538,データについて!$J$4:$AH$19,16,FALSE),"")</f>
        <v/>
      </c>
      <c r="AB4538" s="81" t="str">
        <f>IFERROR(HLOOKUP(K4538,データについて!$J$5:$AH$20,14,FALSE),"")</f>
        <v/>
      </c>
      <c r="AC4538" s="81" t="e">
        <f>IF(X4538=1,HLOOKUP(R4538,データについて!$J$12:$M$18,7,FALSE),"*")</f>
        <v>#N/A</v>
      </c>
      <c r="AD4538" s="81" t="e">
        <f>IF(X4538=2,HLOOKUP(R4538,データについて!$J$12:$M$18,7,FALSE),"*")</f>
        <v>#N/A</v>
      </c>
    </row>
    <row r="4539" spans="19:30">
      <c r="S4539" s="81" t="e">
        <f>HLOOKUP(L4539,データについて!$J$6:$M$18,13,FALSE)</f>
        <v>#N/A</v>
      </c>
      <c r="T4539" s="81" t="e">
        <f>HLOOKUP(M4539,データについて!$J$7:$M$18,12,FALSE)</f>
        <v>#N/A</v>
      </c>
      <c r="U4539" s="81" t="e">
        <f>HLOOKUP(N4539,データについて!$J$8:$M$18,11,FALSE)</f>
        <v>#N/A</v>
      </c>
      <c r="V4539" s="81" t="e">
        <f>HLOOKUP(O4539,データについて!$J$9:$M$18,10,FALSE)</f>
        <v>#N/A</v>
      </c>
      <c r="W4539" s="81" t="e">
        <f>HLOOKUP(P4539,データについて!$J$10:$M$18,9,FALSE)</f>
        <v>#N/A</v>
      </c>
      <c r="X4539" s="81" t="e">
        <f>HLOOKUP(Q4539,データについて!$J$11:$M$18,8,FALSE)</f>
        <v>#N/A</v>
      </c>
      <c r="Y4539" s="81" t="e">
        <f>HLOOKUP(R4539,データについて!$J$12:$M$18,7,FALSE)</f>
        <v>#N/A</v>
      </c>
      <c r="Z4539" s="81" t="e">
        <f>HLOOKUP(I4539,データについて!$J$3:$M$18,16,FALSE)</f>
        <v>#N/A</v>
      </c>
      <c r="AA4539" s="81" t="str">
        <f>IFERROR(HLOOKUP(J4539,データについて!$J$4:$AH$19,16,FALSE),"")</f>
        <v/>
      </c>
      <c r="AB4539" s="81" t="str">
        <f>IFERROR(HLOOKUP(K4539,データについて!$J$5:$AH$20,14,FALSE),"")</f>
        <v/>
      </c>
      <c r="AC4539" s="81" t="e">
        <f>IF(X4539=1,HLOOKUP(R4539,データについて!$J$12:$M$18,7,FALSE),"*")</f>
        <v>#N/A</v>
      </c>
      <c r="AD4539" s="81" t="e">
        <f>IF(X4539=2,HLOOKUP(R4539,データについて!$J$12:$M$18,7,FALSE),"*")</f>
        <v>#N/A</v>
      </c>
    </row>
    <row r="4540" spans="19:30">
      <c r="S4540" s="81" t="e">
        <f>HLOOKUP(L4540,データについて!$J$6:$M$18,13,FALSE)</f>
        <v>#N/A</v>
      </c>
      <c r="T4540" s="81" t="e">
        <f>HLOOKUP(M4540,データについて!$J$7:$M$18,12,FALSE)</f>
        <v>#N/A</v>
      </c>
      <c r="U4540" s="81" t="e">
        <f>HLOOKUP(N4540,データについて!$J$8:$M$18,11,FALSE)</f>
        <v>#N/A</v>
      </c>
      <c r="V4540" s="81" t="e">
        <f>HLOOKUP(O4540,データについて!$J$9:$M$18,10,FALSE)</f>
        <v>#N/A</v>
      </c>
      <c r="W4540" s="81" t="e">
        <f>HLOOKUP(P4540,データについて!$J$10:$M$18,9,FALSE)</f>
        <v>#N/A</v>
      </c>
      <c r="X4540" s="81" t="e">
        <f>HLOOKUP(Q4540,データについて!$J$11:$M$18,8,FALSE)</f>
        <v>#N/A</v>
      </c>
      <c r="Y4540" s="81" t="e">
        <f>HLOOKUP(R4540,データについて!$J$12:$M$18,7,FALSE)</f>
        <v>#N/A</v>
      </c>
      <c r="Z4540" s="81" t="e">
        <f>HLOOKUP(I4540,データについて!$J$3:$M$18,16,FALSE)</f>
        <v>#N/A</v>
      </c>
      <c r="AA4540" s="81" t="str">
        <f>IFERROR(HLOOKUP(J4540,データについて!$J$4:$AH$19,16,FALSE),"")</f>
        <v/>
      </c>
      <c r="AB4540" s="81" t="str">
        <f>IFERROR(HLOOKUP(K4540,データについて!$J$5:$AH$20,14,FALSE),"")</f>
        <v/>
      </c>
      <c r="AC4540" s="81" t="e">
        <f>IF(X4540=1,HLOOKUP(R4540,データについて!$J$12:$M$18,7,FALSE),"*")</f>
        <v>#N/A</v>
      </c>
      <c r="AD4540" s="81" t="e">
        <f>IF(X4540=2,HLOOKUP(R4540,データについて!$J$12:$M$18,7,FALSE),"*")</f>
        <v>#N/A</v>
      </c>
    </row>
    <row r="4541" spans="19:30">
      <c r="S4541" s="81" t="e">
        <f>HLOOKUP(L4541,データについて!$J$6:$M$18,13,FALSE)</f>
        <v>#N/A</v>
      </c>
      <c r="T4541" s="81" t="e">
        <f>HLOOKUP(M4541,データについて!$J$7:$M$18,12,FALSE)</f>
        <v>#N/A</v>
      </c>
      <c r="U4541" s="81" t="e">
        <f>HLOOKUP(N4541,データについて!$J$8:$M$18,11,FALSE)</f>
        <v>#N/A</v>
      </c>
      <c r="V4541" s="81" t="e">
        <f>HLOOKUP(O4541,データについて!$J$9:$M$18,10,FALSE)</f>
        <v>#N/A</v>
      </c>
      <c r="W4541" s="81" t="e">
        <f>HLOOKUP(P4541,データについて!$J$10:$M$18,9,FALSE)</f>
        <v>#N/A</v>
      </c>
      <c r="X4541" s="81" t="e">
        <f>HLOOKUP(Q4541,データについて!$J$11:$M$18,8,FALSE)</f>
        <v>#N/A</v>
      </c>
      <c r="Y4541" s="81" t="e">
        <f>HLOOKUP(R4541,データについて!$J$12:$M$18,7,FALSE)</f>
        <v>#N/A</v>
      </c>
      <c r="Z4541" s="81" t="e">
        <f>HLOOKUP(I4541,データについて!$J$3:$M$18,16,FALSE)</f>
        <v>#N/A</v>
      </c>
      <c r="AA4541" s="81" t="str">
        <f>IFERROR(HLOOKUP(J4541,データについて!$J$4:$AH$19,16,FALSE),"")</f>
        <v/>
      </c>
      <c r="AB4541" s="81" t="str">
        <f>IFERROR(HLOOKUP(K4541,データについて!$J$5:$AH$20,14,FALSE),"")</f>
        <v/>
      </c>
      <c r="AC4541" s="81" t="e">
        <f>IF(X4541=1,HLOOKUP(R4541,データについて!$J$12:$M$18,7,FALSE),"*")</f>
        <v>#N/A</v>
      </c>
      <c r="AD4541" s="81" t="e">
        <f>IF(X4541=2,HLOOKUP(R4541,データについて!$J$12:$M$18,7,FALSE),"*")</f>
        <v>#N/A</v>
      </c>
    </row>
    <row r="4542" spans="19:30">
      <c r="S4542" s="81" t="e">
        <f>HLOOKUP(L4542,データについて!$J$6:$M$18,13,FALSE)</f>
        <v>#N/A</v>
      </c>
      <c r="T4542" s="81" t="e">
        <f>HLOOKUP(M4542,データについて!$J$7:$M$18,12,FALSE)</f>
        <v>#N/A</v>
      </c>
      <c r="U4542" s="81" t="e">
        <f>HLOOKUP(N4542,データについて!$J$8:$M$18,11,FALSE)</f>
        <v>#N/A</v>
      </c>
      <c r="V4542" s="81" t="e">
        <f>HLOOKUP(O4542,データについて!$J$9:$M$18,10,FALSE)</f>
        <v>#N/A</v>
      </c>
      <c r="W4542" s="81" t="e">
        <f>HLOOKUP(P4542,データについて!$J$10:$M$18,9,FALSE)</f>
        <v>#N/A</v>
      </c>
      <c r="X4542" s="81" t="e">
        <f>HLOOKUP(Q4542,データについて!$J$11:$M$18,8,FALSE)</f>
        <v>#N/A</v>
      </c>
      <c r="Y4542" s="81" t="e">
        <f>HLOOKUP(R4542,データについて!$J$12:$M$18,7,FALSE)</f>
        <v>#N/A</v>
      </c>
      <c r="Z4542" s="81" t="e">
        <f>HLOOKUP(I4542,データについて!$J$3:$M$18,16,FALSE)</f>
        <v>#N/A</v>
      </c>
      <c r="AA4542" s="81" t="str">
        <f>IFERROR(HLOOKUP(J4542,データについて!$J$4:$AH$19,16,FALSE),"")</f>
        <v/>
      </c>
      <c r="AB4542" s="81" t="str">
        <f>IFERROR(HLOOKUP(K4542,データについて!$J$5:$AH$20,14,FALSE),"")</f>
        <v/>
      </c>
      <c r="AC4542" s="81" t="e">
        <f>IF(X4542=1,HLOOKUP(R4542,データについて!$J$12:$M$18,7,FALSE),"*")</f>
        <v>#N/A</v>
      </c>
      <c r="AD4542" s="81" t="e">
        <f>IF(X4542=2,HLOOKUP(R4542,データについて!$J$12:$M$18,7,FALSE),"*")</f>
        <v>#N/A</v>
      </c>
    </row>
    <row r="4543" spans="19:30">
      <c r="S4543" s="81" t="e">
        <f>HLOOKUP(L4543,データについて!$J$6:$M$18,13,FALSE)</f>
        <v>#N/A</v>
      </c>
      <c r="T4543" s="81" t="e">
        <f>HLOOKUP(M4543,データについて!$J$7:$M$18,12,FALSE)</f>
        <v>#N/A</v>
      </c>
      <c r="U4543" s="81" t="e">
        <f>HLOOKUP(N4543,データについて!$J$8:$M$18,11,FALSE)</f>
        <v>#N/A</v>
      </c>
      <c r="V4543" s="81" t="e">
        <f>HLOOKUP(O4543,データについて!$J$9:$M$18,10,FALSE)</f>
        <v>#N/A</v>
      </c>
      <c r="W4543" s="81" t="e">
        <f>HLOOKUP(P4543,データについて!$J$10:$M$18,9,FALSE)</f>
        <v>#N/A</v>
      </c>
      <c r="X4543" s="81" t="e">
        <f>HLOOKUP(Q4543,データについて!$J$11:$M$18,8,FALSE)</f>
        <v>#N/A</v>
      </c>
      <c r="Y4543" s="81" t="e">
        <f>HLOOKUP(R4543,データについて!$J$12:$M$18,7,FALSE)</f>
        <v>#N/A</v>
      </c>
      <c r="Z4543" s="81" t="e">
        <f>HLOOKUP(I4543,データについて!$J$3:$M$18,16,FALSE)</f>
        <v>#N/A</v>
      </c>
      <c r="AA4543" s="81" t="str">
        <f>IFERROR(HLOOKUP(J4543,データについて!$J$4:$AH$19,16,FALSE),"")</f>
        <v/>
      </c>
      <c r="AB4543" s="81" t="str">
        <f>IFERROR(HLOOKUP(K4543,データについて!$J$5:$AH$20,14,FALSE),"")</f>
        <v/>
      </c>
      <c r="AC4543" s="81" t="e">
        <f>IF(X4543=1,HLOOKUP(R4543,データについて!$J$12:$M$18,7,FALSE),"*")</f>
        <v>#N/A</v>
      </c>
      <c r="AD4543" s="81" t="e">
        <f>IF(X4543=2,HLOOKUP(R4543,データについて!$J$12:$M$18,7,FALSE),"*")</f>
        <v>#N/A</v>
      </c>
    </row>
    <row r="4544" spans="19:30">
      <c r="S4544" s="81" t="e">
        <f>HLOOKUP(L4544,データについて!$J$6:$M$18,13,FALSE)</f>
        <v>#N/A</v>
      </c>
      <c r="T4544" s="81" t="e">
        <f>HLOOKUP(M4544,データについて!$J$7:$M$18,12,FALSE)</f>
        <v>#N/A</v>
      </c>
      <c r="U4544" s="81" t="e">
        <f>HLOOKUP(N4544,データについて!$J$8:$M$18,11,FALSE)</f>
        <v>#N/A</v>
      </c>
      <c r="V4544" s="81" t="e">
        <f>HLOOKUP(O4544,データについて!$J$9:$M$18,10,FALSE)</f>
        <v>#N/A</v>
      </c>
      <c r="W4544" s="81" t="e">
        <f>HLOOKUP(P4544,データについて!$J$10:$M$18,9,FALSE)</f>
        <v>#N/A</v>
      </c>
      <c r="X4544" s="81" t="e">
        <f>HLOOKUP(Q4544,データについて!$J$11:$M$18,8,FALSE)</f>
        <v>#N/A</v>
      </c>
      <c r="Y4544" s="81" t="e">
        <f>HLOOKUP(R4544,データについて!$J$12:$M$18,7,FALSE)</f>
        <v>#N/A</v>
      </c>
      <c r="Z4544" s="81" t="e">
        <f>HLOOKUP(I4544,データについて!$J$3:$M$18,16,FALSE)</f>
        <v>#N/A</v>
      </c>
      <c r="AA4544" s="81" t="str">
        <f>IFERROR(HLOOKUP(J4544,データについて!$J$4:$AH$19,16,FALSE),"")</f>
        <v/>
      </c>
      <c r="AB4544" s="81" t="str">
        <f>IFERROR(HLOOKUP(K4544,データについて!$J$5:$AH$20,14,FALSE),"")</f>
        <v/>
      </c>
      <c r="AC4544" s="81" t="e">
        <f>IF(X4544=1,HLOOKUP(R4544,データについて!$J$12:$M$18,7,FALSE),"*")</f>
        <v>#N/A</v>
      </c>
      <c r="AD4544" s="81" t="e">
        <f>IF(X4544=2,HLOOKUP(R4544,データについて!$J$12:$M$18,7,FALSE),"*")</f>
        <v>#N/A</v>
      </c>
    </row>
    <row r="4545" spans="19:30">
      <c r="S4545" s="81" t="e">
        <f>HLOOKUP(L4545,データについて!$J$6:$M$18,13,FALSE)</f>
        <v>#N/A</v>
      </c>
      <c r="T4545" s="81" t="e">
        <f>HLOOKUP(M4545,データについて!$J$7:$M$18,12,FALSE)</f>
        <v>#N/A</v>
      </c>
      <c r="U4545" s="81" t="e">
        <f>HLOOKUP(N4545,データについて!$J$8:$M$18,11,FALSE)</f>
        <v>#N/A</v>
      </c>
      <c r="V4545" s="81" t="e">
        <f>HLOOKUP(O4545,データについて!$J$9:$M$18,10,FALSE)</f>
        <v>#N/A</v>
      </c>
      <c r="W4545" s="81" t="e">
        <f>HLOOKUP(P4545,データについて!$J$10:$M$18,9,FALSE)</f>
        <v>#N/A</v>
      </c>
      <c r="X4545" s="81" t="e">
        <f>HLOOKUP(Q4545,データについて!$J$11:$M$18,8,FALSE)</f>
        <v>#N/A</v>
      </c>
      <c r="Y4545" s="81" t="e">
        <f>HLOOKUP(R4545,データについて!$J$12:$M$18,7,FALSE)</f>
        <v>#N/A</v>
      </c>
      <c r="Z4545" s="81" t="e">
        <f>HLOOKUP(I4545,データについて!$J$3:$M$18,16,FALSE)</f>
        <v>#N/A</v>
      </c>
      <c r="AA4545" s="81" t="str">
        <f>IFERROR(HLOOKUP(J4545,データについて!$J$4:$AH$19,16,FALSE),"")</f>
        <v/>
      </c>
      <c r="AB4545" s="81" t="str">
        <f>IFERROR(HLOOKUP(K4545,データについて!$J$5:$AH$20,14,FALSE),"")</f>
        <v/>
      </c>
      <c r="AC4545" s="81" t="e">
        <f>IF(X4545=1,HLOOKUP(R4545,データについて!$J$12:$M$18,7,FALSE),"*")</f>
        <v>#N/A</v>
      </c>
      <c r="AD4545" s="81" t="e">
        <f>IF(X4545=2,HLOOKUP(R4545,データについて!$J$12:$M$18,7,FALSE),"*")</f>
        <v>#N/A</v>
      </c>
    </row>
    <row r="4546" spans="19:30">
      <c r="S4546" s="81" t="e">
        <f>HLOOKUP(L4546,データについて!$J$6:$M$18,13,FALSE)</f>
        <v>#N/A</v>
      </c>
      <c r="T4546" s="81" t="e">
        <f>HLOOKUP(M4546,データについて!$J$7:$M$18,12,FALSE)</f>
        <v>#N/A</v>
      </c>
      <c r="U4546" s="81" t="e">
        <f>HLOOKUP(N4546,データについて!$J$8:$M$18,11,FALSE)</f>
        <v>#N/A</v>
      </c>
      <c r="V4546" s="81" t="e">
        <f>HLOOKUP(O4546,データについて!$J$9:$M$18,10,FALSE)</f>
        <v>#N/A</v>
      </c>
      <c r="W4546" s="81" t="e">
        <f>HLOOKUP(P4546,データについて!$J$10:$M$18,9,FALSE)</f>
        <v>#N/A</v>
      </c>
      <c r="X4546" s="81" t="e">
        <f>HLOOKUP(Q4546,データについて!$J$11:$M$18,8,FALSE)</f>
        <v>#N/A</v>
      </c>
      <c r="Y4546" s="81" t="e">
        <f>HLOOKUP(R4546,データについて!$J$12:$M$18,7,FALSE)</f>
        <v>#N/A</v>
      </c>
      <c r="Z4546" s="81" t="e">
        <f>HLOOKUP(I4546,データについて!$J$3:$M$18,16,FALSE)</f>
        <v>#N/A</v>
      </c>
      <c r="AA4546" s="81" t="str">
        <f>IFERROR(HLOOKUP(J4546,データについて!$J$4:$AH$19,16,FALSE),"")</f>
        <v/>
      </c>
      <c r="AB4546" s="81" t="str">
        <f>IFERROR(HLOOKUP(K4546,データについて!$J$5:$AH$20,14,FALSE),"")</f>
        <v/>
      </c>
      <c r="AC4546" s="81" t="e">
        <f>IF(X4546=1,HLOOKUP(R4546,データについて!$J$12:$M$18,7,FALSE),"*")</f>
        <v>#N/A</v>
      </c>
      <c r="AD4546" s="81" t="e">
        <f>IF(X4546=2,HLOOKUP(R4546,データについて!$J$12:$M$18,7,FALSE),"*")</f>
        <v>#N/A</v>
      </c>
    </row>
    <row r="4547" spans="19:30">
      <c r="S4547" s="81" t="e">
        <f>HLOOKUP(L4547,データについて!$J$6:$M$18,13,FALSE)</f>
        <v>#N/A</v>
      </c>
      <c r="T4547" s="81" t="e">
        <f>HLOOKUP(M4547,データについて!$J$7:$M$18,12,FALSE)</f>
        <v>#N/A</v>
      </c>
      <c r="U4547" s="81" t="e">
        <f>HLOOKUP(N4547,データについて!$J$8:$M$18,11,FALSE)</f>
        <v>#N/A</v>
      </c>
      <c r="V4547" s="81" t="e">
        <f>HLOOKUP(O4547,データについて!$J$9:$M$18,10,FALSE)</f>
        <v>#N/A</v>
      </c>
      <c r="W4547" s="81" t="e">
        <f>HLOOKUP(P4547,データについて!$J$10:$M$18,9,FALSE)</f>
        <v>#N/A</v>
      </c>
      <c r="X4547" s="81" t="e">
        <f>HLOOKUP(Q4547,データについて!$J$11:$M$18,8,FALSE)</f>
        <v>#N/A</v>
      </c>
      <c r="Y4547" s="81" t="e">
        <f>HLOOKUP(R4547,データについて!$J$12:$M$18,7,FALSE)</f>
        <v>#N/A</v>
      </c>
      <c r="Z4547" s="81" t="e">
        <f>HLOOKUP(I4547,データについて!$J$3:$M$18,16,FALSE)</f>
        <v>#N/A</v>
      </c>
      <c r="AA4547" s="81" t="str">
        <f>IFERROR(HLOOKUP(J4547,データについて!$J$4:$AH$19,16,FALSE),"")</f>
        <v/>
      </c>
      <c r="AB4547" s="81" t="str">
        <f>IFERROR(HLOOKUP(K4547,データについて!$J$5:$AH$20,14,FALSE),"")</f>
        <v/>
      </c>
      <c r="AC4547" s="81" t="e">
        <f>IF(X4547=1,HLOOKUP(R4547,データについて!$J$12:$M$18,7,FALSE),"*")</f>
        <v>#N/A</v>
      </c>
      <c r="AD4547" s="81" t="e">
        <f>IF(X4547=2,HLOOKUP(R4547,データについて!$J$12:$M$18,7,FALSE),"*")</f>
        <v>#N/A</v>
      </c>
    </row>
    <row r="4548" spans="19:30">
      <c r="S4548" s="81" t="e">
        <f>HLOOKUP(L4548,データについて!$J$6:$M$18,13,FALSE)</f>
        <v>#N/A</v>
      </c>
      <c r="T4548" s="81" t="e">
        <f>HLOOKUP(M4548,データについて!$J$7:$M$18,12,FALSE)</f>
        <v>#N/A</v>
      </c>
      <c r="U4548" s="81" t="e">
        <f>HLOOKUP(N4548,データについて!$J$8:$M$18,11,FALSE)</f>
        <v>#N/A</v>
      </c>
      <c r="V4548" s="81" t="e">
        <f>HLOOKUP(O4548,データについて!$J$9:$M$18,10,FALSE)</f>
        <v>#N/A</v>
      </c>
      <c r="W4548" s="81" t="e">
        <f>HLOOKUP(P4548,データについて!$J$10:$M$18,9,FALSE)</f>
        <v>#N/A</v>
      </c>
      <c r="X4548" s="81" t="e">
        <f>HLOOKUP(Q4548,データについて!$J$11:$M$18,8,FALSE)</f>
        <v>#N/A</v>
      </c>
      <c r="Y4548" s="81" t="e">
        <f>HLOOKUP(R4548,データについて!$J$12:$M$18,7,FALSE)</f>
        <v>#N/A</v>
      </c>
      <c r="Z4548" s="81" t="e">
        <f>HLOOKUP(I4548,データについて!$J$3:$M$18,16,FALSE)</f>
        <v>#N/A</v>
      </c>
      <c r="AA4548" s="81" t="str">
        <f>IFERROR(HLOOKUP(J4548,データについて!$J$4:$AH$19,16,FALSE),"")</f>
        <v/>
      </c>
      <c r="AB4548" s="81" t="str">
        <f>IFERROR(HLOOKUP(K4548,データについて!$J$5:$AH$20,14,FALSE),"")</f>
        <v/>
      </c>
      <c r="AC4548" s="81" t="e">
        <f>IF(X4548=1,HLOOKUP(R4548,データについて!$J$12:$M$18,7,FALSE),"*")</f>
        <v>#N/A</v>
      </c>
      <c r="AD4548" s="81" t="e">
        <f>IF(X4548=2,HLOOKUP(R4548,データについて!$J$12:$M$18,7,FALSE),"*")</f>
        <v>#N/A</v>
      </c>
    </row>
    <row r="4549" spans="19:30">
      <c r="S4549" s="81" t="e">
        <f>HLOOKUP(L4549,データについて!$J$6:$M$18,13,FALSE)</f>
        <v>#N/A</v>
      </c>
      <c r="T4549" s="81" t="e">
        <f>HLOOKUP(M4549,データについて!$J$7:$M$18,12,FALSE)</f>
        <v>#N/A</v>
      </c>
      <c r="U4549" s="81" t="e">
        <f>HLOOKUP(N4549,データについて!$J$8:$M$18,11,FALSE)</f>
        <v>#N/A</v>
      </c>
      <c r="V4549" s="81" t="e">
        <f>HLOOKUP(O4549,データについて!$J$9:$M$18,10,FALSE)</f>
        <v>#N/A</v>
      </c>
      <c r="W4549" s="81" t="e">
        <f>HLOOKUP(P4549,データについて!$J$10:$M$18,9,FALSE)</f>
        <v>#N/A</v>
      </c>
      <c r="X4549" s="81" t="e">
        <f>HLOOKUP(Q4549,データについて!$J$11:$M$18,8,FALSE)</f>
        <v>#N/A</v>
      </c>
      <c r="Y4549" s="81" t="e">
        <f>HLOOKUP(R4549,データについて!$J$12:$M$18,7,FALSE)</f>
        <v>#N/A</v>
      </c>
      <c r="Z4549" s="81" t="e">
        <f>HLOOKUP(I4549,データについて!$J$3:$M$18,16,FALSE)</f>
        <v>#N/A</v>
      </c>
      <c r="AA4549" s="81" t="str">
        <f>IFERROR(HLOOKUP(J4549,データについて!$J$4:$AH$19,16,FALSE),"")</f>
        <v/>
      </c>
      <c r="AB4549" s="81" t="str">
        <f>IFERROR(HLOOKUP(K4549,データについて!$J$5:$AH$20,14,FALSE),"")</f>
        <v/>
      </c>
      <c r="AC4549" s="81" t="e">
        <f>IF(X4549=1,HLOOKUP(R4549,データについて!$J$12:$M$18,7,FALSE),"*")</f>
        <v>#N/A</v>
      </c>
      <c r="AD4549" s="81" t="e">
        <f>IF(X4549=2,HLOOKUP(R4549,データについて!$J$12:$M$18,7,FALSE),"*")</f>
        <v>#N/A</v>
      </c>
    </row>
    <row r="4550" spans="19:30">
      <c r="S4550" s="81" t="e">
        <f>HLOOKUP(L4550,データについて!$J$6:$M$18,13,FALSE)</f>
        <v>#N/A</v>
      </c>
      <c r="T4550" s="81" t="e">
        <f>HLOOKUP(M4550,データについて!$J$7:$M$18,12,FALSE)</f>
        <v>#N/A</v>
      </c>
      <c r="U4550" s="81" t="e">
        <f>HLOOKUP(N4550,データについて!$J$8:$M$18,11,FALSE)</f>
        <v>#N/A</v>
      </c>
      <c r="V4550" s="81" t="e">
        <f>HLOOKUP(O4550,データについて!$J$9:$M$18,10,FALSE)</f>
        <v>#N/A</v>
      </c>
      <c r="W4550" s="81" t="e">
        <f>HLOOKUP(P4550,データについて!$J$10:$M$18,9,FALSE)</f>
        <v>#N/A</v>
      </c>
      <c r="X4550" s="81" t="e">
        <f>HLOOKUP(Q4550,データについて!$J$11:$M$18,8,FALSE)</f>
        <v>#N/A</v>
      </c>
      <c r="Y4550" s="81" t="e">
        <f>HLOOKUP(R4550,データについて!$J$12:$M$18,7,FALSE)</f>
        <v>#N/A</v>
      </c>
      <c r="Z4550" s="81" t="e">
        <f>HLOOKUP(I4550,データについて!$J$3:$M$18,16,FALSE)</f>
        <v>#N/A</v>
      </c>
      <c r="AA4550" s="81" t="str">
        <f>IFERROR(HLOOKUP(J4550,データについて!$J$4:$AH$19,16,FALSE),"")</f>
        <v/>
      </c>
      <c r="AB4550" s="81" t="str">
        <f>IFERROR(HLOOKUP(K4550,データについて!$J$5:$AH$20,14,FALSE),"")</f>
        <v/>
      </c>
      <c r="AC4550" s="81" t="e">
        <f>IF(X4550=1,HLOOKUP(R4550,データについて!$J$12:$M$18,7,FALSE),"*")</f>
        <v>#N/A</v>
      </c>
      <c r="AD4550" s="81" t="e">
        <f>IF(X4550=2,HLOOKUP(R4550,データについて!$J$12:$M$18,7,FALSE),"*")</f>
        <v>#N/A</v>
      </c>
    </row>
    <row r="4551" spans="19:30">
      <c r="S4551" s="81" t="e">
        <f>HLOOKUP(L4551,データについて!$J$6:$M$18,13,FALSE)</f>
        <v>#N/A</v>
      </c>
      <c r="T4551" s="81" t="e">
        <f>HLOOKUP(M4551,データについて!$J$7:$M$18,12,FALSE)</f>
        <v>#N/A</v>
      </c>
      <c r="U4551" s="81" t="e">
        <f>HLOOKUP(N4551,データについて!$J$8:$M$18,11,FALSE)</f>
        <v>#N/A</v>
      </c>
      <c r="V4551" s="81" t="e">
        <f>HLOOKUP(O4551,データについて!$J$9:$M$18,10,FALSE)</f>
        <v>#N/A</v>
      </c>
      <c r="W4551" s="81" t="e">
        <f>HLOOKUP(P4551,データについて!$J$10:$M$18,9,FALSE)</f>
        <v>#N/A</v>
      </c>
      <c r="X4551" s="81" t="e">
        <f>HLOOKUP(Q4551,データについて!$J$11:$M$18,8,FALSE)</f>
        <v>#N/A</v>
      </c>
      <c r="Y4551" s="81" t="e">
        <f>HLOOKUP(R4551,データについて!$J$12:$M$18,7,FALSE)</f>
        <v>#N/A</v>
      </c>
      <c r="Z4551" s="81" t="e">
        <f>HLOOKUP(I4551,データについて!$J$3:$M$18,16,FALSE)</f>
        <v>#N/A</v>
      </c>
      <c r="AA4551" s="81" t="str">
        <f>IFERROR(HLOOKUP(J4551,データについて!$J$4:$AH$19,16,FALSE),"")</f>
        <v/>
      </c>
      <c r="AB4551" s="81" t="str">
        <f>IFERROR(HLOOKUP(K4551,データについて!$J$5:$AH$20,14,FALSE),"")</f>
        <v/>
      </c>
      <c r="AC4551" s="81" t="e">
        <f>IF(X4551=1,HLOOKUP(R4551,データについて!$J$12:$M$18,7,FALSE),"*")</f>
        <v>#N/A</v>
      </c>
      <c r="AD4551" s="81" t="e">
        <f>IF(X4551=2,HLOOKUP(R4551,データについて!$J$12:$M$18,7,FALSE),"*")</f>
        <v>#N/A</v>
      </c>
    </row>
    <row r="4552" spans="19:30">
      <c r="S4552" s="81" t="e">
        <f>HLOOKUP(L4552,データについて!$J$6:$M$18,13,FALSE)</f>
        <v>#N/A</v>
      </c>
      <c r="T4552" s="81" t="e">
        <f>HLOOKUP(M4552,データについて!$J$7:$M$18,12,FALSE)</f>
        <v>#N/A</v>
      </c>
      <c r="U4552" s="81" t="e">
        <f>HLOOKUP(N4552,データについて!$J$8:$M$18,11,FALSE)</f>
        <v>#N/A</v>
      </c>
      <c r="V4552" s="81" t="e">
        <f>HLOOKUP(O4552,データについて!$J$9:$M$18,10,FALSE)</f>
        <v>#N/A</v>
      </c>
      <c r="W4552" s="81" t="e">
        <f>HLOOKUP(P4552,データについて!$J$10:$M$18,9,FALSE)</f>
        <v>#N/A</v>
      </c>
      <c r="X4552" s="81" t="e">
        <f>HLOOKUP(Q4552,データについて!$J$11:$M$18,8,FALSE)</f>
        <v>#N/A</v>
      </c>
      <c r="Y4552" s="81" t="e">
        <f>HLOOKUP(R4552,データについて!$J$12:$M$18,7,FALSE)</f>
        <v>#N/A</v>
      </c>
      <c r="Z4552" s="81" t="e">
        <f>HLOOKUP(I4552,データについて!$J$3:$M$18,16,FALSE)</f>
        <v>#N/A</v>
      </c>
      <c r="AA4552" s="81" t="str">
        <f>IFERROR(HLOOKUP(J4552,データについて!$J$4:$AH$19,16,FALSE),"")</f>
        <v/>
      </c>
      <c r="AB4552" s="81" t="str">
        <f>IFERROR(HLOOKUP(K4552,データについて!$J$5:$AH$20,14,FALSE),"")</f>
        <v/>
      </c>
      <c r="AC4552" s="81" t="e">
        <f>IF(X4552=1,HLOOKUP(R4552,データについて!$J$12:$M$18,7,FALSE),"*")</f>
        <v>#N/A</v>
      </c>
      <c r="AD4552" s="81" t="e">
        <f>IF(X4552=2,HLOOKUP(R4552,データについて!$J$12:$M$18,7,FALSE),"*")</f>
        <v>#N/A</v>
      </c>
    </row>
    <row r="4553" spans="19:30">
      <c r="S4553" s="81" t="e">
        <f>HLOOKUP(L4553,データについて!$J$6:$M$18,13,FALSE)</f>
        <v>#N/A</v>
      </c>
      <c r="T4553" s="81" t="e">
        <f>HLOOKUP(M4553,データについて!$J$7:$M$18,12,FALSE)</f>
        <v>#N/A</v>
      </c>
      <c r="U4553" s="81" t="e">
        <f>HLOOKUP(N4553,データについて!$J$8:$M$18,11,FALSE)</f>
        <v>#N/A</v>
      </c>
      <c r="V4553" s="81" t="e">
        <f>HLOOKUP(O4553,データについて!$J$9:$M$18,10,FALSE)</f>
        <v>#N/A</v>
      </c>
      <c r="W4553" s="81" t="e">
        <f>HLOOKUP(P4553,データについて!$J$10:$M$18,9,FALSE)</f>
        <v>#N/A</v>
      </c>
      <c r="X4553" s="81" t="e">
        <f>HLOOKUP(Q4553,データについて!$J$11:$M$18,8,FALSE)</f>
        <v>#N/A</v>
      </c>
      <c r="Y4553" s="81" t="e">
        <f>HLOOKUP(R4553,データについて!$J$12:$M$18,7,FALSE)</f>
        <v>#N/A</v>
      </c>
      <c r="Z4553" s="81" t="e">
        <f>HLOOKUP(I4553,データについて!$J$3:$M$18,16,FALSE)</f>
        <v>#N/A</v>
      </c>
      <c r="AA4553" s="81" t="str">
        <f>IFERROR(HLOOKUP(J4553,データについて!$J$4:$AH$19,16,FALSE),"")</f>
        <v/>
      </c>
      <c r="AB4553" s="81" t="str">
        <f>IFERROR(HLOOKUP(K4553,データについて!$J$5:$AH$20,14,FALSE),"")</f>
        <v/>
      </c>
      <c r="AC4553" s="81" t="e">
        <f>IF(X4553=1,HLOOKUP(R4553,データについて!$J$12:$M$18,7,FALSE),"*")</f>
        <v>#N/A</v>
      </c>
      <c r="AD4553" s="81" t="e">
        <f>IF(X4553=2,HLOOKUP(R4553,データについて!$J$12:$M$18,7,FALSE),"*")</f>
        <v>#N/A</v>
      </c>
    </row>
    <row r="4554" spans="19:30">
      <c r="S4554" s="81" t="e">
        <f>HLOOKUP(L4554,データについて!$J$6:$M$18,13,FALSE)</f>
        <v>#N/A</v>
      </c>
      <c r="T4554" s="81" t="e">
        <f>HLOOKUP(M4554,データについて!$J$7:$M$18,12,FALSE)</f>
        <v>#N/A</v>
      </c>
      <c r="U4554" s="81" t="e">
        <f>HLOOKUP(N4554,データについて!$J$8:$M$18,11,FALSE)</f>
        <v>#N/A</v>
      </c>
      <c r="V4554" s="81" t="e">
        <f>HLOOKUP(O4554,データについて!$J$9:$M$18,10,FALSE)</f>
        <v>#N/A</v>
      </c>
      <c r="W4554" s="81" t="e">
        <f>HLOOKUP(P4554,データについて!$J$10:$M$18,9,FALSE)</f>
        <v>#N/A</v>
      </c>
      <c r="X4554" s="81" t="e">
        <f>HLOOKUP(Q4554,データについて!$J$11:$M$18,8,FALSE)</f>
        <v>#N/A</v>
      </c>
      <c r="Y4554" s="81" t="e">
        <f>HLOOKUP(R4554,データについて!$J$12:$M$18,7,FALSE)</f>
        <v>#N/A</v>
      </c>
      <c r="Z4554" s="81" t="e">
        <f>HLOOKUP(I4554,データについて!$J$3:$M$18,16,FALSE)</f>
        <v>#N/A</v>
      </c>
      <c r="AA4554" s="81" t="str">
        <f>IFERROR(HLOOKUP(J4554,データについて!$J$4:$AH$19,16,FALSE),"")</f>
        <v/>
      </c>
      <c r="AB4554" s="81" t="str">
        <f>IFERROR(HLOOKUP(K4554,データについて!$J$5:$AH$20,14,FALSE),"")</f>
        <v/>
      </c>
      <c r="AC4554" s="81" t="e">
        <f>IF(X4554=1,HLOOKUP(R4554,データについて!$J$12:$M$18,7,FALSE),"*")</f>
        <v>#N/A</v>
      </c>
      <c r="AD4554" s="81" t="e">
        <f>IF(X4554=2,HLOOKUP(R4554,データについて!$J$12:$M$18,7,FALSE),"*")</f>
        <v>#N/A</v>
      </c>
    </row>
    <row r="4555" spans="19:30">
      <c r="S4555" s="81" t="e">
        <f>HLOOKUP(L4555,データについて!$J$6:$M$18,13,FALSE)</f>
        <v>#N/A</v>
      </c>
      <c r="T4555" s="81" t="e">
        <f>HLOOKUP(M4555,データについて!$J$7:$M$18,12,FALSE)</f>
        <v>#N/A</v>
      </c>
      <c r="U4555" s="81" t="e">
        <f>HLOOKUP(N4555,データについて!$J$8:$M$18,11,FALSE)</f>
        <v>#N/A</v>
      </c>
      <c r="V4555" s="81" t="e">
        <f>HLOOKUP(O4555,データについて!$J$9:$M$18,10,FALSE)</f>
        <v>#N/A</v>
      </c>
      <c r="W4555" s="81" t="e">
        <f>HLOOKUP(P4555,データについて!$J$10:$M$18,9,FALSE)</f>
        <v>#N/A</v>
      </c>
      <c r="X4555" s="81" t="e">
        <f>HLOOKUP(Q4555,データについて!$J$11:$M$18,8,FALSE)</f>
        <v>#N/A</v>
      </c>
      <c r="Y4555" s="81" t="e">
        <f>HLOOKUP(R4555,データについて!$J$12:$M$18,7,FALSE)</f>
        <v>#N/A</v>
      </c>
      <c r="Z4555" s="81" t="e">
        <f>HLOOKUP(I4555,データについて!$J$3:$M$18,16,FALSE)</f>
        <v>#N/A</v>
      </c>
      <c r="AA4555" s="81" t="str">
        <f>IFERROR(HLOOKUP(J4555,データについて!$J$4:$AH$19,16,FALSE),"")</f>
        <v/>
      </c>
      <c r="AB4555" s="81" t="str">
        <f>IFERROR(HLOOKUP(K4555,データについて!$J$5:$AH$20,14,FALSE),"")</f>
        <v/>
      </c>
      <c r="AC4555" s="81" t="e">
        <f>IF(X4555=1,HLOOKUP(R4555,データについて!$J$12:$M$18,7,FALSE),"*")</f>
        <v>#N/A</v>
      </c>
      <c r="AD4555" s="81" t="e">
        <f>IF(X4555=2,HLOOKUP(R4555,データについて!$J$12:$M$18,7,FALSE),"*")</f>
        <v>#N/A</v>
      </c>
    </row>
    <row r="4556" spans="19:30">
      <c r="S4556" s="81" t="e">
        <f>HLOOKUP(L4556,データについて!$J$6:$M$18,13,FALSE)</f>
        <v>#N/A</v>
      </c>
      <c r="T4556" s="81" t="e">
        <f>HLOOKUP(M4556,データについて!$J$7:$M$18,12,FALSE)</f>
        <v>#N/A</v>
      </c>
      <c r="U4556" s="81" t="e">
        <f>HLOOKUP(N4556,データについて!$J$8:$M$18,11,FALSE)</f>
        <v>#N/A</v>
      </c>
      <c r="V4556" s="81" t="e">
        <f>HLOOKUP(O4556,データについて!$J$9:$M$18,10,FALSE)</f>
        <v>#N/A</v>
      </c>
      <c r="W4556" s="81" t="e">
        <f>HLOOKUP(P4556,データについて!$J$10:$M$18,9,FALSE)</f>
        <v>#N/A</v>
      </c>
      <c r="X4556" s="81" t="e">
        <f>HLOOKUP(Q4556,データについて!$J$11:$M$18,8,FALSE)</f>
        <v>#N/A</v>
      </c>
      <c r="Y4556" s="81" t="e">
        <f>HLOOKUP(R4556,データについて!$J$12:$M$18,7,FALSE)</f>
        <v>#N/A</v>
      </c>
      <c r="Z4556" s="81" t="e">
        <f>HLOOKUP(I4556,データについて!$J$3:$M$18,16,FALSE)</f>
        <v>#N/A</v>
      </c>
      <c r="AA4556" s="81" t="str">
        <f>IFERROR(HLOOKUP(J4556,データについて!$J$4:$AH$19,16,FALSE),"")</f>
        <v/>
      </c>
      <c r="AB4556" s="81" t="str">
        <f>IFERROR(HLOOKUP(K4556,データについて!$J$5:$AH$20,14,FALSE),"")</f>
        <v/>
      </c>
      <c r="AC4556" s="81" t="e">
        <f>IF(X4556=1,HLOOKUP(R4556,データについて!$J$12:$M$18,7,FALSE),"*")</f>
        <v>#N/A</v>
      </c>
      <c r="AD4556" s="81" t="e">
        <f>IF(X4556=2,HLOOKUP(R4556,データについて!$J$12:$M$18,7,FALSE),"*")</f>
        <v>#N/A</v>
      </c>
    </row>
    <row r="4557" spans="19:30">
      <c r="S4557" s="81" t="e">
        <f>HLOOKUP(L4557,データについて!$J$6:$M$18,13,FALSE)</f>
        <v>#N/A</v>
      </c>
      <c r="T4557" s="81" t="e">
        <f>HLOOKUP(M4557,データについて!$J$7:$M$18,12,FALSE)</f>
        <v>#N/A</v>
      </c>
      <c r="U4557" s="81" t="e">
        <f>HLOOKUP(N4557,データについて!$J$8:$M$18,11,FALSE)</f>
        <v>#N/A</v>
      </c>
      <c r="V4557" s="81" t="e">
        <f>HLOOKUP(O4557,データについて!$J$9:$M$18,10,FALSE)</f>
        <v>#N/A</v>
      </c>
      <c r="W4557" s="81" t="e">
        <f>HLOOKUP(P4557,データについて!$J$10:$M$18,9,FALSE)</f>
        <v>#N/A</v>
      </c>
      <c r="X4557" s="81" t="e">
        <f>HLOOKUP(Q4557,データについて!$J$11:$M$18,8,FALSE)</f>
        <v>#N/A</v>
      </c>
      <c r="Y4557" s="81" t="e">
        <f>HLOOKUP(R4557,データについて!$J$12:$M$18,7,FALSE)</f>
        <v>#N/A</v>
      </c>
      <c r="Z4557" s="81" t="e">
        <f>HLOOKUP(I4557,データについて!$J$3:$M$18,16,FALSE)</f>
        <v>#N/A</v>
      </c>
      <c r="AA4557" s="81" t="str">
        <f>IFERROR(HLOOKUP(J4557,データについて!$J$4:$AH$19,16,FALSE),"")</f>
        <v/>
      </c>
      <c r="AB4557" s="81" t="str">
        <f>IFERROR(HLOOKUP(K4557,データについて!$J$5:$AH$20,14,FALSE),"")</f>
        <v/>
      </c>
      <c r="AC4557" s="81" t="e">
        <f>IF(X4557=1,HLOOKUP(R4557,データについて!$J$12:$M$18,7,FALSE),"*")</f>
        <v>#N/A</v>
      </c>
      <c r="AD4557" s="81" t="e">
        <f>IF(X4557=2,HLOOKUP(R4557,データについて!$J$12:$M$18,7,FALSE),"*")</f>
        <v>#N/A</v>
      </c>
    </row>
    <row r="4558" spans="19:30">
      <c r="S4558" s="81" t="e">
        <f>HLOOKUP(L4558,データについて!$J$6:$M$18,13,FALSE)</f>
        <v>#N/A</v>
      </c>
      <c r="T4558" s="81" t="e">
        <f>HLOOKUP(M4558,データについて!$J$7:$M$18,12,FALSE)</f>
        <v>#N/A</v>
      </c>
      <c r="U4558" s="81" t="e">
        <f>HLOOKUP(N4558,データについて!$J$8:$M$18,11,FALSE)</f>
        <v>#N/A</v>
      </c>
      <c r="V4558" s="81" t="e">
        <f>HLOOKUP(O4558,データについて!$J$9:$M$18,10,FALSE)</f>
        <v>#N/A</v>
      </c>
      <c r="W4558" s="81" t="e">
        <f>HLOOKUP(P4558,データについて!$J$10:$M$18,9,FALSE)</f>
        <v>#N/A</v>
      </c>
      <c r="X4558" s="81" t="e">
        <f>HLOOKUP(Q4558,データについて!$J$11:$M$18,8,FALSE)</f>
        <v>#N/A</v>
      </c>
      <c r="Y4558" s="81" t="e">
        <f>HLOOKUP(R4558,データについて!$J$12:$M$18,7,FALSE)</f>
        <v>#N/A</v>
      </c>
      <c r="Z4558" s="81" t="e">
        <f>HLOOKUP(I4558,データについて!$J$3:$M$18,16,FALSE)</f>
        <v>#N/A</v>
      </c>
      <c r="AA4558" s="81" t="str">
        <f>IFERROR(HLOOKUP(J4558,データについて!$J$4:$AH$19,16,FALSE),"")</f>
        <v/>
      </c>
      <c r="AB4558" s="81" t="str">
        <f>IFERROR(HLOOKUP(K4558,データについて!$J$5:$AH$20,14,FALSE),"")</f>
        <v/>
      </c>
      <c r="AC4558" s="81" t="e">
        <f>IF(X4558=1,HLOOKUP(R4558,データについて!$J$12:$M$18,7,FALSE),"*")</f>
        <v>#N/A</v>
      </c>
      <c r="AD4558" s="81" t="e">
        <f>IF(X4558=2,HLOOKUP(R4558,データについて!$J$12:$M$18,7,FALSE),"*")</f>
        <v>#N/A</v>
      </c>
    </row>
    <row r="4559" spans="19:30">
      <c r="S4559" s="81" t="e">
        <f>HLOOKUP(L4559,データについて!$J$6:$M$18,13,FALSE)</f>
        <v>#N/A</v>
      </c>
      <c r="T4559" s="81" t="e">
        <f>HLOOKUP(M4559,データについて!$J$7:$M$18,12,FALSE)</f>
        <v>#N/A</v>
      </c>
      <c r="U4559" s="81" t="e">
        <f>HLOOKUP(N4559,データについて!$J$8:$M$18,11,FALSE)</f>
        <v>#N/A</v>
      </c>
      <c r="V4559" s="81" t="e">
        <f>HLOOKUP(O4559,データについて!$J$9:$M$18,10,FALSE)</f>
        <v>#N/A</v>
      </c>
      <c r="W4559" s="81" t="e">
        <f>HLOOKUP(P4559,データについて!$J$10:$M$18,9,FALSE)</f>
        <v>#N/A</v>
      </c>
      <c r="X4559" s="81" t="e">
        <f>HLOOKUP(Q4559,データについて!$J$11:$M$18,8,FALSE)</f>
        <v>#N/A</v>
      </c>
      <c r="Y4559" s="81" t="e">
        <f>HLOOKUP(R4559,データについて!$J$12:$M$18,7,FALSE)</f>
        <v>#N/A</v>
      </c>
      <c r="Z4559" s="81" t="e">
        <f>HLOOKUP(I4559,データについて!$J$3:$M$18,16,FALSE)</f>
        <v>#N/A</v>
      </c>
      <c r="AA4559" s="81" t="str">
        <f>IFERROR(HLOOKUP(J4559,データについて!$J$4:$AH$19,16,FALSE),"")</f>
        <v/>
      </c>
      <c r="AB4559" s="81" t="str">
        <f>IFERROR(HLOOKUP(K4559,データについて!$J$5:$AH$20,14,FALSE),"")</f>
        <v/>
      </c>
      <c r="AC4559" s="81" t="e">
        <f>IF(X4559=1,HLOOKUP(R4559,データについて!$J$12:$M$18,7,FALSE),"*")</f>
        <v>#N/A</v>
      </c>
      <c r="AD4559" s="81" t="e">
        <f>IF(X4559=2,HLOOKUP(R4559,データについて!$J$12:$M$18,7,FALSE),"*")</f>
        <v>#N/A</v>
      </c>
    </row>
    <row r="4560" spans="19:30">
      <c r="S4560" s="81" t="e">
        <f>HLOOKUP(L4560,データについて!$J$6:$M$18,13,FALSE)</f>
        <v>#N/A</v>
      </c>
      <c r="T4560" s="81" t="e">
        <f>HLOOKUP(M4560,データについて!$J$7:$M$18,12,FALSE)</f>
        <v>#N/A</v>
      </c>
      <c r="U4560" s="81" t="e">
        <f>HLOOKUP(N4560,データについて!$J$8:$M$18,11,FALSE)</f>
        <v>#N/A</v>
      </c>
      <c r="V4560" s="81" t="e">
        <f>HLOOKUP(O4560,データについて!$J$9:$M$18,10,FALSE)</f>
        <v>#N/A</v>
      </c>
      <c r="W4560" s="81" t="e">
        <f>HLOOKUP(P4560,データについて!$J$10:$M$18,9,FALSE)</f>
        <v>#N/A</v>
      </c>
      <c r="X4560" s="81" t="e">
        <f>HLOOKUP(Q4560,データについて!$J$11:$M$18,8,FALSE)</f>
        <v>#N/A</v>
      </c>
      <c r="Y4560" s="81" t="e">
        <f>HLOOKUP(R4560,データについて!$J$12:$M$18,7,FALSE)</f>
        <v>#N/A</v>
      </c>
      <c r="Z4560" s="81" t="e">
        <f>HLOOKUP(I4560,データについて!$J$3:$M$18,16,FALSE)</f>
        <v>#N/A</v>
      </c>
      <c r="AA4560" s="81" t="str">
        <f>IFERROR(HLOOKUP(J4560,データについて!$J$4:$AH$19,16,FALSE),"")</f>
        <v/>
      </c>
      <c r="AB4560" s="81" t="str">
        <f>IFERROR(HLOOKUP(K4560,データについて!$J$5:$AH$20,14,FALSE),"")</f>
        <v/>
      </c>
      <c r="AC4560" s="81" t="e">
        <f>IF(X4560=1,HLOOKUP(R4560,データについて!$J$12:$M$18,7,FALSE),"*")</f>
        <v>#N/A</v>
      </c>
      <c r="AD4560" s="81" t="e">
        <f>IF(X4560=2,HLOOKUP(R4560,データについて!$J$12:$M$18,7,FALSE),"*")</f>
        <v>#N/A</v>
      </c>
    </row>
    <row r="4561" spans="19:30">
      <c r="S4561" s="81" t="e">
        <f>HLOOKUP(L4561,データについて!$J$6:$M$18,13,FALSE)</f>
        <v>#N/A</v>
      </c>
      <c r="T4561" s="81" t="e">
        <f>HLOOKUP(M4561,データについて!$J$7:$M$18,12,FALSE)</f>
        <v>#N/A</v>
      </c>
      <c r="U4561" s="81" t="e">
        <f>HLOOKUP(N4561,データについて!$J$8:$M$18,11,FALSE)</f>
        <v>#N/A</v>
      </c>
      <c r="V4561" s="81" t="e">
        <f>HLOOKUP(O4561,データについて!$J$9:$M$18,10,FALSE)</f>
        <v>#N/A</v>
      </c>
      <c r="W4561" s="81" t="e">
        <f>HLOOKUP(P4561,データについて!$J$10:$M$18,9,FALSE)</f>
        <v>#N/A</v>
      </c>
      <c r="X4561" s="81" t="e">
        <f>HLOOKUP(Q4561,データについて!$J$11:$M$18,8,FALSE)</f>
        <v>#N/A</v>
      </c>
      <c r="Y4561" s="81" t="e">
        <f>HLOOKUP(R4561,データについて!$J$12:$M$18,7,FALSE)</f>
        <v>#N/A</v>
      </c>
      <c r="Z4561" s="81" t="e">
        <f>HLOOKUP(I4561,データについて!$J$3:$M$18,16,FALSE)</f>
        <v>#N/A</v>
      </c>
      <c r="AA4561" s="81" t="str">
        <f>IFERROR(HLOOKUP(J4561,データについて!$J$4:$AH$19,16,FALSE),"")</f>
        <v/>
      </c>
      <c r="AB4561" s="81" t="str">
        <f>IFERROR(HLOOKUP(K4561,データについて!$J$5:$AH$20,14,FALSE),"")</f>
        <v/>
      </c>
      <c r="AC4561" s="81" t="e">
        <f>IF(X4561=1,HLOOKUP(R4561,データについて!$J$12:$M$18,7,FALSE),"*")</f>
        <v>#N/A</v>
      </c>
      <c r="AD4561" s="81" t="e">
        <f>IF(X4561=2,HLOOKUP(R4561,データについて!$J$12:$M$18,7,FALSE),"*")</f>
        <v>#N/A</v>
      </c>
    </row>
    <row r="4562" spans="19:30">
      <c r="S4562" s="81" t="e">
        <f>HLOOKUP(L4562,データについて!$J$6:$M$18,13,FALSE)</f>
        <v>#N/A</v>
      </c>
      <c r="T4562" s="81" t="e">
        <f>HLOOKUP(M4562,データについて!$J$7:$M$18,12,FALSE)</f>
        <v>#N/A</v>
      </c>
      <c r="U4562" s="81" t="e">
        <f>HLOOKUP(N4562,データについて!$J$8:$M$18,11,FALSE)</f>
        <v>#N/A</v>
      </c>
      <c r="V4562" s="81" t="e">
        <f>HLOOKUP(O4562,データについて!$J$9:$M$18,10,FALSE)</f>
        <v>#N/A</v>
      </c>
      <c r="W4562" s="81" t="e">
        <f>HLOOKUP(P4562,データについて!$J$10:$M$18,9,FALSE)</f>
        <v>#N/A</v>
      </c>
      <c r="X4562" s="81" t="e">
        <f>HLOOKUP(Q4562,データについて!$J$11:$M$18,8,FALSE)</f>
        <v>#N/A</v>
      </c>
      <c r="Y4562" s="81" t="e">
        <f>HLOOKUP(R4562,データについて!$J$12:$M$18,7,FALSE)</f>
        <v>#N/A</v>
      </c>
      <c r="Z4562" s="81" t="e">
        <f>HLOOKUP(I4562,データについて!$J$3:$M$18,16,FALSE)</f>
        <v>#N/A</v>
      </c>
      <c r="AA4562" s="81" t="str">
        <f>IFERROR(HLOOKUP(J4562,データについて!$J$4:$AH$19,16,FALSE),"")</f>
        <v/>
      </c>
      <c r="AB4562" s="81" t="str">
        <f>IFERROR(HLOOKUP(K4562,データについて!$J$5:$AH$20,14,FALSE),"")</f>
        <v/>
      </c>
      <c r="AC4562" s="81" t="e">
        <f>IF(X4562=1,HLOOKUP(R4562,データについて!$J$12:$M$18,7,FALSE),"*")</f>
        <v>#N/A</v>
      </c>
      <c r="AD4562" s="81" t="e">
        <f>IF(X4562=2,HLOOKUP(R4562,データについて!$J$12:$M$18,7,FALSE),"*")</f>
        <v>#N/A</v>
      </c>
    </row>
    <row r="4563" spans="19:30">
      <c r="S4563" s="81" t="e">
        <f>HLOOKUP(L4563,データについて!$J$6:$M$18,13,FALSE)</f>
        <v>#N/A</v>
      </c>
      <c r="T4563" s="81" t="e">
        <f>HLOOKUP(M4563,データについて!$J$7:$M$18,12,FALSE)</f>
        <v>#N/A</v>
      </c>
      <c r="U4563" s="81" t="e">
        <f>HLOOKUP(N4563,データについて!$J$8:$M$18,11,FALSE)</f>
        <v>#N/A</v>
      </c>
      <c r="V4563" s="81" t="e">
        <f>HLOOKUP(O4563,データについて!$J$9:$M$18,10,FALSE)</f>
        <v>#N/A</v>
      </c>
      <c r="W4563" s="81" t="e">
        <f>HLOOKUP(P4563,データについて!$J$10:$M$18,9,FALSE)</f>
        <v>#N/A</v>
      </c>
      <c r="X4563" s="81" t="e">
        <f>HLOOKUP(Q4563,データについて!$J$11:$M$18,8,FALSE)</f>
        <v>#N/A</v>
      </c>
      <c r="Y4563" s="81" t="e">
        <f>HLOOKUP(R4563,データについて!$J$12:$M$18,7,FALSE)</f>
        <v>#N/A</v>
      </c>
      <c r="Z4563" s="81" t="e">
        <f>HLOOKUP(I4563,データについて!$J$3:$M$18,16,FALSE)</f>
        <v>#N/A</v>
      </c>
      <c r="AA4563" s="81" t="str">
        <f>IFERROR(HLOOKUP(J4563,データについて!$J$4:$AH$19,16,FALSE),"")</f>
        <v/>
      </c>
      <c r="AB4563" s="81" t="str">
        <f>IFERROR(HLOOKUP(K4563,データについて!$J$5:$AH$20,14,FALSE),"")</f>
        <v/>
      </c>
      <c r="AC4563" s="81" t="e">
        <f>IF(X4563=1,HLOOKUP(R4563,データについて!$J$12:$M$18,7,FALSE),"*")</f>
        <v>#N/A</v>
      </c>
      <c r="AD4563" s="81" t="e">
        <f>IF(X4563=2,HLOOKUP(R4563,データについて!$J$12:$M$18,7,FALSE),"*")</f>
        <v>#N/A</v>
      </c>
    </row>
    <row r="4564" spans="19:30">
      <c r="S4564" s="81" t="e">
        <f>HLOOKUP(L4564,データについて!$J$6:$M$18,13,FALSE)</f>
        <v>#N/A</v>
      </c>
      <c r="T4564" s="81" t="e">
        <f>HLOOKUP(M4564,データについて!$J$7:$M$18,12,FALSE)</f>
        <v>#N/A</v>
      </c>
      <c r="U4564" s="81" t="e">
        <f>HLOOKUP(N4564,データについて!$J$8:$M$18,11,FALSE)</f>
        <v>#N/A</v>
      </c>
      <c r="V4564" s="81" t="e">
        <f>HLOOKUP(O4564,データについて!$J$9:$M$18,10,FALSE)</f>
        <v>#N/A</v>
      </c>
      <c r="W4564" s="81" t="e">
        <f>HLOOKUP(P4564,データについて!$J$10:$M$18,9,FALSE)</f>
        <v>#N/A</v>
      </c>
      <c r="X4564" s="81" t="e">
        <f>HLOOKUP(Q4564,データについて!$J$11:$M$18,8,FALSE)</f>
        <v>#N/A</v>
      </c>
      <c r="Y4564" s="81" t="e">
        <f>HLOOKUP(R4564,データについて!$J$12:$M$18,7,FALSE)</f>
        <v>#N/A</v>
      </c>
      <c r="Z4564" s="81" t="e">
        <f>HLOOKUP(I4564,データについて!$J$3:$M$18,16,FALSE)</f>
        <v>#N/A</v>
      </c>
      <c r="AA4564" s="81" t="str">
        <f>IFERROR(HLOOKUP(J4564,データについて!$J$4:$AH$19,16,FALSE),"")</f>
        <v/>
      </c>
      <c r="AB4564" s="81" t="str">
        <f>IFERROR(HLOOKUP(K4564,データについて!$J$5:$AH$20,14,FALSE),"")</f>
        <v/>
      </c>
      <c r="AC4564" s="81" t="e">
        <f>IF(X4564=1,HLOOKUP(R4564,データについて!$J$12:$M$18,7,FALSE),"*")</f>
        <v>#N/A</v>
      </c>
      <c r="AD4564" s="81" t="e">
        <f>IF(X4564=2,HLOOKUP(R4564,データについて!$J$12:$M$18,7,FALSE),"*")</f>
        <v>#N/A</v>
      </c>
    </row>
    <row r="4565" spans="19:30">
      <c r="S4565" s="81" t="e">
        <f>HLOOKUP(L4565,データについて!$J$6:$M$18,13,FALSE)</f>
        <v>#N/A</v>
      </c>
      <c r="T4565" s="81" t="e">
        <f>HLOOKUP(M4565,データについて!$J$7:$M$18,12,FALSE)</f>
        <v>#N/A</v>
      </c>
      <c r="U4565" s="81" t="e">
        <f>HLOOKUP(N4565,データについて!$J$8:$M$18,11,FALSE)</f>
        <v>#N/A</v>
      </c>
      <c r="V4565" s="81" t="e">
        <f>HLOOKUP(O4565,データについて!$J$9:$M$18,10,FALSE)</f>
        <v>#N/A</v>
      </c>
      <c r="W4565" s="81" t="e">
        <f>HLOOKUP(P4565,データについて!$J$10:$M$18,9,FALSE)</f>
        <v>#N/A</v>
      </c>
      <c r="X4565" s="81" t="e">
        <f>HLOOKUP(Q4565,データについて!$J$11:$M$18,8,FALSE)</f>
        <v>#N/A</v>
      </c>
      <c r="Y4565" s="81" t="e">
        <f>HLOOKUP(R4565,データについて!$J$12:$M$18,7,FALSE)</f>
        <v>#N/A</v>
      </c>
      <c r="Z4565" s="81" t="e">
        <f>HLOOKUP(I4565,データについて!$J$3:$M$18,16,FALSE)</f>
        <v>#N/A</v>
      </c>
      <c r="AA4565" s="81" t="str">
        <f>IFERROR(HLOOKUP(J4565,データについて!$J$4:$AH$19,16,FALSE),"")</f>
        <v/>
      </c>
      <c r="AB4565" s="81" t="str">
        <f>IFERROR(HLOOKUP(K4565,データについて!$J$5:$AH$20,14,FALSE),"")</f>
        <v/>
      </c>
      <c r="AC4565" s="81" t="e">
        <f>IF(X4565=1,HLOOKUP(R4565,データについて!$J$12:$M$18,7,FALSE),"*")</f>
        <v>#N/A</v>
      </c>
      <c r="AD4565" s="81" t="e">
        <f>IF(X4565=2,HLOOKUP(R4565,データについて!$J$12:$M$18,7,FALSE),"*")</f>
        <v>#N/A</v>
      </c>
    </row>
    <row r="4566" spans="19:30">
      <c r="S4566" s="81" t="e">
        <f>HLOOKUP(L4566,データについて!$J$6:$M$18,13,FALSE)</f>
        <v>#N/A</v>
      </c>
      <c r="T4566" s="81" t="e">
        <f>HLOOKUP(M4566,データについて!$J$7:$M$18,12,FALSE)</f>
        <v>#N/A</v>
      </c>
      <c r="U4566" s="81" t="e">
        <f>HLOOKUP(N4566,データについて!$J$8:$M$18,11,FALSE)</f>
        <v>#N/A</v>
      </c>
      <c r="V4566" s="81" t="e">
        <f>HLOOKUP(O4566,データについて!$J$9:$M$18,10,FALSE)</f>
        <v>#N/A</v>
      </c>
      <c r="W4566" s="81" t="e">
        <f>HLOOKUP(P4566,データについて!$J$10:$M$18,9,FALSE)</f>
        <v>#N/A</v>
      </c>
      <c r="X4566" s="81" t="e">
        <f>HLOOKUP(Q4566,データについて!$J$11:$M$18,8,FALSE)</f>
        <v>#N/A</v>
      </c>
      <c r="Y4566" s="81" t="e">
        <f>HLOOKUP(R4566,データについて!$J$12:$M$18,7,FALSE)</f>
        <v>#N/A</v>
      </c>
      <c r="Z4566" s="81" t="e">
        <f>HLOOKUP(I4566,データについて!$J$3:$M$18,16,FALSE)</f>
        <v>#N/A</v>
      </c>
      <c r="AA4566" s="81" t="str">
        <f>IFERROR(HLOOKUP(J4566,データについて!$J$4:$AH$19,16,FALSE),"")</f>
        <v/>
      </c>
      <c r="AB4566" s="81" t="str">
        <f>IFERROR(HLOOKUP(K4566,データについて!$J$5:$AH$20,14,FALSE),"")</f>
        <v/>
      </c>
      <c r="AC4566" s="81" t="e">
        <f>IF(X4566=1,HLOOKUP(R4566,データについて!$J$12:$M$18,7,FALSE),"*")</f>
        <v>#N/A</v>
      </c>
      <c r="AD4566" s="81" t="e">
        <f>IF(X4566=2,HLOOKUP(R4566,データについて!$J$12:$M$18,7,FALSE),"*")</f>
        <v>#N/A</v>
      </c>
    </row>
    <row r="4567" spans="19:30">
      <c r="S4567" s="81" t="e">
        <f>HLOOKUP(L4567,データについて!$J$6:$M$18,13,FALSE)</f>
        <v>#N/A</v>
      </c>
      <c r="T4567" s="81" t="e">
        <f>HLOOKUP(M4567,データについて!$J$7:$M$18,12,FALSE)</f>
        <v>#N/A</v>
      </c>
      <c r="U4567" s="81" t="e">
        <f>HLOOKUP(N4567,データについて!$J$8:$M$18,11,FALSE)</f>
        <v>#N/A</v>
      </c>
      <c r="V4567" s="81" t="e">
        <f>HLOOKUP(O4567,データについて!$J$9:$M$18,10,FALSE)</f>
        <v>#N/A</v>
      </c>
      <c r="W4567" s="81" t="e">
        <f>HLOOKUP(P4567,データについて!$J$10:$M$18,9,FALSE)</f>
        <v>#N/A</v>
      </c>
      <c r="X4567" s="81" t="e">
        <f>HLOOKUP(Q4567,データについて!$J$11:$M$18,8,FALSE)</f>
        <v>#N/A</v>
      </c>
      <c r="Y4567" s="81" t="e">
        <f>HLOOKUP(R4567,データについて!$J$12:$M$18,7,FALSE)</f>
        <v>#N/A</v>
      </c>
      <c r="Z4567" s="81" t="e">
        <f>HLOOKUP(I4567,データについて!$J$3:$M$18,16,FALSE)</f>
        <v>#N/A</v>
      </c>
      <c r="AA4567" s="81" t="str">
        <f>IFERROR(HLOOKUP(J4567,データについて!$J$4:$AH$19,16,FALSE),"")</f>
        <v/>
      </c>
      <c r="AB4567" s="81" t="str">
        <f>IFERROR(HLOOKUP(K4567,データについて!$J$5:$AH$20,14,FALSE),"")</f>
        <v/>
      </c>
      <c r="AC4567" s="81" t="e">
        <f>IF(X4567=1,HLOOKUP(R4567,データについて!$J$12:$M$18,7,FALSE),"*")</f>
        <v>#N/A</v>
      </c>
      <c r="AD4567" s="81" t="e">
        <f>IF(X4567=2,HLOOKUP(R4567,データについて!$J$12:$M$18,7,FALSE),"*")</f>
        <v>#N/A</v>
      </c>
    </row>
    <row r="4568" spans="19:30">
      <c r="S4568" s="81" t="e">
        <f>HLOOKUP(L4568,データについて!$J$6:$M$18,13,FALSE)</f>
        <v>#N/A</v>
      </c>
      <c r="T4568" s="81" t="e">
        <f>HLOOKUP(M4568,データについて!$J$7:$M$18,12,FALSE)</f>
        <v>#N/A</v>
      </c>
      <c r="U4568" s="81" t="e">
        <f>HLOOKUP(N4568,データについて!$J$8:$M$18,11,FALSE)</f>
        <v>#N/A</v>
      </c>
      <c r="V4568" s="81" t="e">
        <f>HLOOKUP(O4568,データについて!$J$9:$M$18,10,FALSE)</f>
        <v>#N/A</v>
      </c>
      <c r="W4568" s="81" t="e">
        <f>HLOOKUP(P4568,データについて!$J$10:$M$18,9,FALSE)</f>
        <v>#N/A</v>
      </c>
      <c r="X4568" s="81" t="e">
        <f>HLOOKUP(Q4568,データについて!$J$11:$M$18,8,FALSE)</f>
        <v>#N/A</v>
      </c>
      <c r="Y4568" s="81" t="e">
        <f>HLOOKUP(R4568,データについて!$J$12:$M$18,7,FALSE)</f>
        <v>#N/A</v>
      </c>
      <c r="Z4568" s="81" t="e">
        <f>HLOOKUP(I4568,データについて!$J$3:$M$18,16,FALSE)</f>
        <v>#N/A</v>
      </c>
      <c r="AA4568" s="81" t="str">
        <f>IFERROR(HLOOKUP(J4568,データについて!$J$4:$AH$19,16,FALSE),"")</f>
        <v/>
      </c>
      <c r="AB4568" s="81" t="str">
        <f>IFERROR(HLOOKUP(K4568,データについて!$J$5:$AH$20,14,FALSE),"")</f>
        <v/>
      </c>
      <c r="AC4568" s="81" t="e">
        <f>IF(X4568=1,HLOOKUP(R4568,データについて!$J$12:$M$18,7,FALSE),"*")</f>
        <v>#N/A</v>
      </c>
      <c r="AD4568" s="81" t="e">
        <f>IF(X4568=2,HLOOKUP(R4568,データについて!$J$12:$M$18,7,FALSE),"*")</f>
        <v>#N/A</v>
      </c>
    </row>
    <row r="4569" spans="19:30">
      <c r="S4569" s="81" t="e">
        <f>HLOOKUP(L4569,データについて!$J$6:$M$18,13,FALSE)</f>
        <v>#N/A</v>
      </c>
      <c r="T4569" s="81" t="e">
        <f>HLOOKUP(M4569,データについて!$J$7:$M$18,12,FALSE)</f>
        <v>#N/A</v>
      </c>
      <c r="U4569" s="81" t="e">
        <f>HLOOKUP(N4569,データについて!$J$8:$M$18,11,FALSE)</f>
        <v>#N/A</v>
      </c>
      <c r="V4569" s="81" t="e">
        <f>HLOOKUP(O4569,データについて!$J$9:$M$18,10,FALSE)</f>
        <v>#N/A</v>
      </c>
      <c r="W4569" s="81" t="e">
        <f>HLOOKUP(P4569,データについて!$J$10:$M$18,9,FALSE)</f>
        <v>#N/A</v>
      </c>
      <c r="X4569" s="81" t="e">
        <f>HLOOKUP(Q4569,データについて!$J$11:$M$18,8,FALSE)</f>
        <v>#N/A</v>
      </c>
      <c r="Y4569" s="81" t="e">
        <f>HLOOKUP(R4569,データについて!$J$12:$M$18,7,FALSE)</f>
        <v>#N/A</v>
      </c>
      <c r="Z4569" s="81" t="e">
        <f>HLOOKUP(I4569,データについて!$J$3:$M$18,16,FALSE)</f>
        <v>#N/A</v>
      </c>
      <c r="AA4569" s="81" t="str">
        <f>IFERROR(HLOOKUP(J4569,データについて!$J$4:$AH$19,16,FALSE),"")</f>
        <v/>
      </c>
      <c r="AB4569" s="81" t="str">
        <f>IFERROR(HLOOKUP(K4569,データについて!$J$5:$AH$20,14,FALSE),"")</f>
        <v/>
      </c>
      <c r="AC4569" s="81" t="e">
        <f>IF(X4569=1,HLOOKUP(R4569,データについて!$J$12:$M$18,7,FALSE),"*")</f>
        <v>#N/A</v>
      </c>
      <c r="AD4569" s="81" t="e">
        <f>IF(X4569=2,HLOOKUP(R4569,データについて!$J$12:$M$18,7,FALSE),"*")</f>
        <v>#N/A</v>
      </c>
    </row>
    <row r="4570" spans="19:30">
      <c r="S4570" s="81" t="e">
        <f>HLOOKUP(L4570,データについて!$J$6:$M$18,13,FALSE)</f>
        <v>#N/A</v>
      </c>
      <c r="T4570" s="81" t="e">
        <f>HLOOKUP(M4570,データについて!$J$7:$M$18,12,FALSE)</f>
        <v>#N/A</v>
      </c>
      <c r="U4570" s="81" t="e">
        <f>HLOOKUP(N4570,データについて!$J$8:$M$18,11,FALSE)</f>
        <v>#N/A</v>
      </c>
      <c r="V4570" s="81" t="e">
        <f>HLOOKUP(O4570,データについて!$J$9:$M$18,10,FALSE)</f>
        <v>#N/A</v>
      </c>
      <c r="W4570" s="81" t="e">
        <f>HLOOKUP(P4570,データについて!$J$10:$M$18,9,FALSE)</f>
        <v>#N/A</v>
      </c>
      <c r="X4570" s="81" t="e">
        <f>HLOOKUP(Q4570,データについて!$J$11:$M$18,8,FALSE)</f>
        <v>#N/A</v>
      </c>
      <c r="Y4570" s="81" t="e">
        <f>HLOOKUP(R4570,データについて!$J$12:$M$18,7,FALSE)</f>
        <v>#N/A</v>
      </c>
      <c r="Z4570" s="81" t="e">
        <f>HLOOKUP(I4570,データについて!$J$3:$M$18,16,FALSE)</f>
        <v>#N/A</v>
      </c>
      <c r="AA4570" s="81" t="str">
        <f>IFERROR(HLOOKUP(J4570,データについて!$J$4:$AH$19,16,FALSE),"")</f>
        <v/>
      </c>
      <c r="AB4570" s="81" t="str">
        <f>IFERROR(HLOOKUP(K4570,データについて!$J$5:$AH$20,14,FALSE),"")</f>
        <v/>
      </c>
      <c r="AC4570" s="81" t="e">
        <f>IF(X4570=1,HLOOKUP(R4570,データについて!$J$12:$M$18,7,FALSE),"*")</f>
        <v>#N/A</v>
      </c>
      <c r="AD4570" s="81" t="e">
        <f>IF(X4570=2,HLOOKUP(R4570,データについて!$J$12:$M$18,7,FALSE),"*")</f>
        <v>#N/A</v>
      </c>
    </row>
    <row r="4571" spans="19:30">
      <c r="S4571" s="81" t="e">
        <f>HLOOKUP(L4571,データについて!$J$6:$M$18,13,FALSE)</f>
        <v>#N/A</v>
      </c>
      <c r="T4571" s="81" t="e">
        <f>HLOOKUP(M4571,データについて!$J$7:$M$18,12,FALSE)</f>
        <v>#N/A</v>
      </c>
      <c r="U4571" s="81" t="e">
        <f>HLOOKUP(N4571,データについて!$J$8:$M$18,11,FALSE)</f>
        <v>#N/A</v>
      </c>
      <c r="V4571" s="81" t="e">
        <f>HLOOKUP(O4571,データについて!$J$9:$M$18,10,FALSE)</f>
        <v>#N/A</v>
      </c>
      <c r="W4571" s="81" t="e">
        <f>HLOOKUP(P4571,データについて!$J$10:$M$18,9,FALSE)</f>
        <v>#N/A</v>
      </c>
      <c r="X4571" s="81" t="e">
        <f>HLOOKUP(Q4571,データについて!$J$11:$M$18,8,FALSE)</f>
        <v>#N/A</v>
      </c>
      <c r="Y4571" s="81" t="e">
        <f>HLOOKUP(R4571,データについて!$J$12:$M$18,7,FALSE)</f>
        <v>#N/A</v>
      </c>
      <c r="Z4571" s="81" t="e">
        <f>HLOOKUP(I4571,データについて!$J$3:$M$18,16,FALSE)</f>
        <v>#N/A</v>
      </c>
      <c r="AA4571" s="81" t="str">
        <f>IFERROR(HLOOKUP(J4571,データについて!$J$4:$AH$19,16,FALSE),"")</f>
        <v/>
      </c>
      <c r="AB4571" s="81" t="str">
        <f>IFERROR(HLOOKUP(K4571,データについて!$J$5:$AH$20,14,FALSE),"")</f>
        <v/>
      </c>
      <c r="AC4571" s="81" t="e">
        <f>IF(X4571=1,HLOOKUP(R4571,データについて!$J$12:$M$18,7,FALSE),"*")</f>
        <v>#N/A</v>
      </c>
      <c r="AD4571" s="81" t="e">
        <f>IF(X4571=2,HLOOKUP(R4571,データについて!$J$12:$M$18,7,FALSE),"*")</f>
        <v>#N/A</v>
      </c>
    </row>
    <row r="4572" spans="19:30">
      <c r="S4572" s="81" t="e">
        <f>HLOOKUP(L4572,データについて!$J$6:$M$18,13,FALSE)</f>
        <v>#N/A</v>
      </c>
      <c r="T4572" s="81" t="e">
        <f>HLOOKUP(M4572,データについて!$J$7:$M$18,12,FALSE)</f>
        <v>#N/A</v>
      </c>
      <c r="U4572" s="81" t="e">
        <f>HLOOKUP(N4572,データについて!$J$8:$M$18,11,FALSE)</f>
        <v>#N/A</v>
      </c>
      <c r="V4572" s="81" t="e">
        <f>HLOOKUP(O4572,データについて!$J$9:$M$18,10,FALSE)</f>
        <v>#N/A</v>
      </c>
      <c r="W4572" s="81" t="e">
        <f>HLOOKUP(P4572,データについて!$J$10:$M$18,9,FALSE)</f>
        <v>#N/A</v>
      </c>
      <c r="X4572" s="81" t="e">
        <f>HLOOKUP(Q4572,データについて!$J$11:$M$18,8,FALSE)</f>
        <v>#N/A</v>
      </c>
      <c r="Y4572" s="81" t="e">
        <f>HLOOKUP(R4572,データについて!$J$12:$M$18,7,FALSE)</f>
        <v>#N/A</v>
      </c>
      <c r="Z4572" s="81" t="e">
        <f>HLOOKUP(I4572,データについて!$J$3:$M$18,16,FALSE)</f>
        <v>#N/A</v>
      </c>
      <c r="AA4572" s="81" t="str">
        <f>IFERROR(HLOOKUP(J4572,データについて!$J$4:$AH$19,16,FALSE),"")</f>
        <v/>
      </c>
      <c r="AB4572" s="81" t="str">
        <f>IFERROR(HLOOKUP(K4572,データについて!$J$5:$AH$20,14,FALSE),"")</f>
        <v/>
      </c>
      <c r="AC4572" s="81" t="e">
        <f>IF(X4572=1,HLOOKUP(R4572,データについて!$J$12:$M$18,7,FALSE),"*")</f>
        <v>#N/A</v>
      </c>
      <c r="AD4572" s="81" t="e">
        <f>IF(X4572=2,HLOOKUP(R4572,データについて!$J$12:$M$18,7,FALSE),"*")</f>
        <v>#N/A</v>
      </c>
    </row>
    <row r="4573" spans="19:30">
      <c r="S4573" s="81" t="e">
        <f>HLOOKUP(L4573,データについて!$J$6:$M$18,13,FALSE)</f>
        <v>#N/A</v>
      </c>
      <c r="T4573" s="81" t="e">
        <f>HLOOKUP(M4573,データについて!$J$7:$M$18,12,FALSE)</f>
        <v>#N/A</v>
      </c>
      <c r="U4573" s="81" t="e">
        <f>HLOOKUP(N4573,データについて!$J$8:$M$18,11,FALSE)</f>
        <v>#N/A</v>
      </c>
      <c r="V4573" s="81" t="e">
        <f>HLOOKUP(O4573,データについて!$J$9:$M$18,10,FALSE)</f>
        <v>#N/A</v>
      </c>
      <c r="W4573" s="81" t="e">
        <f>HLOOKUP(P4573,データについて!$J$10:$M$18,9,FALSE)</f>
        <v>#N/A</v>
      </c>
      <c r="X4573" s="81" t="e">
        <f>HLOOKUP(Q4573,データについて!$J$11:$M$18,8,FALSE)</f>
        <v>#N/A</v>
      </c>
      <c r="Y4573" s="81" t="e">
        <f>HLOOKUP(R4573,データについて!$J$12:$M$18,7,FALSE)</f>
        <v>#N/A</v>
      </c>
      <c r="Z4573" s="81" t="e">
        <f>HLOOKUP(I4573,データについて!$J$3:$M$18,16,FALSE)</f>
        <v>#N/A</v>
      </c>
      <c r="AA4573" s="81" t="str">
        <f>IFERROR(HLOOKUP(J4573,データについて!$J$4:$AH$19,16,FALSE),"")</f>
        <v/>
      </c>
      <c r="AB4573" s="81" t="str">
        <f>IFERROR(HLOOKUP(K4573,データについて!$J$5:$AH$20,14,FALSE),"")</f>
        <v/>
      </c>
      <c r="AC4573" s="81" t="e">
        <f>IF(X4573=1,HLOOKUP(R4573,データについて!$J$12:$M$18,7,FALSE),"*")</f>
        <v>#N/A</v>
      </c>
      <c r="AD4573" s="81" t="e">
        <f>IF(X4573=2,HLOOKUP(R4573,データについて!$J$12:$M$18,7,FALSE),"*")</f>
        <v>#N/A</v>
      </c>
    </row>
    <row r="4574" spans="19:30">
      <c r="S4574" s="81" t="e">
        <f>HLOOKUP(L4574,データについて!$J$6:$M$18,13,FALSE)</f>
        <v>#N/A</v>
      </c>
      <c r="T4574" s="81" t="e">
        <f>HLOOKUP(M4574,データについて!$J$7:$M$18,12,FALSE)</f>
        <v>#N/A</v>
      </c>
      <c r="U4574" s="81" t="e">
        <f>HLOOKUP(N4574,データについて!$J$8:$M$18,11,FALSE)</f>
        <v>#N/A</v>
      </c>
      <c r="V4574" s="81" t="e">
        <f>HLOOKUP(O4574,データについて!$J$9:$M$18,10,FALSE)</f>
        <v>#N/A</v>
      </c>
      <c r="W4574" s="81" t="e">
        <f>HLOOKUP(P4574,データについて!$J$10:$M$18,9,FALSE)</f>
        <v>#N/A</v>
      </c>
      <c r="X4574" s="81" t="e">
        <f>HLOOKUP(Q4574,データについて!$J$11:$M$18,8,FALSE)</f>
        <v>#N/A</v>
      </c>
      <c r="Y4574" s="81" t="e">
        <f>HLOOKUP(R4574,データについて!$J$12:$M$18,7,FALSE)</f>
        <v>#N/A</v>
      </c>
      <c r="Z4574" s="81" t="e">
        <f>HLOOKUP(I4574,データについて!$J$3:$M$18,16,FALSE)</f>
        <v>#N/A</v>
      </c>
      <c r="AA4574" s="81" t="str">
        <f>IFERROR(HLOOKUP(J4574,データについて!$J$4:$AH$19,16,FALSE),"")</f>
        <v/>
      </c>
      <c r="AB4574" s="81" t="str">
        <f>IFERROR(HLOOKUP(K4574,データについて!$J$5:$AH$20,14,FALSE),"")</f>
        <v/>
      </c>
      <c r="AC4574" s="81" t="e">
        <f>IF(X4574=1,HLOOKUP(R4574,データについて!$J$12:$M$18,7,FALSE),"*")</f>
        <v>#N/A</v>
      </c>
      <c r="AD4574" s="81" t="e">
        <f>IF(X4574=2,HLOOKUP(R4574,データについて!$J$12:$M$18,7,FALSE),"*")</f>
        <v>#N/A</v>
      </c>
    </row>
    <row r="4575" spans="19:30">
      <c r="S4575" s="81" t="e">
        <f>HLOOKUP(L4575,データについて!$J$6:$M$18,13,FALSE)</f>
        <v>#N/A</v>
      </c>
      <c r="T4575" s="81" t="e">
        <f>HLOOKUP(M4575,データについて!$J$7:$M$18,12,FALSE)</f>
        <v>#N/A</v>
      </c>
      <c r="U4575" s="81" t="e">
        <f>HLOOKUP(N4575,データについて!$J$8:$M$18,11,FALSE)</f>
        <v>#N/A</v>
      </c>
      <c r="V4575" s="81" t="e">
        <f>HLOOKUP(O4575,データについて!$J$9:$M$18,10,FALSE)</f>
        <v>#N/A</v>
      </c>
      <c r="W4575" s="81" t="e">
        <f>HLOOKUP(P4575,データについて!$J$10:$M$18,9,FALSE)</f>
        <v>#N/A</v>
      </c>
      <c r="X4575" s="81" t="e">
        <f>HLOOKUP(Q4575,データについて!$J$11:$M$18,8,FALSE)</f>
        <v>#N/A</v>
      </c>
      <c r="Y4575" s="81" t="e">
        <f>HLOOKUP(R4575,データについて!$J$12:$M$18,7,FALSE)</f>
        <v>#N/A</v>
      </c>
      <c r="Z4575" s="81" t="e">
        <f>HLOOKUP(I4575,データについて!$J$3:$M$18,16,FALSE)</f>
        <v>#N/A</v>
      </c>
      <c r="AA4575" s="81" t="str">
        <f>IFERROR(HLOOKUP(J4575,データについて!$J$4:$AH$19,16,FALSE),"")</f>
        <v/>
      </c>
      <c r="AB4575" s="81" t="str">
        <f>IFERROR(HLOOKUP(K4575,データについて!$J$5:$AH$20,14,FALSE),"")</f>
        <v/>
      </c>
      <c r="AC4575" s="81" t="e">
        <f>IF(X4575=1,HLOOKUP(R4575,データについて!$J$12:$M$18,7,FALSE),"*")</f>
        <v>#N/A</v>
      </c>
      <c r="AD4575" s="81" t="e">
        <f>IF(X4575=2,HLOOKUP(R4575,データについて!$J$12:$M$18,7,FALSE),"*")</f>
        <v>#N/A</v>
      </c>
    </row>
    <row r="4576" spans="19:30">
      <c r="S4576" s="81" t="e">
        <f>HLOOKUP(L4576,データについて!$J$6:$M$18,13,FALSE)</f>
        <v>#N/A</v>
      </c>
      <c r="T4576" s="81" t="e">
        <f>HLOOKUP(M4576,データについて!$J$7:$M$18,12,FALSE)</f>
        <v>#N/A</v>
      </c>
      <c r="U4576" s="81" t="e">
        <f>HLOOKUP(N4576,データについて!$J$8:$M$18,11,FALSE)</f>
        <v>#N/A</v>
      </c>
      <c r="V4576" s="81" t="e">
        <f>HLOOKUP(O4576,データについて!$J$9:$M$18,10,FALSE)</f>
        <v>#N/A</v>
      </c>
      <c r="W4576" s="81" t="e">
        <f>HLOOKUP(P4576,データについて!$J$10:$M$18,9,FALSE)</f>
        <v>#N/A</v>
      </c>
      <c r="X4576" s="81" t="e">
        <f>HLOOKUP(Q4576,データについて!$J$11:$M$18,8,FALSE)</f>
        <v>#N/A</v>
      </c>
      <c r="Y4576" s="81" t="e">
        <f>HLOOKUP(R4576,データについて!$J$12:$M$18,7,FALSE)</f>
        <v>#N/A</v>
      </c>
      <c r="Z4576" s="81" t="e">
        <f>HLOOKUP(I4576,データについて!$J$3:$M$18,16,FALSE)</f>
        <v>#N/A</v>
      </c>
      <c r="AA4576" s="81" t="str">
        <f>IFERROR(HLOOKUP(J4576,データについて!$J$4:$AH$19,16,FALSE),"")</f>
        <v/>
      </c>
      <c r="AB4576" s="81" t="str">
        <f>IFERROR(HLOOKUP(K4576,データについて!$J$5:$AH$20,14,FALSE),"")</f>
        <v/>
      </c>
      <c r="AC4576" s="81" t="e">
        <f>IF(X4576=1,HLOOKUP(R4576,データについて!$J$12:$M$18,7,FALSE),"*")</f>
        <v>#N/A</v>
      </c>
      <c r="AD4576" s="81" t="e">
        <f>IF(X4576=2,HLOOKUP(R4576,データについて!$J$12:$M$18,7,FALSE),"*")</f>
        <v>#N/A</v>
      </c>
    </row>
    <row r="4577" spans="19:30">
      <c r="S4577" s="81" t="e">
        <f>HLOOKUP(L4577,データについて!$J$6:$M$18,13,FALSE)</f>
        <v>#N/A</v>
      </c>
      <c r="T4577" s="81" t="e">
        <f>HLOOKUP(M4577,データについて!$J$7:$M$18,12,FALSE)</f>
        <v>#N/A</v>
      </c>
      <c r="U4577" s="81" t="e">
        <f>HLOOKUP(N4577,データについて!$J$8:$M$18,11,FALSE)</f>
        <v>#N/A</v>
      </c>
      <c r="V4577" s="81" t="e">
        <f>HLOOKUP(O4577,データについて!$J$9:$M$18,10,FALSE)</f>
        <v>#N/A</v>
      </c>
      <c r="W4577" s="81" t="e">
        <f>HLOOKUP(P4577,データについて!$J$10:$M$18,9,FALSE)</f>
        <v>#N/A</v>
      </c>
      <c r="X4577" s="81" t="e">
        <f>HLOOKUP(Q4577,データについて!$J$11:$M$18,8,FALSE)</f>
        <v>#N/A</v>
      </c>
      <c r="Y4577" s="81" t="e">
        <f>HLOOKUP(R4577,データについて!$J$12:$M$18,7,FALSE)</f>
        <v>#N/A</v>
      </c>
      <c r="Z4577" s="81" t="e">
        <f>HLOOKUP(I4577,データについて!$J$3:$M$18,16,FALSE)</f>
        <v>#N/A</v>
      </c>
      <c r="AA4577" s="81" t="str">
        <f>IFERROR(HLOOKUP(J4577,データについて!$J$4:$AH$19,16,FALSE),"")</f>
        <v/>
      </c>
      <c r="AB4577" s="81" t="str">
        <f>IFERROR(HLOOKUP(K4577,データについて!$J$5:$AH$20,14,FALSE),"")</f>
        <v/>
      </c>
      <c r="AC4577" s="81" t="e">
        <f>IF(X4577=1,HLOOKUP(R4577,データについて!$J$12:$M$18,7,FALSE),"*")</f>
        <v>#N/A</v>
      </c>
      <c r="AD4577" s="81" t="e">
        <f>IF(X4577=2,HLOOKUP(R4577,データについて!$J$12:$M$18,7,FALSE),"*")</f>
        <v>#N/A</v>
      </c>
    </row>
    <row r="4578" spans="19:30">
      <c r="S4578" s="81" t="e">
        <f>HLOOKUP(L4578,データについて!$J$6:$M$18,13,FALSE)</f>
        <v>#N/A</v>
      </c>
      <c r="T4578" s="81" t="e">
        <f>HLOOKUP(M4578,データについて!$J$7:$M$18,12,FALSE)</f>
        <v>#N/A</v>
      </c>
      <c r="U4578" s="81" t="e">
        <f>HLOOKUP(N4578,データについて!$J$8:$M$18,11,FALSE)</f>
        <v>#N/A</v>
      </c>
      <c r="V4578" s="81" t="e">
        <f>HLOOKUP(O4578,データについて!$J$9:$M$18,10,FALSE)</f>
        <v>#N/A</v>
      </c>
      <c r="W4578" s="81" t="e">
        <f>HLOOKUP(P4578,データについて!$J$10:$M$18,9,FALSE)</f>
        <v>#N/A</v>
      </c>
      <c r="X4578" s="81" t="e">
        <f>HLOOKUP(Q4578,データについて!$J$11:$M$18,8,FALSE)</f>
        <v>#N/A</v>
      </c>
      <c r="Y4578" s="81" t="e">
        <f>HLOOKUP(R4578,データについて!$J$12:$M$18,7,FALSE)</f>
        <v>#N/A</v>
      </c>
      <c r="Z4578" s="81" t="e">
        <f>HLOOKUP(I4578,データについて!$J$3:$M$18,16,FALSE)</f>
        <v>#N/A</v>
      </c>
      <c r="AA4578" s="81" t="str">
        <f>IFERROR(HLOOKUP(J4578,データについて!$J$4:$AH$19,16,FALSE),"")</f>
        <v/>
      </c>
      <c r="AB4578" s="81" t="str">
        <f>IFERROR(HLOOKUP(K4578,データについて!$J$5:$AH$20,14,FALSE),"")</f>
        <v/>
      </c>
      <c r="AC4578" s="81" t="e">
        <f>IF(X4578=1,HLOOKUP(R4578,データについて!$J$12:$M$18,7,FALSE),"*")</f>
        <v>#N/A</v>
      </c>
      <c r="AD4578" s="81" t="e">
        <f>IF(X4578=2,HLOOKUP(R4578,データについて!$J$12:$M$18,7,FALSE),"*")</f>
        <v>#N/A</v>
      </c>
    </row>
    <row r="4579" spans="19:30">
      <c r="S4579" s="81" t="e">
        <f>HLOOKUP(L4579,データについて!$J$6:$M$18,13,FALSE)</f>
        <v>#N/A</v>
      </c>
      <c r="T4579" s="81" t="e">
        <f>HLOOKUP(M4579,データについて!$J$7:$M$18,12,FALSE)</f>
        <v>#N/A</v>
      </c>
      <c r="U4579" s="81" t="e">
        <f>HLOOKUP(N4579,データについて!$J$8:$M$18,11,FALSE)</f>
        <v>#N/A</v>
      </c>
      <c r="V4579" s="81" t="e">
        <f>HLOOKUP(O4579,データについて!$J$9:$M$18,10,FALSE)</f>
        <v>#N/A</v>
      </c>
      <c r="W4579" s="81" t="e">
        <f>HLOOKUP(P4579,データについて!$J$10:$M$18,9,FALSE)</f>
        <v>#N/A</v>
      </c>
      <c r="X4579" s="81" t="e">
        <f>HLOOKUP(Q4579,データについて!$J$11:$M$18,8,FALSE)</f>
        <v>#N/A</v>
      </c>
      <c r="Y4579" s="81" t="e">
        <f>HLOOKUP(R4579,データについて!$J$12:$M$18,7,FALSE)</f>
        <v>#N/A</v>
      </c>
      <c r="Z4579" s="81" t="e">
        <f>HLOOKUP(I4579,データについて!$J$3:$M$18,16,FALSE)</f>
        <v>#N/A</v>
      </c>
      <c r="AA4579" s="81" t="str">
        <f>IFERROR(HLOOKUP(J4579,データについて!$J$4:$AH$19,16,FALSE),"")</f>
        <v/>
      </c>
      <c r="AB4579" s="81" t="str">
        <f>IFERROR(HLOOKUP(K4579,データについて!$J$5:$AH$20,14,FALSE),"")</f>
        <v/>
      </c>
      <c r="AC4579" s="81" t="e">
        <f>IF(X4579=1,HLOOKUP(R4579,データについて!$J$12:$M$18,7,FALSE),"*")</f>
        <v>#N/A</v>
      </c>
      <c r="AD4579" s="81" t="e">
        <f>IF(X4579=2,HLOOKUP(R4579,データについて!$J$12:$M$18,7,FALSE),"*")</f>
        <v>#N/A</v>
      </c>
    </row>
    <row r="4580" spans="19:30">
      <c r="S4580" s="81" t="e">
        <f>HLOOKUP(L4580,データについて!$J$6:$M$18,13,FALSE)</f>
        <v>#N/A</v>
      </c>
      <c r="T4580" s="81" t="e">
        <f>HLOOKUP(M4580,データについて!$J$7:$M$18,12,FALSE)</f>
        <v>#N/A</v>
      </c>
      <c r="U4580" s="81" t="e">
        <f>HLOOKUP(N4580,データについて!$J$8:$M$18,11,FALSE)</f>
        <v>#N/A</v>
      </c>
      <c r="V4580" s="81" t="e">
        <f>HLOOKUP(O4580,データについて!$J$9:$M$18,10,FALSE)</f>
        <v>#N/A</v>
      </c>
      <c r="W4580" s="81" t="e">
        <f>HLOOKUP(P4580,データについて!$J$10:$M$18,9,FALSE)</f>
        <v>#N/A</v>
      </c>
      <c r="X4580" s="81" t="e">
        <f>HLOOKUP(Q4580,データについて!$J$11:$M$18,8,FALSE)</f>
        <v>#N/A</v>
      </c>
      <c r="Y4580" s="81" t="e">
        <f>HLOOKUP(R4580,データについて!$J$12:$M$18,7,FALSE)</f>
        <v>#N/A</v>
      </c>
      <c r="Z4580" s="81" t="e">
        <f>HLOOKUP(I4580,データについて!$J$3:$M$18,16,FALSE)</f>
        <v>#N/A</v>
      </c>
      <c r="AA4580" s="81" t="str">
        <f>IFERROR(HLOOKUP(J4580,データについて!$J$4:$AH$19,16,FALSE),"")</f>
        <v/>
      </c>
      <c r="AB4580" s="81" t="str">
        <f>IFERROR(HLOOKUP(K4580,データについて!$J$5:$AH$20,14,FALSE),"")</f>
        <v/>
      </c>
      <c r="AC4580" s="81" t="e">
        <f>IF(X4580=1,HLOOKUP(R4580,データについて!$J$12:$M$18,7,FALSE),"*")</f>
        <v>#N/A</v>
      </c>
      <c r="AD4580" s="81" t="e">
        <f>IF(X4580=2,HLOOKUP(R4580,データについて!$J$12:$M$18,7,FALSE),"*")</f>
        <v>#N/A</v>
      </c>
    </row>
    <row r="4581" spans="19:30">
      <c r="S4581" s="81" t="e">
        <f>HLOOKUP(L4581,データについて!$J$6:$M$18,13,FALSE)</f>
        <v>#N/A</v>
      </c>
      <c r="T4581" s="81" t="e">
        <f>HLOOKUP(M4581,データについて!$J$7:$M$18,12,FALSE)</f>
        <v>#N/A</v>
      </c>
      <c r="U4581" s="81" t="e">
        <f>HLOOKUP(N4581,データについて!$J$8:$M$18,11,FALSE)</f>
        <v>#N/A</v>
      </c>
      <c r="V4581" s="81" t="e">
        <f>HLOOKUP(O4581,データについて!$J$9:$M$18,10,FALSE)</f>
        <v>#N/A</v>
      </c>
      <c r="W4581" s="81" t="e">
        <f>HLOOKUP(P4581,データについて!$J$10:$M$18,9,FALSE)</f>
        <v>#N/A</v>
      </c>
      <c r="X4581" s="81" t="e">
        <f>HLOOKUP(Q4581,データについて!$J$11:$M$18,8,FALSE)</f>
        <v>#N/A</v>
      </c>
      <c r="Y4581" s="81" t="e">
        <f>HLOOKUP(R4581,データについて!$J$12:$M$18,7,FALSE)</f>
        <v>#N/A</v>
      </c>
      <c r="Z4581" s="81" t="e">
        <f>HLOOKUP(I4581,データについて!$J$3:$M$18,16,FALSE)</f>
        <v>#N/A</v>
      </c>
      <c r="AA4581" s="81" t="str">
        <f>IFERROR(HLOOKUP(J4581,データについて!$J$4:$AH$19,16,FALSE),"")</f>
        <v/>
      </c>
      <c r="AB4581" s="81" t="str">
        <f>IFERROR(HLOOKUP(K4581,データについて!$J$5:$AH$20,14,FALSE),"")</f>
        <v/>
      </c>
      <c r="AC4581" s="81" t="e">
        <f>IF(X4581=1,HLOOKUP(R4581,データについて!$J$12:$M$18,7,FALSE),"*")</f>
        <v>#N/A</v>
      </c>
      <c r="AD4581" s="81" t="e">
        <f>IF(X4581=2,HLOOKUP(R4581,データについて!$J$12:$M$18,7,FALSE),"*")</f>
        <v>#N/A</v>
      </c>
    </row>
    <row r="4582" spans="19:30">
      <c r="S4582" s="81" t="e">
        <f>HLOOKUP(L4582,データについて!$J$6:$M$18,13,FALSE)</f>
        <v>#N/A</v>
      </c>
      <c r="T4582" s="81" t="e">
        <f>HLOOKUP(M4582,データについて!$J$7:$M$18,12,FALSE)</f>
        <v>#N/A</v>
      </c>
      <c r="U4582" s="81" t="e">
        <f>HLOOKUP(N4582,データについて!$J$8:$M$18,11,FALSE)</f>
        <v>#N/A</v>
      </c>
      <c r="V4582" s="81" t="e">
        <f>HLOOKUP(O4582,データについて!$J$9:$M$18,10,FALSE)</f>
        <v>#N/A</v>
      </c>
      <c r="W4582" s="81" t="e">
        <f>HLOOKUP(P4582,データについて!$J$10:$M$18,9,FALSE)</f>
        <v>#N/A</v>
      </c>
      <c r="X4582" s="81" t="e">
        <f>HLOOKUP(Q4582,データについて!$J$11:$M$18,8,FALSE)</f>
        <v>#N/A</v>
      </c>
      <c r="Y4582" s="81" t="e">
        <f>HLOOKUP(R4582,データについて!$J$12:$M$18,7,FALSE)</f>
        <v>#N/A</v>
      </c>
      <c r="Z4582" s="81" t="e">
        <f>HLOOKUP(I4582,データについて!$J$3:$M$18,16,FALSE)</f>
        <v>#N/A</v>
      </c>
      <c r="AA4582" s="81" t="str">
        <f>IFERROR(HLOOKUP(J4582,データについて!$J$4:$AH$19,16,FALSE),"")</f>
        <v/>
      </c>
      <c r="AB4582" s="81" t="str">
        <f>IFERROR(HLOOKUP(K4582,データについて!$J$5:$AH$20,14,FALSE),"")</f>
        <v/>
      </c>
      <c r="AC4582" s="81" t="e">
        <f>IF(X4582=1,HLOOKUP(R4582,データについて!$J$12:$M$18,7,FALSE),"*")</f>
        <v>#N/A</v>
      </c>
      <c r="AD4582" s="81" t="e">
        <f>IF(X4582=2,HLOOKUP(R4582,データについて!$J$12:$M$18,7,FALSE),"*")</f>
        <v>#N/A</v>
      </c>
    </row>
    <row r="4583" spans="19:30">
      <c r="S4583" s="81" t="e">
        <f>HLOOKUP(L4583,データについて!$J$6:$M$18,13,FALSE)</f>
        <v>#N/A</v>
      </c>
      <c r="T4583" s="81" t="e">
        <f>HLOOKUP(M4583,データについて!$J$7:$M$18,12,FALSE)</f>
        <v>#N/A</v>
      </c>
      <c r="U4583" s="81" t="e">
        <f>HLOOKUP(N4583,データについて!$J$8:$M$18,11,FALSE)</f>
        <v>#N/A</v>
      </c>
      <c r="V4583" s="81" t="e">
        <f>HLOOKUP(O4583,データについて!$J$9:$M$18,10,FALSE)</f>
        <v>#N/A</v>
      </c>
      <c r="W4583" s="81" t="e">
        <f>HLOOKUP(P4583,データについて!$J$10:$M$18,9,FALSE)</f>
        <v>#N/A</v>
      </c>
      <c r="X4583" s="81" t="e">
        <f>HLOOKUP(Q4583,データについて!$J$11:$M$18,8,FALSE)</f>
        <v>#N/A</v>
      </c>
      <c r="Y4583" s="81" t="e">
        <f>HLOOKUP(R4583,データについて!$J$12:$M$18,7,FALSE)</f>
        <v>#N/A</v>
      </c>
      <c r="Z4583" s="81" t="e">
        <f>HLOOKUP(I4583,データについて!$J$3:$M$18,16,FALSE)</f>
        <v>#N/A</v>
      </c>
      <c r="AA4583" s="81" t="str">
        <f>IFERROR(HLOOKUP(J4583,データについて!$J$4:$AH$19,16,FALSE),"")</f>
        <v/>
      </c>
      <c r="AB4583" s="81" t="str">
        <f>IFERROR(HLOOKUP(K4583,データについて!$J$5:$AH$20,14,FALSE),"")</f>
        <v/>
      </c>
      <c r="AC4583" s="81" t="e">
        <f>IF(X4583=1,HLOOKUP(R4583,データについて!$J$12:$M$18,7,FALSE),"*")</f>
        <v>#N/A</v>
      </c>
      <c r="AD4583" s="81" t="e">
        <f>IF(X4583=2,HLOOKUP(R4583,データについて!$J$12:$M$18,7,FALSE),"*")</f>
        <v>#N/A</v>
      </c>
    </row>
    <row r="4584" spans="19:30">
      <c r="S4584" s="81" t="e">
        <f>HLOOKUP(L4584,データについて!$J$6:$M$18,13,FALSE)</f>
        <v>#N/A</v>
      </c>
      <c r="T4584" s="81" t="e">
        <f>HLOOKUP(M4584,データについて!$J$7:$M$18,12,FALSE)</f>
        <v>#N/A</v>
      </c>
      <c r="U4584" s="81" t="e">
        <f>HLOOKUP(N4584,データについて!$J$8:$M$18,11,FALSE)</f>
        <v>#N/A</v>
      </c>
      <c r="V4584" s="81" t="e">
        <f>HLOOKUP(O4584,データについて!$J$9:$M$18,10,FALSE)</f>
        <v>#N/A</v>
      </c>
      <c r="W4584" s="81" t="e">
        <f>HLOOKUP(P4584,データについて!$J$10:$M$18,9,FALSE)</f>
        <v>#N/A</v>
      </c>
      <c r="X4584" s="81" t="e">
        <f>HLOOKUP(Q4584,データについて!$J$11:$M$18,8,FALSE)</f>
        <v>#N/A</v>
      </c>
      <c r="Y4584" s="81" t="e">
        <f>HLOOKUP(R4584,データについて!$J$12:$M$18,7,FALSE)</f>
        <v>#N/A</v>
      </c>
      <c r="Z4584" s="81" t="e">
        <f>HLOOKUP(I4584,データについて!$J$3:$M$18,16,FALSE)</f>
        <v>#N/A</v>
      </c>
      <c r="AA4584" s="81" t="str">
        <f>IFERROR(HLOOKUP(J4584,データについて!$J$4:$AH$19,16,FALSE),"")</f>
        <v/>
      </c>
      <c r="AB4584" s="81" t="str">
        <f>IFERROR(HLOOKUP(K4584,データについて!$J$5:$AH$20,14,FALSE),"")</f>
        <v/>
      </c>
      <c r="AC4584" s="81" t="e">
        <f>IF(X4584=1,HLOOKUP(R4584,データについて!$J$12:$M$18,7,FALSE),"*")</f>
        <v>#N/A</v>
      </c>
      <c r="AD4584" s="81" t="e">
        <f>IF(X4584=2,HLOOKUP(R4584,データについて!$J$12:$M$18,7,FALSE),"*")</f>
        <v>#N/A</v>
      </c>
    </row>
    <row r="4585" spans="19:30">
      <c r="S4585" s="81" t="e">
        <f>HLOOKUP(L4585,データについて!$J$6:$M$18,13,FALSE)</f>
        <v>#N/A</v>
      </c>
      <c r="T4585" s="81" t="e">
        <f>HLOOKUP(M4585,データについて!$J$7:$M$18,12,FALSE)</f>
        <v>#N/A</v>
      </c>
      <c r="U4585" s="81" t="e">
        <f>HLOOKUP(N4585,データについて!$J$8:$M$18,11,FALSE)</f>
        <v>#N/A</v>
      </c>
      <c r="V4585" s="81" t="e">
        <f>HLOOKUP(O4585,データについて!$J$9:$M$18,10,FALSE)</f>
        <v>#N/A</v>
      </c>
      <c r="W4585" s="81" t="e">
        <f>HLOOKUP(P4585,データについて!$J$10:$M$18,9,FALSE)</f>
        <v>#N/A</v>
      </c>
      <c r="X4585" s="81" t="e">
        <f>HLOOKUP(Q4585,データについて!$J$11:$M$18,8,FALSE)</f>
        <v>#N/A</v>
      </c>
      <c r="Y4585" s="81" t="e">
        <f>HLOOKUP(R4585,データについて!$J$12:$M$18,7,FALSE)</f>
        <v>#N/A</v>
      </c>
      <c r="Z4585" s="81" t="e">
        <f>HLOOKUP(I4585,データについて!$J$3:$M$18,16,FALSE)</f>
        <v>#N/A</v>
      </c>
      <c r="AA4585" s="81" t="str">
        <f>IFERROR(HLOOKUP(J4585,データについて!$J$4:$AH$19,16,FALSE),"")</f>
        <v/>
      </c>
      <c r="AB4585" s="81" t="str">
        <f>IFERROR(HLOOKUP(K4585,データについて!$J$5:$AH$20,14,FALSE),"")</f>
        <v/>
      </c>
      <c r="AC4585" s="81" t="e">
        <f>IF(X4585=1,HLOOKUP(R4585,データについて!$J$12:$M$18,7,FALSE),"*")</f>
        <v>#N/A</v>
      </c>
      <c r="AD4585" s="81" t="e">
        <f>IF(X4585=2,HLOOKUP(R4585,データについて!$J$12:$M$18,7,FALSE),"*")</f>
        <v>#N/A</v>
      </c>
    </row>
    <row r="4586" spans="19:30">
      <c r="S4586" s="81" t="e">
        <f>HLOOKUP(L4586,データについて!$J$6:$M$18,13,FALSE)</f>
        <v>#N/A</v>
      </c>
      <c r="T4586" s="81" t="e">
        <f>HLOOKUP(M4586,データについて!$J$7:$M$18,12,FALSE)</f>
        <v>#N/A</v>
      </c>
      <c r="U4586" s="81" t="e">
        <f>HLOOKUP(N4586,データについて!$J$8:$M$18,11,FALSE)</f>
        <v>#N/A</v>
      </c>
      <c r="V4586" s="81" t="e">
        <f>HLOOKUP(O4586,データについて!$J$9:$M$18,10,FALSE)</f>
        <v>#N/A</v>
      </c>
      <c r="W4586" s="81" t="e">
        <f>HLOOKUP(P4586,データについて!$J$10:$M$18,9,FALSE)</f>
        <v>#N/A</v>
      </c>
      <c r="X4586" s="81" t="e">
        <f>HLOOKUP(Q4586,データについて!$J$11:$M$18,8,FALSE)</f>
        <v>#N/A</v>
      </c>
      <c r="Y4586" s="81" t="e">
        <f>HLOOKUP(R4586,データについて!$J$12:$M$18,7,FALSE)</f>
        <v>#N/A</v>
      </c>
      <c r="Z4586" s="81" t="e">
        <f>HLOOKUP(I4586,データについて!$J$3:$M$18,16,FALSE)</f>
        <v>#N/A</v>
      </c>
      <c r="AA4586" s="81" t="str">
        <f>IFERROR(HLOOKUP(J4586,データについて!$J$4:$AH$19,16,FALSE),"")</f>
        <v/>
      </c>
      <c r="AB4586" s="81" t="str">
        <f>IFERROR(HLOOKUP(K4586,データについて!$J$5:$AH$20,14,FALSE),"")</f>
        <v/>
      </c>
      <c r="AC4586" s="81" t="e">
        <f>IF(X4586=1,HLOOKUP(R4586,データについて!$J$12:$M$18,7,FALSE),"*")</f>
        <v>#N/A</v>
      </c>
      <c r="AD4586" s="81" t="e">
        <f>IF(X4586=2,HLOOKUP(R4586,データについて!$J$12:$M$18,7,FALSE),"*")</f>
        <v>#N/A</v>
      </c>
    </row>
    <row r="4587" spans="19:30">
      <c r="S4587" s="81" t="e">
        <f>HLOOKUP(L4587,データについて!$J$6:$M$18,13,FALSE)</f>
        <v>#N/A</v>
      </c>
      <c r="T4587" s="81" t="e">
        <f>HLOOKUP(M4587,データについて!$J$7:$M$18,12,FALSE)</f>
        <v>#N/A</v>
      </c>
      <c r="U4587" s="81" t="e">
        <f>HLOOKUP(N4587,データについて!$J$8:$M$18,11,FALSE)</f>
        <v>#N/A</v>
      </c>
      <c r="V4587" s="81" t="e">
        <f>HLOOKUP(O4587,データについて!$J$9:$M$18,10,FALSE)</f>
        <v>#N/A</v>
      </c>
      <c r="W4587" s="81" t="e">
        <f>HLOOKUP(P4587,データについて!$J$10:$M$18,9,FALSE)</f>
        <v>#N/A</v>
      </c>
      <c r="X4587" s="81" t="e">
        <f>HLOOKUP(Q4587,データについて!$J$11:$M$18,8,FALSE)</f>
        <v>#N/A</v>
      </c>
      <c r="Y4587" s="81" t="e">
        <f>HLOOKUP(R4587,データについて!$J$12:$M$18,7,FALSE)</f>
        <v>#N/A</v>
      </c>
      <c r="Z4587" s="81" t="e">
        <f>HLOOKUP(I4587,データについて!$J$3:$M$18,16,FALSE)</f>
        <v>#N/A</v>
      </c>
      <c r="AA4587" s="81" t="str">
        <f>IFERROR(HLOOKUP(J4587,データについて!$J$4:$AH$19,16,FALSE),"")</f>
        <v/>
      </c>
      <c r="AB4587" s="81" t="str">
        <f>IFERROR(HLOOKUP(K4587,データについて!$J$5:$AH$20,14,FALSE),"")</f>
        <v/>
      </c>
      <c r="AC4587" s="81" t="e">
        <f>IF(X4587=1,HLOOKUP(R4587,データについて!$J$12:$M$18,7,FALSE),"*")</f>
        <v>#N/A</v>
      </c>
      <c r="AD4587" s="81" t="e">
        <f>IF(X4587=2,HLOOKUP(R4587,データについて!$J$12:$M$18,7,FALSE),"*")</f>
        <v>#N/A</v>
      </c>
    </row>
    <row r="4588" spans="19:30">
      <c r="S4588" s="81" t="e">
        <f>HLOOKUP(L4588,データについて!$J$6:$M$18,13,FALSE)</f>
        <v>#N/A</v>
      </c>
      <c r="T4588" s="81" t="e">
        <f>HLOOKUP(M4588,データについて!$J$7:$M$18,12,FALSE)</f>
        <v>#N/A</v>
      </c>
      <c r="U4588" s="81" t="e">
        <f>HLOOKUP(N4588,データについて!$J$8:$M$18,11,FALSE)</f>
        <v>#N/A</v>
      </c>
      <c r="V4588" s="81" t="e">
        <f>HLOOKUP(O4588,データについて!$J$9:$M$18,10,FALSE)</f>
        <v>#N/A</v>
      </c>
      <c r="W4588" s="81" t="e">
        <f>HLOOKUP(P4588,データについて!$J$10:$M$18,9,FALSE)</f>
        <v>#N/A</v>
      </c>
      <c r="X4588" s="81" t="e">
        <f>HLOOKUP(Q4588,データについて!$J$11:$M$18,8,FALSE)</f>
        <v>#N/A</v>
      </c>
      <c r="Y4588" s="81" t="e">
        <f>HLOOKUP(R4588,データについて!$J$12:$M$18,7,FALSE)</f>
        <v>#N/A</v>
      </c>
      <c r="Z4588" s="81" t="e">
        <f>HLOOKUP(I4588,データについて!$J$3:$M$18,16,FALSE)</f>
        <v>#N/A</v>
      </c>
      <c r="AA4588" s="81" t="str">
        <f>IFERROR(HLOOKUP(J4588,データについて!$J$4:$AH$19,16,FALSE),"")</f>
        <v/>
      </c>
      <c r="AB4588" s="81" t="str">
        <f>IFERROR(HLOOKUP(K4588,データについて!$J$5:$AH$20,14,FALSE),"")</f>
        <v/>
      </c>
      <c r="AC4588" s="81" t="e">
        <f>IF(X4588=1,HLOOKUP(R4588,データについて!$J$12:$M$18,7,FALSE),"*")</f>
        <v>#N/A</v>
      </c>
      <c r="AD4588" s="81" t="e">
        <f>IF(X4588=2,HLOOKUP(R4588,データについて!$J$12:$M$18,7,FALSE),"*")</f>
        <v>#N/A</v>
      </c>
    </row>
    <row r="4589" spans="19:30">
      <c r="S4589" s="81" t="e">
        <f>HLOOKUP(L4589,データについて!$J$6:$M$18,13,FALSE)</f>
        <v>#N/A</v>
      </c>
      <c r="T4589" s="81" t="e">
        <f>HLOOKUP(M4589,データについて!$J$7:$M$18,12,FALSE)</f>
        <v>#N/A</v>
      </c>
      <c r="U4589" s="81" t="e">
        <f>HLOOKUP(N4589,データについて!$J$8:$M$18,11,FALSE)</f>
        <v>#N/A</v>
      </c>
      <c r="V4589" s="81" t="e">
        <f>HLOOKUP(O4589,データについて!$J$9:$M$18,10,FALSE)</f>
        <v>#N/A</v>
      </c>
      <c r="W4589" s="81" t="e">
        <f>HLOOKUP(P4589,データについて!$J$10:$M$18,9,FALSE)</f>
        <v>#N/A</v>
      </c>
      <c r="X4589" s="81" t="e">
        <f>HLOOKUP(Q4589,データについて!$J$11:$M$18,8,FALSE)</f>
        <v>#N/A</v>
      </c>
      <c r="Y4589" s="81" t="e">
        <f>HLOOKUP(R4589,データについて!$J$12:$M$18,7,FALSE)</f>
        <v>#N/A</v>
      </c>
      <c r="Z4589" s="81" t="e">
        <f>HLOOKUP(I4589,データについて!$J$3:$M$18,16,FALSE)</f>
        <v>#N/A</v>
      </c>
      <c r="AA4589" s="81" t="str">
        <f>IFERROR(HLOOKUP(J4589,データについて!$J$4:$AH$19,16,FALSE),"")</f>
        <v/>
      </c>
      <c r="AB4589" s="81" t="str">
        <f>IFERROR(HLOOKUP(K4589,データについて!$J$5:$AH$20,14,FALSE),"")</f>
        <v/>
      </c>
      <c r="AC4589" s="81" t="e">
        <f>IF(X4589=1,HLOOKUP(R4589,データについて!$J$12:$M$18,7,FALSE),"*")</f>
        <v>#N/A</v>
      </c>
      <c r="AD4589" s="81" t="e">
        <f>IF(X4589=2,HLOOKUP(R4589,データについて!$J$12:$M$18,7,FALSE),"*")</f>
        <v>#N/A</v>
      </c>
    </row>
    <row r="4590" spans="19:30">
      <c r="S4590" s="81" t="e">
        <f>HLOOKUP(L4590,データについて!$J$6:$M$18,13,FALSE)</f>
        <v>#N/A</v>
      </c>
      <c r="T4590" s="81" t="e">
        <f>HLOOKUP(M4590,データについて!$J$7:$M$18,12,FALSE)</f>
        <v>#N/A</v>
      </c>
      <c r="U4590" s="81" t="e">
        <f>HLOOKUP(N4590,データについて!$J$8:$M$18,11,FALSE)</f>
        <v>#N/A</v>
      </c>
      <c r="V4590" s="81" t="e">
        <f>HLOOKUP(O4590,データについて!$J$9:$M$18,10,FALSE)</f>
        <v>#N/A</v>
      </c>
      <c r="W4590" s="81" t="e">
        <f>HLOOKUP(P4590,データについて!$J$10:$M$18,9,FALSE)</f>
        <v>#N/A</v>
      </c>
      <c r="X4590" s="81" t="e">
        <f>HLOOKUP(Q4590,データについて!$J$11:$M$18,8,FALSE)</f>
        <v>#N/A</v>
      </c>
      <c r="Y4590" s="81" t="e">
        <f>HLOOKUP(R4590,データについて!$J$12:$M$18,7,FALSE)</f>
        <v>#N/A</v>
      </c>
      <c r="Z4590" s="81" t="e">
        <f>HLOOKUP(I4590,データについて!$J$3:$M$18,16,FALSE)</f>
        <v>#N/A</v>
      </c>
      <c r="AA4590" s="81" t="str">
        <f>IFERROR(HLOOKUP(J4590,データについて!$J$4:$AH$19,16,FALSE),"")</f>
        <v/>
      </c>
      <c r="AB4590" s="81" t="str">
        <f>IFERROR(HLOOKUP(K4590,データについて!$J$5:$AH$20,14,FALSE),"")</f>
        <v/>
      </c>
      <c r="AC4590" s="81" t="e">
        <f>IF(X4590=1,HLOOKUP(R4590,データについて!$J$12:$M$18,7,FALSE),"*")</f>
        <v>#N/A</v>
      </c>
      <c r="AD4590" s="81" t="e">
        <f>IF(X4590=2,HLOOKUP(R4590,データについて!$J$12:$M$18,7,FALSE),"*")</f>
        <v>#N/A</v>
      </c>
    </row>
    <row r="4591" spans="19:30">
      <c r="S4591" s="81" t="e">
        <f>HLOOKUP(L4591,データについて!$J$6:$M$18,13,FALSE)</f>
        <v>#N/A</v>
      </c>
      <c r="T4591" s="81" t="e">
        <f>HLOOKUP(M4591,データについて!$J$7:$M$18,12,FALSE)</f>
        <v>#N/A</v>
      </c>
      <c r="U4591" s="81" t="e">
        <f>HLOOKUP(N4591,データについて!$J$8:$M$18,11,FALSE)</f>
        <v>#N/A</v>
      </c>
      <c r="V4591" s="81" t="e">
        <f>HLOOKUP(O4591,データについて!$J$9:$M$18,10,FALSE)</f>
        <v>#N/A</v>
      </c>
      <c r="W4591" s="81" t="e">
        <f>HLOOKUP(P4591,データについて!$J$10:$M$18,9,FALSE)</f>
        <v>#N/A</v>
      </c>
      <c r="X4591" s="81" t="e">
        <f>HLOOKUP(Q4591,データについて!$J$11:$M$18,8,FALSE)</f>
        <v>#N/A</v>
      </c>
      <c r="Y4591" s="81" t="e">
        <f>HLOOKUP(R4591,データについて!$J$12:$M$18,7,FALSE)</f>
        <v>#N/A</v>
      </c>
      <c r="Z4591" s="81" t="e">
        <f>HLOOKUP(I4591,データについて!$J$3:$M$18,16,FALSE)</f>
        <v>#N/A</v>
      </c>
      <c r="AA4591" s="81" t="str">
        <f>IFERROR(HLOOKUP(J4591,データについて!$J$4:$AH$19,16,FALSE),"")</f>
        <v/>
      </c>
      <c r="AB4591" s="81" t="str">
        <f>IFERROR(HLOOKUP(K4591,データについて!$J$5:$AH$20,14,FALSE),"")</f>
        <v/>
      </c>
      <c r="AC4591" s="81" t="e">
        <f>IF(X4591=1,HLOOKUP(R4591,データについて!$J$12:$M$18,7,FALSE),"*")</f>
        <v>#N/A</v>
      </c>
      <c r="AD4591" s="81" t="e">
        <f>IF(X4591=2,HLOOKUP(R4591,データについて!$J$12:$M$18,7,FALSE),"*")</f>
        <v>#N/A</v>
      </c>
    </row>
    <row r="4592" spans="19:30">
      <c r="S4592" s="81" t="e">
        <f>HLOOKUP(L4592,データについて!$J$6:$M$18,13,FALSE)</f>
        <v>#N/A</v>
      </c>
      <c r="T4592" s="81" t="e">
        <f>HLOOKUP(M4592,データについて!$J$7:$M$18,12,FALSE)</f>
        <v>#N/A</v>
      </c>
      <c r="U4592" s="81" t="e">
        <f>HLOOKUP(N4592,データについて!$J$8:$M$18,11,FALSE)</f>
        <v>#N/A</v>
      </c>
      <c r="V4592" s="81" t="e">
        <f>HLOOKUP(O4592,データについて!$J$9:$M$18,10,FALSE)</f>
        <v>#N/A</v>
      </c>
      <c r="W4592" s="81" t="e">
        <f>HLOOKUP(P4592,データについて!$J$10:$M$18,9,FALSE)</f>
        <v>#N/A</v>
      </c>
      <c r="X4592" s="81" t="e">
        <f>HLOOKUP(Q4592,データについて!$J$11:$M$18,8,FALSE)</f>
        <v>#N/A</v>
      </c>
      <c r="Y4592" s="81" t="e">
        <f>HLOOKUP(R4592,データについて!$J$12:$M$18,7,FALSE)</f>
        <v>#N/A</v>
      </c>
      <c r="Z4592" s="81" t="e">
        <f>HLOOKUP(I4592,データについて!$J$3:$M$18,16,FALSE)</f>
        <v>#N/A</v>
      </c>
      <c r="AA4592" s="81" t="str">
        <f>IFERROR(HLOOKUP(J4592,データについて!$J$4:$AH$19,16,FALSE),"")</f>
        <v/>
      </c>
      <c r="AB4592" s="81" t="str">
        <f>IFERROR(HLOOKUP(K4592,データについて!$J$5:$AH$20,14,FALSE),"")</f>
        <v/>
      </c>
      <c r="AC4592" s="81" t="e">
        <f>IF(X4592=1,HLOOKUP(R4592,データについて!$J$12:$M$18,7,FALSE),"*")</f>
        <v>#N/A</v>
      </c>
      <c r="AD4592" s="81" t="e">
        <f>IF(X4592=2,HLOOKUP(R4592,データについて!$J$12:$M$18,7,FALSE),"*")</f>
        <v>#N/A</v>
      </c>
    </row>
    <row r="4593" spans="19:30">
      <c r="S4593" s="81" t="e">
        <f>HLOOKUP(L4593,データについて!$J$6:$M$18,13,FALSE)</f>
        <v>#N/A</v>
      </c>
      <c r="T4593" s="81" t="e">
        <f>HLOOKUP(M4593,データについて!$J$7:$M$18,12,FALSE)</f>
        <v>#N/A</v>
      </c>
      <c r="U4593" s="81" t="e">
        <f>HLOOKUP(N4593,データについて!$J$8:$M$18,11,FALSE)</f>
        <v>#N/A</v>
      </c>
      <c r="V4593" s="81" t="e">
        <f>HLOOKUP(O4593,データについて!$J$9:$M$18,10,FALSE)</f>
        <v>#N/A</v>
      </c>
      <c r="W4593" s="81" t="e">
        <f>HLOOKUP(P4593,データについて!$J$10:$M$18,9,FALSE)</f>
        <v>#N/A</v>
      </c>
      <c r="X4593" s="81" t="e">
        <f>HLOOKUP(Q4593,データについて!$J$11:$M$18,8,FALSE)</f>
        <v>#N/A</v>
      </c>
      <c r="Y4593" s="81" t="e">
        <f>HLOOKUP(R4593,データについて!$J$12:$M$18,7,FALSE)</f>
        <v>#N/A</v>
      </c>
      <c r="Z4593" s="81" t="e">
        <f>HLOOKUP(I4593,データについて!$J$3:$M$18,16,FALSE)</f>
        <v>#N/A</v>
      </c>
      <c r="AA4593" s="81" t="str">
        <f>IFERROR(HLOOKUP(J4593,データについて!$J$4:$AH$19,16,FALSE),"")</f>
        <v/>
      </c>
      <c r="AB4593" s="81" t="str">
        <f>IFERROR(HLOOKUP(K4593,データについて!$J$5:$AH$20,14,FALSE),"")</f>
        <v/>
      </c>
      <c r="AC4593" s="81" t="e">
        <f>IF(X4593=1,HLOOKUP(R4593,データについて!$J$12:$M$18,7,FALSE),"*")</f>
        <v>#N/A</v>
      </c>
      <c r="AD4593" s="81" t="e">
        <f>IF(X4593=2,HLOOKUP(R4593,データについて!$J$12:$M$18,7,FALSE),"*")</f>
        <v>#N/A</v>
      </c>
    </row>
    <row r="4594" spans="19:30">
      <c r="S4594" s="81" t="e">
        <f>HLOOKUP(L4594,データについて!$J$6:$M$18,13,FALSE)</f>
        <v>#N/A</v>
      </c>
      <c r="T4594" s="81" t="e">
        <f>HLOOKUP(M4594,データについて!$J$7:$M$18,12,FALSE)</f>
        <v>#N/A</v>
      </c>
      <c r="U4594" s="81" t="e">
        <f>HLOOKUP(N4594,データについて!$J$8:$M$18,11,FALSE)</f>
        <v>#N/A</v>
      </c>
      <c r="V4594" s="81" t="e">
        <f>HLOOKUP(O4594,データについて!$J$9:$M$18,10,FALSE)</f>
        <v>#N/A</v>
      </c>
      <c r="W4594" s="81" t="e">
        <f>HLOOKUP(P4594,データについて!$J$10:$M$18,9,FALSE)</f>
        <v>#N/A</v>
      </c>
      <c r="X4594" s="81" t="e">
        <f>HLOOKUP(Q4594,データについて!$J$11:$M$18,8,FALSE)</f>
        <v>#N/A</v>
      </c>
      <c r="Y4594" s="81" t="e">
        <f>HLOOKUP(R4594,データについて!$J$12:$M$18,7,FALSE)</f>
        <v>#N/A</v>
      </c>
      <c r="Z4594" s="81" t="e">
        <f>HLOOKUP(I4594,データについて!$J$3:$M$18,16,FALSE)</f>
        <v>#N/A</v>
      </c>
      <c r="AA4594" s="81" t="str">
        <f>IFERROR(HLOOKUP(J4594,データについて!$J$4:$AH$19,16,FALSE),"")</f>
        <v/>
      </c>
      <c r="AB4594" s="81" t="str">
        <f>IFERROR(HLOOKUP(K4594,データについて!$J$5:$AH$20,14,FALSE),"")</f>
        <v/>
      </c>
      <c r="AC4594" s="81" t="e">
        <f>IF(X4594=1,HLOOKUP(R4594,データについて!$J$12:$M$18,7,FALSE),"*")</f>
        <v>#N/A</v>
      </c>
      <c r="AD4594" s="81" t="e">
        <f>IF(X4594=2,HLOOKUP(R4594,データについて!$J$12:$M$18,7,FALSE),"*")</f>
        <v>#N/A</v>
      </c>
    </row>
    <row r="4595" spans="19:30">
      <c r="S4595" s="81" t="e">
        <f>HLOOKUP(L4595,データについて!$J$6:$M$18,13,FALSE)</f>
        <v>#N/A</v>
      </c>
      <c r="T4595" s="81" t="e">
        <f>HLOOKUP(M4595,データについて!$J$7:$M$18,12,FALSE)</f>
        <v>#N/A</v>
      </c>
      <c r="U4595" s="81" t="e">
        <f>HLOOKUP(N4595,データについて!$J$8:$M$18,11,FALSE)</f>
        <v>#N/A</v>
      </c>
      <c r="V4595" s="81" t="e">
        <f>HLOOKUP(O4595,データについて!$J$9:$M$18,10,FALSE)</f>
        <v>#N/A</v>
      </c>
      <c r="W4595" s="81" t="e">
        <f>HLOOKUP(P4595,データについて!$J$10:$M$18,9,FALSE)</f>
        <v>#N/A</v>
      </c>
      <c r="X4595" s="81" t="e">
        <f>HLOOKUP(Q4595,データについて!$J$11:$M$18,8,FALSE)</f>
        <v>#N/A</v>
      </c>
      <c r="Y4595" s="81" t="e">
        <f>HLOOKUP(R4595,データについて!$J$12:$M$18,7,FALSE)</f>
        <v>#N/A</v>
      </c>
      <c r="Z4595" s="81" t="e">
        <f>HLOOKUP(I4595,データについて!$J$3:$M$18,16,FALSE)</f>
        <v>#N/A</v>
      </c>
      <c r="AA4595" s="81" t="str">
        <f>IFERROR(HLOOKUP(J4595,データについて!$J$4:$AH$19,16,FALSE),"")</f>
        <v/>
      </c>
      <c r="AB4595" s="81" t="str">
        <f>IFERROR(HLOOKUP(K4595,データについて!$J$5:$AH$20,14,FALSE),"")</f>
        <v/>
      </c>
      <c r="AC4595" s="81" t="e">
        <f>IF(X4595=1,HLOOKUP(R4595,データについて!$J$12:$M$18,7,FALSE),"*")</f>
        <v>#N/A</v>
      </c>
      <c r="AD4595" s="81" t="e">
        <f>IF(X4595=2,HLOOKUP(R4595,データについて!$J$12:$M$18,7,FALSE),"*")</f>
        <v>#N/A</v>
      </c>
    </row>
    <row r="4596" spans="19:30">
      <c r="S4596" s="81" t="e">
        <f>HLOOKUP(L4596,データについて!$J$6:$M$18,13,FALSE)</f>
        <v>#N/A</v>
      </c>
      <c r="T4596" s="81" t="e">
        <f>HLOOKUP(M4596,データについて!$J$7:$M$18,12,FALSE)</f>
        <v>#N/A</v>
      </c>
      <c r="U4596" s="81" t="e">
        <f>HLOOKUP(N4596,データについて!$J$8:$M$18,11,FALSE)</f>
        <v>#N/A</v>
      </c>
      <c r="V4596" s="81" t="e">
        <f>HLOOKUP(O4596,データについて!$J$9:$M$18,10,FALSE)</f>
        <v>#N/A</v>
      </c>
      <c r="W4596" s="81" t="e">
        <f>HLOOKUP(P4596,データについて!$J$10:$M$18,9,FALSE)</f>
        <v>#N/A</v>
      </c>
      <c r="X4596" s="81" t="e">
        <f>HLOOKUP(Q4596,データについて!$J$11:$M$18,8,FALSE)</f>
        <v>#N/A</v>
      </c>
      <c r="Y4596" s="81" t="e">
        <f>HLOOKUP(R4596,データについて!$J$12:$M$18,7,FALSE)</f>
        <v>#N/A</v>
      </c>
      <c r="Z4596" s="81" t="e">
        <f>HLOOKUP(I4596,データについて!$J$3:$M$18,16,FALSE)</f>
        <v>#N/A</v>
      </c>
      <c r="AA4596" s="81" t="str">
        <f>IFERROR(HLOOKUP(J4596,データについて!$J$4:$AH$19,16,FALSE),"")</f>
        <v/>
      </c>
      <c r="AB4596" s="81" t="str">
        <f>IFERROR(HLOOKUP(K4596,データについて!$J$5:$AH$20,14,FALSE),"")</f>
        <v/>
      </c>
      <c r="AC4596" s="81" t="e">
        <f>IF(X4596=1,HLOOKUP(R4596,データについて!$J$12:$M$18,7,FALSE),"*")</f>
        <v>#N/A</v>
      </c>
      <c r="AD4596" s="81" t="e">
        <f>IF(X4596=2,HLOOKUP(R4596,データについて!$J$12:$M$18,7,FALSE),"*")</f>
        <v>#N/A</v>
      </c>
    </row>
    <row r="4597" spans="19:30">
      <c r="S4597" s="81" t="e">
        <f>HLOOKUP(L4597,データについて!$J$6:$M$18,13,FALSE)</f>
        <v>#N/A</v>
      </c>
      <c r="T4597" s="81" t="e">
        <f>HLOOKUP(M4597,データについて!$J$7:$M$18,12,FALSE)</f>
        <v>#N/A</v>
      </c>
      <c r="U4597" s="81" t="e">
        <f>HLOOKUP(N4597,データについて!$J$8:$M$18,11,FALSE)</f>
        <v>#N/A</v>
      </c>
      <c r="V4597" s="81" t="e">
        <f>HLOOKUP(O4597,データについて!$J$9:$M$18,10,FALSE)</f>
        <v>#N/A</v>
      </c>
      <c r="W4597" s="81" t="e">
        <f>HLOOKUP(P4597,データについて!$J$10:$M$18,9,FALSE)</f>
        <v>#N/A</v>
      </c>
      <c r="X4597" s="81" t="e">
        <f>HLOOKUP(Q4597,データについて!$J$11:$M$18,8,FALSE)</f>
        <v>#N/A</v>
      </c>
      <c r="Y4597" s="81" t="e">
        <f>HLOOKUP(R4597,データについて!$J$12:$M$18,7,FALSE)</f>
        <v>#N/A</v>
      </c>
      <c r="Z4597" s="81" t="e">
        <f>HLOOKUP(I4597,データについて!$J$3:$M$18,16,FALSE)</f>
        <v>#N/A</v>
      </c>
      <c r="AA4597" s="81" t="str">
        <f>IFERROR(HLOOKUP(J4597,データについて!$J$4:$AH$19,16,FALSE),"")</f>
        <v/>
      </c>
      <c r="AB4597" s="81" t="str">
        <f>IFERROR(HLOOKUP(K4597,データについて!$J$5:$AH$20,14,FALSE),"")</f>
        <v/>
      </c>
      <c r="AC4597" s="81" t="e">
        <f>IF(X4597=1,HLOOKUP(R4597,データについて!$J$12:$M$18,7,FALSE),"*")</f>
        <v>#N/A</v>
      </c>
      <c r="AD4597" s="81" t="e">
        <f>IF(X4597=2,HLOOKUP(R4597,データについて!$J$12:$M$18,7,FALSE),"*")</f>
        <v>#N/A</v>
      </c>
    </row>
    <row r="4598" spans="19:30">
      <c r="S4598" s="81" t="e">
        <f>HLOOKUP(L4598,データについて!$J$6:$M$18,13,FALSE)</f>
        <v>#N/A</v>
      </c>
      <c r="T4598" s="81" t="e">
        <f>HLOOKUP(M4598,データについて!$J$7:$M$18,12,FALSE)</f>
        <v>#N/A</v>
      </c>
      <c r="U4598" s="81" t="e">
        <f>HLOOKUP(N4598,データについて!$J$8:$M$18,11,FALSE)</f>
        <v>#N/A</v>
      </c>
      <c r="V4598" s="81" t="e">
        <f>HLOOKUP(O4598,データについて!$J$9:$M$18,10,FALSE)</f>
        <v>#N/A</v>
      </c>
      <c r="W4598" s="81" t="e">
        <f>HLOOKUP(P4598,データについて!$J$10:$M$18,9,FALSE)</f>
        <v>#N/A</v>
      </c>
      <c r="X4598" s="81" t="e">
        <f>HLOOKUP(Q4598,データについて!$J$11:$M$18,8,FALSE)</f>
        <v>#N/A</v>
      </c>
      <c r="Y4598" s="81" t="e">
        <f>HLOOKUP(R4598,データについて!$J$12:$M$18,7,FALSE)</f>
        <v>#N/A</v>
      </c>
      <c r="Z4598" s="81" t="e">
        <f>HLOOKUP(I4598,データについて!$J$3:$M$18,16,FALSE)</f>
        <v>#N/A</v>
      </c>
      <c r="AA4598" s="81" t="str">
        <f>IFERROR(HLOOKUP(J4598,データについて!$J$4:$AH$19,16,FALSE),"")</f>
        <v/>
      </c>
      <c r="AB4598" s="81" t="str">
        <f>IFERROR(HLOOKUP(K4598,データについて!$J$5:$AH$20,14,FALSE),"")</f>
        <v/>
      </c>
      <c r="AC4598" s="81" t="e">
        <f>IF(X4598=1,HLOOKUP(R4598,データについて!$J$12:$M$18,7,FALSE),"*")</f>
        <v>#N/A</v>
      </c>
      <c r="AD4598" s="81" t="e">
        <f>IF(X4598=2,HLOOKUP(R4598,データについて!$J$12:$M$18,7,FALSE),"*")</f>
        <v>#N/A</v>
      </c>
    </row>
    <row r="4599" spans="19:30">
      <c r="S4599" s="81" t="e">
        <f>HLOOKUP(L4599,データについて!$J$6:$M$18,13,FALSE)</f>
        <v>#N/A</v>
      </c>
      <c r="T4599" s="81" t="e">
        <f>HLOOKUP(M4599,データについて!$J$7:$M$18,12,FALSE)</f>
        <v>#N/A</v>
      </c>
      <c r="U4599" s="81" t="e">
        <f>HLOOKUP(N4599,データについて!$J$8:$M$18,11,FALSE)</f>
        <v>#N/A</v>
      </c>
      <c r="V4599" s="81" t="e">
        <f>HLOOKUP(O4599,データについて!$J$9:$M$18,10,FALSE)</f>
        <v>#N/A</v>
      </c>
      <c r="W4599" s="81" t="e">
        <f>HLOOKUP(P4599,データについて!$J$10:$M$18,9,FALSE)</f>
        <v>#N/A</v>
      </c>
      <c r="X4599" s="81" t="e">
        <f>HLOOKUP(Q4599,データについて!$J$11:$M$18,8,FALSE)</f>
        <v>#N/A</v>
      </c>
      <c r="Y4599" s="81" t="e">
        <f>HLOOKUP(R4599,データについて!$J$12:$M$18,7,FALSE)</f>
        <v>#N/A</v>
      </c>
      <c r="Z4599" s="81" t="e">
        <f>HLOOKUP(I4599,データについて!$J$3:$M$18,16,FALSE)</f>
        <v>#N/A</v>
      </c>
      <c r="AA4599" s="81" t="str">
        <f>IFERROR(HLOOKUP(J4599,データについて!$J$4:$AH$19,16,FALSE),"")</f>
        <v/>
      </c>
      <c r="AB4599" s="81" t="str">
        <f>IFERROR(HLOOKUP(K4599,データについて!$J$5:$AH$20,14,FALSE),"")</f>
        <v/>
      </c>
      <c r="AC4599" s="81" t="e">
        <f>IF(X4599=1,HLOOKUP(R4599,データについて!$J$12:$M$18,7,FALSE),"*")</f>
        <v>#N/A</v>
      </c>
      <c r="AD4599" s="81" t="e">
        <f>IF(X4599=2,HLOOKUP(R4599,データについて!$J$12:$M$18,7,FALSE),"*")</f>
        <v>#N/A</v>
      </c>
    </row>
    <row r="4600" spans="19:30">
      <c r="S4600" s="81" t="e">
        <f>HLOOKUP(L4600,データについて!$J$6:$M$18,13,FALSE)</f>
        <v>#N/A</v>
      </c>
      <c r="T4600" s="81" t="e">
        <f>HLOOKUP(M4600,データについて!$J$7:$M$18,12,FALSE)</f>
        <v>#N/A</v>
      </c>
      <c r="U4600" s="81" t="e">
        <f>HLOOKUP(N4600,データについて!$J$8:$M$18,11,FALSE)</f>
        <v>#N/A</v>
      </c>
      <c r="V4600" s="81" t="e">
        <f>HLOOKUP(O4600,データについて!$J$9:$M$18,10,FALSE)</f>
        <v>#N/A</v>
      </c>
      <c r="W4600" s="81" t="e">
        <f>HLOOKUP(P4600,データについて!$J$10:$M$18,9,FALSE)</f>
        <v>#N/A</v>
      </c>
      <c r="X4600" s="81" t="e">
        <f>HLOOKUP(Q4600,データについて!$J$11:$M$18,8,FALSE)</f>
        <v>#N/A</v>
      </c>
      <c r="Y4600" s="81" t="e">
        <f>HLOOKUP(R4600,データについて!$J$12:$M$18,7,FALSE)</f>
        <v>#N/A</v>
      </c>
      <c r="Z4600" s="81" t="e">
        <f>HLOOKUP(I4600,データについて!$J$3:$M$18,16,FALSE)</f>
        <v>#N/A</v>
      </c>
      <c r="AA4600" s="81" t="str">
        <f>IFERROR(HLOOKUP(J4600,データについて!$J$4:$AH$19,16,FALSE),"")</f>
        <v/>
      </c>
      <c r="AB4600" s="81" t="str">
        <f>IFERROR(HLOOKUP(K4600,データについて!$J$5:$AH$20,14,FALSE),"")</f>
        <v/>
      </c>
      <c r="AC4600" s="81" t="e">
        <f>IF(X4600=1,HLOOKUP(R4600,データについて!$J$12:$M$18,7,FALSE),"*")</f>
        <v>#N/A</v>
      </c>
      <c r="AD4600" s="81" t="e">
        <f>IF(X4600=2,HLOOKUP(R4600,データについて!$J$12:$M$18,7,FALSE),"*")</f>
        <v>#N/A</v>
      </c>
    </row>
    <row r="4601" spans="19:30">
      <c r="S4601" s="81" t="e">
        <f>HLOOKUP(L4601,データについて!$J$6:$M$18,13,FALSE)</f>
        <v>#N/A</v>
      </c>
      <c r="T4601" s="81" t="e">
        <f>HLOOKUP(M4601,データについて!$J$7:$M$18,12,FALSE)</f>
        <v>#N/A</v>
      </c>
      <c r="U4601" s="81" t="e">
        <f>HLOOKUP(N4601,データについて!$J$8:$M$18,11,FALSE)</f>
        <v>#N/A</v>
      </c>
      <c r="V4601" s="81" t="e">
        <f>HLOOKUP(O4601,データについて!$J$9:$M$18,10,FALSE)</f>
        <v>#N/A</v>
      </c>
      <c r="W4601" s="81" t="e">
        <f>HLOOKUP(P4601,データについて!$J$10:$M$18,9,FALSE)</f>
        <v>#N/A</v>
      </c>
      <c r="X4601" s="81" t="e">
        <f>HLOOKUP(Q4601,データについて!$J$11:$M$18,8,FALSE)</f>
        <v>#N/A</v>
      </c>
      <c r="Y4601" s="81" t="e">
        <f>HLOOKUP(R4601,データについて!$J$12:$M$18,7,FALSE)</f>
        <v>#N/A</v>
      </c>
      <c r="Z4601" s="81" t="e">
        <f>HLOOKUP(I4601,データについて!$J$3:$M$18,16,FALSE)</f>
        <v>#N/A</v>
      </c>
      <c r="AA4601" s="81" t="str">
        <f>IFERROR(HLOOKUP(J4601,データについて!$J$4:$AH$19,16,FALSE),"")</f>
        <v/>
      </c>
      <c r="AB4601" s="81" t="str">
        <f>IFERROR(HLOOKUP(K4601,データについて!$J$5:$AH$20,14,FALSE),"")</f>
        <v/>
      </c>
      <c r="AC4601" s="81" t="e">
        <f>IF(X4601=1,HLOOKUP(R4601,データについて!$J$12:$M$18,7,FALSE),"*")</f>
        <v>#N/A</v>
      </c>
      <c r="AD4601" s="81" t="e">
        <f>IF(X4601=2,HLOOKUP(R4601,データについて!$J$12:$M$18,7,FALSE),"*")</f>
        <v>#N/A</v>
      </c>
    </row>
    <row r="4602" spans="19:30">
      <c r="S4602" s="81" t="e">
        <f>HLOOKUP(L4602,データについて!$J$6:$M$18,13,FALSE)</f>
        <v>#N/A</v>
      </c>
      <c r="T4602" s="81" t="e">
        <f>HLOOKUP(M4602,データについて!$J$7:$M$18,12,FALSE)</f>
        <v>#N/A</v>
      </c>
      <c r="U4602" s="81" t="e">
        <f>HLOOKUP(N4602,データについて!$J$8:$M$18,11,FALSE)</f>
        <v>#N/A</v>
      </c>
      <c r="V4602" s="81" t="e">
        <f>HLOOKUP(O4602,データについて!$J$9:$M$18,10,FALSE)</f>
        <v>#N/A</v>
      </c>
      <c r="W4602" s="81" t="e">
        <f>HLOOKUP(P4602,データについて!$J$10:$M$18,9,FALSE)</f>
        <v>#N/A</v>
      </c>
      <c r="X4602" s="81" t="e">
        <f>HLOOKUP(Q4602,データについて!$J$11:$M$18,8,FALSE)</f>
        <v>#N/A</v>
      </c>
      <c r="Y4602" s="81" t="e">
        <f>HLOOKUP(R4602,データについて!$J$12:$M$18,7,FALSE)</f>
        <v>#N/A</v>
      </c>
      <c r="Z4602" s="81" t="e">
        <f>HLOOKUP(I4602,データについて!$J$3:$M$18,16,FALSE)</f>
        <v>#N/A</v>
      </c>
      <c r="AA4602" s="81" t="str">
        <f>IFERROR(HLOOKUP(J4602,データについて!$J$4:$AH$19,16,FALSE),"")</f>
        <v/>
      </c>
      <c r="AB4602" s="81" t="str">
        <f>IFERROR(HLOOKUP(K4602,データについて!$J$5:$AH$20,14,FALSE),"")</f>
        <v/>
      </c>
      <c r="AC4602" s="81" t="e">
        <f>IF(X4602=1,HLOOKUP(R4602,データについて!$J$12:$M$18,7,FALSE),"*")</f>
        <v>#N/A</v>
      </c>
      <c r="AD4602" s="81" t="e">
        <f>IF(X4602=2,HLOOKUP(R4602,データについて!$J$12:$M$18,7,FALSE),"*")</f>
        <v>#N/A</v>
      </c>
    </row>
    <row r="4603" spans="19:30">
      <c r="S4603" s="81" t="e">
        <f>HLOOKUP(L4603,データについて!$J$6:$M$18,13,FALSE)</f>
        <v>#N/A</v>
      </c>
      <c r="T4603" s="81" t="e">
        <f>HLOOKUP(M4603,データについて!$J$7:$M$18,12,FALSE)</f>
        <v>#N/A</v>
      </c>
      <c r="U4603" s="81" t="e">
        <f>HLOOKUP(N4603,データについて!$J$8:$M$18,11,FALSE)</f>
        <v>#N/A</v>
      </c>
      <c r="V4603" s="81" t="e">
        <f>HLOOKUP(O4603,データについて!$J$9:$M$18,10,FALSE)</f>
        <v>#N/A</v>
      </c>
      <c r="W4603" s="81" t="e">
        <f>HLOOKUP(P4603,データについて!$J$10:$M$18,9,FALSE)</f>
        <v>#N/A</v>
      </c>
      <c r="X4603" s="81" t="e">
        <f>HLOOKUP(Q4603,データについて!$J$11:$M$18,8,FALSE)</f>
        <v>#N/A</v>
      </c>
      <c r="Y4603" s="81" t="e">
        <f>HLOOKUP(R4603,データについて!$J$12:$M$18,7,FALSE)</f>
        <v>#N/A</v>
      </c>
      <c r="Z4603" s="81" t="e">
        <f>HLOOKUP(I4603,データについて!$J$3:$M$18,16,FALSE)</f>
        <v>#N/A</v>
      </c>
      <c r="AA4603" s="81" t="str">
        <f>IFERROR(HLOOKUP(J4603,データについて!$J$4:$AH$19,16,FALSE),"")</f>
        <v/>
      </c>
      <c r="AB4603" s="81" t="str">
        <f>IFERROR(HLOOKUP(K4603,データについて!$J$5:$AH$20,14,FALSE),"")</f>
        <v/>
      </c>
      <c r="AC4603" s="81" t="e">
        <f>IF(X4603=1,HLOOKUP(R4603,データについて!$J$12:$M$18,7,FALSE),"*")</f>
        <v>#N/A</v>
      </c>
      <c r="AD4603" s="81" t="e">
        <f>IF(X4603=2,HLOOKUP(R4603,データについて!$J$12:$M$18,7,FALSE),"*")</f>
        <v>#N/A</v>
      </c>
    </row>
    <row r="4604" spans="19:30">
      <c r="S4604" s="81" t="e">
        <f>HLOOKUP(L4604,データについて!$J$6:$M$18,13,FALSE)</f>
        <v>#N/A</v>
      </c>
      <c r="T4604" s="81" t="e">
        <f>HLOOKUP(M4604,データについて!$J$7:$M$18,12,FALSE)</f>
        <v>#N/A</v>
      </c>
      <c r="U4604" s="81" t="e">
        <f>HLOOKUP(N4604,データについて!$J$8:$M$18,11,FALSE)</f>
        <v>#N/A</v>
      </c>
      <c r="V4604" s="81" t="e">
        <f>HLOOKUP(O4604,データについて!$J$9:$M$18,10,FALSE)</f>
        <v>#N/A</v>
      </c>
      <c r="W4604" s="81" t="e">
        <f>HLOOKUP(P4604,データについて!$J$10:$M$18,9,FALSE)</f>
        <v>#N/A</v>
      </c>
      <c r="X4604" s="81" t="e">
        <f>HLOOKUP(Q4604,データについて!$J$11:$M$18,8,FALSE)</f>
        <v>#N/A</v>
      </c>
      <c r="Y4604" s="81" t="e">
        <f>HLOOKUP(R4604,データについて!$J$12:$M$18,7,FALSE)</f>
        <v>#N/A</v>
      </c>
      <c r="Z4604" s="81" t="e">
        <f>HLOOKUP(I4604,データについて!$J$3:$M$18,16,FALSE)</f>
        <v>#N/A</v>
      </c>
      <c r="AA4604" s="81" t="str">
        <f>IFERROR(HLOOKUP(J4604,データについて!$J$4:$AH$19,16,FALSE),"")</f>
        <v/>
      </c>
      <c r="AB4604" s="81" t="str">
        <f>IFERROR(HLOOKUP(K4604,データについて!$J$5:$AH$20,14,FALSE),"")</f>
        <v/>
      </c>
      <c r="AC4604" s="81" t="e">
        <f>IF(X4604=1,HLOOKUP(R4604,データについて!$J$12:$M$18,7,FALSE),"*")</f>
        <v>#N/A</v>
      </c>
      <c r="AD4604" s="81" t="e">
        <f>IF(X4604=2,HLOOKUP(R4604,データについて!$J$12:$M$18,7,FALSE),"*")</f>
        <v>#N/A</v>
      </c>
    </row>
    <row r="4605" spans="19:30">
      <c r="S4605" s="81" t="e">
        <f>HLOOKUP(L4605,データについて!$J$6:$M$18,13,FALSE)</f>
        <v>#N/A</v>
      </c>
      <c r="T4605" s="81" t="e">
        <f>HLOOKUP(M4605,データについて!$J$7:$M$18,12,FALSE)</f>
        <v>#N/A</v>
      </c>
      <c r="U4605" s="81" t="e">
        <f>HLOOKUP(N4605,データについて!$J$8:$M$18,11,FALSE)</f>
        <v>#N/A</v>
      </c>
      <c r="V4605" s="81" t="e">
        <f>HLOOKUP(O4605,データについて!$J$9:$M$18,10,FALSE)</f>
        <v>#N/A</v>
      </c>
      <c r="W4605" s="81" t="e">
        <f>HLOOKUP(P4605,データについて!$J$10:$M$18,9,FALSE)</f>
        <v>#N/A</v>
      </c>
      <c r="X4605" s="81" t="e">
        <f>HLOOKUP(Q4605,データについて!$J$11:$M$18,8,FALSE)</f>
        <v>#N/A</v>
      </c>
      <c r="Y4605" s="81" t="e">
        <f>HLOOKUP(R4605,データについて!$J$12:$M$18,7,FALSE)</f>
        <v>#N/A</v>
      </c>
      <c r="Z4605" s="81" t="e">
        <f>HLOOKUP(I4605,データについて!$J$3:$M$18,16,FALSE)</f>
        <v>#N/A</v>
      </c>
      <c r="AA4605" s="81" t="str">
        <f>IFERROR(HLOOKUP(J4605,データについて!$J$4:$AH$19,16,FALSE),"")</f>
        <v/>
      </c>
      <c r="AB4605" s="81" t="str">
        <f>IFERROR(HLOOKUP(K4605,データについて!$J$5:$AH$20,14,FALSE),"")</f>
        <v/>
      </c>
      <c r="AC4605" s="81" t="e">
        <f>IF(X4605=1,HLOOKUP(R4605,データについて!$J$12:$M$18,7,FALSE),"*")</f>
        <v>#N/A</v>
      </c>
      <c r="AD4605" s="81" t="e">
        <f>IF(X4605=2,HLOOKUP(R4605,データについて!$J$12:$M$18,7,FALSE),"*")</f>
        <v>#N/A</v>
      </c>
    </row>
    <row r="4606" spans="19:30">
      <c r="S4606" s="81" t="e">
        <f>HLOOKUP(L4606,データについて!$J$6:$M$18,13,FALSE)</f>
        <v>#N/A</v>
      </c>
      <c r="T4606" s="81" t="e">
        <f>HLOOKUP(M4606,データについて!$J$7:$M$18,12,FALSE)</f>
        <v>#N/A</v>
      </c>
      <c r="U4606" s="81" t="e">
        <f>HLOOKUP(N4606,データについて!$J$8:$M$18,11,FALSE)</f>
        <v>#N/A</v>
      </c>
      <c r="V4606" s="81" t="e">
        <f>HLOOKUP(O4606,データについて!$J$9:$M$18,10,FALSE)</f>
        <v>#N/A</v>
      </c>
      <c r="W4606" s="81" t="e">
        <f>HLOOKUP(P4606,データについて!$J$10:$M$18,9,FALSE)</f>
        <v>#N/A</v>
      </c>
      <c r="X4606" s="81" t="e">
        <f>HLOOKUP(Q4606,データについて!$J$11:$M$18,8,FALSE)</f>
        <v>#N/A</v>
      </c>
      <c r="Y4606" s="81" t="e">
        <f>HLOOKUP(R4606,データについて!$J$12:$M$18,7,FALSE)</f>
        <v>#N/A</v>
      </c>
      <c r="Z4606" s="81" t="e">
        <f>HLOOKUP(I4606,データについて!$J$3:$M$18,16,FALSE)</f>
        <v>#N/A</v>
      </c>
      <c r="AA4606" s="81" t="str">
        <f>IFERROR(HLOOKUP(J4606,データについて!$J$4:$AH$19,16,FALSE),"")</f>
        <v/>
      </c>
      <c r="AB4606" s="81" t="str">
        <f>IFERROR(HLOOKUP(K4606,データについて!$J$5:$AH$20,14,FALSE),"")</f>
        <v/>
      </c>
      <c r="AC4606" s="81" t="e">
        <f>IF(X4606=1,HLOOKUP(R4606,データについて!$J$12:$M$18,7,FALSE),"*")</f>
        <v>#N/A</v>
      </c>
      <c r="AD4606" s="81" t="e">
        <f>IF(X4606=2,HLOOKUP(R4606,データについて!$J$12:$M$18,7,FALSE),"*")</f>
        <v>#N/A</v>
      </c>
    </row>
    <row r="4607" spans="19:30">
      <c r="S4607" s="81" t="e">
        <f>HLOOKUP(L4607,データについて!$J$6:$M$18,13,FALSE)</f>
        <v>#N/A</v>
      </c>
      <c r="T4607" s="81" t="e">
        <f>HLOOKUP(M4607,データについて!$J$7:$M$18,12,FALSE)</f>
        <v>#N/A</v>
      </c>
      <c r="U4607" s="81" t="e">
        <f>HLOOKUP(N4607,データについて!$J$8:$M$18,11,FALSE)</f>
        <v>#N/A</v>
      </c>
      <c r="V4607" s="81" t="e">
        <f>HLOOKUP(O4607,データについて!$J$9:$M$18,10,FALSE)</f>
        <v>#N/A</v>
      </c>
      <c r="W4607" s="81" t="e">
        <f>HLOOKUP(P4607,データについて!$J$10:$M$18,9,FALSE)</f>
        <v>#N/A</v>
      </c>
      <c r="X4607" s="81" t="e">
        <f>HLOOKUP(Q4607,データについて!$J$11:$M$18,8,FALSE)</f>
        <v>#N/A</v>
      </c>
      <c r="Y4607" s="81" t="e">
        <f>HLOOKUP(R4607,データについて!$J$12:$M$18,7,FALSE)</f>
        <v>#N/A</v>
      </c>
      <c r="Z4607" s="81" t="e">
        <f>HLOOKUP(I4607,データについて!$J$3:$M$18,16,FALSE)</f>
        <v>#N/A</v>
      </c>
      <c r="AA4607" s="81" t="str">
        <f>IFERROR(HLOOKUP(J4607,データについて!$J$4:$AH$19,16,FALSE),"")</f>
        <v/>
      </c>
      <c r="AB4607" s="81" t="str">
        <f>IFERROR(HLOOKUP(K4607,データについて!$J$5:$AH$20,14,FALSE),"")</f>
        <v/>
      </c>
      <c r="AC4607" s="81" t="e">
        <f>IF(X4607=1,HLOOKUP(R4607,データについて!$J$12:$M$18,7,FALSE),"*")</f>
        <v>#N/A</v>
      </c>
      <c r="AD4607" s="81" t="e">
        <f>IF(X4607=2,HLOOKUP(R4607,データについて!$J$12:$M$18,7,FALSE),"*")</f>
        <v>#N/A</v>
      </c>
    </row>
    <row r="4608" spans="19:30">
      <c r="S4608" s="81" t="e">
        <f>HLOOKUP(L4608,データについて!$J$6:$M$18,13,FALSE)</f>
        <v>#N/A</v>
      </c>
      <c r="T4608" s="81" t="e">
        <f>HLOOKUP(M4608,データについて!$J$7:$M$18,12,FALSE)</f>
        <v>#N/A</v>
      </c>
      <c r="U4608" s="81" t="e">
        <f>HLOOKUP(N4608,データについて!$J$8:$M$18,11,FALSE)</f>
        <v>#N/A</v>
      </c>
      <c r="V4608" s="81" t="e">
        <f>HLOOKUP(O4608,データについて!$J$9:$M$18,10,FALSE)</f>
        <v>#N/A</v>
      </c>
      <c r="W4608" s="81" t="e">
        <f>HLOOKUP(P4608,データについて!$J$10:$M$18,9,FALSE)</f>
        <v>#N/A</v>
      </c>
      <c r="X4608" s="81" t="e">
        <f>HLOOKUP(Q4608,データについて!$J$11:$M$18,8,FALSE)</f>
        <v>#N/A</v>
      </c>
      <c r="Y4608" s="81" t="e">
        <f>HLOOKUP(R4608,データについて!$J$12:$M$18,7,FALSE)</f>
        <v>#N/A</v>
      </c>
      <c r="Z4608" s="81" t="e">
        <f>HLOOKUP(I4608,データについて!$J$3:$M$18,16,FALSE)</f>
        <v>#N/A</v>
      </c>
      <c r="AA4608" s="81" t="str">
        <f>IFERROR(HLOOKUP(J4608,データについて!$J$4:$AH$19,16,FALSE),"")</f>
        <v/>
      </c>
      <c r="AB4608" s="81" t="str">
        <f>IFERROR(HLOOKUP(K4608,データについて!$J$5:$AH$20,14,FALSE),"")</f>
        <v/>
      </c>
      <c r="AC4608" s="81" t="e">
        <f>IF(X4608=1,HLOOKUP(R4608,データについて!$J$12:$M$18,7,FALSE),"*")</f>
        <v>#N/A</v>
      </c>
      <c r="AD4608" s="81" t="e">
        <f>IF(X4608=2,HLOOKUP(R4608,データについて!$J$12:$M$18,7,FALSE),"*")</f>
        <v>#N/A</v>
      </c>
    </row>
    <row r="4609" spans="19:30">
      <c r="S4609" s="81" t="e">
        <f>HLOOKUP(L4609,データについて!$J$6:$M$18,13,FALSE)</f>
        <v>#N/A</v>
      </c>
      <c r="T4609" s="81" t="e">
        <f>HLOOKUP(M4609,データについて!$J$7:$M$18,12,FALSE)</f>
        <v>#N/A</v>
      </c>
      <c r="U4609" s="81" t="e">
        <f>HLOOKUP(N4609,データについて!$J$8:$M$18,11,FALSE)</f>
        <v>#N/A</v>
      </c>
      <c r="V4609" s="81" t="e">
        <f>HLOOKUP(O4609,データについて!$J$9:$M$18,10,FALSE)</f>
        <v>#N/A</v>
      </c>
      <c r="W4609" s="81" t="e">
        <f>HLOOKUP(P4609,データについて!$J$10:$M$18,9,FALSE)</f>
        <v>#N/A</v>
      </c>
      <c r="X4609" s="81" t="e">
        <f>HLOOKUP(Q4609,データについて!$J$11:$M$18,8,FALSE)</f>
        <v>#N/A</v>
      </c>
      <c r="Y4609" s="81" t="e">
        <f>HLOOKUP(R4609,データについて!$J$12:$M$18,7,FALSE)</f>
        <v>#N/A</v>
      </c>
      <c r="Z4609" s="81" t="e">
        <f>HLOOKUP(I4609,データについて!$J$3:$M$18,16,FALSE)</f>
        <v>#N/A</v>
      </c>
      <c r="AA4609" s="81" t="str">
        <f>IFERROR(HLOOKUP(J4609,データについて!$J$4:$AH$19,16,FALSE),"")</f>
        <v/>
      </c>
      <c r="AB4609" s="81" t="str">
        <f>IFERROR(HLOOKUP(K4609,データについて!$J$5:$AH$20,14,FALSE),"")</f>
        <v/>
      </c>
      <c r="AC4609" s="81" t="e">
        <f>IF(X4609=1,HLOOKUP(R4609,データについて!$J$12:$M$18,7,FALSE),"*")</f>
        <v>#N/A</v>
      </c>
      <c r="AD4609" s="81" t="e">
        <f>IF(X4609=2,HLOOKUP(R4609,データについて!$J$12:$M$18,7,FALSE),"*")</f>
        <v>#N/A</v>
      </c>
    </row>
    <row r="4610" spans="19:30">
      <c r="S4610" s="81" t="e">
        <f>HLOOKUP(L4610,データについて!$J$6:$M$18,13,FALSE)</f>
        <v>#N/A</v>
      </c>
      <c r="T4610" s="81" t="e">
        <f>HLOOKUP(M4610,データについて!$J$7:$M$18,12,FALSE)</f>
        <v>#N/A</v>
      </c>
      <c r="U4610" s="81" t="e">
        <f>HLOOKUP(N4610,データについて!$J$8:$M$18,11,FALSE)</f>
        <v>#N/A</v>
      </c>
      <c r="V4610" s="81" t="e">
        <f>HLOOKUP(O4610,データについて!$J$9:$M$18,10,FALSE)</f>
        <v>#N/A</v>
      </c>
      <c r="W4610" s="81" t="e">
        <f>HLOOKUP(P4610,データについて!$J$10:$M$18,9,FALSE)</f>
        <v>#N/A</v>
      </c>
      <c r="X4610" s="81" t="e">
        <f>HLOOKUP(Q4610,データについて!$J$11:$M$18,8,FALSE)</f>
        <v>#N/A</v>
      </c>
      <c r="Y4610" s="81" t="e">
        <f>HLOOKUP(R4610,データについて!$J$12:$M$18,7,FALSE)</f>
        <v>#N/A</v>
      </c>
      <c r="Z4610" s="81" t="e">
        <f>HLOOKUP(I4610,データについて!$J$3:$M$18,16,FALSE)</f>
        <v>#N/A</v>
      </c>
      <c r="AA4610" s="81" t="str">
        <f>IFERROR(HLOOKUP(J4610,データについて!$J$4:$AH$19,16,FALSE),"")</f>
        <v/>
      </c>
      <c r="AB4610" s="81" t="str">
        <f>IFERROR(HLOOKUP(K4610,データについて!$J$5:$AH$20,14,FALSE),"")</f>
        <v/>
      </c>
      <c r="AC4610" s="81" t="e">
        <f>IF(X4610=1,HLOOKUP(R4610,データについて!$J$12:$M$18,7,FALSE),"*")</f>
        <v>#N/A</v>
      </c>
      <c r="AD4610" s="81" t="e">
        <f>IF(X4610=2,HLOOKUP(R4610,データについて!$J$12:$M$18,7,FALSE),"*")</f>
        <v>#N/A</v>
      </c>
    </row>
    <row r="4611" spans="19:30">
      <c r="S4611" s="81" t="e">
        <f>HLOOKUP(L4611,データについて!$J$6:$M$18,13,FALSE)</f>
        <v>#N/A</v>
      </c>
      <c r="T4611" s="81" t="e">
        <f>HLOOKUP(M4611,データについて!$J$7:$M$18,12,FALSE)</f>
        <v>#N/A</v>
      </c>
      <c r="U4611" s="81" t="e">
        <f>HLOOKUP(N4611,データについて!$J$8:$M$18,11,FALSE)</f>
        <v>#N/A</v>
      </c>
      <c r="V4611" s="81" t="e">
        <f>HLOOKUP(O4611,データについて!$J$9:$M$18,10,FALSE)</f>
        <v>#N/A</v>
      </c>
      <c r="W4611" s="81" t="e">
        <f>HLOOKUP(P4611,データについて!$J$10:$M$18,9,FALSE)</f>
        <v>#N/A</v>
      </c>
      <c r="X4611" s="81" t="e">
        <f>HLOOKUP(Q4611,データについて!$J$11:$M$18,8,FALSE)</f>
        <v>#N/A</v>
      </c>
      <c r="Y4611" s="81" t="e">
        <f>HLOOKUP(R4611,データについて!$J$12:$M$18,7,FALSE)</f>
        <v>#N/A</v>
      </c>
      <c r="Z4611" s="81" t="e">
        <f>HLOOKUP(I4611,データについて!$J$3:$M$18,16,FALSE)</f>
        <v>#N/A</v>
      </c>
      <c r="AA4611" s="81" t="str">
        <f>IFERROR(HLOOKUP(J4611,データについて!$J$4:$AH$19,16,FALSE),"")</f>
        <v/>
      </c>
      <c r="AB4611" s="81" t="str">
        <f>IFERROR(HLOOKUP(K4611,データについて!$J$5:$AH$20,14,FALSE),"")</f>
        <v/>
      </c>
      <c r="AC4611" s="81" t="e">
        <f>IF(X4611=1,HLOOKUP(R4611,データについて!$J$12:$M$18,7,FALSE),"*")</f>
        <v>#N/A</v>
      </c>
      <c r="AD4611" s="81" t="e">
        <f>IF(X4611=2,HLOOKUP(R4611,データについて!$J$12:$M$18,7,FALSE),"*")</f>
        <v>#N/A</v>
      </c>
    </row>
    <row r="4612" spans="19:30">
      <c r="S4612" s="81" t="e">
        <f>HLOOKUP(L4612,データについて!$J$6:$M$18,13,FALSE)</f>
        <v>#N/A</v>
      </c>
      <c r="T4612" s="81" t="e">
        <f>HLOOKUP(M4612,データについて!$J$7:$M$18,12,FALSE)</f>
        <v>#N/A</v>
      </c>
      <c r="U4612" s="81" t="e">
        <f>HLOOKUP(N4612,データについて!$J$8:$M$18,11,FALSE)</f>
        <v>#N/A</v>
      </c>
      <c r="V4612" s="81" t="e">
        <f>HLOOKUP(O4612,データについて!$J$9:$M$18,10,FALSE)</f>
        <v>#N/A</v>
      </c>
      <c r="W4612" s="81" t="e">
        <f>HLOOKUP(P4612,データについて!$J$10:$M$18,9,FALSE)</f>
        <v>#N/A</v>
      </c>
      <c r="X4612" s="81" t="e">
        <f>HLOOKUP(Q4612,データについて!$J$11:$M$18,8,FALSE)</f>
        <v>#N/A</v>
      </c>
      <c r="Y4612" s="81" t="e">
        <f>HLOOKUP(R4612,データについて!$J$12:$M$18,7,FALSE)</f>
        <v>#N/A</v>
      </c>
      <c r="Z4612" s="81" t="e">
        <f>HLOOKUP(I4612,データについて!$J$3:$M$18,16,FALSE)</f>
        <v>#N/A</v>
      </c>
      <c r="AA4612" s="81" t="str">
        <f>IFERROR(HLOOKUP(J4612,データについて!$J$4:$AH$19,16,FALSE),"")</f>
        <v/>
      </c>
      <c r="AB4612" s="81" t="str">
        <f>IFERROR(HLOOKUP(K4612,データについて!$J$5:$AH$20,14,FALSE),"")</f>
        <v/>
      </c>
      <c r="AC4612" s="81" t="e">
        <f>IF(X4612=1,HLOOKUP(R4612,データについて!$J$12:$M$18,7,FALSE),"*")</f>
        <v>#N/A</v>
      </c>
      <c r="AD4612" s="81" t="e">
        <f>IF(X4612=2,HLOOKUP(R4612,データについて!$J$12:$M$18,7,FALSE),"*")</f>
        <v>#N/A</v>
      </c>
    </row>
    <row r="4613" spans="19:30">
      <c r="S4613" s="81" t="e">
        <f>HLOOKUP(L4613,データについて!$J$6:$M$18,13,FALSE)</f>
        <v>#N/A</v>
      </c>
      <c r="T4613" s="81" t="e">
        <f>HLOOKUP(M4613,データについて!$J$7:$M$18,12,FALSE)</f>
        <v>#N/A</v>
      </c>
      <c r="U4613" s="81" t="e">
        <f>HLOOKUP(N4613,データについて!$J$8:$M$18,11,FALSE)</f>
        <v>#N/A</v>
      </c>
      <c r="V4613" s="81" t="e">
        <f>HLOOKUP(O4613,データについて!$J$9:$M$18,10,FALSE)</f>
        <v>#N/A</v>
      </c>
      <c r="W4613" s="81" t="e">
        <f>HLOOKUP(P4613,データについて!$J$10:$M$18,9,FALSE)</f>
        <v>#N/A</v>
      </c>
      <c r="X4613" s="81" t="e">
        <f>HLOOKUP(Q4613,データについて!$J$11:$M$18,8,FALSE)</f>
        <v>#N/A</v>
      </c>
      <c r="Y4613" s="81" t="e">
        <f>HLOOKUP(R4613,データについて!$J$12:$M$18,7,FALSE)</f>
        <v>#N/A</v>
      </c>
      <c r="Z4613" s="81" t="e">
        <f>HLOOKUP(I4613,データについて!$J$3:$M$18,16,FALSE)</f>
        <v>#N/A</v>
      </c>
      <c r="AA4613" s="81" t="str">
        <f>IFERROR(HLOOKUP(J4613,データについて!$J$4:$AH$19,16,FALSE),"")</f>
        <v/>
      </c>
      <c r="AB4613" s="81" t="str">
        <f>IFERROR(HLOOKUP(K4613,データについて!$J$5:$AH$20,14,FALSE),"")</f>
        <v/>
      </c>
      <c r="AC4613" s="81" t="e">
        <f>IF(X4613=1,HLOOKUP(R4613,データについて!$J$12:$M$18,7,FALSE),"*")</f>
        <v>#N/A</v>
      </c>
      <c r="AD4613" s="81" t="e">
        <f>IF(X4613=2,HLOOKUP(R4613,データについて!$J$12:$M$18,7,FALSE),"*")</f>
        <v>#N/A</v>
      </c>
    </row>
    <row r="4614" spans="19:30">
      <c r="S4614" s="81" t="e">
        <f>HLOOKUP(L4614,データについて!$J$6:$M$18,13,FALSE)</f>
        <v>#N/A</v>
      </c>
      <c r="T4614" s="81" t="e">
        <f>HLOOKUP(M4614,データについて!$J$7:$M$18,12,FALSE)</f>
        <v>#N/A</v>
      </c>
      <c r="U4614" s="81" t="e">
        <f>HLOOKUP(N4614,データについて!$J$8:$M$18,11,FALSE)</f>
        <v>#N/A</v>
      </c>
      <c r="V4614" s="81" t="e">
        <f>HLOOKUP(O4614,データについて!$J$9:$M$18,10,FALSE)</f>
        <v>#N/A</v>
      </c>
      <c r="W4614" s="81" t="e">
        <f>HLOOKUP(P4614,データについて!$J$10:$M$18,9,FALSE)</f>
        <v>#N/A</v>
      </c>
      <c r="X4614" s="81" t="e">
        <f>HLOOKUP(Q4614,データについて!$J$11:$M$18,8,FALSE)</f>
        <v>#N/A</v>
      </c>
      <c r="Y4614" s="81" t="e">
        <f>HLOOKUP(R4614,データについて!$J$12:$M$18,7,FALSE)</f>
        <v>#N/A</v>
      </c>
      <c r="Z4614" s="81" t="e">
        <f>HLOOKUP(I4614,データについて!$J$3:$M$18,16,FALSE)</f>
        <v>#N/A</v>
      </c>
      <c r="AA4614" s="81" t="str">
        <f>IFERROR(HLOOKUP(J4614,データについて!$J$4:$AH$19,16,FALSE),"")</f>
        <v/>
      </c>
      <c r="AB4614" s="81" t="str">
        <f>IFERROR(HLOOKUP(K4614,データについて!$J$5:$AH$20,14,FALSE),"")</f>
        <v/>
      </c>
      <c r="AC4614" s="81" t="e">
        <f>IF(X4614=1,HLOOKUP(R4614,データについて!$J$12:$M$18,7,FALSE),"*")</f>
        <v>#N/A</v>
      </c>
      <c r="AD4614" s="81" t="e">
        <f>IF(X4614=2,HLOOKUP(R4614,データについて!$J$12:$M$18,7,FALSE),"*")</f>
        <v>#N/A</v>
      </c>
    </row>
    <row r="4615" spans="19:30">
      <c r="S4615" s="81" t="e">
        <f>HLOOKUP(L4615,データについて!$J$6:$M$18,13,FALSE)</f>
        <v>#N/A</v>
      </c>
      <c r="T4615" s="81" t="e">
        <f>HLOOKUP(M4615,データについて!$J$7:$M$18,12,FALSE)</f>
        <v>#N/A</v>
      </c>
      <c r="U4615" s="81" t="e">
        <f>HLOOKUP(N4615,データについて!$J$8:$M$18,11,FALSE)</f>
        <v>#N/A</v>
      </c>
      <c r="V4615" s="81" t="e">
        <f>HLOOKUP(O4615,データについて!$J$9:$M$18,10,FALSE)</f>
        <v>#N/A</v>
      </c>
      <c r="W4615" s="81" t="e">
        <f>HLOOKUP(P4615,データについて!$J$10:$M$18,9,FALSE)</f>
        <v>#N/A</v>
      </c>
      <c r="X4615" s="81" t="e">
        <f>HLOOKUP(Q4615,データについて!$J$11:$M$18,8,FALSE)</f>
        <v>#N/A</v>
      </c>
      <c r="Y4615" s="81" t="e">
        <f>HLOOKUP(R4615,データについて!$J$12:$M$18,7,FALSE)</f>
        <v>#N/A</v>
      </c>
      <c r="Z4615" s="81" t="e">
        <f>HLOOKUP(I4615,データについて!$J$3:$M$18,16,FALSE)</f>
        <v>#N/A</v>
      </c>
      <c r="AA4615" s="81" t="str">
        <f>IFERROR(HLOOKUP(J4615,データについて!$J$4:$AH$19,16,FALSE),"")</f>
        <v/>
      </c>
      <c r="AB4615" s="81" t="str">
        <f>IFERROR(HLOOKUP(K4615,データについて!$J$5:$AH$20,14,FALSE),"")</f>
        <v/>
      </c>
      <c r="AC4615" s="81" t="e">
        <f>IF(X4615=1,HLOOKUP(R4615,データについて!$J$12:$M$18,7,FALSE),"*")</f>
        <v>#N/A</v>
      </c>
      <c r="AD4615" s="81" t="e">
        <f>IF(X4615=2,HLOOKUP(R4615,データについて!$J$12:$M$18,7,FALSE),"*")</f>
        <v>#N/A</v>
      </c>
    </row>
    <row r="4616" spans="19:30">
      <c r="S4616" s="81" t="e">
        <f>HLOOKUP(L4616,データについて!$J$6:$M$18,13,FALSE)</f>
        <v>#N/A</v>
      </c>
      <c r="T4616" s="81" t="e">
        <f>HLOOKUP(M4616,データについて!$J$7:$M$18,12,FALSE)</f>
        <v>#N/A</v>
      </c>
      <c r="U4616" s="81" t="e">
        <f>HLOOKUP(N4616,データについて!$J$8:$M$18,11,FALSE)</f>
        <v>#N/A</v>
      </c>
      <c r="V4616" s="81" t="e">
        <f>HLOOKUP(O4616,データについて!$J$9:$M$18,10,FALSE)</f>
        <v>#N/A</v>
      </c>
      <c r="W4616" s="81" t="e">
        <f>HLOOKUP(P4616,データについて!$J$10:$M$18,9,FALSE)</f>
        <v>#N/A</v>
      </c>
      <c r="X4616" s="81" t="e">
        <f>HLOOKUP(Q4616,データについて!$J$11:$M$18,8,FALSE)</f>
        <v>#N/A</v>
      </c>
      <c r="Y4616" s="81" t="e">
        <f>HLOOKUP(R4616,データについて!$J$12:$M$18,7,FALSE)</f>
        <v>#N/A</v>
      </c>
      <c r="Z4616" s="81" t="e">
        <f>HLOOKUP(I4616,データについて!$J$3:$M$18,16,FALSE)</f>
        <v>#N/A</v>
      </c>
      <c r="AA4616" s="81" t="str">
        <f>IFERROR(HLOOKUP(J4616,データについて!$J$4:$AH$19,16,FALSE),"")</f>
        <v/>
      </c>
      <c r="AB4616" s="81" t="str">
        <f>IFERROR(HLOOKUP(K4616,データについて!$J$5:$AH$20,14,FALSE),"")</f>
        <v/>
      </c>
      <c r="AC4616" s="81" t="e">
        <f>IF(X4616=1,HLOOKUP(R4616,データについて!$J$12:$M$18,7,FALSE),"*")</f>
        <v>#N/A</v>
      </c>
      <c r="AD4616" s="81" t="e">
        <f>IF(X4616=2,HLOOKUP(R4616,データについて!$J$12:$M$18,7,FALSE),"*")</f>
        <v>#N/A</v>
      </c>
    </row>
    <row r="4617" spans="19:30">
      <c r="S4617" s="81" t="e">
        <f>HLOOKUP(L4617,データについて!$J$6:$M$18,13,FALSE)</f>
        <v>#N/A</v>
      </c>
      <c r="T4617" s="81" t="e">
        <f>HLOOKUP(M4617,データについて!$J$7:$M$18,12,FALSE)</f>
        <v>#N/A</v>
      </c>
      <c r="U4617" s="81" t="e">
        <f>HLOOKUP(N4617,データについて!$J$8:$M$18,11,FALSE)</f>
        <v>#N/A</v>
      </c>
      <c r="V4617" s="81" t="e">
        <f>HLOOKUP(O4617,データについて!$J$9:$M$18,10,FALSE)</f>
        <v>#N/A</v>
      </c>
      <c r="W4617" s="81" t="e">
        <f>HLOOKUP(P4617,データについて!$J$10:$M$18,9,FALSE)</f>
        <v>#N/A</v>
      </c>
      <c r="X4617" s="81" t="e">
        <f>HLOOKUP(Q4617,データについて!$J$11:$M$18,8,FALSE)</f>
        <v>#N/A</v>
      </c>
      <c r="Y4617" s="81" t="e">
        <f>HLOOKUP(R4617,データについて!$J$12:$M$18,7,FALSE)</f>
        <v>#N/A</v>
      </c>
      <c r="Z4617" s="81" t="e">
        <f>HLOOKUP(I4617,データについて!$J$3:$M$18,16,FALSE)</f>
        <v>#N/A</v>
      </c>
      <c r="AA4617" s="81" t="str">
        <f>IFERROR(HLOOKUP(J4617,データについて!$J$4:$AH$19,16,FALSE),"")</f>
        <v/>
      </c>
      <c r="AB4617" s="81" t="str">
        <f>IFERROR(HLOOKUP(K4617,データについて!$J$5:$AH$20,14,FALSE),"")</f>
        <v/>
      </c>
      <c r="AC4617" s="81" t="e">
        <f>IF(X4617=1,HLOOKUP(R4617,データについて!$J$12:$M$18,7,FALSE),"*")</f>
        <v>#N/A</v>
      </c>
      <c r="AD4617" s="81" t="e">
        <f>IF(X4617=2,HLOOKUP(R4617,データについて!$J$12:$M$18,7,FALSE),"*")</f>
        <v>#N/A</v>
      </c>
    </row>
    <row r="4618" spans="19:30">
      <c r="S4618" s="81" t="e">
        <f>HLOOKUP(L4618,データについて!$J$6:$M$18,13,FALSE)</f>
        <v>#N/A</v>
      </c>
      <c r="T4618" s="81" t="e">
        <f>HLOOKUP(M4618,データについて!$J$7:$M$18,12,FALSE)</f>
        <v>#N/A</v>
      </c>
      <c r="U4618" s="81" t="e">
        <f>HLOOKUP(N4618,データについて!$J$8:$M$18,11,FALSE)</f>
        <v>#N/A</v>
      </c>
      <c r="V4618" s="81" t="e">
        <f>HLOOKUP(O4618,データについて!$J$9:$M$18,10,FALSE)</f>
        <v>#N/A</v>
      </c>
      <c r="W4618" s="81" t="e">
        <f>HLOOKUP(P4618,データについて!$J$10:$M$18,9,FALSE)</f>
        <v>#N/A</v>
      </c>
      <c r="X4618" s="81" t="e">
        <f>HLOOKUP(Q4618,データについて!$J$11:$M$18,8,FALSE)</f>
        <v>#N/A</v>
      </c>
      <c r="Y4618" s="81" t="e">
        <f>HLOOKUP(R4618,データについて!$J$12:$M$18,7,FALSE)</f>
        <v>#N/A</v>
      </c>
      <c r="Z4618" s="81" t="e">
        <f>HLOOKUP(I4618,データについて!$J$3:$M$18,16,FALSE)</f>
        <v>#N/A</v>
      </c>
      <c r="AA4618" s="81" t="str">
        <f>IFERROR(HLOOKUP(J4618,データについて!$J$4:$AH$19,16,FALSE),"")</f>
        <v/>
      </c>
      <c r="AB4618" s="81" t="str">
        <f>IFERROR(HLOOKUP(K4618,データについて!$J$5:$AH$20,14,FALSE),"")</f>
        <v/>
      </c>
      <c r="AC4618" s="81" t="e">
        <f>IF(X4618=1,HLOOKUP(R4618,データについて!$J$12:$M$18,7,FALSE),"*")</f>
        <v>#N/A</v>
      </c>
      <c r="AD4618" s="81" t="e">
        <f>IF(X4618=2,HLOOKUP(R4618,データについて!$J$12:$M$18,7,FALSE),"*")</f>
        <v>#N/A</v>
      </c>
    </row>
    <row r="4619" spans="19:30">
      <c r="S4619" s="81" t="e">
        <f>HLOOKUP(L4619,データについて!$J$6:$M$18,13,FALSE)</f>
        <v>#N/A</v>
      </c>
      <c r="T4619" s="81" t="e">
        <f>HLOOKUP(M4619,データについて!$J$7:$M$18,12,FALSE)</f>
        <v>#N/A</v>
      </c>
      <c r="U4619" s="81" t="e">
        <f>HLOOKUP(N4619,データについて!$J$8:$M$18,11,FALSE)</f>
        <v>#N/A</v>
      </c>
      <c r="V4619" s="81" t="e">
        <f>HLOOKUP(O4619,データについて!$J$9:$M$18,10,FALSE)</f>
        <v>#N/A</v>
      </c>
      <c r="W4619" s="81" t="e">
        <f>HLOOKUP(P4619,データについて!$J$10:$M$18,9,FALSE)</f>
        <v>#N/A</v>
      </c>
      <c r="X4619" s="81" t="e">
        <f>HLOOKUP(Q4619,データについて!$J$11:$M$18,8,FALSE)</f>
        <v>#N/A</v>
      </c>
      <c r="Y4619" s="81" t="e">
        <f>HLOOKUP(R4619,データについて!$J$12:$M$18,7,FALSE)</f>
        <v>#N/A</v>
      </c>
      <c r="Z4619" s="81" t="e">
        <f>HLOOKUP(I4619,データについて!$J$3:$M$18,16,FALSE)</f>
        <v>#N/A</v>
      </c>
      <c r="AA4619" s="81" t="str">
        <f>IFERROR(HLOOKUP(J4619,データについて!$J$4:$AH$19,16,FALSE),"")</f>
        <v/>
      </c>
      <c r="AB4619" s="81" t="str">
        <f>IFERROR(HLOOKUP(K4619,データについて!$J$5:$AH$20,14,FALSE),"")</f>
        <v/>
      </c>
      <c r="AC4619" s="81" t="e">
        <f>IF(X4619=1,HLOOKUP(R4619,データについて!$J$12:$M$18,7,FALSE),"*")</f>
        <v>#N/A</v>
      </c>
      <c r="AD4619" s="81" t="e">
        <f>IF(X4619=2,HLOOKUP(R4619,データについて!$J$12:$M$18,7,FALSE),"*")</f>
        <v>#N/A</v>
      </c>
    </row>
    <row r="4620" spans="19:30">
      <c r="S4620" s="81" t="e">
        <f>HLOOKUP(L4620,データについて!$J$6:$M$18,13,FALSE)</f>
        <v>#N/A</v>
      </c>
      <c r="T4620" s="81" t="e">
        <f>HLOOKUP(M4620,データについて!$J$7:$M$18,12,FALSE)</f>
        <v>#N/A</v>
      </c>
      <c r="U4620" s="81" t="e">
        <f>HLOOKUP(N4620,データについて!$J$8:$M$18,11,FALSE)</f>
        <v>#N/A</v>
      </c>
      <c r="V4620" s="81" t="e">
        <f>HLOOKUP(O4620,データについて!$J$9:$M$18,10,FALSE)</f>
        <v>#N/A</v>
      </c>
      <c r="W4620" s="81" t="e">
        <f>HLOOKUP(P4620,データについて!$J$10:$M$18,9,FALSE)</f>
        <v>#N/A</v>
      </c>
      <c r="X4620" s="81" t="e">
        <f>HLOOKUP(Q4620,データについて!$J$11:$M$18,8,FALSE)</f>
        <v>#N/A</v>
      </c>
      <c r="Y4620" s="81" t="e">
        <f>HLOOKUP(R4620,データについて!$J$12:$M$18,7,FALSE)</f>
        <v>#N/A</v>
      </c>
      <c r="Z4620" s="81" t="e">
        <f>HLOOKUP(I4620,データについて!$J$3:$M$18,16,FALSE)</f>
        <v>#N/A</v>
      </c>
      <c r="AA4620" s="81" t="str">
        <f>IFERROR(HLOOKUP(J4620,データについて!$J$4:$AH$19,16,FALSE),"")</f>
        <v/>
      </c>
      <c r="AB4620" s="81" t="str">
        <f>IFERROR(HLOOKUP(K4620,データについて!$J$5:$AH$20,14,FALSE),"")</f>
        <v/>
      </c>
      <c r="AC4620" s="81" t="e">
        <f>IF(X4620=1,HLOOKUP(R4620,データについて!$J$12:$M$18,7,FALSE),"*")</f>
        <v>#N/A</v>
      </c>
      <c r="AD4620" s="81" t="e">
        <f>IF(X4620=2,HLOOKUP(R4620,データについて!$J$12:$M$18,7,FALSE),"*")</f>
        <v>#N/A</v>
      </c>
    </row>
    <row r="4621" spans="19:30">
      <c r="S4621" s="81" t="e">
        <f>HLOOKUP(L4621,データについて!$J$6:$M$18,13,FALSE)</f>
        <v>#N/A</v>
      </c>
      <c r="T4621" s="81" t="e">
        <f>HLOOKUP(M4621,データについて!$J$7:$M$18,12,FALSE)</f>
        <v>#N/A</v>
      </c>
      <c r="U4621" s="81" t="e">
        <f>HLOOKUP(N4621,データについて!$J$8:$M$18,11,FALSE)</f>
        <v>#N/A</v>
      </c>
      <c r="V4621" s="81" t="e">
        <f>HLOOKUP(O4621,データについて!$J$9:$M$18,10,FALSE)</f>
        <v>#N/A</v>
      </c>
      <c r="W4621" s="81" t="e">
        <f>HLOOKUP(P4621,データについて!$J$10:$M$18,9,FALSE)</f>
        <v>#N/A</v>
      </c>
      <c r="X4621" s="81" t="e">
        <f>HLOOKUP(Q4621,データについて!$J$11:$M$18,8,FALSE)</f>
        <v>#N/A</v>
      </c>
      <c r="Y4621" s="81" t="e">
        <f>HLOOKUP(R4621,データについて!$J$12:$M$18,7,FALSE)</f>
        <v>#N/A</v>
      </c>
      <c r="Z4621" s="81" t="e">
        <f>HLOOKUP(I4621,データについて!$J$3:$M$18,16,FALSE)</f>
        <v>#N/A</v>
      </c>
      <c r="AA4621" s="81" t="str">
        <f>IFERROR(HLOOKUP(J4621,データについて!$J$4:$AH$19,16,FALSE),"")</f>
        <v/>
      </c>
      <c r="AB4621" s="81" t="str">
        <f>IFERROR(HLOOKUP(K4621,データについて!$J$5:$AH$20,14,FALSE),"")</f>
        <v/>
      </c>
      <c r="AC4621" s="81" t="e">
        <f>IF(X4621=1,HLOOKUP(R4621,データについて!$J$12:$M$18,7,FALSE),"*")</f>
        <v>#N/A</v>
      </c>
      <c r="AD4621" s="81" t="e">
        <f>IF(X4621=2,HLOOKUP(R4621,データについて!$J$12:$M$18,7,FALSE),"*")</f>
        <v>#N/A</v>
      </c>
    </row>
    <row r="4622" spans="19:30">
      <c r="S4622" s="81" t="e">
        <f>HLOOKUP(L4622,データについて!$J$6:$M$18,13,FALSE)</f>
        <v>#N/A</v>
      </c>
      <c r="T4622" s="81" t="e">
        <f>HLOOKUP(M4622,データについて!$J$7:$M$18,12,FALSE)</f>
        <v>#N/A</v>
      </c>
      <c r="U4622" s="81" t="e">
        <f>HLOOKUP(N4622,データについて!$J$8:$M$18,11,FALSE)</f>
        <v>#N/A</v>
      </c>
      <c r="V4622" s="81" t="e">
        <f>HLOOKUP(O4622,データについて!$J$9:$M$18,10,FALSE)</f>
        <v>#N/A</v>
      </c>
      <c r="W4622" s="81" t="e">
        <f>HLOOKUP(P4622,データについて!$J$10:$M$18,9,FALSE)</f>
        <v>#N/A</v>
      </c>
      <c r="X4622" s="81" t="e">
        <f>HLOOKUP(Q4622,データについて!$J$11:$M$18,8,FALSE)</f>
        <v>#N/A</v>
      </c>
      <c r="Y4622" s="81" t="e">
        <f>HLOOKUP(R4622,データについて!$J$12:$M$18,7,FALSE)</f>
        <v>#N/A</v>
      </c>
      <c r="Z4622" s="81" t="e">
        <f>HLOOKUP(I4622,データについて!$J$3:$M$18,16,FALSE)</f>
        <v>#N/A</v>
      </c>
      <c r="AA4622" s="81" t="str">
        <f>IFERROR(HLOOKUP(J4622,データについて!$J$4:$AH$19,16,FALSE),"")</f>
        <v/>
      </c>
      <c r="AB4622" s="81" t="str">
        <f>IFERROR(HLOOKUP(K4622,データについて!$J$5:$AH$20,14,FALSE),"")</f>
        <v/>
      </c>
      <c r="AC4622" s="81" t="e">
        <f>IF(X4622=1,HLOOKUP(R4622,データについて!$J$12:$M$18,7,FALSE),"*")</f>
        <v>#N/A</v>
      </c>
      <c r="AD4622" s="81" t="e">
        <f>IF(X4622=2,HLOOKUP(R4622,データについて!$J$12:$M$18,7,FALSE),"*")</f>
        <v>#N/A</v>
      </c>
    </row>
    <row r="4623" spans="19:30">
      <c r="S4623" s="81" t="e">
        <f>HLOOKUP(L4623,データについて!$J$6:$M$18,13,FALSE)</f>
        <v>#N/A</v>
      </c>
      <c r="T4623" s="81" t="e">
        <f>HLOOKUP(M4623,データについて!$J$7:$M$18,12,FALSE)</f>
        <v>#N/A</v>
      </c>
      <c r="U4623" s="81" t="e">
        <f>HLOOKUP(N4623,データについて!$J$8:$M$18,11,FALSE)</f>
        <v>#N/A</v>
      </c>
      <c r="V4623" s="81" t="e">
        <f>HLOOKUP(O4623,データについて!$J$9:$M$18,10,FALSE)</f>
        <v>#N/A</v>
      </c>
      <c r="W4623" s="81" t="e">
        <f>HLOOKUP(P4623,データについて!$J$10:$M$18,9,FALSE)</f>
        <v>#N/A</v>
      </c>
      <c r="X4623" s="81" t="e">
        <f>HLOOKUP(Q4623,データについて!$J$11:$M$18,8,FALSE)</f>
        <v>#N/A</v>
      </c>
      <c r="Y4623" s="81" t="e">
        <f>HLOOKUP(R4623,データについて!$J$12:$M$18,7,FALSE)</f>
        <v>#N/A</v>
      </c>
      <c r="Z4623" s="81" t="e">
        <f>HLOOKUP(I4623,データについて!$J$3:$M$18,16,FALSE)</f>
        <v>#N/A</v>
      </c>
      <c r="AA4623" s="81" t="str">
        <f>IFERROR(HLOOKUP(J4623,データについて!$J$4:$AH$19,16,FALSE),"")</f>
        <v/>
      </c>
      <c r="AB4623" s="81" t="str">
        <f>IFERROR(HLOOKUP(K4623,データについて!$J$5:$AH$20,14,FALSE),"")</f>
        <v/>
      </c>
      <c r="AC4623" s="81" t="e">
        <f>IF(X4623=1,HLOOKUP(R4623,データについて!$J$12:$M$18,7,FALSE),"*")</f>
        <v>#N/A</v>
      </c>
      <c r="AD4623" s="81" t="e">
        <f>IF(X4623=2,HLOOKUP(R4623,データについて!$J$12:$M$18,7,FALSE),"*")</f>
        <v>#N/A</v>
      </c>
    </row>
    <row r="4624" spans="19:30">
      <c r="S4624" s="81" t="e">
        <f>HLOOKUP(L4624,データについて!$J$6:$M$18,13,FALSE)</f>
        <v>#N/A</v>
      </c>
      <c r="T4624" s="81" t="e">
        <f>HLOOKUP(M4624,データについて!$J$7:$M$18,12,FALSE)</f>
        <v>#N/A</v>
      </c>
      <c r="U4624" s="81" t="e">
        <f>HLOOKUP(N4624,データについて!$J$8:$M$18,11,FALSE)</f>
        <v>#N/A</v>
      </c>
      <c r="V4624" s="81" t="e">
        <f>HLOOKUP(O4624,データについて!$J$9:$M$18,10,FALSE)</f>
        <v>#N/A</v>
      </c>
      <c r="W4624" s="81" t="e">
        <f>HLOOKUP(P4624,データについて!$J$10:$M$18,9,FALSE)</f>
        <v>#N/A</v>
      </c>
      <c r="X4624" s="81" t="e">
        <f>HLOOKUP(Q4624,データについて!$J$11:$M$18,8,FALSE)</f>
        <v>#N/A</v>
      </c>
      <c r="Y4624" s="81" t="e">
        <f>HLOOKUP(R4624,データについて!$J$12:$M$18,7,FALSE)</f>
        <v>#N/A</v>
      </c>
      <c r="Z4624" s="81" t="e">
        <f>HLOOKUP(I4624,データについて!$J$3:$M$18,16,FALSE)</f>
        <v>#N/A</v>
      </c>
      <c r="AA4624" s="81" t="str">
        <f>IFERROR(HLOOKUP(J4624,データについて!$J$4:$AH$19,16,FALSE),"")</f>
        <v/>
      </c>
      <c r="AB4624" s="81" t="str">
        <f>IFERROR(HLOOKUP(K4624,データについて!$J$5:$AH$20,14,FALSE),"")</f>
        <v/>
      </c>
      <c r="AC4624" s="81" t="e">
        <f>IF(X4624=1,HLOOKUP(R4624,データについて!$J$12:$M$18,7,FALSE),"*")</f>
        <v>#N/A</v>
      </c>
      <c r="AD4624" s="81" t="e">
        <f>IF(X4624=2,HLOOKUP(R4624,データについて!$J$12:$M$18,7,FALSE),"*")</f>
        <v>#N/A</v>
      </c>
    </row>
    <row r="4625" spans="19:30">
      <c r="S4625" s="81" t="e">
        <f>HLOOKUP(L4625,データについて!$J$6:$M$18,13,FALSE)</f>
        <v>#N/A</v>
      </c>
      <c r="T4625" s="81" t="e">
        <f>HLOOKUP(M4625,データについて!$J$7:$M$18,12,FALSE)</f>
        <v>#N/A</v>
      </c>
      <c r="U4625" s="81" t="e">
        <f>HLOOKUP(N4625,データについて!$J$8:$M$18,11,FALSE)</f>
        <v>#N/A</v>
      </c>
      <c r="V4625" s="81" t="e">
        <f>HLOOKUP(O4625,データについて!$J$9:$M$18,10,FALSE)</f>
        <v>#N/A</v>
      </c>
      <c r="W4625" s="81" t="e">
        <f>HLOOKUP(P4625,データについて!$J$10:$M$18,9,FALSE)</f>
        <v>#N/A</v>
      </c>
      <c r="X4625" s="81" t="e">
        <f>HLOOKUP(Q4625,データについて!$J$11:$M$18,8,FALSE)</f>
        <v>#N/A</v>
      </c>
      <c r="Y4625" s="81" t="e">
        <f>HLOOKUP(R4625,データについて!$J$12:$M$18,7,FALSE)</f>
        <v>#N/A</v>
      </c>
      <c r="Z4625" s="81" t="e">
        <f>HLOOKUP(I4625,データについて!$J$3:$M$18,16,FALSE)</f>
        <v>#N/A</v>
      </c>
      <c r="AA4625" s="81" t="str">
        <f>IFERROR(HLOOKUP(J4625,データについて!$J$4:$AH$19,16,FALSE),"")</f>
        <v/>
      </c>
      <c r="AB4625" s="81" t="str">
        <f>IFERROR(HLOOKUP(K4625,データについて!$J$5:$AH$20,14,FALSE),"")</f>
        <v/>
      </c>
      <c r="AC4625" s="81" t="e">
        <f>IF(X4625=1,HLOOKUP(R4625,データについて!$J$12:$M$18,7,FALSE),"*")</f>
        <v>#N/A</v>
      </c>
      <c r="AD4625" s="81" t="e">
        <f>IF(X4625=2,HLOOKUP(R4625,データについて!$J$12:$M$18,7,FALSE),"*")</f>
        <v>#N/A</v>
      </c>
    </row>
    <row r="4626" spans="19:30">
      <c r="S4626" s="81" t="e">
        <f>HLOOKUP(L4626,データについて!$J$6:$M$18,13,FALSE)</f>
        <v>#N/A</v>
      </c>
      <c r="T4626" s="81" t="e">
        <f>HLOOKUP(M4626,データについて!$J$7:$M$18,12,FALSE)</f>
        <v>#N/A</v>
      </c>
      <c r="U4626" s="81" t="e">
        <f>HLOOKUP(N4626,データについて!$J$8:$M$18,11,FALSE)</f>
        <v>#N/A</v>
      </c>
      <c r="V4626" s="81" t="e">
        <f>HLOOKUP(O4626,データについて!$J$9:$M$18,10,FALSE)</f>
        <v>#N/A</v>
      </c>
      <c r="W4626" s="81" t="e">
        <f>HLOOKUP(P4626,データについて!$J$10:$M$18,9,FALSE)</f>
        <v>#N/A</v>
      </c>
      <c r="X4626" s="81" t="e">
        <f>HLOOKUP(Q4626,データについて!$J$11:$M$18,8,FALSE)</f>
        <v>#N/A</v>
      </c>
      <c r="Y4626" s="81" t="e">
        <f>HLOOKUP(R4626,データについて!$J$12:$M$18,7,FALSE)</f>
        <v>#N/A</v>
      </c>
      <c r="Z4626" s="81" t="e">
        <f>HLOOKUP(I4626,データについて!$J$3:$M$18,16,FALSE)</f>
        <v>#N/A</v>
      </c>
      <c r="AA4626" s="81" t="str">
        <f>IFERROR(HLOOKUP(J4626,データについて!$J$4:$AH$19,16,FALSE),"")</f>
        <v/>
      </c>
      <c r="AB4626" s="81" t="str">
        <f>IFERROR(HLOOKUP(K4626,データについて!$J$5:$AH$20,14,FALSE),"")</f>
        <v/>
      </c>
      <c r="AC4626" s="81" t="e">
        <f>IF(X4626=1,HLOOKUP(R4626,データについて!$J$12:$M$18,7,FALSE),"*")</f>
        <v>#N/A</v>
      </c>
      <c r="AD4626" s="81" t="e">
        <f>IF(X4626=2,HLOOKUP(R4626,データについて!$J$12:$M$18,7,FALSE),"*")</f>
        <v>#N/A</v>
      </c>
    </row>
    <row r="4627" spans="19:30">
      <c r="S4627" s="81" t="e">
        <f>HLOOKUP(L4627,データについて!$J$6:$M$18,13,FALSE)</f>
        <v>#N/A</v>
      </c>
      <c r="T4627" s="81" t="e">
        <f>HLOOKUP(M4627,データについて!$J$7:$M$18,12,FALSE)</f>
        <v>#N/A</v>
      </c>
      <c r="U4627" s="81" t="e">
        <f>HLOOKUP(N4627,データについて!$J$8:$M$18,11,FALSE)</f>
        <v>#N/A</v>
      </c>
      <c r="V4627" s="81" t="e">
        <f>HLOOKUP(O4627,データについて!$J$9:$M$18,10,FALSE)</f>
        <v>#N/A</v>
      </c>
      <c r="W4627" s="81" t="e">
        <f>HLOOKUP(P4627,データについて!$J$10:$M$18,9,FALSE)</f>
        <v>#N/A</v>
      </c>
      <c r="X4627" s="81" t="e">
        <f>HLOOKUP(Q4627,データについて!$J$11:$M$18,8,FALSE)</f>
        <v>#N/A</v>
      </c>
      <c r="Y4627" s="81" t="e">
        <f>HLOOKUP(R4627,データについて!$J$12:$M$18,7,FALSE)</f>
        <v>#N/A</v>
      </c>
      <c r="Z4627" s="81" t="e">
        <f>HLOOKUP(I4627,データについて!$J$3:$M$18,16,FALSE)</f>
        <v>#N/A</v>
      </c>
      <c r="AA4627" s="81" t="str">
        <f>IFERROR(HLOOKUP(J4627,データについて!$J$4:$AH$19,16,FALSE),"")</f>
        <v/>
      </c>
      <c r="AB4627" s="81" t="str">
        <f>IFERROR(HLOOKUP(K4627,データについて!$J$5:$AH$20,14,FALSE),"")</f>
        <v/>
      </c>
      <c r="AC4627" s="81" t="e">
        <f>IF(X4627=1,HLOOKUP(R4627,データについて!$J$12:$M$18,7,FALSE),"*")</f>
        <v>#N/A</v>
      </c>
      <c r="AD4627" s="81" t="e">
        <f>IF(X4627=2,HLOOKUP(R4627,データについて!$J$12:$M$18,7,FALSE),"*")</f>
        <v>#N/A</v>
      </c>
    </row>
    <row r="4628" spans="19:30">
      <c r="S4628" s="81" t="e">
        <f>HLOOKUP(L4628,データについて!$J$6:$M$18,13,FALSE)</f>
        <v>#N/A</v>
      </c>
      <c r="T4628" s="81" t="e">
        <f>HLOOKUP(M4628,データについて!$J$7:$M$18,12,FALSE)</f>
        <v>#N/A</v>
      </c>
      <c r="U4628" s="81" t="e">
        <f>HLOOKUP(N4628,データについて!$J$8:$M$18,11,FALSE)</f>
        <v>#N/A</v>
      </c>
      <c r="V4628" s="81" t="e">
        <f>HLOOKUP(O4628,データについて!$J$9:$M$18,10,FALSE)</f>
        <v>#N/A</v>
      </c>
      <c r="W4628" s="81" t="e">
        <f>HLOOKUP(P4628,データについて!$J$10:$M$18,9,FALSE)</f>
        <v>#N/A</v>
      </c>
      <c r="X4628" s="81" t="e">
        <f>HLOOKUP(Q4628,データについて!$J$11:$M$18,8,FALSE)</f>
        <v>#N/A</v>
      </c>
      <c r="Y4628" s="81" t="e">
        <f>HLOOKUP(R4628,データについて!$J$12:$M$18,7,FALSE)</f>
        <v>#N/A</v>
      </c>
      <c r="Z4628" s="81" t="e">
        <f>HLOOKUP(I4628,データについて!$J$3:$M$18,16,FALSE)</f>
        <v>#N/A</v>
      </c>
      <c r="AA4628" s="81" t="str">
        <f>IFERROR(HLOOKUP(J4628,データについて!$J$4:$AH$19,16,FALSE),"")</f>
        <v/>
      </c>
      <c r="AB4628" s="81" t="str">
        <f>IFERROR(HLOOKUP(K4628,データについて!$J$5:$AH$20,14,FALSE),"")</f>
        <v/>
      </c>
      <c r="AC4628" s="81" t="e">
        <f>IF(X4628=1,HLOOKUP(R4628,データについて!$J$12:$M$18,7,FALSE),"*")</f>
        <v>#N/A</v>
      </c>
      <c r="AD4628" s="81" t="e">
        <f>IF(X4628=2,HLOOKUP(R4628,データについて!$J$12:$M$18,7,FALSE),"*")</f>
        <v>#N/A</v>
      </c>
    </row>
    <row r="4629" spans="19:30">
      <c r="S4629" s="81" t="e">
        <f>HLOOKUP(L4629,データについて!$J$6:$M$18,13,FALSE)</f>
        <v>#N/A</v>
      </c>
      <c r="T4629" s="81" t="e">
        <f>HLOOKUP(M4629,データについて!$J$7:$M$18,12,FALSE)</f>
        <v>#N/A</v>
      </c>
      <c r="U4629" s="81" t="e">
        <f>HLOOKUP(N4629,データについて!$J$8:$M$18,11,FALSE)</f>
        <v>#N/A</v>
      </c>
      <c r="V4629" s="81" t="e">
        <f>HLOOKUP(O4629,データについて!$J$9:$M$18,10,FALSE)</f>
        <v>#N/A</v>
      </c>
      <c r="W4629" s="81" t="e">
        <f>HLOOKUP(P4629,データについて!$J$10:$M$18,9,FALSE)</f>
        <v>#N/A</v>
      </c>
      <c r="X4629" s="81" t="e">
        <f>HLOOKUP(Q4629,データについて!$J$11:$M$18,8,FALSE)</f>
        <v>#N/A</v>
      </c>
      <c r="Y4629" s="81" t="e">
        <f>HLOOKUP(R4629,データについて!$J$12:$M$18,7,FALSE)</f>
        <v>#N/A</v>
      </c>
      <c r="Z4629" s="81" t="e">
        <f>HLOOKUP(I4629,データについて!$J$3:$M$18,16,FALSE)</f>
        <v>#N/A</v>
      </c>
      <c r="AA4629" s="81" t="str">
        <f>IFERROR(HLOOKUP(J4629,データについて!$J$4:$AH$19,16,FALSE),"")</f>
        <v/>
      </c>
      <c r="AB4629" s="81" t="str">
        <f>IFERROR(HLOOKUP(K4629,データについて!$J$5:$AH$20,14,FALSE),"")</f>
        <v/>
      </c>
      <c r="AC4629" s="81" t="e">
        <f>IF(X4629=1,HLOOKUP(R4629,データについて!$J$12:$M$18,7,FALSE),"*")</f>
        <v>#N/A</v>
      </c>
      <c r="AD4629" s="81" t="e">
        <f>IF(X4629=2,HLOOKUP(R4629,データについて!$J$12:$M$18,7,FALSE),"*")</f>
        <v>#N/A</v>
      </c>
    </row>
    <row r="4630" spans="19:30">
      <c r="S4630" s="81" t="e">
        <f>HLOOKUP(L4630,データについて!$J$6:$M$18,13,FALSE)</f>
        <v>#N/A</v>
      </c>
      <c r="T4630" s="81" t="e">
        <f>HLOOKUP(M4630,データについて!$J$7:$M$18,12,FALSE)</f>
        <v>#N/A</v>
      </c>
      <c r="U4630" s="81" t="e">
        <f>HLOOKUP(N4630,データについて!$J$8:$M$18,11,FALSE)</f>
        <v>#N/A</v>
      </c>
      <c r="V4630" s="81" t="e">
        <f>HLOOKUP(O4630,データについて!$J$9:$M$18,10,FALSE)</f>
        <v>#N/A</v>
      </c>
      <c r="W4630" s="81" t="e">
        <f>HLOOKUP(P4630,データについて!$J$10:$M$18,9,FALSE)</f>
        <v>#N/A</v>
      </c>
      <c r="X4630" s="81" t="e">
        <f>HLOOKUP(Q4630,データについて!$J$11:$M$18,8,FALSE)</f>
        <v>#N/A</v>
      </c>
      <c r="Y4630" s="81" t="e">
        <f>HLOOKUP(R4630,データについて!$J$12:$M$18,7,FALSE)</f>
        <v>#N/A</v>
      </c>
      <c r="Z4630" s="81" t="e">
        <f>HLOOKUP(I4630,データについて!$J$3:$M$18,16,FALSE)</f>
        <v>#N/A</v>
      </c>
      <c r="AA4630" s="81" t="str">
        <f>IFERROR(HLOOKUP(J4630,データについて!$J$4:$AH$19,16,FALSE),"")</f>
        <v/>
      </c>
      <c r="AB4630" s="81" t="str">
        <f>IFERROR(HLOOKUP(K4630,データについて!$J$5:$AH$20,14,FALSE),"")</f>
        <v/>
      </c>
      <c r="AC4630" s="81" t="e">
        <f>IF(X4630=1,HLOOKUP(R4630,データについて!$J$12:$M$18,7,FALSE),"*")</f>
        <v>#N/A</v>
      </c>
      <c r="AD4630" s="81" t="e">
        <f>IF(X4630=2,HLOOKUP(R4630,データについて!$J$12:$M$18,7,FALSE),"*")</f>
        <v>#N/A</v>
      </c>
    </row>
    <row r="4631" spans="19:30">
      <c r="S4631" s="81" t="e">
        <f>HLOOKUP(L4631,データについて!$J$6:$M$18,13,FALSE)</f>
        <v>#N/A</v>
      </c>
      <c r="T4631" s="81" t="e">
        <f>HLOOKUP(M4631,データについて!$J$7:$M$18,12,FALSE)</f>
        <v>#N/A</v>
      </c>
      <c r="U4631" s="81" t="e">
        <f>HLOOKUP(N4631,データについて!$J$8:$M$18,11,FALSE)</f>
        <v>#N/A</v>
      </c>
      <c r="V4631" s="81" t="e">
        <f>HLOOKUP(O4631,データについて!$J$9:$M$18,10,FALSE)</f>
        <v>#N/A</v>
      </c>
      <c r="W4631" s="81" t="e">
        <f>HLOOKUP(P4631,データについて!$J$10:$M$18,9,FALSE)</f>
        <v>#N/A</v>
      </c>
      <c r="X4631" s="81" t="e">
        <f>HLOOKUP(Q4631,データについて!$J$11:$M$18,8,FALSE)</f>
        <v>#N/A</v>
      </c>
      <c r="Y4631" s="81" t="e">
        <f>HLOOKUP(R4631,データについて!$J$12:$M$18,7,FALSE)</f>
        <v>#N/A</v>
      </c>
      <c r="Z4631" s="81" t="e">
        <f>HLOOKUP(I4631,データについて!$J$3:$M$18,16,FALSE)</f>
        <v>#N/A</v>
      </c>
      <c r="AA4631" s="81" t="str">
        <f>IFERROR(HLOOKUP(J4631,データについて!$J$4:$AH$19,16,FALSE),"")</f>
        <v/>
      </c>
      <c r="AB4631" s="81" t="str">
        <f>IFERROR(HLOOKUP(K4631,データについて!$J$5:$AH$20,14,FALSE),"")</f>
        <v/>
      </c>
      <c r="AC4631" s="81" t="e">
        <f>IF(X4631=1,HLOOKUP(R4631,データについて!$J$12:$M$18,7,FALSE),"*")</f>
        <v>#N/A</v>
      </c>
      <c r="AD4631" s="81" t="e">
        <f>IF(X4631=2,HLOOKUP(R4631,データについて!$J$12:$M$18,7,FALSE),"*")</f>
        <v>#N/A</v>
      </c>
    </row>
    <row r="4632" spans="19:30">
      <c r="S4632" s="81" t="e">
        <f>HLOOKUP(L4632,データについて!$J$6:$M$18,13,FALSE)</f>
        <v>#N/A</v>
      </c>
      <c r="T4632" s="81" t="e">
        <f>HLOOKUP(M4632,データについて!$J$7:$M$18,12,FALSE)</f>
        <v>#N/A</v>
      </c>
      <c r="U4632" s="81" t="e">
        <f>HLOOKUP(N4632,データについて!$J$8:$M$18,11,FALSE)</f>
        <v>#N/A</v>
      </c>
      <c r="V4632" s="81" t="e">
        <f>HLOOKUP(O4632,データについて!$J$9:$M$18,10,FALSE)</f>
        <v>#N/A</v>
      </c>
      <c r="W4632" s="81" t="e">
        <f>HLOOKUP(P4632,データについて!$J$10:$M$18,9,FALSE)</f>
        <v>#N/A</v>
      </c>
      <c r="X4632" s="81" t="e">
        <f>HLOOKUP(Q4632,データについて!$J$11:$M$18,8,FALSE)</f>
        <v>#N/A</v>
      </c>
      <c r="Y4632" s="81" t="e">
        <f>HLOOKUP(R4632,データについて!$J$12:$M$18,7,FALSE)</f>
        <v>#N/A</v>
      </c>
      <c r="Z4632" s="81" t="e">
        <f>HLOOKUP(I4632,データについて!$J$3:$M$18,16,FALSE)</f>
        <v>#N/A</v>
      </c>
      <c r="AA4632" s="81" t="str">
        <f>IFERROR(HLOOKUP(J4632,データについて!$J$4:$AH$19,16,FALSE),"")</f>
        <v/>
      </c>
      <c r="AB4632" s="81" t="str">
        <f>IFERROR(HLOOKUP(K4632,データについて!$J$5:$AH$20,14,FALSE),"")</f>
        <v/>
      </c>
      <c r="AC4632" s="81" t="e">
        <f>IF(X4632=1,HLOOKUP(R4632,データについて!$J$12:$M$18,7,FALSE),"*")</f>
        <v>#N/A</v>
      </c>
      <c r="AD4632" s="81" t="e">
        <f>IF(X4632=2,HLOOKUP(R4632,データについて!$J$12:$M$18,7,FALSE),"*")</f>
        <v>#N/A</v>
      </c>
    </row>
    <row r="4633" spans="19:30">
      <c r="S4633" s="81" t="e">
        <f>HLOOKUP(L4633,データについて!$J$6:$M$18,13,FALSE)</f>
        <v>#N/A</v>
      </c>
      <c r="T4633" s="81" t="e">
        <f>HLOOKUP(M4633,データについて!$J$7:$M$18,12,FALSE)</f>
        <v>#N/A</v>
      </c>
      <c r="U4633" s="81" t="e">
        <f>HLOOKUP(N4633,データについて!$J$8:$M$18,11,FALSE)</f>
        <v>#N/A</v>
      </c>
      <c r="V4633" s="81" t="e">
        <f>HLOOKUP(O4633,データについて!$J$9:$M$18,10,FALSE)</f>
        <v>#N/A</v>
      </c>
      <c r="W4633" s="81" t="e">
        <f>HLOOKUP(P4633,データについて!$J$10:$M$18,9,FALSE)</f>
        <v>#N/A</v>
      </c>
      <c r="X4633" s="81" t="e">
        <f>HLOOKUP(Q4633,データについて!$J$11:$M$18,8,FALSE)</f>
        <v>#N/A</v>
      </c>
      <c r="Y4633" s="81" t="e">
        <f>HLOOKUP(R4633,データについて!$J$12:$M$18,7,FALSE)</f>
        <v>#N/A</v>
      </c>
      <c r="Z4633" s="81" t="e">
        <f>HLOOKUP(I4633,データについて!$J$3:$M$18,16,FALSE)</f>
        <v>#N/A</v>
      </c>
      <c r="AA4633" s="81" t="str">
        <f>IFERROR(HLOOKUP(J4633,データについて!$J$4:$AH$19,16,FALSE),"")</f>
        <v/>
      </c>
      <c r="AB4633" s="81" t="str">
        <f>IFERROR(HLOOKUP(K4633,データについて!$J$5:$AH$20,14,FALSE),"")</f>
        <v/>
      </c>
      <c r="AC4633" s="81" t="e">
        <f>IF(X4633=1,HLOOKUP(R4633,データについて!$J$12:$M$18,7,FALSE),"*")</f>
        <v>#N/A</v>
      </c>
      <c r="AD4633" s="81" t="e">
        <f>IF(X4633=2,HLOOKUP(R4633,データについて!$J$12:$M$18,7,FALSE),"*")</f>
        <v>#N/A</v>
      </c>
    </row>
    <row r="4634" spans="19:30">
      <c r="S4634" s="81" t="e">
        <f>HLOOKUP(L4634,データについて!$J$6:$M$18,13,FALSE)</f>
        <v>#N/A</v>
      </c>
      <c r="T4634" s="81" t="e">
        <f>HLOOKUP(M4634,データについて!$J$7:$M$18,12,FALSE)</f>
        <v>#N/A</v>
      </c>
      <c r="U4634" s="81" t="e">
        <f>HLOOKUP(N4634,データについて!$J$8:$M$18,11,FALSE)</f>
        <v>#N/A</v>
      </c>
      <c r="V4634" s="81" t="e">
        <f>HLOOKUP(O4634,データについて!$J$9:$M$18,10,FALSE)</f>
        <v>#N/A</v>
      </c>
      <c r="W4634" s="81" t="e">
        <f>HLOOKUP(P4634,データについて!$J$10:$M$18,9,FALSE)</f>
        <v>#N/A</v>
      </c>
      <c r="X4634" s="81" t="e">
        <f>HLOOKUP(Q4634,データについて!$J$11:$M$18,8,FALSE)</f>
        <v>#N/A</v>
      </c>
      <c r="Y4634" s="81" t="e">
        <f>HLOOKUP(R4634,データについて!$J$12:$M$18,7,FALSE)</f>
        <v>#N/A</v>
      </c>
      <c r="Z4634" s="81" t="e">
        <f>HLOOKUP(I4634,データについて!$J$3:$M$18,16,FALSE)</f>
        <v>#N/A</v>
      </c>
      <c r="AA4634" s="81" t="str">
        <f>IFERROR(HLOOKUP(J4634,データについて!$J$4:$AH$19,16,FALSE),"")</f>
        <v/>
      </c>
      <c r="AB4634" s="81" t="str">
        <f>IFERROR(HLOOKUP(K4634,データについて!$J$5:$AH$20,14,FALSE),"")</f>
        <v/>
      </c>
      <c r="AC4634" s="81" t="e">
        <f>IF(X4634=1,HLOOKUP(R4634,データについて!$J$12:$M$18,7,FALSE),"*")</f>
        <v>#N/A</v>
      </c>
      <c r="AD4634" s="81" t="e">
        <f>IF(X4634=2,HLOOKUP(R4634,データについて!$J$12:$M$18,7,FALSE),"*")</f>
        <v>#N/A</v>
      </c>
    </row>
    <row r="4635" spans="19:30">
      <c r="S4635" s="81" t="e">
        <f>HLOOKUP(L4635,データについて!$J$6:$M$18,13,FALSE)</f>
        <v>#N/A</v>
      </c>
      <c r="T4635" s="81" t="e">
        <f>HLOOKUP(M4635,データについて!$J$7:$M$18,12,FALSE)</f>
        <v>#N/A</v>
      </c>
      <c r="U4635" s="81" t="e">
        <f>HLOOKUP(N4635,データについて!$J$8:$M$18,11,FALSE)</f>
        <v>#N/A</v>
      </c>
      <c r="V4635" s="81" t="e">
        <f>HLOOKUP(O4635,データについて!$J$9:$M$18,10,FALSE)</f>
        <v>#N/A</v>
      </c>
      <c r="W4635" s="81" t="e">
        <f>HLOOKUP(P4635,データについて!$J$10:$M$18,9,FALSE)</f>
        <v>#N/A</v>
      </c>
      <c r="X4635" s="81" t="e">
        <f>HLOOKUP(Q4635,データについて!$J$11:$M$18,8,FALSE)</f>
        <v>#N/A</v>
      </c>
      <c r="Y4635" s="81" t="e">
        <f>HLOOKUP(R4635,データについて!$J$12:$M$18,7,FALSE)</f>
        <v>#N/A</v>
      </c>
      <c r="Z4635" s="81" t="e">
        <f>HLOOKUP(I4635,データについて!$J$3:$M$18,16,FALSE)</f>
        <v>#N/A</v>
      </c>
      <c r="AA4635" s="81" t="str">
        <f>IFERROR(HLOOKUP(J4635,データについて!$J$4:$AH$19,16,FALSE),"")</f>
        <v/>
      </c>
      <c r="AB4635" s="81" t="str">
        <f>IFERROR(HLOOKUP(K4635,データについて!$J$5:$AH$20,14,FALSE),"")</f>
        <v/>
      </c>
      <c r="AC4635" s="81" t="e">
        <f>IF(X4635=1,HLOOKUP(R4635,データについて!$J$12:$M$18,7,FALSE),"*")</f>
        <v>#N/A</v>
      </c>
      <c r="AD4635" s="81" t="e">
        <f>IF(X4635=2,HLOOKUP(R4635,データについて!$J$12:$M$18,7,FALSE),"*")</f>
        <v>#N/A</v>
      </c>
    </row>
    <row r="4636" spans="19:30">
      <c r="S4636" s="81" t="e">
        <f>HLOOKUP(L4636,データについて!$J$6:$M$18,13,FALSE)</f>
        <v>#N/A</v>
      </c>
      <c r="T4636" s="81" t="e">
        <f>HLOOKUP(M4636,データについて!$J$7:$M$18,12,FALSE)</f>
        <v>#N/A</v>
      </c>
      <c r="U4636" s="81" t="e">
        <f>HLOOKUP(N4636,データについて!$J$8:$M$18,11,FALSE)</f>
        <v>#N/A</v>
      </c>
      <c r="V4636" s="81" t="e">
        <f>HLOOKUP(O4636,データについて!$J$9:$M$18,10,FALSE)</f>
        <v>#N/A</v>
      </c>
      <c r="W4636" s="81" t="e">
        <f>HLOOKUP(P4636,データについて!$J$10:$M$18,9,FALSE)</f>
        <v>#N/A</v>
      </c>
      <c r="X4636" s="81" t="e">
        <f>HLOOKUP(Q4636,データについて!$J$11:$M$18,8,FALSE)</f>
        <v>#N/A</v>
      </c>
      <c r="Y4636" s="81" t="e">
        <f>HLOOKUP(R4636,データについて!$J$12:$M$18,7,FALSE)</f>
        <v>#N/A</v>
      </c>
      <c r="Z4636" s="81" t="e">
        <f>HLOOKUP(I4636,データについて!$J$3:$M$18,16,FALSE)</f>
        <v>#N/A</v>
      </c>
      <c r="AA4636" s="81" t="str">
        <f>IFERROR(HLOOKUP(J4636,データについて!$J$4:$AH$19,16,FALSE),"")</f>
        <v/>
      </c>
      <c r="AB4636" s="81" t="str">
        <f>IFERROR(HLOOKUP(K4636,データについて!$J$5:$AH$20,14,FALSE),"")</f>
        <v/>
      </c>
      <c r="AC4636" s="81" t="e">
        <f>IF(X4636=1,HLOOKUP(R4636,データについて!$J$12:$M$18,7,FALSE),"*")</f>
        <v>#N/A</v>
      </c>
      <c r="AD4636" s="81" t="e">
        <f>IF(X4636=2,HLOOKUP(R4636,データについて!$J$12:$M$18,7,FALSE),"*")</f>
        <v>#N/A</v>
      </c>
    </row>
    <row r="4637" spans="19:30">
      <c r="S4637" s="81" t="e">
        <f>HLOOKUP(L4637,データについて!$J$6:$M$18,13,FALSE)</f>
        <v>#N/A</v>
      </c>
      <c r="T4637" s="81" t="e">
        <f>HLOOKUP(M4637,データについて!$J$7:$M$18,12,FALSE)</f>
        <v>#N/A</v>
      </c>
      <c r="U4637" s="81" t="e">
        <f>HLOOKUP(N4637,データについて!$J$8:$M$18,11,FALSE)</f>
        <v>#N/A</v>
      </c>
      <c r="V4637" s="81" t="e">
        <f>HLOOKUP(O4637,データについて!$J$9:$M$18,10,FALSE)</f>
        <v>#N/A</v>
      </c>
      <c r="W4637" s="81" t="e">
        <f>HLOOKUP(P4637,データについて!$J$10:$M$18,9,FALSE)</f>
        <v>#N/A</v>
      </c>
      <c r="X4637" s="81" t="e">
        <f>HLOOKUP(Q4637,データについて!$J$11:$M$18,8,FALSE)</f>
        <v>#N/A</v>
      </c>
      <c r="Y4637" s="81" t="e">
        <f>HLOOKUP(R4637,データについて!$J$12:$M$18,7,FALSE)</f>
        <v>#N/A</v>
      </c>
      <c r="Z4637" s="81" t="e">
        <f>HLOOKUP(I4637,データについて!$J$3:$M$18,16,FALSE)</f>
        <v>#N/A</v>
      </c>
      <c r="AA4637" s="81" t="str">
        <f>IFERROR(HLOOKUP(J4637,データについて!$J$4:$AH$19,16,FALSE),"")</f>
        <v/>
      </c>
      <c r="AB4637" s="81" t="str">
        <f>IFERROR(HLOOKUP(K4637,データについて!$J$5:$AH$20,14,FALSE),"")</f>
        <v/>
      </c>
      <c r="AC4637" s="81" t="e">
        <f>IF(X4637=1,HLOOKUP(R4637,データについて!$J$12:$M$18,7,FALSE),"*")</f>
        <v>#N/A</v>
      </c>
      <c r="AD4637" s="81" t="e">
        <f>IF(X4637=2,HLOOKUP(R4637,データについて!$J$12:$M$18,7,FALSE),"*")</f>
        <v>#N/A</v>
      </c>
    </row>
    <row r="4638" spans="19:30">
      <c r="S4638" s="81" t="e">
        <f>HLOOKUP(L4638,データについて!$J$6:$M$18,13,FALSE)</f>
        <v>#N/A</v>
      </c>
      <c r="T4638" s="81" t="e">
        <f>HLOOKUP(M4638,データについて!$J$7:$M$18,12,FALSE)</f>
        <v>#N/A</v>
      </c>
      <c r="U4638" s="81" t="e">
        <f>HLOOKUP(N4638,データについて!$J$8:$M$18,11,FALSE)</f>
        <v>#N/A</v>
      </c>
      <c r="V4638" s="81" t="e">
        <f>HLOOKUP(O4638,データについて!$J$9:$M$18,10,FALSE)</f>
        <v>#N/A</v>
      </c>
      <c r="W4638" s="81" t="e">
        <f>HLOOKUP(P4638,データについて!$J$10:$M$18,9,FALSE)</f>
        <v>#N/A</v>
      </c>
      <c r="X4638" s="81" t="e">
        <f>HLOOKUP(Q4638,データについて!$J$11:$M$18,8,FALSE)</f>
        <v>#N/A</v>
      </c>
      <c r="Y4638" s="81" t="e">
        <f>HLOOKUP(R4638,データについて!$J$12:$M$18,7,FALSE)</f>
        <v>#N/A</v>
      </c>
      <c r="Z4638" s="81" t="e">
        <f>HLOOKUP(I4638,データについて!$J$3:$M$18,16,FALSE)</f>
        <v>#N/A</v>
      </c>
      <c r="AA4638" s="81" t="str">
        <f>IFERROR(HLOOKUP(J4638,データについて!$J$4:$AH$19,16,FALSE),"")</f>
        <v/>
      </c>
      <c r="AB4638" s="81" t="str">
        <f>IFERROR(HLOOKUP(K4638,データについて!$J$5:$AH$20,14,FALSE),"")</f>
        <v/>
      </c>
      <c r="AC4638" s="81" t="e">
        <f>IF(X4638=1,HLOOKUP(R4638,データについて!$J$12:$M$18,7,FALSE),"*")</f>
        <v>#N/A</v>
      </c>
      <c r="AD4638" s="81" t="e">
        <f>IF(X4638=2,HLOOKUP(R4638,データについて!$J$12:$M$18,7,FALSE),"*")</f>
        <v>#N/A</v>
      </c>
    </row>
    <row r="4639" spans="19:30">
      <c r="S4639" s="81" t="e">
        <f>HLOOKUP(L4639,データについて!$J$6:$M$18,13,FALSE)</f>
        <v>#N/A</v>
      </c>
      <c r="T4639" s="81" t="e">
        <f>HLOOKUP(M4639,データについて!$J$7:$M$18,12,FALSE)</f>
        <v>#N/A</v>
      </c>
      <c r="U4639" s="81" t="e">
        <f>HLOOKUP(N4639,データについて!$J$8:$M$18,11,FALSE)</f>
        <v>#N/A</v>
      </c>
      <c r="V4639" s="81" t="e">
        <f>HLOOKUP(O4639,データについて!$J$9:$M$18,10,FALSE)</f>
        <v>#N/A</v>
      </c>
      <c r="W4639" s="81" t="e">
        <f>HLOOKUP(P4639,データについて!$J$10:$M$18,9,FALSE)</f>
        <v>#N/A</v>
      </c>
      <c r="X4639" s="81" t="e">
        <f>HLOOKUP(Q4639,データについて!$J$11:$M$18,8,FALSE)</f>
        <v>#N/A</v>
      </c>
      <c r="Y4639" s="81" t="e">
        <f>HLOOKUP(R4639,データについて!$J$12:$M$18,7,FALSE)</f>
        <v>#N/A</v>
      </c>
      <c r="Z4639" s="81" t="e">
        <f>HLOOKUP(I4639,データについて!$J$3:$M$18,16,FALSE)</f>
        <v>#N/A</v>
      </c>
      <c r="AA4639" s="81" t="str">
        <f>IFERROR(HLOOKUP(J4639,データについて!$J$4:$AH$19,16,FALSE),"")</f>
        <v/>
      </c>
      <c r="AB4639" s="81" t="str">
        <f>IFERROR(HLOOKUP(K4639,データについて!$J$5:$AH$20,14,FALSE),"")</f>
        <v/>
      </c>
      <c r="AC4639" s="81" t="e">
        <f>IF(X4639=1,HLOOKUP(R4639,データについて!$J$12:$M$18,7,FALSE),"*")</f>
        <v>#N/A</v>
      </c>
      <c r="AD4639" s="81" t="e">
        <f>IF(X4639=2,HLOOKUP(R4639,データについて!$J$12:$M$18,7,FALSE),"*")</f>
        <v>#N/A</v>
      </c>
    </row>
    <row r="4640" spans="19:30">
      <c r="S4640" s="81" t="e">
        <f>HLOOKUP(L4640,データについて!$J$6:$M$18,13,FALSE)</f>
        <v>#N/A</v>
      </c>
      <c r="T4640" s="81" t="e">
        <f>HLOOKUP(M4640,データについて!$J$7:$M$18,12,FALSE)</f>
        <v>#N/A</v>
      </c>
      <c r="U4640" s="81" t="e">
        <f>HLOOKUP(N4640,データについて!$J$8:$M$18,11,FALSE)</f>
        <v>#N/A</v>
      </c>
      <c r="V4640" s="81" t="e">
        <f>HLOOKUP(O4640,データについて!$J$9:$M$18,10,FALSE)</f>
        <v>#N/A</v>
      </c>
      <c r="W4640" s="81" t="e">
        <f>HLOOKUP(P4640,データについて!$J$10:$M$18,9,FALSE)</f>
        <v>#N/A</v>
      </c>
      <c r="X4640" s="81" t="e">
        <f>HLOOKUP(Q4640,データについて!$J$11:$M$18,8,FALSE)</f>
        <v>#N/A</v>
      </c>
      <c r="Y4640" s="81" t="e">
        <f>HLOOKUP(R4640,データについて!$J$12:$M$18,7,FALSE)</f>
        <v>#N/A</v>
      </c>
      <c r="Z4640" s="81" t="e">
        <f>HLOOKUP(I4640,データについて!$J$3:$M$18,16,FALSE)</f>
        <v>#N/A</v>
      </c>
      <c r="AA4640" s="81" t="str">
        <f>IFERROR(HLOOKUP(J4640,データについて!$J$4:$AH$19,16,FALSE),"")</f>
        <v/>
      </c>
      <c r="AB4640" s="81" t="str">
        <f>IFERROR(HLOOKUP(K4640,データについて!$J$5:$AH$20,14,FALSE),"")</f>
        <v/>
      </c>
      <c r="AC4640" s="81" t="e">
        <f>IF(X4640=1,HLOOKUP(R4640,データについて!$J$12:$M$18,7,FALSE),"*")</f>
        <v>#N/A</v>
      </c>
      <c r="AD4640" s="81" t="e">
        <f>IF(X4640=2,HLOOKUP(R4640,データについて!$J$12:$M$18,7,FALSE),"*")</f>
        <v>#N/A</v>
      </c>
    </row>
    <row r="4641" spans="19:30">
      <c r="S4641" s="81" t="e">
        <f>HLOOKUP(L4641,データについて!$J$6:$M$18,13,FALSE)</f>
        <v>#N/A</v>
      </c>
      <c r="T4641" s="81" t="e">
        <f>HLOOKUP(M4641,データについて!$J$7:$M$18,12,FALSE)</f>
        <v>#N/A</v>
      </c>
      <c r="U4641" s="81" t="e">
        <f>HLOOKUP(N4641,データについて!$J$8:$M$18,11,FALSE)</f>
        <v>#N/A</v>
      </c>
      <c r="V4641" s="81" t="e">
        <f>HLOOKUP(O4641,データについて!$J$9:$M$18,10,FALSE)</f>
        <v>#N/A</v>
      </c>
      <c r="W4641" s="81" t="e">
        <f>HLOOKUP(P4641,データについて!$J$10:$M$18,9,FALSE)</f>
        <v>#N/A</v>
      </c>
      <c r="X4641" s="81" t="e">
        <f>HLOOKUP(Q4641,データについて!$J$11:$M$18,8,FALSE)</f>
        <v>#N/A</v>
      </c>
      <c r="Y4641" s="81" t="e">
        <f>HLOOKUP(R4641,データについて!$J$12:$M$18,7,FALSE)</f>
        <v>#N/A</v>
      </c>
      <c r="Z4641" s="81" t="e">
        <f>HLOOKUP(I4641,データについて!$J$3:$M$18,16,FALSE)</f>
        <v>#N/A</v>
      </c>
      <c r="AA4641" s="81" t="str">
        <f>IFERROR(HLOOKUP(J4641,データについて!$J$4:$AH$19,16,FALSE),"")</f>
        <v/>
      </c>
      <c r="AB4641" s="81" t="str">
        <f>IFERROR(HLOOKUP(K4641,データについて!$J$5:$AH$20,14,FALSE),"")</f>
        <v/>
      </c>
      <c r="AC4641" s="81" t="e">
        <f>IF(X4641=1,HLOOKUP(R4641,データについて!$J$12:$M$18,7,FALSE),"*")</f>
        <v>#N/A</v>
      </c>
      <c r="AD4641" s="81" t="e">
        <f>IF(X4641=2,HLOOKUP(R4641,データについて!$J$12:$M$18,7,FALSE),"*")</f>
        <v>#N/A</v>
      </c>
    </row>
    <row r="4642" spans="19:30">
      <c r="S4642" s="81" t="e">
        <f>HLOOKUP(L4642,データについて!$J$6:$M$18,13,FALSE)</f>
        <v>#N/A</v>
      </c>
      <c r="T4642" s="81" t="e">
        <f>HLOOKUP(M4642,データについて!$J$7:$M$18,12,FALSE)</f>
        <v>#N/A</v>
      </c>
      <c r="U4642" s="81" t="e">
        <f>HLOOKUP(N4642,データについて!$J$8:$M$18,11,FALSE)</f>
        <v>#N/A</v>
      </c>
      <c r="V4642" s="81" t="e">
        <f>HLOOKUP(O4642,データについて!$J$9:$M$18,10,FALSE)</f>
        <v>#N/A</v>
      </c>
      <c r="W4642" s="81" t="e">
        <f>HLOOKUP(P4642,データについて!$J$10:$M$18,9,FALSE)</f>
        <v>#N/A</v>
      </c>
      <c r="X4642" s="81" t="e">
        <f>HLOOKUP(Q4642,データについて!$J$11:$M$18,8,FALSE)</f>
        <v>#N/A</v>
      </c>
      <c r="Y4642" s="81" t="e">
        <f>HLOOKUP(R4642,データについて!$J$12:$M$18,7,FALSE)</f>
        <v>#N/A</v>
      </c>
      <c r="Z4642" s="81" t="e">
        <f>HLOOKUP(I4642,データについて!$J$3:$M$18,16,FALSE)</f>
        <v>#N/A</v>
      </c>
      <c r="AA4642" s="81" t="str">
        <f>IFERROR(HLOOKUP(J4642,データについて!$J$4:$AH$19,16,FALSE),"")</f>
        <v/>
      </c>
      <c r="AB4642" s="81" t="str">
        <f>IFERROR(HLOOKUP(K4642,データについて!$J$5:$AH$20,14,FALSE),"")</f>
        <v/>
      </c>
      <c r="AC4642" s="81" t="e">
        <f>IF(X4642=1,HLOOKUP(R4642,データについて!$J$12:$M$18,7,FALSE),"*")</f>
        <v>#N/A</v>
      </c>
      <c r="AD4642" s="81" t="e">
        <f>IF(X4642=2,HLOOKUP(R4642,データについて!$J$12:$M$18,7,FALSE),"*")</f>
        <v>#N/A</v>
      </c>
    </row>
    <row r="4643" spans="19:30">
      <c r="S4643" s="81" t="e">
        <f>HLOOKUP(L4643,データについて!$J$6:$M$18,13,FALSE)</f>
        <v>#N/A</v>
      </c>
      <c r="T4643" s="81" t="e">
        <f>HLOOKUP(M4643,データについて!$J$7:$M$18,12,FALSE)</f>
        <v>#N/A</v>
      </c>
      <c r="U4643" s="81" t="e">
        <f>HLOOKUP(N4643,データについて!$J$8:$M$18,11,FALSE)</f>
        <v>#N/A</v>
      </c>
      <c r="V4643" s="81" t="e">
        <f>HLOOKUP(O4643,データについて!$J$9:$M$18,10,FALSE)</f>
        <v>#N/A</v>
      </c>
      <c r="W4643" s="81" t="e">
        <f>HLOOKUP(P4643,データについて!$J$10:$M$18,9,FALSE)</f>
        <v>#N/A</v>
      </c>
      <c r="X4643" s="81" t="e">
        <f>HLOOKUP(Q4643,データについて!$J$11:$M$18,8,FALSE)</f>
        <v>#N/A</v>
      </c>
      <c r="Y4643" s="81" t="e">
        <f>HLOOKUP(R4643,データについて!$J$12:$M$18,7,FALSE)</f>
        <v>#N/A</v>
      </c>
      <c r="Z4643" s="81" t="e">
        <f>HLOOKUP(I4643,データについて!$J$3:$M$18,16,FALSE)</f>
        <v>#N/A</v>
      </c>
      <c r="AA4643" s="81" t="str">
        <f>IFERROR(HLOOKUP(J4643,データについて!$J$4:$AH$19,16,FALSE),"")</f>
        <v/>
      </c>
      <c r="AB4643" s="81" t="str">
        <f>IFERROR(HLOOKUP(K4643,データについて!$J$5:$AH$20,14,FALSE),"")</f>
        <v/>
      </c>
      <c r="AC4643" s="81" t="e">
        <f>IF(X4643=1,HLOOKUP(R4643,データについて!$J$12:$M$18,7,FALSE),"*")</f>
        <v>#N/A</v>
      </c>
      <c r="AD4643" s="81" t="e">
        <f>IF(X4643=2,HLOOKUP(R4643,データについて!$J$12:$M$18,7,FALSE),"*")</f>
        <v>#N/A</v>
      </c>
    </row>
    <row r="4644" spans="19:30">
      <c r="S4644" s="81" t="e">
        <f>HLOOKUP(L4644,データについて!$J$6:$M$18,13,FALSE)</f>
        <v>#N/A</v>
      </c>
      <c r="T4644" s="81" t="e">
        <f>HLOOKUP(M4644,データについて!$J$7:$M$18,12,FALSE)</f>
        <v>#N/A</v>
      </c>
      <c r="U4644" s="81" t="e">
        <f>HLOOKUP(N4644,データについて!$J$8:$M$18,11,FALSE)</f>
        <v>#N/A</v>
      </c>
      <c r="V4644" s="81" t="e">
        <f>HLOOKUP(O4644,データについて!$J$9:$M$18,10,FALSE)</f>
        <v>#N/A</v>
      </c>
      <c r="W4644" s="81" t="e">
        <f>HLOOKUP(P4644,データについて!$J$10:$M$18,9,FALSE)</f>
        <v>#N/A</v>
      </c>
      <c r="X4644" s="81" t="e">
        <f>HLOOKUP(Q4644,データについて!$J$11:$M$18,8,FALSE)</f>
        <v>#N/A</v>
      </c>
      <c r="Y4644" s="81" t="e">
        <f>HLOOKUP(R4644,データについて!$J$12:$M$18,7,FALSE)</f>
        <v>#N/A</v>
      </c>
      <c r="Z4644" s="81" t="e">
        <f>HLOOKUP(I4644,データについて!$J$3:$M$18,16,FALSE)</f>
        <v>#N/A</v>
      </c>
      <c r="AA4644" s="81" t="str">
        <f>IFERROR(HLOOKUP(J4644,データについて!$J$4:$AH$19,16,FALSE),"")</f>
        <v/>
      </c>
      <c r="AB4644" s="81" t="str">
        <f>IFERROR(HLOOKUP(K4644,データについて!$J$5:$AH$20,14,FALSE),"")</f>
        <v/>
      </c>
      <c r="AC4644" s="81" t="e">
        <f>IF(X4644=1,HLOOKUP(R4644,データについて!$J$12:$M$18,7,FALSE),"*")</f>
        <v>#N/A</v>
      </c>
      <c r="AD4644" s="81" t="e">
        <f>IF(X4644=2,HLOOKUP(R4644,データについて!$J$12:$M$18,7,FALSE),"*")</f>
        <v>#N/A</v>
      </c>
    </row>
    <row r="4645" spans="19:30">
      <c r="S4645" s="81" t="e">
        <f>HLOOKUP(L4645,データについて!$J$6:$M$18,13,FALSE)</f>
        <v>#N/A</v>
      </c>
      <c r="T4645" s="81" t="e">
        <f>HLOOKUP(M4645,データについて!$J$7:$M$18,12,FALSE)</f>
        <v>#N/A</v>
      </c>
      <c r="U4645" s="81" t="e">
        <f>HLOOKUP(N4645,データについて!$J$8:$M$18,11,FALSE)</f>
        <v>#N/A</v>
      </c>
      <c r="V4645" s="81" t="e">
        <f>HLOOKUP(O4645,データについて!$J$9:$M$18,10,FALSE)</f>
        <v>#N/A</v>
      </c>
      <c r="W4645" s="81" t="e">
        <f>HLOOKUP(P4645,データについて!$J$10:$M$18,9,FALSE)</f>
        <v>#N/A</v>
      </c>
      <c r="X4645" s="81" t="e">
        <f>HLOOKUP(Q4645,データについて!$J$11:$M$18,8,FALSE)</f>
        <v>#N/A</v>
      </c>
      <c r="Y4645" s="81" t="e">
        <f>HLOOKUP(R4645,データについて!$J$12:$M$18,7,FALSE)</f>
        <v>#N/A</v>
      </c>
      <c r="Z4645" s="81" t="e">
        <f>HLOOKUP(I4645,データについて!$J$3:$M$18,16,FALSE)</f>
        <v>#N/A</v>
      </c>
      <c r="AA4645" s="81" t="str">
        <f>IFERROR(HLOOKUP(J4645,データについて!$J$4:$AH$19,16,FALSE),"")</f>
        <v/>
      </c>
      <c r="AB4645" s="81" t="str">
        <f>IFERROR(HLOOKUP(K4645,データについて!$J$5:$AH$20,14,FALSE),"")</f>
        <v/>
      </c>
      <c r="AC4645" s="81" t="e">
        <f>IF(X4645=1,HLOOKUP(R4645,データについて!$J$12:$M$18,7,FALSE),"*")</f>
        <v>#N/A</v>
      </c>
      <c r="AD4645" s="81" t="e">
        <f>IF(X4645=2,HLOOKUP(R4645,データについて!$J$12:$M$18,7,FALSE),"*")</f>
        <v>#N/A</v>
      </c>
    </row>
    <row r="4646" spans="19:30">
      <c r="S4646" s="81" t="e">
        <f>HLOOKUP(L4646,データについて!$J$6:$M$18,13,FALSE)</f>
        <v>#N/A</v>
      </c>
      <c r="T4646" s="81" t="e">
        <f>HLOOKUP(M4646,データについて!$J$7:$M$18,12,FALSE)</f>
        <v>#N/A</v>
      </c>
      <c r="U4646" s="81" t="e">
        <f>HLOOKUP(N4646,データについて!$J$8:$M$18,11,FALSE)</f>
        <v>#N/A</v>
      </c>
      <c r="V4646" s="81" t="e">
        <f>HLOOKUP(O4646,データについて!$J$9:$M$18,10,FALSE)</f>
        <v>#N/A</v>
      </c>
      <c r="W4646" s="81" t="e">
        <f>HLOOKUP(P4646,データについて!$J$10:$M$18,9,FALSE)</f>
        <v>#N/A</v>
      </c>
      <c r="X4646" s="81" t="e">
        <f>HLOOKUP(Q4646,データについて!$J$11:$M$18,8,FALSE)</f>
        <v>#N/A</v>
      </c>
      <c r="Y4646" s="81" t="e">
        <f>HLOOKUP(R4646,データについて!$J$12:$M$18,7,FALSE)</f>
        <v>#N/A</v>
      </c>
      <c r="Z4646" s="81" t="e">
        <f>HLOOKUP(I4646,データについて!$J$3:$M$18,16,FALSE)</f>
        <v>#N/A</v>
      </c>
      <c r="AA4646" s="81" t="str">
        <f>IFERROR(HLOOKUP(J4646,データについて!$J$4:$AH$19,16,FALSE),"")</f>
        <v/>
      </c>
      <c r="AB4646" s="81" t="str">
        <f>IFERROR(HLOOKUP(K4646,データについて!$J$5:$AH$20,14,FALSE),"")</f>
        <v/>
      </c>
      <c r="AC4646" s="81" t="e">
        <f>IF(X4646=1,HLOOKUP(R4646,データについて!$J$12:$M$18,7,FALSE),"*")</f>
        <v>#N/A</v>
      </c>
      <c r="AD4646" s="81" t="e">
        <f>IF(X4646=2,HLOOKUP(R4646,データについて!$J$12:$M$18,7,FALSE),"*")</f>
        <v>#N/A</v>
      </c>
    </row>
    <row r="4647" spans="19:30">
      <c r="S4647" s="81" t="e">
        <f>HLOOKUP(L4647,データについて!$J$6:$M$18,13,FALSE)</f>
        <v>#N/A</v>
      </c>
      <c r="T4647" s="81" t="e">
        <f>HLOOKUP(M4647,データについて!$J$7:$M$18,12,FALSE)</f>
        <v>#N/A</v>
      </c>
      <c r="U4647" s="81" t="e">
        <f>HLOOKUP(N4647,データについて!$J$8:$M$18,11,FALSE)</f>
        <v>#N/A</v>
      </c>
      <c r="V4647" s="81" t="e">
        <f>HLOOKUP(O4647,データについて!$J$9:$M$18,10,FALSE)</f>
        <v>#N/A</v>
      </c>
      <c r="W4647" s="81" t="e">
        <f>HLOOKUP(P4647,データについて!$J$10:$M$18,9,FALSE)</f>
        <v>#N/A</v>
      </c>
      <c r="X4647" s="81" t="e">
        <f>HLOOKUP(Q4647,データについて!$J$11:$M$18,8,FALSE)</f>
        <v>#N/A</v>
      </c>
      <c r="Y4647" s="81" t="e">
        <f>HLOOKUP(R4647,データについて!$J$12:$M$18,7,FALSE)</f>
        <v>#N/A</v>
      </c>
      <c r="Z4647" s="81" t="e">
        <f>HLOOKUP(I4647,データについて!$J$3:$M$18,16,FALSE)</f>
        <v>#N/A</v>
      </c>
      <c r="AA4647" s="81" t="str">
        <f>IFERROR(HLOOKUP(J4647,データについて!$J$4:$AH$19,16,FALSE),"")</f>
        <v/>
      </c>
      <c r="AB4647" s="81" t="str">
        <f>IFERROR(HLOOKUP(K4647,データについて!$J$5:$AH$20,14,FALSE),"")</f>
        <v/>
      </c>
      <c r="AC4647" s="81" t="e">
        <f>IF(X4647=1,HLOOKUP(R4647,データについて!$J$12:$M$18,7,FALSE),"*")</f>
        <v>#N/A</v>
      </c>
      <c r="AD4647" s="81" t="e">
        <f>IF(X4647=2,HLOOKUP(R4647,データについて!$J$12:$M$18,7,FALSE),"*")</f>
        <v>#N/A</v>
      </c>
    </row>
    <row r="4648" spans="19:30">
      <c r="S4648" s="81" t="e">
        <f>HLOOKUP(L4648,データについて!$J$6:$M$18,13,FALSE)</f>
        <v>#N/A</v>
      </c>
      <c r="T4648" s="81" t="e">
        <f>HLOOKUP(M4648,データについて!$J$7:$M$18,12,FALSE)</f>
        <v>#N/A</v>
      </c>
      <c r="U4648" s="81" t="e">
        <f>HLOOKUP(N4648,データについて!$J$8:$M$18,11,FALSE)</f>
        <v>#N/A</v>
      </c>
      <c r="V4648" s="81" t="e">
        <f>HLOOKUP(O4648,データについて!$J$9:$M$18,10,FALSE)</f>
        <v>#N/A</v>
      </c>
      <c r="W4648" s="81" t="e">
        <f>HLOOKUP(P4648,データについて!$J$10:$M$18,9,FALSE)</f>
        <v>#N/A</v>
      </c>
      <c r="X4648" s="81" t="e">
        <f>HLOOKUP(Q4648,データについて!$J$11:$M$18,8,FALSE)</f>
        <v>#N/A</v>
      </c>
      <c r="Y4648" s="81" t="e">
        <f>HLOOKUP(R4648,データについて!$J$12:$M$18,7,FALSE)</f>
        <v>#N/A</v>
      </c>
      <c r="Z4648" s="81" t="e">
        <f>HLOOKUP(I4648,データについて!$J$3:$M$18,16,FALSE)</f>
        <v>#N/A</v>
      </c>
      <c r="AA4648" s="81" t="str">
        <f>IFERROR(HLOOKUP(J4648,データについて!$J$4:$AH$19,16,FALSE),"")</f>
        <v/>
      </c>
      <c r="AB4648" s="81" t="str">
        <f>IFERROR(HLOOKUP(K4648,データについて!$J$5:$AH$20,14,FALSE),"")</f>
        <v/>
      </c>
      <c r="AC4648" s="81" t="e">
        <f>IF(X4648=1,HLOOKUP(R4648,データについて!$J$12:$M$18,7,FALSE),"*")</f>
        <v>#N/A</v>
      </c>
      <c r="AD4648" s="81" t="e">
        <f>IF(X4648=2,HLOOKUP(R4648,データについて!$J$12:$M$18,7,FALSE),"*")</f>
        <v>#N/A</v>
      </c>
    </row>
    <row r="4649" spans="19:30">
      <c r="S4649" s="81" t="e">
        <f>HLOOKUP(L4649,データについて!$J$6:$M$18,13,FALSE)</f>
        <v>#N/A</v>
      </c>
      <c r="T4649" s="81" t="e">
        <f>HLOOKUP(M4649,データについて!$J$7:$M$18,12,FALSE)</f>
        <v>#N/A</v>
      </c>
      <c r="U4649" s="81" t="e">
        <f>HLOOKUP(N4649,データについて!$J$8:$M$18,11,FALSE)</f>
        <v>#N/A</v>
      </c>
      <c r="V4649" s="81" t="e">
        <f>HLOOKUP(O4649,データについて!$J$9:$M$18,10,FALSE)</f>
        <v>#N/A</v>
      </c>
      <c r="W4649" s="81" t="e">
        <f>HLOOKUP(P4649,データについて!$J$10:$M$18,9,FALSE)</f>
        <v>#N/A</v>
      </c>
      <c r="X4649" s="81" t="e">
        <f>HLOOKUP(Q4649,データについて!$J$11:$M$18,8,FALSE)</f>
        <v>#N/A</v>
      </c>
      <c r="Y4649" s="81" t="e">
        <f>HLOOKUP(R4649,データについて!$J$12:$M$18,7,FALSE)</f>
        <v>#N/A</v>
      </c>
      <c r="Z4649" s="81" t="e">
        <f>HLOOKUP(I4649,データについて!$J$3:$M$18,16,FALSE)</f>
        <v>#N/A</v>
      </c>
      <c r="AA4649" s="81" t="str">
        <f>IFERROR(HLOOKUP(J4649,データについて!$J$4:$AH$19,16,FALSE),"")</f>
        <v/>
      </c>
      <c r="AB4649" s="81" t="str">
        <f>IFERROR(HLOOKUP(K4649,データについて!$J$5:$AH$20,14,FALSE),"")</f>
        <v/>
      </c>
      <c r="AC4649" s="81" t="e">
        <f>IF(X4649=1,HLOOKUP(R4649,データについて!$J$12:$M$18,7,FALSE),"*")</f>
        <v>#N/A</v>
      </c>
      <c r="AD4649" s="81" t="e">
        <f>IF(X4649=2,HLOOKUP(R4649,データについて!$J$12:$M$18,7,FALSE),"*")</f>
        <v>#N/A</v>
      </c>
    </row>
    <row r="4650" spans="19:30">
      <c r="S4650" s="81" t="e">
        <f>HLOOKUP(L4650,データについて!$J$6:$M$18,13,FALSE)</f>
        <v>#N/A</v>
      </c>
      <c r="T4650" s="81" t="e">
        <f>HLOOKUP(M4650,データについて!$J$7:$M$18,12,FALSE)</f>
        <v>#N/A</v>
      </c>
      <c r="U4650" s="81" t="e">
        <f>HLOOKUP(N4650,データについて!$J$8:$M$18,11,FALSE)</f>
        <v>#N/A</v>
      </c>
      <c r="V4650" s="81" t="e">
        <f>HLOOKUP(O4650,データについて!$J$9:$M$18,10,FALSE)</f>
        <v>#N/A</v>
      </c>
      <c r="W4650" s="81" t="e">
        <f>HLOOKUP(P4650,データについて!$J$10:$M$18,9,FALSE)</f>
        <v>#N/A</v>
      </c>
      <c r="X4650" s="81" t="e">
        <f>HLOOKUP(Q4650,データについて!$J$11:$M$18,8,FALSE)</f>
        <v>#N/A</v>
      </c>
      <c r="Y4650" s="81" t="e">
        <f>HLOOKUP(R4650,データについて!$J$12:$M$18,7,FALSE)</f>
        <v>#N/A</v>
      </c>
      <c r="Z4650" s="81" t="e">
        <f>HLOOKUP(I4650,データについて!$J$3:$M$18,16,FALSE)</f>
        <v>#N/A</v>
      </c>
      <c r="AA4650" s="81" t="str">
        <f>IFERROR(HLOOKUP(J4650,データについて!$J$4:$AH$19,16,FALSE),"")</f>
        <v/>
      </c>
      <c r="AB4650" s="81" t="str">
        <f>IFERROR(HLOOKUP(K4650,データについて!$J$5:$AH$20,14,FALSE),"")</f>
        <v/>
      </c>
      <c r="AC4650" s="81" t="e">
        <f>IF(X4650=1,HLOOKUP(R4650,データについて!$J$12:$M$18,7,FALSE),"*")</f>
        <v>#N/A</v>
      </c>
      <c r="AD4650" s="81" t="e">
        <f>IF(X4650=2,HLOOKUP(R4650,データについて!$J$12:$M$18,7,FALSE),"*")</f>
        <v>#N/A</v>
      </c>
    </row>
    <row r="4651" spans="19:30">
      <c r="S4651" s="81" t="e">
        <f>HLOOKUP(L4651,データについて!$J$6:$M$18,13,FALSE)</f>
        <v>#N/A</v>
      </c>
      <c r="T4651" s="81" t="e">
        <f>HLOOKUP(M4651,データについて!$J$7:$M$18,12,FALSE)</f>
        <v>#N/A</v>
      </c>
      <c r="U4651" s="81" t="e">
        <f>HLOOKUP(N4651,データについて!$J$8:$M$18,11,FALSE)</f>
        <v>#N/A</v>
      </c>
      <c r="V4651" s="81" t="e">
        <f>HLOOKUP(O4651,データについて!$J$9:$M$18,10,FALSE)</f>
        <v>#N/A</v>
      </c>
      <c r="W4651" s="81" t="e">
        <f>HLOOKUP(P4651,データについて!$J$10:$M$18,9,FALSE)</f>
        <v>#N/A</v>
      </c>
      <c r="X4651" s="81" t="e">
        <f>HLOOKUP(Q4651,データについて!$J$11:$M$18,8,FALSE)</f>
        <v>#N/A</v>
      </c>
      <c r="Y4651" s="81" t="e">
        <f>HLOOKUP(R4651,データについて!$J$12:$M$18,7,FALSE)</f>
        <v>#N/A</v>
      </c>
      <c r="Z4651" s="81" t="e">
        <f>HLOOKUP(I4651,データについて!$J$3:$M$18,16,FALSE)</f>
        <v>#N/A</v>
      </c>
      <c r="AA4651" s="81" t="str">
        <f>IFERROR(HLOOKUP(J4651,データについて!$J$4:$AH$19,16,FALSE),"")</f>
        <v/>
      </c>
      <c r="AB4651" s="81" t="str">
        <f>IFERROR(HLOOKUP(K4651,データについて!$J$5:$AH$20,14,FALSE),"")</f>
        <v/>
      </c>
      <c r="AC4651" s="81" t="e">
        <f>IF(X4651=1,HLOOKUP(R4651,データについて!$J$12:$M$18,7,FALSE),"*")</f>
        <v>#N/A</v>
      </c>
      <c r="AD4651" s="81" t="e">
        <f>IF(X4651=2,HLOOKUP(R4651,データについて!$J$12:$M$18,7,FALSE),"*")</f>
        <v>#N/A</v>
      </c>
    </row>
    <row r="4652" spans="19:30">
      <c r="S4652" s="81" t="e">
        <f>HLOOKUP(L4652,データについて!$J$6:$M$18,13,FALSE)</f>
        <v>#N/A</v>
      </c>
      <c r="T4652" s="81" t="e">
        <f>HLOOKUP(M4652,データについて!$J$7:$M$18,12,FALSE)</f>
        <v>#N/A</v>
      </c>
      <c r="U4652" s="81" t="e">
        <f>HLOOKUP(N4652,データについて!$J$8:$M$18,11,FALSE)</f>
        <v>#N/A</v>
      </c>
      <c r="V4652" s="81" t="e">
        <f>HLOOKUP(O4652,データについて!$J$9:$M$18,10,FALSE)</f>
        <v>#N/A</v>
      </c>
      <c r="W4652" s="81" t="e">
        <f>HLOOKUP(P4652,データについて!$J$10:$M$18,9,FALSE)</f>
        <v>#N/A</v>
      </c>
      <c r="X4652" s="81" t="e">
        <f>HLOOKUP(Q4652,データについて!$J$11:$M$18,8,FALSE)</f>
        <v>#N/A</v>
      </c>
      <c r="Y4652" s="81" t="e">
        <f>HLOOKUP(R4652,データについて!$J$12:$M$18,7,FALSE)</f>
        <v>#N/A</v>
      </c>
      <c r="Z4652" s="81" t="e">
        <f>HLOOKUP(I4652,データについて!$J$3:$M$18,16,FALSE)</f>
        <v>#N/A</v>
      </c>
      <c r="AA4652" s="81" t="str">
        <f>IFERROR(HLOOKUP(J4652,データについて!$J$4:$AH$19,16,FALSE),"")</f>
        <v/>
      </c>
      <c r="AB4652" s="81" t="str">
        <f>IFERROR(HLOOKUP(K4652,データについて!$J$5:$AH$20,14,FALSE),"")</f>
        <v/>
      </c>
      <c r="AC4652" s="81" t="e">
        <f>IF(X4652=1,HLOOKUP(R4652,データについて!$J$12:$M$18,7,FALSE),"*")</f>
        <v>#N/A</v>
      </c>
      <c r="AD4652" s="81" t="e">
        <f>IF(X4652=2,HLOOKUP(R4652,データについて!$J$12:$M$18,7,FALSE),"*")</f>
        <v>#N/A</v>
      </c>
    </row>
    <row r="4653" spans="19:30">
      <c r="S4653" s="81" t="e">
        <f>HLOOKUP(L4653,データについて!$J$6:$M$18,13,FALSE)</f>
        <v>#N/A</v>
      </c>
      <c r="T4653" s="81" t="e">
        <f>HLOOKUP(M4653,データについて!$J$7:$M$18,12,FALSE)</f>
        <v>#N/A</v>
      </c>
      <c r="U4653" s="81" t="e">
        <f>HLOOKUP(N4653,データについて!$J$8:$M$18,11,FALSE)</f>
        <v>#N/A</v>
      </c>
      <c r="V4653" s="81" t="e">
        <f>HLOOKUP(O4653,データについて!$J$9:$M$18,10,FALSE)</f>
        <v>#N/A</v>
      </c>
      <c r="W4653" s="81" t="e">
        <f>HLOOKUP(P4653,データについて!$J$10:$M$18,9,FALSE)</f>
        <v>#N/A</v>
      </c>
      <c r="X4653" s="81" t="e">
        <f>HLOOKUP(Q4653,データについて!$J$11:$M$18,8,FALSE)</f>
        <v>#N/A</v>
      </c>
      <c r="Y4653" s="81" t="e">
        <f>HLOOKUP(R4653,データについて!$J$12:$M$18,7,FALSE)</f>
        <v>#N/A</v>
      </c>
      <c r="Z4653" s="81" t="e">
        <f>HLOOKUP(I4653,データについて!$J$3:$M$18,16,FALSE)</f>
        <v>#N/A</v>
      </c>
      <c r="AA4653" s="81" t="str">
        <f>IFERROR(HLOOKUP(J4653,データについて!$J$4:$AH$19,16,FALSE),"")</f>
        <v/>
      </c>
      <c r="AB4653" s="81" t="str">
        <f>IFERROR(HLOOKUP(K4653,データについて!$J$5:$AH$20,14,FALSE),"")</f>
        <v/>
      </c>
      <c r="AC4653" s="81" t="e">
        <f>IF(X4653=1,HLOOKUP(R4653,データについて!$J$12:$M$18,7,FALSE),"*")</f>
        <v>#N/A</v>
      </c>
      <c r="AD4653" s="81" t="e">
        <f>IF(X4653=2,HLOOKUP(R4653,データについて!$J$12:$M$18,7,FALSE),"*")</f>
        <v>#N/A</v>
      </c>
    </row>
    <row r="4654" spans="19:30">
      <c r="S4654" s="81" t="e">
        <f>HLOOKUP(L4654,データについて!$J$6:$M$18,13,FALSE)</f>
        <v>#N/A</v>
      </c>
      <c r="T4654" s="81" t="e">
        <f>HLOOKUP(M4654,データについて!$J$7:$M$18,12,FALSE)</f>
        <v>#N/A</v>
      </c>
      <c r="U4654" s="81" t="e">
        <f>HLOOKUP(N4654,データについて!$J$8:$M$18,11,FALSE)</f>
        <v>#N/A</v>
      </c>
      <c r="V4654" s="81" t="e">
        <f>HLOOKUP(O4654,データについて!$J$9:$M$18,10,FALSE)</f>
        <v>#N/A</v>
      </c>
      <c r="W4654" s="81" t="e">
        <f>HLOOKUP(P4654,データについて!$J$10:$M$18,9,FALSE)</f>
        <v>#N/A</v>
      </c>
      <c r="X4654" s="81" t="e">
        <f>HLOOKUP(Q4654,データについて!$J$11:$M$18,8,FALSE)</f>
        <v>#N/A</v>
      </c>
      <c r="Y4654" s="81" t="e">
        <f>HLOOKUP(R4654,データについて!$J$12:$M$18,7,FALSE)</f>
        <v>#N/A</v>
      </c>
      <c r="Z4654" s="81" t="e">
        <f>HLOOKUP(I4654,データについて!$J$3:$M$18,16,FALSE)</f>
        <v>#N/A</v>
      </c>
      <c r="AA4654" s="81" t="str">
        <f>IFERROR(HLOOKUP(J4654,データについて!$J$4:$AH$19,16,FALSE),"")</f>
        <v/>
      </c>
      <c r="AB4654" s="81" t="str">
        <f>IFERROR(HLOOKUP(K4654,データについて!$J$5:$AH$20,14,FALSE),"")</f>
        <v/>
      </c>
      <c r="AC4654" s="81" t="e">
        <f>IF(X4654=1,HLOOKUP(R4654,データについて!$J$12:$M$18,7,FALSE),"*")</f>
        <v>#N/A</v>
      </c>
      <c r="AD4654" s="81" t="e">
        <f>IF(X4654=2,HLOOKUP(R4654,データについて!$J$12:$M$18,7,FALSE),"*")</f>
        <v>#N/A</v>
      </c>
    </row>
    <row r="4655" spans="19:30">
      <c r="S4655" s="81" t="e">
        <f>HLOOKUP(L4655,データについて!$J$6:$M$18,13,FALSE)</f>
        <v>#N/A</v>
      </c>
      <c r="T4655" s="81" t="e">
        <f>HLOOKUP(M4655,データについて!$J$7:$M$18,12,FALSE)</f>
        <v>#N/A</v>
      </c>
      <c r="U4655" s="81" t="e">
        <f>HLOOKUP(N4655,データについて!$J$8:$M$18,11,FALSE)</f>
        <v>#N/A</v>
      </c>
      <c r="V4655" s="81" t="e">
        <f>HLOOKUP(O4655,データについて!$J$9:$M$18,10,FALSE)</f>
        <v>#N/A</v>
      </c>
      <c r="W4655" s="81" t="e">
        <f>HLOOKUP(P4655,データについて!$J$10:$M$18,9,FALSE)</f>
        <v>#N/A</v>
      </c>
      <c r="X4655" s="81" t="e">
        <f>HLOOKUP(Q4655,データについて!$J$11:$M$18,8,FALSE)</f>
        <v>#N/A</v>
      </c>
      <c r="Y4655" s="81" t="e">
        <f>HLOOKUP(R4655,データについて!$J$12:$M$18,7,FALSE)</f>
        <v>#N/A</v>
      </c>
      <c r="Z4655" s="81" t="e">
        <f>HLOOKUP(I4655,データについて!$J$3:$M$18,16,FALSE)</f>
        <v>#N/A</v>
      </c>
      <c r="AA4655" s="81" t="str">
        <f>IFERROR(HLOOKUP(J4655,データについて!$J$4:$AH$19,16,FALSE),"")</f>
        <v/>
      </c>
      <c r="AB4655" s="81" t="str">
        <f>IFERROR(HLOOKUP(K4655,データについて!$J$5:$AH$20,14,FALSE),"")</f>
        <v/>
      </c>
      <c r="AC4655" s="81" t="e">
        <f>IF(X4655=1,HLOOKUP(R4655,データについて!$J$12:$M$18,7,FALSE),"*")</f>
        <v>#N/A</v>
      </c>
      <c r="AD4655" s="81" t="e">
        <f>IF(X4655=2,HLOOKUP(R4655,データについて!$J$12:$M$18,7,FALSE),"*")</f>
        <v>#N/A</v>
      </c>
    </row>
    <row r="4656" spans="19:30">
      <c r="S4656" s="81" t="e">
        <f>HLOOKUP(L4656,データについて!$J$6:$M$18,13,FALSE)</f>
        <v>#N/A</v>
      </c>
      <c r="T4656" s="81" t="e">
        <f>HLOOKUP(M4656,データについて!$J$7:$M$18,12,FALSE)</f>
        <v>#N/A</v>
      </c>
      <c r="U4656" s="81" t="e">
        <f>HLOOKUP(N4656,データについて!$J$8:$M$18,11,FALSE)</f>
        <v>#N/A</v>
      </c>
      <c r="V4656" s="81" t="e">
        <f>HLOOKUP(O4656,データについて!$J$9:$M$18,10,FALSE)</f>
        <v>#N/A</v>
      </c>
      <c r="W4656" s="81" t="e">
        <f>HLOOKUP(P4656,データについて!$J$10:$M$18,9,FALSE)</f>
        <v>#N/A</v>
      </c>
      <c r="X4656" s="81" t="e">
        <f>HLOOKUP(Q4656,データについて!$J$11:$M$18,8,FALSE)</f>
        <v>#N/A</v>
      </c>
      <c r="Y4656" s="81" t="e">
        <f>HLOOKUP(R4656,データについて!$J$12:$M$18,7,FALSE)</f>
        <v>#N/A</v>
      </c>
      <c r="Z4656" s="81" t="e">
        <f>HLOOKUP(I4656,データについて!$J$3:$M$18,16,FALSE)</f>
        <v>#N/A</v>
      </c>
      <c r="AA4656" s="81" t="str">
        <f>IFERROR(HLOOKUP(J4656,データについて!$J$4:$AH$19,16,FALSE),"")</f>
        <v/>
      </c>
      <c r="AB4656" s="81" t="str">
        <f>IFERROR(HLOOKUP(K4656,データについて!$J$5:$AH$20,14,FALSE),"")</f>
        <v/>
      </c>
      <c r="AC4656" s="81" t="e">
        <f>IF(X4656=1,HLOOKUP(R4656,データについて!$J$12:$M$18,7,FALSE),"*")</f>
        <v>#N/A</v>
      </c>
      <c r="AD4656" s="81" t="e">
        <f>IF(X4656=2,HLOOKUP(R4656,データについて!$J$12:$M$18,7,FALSE),"*")</f>
        <v>#N/A</v>
      </c>
    </row>
    <row r="4657" spans="19:30">
      <c r="S4657" s="81" t="e">
        <f>HLOOKUP(L4657,データについて!$J$6:$M$18,13,FALSE)</f>
        <v>#N/A</v>
      </c>
      <c r="T4657" s="81" t="e">
        <f>HLOOKUP(M4657,データについて!$J$7:$M$18,12,FALSE)</f>
        <v>#N/A</v>
      </c>
      <c r="U4657" s="81" t="e">
        <f>HLOOKUP(N4657,データについて!$J$8:$M$18,11,FALSE)</f>
        <v>#N/A</v>
      </c>
      <c r="V4657" s="81" t="e">
        <f>HLOOKUP(O4657,データについて!$J$9:$M$18,10,FALSE)</f>
        <v>#N/A</v>
      </c>
      <c r="W4657" s="81" t="e">
        <f>HLOOKUP(P4657,データについて!$J$10:$M$18,9,FALSE)</f>
        <v>#N/A</v>
      </c>
      <c r="X4657" s="81" t="e">
        <f>HLOOKUP(Q4657,データについて!$J$11:$M$18,8,FALSE)</f>
        <v>#N/A</v>
      </c>
      <c r="Y4657" s="81" t="e">
        <f>HLOOKUP(R4657,データについて!$J$12:$M$18,7,FALSE)</f>
        <v>#N/A</v>
      </c>
      <c r="Z4657" s="81" t="e">
        <f>HLOOKUP(I4657,データについて!$J$3:$M$18,16,FALSE)</f>
        <v>#N/A</v>
      </c>
      <c r="AA4657" s="81" t="str">
        <f>IFERROR(HLOOKUP(J4657,データについて!$J$4:$AH$19,16,FALSE),"")</f>
        <v/>
      </c>
      <c r="AB4657" s="81" t="str">
        <f>IFERROR(HLOOKUP(K4657,データについて!$J$5:$AH$20,14,FALSE),"")</f>
        <v/>
      </c>
      <c r="AC4657" s="81" t="e">
        <f>IF(X4657=1,HLOOKUP(R4657,データについて!$J$12:$M$18,7,FALSE),"*")</f>
        <v>#N/A</v>
      </c>
      <c r="AD4657" s="81" t="e">
        <f>IF(X4657=2,HLOOKUP(R4657,データについて!$J$12:$M$18,7,FALSE),"*")</f>
        <v>#N/A</v>
      </c>
    </row>
    <row r="4658" spans="19:30">
      <c r="S4658" s="81" t="e">
        <f>HLOOKUP(L4658,データについて!$J$6:$M$18,13,FALSE)</f>
        <v>#N/A</v>
      </c>
      <c r="T4658" s="81" t="e">
        <f>HLOOKUP(M4658,データについて!$J$7:$M$18,12,FALSE)</f>
        <v>#N/A</v>
      </c>
      <c r="U4658" s="81" t="e">
        <f>HLOOKUP(N4658,データについて!$J$8:$M$18,11,FALSE)</f>
        <v>#N/A</v>
      </c>
      <c r="V4658" s="81" t="e">
        <f>HLOOKUP(O4658,データについて!$J$9:$M$18,10,FALSE)</f>
        <v>#N/A</v>
      </c>
      <c r="W4658" s="81" t="e">
        <f>HLOOKUP(P4658,データについて!$J$10:$M$18,9,FALSE)</f>
        <v>#N/A</v>
      </c>
      <c r="X4658" s="81" t="e">
        <f>HLOOKUP(Q4658,データについて!$J$11:$M$18,8,FALSE)</f>
        <v>#N/A</v>
      </c>
      <c r="Y4658" s="81" t="e">
        <f>HLOOKUP(R4658,データについて!$J$12:$M$18,7,FALSE)</f>
        <v>#N/A</v>
      </c>
      <c r="Z4658" s="81" t="e">
        <f>HLOOKUP(I4658,データについて!$J$3:$M$18,16,FALSE)</f>
        <v>#N/A</v>
      </c>
      <c r="AA4658" s="81" t="str">
        <f>IFERROR(HLOOKUP(J4658,データについて!$J$4:$AH$19,16,FALSE),"")</f>
        <v/>
      </c>
      <c r="AB4658" s="81" t="str">
        <f>IFERROR(HLOOKUP(K4658,データについて!$J$5:$AH$20,14,FALSE),"")</f>
        <v/>
      </c>
      <c r="AC4658" s="81" t="e">
        <f>IF(X4658=1,HLOOKUP(R4658,データについて!$J$12:$M$18,7,FALSE),"*")</f>
        <v>#N/A</v>
      </c>
      <c r="AD4658" s="81" t="e">
        <f>IF(X4658=2,HLOOKUP(R4658,データについて!$J$12:$M$18,7,FALSE),"*")</f>
        <v>#N/A</v>
      </c>
    </row>
    <row r="4659" spans="19:30">
      <c r="S4659" s="81" t="e">
        <f>HLOOKUP(L4659,データについて!$J$6:$M$18,13,FALSE)</f>
        <v>#N/A</v>
      </c>
      <c r="T4659" s="81" t="e">
        <f>HLOOKUP(M4659,データについて!$J$7:$M$18,12,FALSE)</f>
        <v>#N/A</v>
      </c>
      <c r="U4659" s="81" t="e">
        <f>HLOOKUP(N4659,データについて!$J$8:$M$18,11,FALSE)</f>
        <v>#N/A</v>
      </c>
      <c r="V4659" s="81" t="e">
        <f>HLOOKUP(O4659,データについて!$J$9:$M$18,10,FALSE)</f>
        <v>#N/A</v>
      </c>
      <c r="W4659" s="81" t="e">
        <f>HLOOKUP(P4659,データについて!$J$10:$M$18,9,FALSE)</f>
        <v>#N/A</v>
      </c>
      <c r="X4659" s="81" t="e">
        <f>HLOOKUP(Q4659,データについて!$J$11:$M$18,8,FALSE)</f>
        <v>#N/A</v>
      </c>
      <c r="Y4659" s="81" t="e">
        <f>HLOOKUP(R4659,データについて!$J$12:$M$18,7,FALSE)</f>
        <v>#N/A</v>
      </c>
      <c r="Z4659" s="81" t="e">
        <f>HLOOKUP(I4659,データについて!$J$3:$M$18,16,FALSE)</f>
        <v>#N/A</v>
      </c>
      <c r="AA4659" s="81" t="str">
        <f>IFERROR(HLOOKUP(J4659,データについて!$J$4:$AH$19,16,FALSE),"")</f>
        <v/>
      </c>
      <c r="AB4659" s="81" t="str">
        <f>IFERROR(HLOOKUP(K4659,データについて!$J$5:$AH$20,14,FALSE),"")</f>
        <v/>
      </c>
      <c r="AC4659" s="81" t="e">
        <f>IF(X4659=1,HLOOKUP(R4659,データについて!$J$12:$M$18,7,FALSE),"*")</f>
        <v>#N/A</v>
      </c>
      <c r="AD4659" s="81" t="e">
        <f>IF(X4659=2,HLOOKUP(R4659,データについて!$J$12:$M$18,7,FALSE),"*")</f>
        <v>#N/A</v>
      </c>
    </row>
    <row r="4660" spans="19:30">
      <c r="S4660" s="81" t="e">
        <f>HLOOKUP(L4660,データについて!$J$6:$M$18,13,FALSE)</f>
        <v>#N/A</v>
      </c>
      <c r="T4660" s="81" t="e">
        <f>HLOOKUP(M4660,データについて!$J$7:$M$18,12,FALSE)</f>
        <v>#N/A</v>
      </c>
      <c r="U4660" s="81" t="e">
        <f>HLOOKUP(N4660,データについて!$J$8:$M$18,11,FALSE)</f>
        <v>#N/A</v>
      </c>
      <c r="V4660" s="81" t="e">
        <f>HLOOKUP(O4660,データについて!$J$9:$M$18,10,FALSE)</f>
        <v>#N/A</v>
      </c>
      <c r="W4660" s="81" t="e">
        <f>HLOOKUP(P4660,データについて!$J$10:$M$18,9,FALSE)</f>
        <v>#N/A</v>
      </c>
      <c r="X4660" s="81" t="e">
        <f>HLOOKUP(Q4660,データについて!$J$11:$M$18,8,FALSE)</f>
        <v>#N/A</v>
      </c>
      <c r="Y4660" s="81" t="e">
        <f>HLOOKUP(R4660,データについて!$J$12:$M$18,7,FALSE)</f>
        <v>#N/A</v>
      </c>
      <c r="Z4660" s="81" t="e">
        <f>HLOOKUP(I4660,データについて!$J$3:$M$18,16,FALSE)</f>
        <v>#N/A</v>
      </c>
      <c r="AA4660" s="81" t="str">
        <f>IFERROR(HLOOKUP(J4660,データについて!$J$4:$AH$19,16,FALSE),"")</f>
        <v/>
      </c>
      <c r="AB4660" s="81" t="str">
        <f>IFERROR(HLOOKUP(K4660,データについて!$J$5:$AH$20,14,FALSE),"")</f>
        <v/>
      </c>
      <c r="AC4660" s="81" t="e">
        <f>IF(X4660=1,HLOOKUP(R4660,データについて!$J$12:$M$18,7,FALSE),"*")</f>
        <v>#N/A</v>
      </c>
      <c r="AD4660" s="81" t="e">
        <f>IF(X4660=2,HLOOKUP(R4660,データについて!$J$12:$M$18,7,FALSE),"*")</f>
        <v>#N/A</v>
      </c>
    </row>
    <row r="4661" spans="19:30">
      <c r="S4661" s="81" t="e">
        <f>HLOOKUP(L4661,データについて!$J$6:$M$18,13,FALSE)</f>
        <v>#N/A</v>
      </c>
      <c r="T4661" s="81" t="e">
        <f>HLOOKUP(M4661,データについて!$J$7:$M$18,12,FALSE)</f>
        <v>#N/A</v>
      </c>
      <c r="U4661" s="81" t="e">
        <f>HLOOKUP(N4661,データについて!$J$8:$M$18,11,FALSE)</f>
        <v>#N/A</v>
      </c>
      <c r="V4661" s="81" t="e">
        <f>HLOOKUP(O4661,データについて!$J$9:$M$18,10,FALSE)</f>
        <v>#N/A</v>
      </c>
      <c r="W4661" s="81" t="e">
        <f>HLOOKUP(P4661,データについて!$J$10:$M$18,9,FALSE)</f>
        <v>#N/A</v>
      </c>
      <c r="X4661" s="81" t="e">
        <f>HLOOKUP(Q4661,データについて!$J$11:$M$18,8,FALSE)</f>
        <v>#N/A</v>
      </c>
      <c r="Y4661" s="81" t="e">
        <f>HLOOKUP(R4661,データについて!$J$12:$M$18,7,FALSE)</f>
        <v>#N/A</v>
      </c>
      <c r="Z4661" s="81" t="e">
        <f>HLOOKUP(I4661,データについて!$J$3:$M$18,16,FALSE)</f>
        <v>#N/A</v>
      </c>
      <c r="AA4661" s="81" t="str">
        <f>IFERROR(HLOOKUP(J4661,データについて!$J$4:$AH$19,16,FALSE),"")</f>
        <v/>
      </c>
      <c r="AB4661" s="81" t="str">
        <f>IFERROR(HLOOKUP(K4661,データについて!$J$5:$AH$20,14,FALSE),"")</f>
        <v/>
      </c>
      <c r="AC4661" s="81" t="e">
        <f>IF(X4661=1,HLOOKUP(R4661,データについて!$J$12:$M$18,7,FALSE),"*")</f>
        <v>#N/A</v>
      </c>
      <c r="AD4661" s="81" t="e">
        <f>IF(X4661=2,HLOOKUP(R4661,データについて!$J$12:$M$18,7,FALSE),"*")</f>
        <v>#N/A</v>
      </c>
    </row>
    <row r="4662" spans="19:30">
      <c r="S4662" s="81" t="e">
        <f>HLOOKUP(L4662,データについて!$J$6:$M$18,13,FALSE)</f>
        <v>#N/A</v>
      </c>
      <c r="T4662" s="81" t="e">
        <f>HLOOKUP(M4662,データについて!$J$7:$M$18,12,FALSE)</f>
        <v>#N/A</v>
      </c>
      <c r="U4662" s="81" t="e">
        <f>HLOOKUP(N4662,データについて!$J$8:$M$18,11,FALSE)</f>
        <v>#N/A</v>
      </c>
      <c r="V4662" s="81" t="e">
        <f>HLOOKUP(O4662,データについて!$J$9:$M$18,10,FALSE)</f>
        <v>#N/A</v>
      </c>
      <c r="W4662" s="81" t="e">
        <f>HLOOKUP(P4662,データについて!$J$10:$M$18,9,FALSE)</f>
        <v>#N/A</v>
      </c>
      <c r="X4662" s="81" t="e">
        <f>HLOOKUP(Q4662,データについて!$J$11:$M$18,8,FALSE)</f>
        <v>#N/A</v>
      </c>
      <c r="Y4662" s="81" t="e">
        <f>HLOOKUP(R4662,データについて!$J$12:$M$18,7,FALSE)</f>
        <v>#N/A</v>
      </c>
      <c r="Z4662" s="81" t="e">
        <f>HLOOKUP(I4662,データについて!$J$3:$M$18,16,FALSE)</f>
        <v>#N/A</v>
      </c>
      <c r="AA4662" s="81" t="str">
        <f>IFERROR(HLOOKUP(J4662,データについて!$J$4:$AH$19,16,FALSE),"")</f>
        <v/>
      </c>
      <c r="AB4662" s="81" t="str">
        <f>IFERROR(HLOOKUP(K4662,データについて!$J$5:$AH$20,14,FALSE),"")</f>
        <v/>
      </c>
      <c r="AC4662" s="81" t="e">
        <f>IF(X4662=1,HLOOKUP(R4662,データについて!$J$12:$M$18,7,FALSE),"*")</f>
        <v>#N/A</v>
      </c>
      <c r="AD4662" s="81" t="e">
        <f>IF(X4662=2,HLOOKUP(R4662,データについて!$J$12:$M$18,7,FALSE),"*")</f>
        <v>#N/A</v>
      </c>
    </row>
    <row r="4663" spans="19:30">
      <c r="S4663" s="81" t="e">
        <f>HLOOKUP(L4663,データについて!$J$6:$M$18,13,FALSE)</f>
        <v>#N/A</v>
      </c>
      <c r="T4663" s="81" t="e">
        <f>HLOOKUP(M4663,データについて!$J$7:$M$18,12,FALSE)</f>
        <v>#N/A</v>
      </c>
      <c r="U4663" s="81" t="e">
        <f>HLOOKUP(N4663,データについて!$J$8:$M$18,11,FALSE)</f>
        <v>#N/A</v>
      </c>
      <c r="V4663" s="81" t="e">
        <f>HLOOKUP(O4663,データについて!$J$9:$M$18,10,FALSE)</f>
        <v>#N/A</v>
      </c>
      <c r="W4663" s="81" t="e">
        <f>HLOOKUP(P4663,データについて!$J$10:$M$18,9,FALSE)</f>
        <v>#N/A</v>
      </c>
      <c r="X4663" s="81" t="e">
        <f>HLOOKUP(Q4663,データについて!$J$11:$M$18,8,FALSE)</f>
        <v>#N/A</v>
      </c>
      <c r="Y4663" s="81" t="e">
        <f>HLOOKUP(R4663,データについて!$J$12:$M$18,7,FALSE)</f>
        <v>#N/A</v>
      </c>
      <c r="Z4663" s="81" t="e">
        <f>HLOOKUP(I4663,データについて!$J$3:$M$18,16,FALSE)</f>
        <v>#N/A</v>
      </c>
      <c r="AA4663" s="81" t="str">
        <f>IFERROR(HLOOKUP(J4663,データについて!$J$4:$AH$19,16,FALSE),"")</f>
        <v/>
      </c>
      <c r="AB4663" s="81" t="str">
        <f>IFERROR(HLOOKUP(K4663,データについて!$J$5:$AH$20,14,FALSE),"")</f>
        <v/>
      </c>
      <c r="AC4663" s="81" t="e">
        <f>IF(X4663=1,HLOOKUP(R4663,データについて!$J$12:$M$18,7,FALSE),"*")</f>
        <v>#N/A</v>
      </c>
      <c r="AD4663" s="81" t="e">
        <f>IF(X4663=2,HLOOKUP(R4663,データについて!$J$12:$M$18,7,FALSE),"*")</f>
        <v>#N/A</v>
      </c>
    </row>
    <row r="4664" spans="19:30">
      <c r="S4664" s="81" t="e">
        <f>HLOOKUP(L4664,データについて!$J$6:$M$18,13,FALSE)</f>
        <v>#N/A</v>
      </c>
      <c r="T4664" s="81" t="e">
        <f>HLOOKUP(M4664,データについて!$J$7:$M$18,12,FALSE)</f>
        <v>#N/A</v>
      </c>
      <c r="U4664" s="81" t="e">
        <f>HLOOKUP(N4664,データについて!$J$8:$M$18,11,FALSE)</f>
        <v>#N/A</v>
      </c>
      <c r="V4664" s="81" t="e">
        <f>HLOOKUP(O4664,データについて!$J$9:$M$18,10,FALSE)</f>
        <v>#N/A</v>
      </c>
      <c r="W4664" s="81" t="e">
        <f>HLOOKUP(P4664,データについて!$J$10:$M$18,9,FALSE)</f>
        <v>#N/A</v>
      </c>
      <c r="X4664" s="81" t="e">
        <f>HLOOKUP(Q4664,データについて!$J$11:$M$18,8,FALSE)</f>
        <v>#N/A</v>
      </c>
      <c r="Y4664" s="81" t="e">
        <f>HLOOKUP(R4664,データについて!$J$12:$M$18,7,FALSE)</f>
        <v>#N/A</v>
      </c>
      <c r="Z4664" s="81" t="e">
        <f>HLOOKUP(I4664,データについて!$J$3:$M$18,16,FALSE)</f>
        <v>#N/A</v>
      </c>
      <c r="AA4664" s="81" t="str">
        <f>IFERROR(HLOOKUP(J4664,データについて!$J$4:$AH$19,16,FALSE),"")</f>
        <v/>
      </c>
      <c r="AB4664" s="81" t="str">
        <f>IFERROR(HLOOKUP(K4664,データについて!$J$5:$AH$20,14,FALSE),"")</f>
        <v/>
      </c>
      <c r="AC4664" s="81" t="e">
        <f>IF(X4664=1,HLOOKUP(R4664,データについて!$J$12:$M$18,7,FALSE),"*")</f>
        <v>#N/A</v>
      </c>
      <c r="AD4664" s="81" t="e">
        <f>IF(X4664=2,HLOOKUP(R4664,データについて!$J$12:$M$18,7,FALSE),"*")</f>
        <v>#N/A</v>
      </c>
    </row>
    <row r="4665" spans="19:30">
      <c r="S4665" s="81" t="e">
        <f>HLOOKUP(L4665,データについて!$J$6:$M$18,13,FALSE)</f>
        <v>#N/A</v>
      </c>
      <c r="T4665" s="81" t="e">
        <f>HLOOKUP(M4665,データについて!$J$7:$M$18,12,FALSE)</f>
        <v>#N/A</v>
      </c>
      <c r="U4665" s="81" t="e">
        <f>HLOOKUP(N4665,データについて!$J$8:$M$18,11,FALSE)</f>
        <v>#N/A</v>
      </c>
      <c r="V4665" s="81" t="e">
        <f>HLOOKUP(O4665,データについて!$J$9:$M$18,10,FALSE)</f>
        <v>#N/A</v>
      </c>
      <c r="W4665" s="81" t="e">
        <f>HLOOKUP(P4665,データについて!$J$10:$M$18,9,FALSE)</f>
        <v>#N/A</v>
      </c>
      <c r="X4665" s="81" t="e">
        <f>HLOOKUP(Q4665,データについて!$J$11:$M$18,8,FALSE)</f>
        <v>#N/A</v>
      </c>
      <c r="Y4665" s="81" t="e">
        <f>HLOOKUP(R4665,データについて!$J$12:$M$18,7,FALSE)</f>
        <v>#N/A</v>
      </c>
      <c r="Z4665" s="81" t="e">
        <f>HLOOKUP(I4665,データについて!$J$3:$M$18,16,FALSE)</f>
        <v>#N/A</v>
      </c>
      <c r="AA4665" s="81" t="str">
        <f>IFERROR(HLOOKUP(J4665,データについて!$J$4:$AH$19,16,FALSE),"")</f>
        <v/>
      </c>
      <c r="AB4665" s="81" t="str">
        <f>IFERROR(HLOOKUP(K4665,データについて!$J$5:$AH$20,14,FALSE),"")</f>
        <v/>
      </c>
      <c r="AC4665" s="81" t="e">
        <f>IF(X4665=1,HLOOKUP(R4665,データについて!$J$12:$M$18,7,FALSE),"*")</f>
        <v>#N/A</v>
      </c>
      <c r="AD4665" s="81" t="e">
        <f>IF(X4665=2,HLOOKUP(R4665,データについて!$J$12:$M$18,7,FALSE),"*")</f>
        <v>#N/A</v>
      </c>
    </row>
    <row r="4666" spans="19:30">
      <c r="S4666" s="81" t="e">
        <f>HLOOKUP(L4666,データについて!$J$6:$M$18,13,FALSE)</f>
        <v>#N/A</v>
      </c>
      <c r="T4666" s="81" t="e">
        <f>HLOOKUP(M4666,データについて!$J$7:$M$18,12,FALSE)</f>
        <v>#N/A</v>
      </c>
      <c r="U4666" s="81" t="e">
        <f>HLOOKUP(N4666,データについて!$J$8:$M$18,11,FALSE)</f>
        <v>#N/A</v>
      </c>
      <c r="V4666" s="81" t="e">
        <f>HLOOKUP(O4666,データについて!$J$9:$M$18,10,FALSE)</f>
        <v>#N/A</v>
      </c>
      <c r="W4666" s="81" t="e">
        <f>HLOOKUP(P4666,データについて!$J$10:$M$18,9,FALSE)</f>
        <v>#N/A</v>
      </c>
      <c r="X4666" s="81" t="e">
        <f>HLOOKUP(Q4666,データについて!$J$11:$M$18,8,FALSE)</f>
        <v>#N/A</v>
      </c>
      <c r="Y4666" s="81" t="e">
        <f>HLOOKUP(R4666,データについて!$J$12:$M$18,7,FALSE)</f>
        <v>#N/A</v>
      </c>
      <c r="Z4666" s="81" t="e">
        <f>HLOOKUP(I4666,データについて!$J$3:$M$18,16,FALSE)</f>
        <v>#N/A</v>
      </c>
      <c r="AA4666" s="81" t="str">
        <f>IFERROR(HLOOKUP(J4666,データについて!$J$4:$AH$19,16,FALSE),"")</f>
        <v/>
      </c>
      <c r="AB4666" s="81" t="str">
        <f>IFERROR(HLOOKUP(K4666,データについて!$J$5:$AH$20,14,FALSE),"")</f>
        <v/>
      </c>
      <c r="AC4666" s="81" t="e">
        <f>IF(X4666=1,HLOOKUP(R4666,データについて!$J$12:$M$18,7,FALSE),"*")</f>
        <v>#N/A</v>
      </c>
      <c r="AD4666" s="81" t="e">
        <f>IF(X4666=2,HLOOKUP(R4666,データについて!$J$12:$M$18,7,FALSE),"*")</f>
        <v>#N/A</v>
      </c>
    </row>
    <row r="4667" spans="19:30">
      <c r="S4667" s="81" t="e">
        <f>HLOOKUP(L4667,データについて!$J$6:$M$18,13,FALSE)</f>
        <v>#N/A</v>
      </c>
      <c r="T4667" s="81" t="e">
        <f>HLOOKUP(M4667,データについて!$J$7:$M$18,12,FALSE)</f>
        <v>#N/A</v>
      </c>
      <c r="U4667" s="81" t="e">
        <f>HLOOKUP(N4667,データについて!$J$8:$M$18,11,FALSE)</f>
        <v>#N/A</v>
      </c>
      <c r="V4667" s="81" t="e">
        <f>HLOOKUP(O4667,データについて!$J$9:$M$18,10,FALSE)</f>
        <v>#N/A</v>
      </c>
      <c r="W4667" s="81" t="e">
        <f>HLOOKUP(P4667,データについて!$J$10:$M$18,9,FALSE)</f>
        <v>#N/A</v>
      </c>
      <c r="X4667" s="81" t="e">
        <f>HLOOKUP(Q4667,データについて!$J$11:$M$18,8,FALSE)</f>
        <v>#N/A</v>
      </c>
      <c r="Y4667" s="81" t="e">
        <f>HLOOKUP(R4667,データについて!$J$12:$M$18,7,FALSE)</f>
        <v>#N/A</v>
      </c>
      <c r="Z4667" s="81" t="e">
        <f>HLOOKUP(I4667,データについて!$J$3:$M$18,16,FALSE)</f>
        <v>#N/A</v>
      </c>
      <c r="AA4667" s="81" t="str">
        <f>IFERROR(HLOOKUP(J4667,データについて!$J$4:$AH$19,16,FALSE),"")</f>
        <v/>
      </c>
      <c r="AB4667" s="81" t="str">
        <f>IFERROR(HLOOKUP(K4667,データについて!$J$5:$AH$20,14,FALSE),"")</f>
        <v/>
      </c>
      <c r="AC4667" s="81" t="e">
        <f>IF(X4667=1,HLOOKUP(R4667,データについて!$J$12:$M$18,7,FALSE),"*")</f>
        <v>#N/A</v>
      </c>
      <c r="AD4667" s="81" t="e">
        <f>IF(X4667=2,HLOOKUP(R4667,データについて!$J$12:$M$18,7,FALSE),"*")</f>
        <v>#N/A</v>
      </c>
    </row>
    <row r="4668" spans="19:30">
      <c r="S4668" s="81" t="e">
        <f>HLOOKUP(L4668,データについて!$J$6:$M$18,13,FALSE)</f>
        <v>#N/A</v>
      </c>
      <c r="T4668" s="81" t="e">
        <f>HLOOKUP(M4668,データについて!$J$7:$M$18,12,FALSE)</f>
        <v>#N/A</v>
      </c>
      <c r="U4668" s="81" t="e">
        <f>HLOOKUP(N4668,データについて!$J$8:$M$18,11,FALSE)</f>
        <v>#N/A</v>
      </c>
      <c r="V4668" s="81" t="e">
        <f>HLOOKUP(O4668,データについて!$J$9:$M$18,10,FALSE)</f>
        <v>#N/A</v>
      </c>
      <c r="W4668" s="81" t="e">
        <f>HLOOKUP(P4668,データについて!$J$10:$M$18,9,FALSE)</f>
        <v>#N/A</v>
      </c>
      <c r="X4668" s="81" t="e">
        <f>HLOOKUP(Q4668,データについて!$J$11:$M$18,8,FALSE)</f>
        <v>#N/A</v>
      </c>
      <c r="Y4668" s="81" t="e">
        <f>HLOOKUP(R4668,データについて!$J$12:$M$18,7,FALSE)</f>
        <v>#N/A</v>
      </c>
      <c r="Z4668" s="81" t="e">
        <f>HLOOKUP(I4668,データについて!$J$3:$M$18,16,FALSE)</f>
        <v>#N/A</v>
      </c>
      <c r="AA4668" s="81" t="str">
        <f>IFERROR(HLOOKUP(J4668,データについて!$J$4:$AH$19,16,FALSE),"")</f>
        <v/>
      </c>
      <c r="AB4668" s="81" t="str">
        <f>IFERROR(HLOOKUP(K4668,データについて!$J$5:$AH$20,14,FALSE),"")</f>
        <v/>
      </c>
      <c r="AC4668" s="81" t="e">
        <f>IF(X4668=1,HLOOKUP(R4668,データについて!$J$12:$M$18,7,FALSE),"*")</f>
        <v>#N/A</v>
      </c>
      <c r="AD4668" s="81" t="e">
        <f>IF(X4668=2,HLOOKUP(R4668,データについて!$J$12:$M$18,7,FALSE),"*")</f>
        <v>#N/A</v>
      </c>
    </row>
    <row r="4669" spans="19:30">
      <c r="S4669" s="81" t="e">
        <f>HLOOKUP(L4669,データについて!$J$6:$M$18,13,FALSE)</f>
        <v>#N/A</v>
      </c>
      <c r="T4669" s="81" t="e">
        <f>HLOOKUP(M4669,データについて!$J$7:$M$18,12,FALSE)</f>
        <v>#N/A</v>
      </c>
      <c r="U4669" s="81" t="e">
        <f>HLOOKUP(N4669,データについて!$J$8:$M$18,11,FALSE)</f>
        <v>#N/A</v>
      </c>
      <c r="V4669" s="81" t="e">
        <f>HLOOKUP(O4669,データについて!$J$9:$M$18,10,FALSE)</f>
        <v>#N/A</v>
      </c>
      <c r="W4669" s="81" t="e">
        <f>HLOOKUP(P4669,データについて!$J$10:$M$18,9,FALSE)</f>
        <v>#N/A</v>
      </c>
      <c r="X4669" s="81" t="e">
        <f>HLOOKUP(Q4669,データについて!$J$11:$M$18,8,FALSE)</f>
        <v>#N/A</v>
      </c>
      <c r="Y4669" s="81" t="e">
        <f>HLOOKUP(R4669,データについて!$J$12:$M$18,7,FALSE)</f>
        <v>#N/A</v>
      </c>
      <c r="Z4669" s="81" t="e">
        <f>HLOOKUP(I4669,データについて!$J$3:$M$18,16,FALSE)</f>
        <v>#N/A</v>
      </c>
      <c r="AA4669" s="81" t="str">
        <f>IFERROR(HLOOKUP(J4669,データについて!$J$4:$AH$19,16,FALSE),"")</f>
        <v/>
      </c>
      <c r="AB4669" s="81" t="str">
        <f>IFERROR(HLOOKUP(K4669,データについて!$J$5:$AH$20,14,FALSE),"")</f>
        <v/>
      </c>
      <c r="AC4669" s="81" t="e">
        <f>IF(X4669=1,HLOOKUP(R4669,データについて!$J$12:$M$18,7,FALSE),"*")</f>
        <v>#N/A</v>
      </c>
      <c r="AD4669" s="81" t="e">
        <f>IF(X4669=2,HLOOKUP(R4669,データについて!$J$12:$M$18,7,FALSE),"*")</f>
        <v>#N/A</v>
      </c>
    </row>
    <row r="4670" spans="19:30">
      <c r="S4670" s="81" t="e">
        <f>HLOOKUP(L4670,データについて!$J$6:$M$18,13,FALSE)</f>
        <v>#N/A</v>
      </c>
      <c r="T4670" s="81" t="e">
        <f>HLOOKUP(M4670,データについて!$J$7:$M$18,12,FALSE)</f>
        <v>#N/A</v>
      </c>
      <c r="U4670" s="81" t="e">
        <f>HLOOKUP(N4670,データについて!$J$8:$M$18,11,FALSE)</f>
        <v>#N/A</v>
      </c>
      <c r="V4670" s="81" t="e">
        <f>HLOOKUP(O4670,データについて!$J$9:$M$18,10,FALSE)</f>
        <v>#N/A</v>
      </c>
      <c r="W4670" s="81" t="e">
        <f>HLOOKUP(P4670,データについて!$J$10:$M$18,9,FALSE)</f>
        <v>#N/A</v>
      </c>
      <c r="X4670" s="81" t="e">
        <f>HLOOKUP(Q4670,データについて!$J$11:$M$18,8,FALSE)</f>
        <v>#N/A</v>
      </c>
      <c r="Y4670" s="81" t="e">
        <f>HLOOKUP(R4670,データについて!$J$12:$M$18,7,FALSE)</f>
        <v>#N/A</v>
      </c>
      <c r="Z4670" s="81" t="e">
        <f>HLOOKUP(I4670,データについて!$J$3:$M$18,16,FALSE)</f>
        <v>#N/A</v>
      </c>
      <c r="AA4670" s="81" t="str">
        <f>IFERROR(HLOOKUP(J4670,データについて!$J$4:$AH$19,16,FALSE),"")</f>
        <v/>
      </c>
      <c r="AB4670" s="81" t="str">
        <f>IFERROR(HLOOKUP(K4670,データについて!$J$5:$AH$20,14,FALSE),"")</f>
        <v/>
      </c>
      <c r="AC4670" s="81" t="e">
        <f>IF(X4670=1,HLOOKUP(R4670,データについて!$J$12:$M$18,7,FALSE),"*")</f>
        <v>#N/A</v>
      </c>
      <c r="AD4670" s="81" t="e">
        <f>IF(X4670=2,HLOOKUP(R4670,データについて!$J$12:$M$18,7,FALSE),"*")</f>
        <v>#N/A</v>
      </c>
    </row>
    <row r="4671" spans="19:30">
      <c r="S4671" s="81" t="e">
        <f>HLOOKUP(L4671,データについて!$J$6:$M$18,13,FALSE)</f>
        <v>#N/A</v>
      </c>
      <c r="T4671" s="81" t="e">
        <f>HLOOKUP(M4671,データについて!$J$7:$M$18,12,FALSE)</f>
        <v>#N/A</v>
      </c>
      <c r="U4671" s="81" t="e">
        <f>HLOOKUP(N4671,データについて!$J$8:$M$18,11,FALSE)</f>
        <v>#N/A</v>
      </c>
      <c r="V4671" s="81" t="e">
        <f>HLOOKUP(O4671,データについて!$J$9:$M$18,10,FALSE)</f>
        <v>#N/A</v>
      </c>
      <c r="W4671" s="81" t="e">
        <f>HLOOKUP(P4671,データについて!$J$10:$M$18,9,FALSE)</f>
        <v>#N/A</v>
      </c>
      <c r="X4671" s="81" t="e">
        <f>HLOOKUP(Q4671,データについて!$J$11:$M$18,8,FALSE)</f>
        <v>#N/A</v>
      </c>
      <c r="Y4671" s="81" t="e">
        <f>HLOOKUP(R4671,データについて!$J$12:$M$18,7,FALSE)</f>
        <v>#N/A</v>
      </c>
      <c r="Z4671" s="81" t="e">
        <f>HLOOKUP(I4671,データについて!$J$3:$M$18,16,FALSE)</f>
        <v>#N/A</v>
      </c>
      <c r="AA4671" s="81" t="str">
        <f>IFERROR(HLOOKUP(J4671,データについて!$J$4:$AH$19,16,FALSE),"")</f>
        <v/>
      </c>
      <c r="AB4671" s="81" t="str">
        <f>IFERROR(HLOOKUP(K4671,データについて!$J$5:$AH$20,14,FALSE),"")</f>
        <v/>
      </c>
      <c r="AC4671" s="81" t="e">
        <f>IF(X4671=1,HLOOKUP(R4671,データについて!$J$12:$M$18,7,FALSE),"*")</f>
        <v>#N/A</v>
      </c>
      <c r="AD4671" s="81" t="e">
        <f>IF(X4671=2,HLOOKUP(R4671,データについて!$J$12:$M$18,7,FALSE),"*")</f>
        <v>#N/A</v>
      </c>
    </row>
    <row r="4672" spans="19:30">
      <c r="S4672" s="81" t="e">
        <f>HLOOKUP(L4672,データについて!$J$6:$M$18,13,FALSE)</f>
        <v>#N/A</v>
      </c>
      <c r="T4672" s="81" t="e">
        <f>HLOOKUP(M4672,データについて!$J$7:$M$18,12,FALSE)</f>
        <v>#N/A</v>
      </c>
      <c r="U4672" s="81" t="e">
        <f>HLOOKUP(N4672,データについて!$J$8:$M$18,11,FALSE)</f>
        <v>#N/A</v>
      </c>
      <c r="V4672" s="81" t="e">
        <f>HLOOKUP(O4672,データについて!$J$9:$M$18,10,FALSE)</f>
        <v>#N/A</v>
      </c>
      <c r="W4672" s="81" t="e">
        <f>HLOOKUP(P4672,データについて!$J$10:$M$18,9,FALSE)</f>
        <v>#N/A</v>
      </c>
      <c r="X4672" s="81" t="e">
        <f>HLOOKUP(Q4672,データについて!$J$11:$M$18,8,FALSE)</f>
        <v>#N/A</v>
      </c>
      <c r="Y4672" s="81" t="e">
        <f>HLOOKUP(R4672,データについて!$J$12:$M$18,7,FALSE)</f>
        <v>#N/A</v>
      </c>
      <c r="Z4672" s="81" t="e">
        <f>HLOOKUP(I4672,データについて!$J$3:$M$18,16,FALSE)</f>
        <v>#N/A</v>
      </c>
      <c r="AA4672" s="81" t="str">
        <f>IFERROR(HLOOKUP(J4672,データについて!$J$4:$AH$19,16,FALSE),"")</f>
        <v/>
      </c>
      <c r="AB4672" s="81" t="str">
        <f>IFERROR(HLOOKUP(K4672,データについて!$J$5:$AH$20,14,FALSE),"")</f>
        <v/>
      </c>
      <c r="AC4672" s="81" t="e">
        <f>IF(X4672=1,HLOOKUP(R4672,データについて!$J$12:$M$18,7,FALSE),"*")</f>
        <v>#N/A</v>
      </c>
      <c r="AD4672" s="81" t="e">
        <f>IF(X4672=2,HLOOKUP(R4672,データについて!$J$12:$M$18,7,FALSE),"*")</f>
        <v>#N/A</v>
      </c>
    </row>
    <row r="4673" spans="19:30">
      <c r="S4673" s="81" t="e">
        <f>HLOOKUP(L4673,データについて!$J$6:$M$18,13,FALSE)</f>
        <v>#N/A</v>
      </c>
      <c r="T4673" s="81" t="e">
        <f>HLOOKUP(M4673,データについて!$J$7:$M$18,12,FALSE)</f>
        <v>#N/A</v>
      </c>
      <c r="U4673" s="81" t="e">
        <f>HLOOKUP(N4673,データについて!$J$8:$M$18,11,FALSE)</f>
        <v>#N/A</v>
      </c>
      <c r="V4673" s="81" t="e">
        <f>HLOOKUP(O4673,データについて!$J$9:$M$18,10,FALSE)</f>
        <v>#N/A</v>
      </c>
      <c r="W4673" s="81" t="e">
        <f>HLOOKUP(P4673,データについて!$J$10:$M$18,9,FALSE)</f>
        <v>#N/A</v>
      </c>
      <c r="X4673" s="81" t="e">
        <f>HLOOKUP(Q4673,データについて!$J$11:$M$18,8,FALSE)</f>
        <v>#N/A</v>
      </c>
      <c r="Y4673" s="81" t="e">
        <f>HLOOKUP(R4673,データについて!$J$12:$M$18,7,FALSE)</f>
        <v>#N/A</v>
      </c>
      <c r="Z4673" s="81" t="e">
        <f>HLOOKUP(I4673,データについて!$J$3:$M$18,16,FALSE)</f>
        <v>#N/A</v>
      </c>
      <c r="AA4673" s="81" t="str">
        <f>IFERROR(HLOOKUP(J4673,データについて!$J$4:$AH$19,16,FALSE),"")</f>
        <v/>
      </c>
      <c r="AB4673" s="81" t="str">
        <f>IFERROR(HLOOKUP(K4673,データについて!$J$5:$AH$20,14,FALSE),"")</f>
        <v/>
      </c>
      <c r="AC4673" s="81" t="e">
        <f>IF(X4673=1,HLOOKUP(R4673,データについて!$J$12:$M$18,7,FALSE),"*")</f>
        <v>#N/A</v>
      </c>
      <c r="AD4673" s="81" t="e">
        <f>IF(X4673=2,HLOOKUP(R4673,データについて!$J$12:$M$18,7,FALSE),"*")</f>
        <v>#N/A</v>
      </c>
    </row>
    <row r="4674" spans="19:30">
      <c r="S4674" s="81" t="e">
        <f>HLOOKUP(L4674,データについて!$J$6:$M$18,13,FALSE)</f>
        <v>#N/A</v>
      </c>
      <c r="T4674" s="81" t="e">
        <f>HLOOKUP(M4674,データについて!$J$7:$M$18,12,FALSE)</f>
        <v>#N/A</v>
      </c>
      <c r="U4674" s="81" t="e">
        <f>HLOOKUP(N4674,データについて!$J$8:$M$18,11,FALSE)</f>
        <v>#N/A</v>
      </c>
      <c r="V4674" s="81" t="e">
        <f>HLOOKUP(O4674,データについて!$J$9:$M$18,10,FALSE)</f>
        <v>#N/A</v>
      </c>
      <c r="W4674" s="81" t="e">
        <f>HLOOKUP(P4674,データについて!$J$10:$M$18,9,FALSE)</f>
        <v>#N/A</v>
      </c>
      <c r="X4674" s="81" t="e">
        <f>HLOOKUP(Q4674,データについて!$J$11:$M$18,8,FALSE)</f>
        <v>#N/A</v>
      </c>
      <c r="Y4674" s="81" t="e">
        <f>HLOOKUP(R4674,データについて!$J$12:$M$18,7,FALSE)</f>
        <v>#N/A</v>
      </c>
      <c r="Z4674" s="81" t="e">
        <f>HLOOKUP(I4674,データについて!$J$3:$M$18,16,FALSE)</f>
        <v>#N/A</v>
      </c>
      <c r="AA4674" s="81" t="str">
        <f>IFERROR(HLOOKUP(J4674,データについて!$J$4:$AH$19,16,FALSE),"")</f>
        <v/>
      </c>
      <c r="AB4674" s="81" t="str">
        <f>IFERROR(HLOOKUP(K4674,データについて!$J$5:$AH$20,14,FALSE),"")</f>
        <v/>
      </c>
      <c r="AC4674" s="81" t="e">
        <f>IF(X4674=1,HLOOKUP(R4674,データについて!$J$12:$M$18,7,FALSE),"*")</f>
        <v>#N/A</v>
      </c>
      <c r="AD4674" s="81" t="e">
        <f>IF(X4674=2,HLOOKUP(R4674,データについて!$J$12:$M$18,7,FALSE),"*")</f>
        <v>#N/A</v>
      </c>
    </row>
    <row r="4675" spans="19:30">
      <c r="S4675" s="81" t="e">
        <f>HLOOKUP(L4675,データについて!$J$6:$M$18,13,FALSE)</f>
        <v>#N/A</v>
      </c>
      <c r="T4675" s="81" t="e">
        <f>HLOOKUP(M4675,データについて!$J$7:$M$18,12,FALSE)</f>
        <v>#N/A</v>
      </c>
      <c r="U4675" s="81" t="e">
        <f>HLOOKUP(N4675,データについて!$J$8:$M$18,11,FALSE)</f>
        <v>#N/A</v>
      </c>
      <c r="V4675" s="81" t="e">
        <f>HLOOKUP(O4675,データについて!$J$9:$M$18,10,FALSE)</f>
        <v>#N/A</v>
      </c>
      <c r="W4675" s="81" t="e">
        <f>HLOOKUP(P4675,データについて!$J$10:$M$18,9,FALSE)</f>
        <v>#N/A</v>
      </c>
      <c r="X4675" s="81" t="e">
        <f>HLOOKUP(Q4675,データについて!$J$11:$M$18,8,FALSE)</f>
        <v>#N/A</v>
      </c>
      <c r="Y4675" s="81" t="e">
        <f>HLOOKUP(R4675,データについて!$J$12:$M$18,7,FALSE)</f>
        <v>#N/A</v>
      </c>
      <c r="Z4675" s="81" t="e">
        <f>HLOOKUP(I4675,データについて!$J$3:$M$18,16,FALSE)</f>
        <v>#N/A</v>
      </c>
      <c r="AA4675" s="81" t="str">
        <f>IFERROR(HLOOKUP(J4675,データについて!$J$4:$AH$19,16,FALSE),"")</f>
        <v/>
      </c>
      <c r="AB4675" s="81" t="str">
        <f>IFERROR(HLOOKUP(K4675,データについて!$J$5:$AH$20,14,FALSE),"")</f>
        <v/>
      </c>
      <c r="AC4675" s="81" t="e">
        <f>IF(X4675=1,HLOOKUP(R4675,データについて!$J$12:$M$18,7,FALSE),"*")</f>
        <v>#N/A</v>
      </c>
      <c r="AD4675" s="81" t="e">
        <f>IF(X4675=2,HLOOKUP(R4675,データについて!$J$12:$M$18,7,FALSE),"*")</f>
        <v>#N/A</v>
      </c>
    </row>
    <row r="4676" spans="19:30">
      <c r="S4676" s="81" t="e">
        <f>HLOOKUP(L4676,データについて!$J$6:$M$18,13,FALSE)</f>
        <v>#N/A</v>
      </c>
      <c r="T4676" s="81" t="e">
        <f>HLOOKUP(M4676,データについて!$J$7:$M$18,12,FALSE)</f>
        <v>#N/A</v>
      </c>
      <c r="U4676" s="81" t="e">
        <f>HLOOKUP(N4676,データについて!$J$8:$M$18,11,FALSE)</f>
        <v>#N/A</v>
      </c>
      <c r="V4676" s="81" t="e">
        <f>HLOOKUP(O4676,データについて!$J$9:$M$18,10,FALSE)</f>
        <v>#N/A</v>
      </c>
      <c r="W4676" s="81" t="e">
        <f>HLOOKUP(P4676,データについて!$J$10:$M$18,9,FALSE)</f>
        <v>#N/A</v>
      </c>
      <c r="X4676" s="81" t="e">
        <f>HLOOKUP(Q4676,データについて!$J$11:$M$18,8,FALSE)</f>
        <v>#N/A</v>
      </c>
      <c r="Y4676" s="81" t="e">
        <f>HLOOKUP(R4676,データについて!$J$12:$M$18,7,FALSE)</f>
        <v>#N/A</v>
      </c>
      <c r="Z4676" s="81" t="e">
        <f>HLOOKUP(I4676,データについて!$J$3:$M$18,16,FALSE)</f>
        <v>#N/A</v>
      </c>
      <c r="AA4676" s="81" t="str">
        <f>IFERROR(HLOOKUP(J4676,データについて!$J$4:$AH$19,16,FALSE),"")</f>
        <v/>
      </c>
      <c r="AB4676" s="81" t="str">
        <f>IFERROR(HLOOKUP(K4676,データについて!$J$5:$AH$20,14,FALSE),"")</f>
        <v/>
      </c>
      <c r="AC4676" s="81" t="e">
        <f>IF(X4676=1,HLOOKUP(R4676,データについて!$J$12:$M$18,7,FALSE),"*")</f>
        <v>#N/A</v>
      </c>
      <c r="AD4676" s="81" t="e">
        <f>IF(X4676=2,HLOOKUP(R4676,データについて!$J$12:$M$18,7,FALSE),"*")</f>
        <v>#N/A</v>
      </c>
    </row>
    <row r="4677" spans="19:30">
      <c r="S4677" s="81" t="e">
        <f>HLOOKUP(L4677,データについて!$J$6:$M$18,13,FALSE)</f>
        <v>#N/A</v>
      </c>
      <c r="T4677" s="81" t="e">
        <f>HLOOKUP(M4677,データについて!$J$7:$M$18,12,FALSE)</f>
        <v>#N/A</v>
      </c>
      <c r="U4677" s="81" t="e">
        <f>HLOOKUP(N4677,データについて!$J$8:$M$18,11,FALSE)</f>
        <v>#N/A</v>
      </c>
      <c r="V4677" s="81" t="e">
        <f>HLOOKUP(O4677,データについて!$J$9:$M$18,10,FALSE)</f>
        <v>#N/A</v>
      </c>
      <c r="W4677" s="81" t="e">
        <f>HLOOKUP(P4677,データについて!$J$10:$M$18,9,FALSE)</f>
        <v>#N/A</v>
      </c>
      <c r="X4677" s="81" t="e">
        <f>HLOOKUP(Q4677,データについて!$J$11:$M$18,8,FALSE)</f>
        <v>#N/A</v>
      </c>
      <c r="Y4677" s="81" t="e">
        <f>HLOOKUP(R4677,データについて!$J$12:$M$18,7,FALSE)</f>
        <v>#N/A</v>
      </c>
      <c r="Z4677" s="81" t="e">
        <f>HLOOKUP(I4677,データについて!$J$3:$M$18,16,FALSE)</f>
        <v>#N/A</v>
      </c>
      <c r="AA4677" s="81" t="str">
        <f>IFERROR(HLOOKUP(J4677,データについて!$J$4:$AH$19,16,FALSE),"")</f>
        <v/>
      </c>
      <c r="AB4677" s="81" t="str">
        <f>IFERROR(HLOOKUP(K4677,データについて!$J$5:$AH$20,14,FALSE),"")</f>
        <v/>
      </c>
      <c r="AC4677" s="81" t="e">
        <f>IF(X4677=1,HLOOKUP(R4677,データについて!$J$12:$M$18,7,FALSE),"*")</f>
        <v>#N/A</v>
      </c>
      <c r="AD4677" s="81" t="e">
        <f>IF(X4677=2,HLOOKUP(R4677,データについて!$J$12:$M$18,7,FALSE),"*")</f>
        <v>#N/A</v>
      </c>
    </row>
    <row r="4678" spans="19:30">
      <c r="S4678" s="81" t="e">
        <f>HLOOKUP(L4678,データについて!$J$6:$M$18,13,FALSE)</f>
        <v>#N/A</v>
      </c>
      <c r="T4678" s="81" t="e">
        <f>HLOOKUP(M4678,データについて!$J$7:$M$18,12,FALSE)</f>
        <v>#N/A</v>
      </c>
      <c r="U4678" s="81" t="e">
        <f>HLOOKUP(N4678,データについて!$J$8:$M$18,11,FALSE)</f>
        <v>#N/A</v>
      </c>
      <c r="V4678" s="81" t="e">
        <f>HLOOKUP(O4678,データについて!$J$9:$M$18,10,FALSE)</f>
        <v>#N/A</v>
      </c>
      <c r="W4678" s="81" t="e">
        <f>HLOOKUP(P4678,データについて!$J$10:$M$18,9,FALSE)</f>
        <v>#N/A</v>
      </c>
      <c r="X4678" s="81" t="e">
        <f>HLOOKUP(Q4678,データについて!$J$11:$M$18,8,FALSE)</f>
        <v>#N/A</v>
      </c>
      <c r="Y4678" s="81" t="e">
        <f>HLOOKUP(R4678,データについて!$J$12:$M$18,7,FALSE)</f>
        <v>#N/A</v>
      </c>
      <c r="Z4678" s="81" t="e">
        <f>HLOOKUP(I4678,データについて!$J$3:$M$18,16,FALSE)</f>
        <v>#N/A</v>
      </c>
      <c r="AA4678" s="81" t="str">
        <f>IFERROR(HLOOKUP(J4678,データについて!$J$4:$AH$19,16,FALSE),"")</f>
        <v/>
      </c>
      <c r="AB4678" s="81" t="str">
        <f>IFERROR(HLOOKUP(K4678,データについて!$J$5:$AH$20,14,FALSE),"")</f>
        <v/>
      </c>
      <c r="AC4678" s="81" t="e">
        <f>IF(X4678=1,HLOOKUP(R4678,データについて!$J$12:$M$18,7,FALSE),"*")</f>
        <v>#N/A</v>
      </c>
      <c r="AD4678" s="81" t="e">
        <f>IF(X4678=2,HLOOKUP(R4678,データについて!$J$12:$M$18,7,FALSE),"*")</f>
        <v>#N/A</v>
      </c>
    </row>
    <row r="4679" spans="19:30">
      <c r="S4679" s="81" t="e">
        <f>HLOOKUP(L4679,データについて!$J$6:$M$18,13,FALSE)</f>
        <v>#N/A</v>
      </c>
      <c r="T4679" s="81" t="e">
        <f>HLOOKUP(M4679,データについて!$J$7:$M$18,12,FALSE)</f>
        <v>#N/A</v>
      </c>
      <c r="U4679" s="81" t="e">
        <f>HLOOKUP(N4679,データについて!$J$8:$M$18,11,FALSE)</f>
        <v>#N/A</v>
      </c>
      <c r="V4679" s="81" t="e">
        <f>HLOOKUP(O4679,データについて!$J$9:$M$18,10,FALSE)</f>
        <v>#N/A</v>
      </c>
      <c r="W4679" s="81" t="e">
        <f>HLOOKUP(P4679,データについて!$J$10:$M$18,9,FALSE)</f>
        <v>#N/A</v>
      </c>
      <c r="X4679" s="81" t="e">
        <f>HLOOKUP(Q4679,データについて!$J$11:$M$18,8,FALSE)</f>
        <v>#N/A</v>
      </c>
      <c r="Y4679" s="81" t="e">
        <f>HLOOKUP(R4679,データについて!$J$12:$M$18,7,FALSE)</f>
        <v>#N/A</v>
      </c>
      <c r="Z4679" s="81" t="e">
        <f>HLOOKUP(I4679,データについて!$J$3:$M$18,16,FALSE)</f>
        <v>#N/A</v>
      </c>
      <c r="AA4679" s="81" t="str">
        <f>IFERROR(HLOOKUP(J4679,データについて!$J$4:$AH$19,16,FALSE),"")</f>
        <v/>
      </c>
      <c r="AB4679" s="81" t="str">
        <f>IFERROR(HLOOKUP(K4679,データについて!$J$5:$AH$20,14,FALSE),"")</f>
        <v/>
      </c>
      <c r="AC4679" s="81" t="e">
        <f>IF(X4679=1,HLOOKUP(R4679,データについて!$J$12:$M$18,7,FALSE),"*")</f>
        <v>#N/A</v>
      </c>
      <c r="AD4679" s="81" t="e">
        <f>IF(X4679=2,HLOOKUP(R4679,データについて!$J$12:$M$18,7,FALSE),"*")</f>
        <v>#N/A</v>
      </c>
    </row>
    <row r="4680" spans="19:30">
      <c r="S4680" s="81" t="e">
        <f>HLOOKUP(L4680,データについて!$J$6:$M$18,13,FALSE)</f>
        <v>#N/A</v>
      </c>
      <c r="T4680" s="81" t="e">
        <f>HLOOKUP(M4680,データについて!$J$7:$M$18,12,FALSE)</f>
        <v>#N/A</v>
      </c>
      <c r="U4680" s="81" t="e">
        <f>HLOOKUP(N4680,データについて!$J$8:$M$18,11,FALSE)</f>
        <v>#N/A</v>
      </c>
      <c r="V4680" s="81" t="e">
        <f>HLOOKUP(O4680,データについて!$J$9:$M$18,10,FALSE)</f>
        <v>#N/A</v>
      </c>
      <c r="W4680" s="81" t="e">
        <f>HLOOKUP(P4680,データについて!$J$10:$M$18,9,FALSE)</f>
        <v>#N/A</v>
      </c>
      <c r="X4680" s="81" t="e">
        <f>HLOOKUP(Q4680,データについて!$J$11:$M$18,8,FALSE)</f>
        <v>#N/A</v>
      </c>
      <c r="Y4680" s="81" t="e">
        <f>HLOOKUP(R4680,データについて!$J$12:$M$18,7,FALSE)</f>
        <v>#N/A</v>
      </c>
      <c r="Z4680" s="81" t="e">
        <f>HLOOKUP(I4680,データについて!$J$3:$M$18,16,FALSE)</f>
        <v>#N/A</v>
      </c>
      <c r="AA4680" s="81" t="str">
        <f>IFERROR(HLOOKUP(J4680,データについて!$J$4:$AH$19,16,FALSE),"")</f>
        <v/>
      </c>
      <c r="AB4680" s="81" t="str">
        <f>IFERROR(HLOOKUP(K4680,データについて!$J$5:$AH$20,14,FALSE),"")</f>
        <v/>
      </c>
      <c r="AC4680" s="81" t="e">
        <f>IF(X4680=1,HLOOKUP(R4680,データについて!$J$12:$M$18,7,FALSE),"*")</f>
        <v>#N/A</v>
      </c>
      <c r="AD4680" s="81" t="e">
        <f>IF(X4680=2,HLOOKUP(R4680,データについて!$J$12:$M$18,7,FALSE),"*")</f>
        <v>#N/A</v>
      </c>
    </row>
    <row r="4681" spans="19:30">
      <c r="S4681" s="81" t="e">
        <f>HLOOKUP(L4681,データについて!$J$6:$M$18,13,FALSE)</f>
        <v>#N/A</v>
      </c>
      <c r="T4681" s="81" t="e">
        <f>HLOOKUP(M4681,データについて!$J$7:$M$18,12,FALSE)</f>
        <v>#N/A</v>
      </c>
      <c r="U4681" s="81" t="e">
        <f>HLOOKUP(N4681,データについて!$J$8:$M$18,11,FALSE)</f>
        <v>#N/A</v>
      </c>
      <c r="V4681" s="81" t="e">
        <f>HLOOKUP(O4681,データについて!$J$9:$M$18,10,FALSE)</f>
        <v>#N/A</v>
      </c>
      <c r="W4681" s="81" t="e">
        <f>HLOOKUP(P4681,データについて!$J$10:$M$18,9,FALSE)</f>
        <v>#N/A</v>
      </c>
      <c r="X4681" s="81" t="e">
        <f>HLOOKUP(Q4681,データについて!$J$11:$M$18,8,FALSE)</f>
        <v>#N/A</v>
      </c>
      <c r="Y4681" s="81" t="e">
        <f>HLOOKUP(R4681,データについて!$J$12:$M$18,7,FALSE)</f>
        <v>#N/A</v>
      </c>
      <c r="Z4681" s="81" t="e">
        <f>HLOOKUP(I4681,データについて!$J$3:$M$18,16,FALSE)</f>
        <v>#N/A</v>
      </c>
      <c r="AA4681" s="81" t="str">
        <f>IFERROR(HLOOKUP(J4681,データについて!$J$4:$AH$19,16,FALSE),"")</f>
        <v/>
      </c>
      <c r="AB4681" s="81" t="str">
        <f>IFERROR(HLOOKUP(K4681,データについて!$J$5:$AH$20,14,FALSE),"")</f>
        <v/>
      </c>
      <c r="AC4681" s="81" t="e">
        <f>IF(X4681=1,HLOOKUP(R4681,データについて!$J$12:$M$18,7,FALSE),"*")</f>
        <v>#N/A</v>
      </c>
      <c r="AD4681" s="81" t="e">
        <f>IF(X4681=2,HLOOKUP(R4681,データについて!$J$12:$M$18,7,FALSE),"*")</f>
        <v>#N/A</v>
      </c>
    </row>
    <row r="4682" spans="19:30">
      <c r="S4682" s="81" t="e">
        <f>HLOOKUP(L4682,データについて!$J$6:$M$18,13,FALSE)</f>
        <v>#N/A</v>
      </c>
      <c r="T4682" s="81" t="e">
        <f>HLOOKUP(M4682,データについて!$J$7:$M$18,12,FALSE)</f>
        <v>#N/A</v>
      </c>
      <c r="U4682" s="81" t="e">
        <f>HLOOKUP(N4682,データについて!$J$8:$M$18,11,FALSE)</f>
        <v>#N/A</v>
      </c>
      <c r="V4682" s="81" t="e">
        <f>HLOOKUP(O4682,データについて!$J$9:$M$18,10,FALSE)</f>
        <v>#N/A</v>
      </c>
      <c r="W4682" s="81" t="e">
        <f>HLOOKUP(P4682,データについて!$J$10:$M$18,9,FALSE)</f>
        <v>#N/A</v>
      </c>
      <c r="X4682" s="81" t="e">
        <f>HLOOKUP(Q4682,データについて!$J$11:$M$18,8,FALSE)</f>
        <v>#N/A</v>
      </c>
      <c r="Y4682" s="81" t="e">
        <f>HLOOKUP(R4682,データについて!$J$12:$M$18,7,FALSE)</f>
        <v>#N/A</v>
      </c>
      <c r="Z4682" s="81" t="e">
        <f>HLOOKUP(I4682,データについて!$J$3:$M$18,16,FALSE)</f>
        <v>#N/A</v>
      </c>
      <c r="AA4682" s="81" t="str">
        <f>IFERROR(HLOOKUP(J4682,データについて!$J$4:$AH$19,16,FALSE),"")</f>
        <v/>
      </c>
      <c r="AB4682" s="81" t="str">
        <f>IFERROR(HLOOKUP(K4682,データについて!$J$5:$AH$20,14,FALSE),"")</f>
        <v/>
      </c>
      <c r="AC4682" s="81" t="e">
        <f>IF(X4682=1,HLOOKUP(R4682,データについて!$J$12:$M$18,7,FALSE),"*")</f>
        <v>#N/A</v>
      </c>
      <c r="AD4682" s="81" t="e">
        <f>IF(X4682=2,HLOOKUP(R4682,データについて!$J$12:$M$18,7,FALSE),"*")</f>
        <v>#N/A</v>
      </c>
    </row>
    <row r="4683" spans="19:30">
      <c r="S4683" s="81" t="e">
        <f>HLOOKUP(L4683,データについて!$J$6:$M$18,13,FALSE)</f>
        <v>#N/A</v>
      </c>
      <c r="T4683" s="81" t="e">
        <f>HLOOKUP(M4683,データについて!$J$7:$M$18,12,FALSE)</f>
        <v>#N/A</v>
      </c>
      <c r="U4683" s="81" t="e">
        <f>HLOOKUP(N4683,データについて!$J$8:$M$18,11,FALSE)</f>
        <v>#N/A</v>
      </c>
      <c r="V4683" s="81" t="e">
        <f>HLOOKUP(O4683,データについて!$J$9:$M$18,10,FALSE)</f>
        <v>#N/A</v>
      </c>
      <c r="W4683" s="81" t="e">
        <f>HLOOKUP(P4683,データについて!$J$10:$M$18,9,FALSE)</f>
        <v>#N/A</v>
      </c>
      <c r="X4683" s="81" t="e">
        <f>HLOOKUP(Q4683,データについて!$J$11:$M$18,8,FALSE)</f>
        <v>#N/A</v>
      </c>
      <c r="Y4683" s="81" t="e">
        <f>HLOOKUP(R4683,データについて!$J$12:$M$18,7,FALSE)</f>
        <v>#N/A</v>
      </c>
      <c r="Z4683" s="81" t="e">
        <f>HLOOKUP(I4683,データについて!$J$3:$M$18,16,FALSE)</f>
        <v>#N/A</v>
      </c>
      <c r="AA4683" s="81" t="str">
        <f>IFERROR(HLOOKUP(J4683,データについて!$J$4:$AH$19,16,FALSE),"")</f>
        <v/>
      </c>
      <c r="AB4683" s="81" t="str">
        <f>IFERROR(HLOOKUP(K4683,データについて!$J$5:$AH$20,14,FALSE),"")</f>
        <v/>
      </c>
      <c r="AC4683" s="81" t="e">
        <f>IF(X4683=1,HLOOKUP(R4683,データについて!$J$12:$M$18,7,FALSE),"*")</f>
        <v>#N/A</v>
      </c>
      <c r="AD4683" s="81" t="e">
        <f>IF(X4683=2,HLOOKUP(R4683,データについて!$J$12:$M$18,7,FALSE),"*")</f>
        <v>#N/A</v>
      </c>
    </row>
    <row r="4684" spans="19:30">
      <c r="S4684" s="81" t="e">
        <f>HLOOKUP(L4684,データについて!$J$6:$M$18,13,FALSE)</f>
        <v>#N/A</v>
      </c>
      <c r="T4684" s="81" t="e">
        <f>HLOOKUP(M4684,データについて!$J$7:$M$18,12,FALSE)</f>
        <v>#N/A</v>
      </c>
      <c r="U4684" s="81" t="e">
        <f>HLOOKUP(N4684,データについて!$J$8:$M$18,11,FALSE)</f>
        <v>#N/A</v>
      </c>
      <c r="V4684" s="81" t="e">
        <f>HLOOKUP(O4684,データについて!$J$9:$M$18,10,FALSE)</f>
        <v>#N/A</v>
      </c>
      <c r="W4684" s="81" t="e">
        <f>HLOOKUP(P4684,データについて!$J$10:$M$18,9,FALSE)</f>
        <v>#N/A</v>
      </c>
      <c r="X4684" s="81" t="e">
        <f>HLOOKUP(Q4684,データについて!$J$11:$M$18,8,FALSE)</f>
        <v>#N/A</v>
      </c>
      <c r="Y4684" s="81" t="e">
        <f>HLOOKUP(R4684,データについて!$J$12:$M$18,7,FALSE)</f>
        <v>#N/A</v>
      </c>
      <c r="Z4684" s="81" t="e">
        <f>HLOOKUP(I4684,データについて!$J$3:$M$18,16,FALSE)</f>
        <v>#N/A</v>
      </c>
      <c r="AA4684" s="81" t="str">
        <f>IFERROR(HLOOKUP(J4684,データについて!$J$4:$AH$19,16,FALSE),"")</f>
        <v/>
      </c>
      <c r="AB4684" s="81" t="str">
        <f>IFERROR(HLOOKUP(K4684,データについて!$J$5:$AH$20,14,FALSE),"")</f>
        <v/>
      </c>
      <c r="AC4684" s="81" t="e">
        <f>IF(X4684=1,HLOOKUP(R4684,データについて!$J$12:$M$18,7,FALSE),"*")</f>
        <v>#N/A</v>
      </c>
      <c r="AD4684" s="81" t="e">
        <f>IF(X4684=2,HLOOKUP(R4684,データについて!$J$12:$M$18,7,FALSE),"*")</f>
        <v>#N/A</v>
      </c>
    </row>
    <row r="4685" spans="19:30">
      <c r="S4685" s="81" t="e">
        <f>HLOOKUP(L4685,データについて!$J$6:$M$18,13,FALSE)</f>
        <v>#N/A</v>
      </c>
      <c r="T4685" s="81" t="e">
        <f>HLOOKUP(M4685,データについて!$J$7:$M$18,12,FALSE)</f>
        <v>#N/A</v>
      </c>
      <c r="U4685" s="81" t="e">
        <f>HLOOKUP(N4685,データについて!$J$8:$M$18,11,FALSE)</f>
        <v>#N/A</v>
      </c>
      <c r="V4685" s="81" t="e">
        <f>HLOOKUP(O4685,データについて!$J$9:$M$18,10,FALSE)</f>
        <v>#N/A</v>
      </c>
      <c r="W4685" s="81" t="e">
        <f>HLOOKUP(P4685,データについて!$J$10:$M$18,9,FALSE)</f>
        <v>#N/A</v>
      </c>
      <c r="X4685" s="81" t="e">
        <f>HLOOKUP(Q4685,データについて!$J$11:$M$18,8,FALSE)</f>
        <v>#N/A</v>
      </c>
      <c r="Y4685" s="81" t="e">
        <f>HLOOKUP(R4685,データについて!$J$12:$M$18,7,FALSE)</f>
        <v>#N/A</v>
      </c>
      <c r="Z4685" s="81" t="e">
        <f>HLOOKUP(I4685,データについて!$J$3:$M$18,16,FALSE)</f>
        <v>#N/A</v>
      </c>
      <c r="AA4685" s="81" t="str">
        <f>IFERROR(HLOOKUP(J4685,データについて!$J$4:$AH$19,16,FALSE),"")</f>
        <v/>
      </c>
      <c r="AB4685" s="81" t="str">
        <f>IFERROR(HLOOKUP(K4685,データについて!$J$5:$AH$20,14,FALSE),"")</f>
        <v/>
      </c>
      <c r="AC4685" s="81" t="e">
        <f>IF(X4685=1,HLOOKUP(R4685,データについて!$J$12:$M$18,7,FALSE),"*")</f>
        <v>#N/A</v>
      </c>
      <c r="AD4685" s="81" t="e">
        <f>IF(X4685=2,HLOOKUP(R4685,データについて!$J$12:$M$18,7,FALSE),"*")</f>
        <v>#N/A</v>
      </c>
    </row>
    <row r="4686" spans="19:30">
      <c r="S4686" s="81" t="e">
        <f>HLOOKUP(L4686,データについて!$J$6:$M$18,13,FALSE)</f>
        <v>#N/A</v>
      </c>
      <c r="T4686" s="81" t="e">
        <f>HLOOKUP(M4686,データについて!$J$7:$M$18,12,FALSE)</f>
        <v>#N/A</v>
      </c>
      <c r="U4686" s="81" t="e">
        <f>HLOOKUP(N4686,データについて!$J$8:$M$18,11,FALSE)</f>
        <v>#N/A</v>
      </c>
      <c r="V4686" s="81" t="e">
        <f>HLOOKUP(O4686,データについて!$J$9:$M$18,10,FALSE)</f>
        <v>#N/A</v>
      </c>
      <c r="W4686" s="81" t="e">
        <f>HLOOKUP(P4686,データについて!$J$10:$M$18,9,FALSE)</f>
        <v>#N/A</v>
      </c>
      <c r="X4686" s="81" t="e">
        <f>HLOOKUP(Q4686,データについて!$J$11:$M$18,8,FALSE)</f>
        <v>#N/A</v>
      </c>
      <c r="Y4686" s="81" t="e">
        <f>HLOOKUP(R4686,データについて!$J$12:$M$18,7,FALSE)</f>
        <v>#N/A</v>
      </c>
      <c r="Z4686" s="81" t="e">
        <f>HLOOKUP(I4686,データについて!$J$3:$M$18,16,FALSE)</f>
        <v>#N/A</v>
      </c>
      <c r="AA4686" s="81" t="str">
        <f>IFERROR(HLOOKUP(J4686,データについて!$J$4:$AH$19,16,FALSE),"")</f>
        <v/>
      </c>
      <c r="AB4686" s="81" t="str">
        <f>IFERROR(HLOOKUP(K4686,データについて!$J$5:$AH$20,14,FALSE),"")</f>
        <v/>
      </c>
      <c r="AC4686" s="81" t="e">
        <f>IF(X4686=1,HLOOKUP(R4686,データについて!$J$12:$M$18,7,FALSE),"*")</f>
        <v>#N/A</v>
      </c>
      <c r="AD4686" s="81" t="e">
        <f>IF(X4686=2,HLOOKUP(R4686,データについて!$J$12:$M$18,7,FALSE),"*")</f>
        <v>#N/A</v>
      </c>
    </row>
    <row r="4687" spans="19:30">
      <c r="S4687" s="81" t="e">
        <f>HLOOKUP(L4687,データについて!$J$6:$M$18,13,FALSE)</f>
        <v>#N/A</v>
      </c>
      <c r="T4687" s="81" t="e">
        <f>HLOOKUP(M4687,データについて!$J$7:$M$18,12,FALSE)</f>
        <v>#N/A</v>
      </c>
      <c r="U4687" s="81" t="e">
        <f>HLOOKUP(N4687,データについて!$J$8:$M$18,11,FALSE)</f>
        <v>#N/A</v>
      </c>
      <c r="V4687" s="81" t="e">
        <f>HLOOKUP(O4687,データについて!$J$9:$M$18,10,FALSE)</f>
        <v>#N/A</v>
      </c>
      <c r="W4687" s="81" t="e">
        <f>HLOOKUP(P4687,データについて!$J$10:$M$18,9,FALSE)</f>
        <v>#N/A</v>
      </c>
      <c r="X4687" s="81" t="e">
        <f>HLOOKUP(Q4687,データについて!$J$11:$M$18,8,FALSE)</f>
        <v>#N/A</v>
      </c>
      <c r="Y4687" s="81" t="e">
        <f>HLOOKUP(R4687,データについて!$J$12:$M$18,7,FALSE)</f>
        <v>#N/A</v>
      </c>
      <c r="Z4687" s="81" t="e">
        <f>HLOOKUP(I4687,データについて!$J$3:$M$18,16,FALSE)</f>
        <v>#N/A</v>
      </c>
      <c r="AA4687" s="81" t="str">
        <f>IFERROR(HLOOKUP(J4687,データについて!$J$4:$AH$19,16,FALSE),"")</f>
        <v/>
      </c>
      <c r="AB4687" s="81" t="str">
        <f>IFERROR(HLOOKUP(K4687,データについて!$J$5:$AH$20,14,FALSE),"")</f>
        <v/>
      </c>
      <c r="AC4687" s="81" t="e">
        <f>IF(X4687=1,HLOOKUP(R4687,データについて!$J$12:$M$18,7,FALSE),"*")</f>
        <v>#N/A</v>
      </c>
      <c r="AD4687" s="81" t="e">
        <f>IF(X4687=2,HLOOKUP(R4687,データについて!$J$12:$M$18,7,FALSE),"*")</f>
        <v>#N/A</v>
      </c>
    </row>
    <row r="4688" spans="19:30">
      <c r="S4688" s="81" t="e">
        <f>HLOOKUP(L4688,データについて!$J$6:$M$18,13,FALSE)</f>
        <v>#N/A</v>
      </c>
      <c r="T4688" s="81" t="e">
        <f>HLOOKUP(M4688,データについて!$J$7:$M$18,12,FALSE)</f>
        <v>#N/A</v>
      </c>
      <c r="U4688" s="81" t="e">
        <f>HLOOKUP(N4688,データについて!$J$8:$M$18,11,FALSE)</f>
        <v>#N/A</v>
      </c>
      <c r="V4688" s="81" t="e">
        <f>HLOOKUP(O4688,データについて!$J$9:$M$18,10,FALSE)</f>
        <v>#N/A</v>
      </c>
      <c r="W4688" s="81" t="e">
        <f>HLOOKUP(P4688,データについて!$J$10:$M$18,9,FALSE)</f>
        <v>#N/A</v>
      </c>
      <c r="X4688" s="81" t="e">
        <f>HLOOKUP(Q4688,データについて!$J$11:$M$18,8,FALSE)</f>
        <v>#N/A</v>
      </c>
      <c r="Y4688" s="81" t="e">
        <f>HLOOKUP(R4688,データについて!$J$12:$M$18,7,FALSE)</f>
        <v>#N/A</v>
      </c>
      <c r="Z4688" s="81" t="e">
        <f>HLOOKUP(I4688,データについて!$J$3:$M$18,16,FALSE)</f>
        <v>#N/A</v>
      </c>
      <c r="AA4688" s="81" t="str">
        <f>IFERROR(HLOOKUP(J4688,データについて!$J$4:$AH$19,16,FALSE),"")</f>
        <v/>
      </c>
      <c r="AB4688" s="81" t="str">
        <f>IFERROR(HLOOKUP(K4688,データについて!$J$5:$AH$20,14,FALSE),"")</f>
        <v/>
      </c>
      <c r="AC4688" s="81" t="e">
        <f>IF(X4688=1,HLOOKUP(R4688,データについて!$J$12:$M$18,7,FALSE),"*")</f>
        <v>#N/A</v>
      </c>
      <c r="AD4688" s="81" t="e">
        <f>IF(X4688=2,HLOOKUP(R4688,データについて!$J$12:$M$18,7,FALSE),"*")</f>
        <v>#N/A</v>
      </c>
    </row>
    <row r="4689" spans="19:30">
      <c r="S4689" s="81" t="e">
        <f>HLOOKUP(L4689,データについて!$J$6:$M$18,13,FALSE)</f>
        <v>#N/A</v>
      </c>
      <c r="T4689" s="81" t="e">
        <f>HLOOKUP(M4689,データについて!$J$7:$M$18,12,FALSE)</f>
        <v>#N/A</v>
      </c>
      <c r="U4689" s="81" t="e">
        <f>HLOOKUP(N4689,データについて!$J$8:$M$18,11,FALSE)</f>
        <v>#N/A</v>
      </c>
      <c r="V4689" s="81" t="e">
        <f>HLOOKUP(O4689,データについて!$J$9:$M$18,10,FALSE)</f>
        <v>#N/A</v>
      </c>
      <c r="W4689" s="81" t="e">
        <f>HLOOKUP(P4689,データについて!$J$10:$M$18,9,FALSE)</f>
        <v>#N/A</v>
      </c>
      <c r="X4689" s="81" t="e">
        <f>HLOOKUP(Q4689,データについて!$J$11:$M$18,8,FALSE)</f>
        <v>#N/A</v>
      </c>
      <c r="Y4689" s="81" t="e">
        <f>HLOOKUP(R4689,データについて!$J$12:$M$18,7,FALSE)</f>
        <v>#N/A</v>
      </c>
      <c r="Z4689" s="81" t="e">
        <f>HLOOKUP(I4689,データについて!$J$3:$M$18,16,FALSE)</f>
        <v>#N/A</v>
      </c>
      <c r="AA4689" s="81" t="str">
        <f>IFERROR(HLOOKUP(J4689,データについて!$J$4:$AH$19,16,FALSE),"")</f>
        <v/>
      </c>
      <c r="AB4689" s="81" t="str">
        <f>IFERROR(HLOOKUP(K4689,データについて!$J$5:$AH$20,14,FALSE),"")</f>
        <v/>
      </c>
      <c r="AC4689" s="81" t="e">
        <f>IF(X4689=1,HLOOKUP(R4689,データについて!$J$12:$M$18,7,FALSE),"*")</f>
        <v>#N/A</v>
      </c>
      <c r="AD4689" s="81" t="e">
        <f>IF(X4689=2,HLOOKUP(R4689,データについて!$J$12:$M$18,7,FALSE),"*")</f>
        <v>#N/A</v>
      </c>
    </row>
    <row r="4690" spans="19:30">
      <c r="S4690" s="81" t="e">
        <f>HLOOKUP(L4690,データについて!$J$6:$M$18,13,FALSE)</f>
        <v>#N/A</v>
      </c>
      <c r="T4690" s="81" t="e">
        <f>HLOOKUP(M4690,データについて!$J$7:$M$18,12,FALSE)</f>
        <v>#N/A</v>
      </c>
      <c r="U4690" s="81" t="e">
        <f>HLOOKUP(N4690,データについて!$J$8:$M$18,11,FALSE)</f>
        <v>#N/A</v>
      </c>
      <c r="V4690" s="81" t="e">
        <f>HLOOKUP(O4690,データについて!$J$9:$M$18,10,FALSE)</f>
        <v>#N/A</v>
      </c>
      <c r="W4690" s="81" t="e">
        <f>HLOOKUP(P4690,データについて!$J$10:$M$18,9,FALSE)</f>
        <v>#N/A</v>
      </c>
      <c r="X4690" s="81" t="e">
        <f>HLOOKUP(Q4690,データについて!$J$11:$M$18,8,FALSE)</f>
        <v>#N/A</v>
      </c>
      <c r="Y4690" s="81" t="e">
        <f>HLOOKUP(R4690,データについて!$J$12:$M$18,7,FALSE)</f>
        <v>#N/A</v>
      </c>
      <c r="Z4690" s="81" t="e">
        <f>HLOOKUP(I4690,データについて!$J$3:$M$18,16,FALSE)</f>
        <v>#N/A</v>
      </c>
      <c r="AA4690" s="81" t="str">
        <f>IFERROR(HLOOKUP(J4690,データについて!$J$4:$AH$19,16,FALSE),"")</f>
        <v/>
      </c>
      <c r="AB4690" s="81" t="str">
        <f>IFERROR(HLOOKUP(K4690,データについて!$J$5:$AH$20,14,FALSE),"")</f>
        <v/>
      </c>
      <c r="AC4690" s="81" t="e">
        <f>IF(X4690=1,HLOOKUP(R4690,データについて!$J$12:$M$18,7,FALSE),"*")</f>
        <v>#N/A</v>
      </c>
      <c r="AD4690" s="81" t="e">
        <f>IF(X4690=2,HLOOKUP(R4690,データについて!$J$12:$M$18,7,FALSE),"*")</f>
        <v>#N/A</v>
      </c>
    </row>
    <row r="4691" spans="19:30">
      <c r="S4691" s="81" t="e">
        <f>HLOOKUP(L4691,データについて!$J$6:$M$18,13,FALSE)</f>
        <v>#N/A</v>
      </c>
      <c r="T4691" s="81" t="e">
        <f>HLOOKUP(M4691,データについて!$J$7:$M$18,12,FALSE)</f>
        <v>#N/A</v>
      </c>
      <c r="U4691" s="81" t="e">
        <f>HLOOKUP(N4691,データについて!$J$8:$M$18,11,FALSE)</f>
        <v>#N/A</v>
      </c>
      <c r="V4691" s="81" t="e">
        <f>HLOOKUP(O4691,データについて!$J$9:$M$18,10,FALSE)</f>
        <v>#N/A</v>
      </c>
      <c r="W4691" s="81" t="e">
        <f>HLOOKUP(P4691,データについて!$J$10:$M$18,9,FALSE)</f>
        <v>#N/A</v>
      </c>
      <c r="X4691" s="81" t="e">
        <f>HLOOKUP(Q4691,データについて!$J$11:$M$18,8,FALSE)</f>
        <v>#N/A</v>
      </c>
      <c r="Y4691" s="81" t="e">
        <f>HLOOKUP(R4691,データについて!$J$12:$M$18,7,FALSE)</f>
        <v>#N/A</v>
      </c>
      <c r="Z4691" s="81" t="e">
        <f>HLOOKUP(I4691,データについて!$J$3:$M$18,16,FALSE)</f>
        <v>#N/A</v>
      </c>
      <c r="AA4691" s="81" t="str">
        <f>IFERROR(HLOOKUP(J4691,データについて!$J$4:$AH$19,16,FALSE),"")</f>
        <v/>
      </c>
      <c r="AB4691" s="81" t="str">
        <f>IFERROR(HLOOKUP(K4691,データについて!$J$5:$AH$20,14,FALSE),"")</f>
        <v/>
      </c>
      <c r="AC4691" s="81" t="e">
        <f>IF(X4691=1,HLOOKUP(R4691,データについて!$J$12:$M$18,7,FALSE),"*")</f>
        <v>#N/A</v>
      </c>
      <c r="AD4691" s="81" t="e">
        <f>IF(X4691=2,HLOOKUP(R4691,データについて!$J$12:$M$18,7,FALSE),"*")</f>
        <v>#N/A</v>
      </c>
    </row>
    <row r="4692" spans="19:30">
      <c r="S4692" s="81" t="e">
        <f>HLOOKUP(L4692,データについて!$J$6:$M$18,13,FALSE)</f>
        <v>#N/A</v>
      </c>
      <c r="T4692" s="81" t="e">
        <f>HLOOKUP(M4692,データについて!$J$7:$M$18,12,FALSE)</f>
        <v>#N/A</v>
      </c>
      <c r="U4692" s="81" t="e">
        <f>HLOOKUP(N4692,データについて!$J$8:$M$18,11,FALSE)</f>
        <v>#N/A</v>
      </c>
      <c r="V4692" s="81" t="e">
        <f>HLOOKUP(O4692,データについて!$J$9:$M$18,10,FALSE)</f>
        <v>#N/A</v>
      </c>
      <c r="W4692" s="81" t="e">
        <f>HLOOKUP(P4692,データについて!$J$10:$M$18,9,FALSE)</f>
        <v>#N/A</v>
      </c>
      <c r="X4692" s="81" t="e">
        <f>HLOOKUP(Q4692,データについて!$J$11:$M$18,8,FALSE)</f>
        <v>#N/A</v>
      </c>
      <c r="Y4692" s="81" t="e">
        <f>HLOOKUP(R4692,データについて!$J$12:$M$18,7,FALSE)</f>
        <v>#N/A</v>
      </c>
      <c r="Z4692" s="81" t="e">
        <f>HLOOKUP(I4692,データについて!$J$3:$M$18,16,FALSE)</f>
        <v>#N/A</v>
      </c>
      <c r="AA4692" s="81" t="str">
        <f>IFERROR(HLOOKUP(J4692,データについて!$J$4:$AH$19,16,FALSE),"")</f>
        <v/>
      </c>
      <c r="AB4692" s="81" t="str">
        <f>IFERROR(HLOOKUP(K4692,データについて!$J$5:$AH$20,14,FALSE),"")</f>
        <v/>
      </c>
      <c r="AC4692" s="81" t="e">
        <f>IF(X4692=1,HLOOKUP(R4692,データについて!$J$12:$M$18,7,FALSE),"*")</f>
        <v>#N/A</v>
      </c>
      <c r="AD4692" s="81" t="e">
        <f>IF(X4692=2,HLOOKUP(R4692,データについて!$J$12:$M$18,7,FALSE),"*")</f>
        <v>#N/A</v>
      </c>
    </row>
    <row r="4693" spans="19:30">
      <c r="S4693" s="81" t="e">
        <f>HLOOKUP(L4693,データについて!$J$6:$M$18,13,FALSE)</f>
        <v>#N/A</v>
      </c>
      <c r="T4693" s="81" t="e">
        <f>HLOOKUP(M4693,データについて!$J$7:$M$18,12,FALSE)</f>
        <v>#N/A</v>
      </c>
      <c r="U4693" s="81" t="e">
        <f>HLOOKUP(N4693,データについて!$J$8:$M$18,11,FALSE)</f>
        <v>#N/A</v>
      </c>
      <c r="V4693" s="81" t="e">
        <f>HLOOKUP(O4693,データについて!$J$9:$M$18,10,FALSE)</f>
        <v>#N/A</v>
      </c>
      <c r="W4693" s="81" t="e">
        <f>HLOOKUP(P4693,データについて!$J$10:$M$18,9,FALSE)</f>
        <v>#N/A</v>
      </c>
      <c r="X4693" s="81" t="e">
        <f>HLOOKUP(Q4693,データについて!$J$11:$M$18,8,FALSE)</f>
        <v>#N/A</v>
      </c>
      <c r="Y4693" s="81" t="e">
        <f>HLOOKUP(R4693,データについて!$J$12:$M$18,7,FALSE)</f>
        <v>#N/A</v>
      </c>
      <c r="Z4693" s="81" t="e">
        <f>HLOOKUP(I4693,データについて!$J$3:$M$18,16,FALSE)</f>
        <v>#N/A</v>
      </c>
      <c r="AA4693" s="81" t="str">
        <f>IFERROR(HLOOKUP(J4693,データについて!$J$4:$AH$19,16,FALSE),"")</f>
        <v/>
      </c>
      <c r="AB4693" s="81" t="str">
        <f>IFERROR(HLOOKUP(K4693,データについて!$J$5:$AH$20,14,FALSE),"")</f>
        <v/>
      </c>
      <c r="AC4693" s="81" t="e">
        <f>IF(X4693=1,HLOOKUP(R4693,データについて!$J$12:$M$18,7,FALSE),"*")</f>
        <v>#N/A</v>
      </c>
      <c r="AD4693" s="81" t="e">
        <f>IF(X4693=2,HLOOKUP(R4693,データについて!$J$12:$M$18,7,FALSE),"*")</f>
        <v>#N/A</v>
      </c>
    </row>
    <row r="4694" spans="19:30">
      <c r="S4694" s="81" t="e">
        <f>HLOOKUP(L4694,データについて!$J$6:$M$18,13,FALSE)</f>
        <v>#N/A</v>
      </c>
      <c r="T4694" s="81" t="e">
        <f>HLOOKUP(M4694,データについて!$J$7:$M$18,12,FALSE)</f>
        <v>#N/A</v>
      </c>
      <c r="U4694" s="81" t="e">
        <f>HLOOKUP(N4694,データについて!$J$8:$M$18,11,FALSE)</f>
        <v>#N/A</v>
      </c>
      <c r="V4694" s="81" t="e">
        <f>HLOOKUP(O4694,データについて!$J$9:$M$18,10,FALSE)</f>
        <v>#N/A</v>
      </c>
      <c r="W4694" s="81" t="e">
        <f>HLOOKUP(P4694,データについて!$J$10:$M$18,9,FALSE)</f>
        <v>#N/A</v>
      </c>
      <c r="X4694" s="81" t="e">
        <f>HLOOKUP(Q4694,データについて!$J$11:$M$18,8,FALSE)</f>
        <v>#N/A</v>
      </c>
      <c r="Y4694" s="81" t="e">
        <f>HLOOKUP(R4694,データについて!$J$12:$M$18,7,FALSE)</f>
        <v>#N/A</v>
      </c>
      <c r="Z4694" s="81" t="e">
        <f>HLOOKUP(I4694,データについて!$J$3:$M$18,16,FALSE)</f>
        <v>#N/A</v>
      </c>
      <c r="AA4694" s="81" t="str">
        <f>IFERROR(HLOOKUP(J4694,データについて!$J$4:$AH$19,16,FALSE),"")</f>
        <v/>
      </c>
      <c r="AB4694" s="81" t="str">
        <f>IFERROR(HLOOKUP(K4694,データについて!$J$5:$AH$20,14,FALSE),"")</f>
        <v/>
      </c>
      <c r="AC4694" s="81" t="e">
        <f>IF(X4694=1,HLOOKUP(R4694,データについて!$J$12:$M$18,7,FALSE),"*")</f>
        <v>#N/A</v>
      </c>
      <c r="AD4694" s="81" t="e">
        <f>IF(X4694=2,HLOOKUP(R4694,データについて!$J$12:$M$18,7,FALSE),"*")</f>
        <v>#N/A</v>
      </c>
    </row>
    <row r="4695" spans="19:30">
      <c r="S4695" s="81" t="e">
        <f>HLOOKUP(L4695,データについて!$J$6:$M$18,13,FALSE)</f>
        <v>#N/A</v>
      </c>
      <c r="T4695" s="81" t="e">
        <f>HLOOKUP(M4695,データについて!$J$7:$M$18,12,FALSE)</f>
        <v>#N/A</v>
      </c>
      <c r="U4695" s="81" t="e">
        <f>HLOOKUP(N4695,データについて!$J$8:$M$18,11,FALSE)</f>
        <v>#N/A</v>
      </c>
      <c r="V4695" s="81" t="e">
        <f>HLOOKUP(O4695,データについて!$J$9:$M$18,10,FALSE)</f>
        <v>#N/A</v>
      </c>
      <c r="W4695" s="81" t="e">
        <f>HLOOKUP(P4695,データについて!$J$10:$M$18,9,FALSE)</f>
        <v>#N/A</v>
      </c>
      <c r="X4695" s="81" t="e">
        <f>HLOOKUP(Q4695,データについて!$J$11:$M$18,8,FALSE)</f>
        <v>#N/A</v>
      </c>
      <c r="Y4695" s="81" t="e">
        <f>HLOOKUP(R4695,データについて!$J$12:$M$18,7,FALSE)</f>
        <v>#N/A</v>
      </c>
      <c r="Z4695" s="81" t="e">
        <f>HLOOKUP(I4695,データについて!$J$3:$M$18,16,FALSE)</f>
        <v>#N/A</v>
      </c>
      <c r="AA4695" s="81" t="str">
        <f>IFERROR(HLOOKUP(J4695,データについて!$J$4:$AH$19,16,FALSE),"")</f>
        <v/>
      </c>
      <c r="AB4695" s="81" t="str">
        <f>IFERROR(HLOOKUP(K4695,データについて!$J$5:$AH$20,14,FALSE),"")</f>
        <v/>
      </c>
      <c r="AC4695" s="81" t="e">
        <f>IF(X4695=1,HLOOKUP(R4695,データについて!$J$12:$M$18,7,FALSE),"*")</f>
        <v>#N/A</v>
      </c>
      <c r="AD4695" s="81" t="e">
        <f>IF(X4695=2,HLOOKUP(R4695,データについて!$J$12:$M$18,7,FALSE),"*")</f>
        <v>#N/A</v>
      </c>
    </row>
    <row r="4696" spans="19:30">
      <c r="S4696" s="81" t="e">
        <f>HLOOKUP(L4696,データについて!$J$6:$M$18,13,FALSE)</f>
        <v>#N/A</v>
      </c>
      <c r="T4696" s="81" t="e">
        <f>HLOOKUP(M4696,データについて!$J$7:$M$18,12,FALSE)</f>
        <v>#N/A</v>
      </c>
      <c r="U4696" s="81" t="e">
        <f>HLOOKUP(N4696,データについて!$J$8:$M$18,11,FALSE)</f>
        <v>#N/A</v>
      </c>
      <c r="V4696" s="81" t="e">
        <f>HLOOKUP(O4696,データについて!$J$9:$M$18,10,FALSE)</f>
        <v>#N/A</v>
      </c>
      <c r="W4696" s="81" t="e">
        <f>HLOOKUP(P4696,データについて!$J$10:$M$18,9,FALSE)</f>
        <v>#N/A</v>
      </c>
      <c r="X4696" s="81" t="e">
        <f>HLOOKUP(Q4696,データについて!$J$11:$M$18,8,FALSE)</f>
        <v>#N/A</v>
      </c>
      <c r="Y4696" s="81" t="e">
        <f>HLOOKUP(R4696,データについて!$J$12:$M$18,7,FALSE)</f>
        <v>#N/A</v>
      </c>
      <c r="Z4696" s="81" t="e">
        <f>HLOOKUP(I4696,データについて!$J$3:$M$18,16,FALSE)</f>
        <v>#N/A</v>
      </c>
      <c r="AA4696" s="81" t="str">
        <f>IFERROR(HLOOKUP(J4696,データについて!$J$4:$AH$19,16,FALSE),"")</f>
        <v/>
      </c>
      <c r="AB4696" s="81" t="str">
        <f>IFERROR(HLOOKUP(K4696,データについて!$J$5:$AH$20,14,FALSE),"")</f>
        <v/>
      </c>
      <c r="AC4696" s="81" t="e">
        <f>IF(X4696=1,HLOOKUP(R4696,データについて!$J$12:$M$18,7,FALSE),"*")</f>
        <v>#N/A</v>
      </c>
      <c r="AD4696" s="81" t="e">
        <f>IF(X4696=2,HLOOKUP(R4696,データについて!$J$12:$M$18,7,FALSE),"*")</f>
        <v>#N/A</v>
      </c>
    </row>
    <row r="4697" spans="19:30">
      <c r="S4697" s="81" t="e">
        <f>HLOOKUP(L4697,データについて!$J$6:$M$18,13,FALSE)</f>
        <v>#N/A</v>
      </c>
      <c r="T4697" s="81" t="e">
        <f>HLOOKUP(M4697,データについて!$J$7:$M$18,12,FALSE)</f>
        <v>#N/A</v>
      </c>
      <c r="U4697" s="81" t="e">
        <f>HLOOKUP(N4697,データについて!$J$8:$M$18,11,FALSE)</f>
        <v>#N/A</v>
      </c>
      <c r="V4697" s="81" t="e">
        <f>HLOOKUP(O4697,データについて!$J$9:$M$18,10,FALSE)</f>
        <v>#N/A</v>
      </c>
      <c r="W4697" s="81" t="e">
        <f>HLOOKUP(P4697,データについて!$J$10:$M$18,9,FALSE)</f>
        <v>#N/A</v>
      </c>
      <c r="X4697" s="81" t="e">
        <f>HLOOKUP(Q4697,データについて!$J$11:$M$18,8,FALSE)</f>
        <v>#N/A</v>
      </c>
      <c r="Y4697" s="81" t="e">
        <f>HLOOKUP(R4697,データについて!$J$12:$M$18,7,FALSE)</f>
        <v>#N/A</v>
      </c>
      <c r="Z4697" s="81" t="e">
        <f>HLOOKUP(I4697,データについて!$J$3:$M$18,16,FALSE)</f>
        <v>#N/A</v>
      </c>
      <c r="AA4697" s="81" t="str">
        <f>IFERROR(HLOOKUP(J4697,データについて!$J$4:$AH$19,16,FALSE),"")</f>
        <v/>
      </c>
      <c r="AB4697" s="81" t="str">
        <f>IFERROR(HLOOKUP(K4697,データについて!$J$5:$AH$20,14,FALSE),"")</f>
        <v/>
      </c>
      <c r="AC4697" s="81" t="e">
        <f>IF(X4697=1,HLOOKUP(R4697,データについて!$J$12:$M$18,7,FALSE),"*")</f>
        <v>#N/A</v>
      </c>
      <c r="AD4697" s="81" t="e">
        <f>IF(X4697=2,HLOOKUP(R4697,データについて!$J$12:$M$18,7,FALSE),"*")</f>
        <v>#N/A</v>
      </c>
    </row>
    <row r="4698" spans="19:30">
      <c r="S4698" s="81" t="e">
        <f>HLOOKUP(L4698,データについて!$J$6:$M$18,13,FALSE)</f>
        <v>#N/A</v>
      </c>
      <c r="T4698" s="81" t="e">
        <f>HLOOKUP(M4698,データについて!$J$7:$M$18,12,FALSE)</f>
        <v>#N/A</v>
      </c>
      <c r="U4698" s="81" t="e">
        <f>HLOOKUP(N4698,データについて!$J$8:$M$18,11,FALSE)</f>
        <v>#N/A</v>
      </c>
      <c r="V4698" s="81" t="e">
        <f>HLOOKUP(O4698,データについて!$J$9:$M$18,10,FALSE)</f>
        <v>#N/A</v>
      </c>
      <c r="W4698" s="81" t="e">
        <f>HLOOKUP(P4698,データについて!$J$10:$M$18,9,FALSE)</f>
        <v>#N/A</v>
      </c>
      <c r="X4698" s="81" t="e">
        <f>HLOOKUP(Q4698,データについて!$J$11:$M$18,8,FALSE)</f>
        <v>#N/A</v>
      </c>
      <c r="Y4698" s="81" t="e">
        <f>HLOOKUP(R4698,データについて!$J$12:$M$18,7,FALSE)</f>
        <v>#N/A</v>
      </c>
      <c r="Z4698" s="81" t="e">
        <f>HLOOKUP(I4698,データについて!$J$3:$M$18,16,FALSE)</f>
        <v>#N/A</v>
      </c>
      <c r="AA4698" s="81" t="str">
        <f>IFERROR(HLOOKUP(J4698,データについて!$J$4:$AH$19,16,FALSE),"")</f>
        <v/>
      </c>
      <c r="AB4698" s="81" t="str">
        <f>IFERROR(HLOOKUP(K4698,データについて!$J$5:$AH$20,14,FALSE),"")</f>
        <v/>
      </c>
      <c r="AC4698" s="81" t="e">
        <f>IF(X4698=1,HLOOKUP(R4698,データについて!$J$12:$M$18,7,FALSE),"*")</f>
        <v>#N/A</v>
      </c>
      <c r="AD4698" s="81" t="e">
        <f>IF(X4698=2,HLOOKUP(R4698,データについて!$J$12:$M$18,7,FALSE),"*")</f>
        <v>#N/A</v>
      </c>
    </row>
    <row r="4699" spans="19:30">
      <c r="S4699" s="81" t="e">
        <f>HLOOKUP(L4699,データについて!$J$6:$M$18,13,FALSE)</f>
        <v>#N/A</v>
      </c>
      <c r="T4699" s="81" t="e">
        <f>HLOOKUP(M4699,データについて!$J$7:$M$18,12,FALSE)</f>
        <v>#N/A</v>
      </c>
      <c r="U4699" s="81" t="e">
        <f>HLOOKUP(N4699,データについて!$J$8:$M$18,11,FALSE)</f>
        <v>#N/A</v>
      </c>
      <c r="V4699" s="81" t="e">
        <f>HLOOKUP(O4699,データについて!$J$9:$M$18,10,FALSE)</f>
        <v>#N/A</v>
      </c>
      <c r="W4699" s="81" t="e">
        <f>HLOOKUP(P4699,データについて!$J$10:$M$18,9,FALSE)</f>
        <v>#N/A</v>
      </c>
      <c r="X4699" s="81" t="e">
        <f>HLOOKUP(Q4699,データについて!$J$11:$M$18,8,FALSE)</f>
        <v>#N/A</v>
      </c>
      <c r="Y4699" s="81" t="e">
        <f>HLOOKUP(R4699,データについて!$J$12:$M$18,7,FALSE)</f>
        <v>#N/A</v>
      </c>
      <c r="Z4699" s="81" t="e">
        <f>HLOOKUP(I4699,データについて!$J$3:$M$18,16,FALSE)</f>
        <v>#N/A</v>
      </c>
      <c r="AA4699" s="81" t="str">
        <f>IFERROR(HLOOKUP(J4699,データについて!$J$4:$AH$19,16,FALSE),"")</f>
        <v/>
      </c>
      <c r="AB4699" s="81" t="str">
        <f>IFERROR(HLOOKUP(K4699,データについて!$J$5:$AH$20,14,FALSE),"")</f>
        <v/>
      </c>
      <c r="AC4699" s="81" t="e">
        <f>IF(X4699=1,HLOOKUP(R4699,データについて!$J$12:$M$18,7,FALSE),"*")</f>
        <v>#N/A</v>
      </c>
      <c r="AD4699" s="81" t="e">
        <f>IF(X4699=2,HLOOKUP(R4699,データについて!$J$12:$M$18,7,FALSE),"*")</f>
        <v>#N/A</v>
      </c>
    </row>
    <row r="4700" spans="19:30">
      <c r="S4700" s="81" t="e">
        <f>HLOOKUP(L4700,データについて!$J$6:$M$18,13,FALSE)</f>
        <v>#N/A</v>
      </c>
      <c r="T4700" s="81" t="e">
        <f>HLOOKUP(M4700,データについて!$J$7:$M$18,12,FALSE)</f>
        <v>#N/A</v>
      </c>
      <c r="U4700" s="81" t="e">
        <f>HLOOKUP(N4700,データについて!$J$8:$M$18,11,FALSE)</f>
        <v>#N/A</v>
      </c>
      <c r="V4700" s="81" t="e">
        <f>HLOOKUP(O4700,データについて!$J$9:$M$18,10,FALSE)</f>
        <v>#N/A</v>
      </c>
      <c r="W4700" s="81" t="e">
        <f>HLOOKUP(P4700,データについて!$J$10:$M$18,9,FALSE)</f>
        <v>#N/A</v>
      </c>
      <c r="X4700" s="81" t="e">
        <f>HLOOKUP(Q4700,データについて!$J$11:$M$18,8,FALSE)</f>
        <v>#N/A</v>
      </c>
      <c r="Y4700" s="81" t="e">
        <f>HLOOKUP(R4700,データについて!$J$12:$M$18,7,FALSE)</f>
        <v>#N/A</v>
      </c>
      <c r="Z4700" s="81" t="e">
        <f>HLOOKUP(I4700,データについて!$J$3:$M$18,16,FALSE)</f>
        <v>#N/A</v>
      </c>
      <c r="AA4700" s="81" t="str">
        <f>IFERROR(HLOOKUP(J4700,データについて!$J$4:$AH$19,16,FALSE),"")</f>
        <v/>
      </c>
      <c r="AB4700" s="81" t="str">
        <f>IFERROR(HLOOKUP(K4700,データについて!$J$5:$AH$20,14,FALSE),"")</f>
        <v/>
      </c>
      <c r="AC4700" s="81" t="e">
        <f>IF(X4700=1,HLOOKUP(R4700,データについて!$J$12:$M$18,7,FALSE),"*")</f>
        <v>#N/A</v>
      </c>
      <c r="AD4700" s="81" t="e">
        <f>IF(X4700=2,HLOOKUP(R4700,データについて!$J$12:$M$18,7,FALSE),"*")</f>
        <v>#N/A</v>
      </c>
    </row>
    <row r="4701" spans="19:30">
      <c r="S4701" s="81" t="e">
        <f>HLOOKUP(L4701,データについて!$J$6:$M$18,13,FALSE)</f>
        <v>#N/A</v>
      </c>
      <c r="T4701" s="81" t="e">
        <f>HLOOKUP(M4701,データについて!$J$7:$M$18,12,FALSE)</f>
        <v>#N/A</v>
      </c>
      <c r="U4701" s="81" t="e">
        <f>HLOOKUP(N4701,データについて!$J$8:$M$18,11,FALSE)</f>
        <v>#N/A</v>
      </c>
      <c r="V4701" s="81" t="e">
        <f>HLOOKUP(O4701,データについて!$J$9:$M$18,10,FALSE)</f>
        <v>#N/A</v>
      </c>
      <c r="W4701" s="81" t="e">
        <f>HLOOKUP(P4701,データについて!$J$10:$M$18,9,FALSE)</f>
        <v>#N/A</v>
      </c>
      <c r="X4701" s="81" t="e">
        <f>HLOOKUP(Q4701,データについて!$J$11:$M$18,8,FALSE)</f>
        <v>#N/A</v>
      </c>
      <c r="Y4701" s="81" t="e">
        <f>HLOOKUP(R4701,データについて!$J$12:$M$18,7,FALSE)</f>
        <v>#N/A</v>
      </c>
      <c r="Z4701" s="81" t="e">
        <f>HLOOKUP(I4701,データについて!$J$3:$M$18,16,FALSE)</f>
        <v>#N/A</v>
      </c>
      <c r="AA4701" s="81" t="str">
        <f>IFERROR(HLOOKUP(J4701,データについて!$J$4:$AH$19,16,FALSE),"")</f>
        <v/>
      </c>
      <c r="AB4701" s="81" t="str">
        <f>IFERROR(HLOOKUP(K4701,データについて!$J$5:$AH$20,14,FALSE),"")</f>
        <v/>
      </c>
      <c r="AC4701" s="81" t="e">
        <f>IF(X4701=1,HLOOKUP(R4701,データについて!$J$12:$M$18,7,FALSE),"*")</f>
        <v>#N/A</v>
      </c>
      <c r="AD4701" s="81" t="e">
        <f>IF(X4701=2,HLOOKUP(R4701,データについて!$J$12:$M$18,7,FALSE),"*")</f>
        <v>#N/A</v>
      </c>
    </row>
    <row r="4702" spans="19:30">
      <c r="S4702" s="81" t="e">
        <f>HLOOKUP(L4702,データについて!$J$6:$M$18,13,FALSE)</f>
        <v>#N/A</v>
      </c>
      <c r="T4702" s="81" t="e">
        <f>HLOOKUP(M4702,データについて!$J$7:$M$18,12,FALSE)</f>
        <v>#N/A</v>
      </c>
      <c r="U4702" s="81" t="e">
        <f>HLOOKUP(N4702,データについて!$J$8:$M$18,11,FALSE)</f>
        <v>#N/A</v>
      </c>
      <c r="V4702" s="81" t="e">
        <f>HLOOKUP(O4702,データについて!$J$9:$M$18,10,FALSE)</f>
        <v>#N/A</v>
      </c>
      <c r="W4702" s="81" t="e">
        <f>HLOOKUP(P4702,データについて!$J$10:$M$18,9,FALSE)</f>
        <v>#N/A</v>
      </c>
      <c r="X4702" s="81" t="e">
        <f>HLOOKUP(Q4702,データについて!$J$11:$M$18,8,FALSE)</f>
        <v>#N/A</v>
      </c>
      <c r="Y4702" s="81" t="e">
        <f>HLOOKUP(R4702,データについて!$J$12:$M$18,7,FALSE)</f>
        <v>#N/A</v>
      </c>
      <c r="Z4702" s="81" t="e">
        <f>HLOOKUP(I4702,データについて!$J$3:$M$18,16,FALSE)</f>
        <v>#N/A</v>
      </c>
      <c r="AA4702" s="81" t="str">
        <f>IFERROR(HLOOKUP(J4702,データについて!$J$4:$AH$19,16,FALSE),"")</f>
        <v/>
      </c>
      <c r="AB4702" s="81" t="str">
        <f>IFERROR(HLOOKUP(K4702,データについて!$J$5:$AH$20,14,FALSE),"")</f>
        <v/>
      </c>
      <c r="AC4702" s="81" t="e">
        <f>IF(X4702=1,HLOOKUP(R4702,データについて!$J$12:$M$18,7,FALSE),"*")</f>
        <v>#N/A</v>
      </c>
      <c r="AD4702" s="81" t="e">
        <f>IF(X4702=2,HLOOKUP(R4702,データについて!$J$12:$M$18,7,FALSE),"*")</f>
        <v>#N/A</v>
      </c>
    </row>
    <row r="4703" spans="19:30">
      <c r="S4703" s="81" t="e">
        <f>HLOOKUP(L4703,データについて!$J$6:$M$18,13,FALSE)</f>
        <v>#N/A</v>
      </c>
      <c r="T4703" s="81" t="e">
        <f>HLOOKUP(M4703,データについて!$J$7:$M$18,12,FALSE)</f>
        <v>#N/A</v>
      </c>
      <c r="U4703" s="81" t="e">
        <f>HLOOKUP(N4703,データについて!$J$8:$M$18,11,FALSE)</f>
        <v>#N/A</v>
      </c>
      <c r="V4703" s="81" t="e">
        <f>HLOOKUP(O4703,データについて!$J$9:$M$18,10,FALSE)</f>
        <v>#N/A</v>
      </c>
      <c r="W4703" s="81" t="e">
        <f>HLOOKUP(P4703,データについて!$J$10:$M$18,9,FALSE)</f>
        <v>#N/A</v>
      </c>
      <c r="X4703" s="81" t="e">
        <f>HLOOKUP(Q4703,データについて!$J$11:$M$18,8,FALSE)</f>
        <v>#N/A</v>
      </c>
      <c r="Y4703" s="81" t="e">
        <f>HLOOKUP(R4703,データについて!$J$12:$M$18,7,FALSE)</f>
        <v>#N/A</v>
      </c>
      <c r="Z4703" s="81" t="e">
        <f>HLOOKUP(I4703,データについて!$J$3:$M$18,16,FALSE)</f>
        <v>#N/A</v>
      </c>
      <c r="AA4703" s="81" t="str">
        <f>IFERROR(HLOOKUP(J4703,データについて!$J$4:$AH$19,16,FALSE),"")</f>
        <v/>
      </c>
      <c r="AB4703" s="81" t="str">
        <f>IFERROR(HLOOKUP(K4703,データについて!$J$5:$AH$20,14,FALSE),"")</f>
        <v/>
      </c>
      <c r="AC4703" s="81" t="e">
        <f>IF(X4703=1,HLOOKUP(R4703,データについて!$J$12:$M$18,7,FALSE),"*")</f>
        <v>#N/A</v>
      </c>
      <c r="AD4703" s="81" t="e">
        <f>IF(X4703=2,HLOOKUP(R4703,データについて!$J$12:$M$18,7,FALSE),"*")</f>
        <v>#N/A</v>
      </c>
    </row>
    <row r="4704" spans="19:30">
      <c r="S4704" s="81" t="e">
        <f>HLOOKUP(L4704,データについて!$J$6:$M$18,13,FALSE)</f>
        <v>#N/A</v>
      </c>
      <c r="T4704" s="81" t="e">
        <f>HLOOKUP(M4704,データについて!$J$7:$M$18,12,FALSE)</f>
        <v>#N/A</v>
      </c>
      <c r="U4704" s="81" t="e">
        <f>HLOOKUP(N4704,データについて!$J$8:$M$18,11,FALSE)</f>
        <v>#N/A</v>
      </c>
      <c r="V4704" s="81" t="e">
        <f>HLOOKUP(O4704,データについて!$J$9:$M$18,10,FALSE)</f>
        <v>#N/A</v>
      </c>
      <c r="W4704" s="81" t="e">
        <f>HLOOKUP(P4704,データについて!$J$10:$M$18,9,FALSE)</f>
        <v>#N/A</v>
      </c>
      <c r="X4704" s="81" t="e">
        <f>HLOOKUP(Q4704,データについて!$J$11:$M$18,8,FALSE)</f>
        <v>#N/A</v>
      </c>
      <c r="Y4704" s="81" t="e">
        <f>HLOOKUP(R4704,データについて!$J$12:$M$18,7,FALSE)</f>
        <v>#N/A</v>
      </c>
      <c r="Z4704" s="81" t="e">
        <f>HLOOKUP(I4704,データについて!$J$3:$M$18,16,FALSE)</f>
        <v>#N/A</v>
      </c>
      <c r="AA4704" s="81" t="str">
        <f>IFERROR(HLOOKUP(J4704,データについて!$J$4:$AH$19,16,FALSE),"")</f>
        <v/>
      </c>
      <c r="AB4704" s="81" t="str">
        <f>IFERROR(HLOOKUP(K4704,データについて!$J$5:$AH$20,14,FALSE),"")</f>
        <v/>
      </c>
      <c r="AC4704" s="81" t="e">
        <f>IF(X4704=1,HLOOKUP(R4704,データについて!$J$12:$M$18,7,FALSE),"*")</f>
        <v>#N/A</v>
      </c>
      <c r="AD4704" s="81" t="e">
        <f>IF(X4704=2,HLOOKUP(R4704,データについて!$J$12:$M$18,7,FALSE),"*")</f>
        <v>#N/A</v>
      </c>
    </row>
    <row r="4705" spans="19:30">
      <c r="S4705" s="81" t="e">
        <f>HLOOKUP(L4705,データについて!$J$6:$M$18,13,FALSE)</f>
        <v>#N/A</v>
      </c>
      <c r="T4705" s="81" t="e">
        <f>HLOOKUP(M4705,データについて!$J$7:$M$18,12,FALSE)</f>
        <v>#N/A</v>
      </c>
      <c r="U4705" s="81" t="e">
        <f>HLOOKUP(N4705,データについて!$J$8:$M$18,11,FALSE)</f>
        <v>#N/A</v>
      </c>
      <c r="V4705" s="81" t="e">
        <f>HLOOKUP(O4705,データについて!$J$9:$M$18,10,FALSE)</f>
        <v>#N/A</v>
      </c>
      <c r="W4705" s="81" t="e">
        <f>HLOOKUP(P4705,データについて!$J$10:$M$18,9,FALSE)</f>
        <v>#N/A</v>
      </c>
      <c r="X4705" s="81" t="e">
        <f>HLOOKUP(Q4705,データについて!$J$11:$M$18,8,FALSE)</f>
        <v>#N/A</v>
      </c>
      <c r="Y4705" s="81" t="e">
        <f>HLOOKUP(R4705,データについて!$J$12:$M$18,7,FALSE)</f>
        <v>#N/A</v>
      </c>
      <c r="Z4705" s="81" t="e">
        <f>HLOOKUP(I4705,データについて!$J$3:$M$18,16,FALSE)</f>
        <v>#N/A</v>
      </c>
      <c r="AA4705" s="81" t="str">
        <f>IFERROR(HLOOKUP(J4705,データについて!$J$4:$AH$19,16,FALSE),"")</f>
        <v/>
      </c>
      <c r="AB4705" s="81" t="str">
        <f>IFERROR(HLOOKUP(K4705,データについて!$J$5:$AH$20,14,FALSE),"")</f>
        <v/>
      </c>
      <c r="AC4705" s="81" t="e">
        <f>IF(X4705=1,HLOOKUP(R4705,データについて!$J$12:$M$18,7,FALSE),"*")</f>
        <v>#N/A</v>
      </c>
      <c r="AD4705" s="81" t="e">
        <f>IF(X4705=2,HLOOKUP(R4705,データについて!$J$12:$M$18,7,FALSE),"*")</f>
        <v>#N/A</v>
      </c>
    </row>
    <row r="4706" spans="19:30">
      <c r="S4706" s="81" t="e">
        <f>HLOOKUP(L4706,データについて!$J$6:$M$18,13,FALSE)</f>
        <v>#N/A</v>
      </c>
      <c r="T4706" s="81" t="e">
        <f>HLOOKUP(M4706,データについて!$J$7:$M$18,12,FALSE)</f>
        <v>#N/A</v>
      </c>
      <c r="U4706" s="81" t="e">
        <f>HLOOKUP(N4706,データについて!$J$8:$M$18,11,FALSE)</f>
        <v>#N/A</v>
      </c>
      <c r="V4706" s="81" t="e">
        <f>HLOOKUP(O4706,データについて!$J$9:$M$18,10,FALSE)</f>
        <v>#N/A</v>
      </c>
      <c r="W4706" s="81" t="e">
        <f>HLOOKUP(P4706,データについて!$J$10:$M$18,9,FALSE)</f>
        <v>#N/A</v>
      </c>
      <c r="X4706" s="81" t="e">
        <f>HLOOKUP(Q4706,データについて!$J$11:$M$18,8,FALSE)</f>
        <v>#N/A</v>
      </c>
      <c r="Y4706" s="81" t="e">
        <f>HLOOKUP(R4706,データについて!$J$12:$M$18,7,FALSE)</f>
        <v>#N/A</v>
      </c>
      <c r="Z4706" s="81" t="e">
        <f>HLOOKUP(I4706,データについて!$J$3:$M$18,16,FALSE)</f>
        <v>#N/A</v>
      </c>
      <c r="AA4706" s="81" t="str">
        <f>IFERROR(HLOOKUP(J4706,データについて!$J$4:$AH$19,16,FALSE),"")</f>
        <v/>
      </c>
      <c r="AB4706" s="81" t="str">
        <f>IFERROR(HLOOKUP(K4706,データについて!$J$5:$AH$20,14,FALSE),"")</f>
        <v/>
      </c>
      <c r="AC4706" s="81" t="e">
        <f>IF(X4706=1,HLOOKUP(R4706,データについて!$J$12:$M$18,7,FALSE),"*")</f>
        <v>#N/A</v>
      </c>
      <c r="AD4706" s="81" t="e">
        <f>IF(X4706=2,HLOOKUP(R4706,データについて!$J$12:$M$18,7,FALSE),"*")</f>
        <v>#N/A</v>
      </c>
    </row>
    <row r="4707" spans="19:30">
      <c r="S4707" s="81" t="e">
        <f>HLOOKUP(L4707,データについて!$J$6:$M$18,13,FALSE)</f>
        <v>#N/A</v>
      </c>
      <c r="T4707" s="81" t="e">
        <f>HLOOKUP(M4707,データについて!$J$7:$M$18,12,FALSE)</f>
        <v>#N/A</v>
      </c>
      <c r="U4707" s="81" t="e">
        <f>HLOOKUP(N4707,データについて!$J$8:$M$18,11,FALSE)</f>
        <v>#N/A</v>
      </c>
      <c r="V4707" s="81" t="e">
        <f>HLOOKUP(O4707,データについて!$J$9:$M$18,10,FALSE)</f>
        <v>#N/A</v>
      </c>
      <c r="W4707" s="81" t="e">
        <f>HLOOKUP(P4707,データについて!$J$10:$M$18,9,FALSE)</f>
        <v>#N/A</v>
      </c>
      <c r="X4707" s="81" t="e">
        <f>HLOOKUP(Q4707,データについて!$J$11:$M$18,8,FALSE)</f>
        <v>#N/A</v>
      </c>
      <c r="Y4707" s="81" t="e">
        <f>HLOOKUP(R4707,データについて!$J$12:$M$18,7,FALSE)</f>
        <v>#N/A</v>
      </c>
      <c r="Z4707" s="81" t="e">
        <f>HLOOKUP(I4707,データについて!$J$3:$M$18,16,FALSE)</f>
        <v>#N/A</v>
      </c>
      <c r="AA4707" s="81" t="str">
        <f>IFERROR(HLOOKUP(J4707,データについて!$J$4:$AH$19,16,FALSE),"")</f>
        <v/>
      </c>
      <c r="AB4707" s="81" t="str">
        <f>IFERROR(HLOOKUP(K4707,データについて!$J$5:$AH$20,14,FALSE),"")</f>
        <v/>
      </c>
      <c r="AC4707" s="81" t="e">
        <f>IF(X4707=1,HLOOKUP(R4707,データについて!$J$12:$M$18,7,FALSE),"*")</f>
        <v>#N/A</v>
      </c>
      <c r="AD4707" s="81" t="e">
        <f>IF(X4707=2,HLOOKUP(R4707,データについて!$J$12:$M$18,7,FALSE),"*")</f>
        <v>#N/A</v>
      </c>
    </row>
    <row r="4708" spans="19:30">
      <c r="S4708" s="81" t="e">
        <f>HLOOKUP(L4708,データについて!$J$6:$M$18,13,FALSE)</f>
        <v>#N/A</v>
      </c>
      <c r="T4708" s="81" t="e">
        <f>HLOOKUP(M4708,データについて!$J$7:$M$18,12,FALSE)</f>
        <v>#N/A</v>
      </c>
      <c r="U4708" s="81" t="e">
        <f>HLOOKUP(N4708,データについて!$J$8:$M$18,11,FALSE)</f>
        <v>#N/A</v>
      </c>
      <c r="V4708" s="81" t="e">
        <f>HLOOKUP(O4708,データについて!$J$9:$M$18,10,FALSE)</f>
        <v>#N/A</v>
      </c>
      <c r="W4708" s="81" t="e">
        <f>HLOOKUP(P4708,データについて!$J$10:$M$18,9,FALSE)</f>
        <v>#N/A</v>
      </c>
      <c r="X4708" s="81" t="e">
        <f>HLOOKUP(Q4708,データについて!$J$11:$M$18,8,FALSE)</f>
        <v>#N/A</v>
      </c>
      <c r="Y4708" s="81" t="e">
        <f>HLOOKUP(R4708,データについて!$J$12:$M$18,7,FALSE)</f>
        <v>#N/A</v>
      </c>
      <c r="Z4708" s="81" t="e">
        <f>HLOOKUP(I4708,データについて!$J$3:$M$18,16,FALSE)</f>
        <v>#N/A</v>
      </c>
      <c r="AA4708" s="81" t="str">
        <f>IFERROR(HLOOKUP(J4708,データについて!$J$4:$AH$19,16,FALSE),"")</f>
        <v/>
      </c>
      <c r="AB4708" s="81" t="str">
        <f>IFERROR(HLOOKUP(K4708,データについて!$J$5:$AH$20,14,FALSE),"")</f>
        <v/>
      </c>
      <c r="AC4708" s="81" t="e">
        <f>IF(X4708=1,HLOOKUP(R4708,データについて!$J$12:$M$18,7,FALSE),"*")</f>
        <v>#N/A</v>
      </c>
      <c r="AD4708" s="81" t="e">
        <f>IF(X4708=2,HLOOKUP(R4708,データについて!$J$12:$M$18,7,FALSE),"*")</f>
        <v>#N/A</v>
      </c>
    </row>
    <row r="4709" spans="19:30">
      <c r="S4709" s="81" t="e">
        <f>HLOOKUP(L4709,データについて!$J$6:$M$18,13,FALSE)</f>
        <v>#N/A</v>
      </c>
      <c r="T4709" s="81" t="e">
        <f>HLOOKUP(M4709,データについて!$J$7:$M$18,12,FALSE)</f>
        <v>#N/A</v>
      </c>
      <c r="U4709" s="81" t="e">
        <f>HLOOKUP(N4709,データについて!$J$8:$M$18,11,FALSE)</f>
        <v>#N/A</v>
      </c>
      <c r="V4709" s="81" t="e">
        <f>HLOOKUP(O4709,データについて!$J$9:$M$18,10,FALSE)</f>
        <v>#N/A</v>
      </c>
      <c r="W4709" s="81" t="e">
        <f>HLOOKUP(P4709,データについて!$J$10:$M$18,9,FALSE)</f>
        <v>#N/A</v>
      </c>
      <c r="X4709" s="81" t="e">
        <f>HLOOKUP(Q4709,データについて!$J$11:$M$18,8,FALSE)</f>
        <v>#N/A</v>
      </c>
      <c r="Y4709" s="81" t="e">
        <f>HLOOKUP(R4709,データについて!$J$12:$M$18,7,FALSE)</f>
        <v>#N/A</v>
      </c>
      <c r="Z4709" s="81" t="e">
        <f>HLOOKUP(I4709,データについて!$J$3:$M$18,16,FALSE)</f>
        <v>#N/A</v>
      </c>
      <c r="AA4709" s="81" t="str">
        <f>IFERROR(HLOOKUP(J4709,データについて!$J$4:$AH$19,16,FALSE),"")</f>
        <v/>
      </c>
      <c r="AB4709" s="81" t="str">
        <f>IFERROR(HLOOKUP(K4709,データについて!$J$5:$AH$20,14,FALSE),"")</f>
        <v/>
      </c>
      <c r="AC4709" s="81" t="e">
        <f>IF(X4709=1,HLOOKUP(R4709,データについて!$J$12:$M$18,7,FALSE),"*")</f>
        <v>#N/A</v>
      </c>
      <c r="AD4709" s="81" t="e">
        <f>IF(X4709=2,HLOOKUP(R4709,データについて!$J$12:$M$18,7,FALSE),"*")</f>
        <v>#N/A</v>
      </c>
    </row>
    <row r="4710" spans="19:30">
      <c r="S4710" s="81" t="e">
        <f>HLOOKUP(L4710,データについて!$J$6:$M$18,13,FALSE)</f>
        <v>#N/A</v>
      </c>
      <c r="T4710" s="81" t="e">
        <f>HLOOKUP(M4710,データについて!$J$7:$M$18,12,FALSE)</f>
        <v>#N/A</v>
      </c>
      <c r="U4710" s="81" t="e">
        <f>HLOOKUP(N4710,データについて!$J$8:$M$18,11,FALSE)</f>
        <v>#N/A</v>
      </c>
      <c r="V4710" s="81" t="e">
        <f>HLOOKUP(O4710,データについて!$J$9:$M$18,10,FALSE)</f>
        <v>#N/A</v>
      </c>
      <c r="W4710" s="81" t="e">
        <f>HLOOKUP(P4710,データについて!$J$10:$M$18,9,FALSE)</f>
        <v>#N/A</v>
      </c>
      <c r="X4710" s="81" t="e">
        <f>HLOOKUP(Q4710,データについて!$J$11:$M$18,8,FALSE)</f>
        <v>#N/A</v>
      </c>
      <c r="Y4710" s="81" t="e">
        <f>HLOOKUP(R4710,データについて!$J$12:$M$18,7,FALSE)</f>
        <v>#N/A</v>
      </c>
      <c r="Z4710" s="81" t="e">
        <f>HLOOKUP(I4710,データについて!$J$3:$M$18,16,FALSE)</f>
        <v>#N/A</v>
      </c>
      <c r="AA4710" s="81" t="str">
        <f>IFERROR(HLOOKUP(J4710,データについて!$J$4:$AH$19,16,FALSE),"")</f>
        <v/>
      </c>
      <c r="AB4710" s="81" t="str">
        <f>IFERROR(HLOOKUP(K4710,データについて!$J$5:$AH$20,14,FALSE),"")</f>
        <v/>
      </c>
      <c r="AC4710" s="81" t="e">
        <f>IF(X4710=1,HLOOKUP(R4710,データについて!$J$12:$M$18,7,FALSE),"*")</f>
        <v>#N/A</v>
      </c>
      <c r="AD4710" s="81" t="e">
        <f>IF(X4710=2,HLOOKUP(R4710,データについて!$J$12:$M$18,7,FALSE),"*")</f>
        <v>#N/A</v>
      </c>
    </row>
    <row r="4711" spans="19:30">
      <c r="S4711" s="81" t="e">
        <f>HLOOKUP(L4711,データについて!$J$6:$M$18,13,FALSE)</f>
        <v>#N/A</v>
      </c>
      <c r="T4711" s="81" t="e">
        <f>HLOOKUP(M4711,データについて!$J$7:$M$18,12,FALSE)</f>
        <v>#N/A</v>
      </c>
      <c r="U4711" s="81" t="e">
        <f>HLOOKUP(N4711,データについて!$J$8:$M$18,11,FALSE)</f>
        <v>#N/A</v>
      </c>
      <c r="V4711" s="81" t="e">
        <f>HLOOKUP(O4711,データについて!$J$9:$M$18,10,FALSE)</f>
        <v>#N/A</v>
      </c>
      <c r="W4711" s="81" t="e">
        <f>HLOOKUP(P4711,データについて!$J$10:$M$18,9,FALSE)</f>
        <v>#N/A</v>
      </c>
      <c r="X4711" s="81" t="e">
        <f>HLOOKUP(Q4711,データについて!$J$11:$M$18,8,FALSE)</f>
        <v>#N/A</v>
      </c>
      <c r="Y4711" s="81" t="e">
        <f>HLOOKUP(R4711,データについて!$J$12:$M$18,7,FALSE)</f>
        <v>#N/A</v>
      </c>
      <c r="Z4711" s="81" t="e">
        <f>HLOOKUP(I4711,データについて!$J$3:$M$18,16,FALSE)</f>
        <v>#N/A</v>
      </c>
      <c r="AA4711" s="81" t="str">
        <f>IFERROR(HLOOKUP(J4711,データについて!$J$4:$AH$19,16,FALSE),"")</f>
        <v/>
      </c>
      <c r="AB4711" s="81" t="str">
        <f>IFERROR(HLOOKUP(K4711,データについて!$J$5:$AH$20,14,FALSE),"")</f>
        <v/>
      </c>
      <c r="AC4711" s="81" t="e">
        <f>IF(X4711=1,HLOOKUP(R4711,データについて!$J$12:$M$18,7,FALSE),"*")</f>
        <v>#N/A</v>
      </c>
      <c r="AD4711" s="81" t="e">
        <f>IF(X4711=2,HLOOKUP(R4711,データについて!$J$12:$M$18,7,FALSE),"*")</f>
        <v>#N/A</v>
      </c>
    </row>
    <row r="4712" spans="19:30">
      <c r="S4712" s="81" t="e">
        <f>HLOOKUP(L4712,データについて!$J$6:$M$18,13,FALSE)</f>
        <v>#N/A</v>
      </c>
      <c r="T4712" s="81" t="e">
        <f>HLOOKUP(M4712,データについて!$J$7:$M$18,12,FALSE)</f>
        <v>#N/A</v>
      </c>
      <c r="U4712" s="81" t="e">
        <f>HLOOKUP(N4712,データについて!$J$8:$M$18,11,FALSE)</f>
        <v>#N/A</v>
      </c>
      <c r="V4712" s="81" t="e">
        <f>HLOOKUP(O4712,データについて!$J$9:$M$18,10,FALSE)</f>
        <v>#N/A</v>
      </c>
      <c r="W4712" s="81" t="e">
        <f>HLOOKUP(P4712,データについて!$J$10:$M$18,9,FALSE)</f>
        <v>#N/A</v>
      </c>
      <c r="X4712" s="81" t="e">
        <f>HLOOKUP(Q4712,データについて!$J$11:$M$18,8,FALSE)</f>
        <v>#N/A</v>
      </c>
      <c r="Y4712" s="81" t="e">
        <f>HLOOKUP(R4712,データについて!$J$12:$M$18,7,FALSE)</f>
        <v>#N/A</v>
      </c>
      <c r="Z4712" s="81" t="e">
        <f>HLOOKUP(I4712,データについて!$J$3:$M$18,16,FALSE)</f>
        <v>#N/A</v>
      </c>
      <c r="AA4712" s="81" t="str">
        <f>IFERROR(HLOOKUP(J4712,データについて!$J$4:$AH$19,16,FALSE),"")</f>
        <v/>
      </c>
      <c r="AB4712" s="81" t="str">
        <f>IFERROR(HLOOKUP(K4712,データについて!$J$5:$AH$20,14,FALSE),"")</f>
        <v/>
      </c>
      <c r="AC4712" s="81" t="e">
        <f>IF(X4712=1,HLOOKUP(R4712,データについて!$J$12:$M$18,7,FALSE),"*")</f>
        <v>#N/A</v>
      </c>
      <c r="AD4712" s="81" t="e">
        <f>IF(X4712=2,HLOOKUP(R4712,データについて!$J$12:$M$18,7,FALSE),"*")</f>
        <v>#N/A</v>
      </c>
    </row>
    <row r="4713" spans="19:30">
      <c r="S4713" s="81" t="e">
        <f>HLOOKUP(L4713,データについて!$J$6:$M$18,13,FALSE)</f>
        <v>#N/A</v>
      </c>
      <c r="T4713" s="81" t="e">
        <f>HLOOKUP(M4713,データについて!$J$7:$M$18,12,FALSE)</f>
        <v>#N/A</v>
      </c>
      <c r="U4713" s="81" t="e">
        <f>HLOOKUP(N4713,データについて!$J$8:$M$18,11,FALSE)</f>
        <v>#N/A</v>
      </c>
      <c r="V4713" s="81" t="e">
        <f>HLOOKUP(O4713,データについて!$J$9:$M$18,10,FALSE)</f>
        <v>#N/A</v>
      </c>
      <c r="W4713" s="81" t="e">
        <f>HLOOKUP(P4713,データについて!$J$10:$M$18,9,FALSE)</f>
        <v>#N/A</v>
      </c>
      <c r="X4713" s="81" t="e">
        <f>HLOOKUP(Q4713,データについて!$J$11:$M$18,8,FALSE)</f>
        <v>#N/A</v>
      </c>
      <c r="Y4713" s="81" t="e">
        <f>HLOOKUP(R4713,データについて!$J$12:$M$18,7,FALSE)</f>
        <v>#N/A</v>
      </c>
      <c r="Z4713" s="81" t="e">
        <f>HLOOKUP(I4713,データについて!$J$3:$M$18,16,FALSE)</f>
        <v>#N/A</v>
      </c>
      <c r="AA4713" s="81" t="str">
        <f>IFERROR(HLOOKUP(J4713,データについて!$J$4:$AH$19,16,FALSE),"")</f>
        <v/>
      </c>
      <c r="AB4713" s="81" t="str">
        <f>IFERROR(HLOOKUP(K4713,データについて!$J$5:$AH$20,14,FALSE),"")</f>
        <v/>
      </c>
      <c r="AC4713" s="81" t="e">
        <f>IF(X4713=1,HLOOKUP(R4713,データについて!$J$12:$M$18,7,FALSE),"*")</f>
        <v>#N/A</v>
      </c>
      <c r="AD4713" s="81" t="e">
        <f>IF(X4713=2,HLOOKUP(R4713,データについて!$J$12:$M$18,7,FALSE),"*")</f>
        <v>#N/A</v>
      </c>
    </row>
    <row r="4714" spans="19:30">
      <c r="S4714" s="81" t="e">
        <f>HLOOKUP(L4714,データについて!$J$6:$M$18,13,FALSE)</f>
        <v>#N/A</v>
      </c>
      <c r="T4714" s="81" t="e">
        <f>HLOOKUP(M4714,データについて!$J$7:$M$18,12,FALSE)</f>
        <v>#N/A</v>
      </c>
      <c r="U4714" s="81" t="e">
        <f>HLOOKUP(N4714,データについて!$J$8:$M$18,11,FALSE)</f>
        <v>#N/A</v>
      </c>
      <c r="V4714" s="81" t="e">
        <f>HLOOKUP(O4714,データについて!$J$9:$M$18,10,FALSE)</f>
        <v>#N/A</v>
      </c>
      <c r="W4714" s="81" t="e">
        <f>HLOOKUP(P4714,データについて!$J$10:$M$18,9,FALSE)</f>
        <v>#N/A</v>
      </c>
      <c r="X4714" s="81" t="e">
        <f>HLOOKUP(Q4714,データについて!$J$11:$M$18,8,FALSE)</f>
        <v>#N/A</v>
      </c>
      <c r="Y4714" s="81" t="e">
        <f>HLOOKUP(R4714,データについて!$J$12:$M$18,7,FALSE)</f>
        <v>#N/A</v>
      </c>
      <c r="Z4714" s="81" t="e">
        <f>HLOOKUP(I4714,データについて!$J$3:$M$18,16,FALSE)</f>
        <v>#N/A</v>
      </c>
      <c r="AA4714" s="81" t="str">
        <f>IFERROR(HLOOKUP(J4714,データについて!$J$4:$AH$19,16,FALSE),"")</f>
        <v/>
      </c>
      <c r="AB4714" s="81" t="str">
        <f>IFERROR(HLOOKUP(K4714,データについて!$J$5:$AH$20,14,FALSE),"")</f>
        <v/>
      </c>
      <c r="AC4714" s="81" t="e">
        <f>IF(X4714=1,HLOOKUP(R4714,データについて!$J$12:$M$18,7,FALSE),"*")</f>
        <v>#N/A</v>
      </c>
      <c r="AD4714" s="81" t="e">
        <f>IF(X4714=2,HLOOKUP(R4714,データについて!$J$12:$M$18,7,FALSE),"*")</f>
        <v>#N/A</v>
      </c>
    </row>
    <row r="4715" spans="19:30">
      <c r="S4715" s="81" t="e">
        <f>HLOOKUP(L4715,データについて!$J$6:$M$18,13,FALSE)</f>
        <v>#N/A</v>
      </c>
      <c r="T4715" s="81" t="e">
        <f>HLOOKUP(M4715,データについて!$J$7:$M$18,12,FALSE)</f>
        <v>#N/A</v>
      </c>
      <c r="U4715" s="81" t="e">
        <f>HLOOKUP(N4715,データについて!$J$8:$M$18,11,FALSE)</f>
        <v>#N/A</v>
      </c>
      <c r="V4715" s="81" t="e">
        <f>HLOOKUP(O4715,データについて!$J$9:$M$18,10,FALSE)</f>
        <v>#N/A</v>
      </c>
      <c r="W4715" s="81" t="e">
        <f>HLOOKUP(P4715,データについて!$J$10:$M$18,9,FALSE)</f>
        <v>#N/A</v>
      </c>
      <c r="X4715" s="81" t="e">
        <f>HLOOKUP(Q4715,データについて!$J$11:$M$18,8,FALSE)</f>
        <v>#N/A</v>
      </c>
      <c r="Y4715" s="81" t="e">
        <f>HLOOKUP(R4715,データについて!$J$12:$M$18,7,FALSE)</f>
        <v>#N/A</v>
      </c>
      <c r="Z4715" s="81" t="e">
        <f>HLOOKUP(I4715,データについて!$J$3:$M$18,16,FALSE)</f>
        <v>#N/A</v>
      </c>
      <c r="AA4715" s="81" t="str">
        <f>IFERROR(HLOOKUP(J4715,データについて!$J$4:$AH$19,16,FALSE),"")</f>
        <v/>
      </c>
      <c r="AB4715" s="81" t="str">
        <f>IFERROR(HLOOKUP(K4715,データについて!$J$5:$AH$20,14,FALSE),"")</f>
        <v/>
      </c>
      <c r="AC4715" s="81" t="e">
        <f>IF(X4715=1,HLOOKUP(R4715,データについて!$J$12:$M$18,7,FALSE),"*")</f>
        <v>#N/A</v>
      </c>
      <c r="AD4715" s="81" t="e">
        <f>IF(X4715=2,HLOOKUP(R4715,データについて!$J$12:$M$18,7,FALSE),"*")</f>
        <v>#N/A</v>
      </c>
    </row>
    <row r="4716" spans="19:30">
      <c r="S4716" s="81" t="e">
        <f>HLOOKUP(L4716,データについて!$J$6:$M$18,13,FALSE)</f>
        <v>#N/A</v>
      </c>
      <c r="T4716" s="81" t="e">
        <f>HLOOKUP(M4716,データについて!$J$7:$M$18,12,FALSE)</f>
        <v>#N/A</v>
      </c>
      <c r="U4716" s="81" t="e">
        <f>HLOOKUP(N4716,データについて!$J$8:$M$18,11,FALSE)</f>
        <v>#N/A</v>
      </c>
      <c r="V4716" s="81" t="e">
        <f>HLOOKUP(O4716,データについて!$J$9:$M$18,10,FALSE)</f>
        <v>#N/A</v>
      </c>
      <c r="W4716" s="81" t="e">
        <f>HLOOKUP(P4716,データについて!$J$10:$M$18,9,FALSE)</f>
        <v>#N/A</v>
      </c>
      <c r="X4716" s="81" t="e">
        <f>HLOOKUP(Q4716,データについて!$J$11:$M$18,8,FALSE)</f>
        <v>#N/A</v>
      </c>
      <c r="Y4716" s="81" t="e">
        <f>HLOOKUP(R4716,データについて!$J$12:$M$18,7,FALSE)</f>
        <v>#N/A</v>
      </c>
      <c r="Z4716" s="81" t="e">
        <f>HLOOKUP(I4716,データについて!$J$3:$M$18,16,FALSE)</f>
        <v>#N/A</v>
      </c>
      <c r="AA4716" s="81" t="str">
        <f>IFERROR(HLOOKUP(J4716,データについて!$J$4:$AH$19,16,FALSE),"")</f>
        <v/>
      </c>
      <c r="AB4716" s="81" t="str">
        <f>IFERROR(HLOOKUP(K4716,データについて!$J$5:$AH$20,14,FALSE),"")</f>
        <v/>
      </c>
      <c r="AC4716" s="81" t="e">
        <f>IF(X4716=1,HLOOKUP(R4716,データについて!$J$12:$M$18,7,FALSE),"*")</f>
        <v>#N/A</v>
      </c>
      <c r="AD4716" s="81" t="e">
        <f>IF(X4716=2,HLOOKUP(R4716,データについて!$J$12:$M$18,7,FALSE),"*")</f>
        <v>#N/A</v>
      </c>
    </row>
    <row r="4717" spans="19:30">
      <c r="S4717" s="81" t="e">
        <f>HLOOKUP(L4717,データについて!$J$6:$M$18,13,FALSE)</f>
        <v>#N/A</v>
      </c>
      <c r="T4717" s="81" t="e">
        <f>HLOOKUP(M4717,データについて!$J$7:$M$18,12,FALSE)</f>
        <v>#N/A</v>
      </c>
      <c r="U4717" s="81" t="e">
        <f>HLOOKUP(N4717,データについて!$J$8:$M$18,11,FALSE)</f>
        <v>#N/A</v>
      </c>
      <c r="V4717" s="81" t="e">
        <f>HLOOKUP(O4717,データについて!$J$9:$M$18,10,FALSE)</f>
        <v>#N/A</v>
      </c>
      <c r="W4717" s="81" t="e">
        <f>HLOOKUP(P4717,データについて!$J$10:$M$18,9,FALSE)</f>
        <v>#N/A</v>
      </c>
      <c r="X4717" s="81" t="e">
        <f>HLOOKUP(Q4717,データについて!$J$11:$M$18,8,FALSE)</f>
        <v>#N/A</v>
      </c>
      <c r="Y4717" s="81" t="e">
        <f>HLOOKUP(R4717,データについて!$J$12:$M$18,7,FALSE)</f>
        <v>#N/A</v>
      </c>
      <c r="Z4717" s="81" t="e">
        <f>HLOOKUP(I4717,データについて!$J$3:$M$18,16,FALSE)</f>
        <v>#N/A</v>
      </c>
      <c r="AA4717" s="81" t="str">
        <f>IFERROR(HLOOKUP(J4717,データについて!$J$4:$AH$19,16,FALSE),"")</f>
        <v/>
      </c>
      <c r="AB4717" s="81" t="str">
        <f>IFERROR(HLOOKUP(K4717,データについて!$J$5:$AH$20,14,FALSE),"")</f>
        <v/>
      </c>
      <c r="AC4717" s="81" t="e">
        <f>IF(X4717=1,HLOOKUP(R4717,データについて!$J$12:$M$18,7,FALSE),"*")</f>
        <v>#N/A</v>
      </c>
      <c r="AD4717" s="81" t="e">
        <f>IF(X4717=2,HLOOKUP(R4717,データについて!$J$12:$M$18,7,FALSE),"*")</f>
        <v>#N/A</v>
      </c>
    </row>
    <row r="4718" spans="19:30">
      <c r="S4718" s="81" t="e">
        <f>HLOOKUP(L4718,データについて!$J$6:$M$18,13,FALSE)</f>
        <v>#N/A</v>
      </c>
      <c r="T4718" s="81" t="e">
        <f>HLOOKUP(M4718,データについて!$J$7:$M$18,12,FALSE)</f>
        <v>#N/A</v>
      </c>
      <c r="U4718" s="81" t="e">
        <f>HLOOKUP(N4718,データについて!$J$8:$M$18,11,FALSE)</f>
        <v>#N/A</v>
      </c>
      <c r="V4718" s="81" t="e">
        <f>HLOOKUP(O4718,データについて!$J$9:$M$18,10,FALSE)</f>
        <v>#N/A</v>
      </c>
      <c r="W4718" s="81" t="e">
        <f>HLOOKUP(P4718,データについて!$J$10:$M$18,9,FALSE)</f>
        <v>#N/A</v>
      </c>
      <c r="X4718" s="81" t="e">
        <f>HLOOKUP(Q4718,データについて!$J$11:$M$18,8,FALSE)</f>
        <v>#N/A</v>
      </c>
      <c r="Y4718" s="81" t="e">
        <f>HLOOKUP(R4718,データについて!$J$12:$M$18,7,FALSE)</f>
        <v>#N/A</v>
      </c>
      <c r="Z4718" s="81" t="e">
        <f>HLOOKUP(I4718,データについて!$J$3:$M$18,16,FALSE)</f>
        <v>#N/A</v>
      </c>
      <c r="AA4718" s="81" t="str">
        <f>IFERROR(HLOOKUP(J4718,データについて!$J$4:$AH$19,16,FALSE),"")</f>
        <v/>
      </c>
      <c r="AB4718" s="81" t="str">
        <f>IFERROR(HLOOKUP(K4718,データについて!$J$5:$AH$20,14,FALSE),"")</f>
        <v/>
      </c>
      <c r="AC4718" s="81" t="e">
        <f>IF(X4718=1,HLOOKUP(R4718,データについて!$J$12:$M$18,7,FALSE),"*")</f>
        <v>#N/A</v>
      </c>
      <c r="AD4718" s="81" t="e">
        <f>IF(X4718=2,HLOOKUP(R4718,データについて!$J$12:$M$18,7,FALSE),"*")</f>
        <v>#N/A</v>
      </c>
    </row>
    <row r="4719" spans="19:30">
      <c r="S4719" s="81" t="e">
        <f>HLOOKUP(L4719,データについて!$J$6:$M$18,13,FALSE)</f>
        <v>#N/A</v>
      </c>
      <c r="T4719" s="81" t="e">
        <f>HLOOKUP(M4719,データについて!$J$7:$M$18,12,FALSE)</f>
        <v>#N/A</v>
      </c>
      <c r="U4719" s="81" t="e">
        <f>HLOOKUP(N4719,データについて!$J$8:$M$18,11,FALSE)</f>
        <v>#N/A</v>
      </c>
      <c r="V4719" s="81" t="e">
        <f>HLOOKUP(O4719,データについて!$J$9:$M$18,10,FALSE)</f>
        <v>#N/A</v>
      </c>
      <c r="W4719" s="81" t="e">
        <f>HLOOKUP(P4719,データについて!$J$10:$M$18,9,FALSE)</f>
        <v>#N/A</v>
      </c>
      <c r="X4719" s="81" t="e">
        <f>HLOOKUP(Q4719,データについて!$J$11:$M$18,8,FALSE)</f>
        <v>#N/A</v>
      </c>
      <c r="Y4719" s="81" t="e">
        <f>HLOOKUP(R4719,データについて!$J$12:$M$18,7,FALSE)</f>
        <v>#N/A</v>
      </c>
      <c r="Z4719" s="81" t="e">
        <f>HLOOKUP(I4719,データについて!$J$3:$M$18,16,FALSE)</f>
        <v>#N/A</v>
      </c>
      <c r="AA4719" s="81" t="str">
        <f>IFERROR(HLOOKUP(J4719,データについて!$J$4:$AH$19,16,FALSE),"")</f>
        <v/>
      </c>
      <c r="AB4719" s="81" t="str">
        <f>IFERROR(HLOOKUP(K4719,データについて!$J$5:$AH$20,14,FALSE),"")</f>
        <v/>
      </c>
      <c r="AC4719" s="81" t="e">
        <f>IF(X4719=1,HLOOKUP(R4719,データについて!$J$12:$M$18,7,FALSE),"*")</f>
        <v>#N/A</v>
      </c>
      <c r="AD4719" s="81" t="e">
        <f>IF(X4719=2,HLOOKUP(R4719,データについて!$J$12:$M$18,7,FALSE),"*")</f>
        <v>#N/A</v>
      </c>
    </row>
    <row r="4720" spans="19:30">
      <c r="S4720" s="81" t="e">
        <f>HLOOKUP(L4720,データについて!$J$6:$M$18,13,FALSE)</f>
        <v>#N/A</v>
      </c>
      <c r="T4720" s="81" t="e">
        <f>HLOOKUP(M4720,データについて!$J$7:$M$18,12,FALSE)</f>
        <v>#N/A</v>
      </c>
      <c r="U4720" s="81" t="e">
        <f>HLOOKUP(N4720,データについて!$J$8:$M$18,11,FALSE)</f>
        <v>#N/A</v>
      </c>
      <c r="V4720" s="81" t="e">
        <f>HLOOKUP(O4720,データについて!$J$9:$M$18,10,FALSE)</f>
        <v>#N/A</v>
      </c>
      <c r="W4720" s="81" t="e">
        <f>HLOOKUP(P4720,データについて!$J$10:$M$18,9,FALSE)</f>
        <v>#N/A</v>
      </c>
      <c r="X4720" s="81" t="e">
        <f>HLOOKUP(Q4720,データについて!$J$11:$M$18,8,FALSE)</f>
        <v>#N/A</v>
      </c>
      <c r="Y4720" s="81" t="e">
        <f>HLOOKUP(R4720,データについて!$J$12:$M$18,7,FALSE)</f>
        <v>#N/A</v>
      </c>
      <c r="Z4720" s="81" t="e">
        <f>HLOOKUP(I4720,データについて!$J$3:$M$18,16,FALSE)</f>
        <v>#N/A</v>
      </c>
      <c r="AA4720" s="81" t="str">
        <f>IFERROR(HLOOKUP(J4720,データについて!$J$4:$AH$19,16,FALSE),"")</f>
        <v/>
      </c>
      <c r="AB4720" s="81" t="str">
        <f>IFERROR(HLOOKUP(K4720,データについて!$J$5:$AH$20,14,FALSE),"")</f>
        <v/>
      </c>
      <c r="AC4720" s="81" t="e">
        <f>IF(X4720=1,HLOOKUP(R4720,データについて!$J$12:$M$18,7,FALSE),"*")</f>
        <v>#N/A</v>
      </c>
      <c r="AD4720" s="81" t="e">
        <f>IF(X4720=2,HLOOKUP(R4720,データについて!$J$12:$M$18,7,FALSE),"*")</f>
        <v>#N/A</v>
      </c>
    </row>
    <row r="4721" spans="19:30">
      <c r="S4721" s="81" t="e">
        <f>HLOOKUP(L4721,データについて!$J$6:$M$18,13,FALSE)</f>
        <v>#N/A</v>
      </c>
      <c r="T4721" s="81" t="e">
        <f>HLOOKUP(M4721,データについて!$J$7:$M$18,12,FALSE)</f>
        <v>#N/A</v>
      </c>
      <c r="U4721" s="81" t="e">
        <f>HLOOKUP(N4721,データについて!$J$8:$M$18,11,FALSE)</f>
        <v>#N/A</v>
      </c>
      <c r="V4721" s="81" t="e">
        <f>HLOOKUP(O4721,データについて!$J$9:$M$18,10,FALSE)</f>
        <v>#N/A</v>
      </c>
      <c r="W4721" s="81" t="e">
        <f>HLOOKUP(P4721,データについて!$J$10:$M$18,9,FALSE)</f>
        <v>#N/A</v>
      </c>
      <c r="X4721" s="81" t="e">
        <f>HLOOKUP(Q4721,データについて!$J$11:$M$18,8,FALSE)</f>
        <v>#N/A</v>
      </c>
      <c r="Y4721" s="81" t="e">
        <f>HLOOKUP(R4721,データについて!$J$12:$M$18,7,FALSE)</f>
        <v>#N/A</v>
      </c>
      <c r="Z4721" s="81" t="e">
        <f>HLOOKUP(I4721,データについて!$J$3:$M$18,16,FALSE)</f>
        <v>#N/A</v>
      </c>
      <c r="AA4721" s="81" t="str">
        <f>IFERROR(HLOOKUP(J4721,データについて!$J$4:$AH$19,16,FALSE),"")</f>
        <v/>
      </c>
      <c r="AB4721" s="81" t="str">
        <f>IFERROR(HLOOKUP(K4721,データについて!$J$5:$AH$20,14,FALSE),"")</f>
        <v/>
      </c>
      <c r="AC4721" s="81" t="e">
        <f>IF(X4721=1,HLOOKUP(R4721,データについて!$J$12:$M$18,7,FALSE),"*")</f>
        <v>#N/A</v>
      </c>
      <c r="AD4721" s="81" t="e">
        <f>IF(X4721=2,HLOOKUP(R4721,データについて!$J$12:$M$18,7,FALSE),"*")</f>
        <v>#N/A</v>
      </c>
    </row>
    <row r="4722" spans="19:30">
      <c r="S4722" s="81" t="e">
        <f>HLOOKUP(L4722,データについて!$J$6:$M$18,13,FALSE)</f>
        <v>#N/A</v>
      </c>
      <c r="T4722" s="81" t="e">
        <f>HLOOKUP(M4722,データについて!$J$7:$M$18,12,FALSE)</f>
        <v>#N/A</v>
      </c>
      <c r="U4722" s="81" t="e">
        <f>HLOOKUP(N4722,データについて!$J$8:$M$18,11,FALSE)</f>
        <v>#N/A</v>
      </c>
      <c r="V4722" s="81" t="e">
        <f>HLOOKUP(O4722,データについて!$J$9:$M$18,10,FALSE)</f>
        <v>#N/A</v>
      </c>
      <c r="W4722" s="81" t="e">
        <f>HLOOKUP(P4722,データについて!$J$10:$M$18,9,FALSE)</f>
        <v>#N/A</v>
      </c>
      <c r="X4722" s="81" t="e">
        <f>HLOOKUP(Q4722,データについて!$J$11:$M$18,8,FALSE)</f>
        <v>#N/A</v>
      </c>
      <c r="Y4722" s="81" t="e">
        <f>HLOOKUP(R4722,データについて!$J$12:$M$18,7,FALSE)</f>
        <v>#N/A</v>
      </c>
      <c r="Z4722" s="81" t="e">
        <f>HLOOKUP(I4722,データについて!$J$3:$M$18,16,FALSE)</f>
        <v>#N/A</v>
      </c>
      <c r="AA4722" s="81" t="str">
        <f>IFERROR(HLOOKUP(J4722,データについて!$J$4:$AH$19,16,FALSE),"")</f>
        <v/>
      </c>
      <c r="AB4722" s="81" t="str">
        <f>IFERROR(HLOOKUP(K4722,データについて!$J$5:$AH$20,14,FALSE),"")</f>
        <v/>
      </c>
      <c r="AC4722" s="81" t="e">
        <f>IF(X4722=1,HLOOKUP(R4722,データについて!$J$12:$M$18,7,FALSE),"*")</f>
        <v>#N/A</v>
      </c>
      <c r="AD4722" s="81" t="e">
        <f>IF(X4722=2,HLOOKUP(R4722,データについて!$J$12:$M$18,7,FALSE),"*")</f>
        <v>#N/A</v>
      </c>
    </row>
    <row r="4723" spans="19:30">
      <c r="S4723" s="81" t="e">
        <f>HLOOKUP(L4723,データについて!$J$6:$M$18,13,FALSE)</f>
        <v>#N/A</v>
      </c>
      <c r="T4723" s="81" t="e">
        <f>HLOOKUP(M4723,データについて!$J$7:$M$18,12,FALSE)</f>
        <v>#N/A</v>
      </c>
      <c r="U4723" s="81" t="e">
        <f>HLOOKUP(N4723,データについて!$J$8:$M$18,11,FALSE)</f>
        <v>#N/A</v>
      </c>
      <c r="V4723" s="81" t="e">
        <f>HLOOKUP(O4723,データについて!$J$9:$M$18,10,FALSE)</f>
        <v>#N/A</v>
      </c>
      <c r="W4723" s="81" t="e">
        <f>HLOOKUP(P4723,データについて!$J$10:$M$18,9,FALSE)</f>
        <v>#N/A</v>
      </c>
      <c r="X4723" s="81" t="e">
        <f>HLOOKUP(Q4723,データについて!$J$11:$M$18,8,FALSE)</f>
        <v>#N/A</v>
      </c>
      <c r="Y4723" s="81" t="e">
        <f>HLOOKUP(R4723,データについて!$J$12:$M$18,7,FALSE)</f>
        <v>#N/A</v>
      </c>
      <c r="Z4723" s="81" t="e">
        <f>HLOOKUP(I4723,データについて!$J$3:$M$18,16,FALSE)</f>
        <v>#N/A</v>
      </c>
      <c r="AA4723" s="81" t="str">
        <f>IFERROR(HLOOKUP(J4723,データについて!$J$4:$AH$19,16,FALSE),"")</f>
        <v/>
      </c>
      <c r="AB4723" s="81" t="str">
        <f>IFERROR(HLOOKUP(K4723,データについて!$J$5:$AH$20,14,FALSE),"")</f>
        <v/>
      </c>
      <c r="AC4723" s="81" t="e">
        <f>IF(X4723=1,HLOOKUP(R4723,データについて!$J$12:$M$18,7,FALSE),"*")</f>
        <v>#N/A</v>
      </c>
      <c r="AD4723" s="81" t="e">
        <f>IF(X4723=2,HLOOKUP(R4723,データについて!$J$12:$M$18,7,FALSE),"*")</f>
        <v>#N/A</v>
      </c>
    </row>
    <row r="4724" spans="19:30">
      <c r="S4724" s="81" t="e">
        <f>HLOOKUP(L4724,データについて!$J$6:$M$18,13,FALSE)</f>
        <v>#N/A</v>
      </c>
      <c r="T4724" s="81" t="e">
        <f>HLOOKUP(M4724,データについて!$J$7:$M$18,12,FALSE)</f>
        <v>#N/A</v>
      </c>
      <c r="U4724" s="81" t="e">
        <f>HLOOKUP(N4724,データについて!$J$8:$M$18,11,FALSE)</f>
        <v>#N/A</v>
      </c>
      <c r="V4724" s="81" t="e">
        <f>HLOOKUP(O4724,データについて!$J$9:$M$18,10,FALSE)</f>
        <v>#N/A</v>
      </c>
      <c r="W4724" s="81" t="e">
        <f>HLOOKUP(P4724,データについて!$J$10:$M$18,9,FALSE)</f>
        <v>#N/A</v>
      </c>
      <c r="X4724" s="81" t="e">
        <f>HLOOKUP(Q4724,データについて!$J$11:$M$18,8,FALSE)</f>
        <v>#N/A</v>
      </c>
      <c r="Y4724" s="81" t="e">
        <f>HLOOKUP(R4724,データについて!$J$12:$M$18,7,FALSE)</f>
        <v>#N/A</v>
      </c>
      <c r="Z4724" s="81" t="e">
        <f>HLOOKUP(I4724,データについて!$J$3:$M$18,16,FALSE)</f>
        <v>#N/A</v>
      </c>
      <c r="AA4724" s="81" t="str">
        <f>IFERROR(HLOOKUP(J4724,データについて!$J$4:$AH$19,16,FALSE),"")</f>
        <v/>
      </c>
      <c r="AB4724" s="81" t="str">
        <f>IFERROR(HLOOKUP(K4724,データについて!$J$5:$AH$20,14,FALSE),"")</f>
        <v/>
      </c>
      <c r="AC4724" s="81" t="e">
        <f>IF(X4724=1,HLOOKUP(R4724,データについて!$J$12:$M$18,7,FALSE),"*")</f>
        <v>#N/A</v>
      </c>
      <c r="AD4724" s="81" t="e">
        <f>IF(X4724=2,HLOOKUP(R4724,データについて!$J$12:$M$18,7,FALSE),"*")</f>
        <v>#N/A</v>
      </c>
    </row>
    <row r="4725" spans="19:30">
      <c r="S4725" s="81" t="e">
        <f>HLOOKUP(L4725,データについて!$J$6:$M$18,13,FALSE)</f>
        <v>#N/A</v>
      </c>
      <c r="T4725" s="81" t="e">
        <f>HLOOKUP(M4725,データについて!$J$7:$M$18,12,FALSE)</f>
        <v>#N/A</v>
      </c>
      <c r="U4725" s="81" t="e">
        <f>HLOOKUP(N4725,データについて!$J$8:$M$18,11,FALSE)</f>
        <v>#N/A</v>
      </c>
      <c r="V4725" s="81" t="e">
        <f>HLOOKUP(O4725,データについて!$J$9:$M$18,10,FALSE)</f>
        <v>#N/A</v>
      </c>
      <c r="W4725" s="81" t="e">
        <f>HLOOKUP(P4725,データについて!$J$10:$M$18,9,FALSE)</f>
        <v>#N/A</v>
      </c>
      <c r="X4725" s="81" t="e">
        <f>HLOOKUP(Q4725,データについて!$J$11:$M$18,8,FALSE)</f>
        <v>#N/A</v>
      </c>
      <c r="Y4725" s="81" t="e">
        <f>HLOOKUP(R4725,データについて!$J$12:$M$18,7,FALSE)</f>
        <v>#N/A</v>
      </c>
      <c r="Z4725" s="81" t="e">
        <f>HLOOKUP(I4725,データについて!$J$3:$M$18,16,FALSE)</f>
        <v>#N/A</v>
      </c>
      <c r="AA4725" s="81" t="str">
        <f>IFERROR(HLOOKUP(J4725,データについて!$J$4:$AH$19,16,FALSE),"")</f>
        <v/>
      </c>
      <c r="AB4725" s="81" t="str">
        <f>IFERROR(HLOOKUP(K4725,データについて!$J$5:$AH$20,14,FALSE),"")</f>
        <v/>
      </c>
      <c r="AC4725" s="81" t="e">
        <f>IF(X4725=1,HLOOKUP(R4725,データについて!$J$12:$M$18,7,FALSE),"*")</f>
        <v>#N/A</v>
      </c>
      <c r="AD4725" s="81" t="e">
        <f>IF(X4725=2,HLOOKUP(R4725,データについて!$J$12:$M$18,7,FALSE),"*")</f>
        <v>#N/A</v>
      </c>
    </row>
    <row r="4726" spans="19:30">
      <c r="S4726" s="81" t="e">
        <f>HLOOKUP(L4726,データについて!$J$6:$M$18,13,FALSE)</f>
        <v>#N/A</v>
      </c>
      <c r="T4726" s="81" t="e">
        <f>HLOOKUP(M4726,データについて!$J$7:$M$18,12,FALSE)</f>
        <v>#N/A</v>
      </c>
      <c r="U4726" s="81" t="e">
        <f>HLOOKUP(N4726,データについて!$J$8:$M$18,11,FALSE)</f>
        <v>#N/A</v>
      </c>
      <c r="V4726" s="81" t="e">
        <f>HLOOKUP(O4726,データについて!$J$9:$M$18,10,FALSE)</f>
        <v>#N/A</v>
      </c>
      <c r="W4726" s="81" t="e">
        <f>HLOOKUP(P4726,データについて!$J$10:$M$18,9,FALSE)</f>
        <v>#N/A</v>
      </c>
      <c r="X4726" s="81" t="e">
        <f>HLOOKUP(Q4726,データについて!$J$11:$M$18,8,FALSE)</f>
        <v>#N/A</v>
      </c>
      <c r="Y4726" s="81" t="e">
        <f>HLOOKUP(R4726,データについて!$J$12:$M$18,7,FALSE)</f>
        <v>#N/A</v>
      </c>
      <c r="Z4726" s="81" t="e">
        <f>HLOOKUP(I4726,データについて!$J$3:$M$18,16,FALSE)</f>
        <v>#N/A</v>
      </c>
      <c r="AA4726" s="81" t="str">
        <f>IFERROR(HLOOKUP(J4726,データについて!$J$4:$AH$19,16,FALSE),"")</f>
        <v/>
      </c>
      <c r="AB4726" s="81" t="str">
        <f>IFERROR(HLOOKUP(K4726,データについて!$J$5:$AH$20,14,FALSE),"")</f>
        <v/>
      </c>
      <c r="AC4726" s="81" t="e">
        <f>IF(X4726=1,HLOOKUP(R4726,データについて!$J$12:$M$18,7,FALSE),"*")</f>
        <v>#N/A</v>
      </c>
      <c r="AD4726" s="81" t="e">
        <f>IF(X4726=2,HLOOKUP(R4726,データについて!$J$12:$M$18,7,FALSE),"*")</f>
        <v>#N/A</v>
      </c>
    </row>
    <row r="4727" spans="19:30">
      <c r="S4727" s="81" t="e">
        <f>HLOOKUP(L4727,データについて!$J$6:$M$18,13,FALSE)</f>
        <v>#N/A</v>
      </c>
      <c r="T4727" s="81" t="e">
        <f>HLOOKUP(M4727,データについて!$J$7:$M$18,12,FALSE)</f>
        <v>#N/A</v>
      </c>
      <c r="U4727" s="81" t="e">
        <f>HLOOKUP(N4727,データについて!$J$8:$M$18,11,FALSE)</f>
        <v>#N/A</v>
      </c>
      <c r="V4727" s="81" t="e">
        <f>HLOOKUP(O4727,データについて!$J$9:$M$18,10,FALSE)</f>
        <v>#N/A</v>
      </c>
      <c r="W4727" s="81" t="e">
        <f>HLOOKUP(P4727,データについて!$J$10:$M$18,9,FALSE)</f>
        <v>#N/A</v>
      </c>
      <c r="X4727" s="81" t="e">
        <f>HLOOKUP(Q4727,データについて!$J$11:$M$18,8,FALSE)</f>
        <v>#N/A</v>
      </c>
      <c r="Y4727" s="81" t="e">
        <f>HLOOKUP(R4727,データについて!$J$12:$M$18,7,FALSE)</f>
        <v>#N/A</v>
      </c>
      <c r="Z4727" s="81" t="e">
        <f>HLOOKUP(I4727,データについて!$J$3:$M$18,16,FALSE)</f>
        <v>#N/A</v>
      </c>
      <c r="AA4727" s="81" t="str">
        <f>IFERROR(HLOOKUP(J4727,データについて!$J$4:$AH$19,16,FALSE),"")</f>
        <v/>
      </c>
      <c r="AB4727" s="81" t="str">
        <f>IFERROR(HLOOKUP(K4727,データについて!$J$5:$AH$20,14,FALSE),"")</f>
        <v/>
      </c>
      <c r="AC4727" s="81" t="e">
        <f>IF(X4727=1,HLOOKUP(R4727,データについて!$J$12:$M$18,7,FALSE),"*")</f>
        <v>#N/A</v>
      </c>
      <c r="AD4727" s="81" t="e">
        <f>IF(X4727=2,HLOOKUP(R4727,データについて!$J$12:$M$18,7,FALSE),"*")</f>
        <v>#N/A</v>
      </c>
    </row>
    <row r="4728" spans="19:30">
      <c r="S4728" s="81" t="e">
        <f>HLOOKUP(L4728,データについて!$J$6:$M$18,13,FALSE)</f>
        <v>#N/A</v>
      </c>
      <c r="T4728" s="81" t="e">
        <f>HLOOKUP(M4728,データについて!$J$7:$M$18,12,FALSE)</f>
        <v>#N/A</v>
      </c>
      <c r="U4728" s="81" t="e">
        <f>HLOOKUP(N4728,データについて!$J$8:$M$18,11,FALSE)</f>
        <v>#N/A</v>
      </c>
      <c r="V4728" s="81" t="e">
        <f>HLOOKUP(O4728,データについて!$J$9:$M$18,10,FALSE)</f>
        <v>#N/A</v>
      </c>
      <c r="W4728" s="81" t="e">
        <f>HLOOKUP(P4728,データについて!$J$10:$M$18,9,FALSE)</f>
        <v>#N/A</v>
      </c>
      <c r="X4728" s="81" t="e">
        <f>HLOOKUP(Q4728,データについて!$J$11:$M$18,8,FALSE)</f>
        <v>#N/A</v>
      </c>
      <c r="Y4728" s="81" t="e">
        <f>HLOOKUP(R4728,データについて!$J$12:$M$18,7,FALSE)</f>
        <v>#N/A</v>
      </c>
      <c r="Z4728" s="81" t="e">
        <f>HLOOKUP(I4728,データについて!$J$3:$M$18,16,FALSE)</f>
        <v>#N/A</v>
      </c>
      <c r="AA4728" s="81" t="str">
        <f>IFERROR(HLOOKUP(J4728,データについて!$J$4:$AH$19,16,FALSE),"")</f>
        <v/>
      </c>
      <c r="AB4728" s="81" t="str">
        <f>IFERROR(HLOOKUP(K4728,データについて!$J$5:$AH$20,14,FALSE),"")</f>
        <v/>
      </c>
      <c r="AC4728" s="81" t="e">
        <f>IF(X4728=1,HLOOKUP(R4728,データについて!$J$12:$M$18,7,FALSE),"*")</f>
        <v>#N/A</v>
      </c>
      <c r="AD4728" s="81" t="e">
        <f>IF(X4728=2,HLOOKUP(R4728,データについて!$J$12:$M$18,7,FALSE),"*")</f>
        <v>#N/A</v>
      </c>
    </row>
    <row r="4729" spans="19:30">
      <c r="S4729" s="81" t="e">
        <f>HLOOKUP(L4729,データについて!$J$6:$M$18,13,FALSE)</f>
        <v>#N/A</v>
      </c>
      <c r="T4729" s="81" t="e">
        <f>HLOOKUP(M4729,データについて!$J$7:$M$18,12,FALSE)</f>
        <v>#N/A</v>
      </c>
      <c r="U4729" s="81" t="e">
        <f>HLOOKUP(N4729,データについて!$J$8:$M$18,11,FALSE)</f>
        <v>#N/A</v>
      </c>
      <c r="V4729" s="81" t="e">
        <f>HLOOKUP(O4729,データについて!$J$9:$M$18,10,FALSE)</f>
        <v>#N/A</v>
      </c>
      <c r="W4729" s="81" t="e">
        <f>HLOOKUP(P4729,データについて!$J$10:$M$18,9,FALSE)</f>
        <v>#N/A</v>
      </c>
      <c r="X4729" s="81" t="e">
        <f>HLOOKUP(Q4729,データについて!$J$11:$M$18,8,FALSE)</f>
        <v>#N/A</v>
      </c>
      <c r="Y4729" s="81" t="e">
        <f>HLOOKUP(R4729,データについて!$J$12:$M$18,7,FALSE)</f>
        <v>#N/A</v>
      </c>
      <c r="Z4729" s="81" t="e">
        <f>HLOOKUP(I4729,データについて!$J$3:$M$18,16,FALSE)</f>
        <v>#N/A</v>
      </c>
      <c r="AA4729" s="81" t="str">
        <f>IFERROR(HLOOKUP(J4729,データについて!$J$4:$AH$19,16,FALSE),"")</f>
        <v/>
      </c>
      <c r="AB4729" s="81" t="str">
        <f>IFERROR(HLOOKUP(K4729,データについて!$J$5:$AH$20,14,FALSE),"")</f>
        <v/>
      </c>
      <c r="AC4729" s="81" t="e">
        <f>IF(X4729=1,HLOOKUP(R4729,データについて!$J$12:$M$18,7,FALSE),"*")</f>
        <v>#N/A</v>
      </c>
      <c r="AD4729" s="81" t="e">
        <f>IF(X4729=2,HLOOKUP(R4729,データについて!$J$12:$M$18,7,FALSE),"*")</f>
        <v>#N/A</v>
      </c>
    </row>
    <row r="4730" spans="19:30">
      <c r="S4730" s="81" t="e">
        <f>HLOOKUP(L4730,データについて!$J$6:$M$18,13,FALSE)</f>
        <v>#N/A</v>
      </c>
      <c r="T4730" s="81" t="e">
        <f>HLOOKUP(M4730,データについて!$J$7:$M$18,12,FALSE)</f>
        <v>#N/A</v>
      </c>
      <c r="U4730" s="81" t="e">
        <f>HLOOKUP(N4730,データについて!$J$8:$M$18,11,FALSE)</f>
        <v>#N/A</v>
      </c>
      <c r="V4730" s="81" t="e">
        <f>HLOOKUP(O4730,データについて!$J$9:$M$18,10,FALSE)</f>
        <v>#N/A</v>
      </c>
      <c r="W4730" s="81" t="e">
        <f>HLOOKUP(P4730,データについて!$J$10:$M$18,9,FALSE)</f>
        <v>#N/A</v>
      </c>
      <c r="X4730" s="81" t="e">
        <f>HLOOKUP(Q4730,データについて!$J$11:$M$18,8,FALSE)</f>
        <v>#N/A</v>
      </c>
      <c r="Y4730" s="81" t="e">
        <f>HLOOKUP(R4730,データについて!$J$12:$M$18,7,FALSE)</f>
        <v>#N/A</v>
      </c>
      <c r="Z4730" s="81" t="e">
        <f>HLOOKUP(I4730,データについて!$J$3:$M$18,16,FALSE)</f>
        <v>#N/A</v>
      </c>
      <c r="AA4730" s="81" t="str">
        <f>IFERROR(HLOOKUP(J4730,データについて!$J$4:$AH$19,16,FALSE),"")</f>
        <v/>
      </c>
      <c r="AB4730" s="81" t="str">
        <f>IFERROR(HLOOKUP(K4730,データについて!$J$5:$AH$20,14,FALSE),"")</f>
        <v/>
      </c>
      <c r="AC4730" s="81" t="e">
        <f>IF(X4730=1,HLOOKUP(R4730,データについて!$J$12:$M$18,7,FALSE),"*")</f>
        <v>#N/A</v>
      </c>
      <c r="AD4730" s="81" t="e">
        <f>IF(X4730=2,HLOOKUP(R4730,データについて!$J$12:$M$18,7,FALSE),"*")</f>
        <v>#N/A</v>
      </c>
    </row>
    <row r="4731" spans="19:30">
      <c r="S4731" s="81" t="e">
        <f>HLOOKUP(L4731,データについて!$J$6:$M$18,13,FALSE)</f>
        <v>#N/A</v>
      </c>
      <c r="T4731" s="81" t="e">
        <f>HLOOKUP(M4731,データについて!$J$7:$M$18,12,FALSE)</f>
        <v>#N/A</v>
      </c>
      <c r="U4731" s="81" t="e">
        <f>HLOOKUP(N4731,データについて!$J$8:$M$18,11,FALSE)</f>
        <v>#N/A</v>
      </c>
      <c r="V4731" s="81" t="e">
        <f>HLOOKUP(O4731,データについて!$J$9:$M$18,10,FALSE)</f>
        <v>#N/A</v>
      </c>
      <c r="W4731" s="81" t="e">
        <f>HLOOKUP(P4731,データについて!$J$10:$M$18,9,FALSE)</f>
        <v>#N/A</v>
      </c>
      <c r="X4731" s="81" t="e">
        <f>HLOOKUP(Q4731,データについて!$J$11:$M$18,8,FALSE)</f>
        <v>#N/A</v>
      </c>
      <c r="Y4731" s="81" t="e">
        <f>HLOOKUP(R4731,データについて!$J$12:$M$18,7,FALSE)</f>
        <v>#N/A</v>
      </c>
      <c r="Z4731" s="81" t="e">
        <f>HLOOKUP(I4731,データについて!$J$3:$M$18,16,FALSE)</f>
        <v>#N/A</v>
      </c>
      <c r="AA4731" s="81" t="str">
        <f>IFERROR(HLOOKUP(J4731,データについて!$J$4:$AH$19,16,FALSE),"")</f>
        <v/>
      </c>
      <c r="AB4731" s="81" t="str">
        <f>IFERROR(HLOOKUP(K4731,データについて!$J$5:$AH$20,14,FALSE),"")</f>
        <v/>
      </c>
      <c r="AC4731" s="81" t="e">
        <f>IF(X4731=1,HLOOKUP(R4731,データについて!$J$12:$M$18,7,FALSE),"*")</f>
        <v>#N/A</v>
      </c>
      <c r="AD4731" s="81" t="e">
        <f>IF(X4731=2,HLOOKUP(R4731,データについて!$J$12:$M$18,7,FALSE),"*")</f>
        <v>#N/A</v>
      </c>
    </row>
    <row r="4732" spans="19:30">
      <c r="S4732" s="81" t="e">
        <f>HLOOKUP(L4732,データについて!$J$6:$M$18,13,FALSE)</f>
        <v>#N/A</v>
      </c>
      <c r="T4732" s="81" t="e">
        <f>HLOOKUP(M4732,データについて!$J$7:$M$18,12,FALSE)</f>
        <v>#N/A</v>
      </c>
      <c r="U4732" s="81" t="e">
        <f>HLOOKUP(N4732,データについて!$J$8:$M$18,11,FALSE)</f>
        <v>#N/A</v>
      </c>
      <c r="V4732" s="81" t="e">
        <f>HLOOKUP(O4732,データについて!$J$9:$M$18,10,FALSE)</f>
        <v>#N/A</v>
      </c>
      <c r="W4732" s="81" t="e">
        <f>HLOOKUP(P4732,データについて!$J$10:$M$18,9,FALSE)</f>
        <v>#N/A</v>
      </c>
      <c r="X4732" s="81" t="e">
        <f>HLOOKUP(Q4732,データについて!$J$11:$M$18,8,FALSE)</f>
        <v>#N/A</v>
      </c>
      <c r="Y4732" s="81" t="e">
        <f>HLOOKUP(R4732,データについて!$J$12:$M$18,7,FALSE)</f>
        <v>#N/A</v>
      </c>
      <c r="Z4732" s="81" t="e">
        <f>HLOOKUP(I4732,データについて!$J$3:$M$18,16,FALSE)</f>
        <v>#N/A</v>
      </c>
      <c r="AA4732" s="81" t="str">
        <f>IFERROR(HLOOKUP(J4732,データについて!$J$4:$AH$19,16,FALSE),"")</f>
        <v/>
      </c>
      <c r="AB4732" s="81" t="str">
        <f>IFERROR(HLOOKUP(K4732,データについて!$J$5:$AH$20,14,FALSE),"")</f>
        <v/>
      </c>
      <c r="AC4732" s="81" t="e">
        <f>IF(X4732=1,HLOOKUP(R4732,データについて!$J$12:$M$18,7,FALSE),"*")</f>
        <v>#N/A</v>
      </c>
      <c r="AD4732" s="81" t="e">
        <f>IF(X4732=2,HLOOKUP(R4732,データについて!$J$12:$M$18,7,FALSE),"*")</f>
        <v>#N/A</v>
      </c>
    </row>
    <row r="4733" spans="19:30">
      <c r="S4733" s="81" t="e">
        <f>HLOOKUP(L4733,データについて!$J$6:$M$18,13,FALSE)</f>
        <v>#N/A</v>
      </c>
      <c r="T4733" s="81" t="e">
        <f>HLOOKUP(M4733,データについて!$J$7:$M$18,12,FALSE)</f>
        <v>#N/A</v>
      </c>
      <c r="U4733" s="81" t="e">
        <f>HLOOKUP(N4733,データについて!$J$8:$M$18,11,FALSE)</f>
        <v>#N/A</v>
      </c>
      <c r="V4733" s="81" t="e">
        <f>HLOOKUP(O4733,データについて!$J$9:$M$18,10,FALSE)</f>
        <v>#N/A</v>
      </c>
      <c r="W4733" s="81" t="e">
        <f>HLOOKUP(P4733,データについて!$J$10:$M$18,9,FALSE)</f>
        <v>#N/A</v>
      </c>
      <c r="X4733" s="81" t="e">
        <f>HLOOKUP(Q4733,データについて!$J$11:$M$18,8,FALSE)</f>
        <v>#N/A</v>
      </c>
      <c r="Y4733" s="81" t="e">
        <f>HLOOKUP(R4733,データについて!$J$12:$M$18,7,FALSE)</f>
        <v>#N/A</v>
      </c>
      <c r="Z4733" s="81" t="e">
        <f>HLOOKUP(I4733,データについて!$J$3:$M$18,16,FALSE)</f>
        <v>#N/A</v>
      </c>
      <c r="AA4733" s="81" t="str">
        <f>IFERROR(HLOOKUP(J4733,データについて!$J$4:$AH$19,16,FALSE),"")</f>
        <v/>
      </c>
      <c r="AB4733" s="81" t="str">
        <f>IFERROR(HLOOKUP(K4733,データについて!$J$5:$AH$20,14,FALSE),"")</f>
        <v/>
      </c>
      <c r="AC4733" s="81" t="e">
        <f>IF(X4733=1,HLOOKUP(R4733,データについて!$J$12:$M$18,7,FALSE),"*")</f>
        <v>#N/A</v>
      </c>
      <c r="AD4733" s="81" t="e">
        <f>IF(X4733=2,HLOOKUP(R4733,データについて!$J$12:$M$18,7,FALSE),"*")</f>
        <v>#N/A</v>
      </c>
    </row>
    <row r="4734" spans="19:30">
      <c r="S4734" s="81" t="e">
        <f>HLOOKUP(L4734,データについて!$J$6:$M$18,13,FALSE)</f>
        <v>#N/A</v>
      </c>
      <c r="T4734" s="81" t="e">
        <f>HLOOKUP(M4734,データについて!$J$7:$M$18,12,FALSE)</f>
        <v>#N/A</v>
      </c>
      <c r="U4734" s="81" t="e">
        <f>HLOOKUP(N4734,データについて!$J$8:$M$18,11,FALSE)</f>
        <v>#N/A</v>
      </c>
      <c r="V4734" s="81" t="e">
        <f>HLOOKUP(O4734,データについて!$J$9:$M$18,10,FALSE)</f>
        <v>#N/A</v>
      </c>
      <c r="W4734" s="81" t="e">
        <f>HLOOKUP(P4734,データについて!$J$10:$M$18,9,FALSE)</f>
        <v>#N/A</v>
      </c>
      <c r="X4734" s="81" t="e">
        <f>HLOOKUP(Q4734,データについて!$J$11:$M$18,8,FALSE)</f>
        <v>#N/A</v>
      </c>
      <c r="Y4734" s="81" t="e">
        <f>HLOOKUP(R4734,データについて!$J$12:$M$18,7,FALSE)</f>
        <v>#N/A</v>
      </c>
      <c r="Z4734" s="81" t="e">
        <f>HLOOKUP(I4734,データについて!$J$3:$M$18,16,FALSE)</f>
        <v>#N/A</v>
      </c>
      <c r="AA4734" s="81" t="str">
        <f>IFERROR(HLOOKUP(J4734,データについて!$J$4:$AH$19,16,FALSE),"")</f>
        <v/>
      </c>
      <c r="AB4734" s="81" t="str">
        <f>IFERROR(HLOOKUP(K4734,データについて!$J$5:$AH$20,14,FALSE),"")</f>
        <v/>
      </c>
      <c r="AC4734" s="81" t="e">
        <f>IF(X4734=1,HLOOKUP(R4734,データについて!$J$12:$M$18,7,FALSE),"*")</f>
        <v>#N/A</v>
      </c>
      <c r="AD4734" s="81" t="e">
        <f>IF(X4734=2,HLOOKUP(R4734,データについて!$J$12:$M$18,7,FALSE),"*")</f>
        <v>#N/A</v>
      </c>
    </row>
    <row r="4735" spans="19:30">
      <c r="S4735" s="81" t="e">
        <f>HLOOKUP(L4735,データについて!$J$6:$M$18,13,FALSE)</f>
        <v>#N/A</v>
      </c>
      <c r="T4735" s="81" t="e">
        <f>HLOOKUP(M4735,データについて!$J$7:$M$18,12,FALSE)</f>
        <v>#N/A</v>
      </c>
      <c r="U4735" s="81" t="e">
        <f>HLOOKUP(N4735,データについて!$J$8:$M$18,11,FALSE)</f>
        <v>#N/A</v>
      </c>
      <c r="V4735" s="81" t="e">
        <f>HLOOKUP(O4735,データについて!$J$9:$M$18,10,FALSE)</f>
        <v>#N/A</v>
      </c>
      <c r="W4735" s="81" t="e">
        <f>HLOOKUP(P4735,データについて!$J$10:$M$18,9,FALSE)</f>
        <v>#N/A</v>
      </c>
      <c r="X4735" s="81" t="e">
        <f>HLOOKUP(Q4735,データについて!$J$11:$M$18,8,FALSE)</f>
        <v>#N/A</v>
      </c>
      <c r="Y4735" s="81" t="e">
        <f>HLOOKUP(R4735,データについて!$J$12:$M$18,7,FALSE)</f>
        <v>#N/A</v>
      </c>
      <c r="Z4735" s="81" t="e">
        <f>HLOOKUP(I4735,データについて!$J$3:$M$18,16,FALSE)</f>
        <v>#N/A</v>
      </c>
      <c r="AA4735" s="81" t="str">
        <f>IFERROR(HLOOKUP(J4735,データについて!$J$4:$AH$19,16,FALSE),"")</f>
        <v/>
      </c>
      <c r="AB4735" s="81" t="str">
        <f>IFERROR(HLOOKUP(K4735,データについて!$J$5:$AH$20,14,FALSE),"")</f>
        <v/>
      </c>
      <c r="AC4735" s="81" t="e">
        <f>IF(X4735=1,HLOOKUP(R4735,データについて!$J$12:$M$18,7,FALSE),"*")</f>
        <v>#N/A</v>
      </c>
      <c r="AD4735" s="81" t="e">
        <f>IF(X4735=2,HLOOKUP(R4735,データについて!$J$12:$M$18,7,FALSE),"*")</f>
        <v>#N/A</v>
      </c>
    </row>
    <row r="4736" spans="19:30">
      <c r="S4736" s="81" t="e">
        <f>HLOOKUP(L4736,データについて!$J$6:$M$18,13,FALSE)</f>
        <v>#N/A</v>
      </c>
      <c r="T4736" s="81" t="e">
        <f>HLOOKUP(M4736,データについて!$J$7:$M$18,12,FALSE)</f>
        <v>#N/A</v>
      </c>
      <c r="U4736" s="81" t="e">
        <f>HLOOKUP(N4736,データについて!$J$8:$M$18,11,FALSE)</f>
        <v>#N/A</v>
      </c>
      <c r="V4736" s="81" t="e">
        <f>HLOOKUP(O4736,データについて!$J$9:$M$18,10,FALSE)</f>
        <v>#N/A</v>
      </c>
      <c r="W4736" s="81" t="e">
        <f>HLOOKUP(P4736,データについて!$J$10:$M$18,9,FALSE)</f>
        <v>#N/A</v>
      </c>
      <c r="X4736" s="81" t="e">
        <f>HLOOKUP(Q4736,データについて!$J$11:$M$18,8,FALSE)</f>
        <v>#N/A</v>
      </c>
      <c r="Y4736" s="81" t="e">
        <f>HLOOKUP(R4736,データについて!$J$12:$M$18,7,FALSE)</f>
        <v>#N/A</v>
      </c>
      <c r="Z4736" s="81" t="e">
        <f>HLOOKUP(I4736,データについて!$J$3:$M$18,16,FALSE)</f>
        <v>#N/A</v>
      </c>
      <c r="AA4736" s="81" t="str">
        <f>IFERROR(HLOOKUP(J4736,データについて!$J$4:$AH$19,16,FALSE),"")</f>
        <v/>
      </c>
      <c r="AB4736" s="81" t="str">
        <f>IFERROR(HLOOKUP(K4736,データについて!$J$5:$AH$20,14,FALSE),"")</f>
        <v/>
      </c>
      <c r="AC4736" s="81" t="e">
        <f>IF(X4736=1,HLOOKUP(R4736,データについて!$J$12:$M$18,7,FALSE),"*")</f>
        <v>#N/A</v>
      </c>
      <c r="AD4736" s="81" t="e">
        <f>IF(X4736=2,HLOOKUP(R4736,データについて!$J$12:$M$18,7,FALSE),"*")</f>
        <v>#N/A</v>
      </c>
    </row>
    <row r="4737" spans="19:30">
      <c r="S4737" s="81" t="e">
        <f>HLOOKUP(L4737,データについて!$J$6:$M$18,13,FALSE)</f>
        <v>#N/A</v>
      </c>
      <c r="T4737" s="81" t="e">
        <f>HLOOKUP(M4737,データについて!$J$7:$M$18,12,FALSE)</f>
        <v>#N/A</v>
      </c>
      <c r="U4737" s="81" t="e">
        <f>HLOOKUP(N4737,データについて!$J$8:$M$18,11,FALSE)</f>
        <v>#N/A</v>
      </c>
      <c r="V4737" s="81" t="e">
        <f>HLOOKUP(O4737,データについて!$J$9:$M$18,10,FALSE)</f>
        <v>#N/A</v>
      </c>
      <c r="W4737" s="81" t="e">
        <f>HLOOKUP(P4737,データについて!$J$10:$M$18,9,FALSE)</f>
        <v>#N/A</v>
      </c>
      <c r="X4737" s="81" t="e">
        <f>HLOOKUP(Q4737,データについて!$J$11:$M$18,8,FALSE)</f>
        <v>#N/A</v>
      </c>
      <c r="Y4737" s="81" t="e">
        <f>HLOOKUP(R4737,データについて!$J$12:$M$18,7,FALSE)</f>
        <v>#N/A</v>
      </c>
      <c r="Z4737" s="81" t="e">
        <f>HLOOKUP(I4737,データについて!$J$3:$M$18,16,FALSE)</f>
        <v>#N/A</v>
      </c>
      <c r="AA4737" s="81" t="str">
        <f>IFERROR(HLOOKUP(J4737,データについて!$J$4:$AH$19,16,FALSE),"")</f>
        <v/>
      </c>
      <c r="AB4737" s="81" t="str">
        <f>IFERROR(HLOOKUP(K4737,データについて!$J$5:$AH$20,14,FALSE),"")</f>
        <v/>
      </c>
      <c r="AC4737" s="81" t="e">
        <f>IF(X4737=1,HLOOKUP(R4737,データについて!$J$12:$M$18,7,FALSE),"*")</f>
        <v>#N/A</v>
      </c>
      <c r="AD4737" s="81" t="e">
        <f>IF(X4737=2,HLOOKUP(R4737,データについて!$J$12:$M$18,7,FALSE),"*")</f>
        <v>#N/A</v>
      </c>
    </row>
    <row r="4738" spans="19:30">
      <c r="S4738" s="81" t="e">
        <f>HLOOKUP(L4738,データについて!$J$6:$M$18,13,FALSE)</f>
        <v>#N/A</v>
      </c>
      <c r="T4738" s="81" t="e">
        <f>HLOOKUP(M4738,データについて!$J$7:$M$18,12,FALSE)</f>
        <v>#N/A</v>
      </c>
      <c r="U4738" s="81" t="e">
        <f>HLOOKUP(N4738,データについて!$J$8:$M$18,11,FALSE)</f>
        <v>#N/A</v>
      </c>
      <c r="V4738" s="81" t="e">
        <f>HLOOKUP(O4738,データについて!$J$9:$M$18,10,FALSE)</f>
        <v>#N/A</v>
      </c>
      <c r="W4738" s="81" t="e">
        <f>HLOOKUP(P4738,データについて!$J$10:$M$18,9,FALSE)</f>
        <v>#N/A</v>
      </c>
      <c r="X4738" s="81" t="e">
        <f>HLOOKUP(Q4738,データについて!$J$11:$M$18,8,FALSE)</f>
        <v>#N/A</v>
      </c>
      <c r="Y4738" s="81" t="e">
        <f>HLOOKUP(R4738,データについて!$J$12:$M$18,7,FALSE)</f>
        <v>#N/A</v>
      </c>
      <c r="Z4738" s="81" t="e">
        <f>HLOOKUP(I4738,データについて!$J$3:$M$18,16,FALSE)</f>
        <v>#N/A</v>
      </c>
      <c r="AA4738" s="81" t="str">
        <f>IFERROR(HLOOKUP(J4738,データについて!$J$4:$AH$19,16,FALSE),"")</f>
        <v/>
      </c>
      <c r="AB4738" s="81" t="str">
        <f>IFERROR(HLOOKUP(K4738,データについて!$J$5:$AH$20,14,FALSE),"")</f>
        <v/>
      </c>
      <c r="AC4738" s="81" t="e">
        <f>IF(X4738=1,HLOOKUP(R4738,データについて!$J$12:$M$18,7,FALSE),"*")</f>
        <v>#N/A</v>
      </c>
      <c r="AD4738" s="81" t="e">
        <f>IF(X4738=2,HLOOKUP(R4738,データについて!$J$12:$M$18,7,FALSE),"*")</f>
        <v>#N/A</v>
      </c>
    </row>
    <row r="4739" spans="19:30">
      <c r="S4739" s="81" t="e">
        <f>HLOOKUP(L4739,データについて!$J$6:$M$18,13,FALSE)</f>
        <v>#N/A</v>
      </c>
      <c r="T4739" s="81" t="e">
        <f>HLOOKUP(M4739,データについて!$J$7:$M$18,12,FALSE)</f>
        <v>#N/A</v>
      </c>
      <c r="U4739" s="81" t="e">
        <f>HLOOKUP(N4739,データについて!$J$8:$M$18,11,FALSE)</f>
        <v>#N/A</v>
      </c>
      <c r="V4739" s="81" t="e">
        <f>HLOOKUP(O4739,データについて!$J$9:$M$18,10,FALSE)</f>
        <v>#N/A</v>
      </c>
      <c r="W4739" s="81" t="e">
        <f>HLOOKUP(P4739,データについて!$J$10:$M$18,9,FALSE)</f>
        <v>#N/A</v>
      </c>
      <c r="X4739" s="81" t="e">
        <f>HLOOKUP(Q4739,データについて!$J$11:$M$18,8,FALSE)</f>
        <v>#N/A</v>
      </c>
      <c r="Y4739" s="81" t="e">
        <f>HLOOKUP(R4739,データについて!$J$12:$M$18,7,FALSE)</f>
        <v>#N/A</v>
      </c>
      <c r="Z4739" s="81" t="e">
        <f>HLOOKUP(I4739,データについて!$J$3:$M$18,16,FALSE)</f>
        <v>#N/A</v>
      </c>
      <c r="AA4739" s="81" t="str">
        <f>IFERROR(HLOOKUP(J4739,データについて!$J$4:$AH$19,16,FALSE),"")</f>
        <v/>
      </c>
      <c r="AB4739" s="81" t="str">
        <f>IFERROR(HLOOKUP(K4739,データについて!$J$5:$AH$20,14,FALSE),"")</f>
        <v/>
      </c>
      <c r="AC4739" s="81" t="e">
        <f>IF(X4739=1,HLOOKUP(R4739,データについて!$J$12:$M$18,7,FALSE),"*")</f>
        <v>#N/A</v>
      </c>
      <c r="AD4739" s="81" t="e">
        <f>IF(X4739=2,HLOOKUP(R4739,データについて!$J$12:$M$18,7,FALSE),"*")</f>
        <v>#N/A</v>
      </c>
    </row>
    <row r="4740" spans="19:30">
      <c r="S4740" s="81" t="e">
        <f>HLOOKUP(L4740,データについて!$J$6:$M$18,13,FALSE)</f>
        <v>#N/A</v>
      </c>
      <c r="T4740" s="81" t="e">
        <f>HLOOKUP(M4740,データについて!$J$7:$M$18,12,FALSE)</f>
        <v>#N/A</v>
      </c>
      <c r="U4740" s="81" t="e">
        <f>HLOOKUP(N4740,データについて!$J$8:$M$18,11,FALSE)</f>
        <v>#N/A</v>
      </c>
      <c r="V4740" s="81" t="e">
        <f>HLOOKUP(O4740,データについて!$J$9:$M$18,10,FALSE)</f>
        <v>#N/A</v>
      </c>
      <c r="W4740" s="81" t="e">
        <f>HLOOKUP(P4740,データについて!$J$10:$M$18,9,FALSE)</f>
        <v>#N/A</v>
      </c>
      <c r="X4740" s="81" t="e">
        <f>HLOOKUP(Q4740,データについて!$J$11:$M$18,8,FALSE)</f>
        <v>#N/A</v>
      </c>
      <c r="Y4740" s="81" t="e">
        <f>HLOOKUP(R4740,データについて!$J$12:$M$18,7,FALSE)</f>
        <v>#N/A</v>
      </c>
      <c r="Z4740" s="81" t="e">
        <f>HLOOKUP(I4740,データについて!$J$3:$M$18,16,FALSE)</f>
        <v>#N/A</v>
      </c>
      <c r="AA4740" s="81" t="str">
        <f>IFERROR(HLOOKUP(J4740,データについて!$J$4:$AH$19,16,FALSE),"")</f>
        <v/>
      </c>
      <c r="AB4740" s="81" t="str">
        <f>IFERROR(HLOOKUP(K4740,データについて!$J$5:$AH$20,14,FALSE),"")</f>
        <v/>
      </c>
      <c r="AC4740" s="81" t="e">
        <f>IF(X4740=1,HLOOKUP(R4740,データについて!$J$12:$M$18,7,FALSE),"*")</f>
        <v>#N/A</v>
      </c>
      <c r="AD4740" s="81" t="e">
        <f>IF(X4740=2,HLOOKUP(R4740,データについて!$J$12:$M$18,7,FALSE),"*")</f>
        <v>#N/A</v>
      </c>
    </row>
    <row r="4741" spans="19:30">
      <c r="S4741" s="81" t="e">
        <f>HLOOKUP(L4741,データについて!$J$6:$M$18,13,FALSE)</f>
        <v>#N/A</v>
      </c>
      <c r="T4741" s="81" t="e">
        <f>HLOOKUP(M4741,データについて!$J$7:$M$18,12,FALSE)</f>
        <v>#N/A</v>
      </c>
      <c r="U4741" s="81" t="e">
        <f>HLOOKUP(N4741,データについて!$J$8:$M$18,11,FALSE)</f>
        <v>#N/A</v>
      </c>
      <c r="V4741" s="81" t="e">
        <f>HLOOKUP(O4741,データについて!$J$9:$M$18,10,FALSE)</f>
        <v>#N/A</v>
      </c>
      <c r="W4741" s="81" t="e">
        <f>HLOOKUP(P4741,データについて!$J$10:$M$18,9,FALSE)</f>
        <v>#N/A</v>
      </c>
      <c r="X4741" s="81" t="e">
        <f>HLOOKUP(Q4741,データについて!$J$11:$M$18,8,FALSE)</f>
        <v>#N/A</v>
      </c>
      <c r="Y4741" s="81" t="e">
        <f>HLOOKUP(R4741,データについて!$J$12:$M$18,7,FALSE)</f>
        <v>#N/A</v>
      </c>
      <c r="Z4741" s="81" t="e">
        <f>HLOOKUP(I4741,データについて!$J$3:$M$18,16,FALSE)</f>
        <v>#N/A</v>
      </c>
      <c r="AA4741" s="81" t="str">
        <f>IFERROR(HLOOKUP(J4741,データについて!$J$4:$AH$19,16,FALSE),"")</f>
        <v/>
      </c>
      <c r="AB4741" s="81" t="str">
        <f>IFERROR(HLOOKUP(K4741,データについて!$J$5:$AH$20,14,FALSE),"")</f>
        <v/>
      </c>
      <c r="AC4741" s="81" t="e">
        <f>IF(X4741=1,HLOOKUP(R4741,データについて!$J$12:$M$18,7,FALSE),"*")</f>
        <v>#N/A</v>
      </c>
      <c r="AD4741" s="81" t="e">
        <f>IF(X4741=2,HLOOKUP(R4741,データについて!$J$12:$M$18,7,FALSE),"*")</f>
        <v>#N/A</v>
      </c>
    </row>
    <row r="4742" spans="19:30">
      <c r="S4742" s="81" t="e">
        <f>HLOOKUP(L4742,データについて!$J$6:$M$18,13,FALSE)</f>
        <v>#N/A</v>
      </c>
      <c r="T4742" s="81" t="e">
        <f>HLOOKUP(M4742,データについて!$J$7:$M$18,12,FALSE)</f>
        <v>#N/A</v>
      </c>
      <c r="U4742" s="81" t="e">
        <f>HLOOKUP(N4742,データについて!$J$8:$M$18,11,FALSE)</f>
        <v>#N/A</v>
      </c>
      <c r="V4742" s="81" t="e">
        <f>HLOOKUP(O4742,データについて!$J$9:$M$18,10,FALSE)</f>
        <v>#N/A</v>
      </c>
      <c r="W4742" s="81" t="e">
        <f>HLOOKUP(P4742,データについて!$J$10:$M$18,9,FALSE)</f>
        <v>#N/A</v>
      </c>
      <c r="X4742" s="81" t="e">
        <f>HLOOKUP(Q4742,データについて!$J$11:$M$18,8,FALSE)</f>
        <v>#N/A</v>
      </c>
      <c r="Y4742" s="81" t="e">
        <f>HLOOKUP(R4742,データについて!$J$12:$M$18,7,FALSE)</f>
        <v>#N/A</v>
      </c>
      <c r="Z4742" s="81" t="e">
        <f>HLOOKUP(I4742,データについて!$J$3:$M$18,16,FALSE)</f>
        <v>#N/A</v>
      </c>
      <c r="AA4742" s="81" t="str">
        <f>IFERROR(HLOOKUP(J4742,データについて!$J$4:$AH$19,16,FALSE),"")</f>
        <v/>
      </c>
      <c r="AB4742" s="81" t="str">
        <f>IFERROR(HLOOKUP(K4742,データについて!$J$5:$AH$20,14,FALSE),"")</f>
        <v/>
      </c>
      <c r="AC4742" s="81" t="e">
        <f>IF(X4742=1,HLOOKUP(R4742,データについて!$J$12:$M$18,7,FALSE),"*")</f>
        <v>#N/A</v>
      </c>
      <c r="AD4742" s="81" t="e">
        <f>IF(X4742=2,HLOOKUP(R4742,データについて!$J$12:$M$18,7,FALSE),"*")</f>
        <v>#N/A</v>
      </c>
    </row>
    <row r="4743" spans="19:30">
      <c r="S4743" s="81" t="e">
        <f>HLOOKUP(L4743,データについて!$J$6:$M$18,13,FALSE)</f>
        <v>#N/A</v>
      </c>
      <c r="T4743" s="81" t="e">
        <f>HLOOKUP(M4743,データについて!$J$7:$M$18,12,FALSE)</f>
        <v>#N/A</v>
      </c>
      <c r="U4743" s="81" t="e">
        <f>HLOOKUP(N4743,データについて!$J$8:$M$18,11,FALSE)</f>
        <v>#N/A</v>
      </c>
      <c r="V4743" s="81" t="e">
        <f>HLOOKUP(O4743,データについて!$J$9:$M$18,10,FALSE)</f>
        <v>#N/A</v>
      </c>
      <c r="W4743" s="81" t="e">
        <f>HLOOKUP(P4743,データについて!$J$10:$M$18,9,FALSE)</f>
        <v>#N/A</v>
      </c>
      <c r="X4743" s="81" t="e">
        <f>HLOOKUP(Q4743,データについて!$J$11:$M$18,8,FALSE)</f>
        <v>#N/A</v>
      </c>
      <c r="Y4743" s="81" t="e">
        <f>HLOOKUP(R4743,データについて!$J$12:$M$18,7,FALSE)</f>
        <v>#N/A</v>
      </c>
      <c r="Z4743" s="81" t="e">
        <f>HLOOKUP(I4743,データについて!$J$3:$M$18,16,FALSE)</f>
        <v>#N/A</v>
      </c>
      <c r="AA4743" s="81" t="str">
        <f>IFERROR(HLOOKUP(J4743,データについて!$J$4:$AH$19,16,FALSE),"")</f>
        <v/>
      </c>
      <c r="AB4743" s="81" t="str">
        <f>IFERROR(HLOOKUP(K4743,データについて!$J$5:$AH$20,14,FALSE),"")</f>
        <v/>
      </c>
      <c r="AC4743" s="81" t="e">
        <f>IF(X4743=1,HLOOKUP(R4743,データについて!$J$12:$M$18,7,FALSE),"*")</f>
        <v>#N/A</v>
      </c>
      <c r="AD4743" s="81" t="e">
        <f>IF(X4743=2,HLOOKUP(R4743,データについて!$J$12:$M$18,7,FALSE),"*")</f>
        <v>#N/A</v>
      </c>
    </row>
    <row r="4744" spans="19:30">
      <c r="S4744" s="81" t="e">
        <f>HLOOKUP(L4744,データについて!$J$6:$M$18,13,FALSE)</f>
        <v>#N/A</v>
      </c>
      <c r="T4744" s="81" t="e">
        <f>HLOOKUP(M4744,データについて!$J$7:$M$18,12,FALSE)</f>
        <v>#N/A</v>
      </c>
      <c r="U4744" s="81" t="e">
        <f>HLOOKUP(N4744,データについて!$J$8:$M$18,11,FALSE)</f>
        <v>#N/A</v>
      </c>
      <c r="V4744" s="81" t="e">
        <f>HLOOKUP(O4744,データについて!$J$9:$M$18,10,FALSE)</f>
        <v>#N/A</v>
      </c>
      <c r="W4744" s="81" t="e">
        <f>HLOOKUP(P4744,データについて!$J$10:$M$18,9,FALSE)</f>
        <v>#N/A</v>
      </c>
      <c r="X4744" s="81" t="e">
        <f>HLOOKUP(Q4744,データについて!$J$11:$M$18,8,FALSE)</f>
        <v>#N/A</v>
      </c>
      <c r="Y4744" s="81" t="e">
        <f>HLOOKUP(R4744,データについて!$J$12:$M$18,7,FALSE)</f>
        <v>#N/A</v>
      </c>
      <c r="Z4744" s="81" t="e">
        <f>HLOOKUP(I4744,データについて!$J$3:$M$18,16,FALSE)</f>
        <v>#N/A</v>
      </c>
      <c r="AA4744" s="81" t="str">
        <f>IFERROR(HLOOKUP(J4744,データについて!$J$4:$AH$19,16,FALSE),"")</f>
        <v/>
      </c>
      <c r="AB4744" s="81" t="str">
        <f>IFERROR(HLOOKUP(K4744,データについて!$J$5:$AH$20,14,FALSE),"")</f>
        <v/>
      </c>
      <c r="AC4744" s="81" t="e">
        <f>IF(X4744=1,HLOOKUP(R4744,データについて!$J$12:$M$18,7,FALSE),"*")</f>
        <v>#N/A</v>
      </c>
      <c r="AD4744" s="81" t="e">
        <f>IF(X4744=2,HLOOKUP(R4744,データについて!$J$12:$M$18,7,FALSE),"*")</f>
        <v>#N/A</v>
      </c>
    </row>
    <row r="4745" spans="19:30">
      <c r="S4745" s="81" t="e">
        <f>HLOOKUP(L4745,データについて!$J$6:$M$18,13,FALSE)</f>
        <v>#N/A</v>
      </c>
      <c r="T4745" s="81" t="e">
        <f>HLOOKUP(M4745,データについて!$J$7:$M$18,12,FALSE)</f>
        <v>#N/A</v>
      </c>
      <c r="U4745" s="81" t="e">
        <f>HLOOKUP(N4745,データについて!$J$8:$M$18,11,FALSE)</f>
        <v>#N/A</v>
      </c>
      <c r="V4745" s="81" t="e">
        <f>HLOOKUP(O4745,データについて!$J$9:$M$18,10,FALSE)</f>
        <v>#N/A</v>
      </c>
      <c r="W4745" s="81" t="e">
        <f>HLOOKUP(P4745,データについて!$J$10:$M$18,9,FALSE)</f>
        <v>#N/A</v>
      </c>
      <c r="X4745" s="81" t="e">
        <f>HLOOKUP(Q4745,データについて!$J$11:$M$18,8,FALSE)</f>
        <v>#N/A</v>
      </c>
      <c r="Y4745" s="81" t="e">
        <f>HLOOKUP(R4745,データについて!$J$12:$M$18,7,FALSE)</f>
        <v>#N/A</v>
      </c>
      <c r="Z4745" s="81" t="e">
        <f>HLOOKUP(I4745,データについて!$J$3:$M$18,16,FALSE)</f>
        <v>#N/A</v>
      </c>
      <c r="AA4745" s="81" t="str">
        <f>IFERROR(HLOOKUP(J4745,データについて!$J$4:$AH$19,16,FALSE),"")</f>
        <v/>
      </c>
      <c r="AB4745" s="81" t="str">
        <f>IFERROR(HLOOKUP(K4745,データについて!$J$5:$AH$20,14,FALSE),"")</f>
        <v/>
      </c>
      <c r="AC4745" s="81" t="e">
        <f>IF(X4745=1,HLOOKUP(R4745,データについて!$J$12:$M$18,7,FALSE),"*")</f>
        <v>#N/A</v>
      </c>
      <c r="AD4745" s="81" t="e">
        <f>IF(X4745=2,HLOOKUP(R4745,データについて!$J$12:$M$18,7,FALSE),"*")</f>
        <v>#N/A</v>
      </c>
    </row>
    <row r="4746" spans="19:30">
      <c r="S4746" s="81" t="e">
        <f>HLOOKUP(L4746,データについて!$J$6:$M$18,13,FALSE)</f>
        <v>#N/A</v>
      </c>
      <c r="T4746" s="81" t="e">
        <f>HLOOKUP(M4746,データについて!$J$7:$M$18,12,FALSE)</f>
        <v>#N/A</v>
      </c>
      <c r="U4746" s="81" t="e">
        <f>HLOOKUP(N4746,データについて!$J$8:$M$18,11,FALSE)</f>
        <v>#N/A</v>
      </c>
      <c r="V4746" s="81" t="e">
        <f>HLOOKUP(O4746,データについて!$J$9:$M$18,10,FALSE)</f>
        <v>#N/A</v>
      </c>
      <c r="W4746" s="81" t="e">
        <f>HLOOKUP(P4746,データについて!$J$10:$M$18,9,FALSE)</f>
        <v>#N/A</v>
      </c>
      <c r="X4746" s="81" t="e">
        <f>HLOOKUP(Q4746,データについて!$J$11:$M$18,8,FALSE)</f>
        <v>#N/A</v>
      </c>
      <c r="Y4746" s="81" t="e">
        <f>HLOOKUP(R4746,データについて!$J$12:$M$18,7,FALSE)</f>
        <v>#N/A</v>
      </c>
      <c r="Z4746" s="81" t="e">
        <f>HLOOKUP(I4746,データについて!$J$3:$M$18,16,FALSE)</f>
        <v>#N/A</v>
      </c>
      <c r="AA4746" s="81" t="str">
        <f>IFERROR(HLOOKUP(J4746,データについて!$J$4:$AH$19,16,FALSE),"")</f>
        <v/>
      </c>
      <c r="AB4746" s="81" t="str">
        <f>IFERROR(HLOOKUP(K4746,データについて!$J$5:$AH$20,14,FALSE),"")</f>
        <v/>
      </c>
      <c r="AC4746" s="81" t="e">
        <f>IF(X4746=1,HLOOKUP(R4746,データについて!$J$12:$M$18,7,FALSE),"*")</f>
        <v>#N/A</v>
      </c>
      <c r="AD4746" s="81" t="e">
        <f>IF(X4746=2,HLOOKUP(R4746,データについて!$J$12:$M$18,7,FALSE),"*")</f>
        <v>#N/A</v>
      </c>
    </row>
    <row r="4747" spans="19:30">
      <c r="S4747" s="81" t="e">
        <f>HLOOKUP(L4747,データについて!$J$6:$M$18,13,FALSE)</f>
        <v>#N/A</v>
      </c>
      <c r="T4747" s="81" t="e">
        <f>HLOOKUP(M4747,データについて!$J$7:$M$18,12,FALSE)</f>
        <v>#N/A</v>
      </c>
      <c r="U4747" s="81" t="e">
        <f>HLOOKUP(N4747,データについて!$J$8:$M$18,11,FALSE)</f>
        <v>#N/A</v>
      </c>
      <c r="V4747" s="81" t="e">
        <f>HLOOKUP(O4747,データについて!$J$9:$M$18,10,FALSE)</f>
        <v>#N/A</v>
      </c>
      <c r="W4747" s="81" t="e">
        <f>HLOOKUP(P4747,データについて!$J$10:$M$18,9,FALSE)</f>
        <v>#N/A</v>
      </c>
      <c r="X4747" s="81" t="e">
        <f>HLOOKUP(Q4747,データについて!$J$11:$M$18,8,FALSE)</f>
        <v>#N/A</v>
      </c>
      <c r="Y4747" s="81" t="e">
        <f>HLOOKUP(R4747,データについて!$J$12:$M$18,7,FALSE)</f>
        <v>#N/A</v>
      </c>
      <c r="Z4747" s="81" t="e">
        <f>HLOOKUP(I4747,データについて!$J$3:$M$18,16,FALSE)</f>
        <v>#N/A</v>
      </c>
      <c r="AA4747" s="81" t="str">
        <f>IFERROR(HLOOKUP(J4747,データについて!$J$4:$AH$19,16,FALSE),"")</f>
        <v/>
      </c>
      <c r="AB4747" s="81" t="str">
        <f>IFERROR(HLOOKUP(K4747,データについて!$J$5:$AH$20,14,FALSE),"")</f>
        <v/>
      </c>
      <c r="AC4747" s="81" t="e">
        <f>IF(X4747=1,HLOOKUP(R4747,データについて!$J$12:$M$18,7,FALSE),"*")</f>
        <v>#N/A</v>
      </c>
      <c r="AD4747" s="81" t="e">
        <f>IF(X4747=2,HLOOKUP(R4747,データについて!$J$12:$M$18,7,FALSE),"*")</f>
        <v>#N/A</v>
      </c>
    </row>
    <row r="4748" spans="19:30">
      <c r="S4748" s="81" t="e">
        <f>HLOOKUP(L4748,データについて!$J$6:$M$18,13,FALSE)</f>
        <v>#N/A</v>
      </c>
      <c r="T4748" s="81" t="e">
        <f>HLOOKUP(M4748,データについて!$J$7:$M$18,12,FALSE)</f>
        <v>#N/A</v>
      </c>
      <c r="U4748" s="81" t="e">
        <f>HLOOKUP(N4748,データについて!$J$8:$M$18,11,FALSE)</f>
        <v>#N/A</v>
      </c>
      <c r="V4748" s="81" t="e">
        <f>HLOOKUP(O4748,データについて!$J$9:$M$18,10,FALSE)</f>
        <v>#N/A</v>
      </c>
      <c r="W4748" s="81" t="e">
        <f>HLOOKUP(P4748,データについて!$J$10:$M$18,9,FALSE)</f>
        <v>#N/A</v>
      </c>
      <c r="X4748" s="81" t="e">
        <f>HLOOKUP(Q4748,データについて!$J$11:$M$18,8,FALSE)</f>
        <v>#N/A</v>
      </c>
      <c r="Y4748" s="81" t="e">
        <f>HLOOKUP(R4748,データについて!$J$12:$M$18,7,FALSE)</f>
        <v>#N/A</v>
      </c>
      <c r="Z4748" s="81" t="e">
        <f>HLOOKUP(I4748,データについて!$J$3:$M$18,16,FALSE)</f>
        <v>#N/A</v>
      </c>
      <c r="AA4748" s="81" t="str">
        <f>IFERROR(HLOOKUP(J4748,データについて!$J$4:$AH$19,16,FALSE),"")</f>
        <v/>
      </c>
      <c r="AB4748" s="81" t="str">
        <f>IFERROR(HLOOKUP(K4748,データについて!$J$5:$AH$20,14,FALSE),"")</f>
        <v/>
      </c>
      <c r="AC4748" s="81" t="e">
        <f>IF(X4748=1,HLOOKUP(R4748,データについて!$J$12:$M$18,7,FALSE),"*")</f>
        <v>#N/A</v>
      </c>
      <c r="AD4748" s="81" t="e">
        <f>IF(X4748=2,HLOOKUP(R4748,データについて!$J$12:$M$18,7,FALSE),"*")</f>
        <v>#N/A</v>
      </c>
    </row>
    <row r="4749" spans="19:30">
      <c r="S4749" s="81" t="e">
        <f>HLOOKUP(L4749,データについて!$J$6:$M$18,13,FALSE)</f>
        <v>#N/A</v>
      </c>
      <c r="T4749" s="81" t="e">
        <f>HLOOKUP(M4749,データについて!$J$7:$M$18,12,FALSE)</f>
        <v>#N/A</v>
      </c>
      <c r="U4749" s="81" t="e">
        <f>HLOOKUP(N4749,データについて!$J$8:$M$18,11,FALSE)</f>
        <v>#N/A</v>
      </c>
      <c r="V4749" s="81" t="e">
        <f>HLOOKUP(O4749,データについて!$J$9:$M$18,10,FALSE)</f>
        <v>#N/A</v>
      </c>
      <c r="W4749" s="81" t="e">
        <f>HLOOKUP(P4749,データについて!$J$10:$M$18,9,FALSE)</f>
        <v>#N/A</v>
      </c>
      <c r="X4749" s="81" t="e">
        <f>HLOOKUP(Q4749,データについて!$J$11:$M$18,8,FALSE)</f>
        <v>#N/A</v>
      </c>
      <c r="Y4749" s="81" t="e">
        <f>HLOOKUP(R4749,データについて!$J$12:$M$18,7,FALSE)</f>
        <v>#N/A</v>
      </c>
      <c r="Z4749" s="81" t="e">
        <f>HLOOKUP(I4749,データについて!$J$3:$M$18,16,FALSE)</f>
        <v>#N/A</v>
      </c>
      <c r="AA4749" s="81" t="str">
        <f>IFERROR(HLOOKUP(J4749,データについて!$J$4:$AH$19,16,FALSE),"")</f>
        <v/>
      </c>
      <c r="AB4749" s="81" t="str">
        <f>IFERROR(HLOOKUP(K4749,データについて!$J$5:$AH$20,14,FALSE),"")</f>
        <v/>
      </c>
      <c r="AC4749" s="81" t="e">
        <f>IF(X4749=1,HLOOKUP(R4749,データについて!$J$12:$M$18,7,FALSE),"*")</f>
        <v>#N/A</v>
      </c>
      <c r="AD4749" s="81" t="e">
        <f>IF(X4749=2,HLOOKUP(R4749,データについて!$J$12:$M$18,7,FALSE),"*")</f>
        <v>#N/A</v>
      </c>
    </row>
    <row r="4750" spans="19:30">
      <c r="S4750" s="81" t="e">
        <f>HLOOKUP(L4750,データについて!$J$6:$M$18,13,FALSE)</f>
        <v>#N/A</v>
      </c>
      <c r="T4750" s="81" t="e">
        <f>HLOOKUP(M4750,データについて!$J$7:$M$18,12,FALSE)</f>
        <v>#N/A</v>
      </c>
      <c r="U4750" s="81" t="e">
        <f>HLOOKUP(N4750,データについて!$J$8:$M$18,11,FALSE)</f>
        <v>#N/A</v>
      </c>
      <c r="V4750" s="81" t="e">
        <f>HLOOKUP(O4750,データについて!$J$9:$M$18,10,FALSE)</f>
        <v>#N/A</v>
      </c>
      <c r="W4750" s="81" t="e">
        <f>HLOOKUP(P4750,データについて!$J$10:$M$18,9,FALSE)</f>
        <v>#N/A</v>
      </c>
      <c r="X4750" s="81" t="e">
        <f>HLOOKUP(Q4750,データについて!$J$11:$M$18,8,FALSE)</f>
        <v>#N/A</v>
      </c>
      <c r="Y4750" s="81" t="e">
        <f>HLOOKUP(R4750,データについて!$J$12:$M$18,7,FALSE)</f>
        <v>#N/A</v>
      </c>
      <c r="Z4750" s="81" t="e">
        <f>HLOOKUP(I4750,データについて!$J$3:$M$18,16,FALSE)</f>
        <v>#N/A</v>
      </c>
      <c r="AA4750" s="81" t="str">
        <f>IFERROR(HLOOKUP(J4750,データについて!$J$4:$AH$19,16,FALSE),"")</f>
        <v/>
      </c>
      <c r="AB4750" s="81" t="str">
        <f>IFERROR(HLOOKUP(K4750,データについて!$J$5:$AH$20,14,FALSE),"")</f>
        <v/>
      </c>
      <c r="AC4750" s="81" t="e">
        <f>IF(X4750=1,HLOOKUP(R4750,データについて!$J$12:$M$18,7,FALSE),"*")</f>
        <v>#N/A</v>
      </c>
      <c r="AD4750" s="81" t="e">
        <f>IF(X4750=2,HLOOKUP(R4750,データについて!$J$12:$M$18,7,FALSE),"*")</f>
        <v>#N/A</v>
      </c>
    </row>
    <row r="4751" spans="19:30">
      <c r="S4751" s="81" t="e">
        <f>HLOOKUP(L4751,データについて!$J$6:$M$18,13,FALSE)</f>
        <v>#N/A</v>
      </c>
      <c r="T4751" s="81" t="e">
        <f>HLOOKUP(M4751,データについて!$J$7:$M$18,12,FALSE)</f>
        <v>#N/A</v>
      </c>
      <c r="U4751" s="81" t="e">
        <f>HLOOKUP(N4751,データについて!$J$8:$M$18,11,FALSE)</f>
        <v>#N/A</v>
      </c>
      <c r="V4751" s="81" t="e">
        <f>HLOOKUP(O4751,データについて!$J$9:$M$18,10,FALSE)</f>
        <v>#N/A</v>
      </c>
      <c r="W4751" s="81" t="e">
        <f>HLOOKUP(P4751,データについて!$J$10:$M$18,9,FALSE)</f>
        <v>#N/A</v>
      </c>
      <c r="X4751" s="81" t="e">
        <f>HLOOKUP(Q4751,データについて!$J$11:$M$18,8,FALSE)</f>
        <v>#N/A</v>
      </c>
      <c r="Y4751" s="81" t="e">
        <f>HLOOKUP(R4751,データについて!$J$12:$M$18,7,FALSE)</f>
        <v>#N/A</v>
      </c>
      <c r="Z4751" s="81" t="e">
        <f>HLOOKUP(I4751,データについて!$J$3:$M$18,16,FALSE)</f>
        <v>#N/A</v>
      </c>
      <c r="AA4751" s="81" t="str">
        <f>IFERROR(HLOOKUP(J4751,データについて!$J$4:$AH$19,16,FALSE),"")</f>
        <v/>
      </c>
      <c r="AB4751" s="81" t="str">
        <f>IFERROR(HLOOKUP(K4751,データについて!$J$5:$AH$20,14,FALSE),"")</f>
        <v/>
      </c>
      <c r="AC4751" s="81" t="e">
        <f>IF(X4751=1,HLOOKUP(R4751,データについて!$J$12:$M$18,7,FALSE),"*")</f>
        <v>#N/A</v>
      </c>
      <c r="AD4751" s="81" t="e">
        <f>IF(X4751=2,HLOOKUP(R4751,データについて!$J$12:$M$18,7,FALSE),"*")</f>
        <v>#N/A</v>
      </c>
    </row>
    <row r="4752" spans="19:30">
      <c r="S4752" s="81" t="e">
        <f>HLOOKUP(L4752,データについて!$J$6:$M$18,13,FALSE)</f>
        <v>#N/A</v>
      </c>
      <c r="T4752" s="81" t="e">
        <f>HLOOKUP(M4752,データについて!$J$7:$M$18,12,FALSE)</f>
        <v>#N/A</v>
      </c>
      <c r="U4752" s="81" t="e">
        <f>HLOOKUP(N4752,データについて!$J$8:$M$18,11,FALSE)</f>
        <v>#N/A</v>
      </c>
      <c r="V4752" s="81" t="e">
        <f>HLOOKUP(O4752,データについて!$J$9:$M$18,10,FALSE)</f>
        <v>#N/A</v>
      </c>
      <c r="W4752" s="81" t="e">
        <f>HLOOKUP(P4752,データについて!$J$10:$M$18,9,FALSE)</f>
        <v>#N/A</v>
      </c>
      <c r="X4752" s="81" t="e">
        <f>HLOOKUP(Q4752,データについて!$J$11:$M$18,8,FALSE)</f>
        <v>#N/A</v>
      </c>
      <c r="Y4752" s="81" t="e">
        <f>HLOOKUP(R4752,データについて!$J$12:$M$18,7,FALSE)</f>
        <v>#N/A</v>
      </c>
      <c r="Z4752" s="81" t="e">
        <f>HLOOKUP(I4752,データについて!$J$3:$M$18,16,FALSE)</f>
        <v>#N/A</v>
      </c>
      <c r="AA4752" s="81" t="str">
        <f>IFERROR(HLOOKUP(J4752,データについて!$J$4:$AH$19,16,FALSE),"")</f>
        <v/>
      </c>
      <c r="AB4752" s="81" t="str">
        <f>IFERROR(HLOOKUP(K4752,データについて!$J$5:$AH$20,14,FALSE),"")</f>
        <v/>
      </c>
      <c r="AC4752" s="81" t="e">
        <f>IF(X4752=1,HLOOKUP(R4752,データについて!$J$12:$M$18,7,FALSE),"*")</f>
        <v>#N/A</v>
      </c>
      <c r="AD4752" s="81" t="e">
        <f>IF(X4752=2,HLOOKUP(R4752,データについて!$J$12:$M$18,7,FALSE),"*")</f>
        <v>#N/A</v>
      </c>
    </row>
    <row r="4753" spans="19:30">
      <c r="S4753" s="81" t="e">
        <f>HLOOKUP(L4753,データについて!$J$6:$M$18,13,FALSE)</f>
        <v>#N/A</v>
      </c>
      <c r="T4753" s="81" t="e">
        <f>HLOOKUP(M4753,データについて!$J$7:$M$18,12,FALSE)</f>
        <v>#N/A</v>
      </c>
      <c r="U4753" s="81" t="e">
        <f>HLOOKUP(N4753,データについて!$J$8:$M$18,11,FALSE)</f>
        <v>#N/A</v>
      </c>
      <c r="V4753" s="81" t="e">
        <f>HLOOKUP(O4753,データについて!$J$9:$M$18,10,FALSE)</f>
        <v>#N/A</v>
      </c>
      <c r="W4753" s="81" t="e">
        <f>HLOOKUP(P4753,データについて!$J$10:$M$18,9,FALSE)</f>
        <v>#N/A</v>
      </c>
      <c r="X4753" s="81" t="e">
        <f>HLOOKUP(Q4753,データについて!$J$11:$M$18,8,FALSE)</f>
        <v>#N/A</v>
      </c>
      <c r="Y4753" s="81" t="e">
        <f>HLOOKUP(R4753,データについて!$J$12:$M$18,7,FALSE)</f>
        <v>#N/A</v>
      </c>
      <c r="Z4753" s="81" t="e">
        <f>HLOOKUP(I4753,データについて!$J$3:$M$18,16,FALSE)</f>
        <v>#N/A</v>
      </c>
      <c r="AA4753" s="81" t="str">
        <f>IFERROR(HLOOKUP(J4753,データについて!$J$4:$AH$19,16,FALSE),"")</f>
        <v/>
      </c>
      <c r="AB4753" s="81" t="str">
        <f>IFERROR(HLOOKUP(K4753,データについて!$J$5:$AH$20,14,FALSE),"")</f>
        <v/>
      </c>
      <c r="AC4753" s="81" t="e">
        <f>IF(X4753=1,HLOOKUP(R4753,データについて!$J$12:$M$18,7,FALSE),"*")</f>
        <v>#N/A</v>
      </c>
      <c r="AD4753" s="81" t="e">
        <f>IF(X4753=2,HLOOKUP(R4753,データについて!$J$12:$M$18,7,FALSE),"*")</f>
        <v>#N/A</v>
      </c>
    </row>
    <row r="4754" spans="19:30">
      <c r="S4754" s="81" t="e">
        <f>HLOOKUP(L4754,データについて!$J$6:$M$18,13,FALSE)</f>
        <v>#N/A</v>
      </c>
      <c r="T4754" s="81" t="e">
        <f>HLOOKUP(M4754,データについて!$J$7:$M$18,12,FALSE)</f>
        <v>#N/A</v>
      </c>
      <c r="U4754" s="81" t="e">
        <f>HLOOKUP(N4754,データについて!$J$8:$M$18,11,FALSE)</f>
        <v>#N/A</v>
      </c>
      <c r="V4754" s="81" t="e">
        <f>HLOOKUP(O4754,データについて!$J$9:$M$18,10,FALSE)</f>
        <v>#N/A</v>
      </c>
      <c r="W4754" s="81" t="e">
        <f>HLOOKUP(P4754,データについて!$J$10:$M$18,9,FALSE)</f>
        <v>#N/A</v>
      </c>
      <c r="X4754" s="81" t="e">
        <f>HLOOKUP(Q4754,データについて!$J$11:$M$18,8,FALSE)</f>
        <v>#N/A</v>
      </c>
      <c r="Y4754" s="81" t="e">
        <f>HLOOKUP(R4754,データについて!$J$12:$M$18,7,FALSE)</f>
        <v>#N/A</v>
      </c>
      <c r="Z4754" s="81" t="e">
        <f>HLOOKUP(I4754,データについて!$J$3:$M$18,16,FALSE)</f>
        <v>#N/A</v>
      </c>
      <c r="AA4754" s="81" t="str">
        <f>IFERROR(HLOOKUP(J4754,データについて!$J$4:$AH$19,16,FALSE),"")</f>
        <v/>
      </c>
      <c r="AB4754" s="81" t="str">
        <f>IFERROR(HLOOKUP(K4754,データについて!$J$5:$AH$20,14,FALSE),"")</f>
        <v/>
      </c>
      <c r="AC4754" s="81" t="e">
        <f>IF(X4754=1,HLOOKUP(R4754,データについて!$J$12:$M$18,7,FALSE),"*")</f>
        <v>#N/A</v>
      </c>
      <c r="AD4754" s="81" t="e">
        <f>IF(X4754=2,HLOOKUP(R4754,データについて!$J$12:$M$18,7,FALSE),"*")</f>
        <v>#N/A</v>
      </c>
    </row>
    <row r="4755" spans="19:30">
      <c r="S4755" s="81" t="e">
        <f>HLOOKUP(L4755,データについて!$J$6:$M$18,13,FALSE)</f>
        <v>#N/A</v>
      </c>
      <c r="T4755" s="81" t="e">
        <f>HLOOKUP(M4755,データについて!$J$7:$M$18,12,FALSE)</f>
        <v>#N/A</v>
      </c>
      <c r="U4755" s="81" t="e">
        <f>HLOOKUP(N4755,データについて!$J$8:$M$18,11,FALSE)</f>
        <v>#N/A</v>
      </c>
      <c r="V4755" s="81" t="e">
        <f>HLOOKUP(O4755,データについて!$J$9:$M$18,10,FALSE)</f>
        <v>#N/A</v>
      </c>
      <c r="W4755" s="81" t="e">
        <f>HLOOKUP(P4755,データについて!$J$10:$M$18,9,FALSE)</f>
        <v>#N/A</v>
      </c>
      <c r="X4755" s="81" t="e">
        <f>HLOOKUP(Q4755,データについて!$J$11:$M$18,8,FALSE)</f>
        <v>#N/A</v>
      </c>
      <c r="Y4755" s="81" t="e">
        <f>HLOOKUP(R4755,データについて!$J$12:$M$18,7,FALSE)</f>
        <v>#N/A</v>
      </c>
      <c r="Z4755" s="81" t="e">
        <f>HLOOKUP(I4755,データについて!$J$3:$M$18,16,FALSE)</f>
        <v>#N/A</v>
      </c>
      <c r="AA4755" s="81" t="str">
        <f>IFERROR(HLOOKUP(J4755,データについて!$J$4:$AH$19,16,FALSE),"")</f>
        <v/>
      </c>
      <c r="AB4755" s="81" t="str">
        <f>IFERROR(HLOOKUP(K4755,データについて!$J$5:$AH$20,14,FALSE),"")</f>
        <v/>
      </c>
      <c r="AC4755" s="81" t="e">
        <f>IF(X4755=1,HLOOKUP(R4755,データについて!$J$12:$M$18,7,FALSE),"*")</f>
        <v>#N/A</v>
      </c>
      <c r="AD4755" s="81" t="e">
        <f>IF(X4755=2,HLOOKUP(R4755,データについて!$J$12:$M$18,7,FALSE),"*")</f>
        <v>#N/A</v>
      </c>
    </row>
    <row r="4756" spans="19:30">
      <c r="S4756" s="81" t="e">
        <f>HLOOKUP(L4756,データについて!$J$6:$M$18,13,FALSE)</f>
        <v>#N/A</v>
      </c>
      <c r="T4756" s="81" t="e">
        <f>HLOOKUP(M4756,データについて!$J$7:$M$18,12,FALSE)</f>
        <v>#N/A</v>
      </c>
      <c r="U4756" s="81" t="e">
        <f>HLOOKUP(N4756,データについて!$J$8:$M$18,11,FALSE)</f>
        <v>#N/A</v>
      </c>
      <c r="V4756" s="81" t="e">
        <f>HLOOKUP(O4756,データについて!$J$9:$M$18,10,FALSE)</f>
        <v>#N/A</v>
      </c>
      <c r="W4756" s="81" t="e">
        <f>HLOOKUP(P4756,データについて!$J$10:$M$18,9,FALSE)</f>
        <v>#N/A</v>
      </c>
      <c r="X4756" s="81" t="e">
        <f>HLOOKUP(Q4756,データについて!$J$11:$M$18,8,FALSE)</f>
        <v>#N/A</v>
      </c>
      <c r="Y4756" s="81" t="e">
        <f>HLOOKUP(R4756,データについて!$J$12:$M$18,7,FALSE)</f>
        <v>#N/A</v>
      </c>
      <c r="Z4756" s="81" t="e">
        <f>HLOOKUP(I4756,データについて!$J$3:$M$18,16,FALSE)</f>
        <v>#N/A</v>
      </c>
      <c r="AA4756" s="81" t="str">
        <f>IFERROR(HLOOKUP(J4756,データについて!$J$4:$AH$19,16,FALSE),"")</f>
        <v/>
      </c>
      <c r="AB4756" s="81" t="str">
        <f>IFERROR(HLOOKUP(K4756,データについて!$J$5:$AH$20,14,FALSE),"")</f>
        <v/>
      </c>
      <c r="AC4756" s="81" t="e">
        <f>IF(X4756=1,HLOOKUP(R4756,データについて!$J$12:$M$18,7,FALSE),"*")</f>
        <v>#N/A</v>
      </c>
      <c r="AD4756" s="81" t="e">
        <f>IF(X4756=2,HLOOKUP(R4756,データについて!$J$12:$M$18,7,FALSE),"*")</f>
        <v>#N/A</v>
      </c>
    </row>
    <row r="4757" spans="19:30">
      <c r="S4757" s="81" t="e">
        <f>HLOOKUP(L4757,データについて!$J$6:$M$18,13,FALSE)</f>
        <v>#N/A</v>
      </c>
      <c r="T4757" s="81" t="e">
        <f>HLOOKUP(M4757,データについて!$J$7:$M$18,12,FALSE)</f>
        <v>#N/A</v>
      </c>
      <c r="U4757" s="81" t="e">
        <f>HLOOKUP(N4757,データについて!$J$8:$M$18,11,FALSE)</f>
        <v>#N/A</v>
      </c>
      <c r="V4757" s="81" t="e">
        <f>HLOOKUP(O4757,データについて!$J$9:$M$18,10,FALSE)</f>
        <v>#N/A</v>
      </c>
      <c r="W4757" s="81" t="e">
        <f>HLOOKUP(P4757,データについて!$J$10:$M$18,9,FALSE)</f>
        <v>#N/A</v>
      </c>
      <c r="X4757" s="81" t="e">
        <f>HLOOKUP(Q4757,データについて!$J$11:$M$18,8,FALSE)</f>
        <v>#N/A</v>
      </c>
      <c r="Y4757" s="81" t="e">
        <f>HLOOKUP(R4757,データについて!$J$12:$M$18,7,FALSE)</f>
        <v>#N/A</v>
      </c>
      <c r="Z4757" s="81" t="e">
        <f>HLOOKUP(I4757,データについて!$J$3:$M$18,16,FALSE)</f>
        <v>#N/A</v>
      </c>
      <c r="AA4757" s="81" t="str">
        <f>IFERROR(HLOOKUP(J4757,データについて!$J$4:$AH$19,16,FALSE),"")</f>
        <v/>
      </c>
      <c r="AB4757" s="81" t="str">
        <f>IFERROR(HLOOKUP(K4757,データについて!$J$5:$AH$20,14,FALSE),"")</f>
        <v/>
      </c>
      <c r="AC4757" s="81" t="e">
        <f>IF(X4757=1,HLOOKUP(R4757,データについて!$J$12:$M$18,7,FALSE),"*")</f>
        <v>#N/A</v>
      </c>
      <c r="AD4757" s="81" t="e">
        <f>IF(X4757=2,HLOOKUP(R4757,データについて!$J$12:$M$18,7,FALSE),"*")</f>
        <v>#N/A</v>
      </c>
    </row>
    <row r="4758" spans="19:30">
      <c r="S4758" s="81" t="e">
        <f>HLOOKUP(L4758,データについて!$J$6:$M$18,13,FALSE)</f>
        <v>#N/A</v>
      </c>
      <c r="T4758" s="81" t="e">
        <f>HLOOKUP(M4758,データについて!$J$7:$M$18,12,FALSE)</f>
        <v>#N/A</v>
      </c>
      <c r="U4758" s="81" t="e">
        <f>HLOOKUP(N4758,データについて!$J$8:$M$18,11,FALSE)</f>
        <v>#N/A</v>
      </c>
      <c r="V4758" s="81" t="e">
        <f>HLOOKUP(O4758,データについて!$J$9:$M$18,10,FALSE)</f>
        <v>#N/A</v>
      </c>
      <c r="W4758" s="81" t="e">
        <f>HLOOKUP(P4758,データについて!$J$10:$M$18,9,FALSE)</f>
        <v>#N/A</v>
      </c>
      <c r="X4758" s="81" t="e">
        <f>HLOOKUP(Q4758,データについて!$J$11:$M$18,8,FALSE)</f>
        <v>#N/A</v>
      </c>
      <c r="Y4758" s="81" t="e">
        <f>HLOOKUP(R4758,データについて!$J$12:$M$18,7,FALSE)</f>
        <v>#N/A</v>
      </c>
      <c r="Z4758" s="81" t="e">
        <f>HLOOKUP(I4758,データについて!$J$3:$M$18,16,FALSE)</f>
        <v>#N/A</v>
      </c>
      <c r="AA4758" s="81" t="str">
        <f>IFERROR(HLOOKUP(J4758,データについて!$J$4:$AH$19,16,FALSE),"")</f>
        <v/>
      </c>
      <c r="AB4758" s="81" t="str">
        <f>IFERROR(HLOOKUP(K4758,データについて!$J$5:$AH$20,14,FALSE),"")</f>
        <v/>
      </c>
      <c r="AC4758" s="81" t="e">
        <f>IF(X4758=1,HLOOKUP(R4758,データについて!$J$12:$M$18,7,FALSE),"*")</f>
        <v>#N/A</v>
      </c>
      <c r="AD4758" s="81" t="e">
        <f>IF(X4758=2,HLOOKUP(R4758,データについて!$J$12:$M$18,7,FALSE),"*")</f>
        <v>#N/A</v>
      </c>
    </row>
    <row r="4759" spans="19:30">
      <c r="S4759" s="81" t="e">
        <f>HLOOKUP(L4759,データについて!$J$6:$M$18,13,FALSE)</f>
        <v>#N/A</v>
      </c>
      <c r="T4759" s="81" t="e">
        <f>HLOOKUP(M4759,データについて!$J$7:$M$18,12,FALSE)</f>
        <v>#N/A</v>
      </c>
      <c r="U4759" s="81" t="e">
        <f>HLOOKUP(N4759,データについて!$J$8:$M$18,11,FALSE)</f>
        <v>#N/A</v>
      </c>
      <c r="V4759" s="81" t="e">
        <f>HLOOKUP(O4759,データについて!$J$9:$M$18,10,FALSE)</f>
        <v>#N/A</v>
      </c>
      <c r="W4759" s="81" t="e">
        <f>HLOOKUP(P4759,データについて!$J$10:$M$18,9,FALSE)</f>
        <v>#N/A</v>
      </c>
      <c r="X4759" s="81" t="e">
        <f>HLOOKUP(Q4759,データについて!$J$11:$M$18,8,FALSE)</f>
        <v>#N/A</v>
      </c>
      <c r="Y4759" s="81" t="e">
        <f>HLOOKUP(R4759,データについて!$J$12:$M$18,7,FALSE)</f>
        <v>#N/A</v>
      </c>
      <c r="Z4759" s="81" t="e">
        <f>HLOOKUP(I4759,データについて!$J$3:$M$18,16,FALSE)</f>
        <v>#N/A</v>
      </c>
      <c r="AA4759" s="81" t="str">
        <f>IFERROR(HLOOKUP(J4759,データについて!$J$4:$AH$19,16,FALSE),"")</f>
        <v/>
      </c>
      <c r="AB4759" s="81" t="str">
        <f>IFERROR(HLOOKUP(K4759,データについて!$J$5:$AH$20,14,FALSE),"")</f>
        <v/>
      </c>
      <c r="AC4759" s="81" t="e">
        <f>IF(X4759=1,HLOOKUP(R4759,データについて!$J$12:$M$18,7,FALSE),"*")</f>
        <v>#N/A</v>
      </c>
      <c r="AD4759" s="81" t="e">
        <f>IF(X4759=2,HLOOKUP(R4759,データについて!$J$12:$M$18,7,FALSE),"*")</f>
        <v>#N/A</v>
      </c>
    </row>
    <row r="4760" spans="19:30">
      <c r="S4760" s="81" t="e">
        <f>HLOOKUP(L4760,データについて!$J$6:$M$18,13,FALSE)</f>
        <v>#N/A</v>
      </c>
      <c r="T4760" s="81" t="e">
        <f>HLOOKUP(M4760,データについて!$J$7:$M$18,12,FALSE)</f>
        <v>#N/A</v>
      </c>
      <c r="U4760" s="81" t="e">
        <f>HLOOKUP(N4760,データについて!$J$8:$M$18,11,FALSE)</f>
        <v>#N/A</v>
      </c>
      <c r="V4760" s="81" t="e">
        <f>HLOOKUP(O4760,データについて!$J$9:$M$18,10,FALSE)</f>
        <v>#N/A</v>
      </c>
      <c r="W4760" s="81" t="e">
        <f>HLOOKUP(P4760,データについて!$J$10:$M$18,9,FALSE)</f>
        <v>#N/A</v>
      </c>
      <c r="X4760" s="81" t="e">
        <f>HLOOKUP(Q4760,データについて!$J$11:$M$18,8,FALSE)</f>
        <v>#N/A</v>
      </c>
      <c r="Y4760" s="81" t="e">
        <f>HLOOKUP(R4760,データについて!$J$12:$M$18,7,FALSE)</f>
        <v>#N/A</v>
      </c>
      <c r="Z4760" s="81" t="e">
        <f>HLOOKUP(I4760,データについて!$J$3:$M$18,16,FALSE)</f>
        <v>#N/A</v>
      </c>
      <c r="AA4760" s="81" t="str">
        <f>IFERROR(HLOOKUP(J4760,データについて!$J$4:$AH$19,16,FALSE),"")</f>
        <v/>
      </c>
      <c r="AB4760" s="81" t="str">
        <f>IFERROR(HLOOKUP(K4760,データについて!$J$5:$AH$20,14,FALSE),"")</f>
        <v/>
      </c>
      <c r="AC4760" s="81" t="e">
        <f>IF(X4760=1,HLOOKUP(R4760,データについて!$J$12:$M$18,7,FALSE),"*")</f>
        <v>#N/A</v>
      </c>
      <c r="AD4760" s="81" t="e">
        <f>IF(X4760=2,HLOOKUP(R4760,データについて!$J$12:$M$18,7,FALSE),"*")</f>
        <v>#N/A</v>
      </c>
    </row>
    <row r="4761" spans="19:30">
      <c r="S4761" s="81" t="e">
        <f>HLOOKUP(L4761,データについて!$J$6:$M$18,13,FALSE)</f>
        <v>#N/A</v>
      </c>
      <c r="T4761" s="81" t="e">
        <f>HLOOKUP(M4761,データについて!$J$7:$M$18,12,FALSE)</f>
        <v>#N/A</v>
      </c>
      <c r="U4761" s="81" t="e">
        <f>HLOOKUP(N4761,データについて!$J$8:$M$18,11,FALSE)</f>
        <v>#N/A</v>
      </c>
      <c r="V4761" s="81" t="e">
        <f>HLOOKUP(O4761,データについて!$J$9:$M$18,10,FALSE)</f>
        <v>#N/A</v>
      </c>
      <c r="W4761" s="81" t="e">
        <f>HLOOKUP(P4761,データについて!$J$10:$M$18,9,FALSE)</f>
        <v>#N/A</v>
      </c>
      <c r="X4761" s="81" t="e">
        <f>HLOOKUP(Q4761,データについて!$J$11:$M$18,8,FALSE)</f>
        <v>#N/A</v>
      </c>
      <c r="Y4761" s="81" t="e">
        <f>HLOOKUP(R4761,データについて!$J$12:$M$18,7,FALSE)</f>
        <v>#N/A</v>
      </c>
      <c r="Z4761" s="81" t="e">
        <f>HLOOKUP(I4761,データについて!$J$3:$M$18,16,FALSE)</f>
        <v>#N/A</v>
      </c>
      <c r="AA4761" s="81" t="str">
        <f>IFERROR(HLOOKUP(J4761,データについて!$J$4:$AH$19,16,FALSE),"")</f>
        <v/>
      </c>
      <c r="AB4761" s="81" t="str">
        <f>IFERROR(HLOOKUP(K4761,データについて!$J$5:$AH$20,14,FALSE),"")</f>
        <v/>
      </c>
      <c r="AC4761" s="81" t="e">
        <f>IF(X4761=1,HLOOKUP(R4761,データについて!$J$12:$M$18,7,FALSE),"*")</f>
        <v>#N/A</v>
      </c>
      <c r="AD4761" s="81" t="e">
        <f>IF(X4761=2,HLOOKUP(R4761,データについて!$J$12:$M$18,7,FALSE),"*")</f>
        <v>#N/A</v>
      </c>
    </row>
    <row r="4762" spans="19:30">
      <c r="S4762" s="81" t="e">
        <f>HLOOKUP(L4762,データについて!$J$6:$M$18,13,FALSE)</f>
        <v>#N/A</v>
      </c>
      <c r="T4762" s="81" t="e">
        <f>HLOOKUP(M4762,データについて!$J$7:$M$18,12,FALSE)</f>
        <v>#N/A</v>
      </c>
      <c r="U4762" s="81" t="e">
        <f>HLOOKUP(N4762,データについて!$J$8:$M$18,11,FALSE)</f>
        <v>#N/A</v>
      </c>
      <c r="V4762" s="81" t="e">
        <f>HLOOKUP(O4762,データについて!$J$9:$M$18,10,FALSE)</f>
        <v>#N/A</v>
      </c>
      <c r="W4762" s="81" t="e">
        <f>HLOOKUP(P4762,データについて!$J$10:$M$18,9,FALSE)</f>
        <v>#N/A</v>
      </c>
      <c r="X4762" s="81" t="e">
        <f>HLOOKUP(Q4762,データについて!$J$11:$M$18,8,FALSE)</f>
        <v>#N/A</v>
      </c>
      <c r="Y4762" s="81" t="e">
        <f>HLOOKUP(R4762,データについて!$J$12:$M$18,7,FALSE)</f>
        <v>#N/A</v>
      </c>
      <c r="Z4762" s="81" t="e">
        <f>HLOOKUP(I4762,データについて!$J$3:$M$18,16,FALSE)</f>
        <v>#N/A</v>
      </c>
      <c r="AA4762" s="81" t="str">
        <f>IFERROR(HLOOKUP(J4762,データについて!$J$4:$AH$19,16,FALSE),"")</f>
        <v/>
      </c>
      <c r="AB4762" s="81" t="str">
        <f>IFERROR(HLOOKUP(K4762,データについて!$J$5:$AH$20,14,FALSE),"")</f>
        <v/>
      </c>
      <c r="AC4762" s="81" t="e">
        <f>IF(X4762=1,HLOOKUP(R4762,データについて!$J$12:$M$18,7,FALSE),"*")</f>
        <v>#N/A</v>
      </c>
      <c r="AD4762" s="81" t="e">
        <f>IF(X4762=2,HLOOKUP(R4762,データについて!$J$12:$M$18,7,FALSE),"*")</f>
        <v>#N/A</v>
      </c>
    </row>
    <row r="4763" spans="19:30">
      <c r="S4763" s="81" t="e">
        <f>HLOOKUP(L4763,データについて!$J$6:$M$18,13,FALSE)</f>
        <v>#N/A</v>
      </c>
      <c r="T4763" s="81" t="e">
        <f>HLOOKUP(M4763,データについて!$J$7:$M$18,12,FALSE)</f>
        <v>#N/A</v>
      </c>
      <c r="U4763" s="81" t="e">
        <f>HLOOKUP(N4763,データについて!$J$8:$M$18,11,FALSE)</f>
        <v>#N/A</v>
      </c>
      <c r="V4763" s="81" t="e">
        <f>HLOOKUP(O4763,データについて!$J$9:$M$18,10,FALSE)</f>
        <v>#N/A</v>
      </c>
      <c r="W4763" s="81" t="e">
        <f>HLOOKUP(P4763,データについて!$J$10:$M$18,9,FALSE)</f>
        <v>#N/A</v>
      </c>
      <c r="X4763" s="81" t="e">
        <f>HLOOKUP(Q4763,データについて!$J$11:$M$18,8,FALSE)</f>
        <v>#N/A</v>
      </c>
      <c r="Y4763" s="81" t="e">
        <f>HLOOKUP(R4763,データについて!$J$12:$M$18,7,FALSE)</f>
        <v>#N/A</v>
      </c>
      <c r="Z4763" s="81" t="e">
        <f>HLOOKUP(I4763,データについて!$J$3:$M$18,16,FALSE)</f>
        <v>#N/A</v>
      </c>
      <c r="AA4763" s="81" t="str">
        <f>IFERROR(HLOOKUP(J4763,データについて!$J$4:$AH$19,16,FALSE),"")</f>
        <v/>
      </c>
      <c r="AB4763" s="81" t="str">
        <f>IFERROR(HLOOKUP(K4763,データについて!$J$5:$AH$20,14,FALSE),"")</f>
        <v/>
      </c>
      <c r="AC4763" s="81" t="e">
        <f>IF(X4763=1,HLOOKUP(R4763,データについて!$J$12:$M$18,7,FALSE),"*")</f>
        <v>#N/A</v>
      </c>
      <c r="AD4763" s="81" t="e">
        <f>IF(X4763=2,HLOOKUP(R4763,データについて!$J$12:$M$18,7,FALSE),"*")</f>
        <v>#N/A</v>
      </c>
    </row>
    <row r="4764" spans="19:30">
      <c r="S4764" s="81" t="e">
        <f>HLOOKUP(L4764,データについて!$J$6:$M$18,13,FALSE)</f>
        <v>#N/A</v>
      </c>
      <c r="T4764" s="81" t="e">
        <f>HLOOKUP(M4764,データについて!$J$7:$M$18,12,FALSE)</f>
        <v>#N/A</v>
      </c>
      <c r="U4764" s="81" t="e">
        <f>HLOOKUP(N4764,データについて!$J$8:$M$18,11,FALSE)</f>
        <v>#N/A</v>
      </c>
      <c r="V4764" s="81" t="e">
        <f>HLOOKUP(O4764,データについて!$J$9:$M$18,10,FALSE)</f>
        <v>#N/A</v>
      </c>
      <c r="W4764" s="81" t="e">
        <f>HLOOKUP(P4764,データについて!$J$10:$M$18,9,FALSE)</f>
        <v>#N/A</v>
      </c>
      <c r="X4764" s="81" t="e">
        <f>HLOOKUP(Q4764,データについて!$J$11:$M$18,8,FALSE)</f>
        <v>#N/A</v>
      </c>
      <c r="Y4764" s="81" t="e">
        <f>HLOOKUP(R4764,データについて!$J$12:$M$18,7,FALSE)</f>
        <v>#N/A</v>
      </c>
      <c r="Z4764" s="81" t="e">
        <f>HLOOKUP(I4764,データについて!$J$3:$M$18,16,FALSE)</f>
        <v>#N/A</v>
      </c>
      <c r="AA4764" s="81" t="str">
        <f>IFERROR(HLOOKUP(J4764,データについて!$J$4:$AH$19,16,FALSE),"")</f>
        <v/>
      </c>
      <c r="AB4764" s="81" t="str">
        <f>IFERROR(HLOOKUP(K4764,データについて!$J$5:$AH$20,14,FALSE),"")</f>
        <v/>
      </c>
      <c r="AC4764" s="81" t="e">
        <f>IF(X4764=1,HLOOKUP(R4764,データについて!$J$12:$M$18,7,FALSE),"*")</f>
        <v>#N/A</v>
      </c>
      <c r="AD4764" s="81" t="e">
        <f>IF(X4764=2,HLOOKUP(R4764,データについて!$J$12:$M$18,7,FALSE),"*")</f>
        <v>#N/A</v>
      </c>
    </row>
    <row r="4765" spans="19:30">
      <c r="S4765" s="81" t="e">
        <f>HLOOKUP(L4765,データについて!$J$6:$M$18,13,FALSE)</f>
        <v>#N/A</v>
      </c>
      <c r="T4765" s="81" t="e">
        <f>HLOOKUP(M4765,データについて!$J$7:$M$18,12,FALSE)</f>
        <v>#N/A</v>
      </c>
      <c r="U4765" s="81" t="e">
        <f>HLOOKUP(N4765,データについて!$J$8:$M$18,11,FALSE)</f>
        <v>#N/A</v>
      </c>
      <c r="V4765" s="81" t="e">
        <f>HLOOKUP(O4765,データについて!$J$9:$M$18,10,FALSE)</f>
        <v>#N/A</v>
      </c>
      <c r="W4765" s="81" t="e">
        <f>HLOOKUP(P4765,データについて!$J$10:$M$18,9,FALSE)</f>
        <v>#N/A</v>
      </c>
      <c r="X4765" s="81" t="e">
        <f>HLOOKUP(Q4765,データについて!$J$11:$M$18,8,FALSE)</f>
        <v>#N/A</v>
      </c>
      <c r="Y4765" s="81" t="e">
        <f>HLOOKUP(R4765,データについて!$J$12:$M$18,7,FALSE)</f>
        <v>#N/A</v>
      </c>
      <c r="Z4765" s="81" t="e">
        <f>HLOOKUP(I4765,データについて!$J$3:$M$18,16,FALSE)</f>
        <v>#N/A</v>
      </c>
      <c r="AA4765" s="81" t="str">
        <f>IFERROR(HLOOKUP(J4765,データについて!$J$4:$AH$19,16,FALSE),"")</f>
        <v/>
      </c>
      <c r="AB4765" s="81" t="str">
        <f>IFERROR(HLOOKUP(K4765,データについて!$J$5:$AH$20,14,FALSE),"")</f>
        <v/>
      </c>
      <c r="AC4765" s="81" t="e">
        <f>IF(X4765=1,HLOOKUP(R4765,データについて!$J$12:$M$18,7,FALSE),"*")</f>
        <v>#N/A</v>
      </c>
      <c r="AD4765" s="81" t="e">
        <f>IF(X4765=2,HLOOKUP(R4765,データについて!$J$12:$M$18,7,FALSE),"*")</f>
        <v>#N/A</v>
      </c>
    </row>
    <row r="4766" spans="19:30">
      <c r="S4766" s="81" t="e">
        <f>HLOOKUP(L4766,データについて!$J$6:$M$18,13,FALSE)</f>
        <v>#N/A</v>
      </c>
      <c r="T4766" s="81" t="e">
        <f>HLOOKUP(M4766,データについて!$J$7:$M$18,12,FALSE)</f>
        <v>#N/A</v>
      </c>
      <c r="U4766" s="81" t="e">
        <f>HLOOKUP(N4766,データについて!$J$8:$M$18,11,FALSE)</f>
        <v>#N/A</v>
      </c>
      <c r="V4766" s="81" t="e">
        <f>HLOOKUP(O4766,データについて!$J$9:$M$18,10,FALSE)</f>
        <v>#N/A</v>
      </c>
      <c r="W4766" s="81" t="e">
        <f>HLOOKUP(P4766,データについて!$J$10:$M$18,9,FALSE)</f>
        <v>#N/A</v>
      </c>
      <c r="X4766" s="81" t="e">
        <f>HLOOKUP(Q4766,データについて!$J$11:$M$18,8,FALSE)</f>
        <v>#N/A</v>
      </c>
      <c r="Y4766" s="81" t="e">
        <f>HLOOKUP(R4766,データについて!$J$12:$M$18,7,FALSE)</f>
        <v>#N/A</v>
      </c>
      <c r="Z4766" s="81" t="e">
        <f>HLOOKUP(I4766,データについて!$J$3:$M$18,16,FALSE)</f>
        <v>#N/A</v>
      </c>
      <c r="AA4766" s="81" t="str">
        <f>IFERROR(HLOOKUP(J4766,データについて!$J$4:$AH$19,16,FALSE),"")</f>
        <v/>
      </c>
      <c r="AB4766" s="81" t="str">
        <f>IFERROR(HLOOKUP(K4766,データについて!$J$5:$AH$20,14,FALSE),"")</f>
        <v/>
      </c>
      <c r="AC4766" s="81" t="e">
        <f>IF(X4766=1,HLOOKUP(R4766,データについて!$J$12:$M$18,7,FALSE),"*")</f>
        <v>#N/A</v>
      </c>
      <c r="AD4766" s="81" t="e">
        <f>IF(X4766=2,HLOOKUP(R4766,データについて!$J$12:$M$18,7,FALSE),"*")</f>
        <v>#N/A</v>
      </c>
    </row>
    <row r="4767" spans="19:30">
      <c r="S4767" s="81" t="e">
        <f>HLOOKUP(L4767,データについて!$J$6:$M$18,13,FALSE)</f>
        <v>#N/A</v>
      </c>
      <c r="T4767" s="81" t="e">
        <f>HLOOKUP(M4767,データについて!$J$7:$M$18,12,FALSE)</f>
        <v>#N/A</v>
      </c>
      <c r="U4767" s="81" t="e">
        <f>HLOOKUP(N4767,データについて!$J$8:$M$18,11,FALSE)</f>
        <v>#N/A</v>
      </c>
      <c r="V4767" s="81" t="e">
        <f>HLOOKUP(O4767,データについて!$J$9:$M$18,10,FALSE)</f>
        <v>#N/A</v>
      </c>
      <c r="W4767" s="81" t="e">
        <f>HLOOKUP(P4767,データについて!$J$10:$M$18,9,FALSE)</f>
        <v>#N/A</v>
      </c>
      <c r="X4767" s="81" t="e">
        <f>HLOOKUP(Q4767,データについて!$J$11:$M$18,8,FALSE)</f>
        <v>#N/A</v>
      </c>
      <c r="Y4767" s="81" t="e">
        <f>HLOOKUP(R4767,データについて!$J$12:$M$18,7,FALSE)</f>
        <v>#N/A</v>
      </c>
      <c r="Z4767" s="81" t="e">
        <f>HLOOKUP(I4767,データについて!$J$3:$M$18,16,FALSE)</f>
        <v>#N/A</v>
      </c>
      <c r="AA4767" s="81" t="str">
        <f>IFERROR(HLOOKUP(J4767,データについて!$J$4:$AH$19,16,FALSE),"")</f>
        <v/>
      </c>
      <c r="AB4767" s="81" t="str">
        <f>IFERROR(HLOOKUP(K4767,データについて!$J$5:$AH$20,14,FALSE),"")</f>
        <v/>
      </c>
      <c r="AC4767" s="81" t="e">
        <f>IF(X4767=1,HLOOKUP(R4767,データについて!$J$12:$M$18,7,FALSE),"*")</f>
        <v>#N/A</v>
      </c>
      <c r="AD4767" s="81" t="e">
        <f>IF(X4767=2,HLOOKUP(R4767,データについて!$J$12:$M$18,7,FALSE),"*")</f>
        <v>#N/A</v>
      </c>
    </row>
    <row r="4768" spans="19:30">
      <c r="S4768" s="81" t="e">
        <f>HLOOKUP(L4768,データについて!$J$6:$M$18,13,FALSE)</f>
        <v>#N/A</v>
      </c>
      <c r="T4768" s="81" t="e">
        <f>HLOOKUP(M4768,データについて!$J$7:$M$18,12,FALSE)</f>
        <v>#N/A</v>
      </c>
      <c r="U4768" s="81" t="e">
        <f>HLOOKUP(N4768,データについて!$J$8:$M$18,11,FALSE)</f>
        <v>#N/A</v>
      </c>
      <c r="V4768" s="81" t="e">
        <f>HLOOKUP(O4768,データについて!$J$9:$M$18,10,FALSE)</f>
        <v>#N/A</v>
      </c>
      <c r="W4768" s="81" t="e">
        <f>HLOOKUP(P4768,データについて!$J$10:$M$18,9,FALSE)</f>
        <v>#N/A</v>
      </c>
      <c r="X4768" s="81" t="e">
        <f>HLOOKUP(Q4768,データについて!$J$11:$M$18,8,FALSE)</f>
        <v>#N/A</v>
      </c>
      <c r="Y4768" s="81" t="e">
        <f>HLOOKUP(R4768,データについて!$J$12:$M$18,7,FALSE)</f>
        <v>#N/A</v>
      </c>
      <c r="Z4768" s="81" t="e">
        <f>HLOOKUP(I4768,データについて!$J$3:$M$18,16,FALSE)</f>
        <v>#N/A</v>
      </c>
      <c r="AA4768" s="81" t="str">
        <f>IFERROR(HLOOKUP(J4768,データについて!$J$4:$AH$19,16,FALSE),"")</f>
        <v/>
      </c>
      <c r="AB4768" s="81" t="str">
        <f>IFERROR(HLOOKUP(K4768,データについて!$J$5:$AH$20,14,FALSE),"")</f>
        <v/>
      </c>
      <c r="AC4768" s="81" t="e">
        <f>IF(X4768=1,HLOOKUP(R4768,データについて!$J$12:$M$18,7,FALSE),"*")</f>
        <v>#N/A</v>
      </c>
      <c r="AD4768" s="81" t="e">
        <f>IF(X4768=2,HLOOKUP(R4768,データについて!$J$12:$M$18,7,FALSE),"*")</f>
        <v>#N/A</v>
      </c>
    </row>
    <row r="4769" spans="19:30">
      <c r="S4769" s="81" t="e">
        <f>HLOOKUP(L4769,データについて!$J$6:$M$18,13,FALSE)</f>
        <v>#N/A</v>
      </c>
      <c r="T4769" s="81" t="e">
        <f>HLOOKUP(M4769,データについて!$J$7:$M$18,12,FALSE)</f>
        <v>#N/A</v>
      </c>
      <c r="U4769" s="81" t="e">
        <f>HLOOKUP(N4769,データについて!$J$8:$M$18,11,FALSE)</f>
        <v>#N/A</v>
      </c>
      <c r="V4769" s="81" t="e">
        <f>HLOOKUP(O4769,データについて!$J$9:$M$18,10,FALSE)</f>
        <v>#N/A</v>
      </c>
      <c r="W4769" s="81" t="e">
        <f>HLOOKUP(P4769,データについて!$J$10:$M$18,9,FALSE)</f>
        <v>#N/A</v>
      </c>
      <c r="X4769" s="81" t="e">
        <f>HLOOKUP(Q4769,データについて!$J$11:$M$18,8,FALSE)</f>
        <v>#N/A</v>
      </c>
      <c r="Y4769" s="81" t="e">
        <f>HLOOKUP(R4769,データについて!$J$12:$M$18,7,FALSE)</f>
        <v>#N/A</v>
      </c>
      <c r="Z4769" s="81" t="e">
        <f>HLOOKUP(I4769,データについて!$J$3:$M$18,16,FALSE)</f>
        <v>#N/A</v>
      </c>
      <c r="AA4769" s="81" t="str">
        <f>IFERROR(HLOOKUP(J4769,データについて!$J$4:$AH$19,16,FALSE),"")</f>
        <v/>
      </c>
      <c r="AB4769" s="81" t="str">
        <f>IFERROR(HLOOKUP(K4769,データについて!$J$5:$AH$20,14,FALSE),"")</f>
        <v/>
      </c>
      <c r="AC4769" s="81" t="e">
        <f>IF(X4769=1,HLOOKUP(R4769,データについて!$J$12:$M$18,7,FALSE),"*")</f>
        <v>#N/A</v>
      </c>
      <c r="AD4769" s="81" t="e">
        <f>IF(X4769=2,HLOOKUP(R4769,データについて!$J$12:$M$18,7,FALSE),"*")</f>
        <v>#N/A</v>
      </c>
    </row>
    <row r="4770" spans="19:30">
      <c r="S4770" s="81" t="e">
        <f>HLOOKUP(L4770,データについて!$J$6:$M$18,13,FALSE)</f>
        <v>#N/A</v>
      </c>
      <c r="T4770" s="81" t="e">
        <f>HLOOKUP(M4770,データについて!$J$7:$M$18,12,FALSE)</f>
        <v>#N/A</v>
      </c>
      <c r="U4770" s="81" t="e">
        <f>HLOOKUP(N4770,データについて!$J$8:$M$18,11,FALSE)</f>
        <v>#N/A</v>
      </c>
      <c r="V4770" s="81" t="e">
        <f>HLOOKUP(O4770,データについて!$J$9:$M$18,10,FALSE)</f>
        <v>#N/A</v>
      </c>
      <c r="W4770" s="81" t="e">
        <f>HLOOKUP(P4770,データについて!$J$10:$M$18,9,FALSE)</f>
        <v>#N/A</v>
      </c>
      <c r="X4770" s="81" t="e">
        <f>HLOOKUP(Q4770,データについて!$J$11:$M$18,8,FALSE)</f>
        <v>#N/A</v>
      </c>
      <c r="Y4770" s="81" t="e">
        <f>HLOOKUP(R4770,データについて!$J$12:$M$18,7,FALSE)</f>
        <v>#N/A</v>
      </c>
      <c r="Z4770" s="81" t="e">
        <f>HLOOKUP(I4770,データについて!$J$3:$M$18,16,FALSE)</f>
        <v>#N/A</v>
      </c>
      <c r="AA4770" s="81" t="str">
        <f>IFERROR(HLOOKUP(J4770,データについて!$J$4:$AH$19,16,FALSE),"")</f>
        <v/>
      </c>
      <c r="AB4770" s="81" t="str">
        <f>IFERROR(HLOOKUP(K4770,データについて!$J$5:$AH$20,14,FALSE),"")</f>
        <v/>
      </c>
      <c r="AC4770" s="81" t="e">
        <f>IF(X4770=1,HLOOKUP(R4770,データについて!$J$12:$M$18,7,FALSE),"*")</f>
        <v>#N/A</v>
      </c>
      <c r="AD4770" s="81" t="e">
        <f>IF(X4770=2,HLOOKUP(R4770,データについて!$J$12:$M$18,7,FALSE),"*")</f>
        <v>#N/A</v>
      </c>
    </row>
    <row r="4771" spans="19:30">
      <c r="S4771" s="81" t="e">
        <f>HLOOKUP(L4771,データについて!$J$6:$M$18,13,FALSE)</f>
        <v>#N/A</v>
      </c>
      <c r="T4771" s="81" t="e">
        <f>HLOOKUP(M4771,データについて!$J$7:$M$18,12,FALSE)</f>
        <v>#N/A</v>
      </c>
      <c r="U4771" s="81" t="e">
        <f>HLOOKUP(N4771,データについて!$J$8:$M$18,11,FALSE)</f>
        <v>#N/A</v>
      </c>
      <c r="V4771" s="81" t="e">
        <f>HLOOKUP(O4771,データについて!$J$9:$M$18,10,FALSE)</f>
        <v>#N/A</v>
      </c>
      <c r="W4771" s="81" t="e">
        <f>HLOOKUP(P4771,データについて!$J$10:$M$18,9,FALSE)</f>
        <v>#N/A</v>
      </c>
      <c r="X4771" s="81" t="e">
        <f>HLOOKUP(Q4771,データについて!$J$11:$M$18,8,FALSE)</f>
        <v>#N/A</v>
      </c>
      <c r="Y4771" s="81" t="e">
        <f>HLOOKUP(R4771,データについて!$J$12:$M$18,7,FALSE)</f>
        <v>#N/A</v>
      </c>
      <c r="Z4771" s="81" t="e">
        <f>HLOOKUP(I4771,データについて!$J$3:$M$18,16,FALSE)</f>
        <v>#N/A</v>
      </c>
      <c r="AA4771" s="81" t="str">
        <f>IFERROR(HLOOKUP(J4771,データについて!$J$4:$AH$19,16,FALSE),"")</f>
        <v/>
      </c>
      <c r="AB4771" s="81" t="str">
        <f>IFERROR(HLOOKUP(K4771,データについて!$J$5:$AH$20,14,FALSE),"")</f>
        <v/>
      </c>
      <c r="AC4771" s="81" t="e">
        <f>IF(X4771=1,HLOOKUP(R4771,データについて!$J$12:$M$18,7,FALSE),"*")</f>
        <v>#N/A</v>
      </c>
      <c r="AD4771" s="81" t="e">
        <f>IF(X4771=2,HLOOKUP(R4771,データについて!$J$12:$M$18,7,FALSE),"*")</f>
        <v>#N/A</v>
      </c>
    </row>
    <row r="4772" spans="19:30">
      <c r="S4772" s="81" t="e">
        <f>HLOOKUP(L4772,データについて!$J$6:$M$18,13,FALSE)</f>
        <v>#N/A</v>
      </c>
      <c r="T4772" s="81" t="e">
        <f>HLOOKUP(M4772,データについて!$J$7:$M$18,12,FALSE)</f>
        <v>#N/A</v>
      </c>
      <c r="U4772" s="81" t="e">
        <f>HLOOKUP(N4772,データについて!$J$8:$M$18,11,FALSE)</f>
        <v>#N/A</v>
      </c>
      <c r="V4772" s="81" t="e">
        <f>HLOOKUP(O4772,データについて!$J$9:$M$18,10,FALSE)</f>
        <v>#N/A</v>
      </c>
      <c r="W4772" s="81" t="e">
        <f>HLOOKUP(P4772,データについて!$J$10:$M$18,9,FALSE)</f>
        <v>#N/A</v>
      </c>
      <c r="X4772" s="81" t="e">
        <f>HLOOKUP(Q4772,データについて!$J$11:$M$18,8,FALSE)</f>
        <v>#N/A</v>
      </c>
      <c r="Y4772" s="81" t="e">
        <f>HLOOKUP(R4772,データについて!$J$12:$M$18,7,FALSE)</f>
        <v>#N/A</v>
      </c>
      <c r="Z4772" s="81" t="e">
        <f>HLOOKUP(I4772,データについて!$J$3:$M$18,16,FALSE)</f>
        <v>#N/A</v>
      </c>
      <c r="AA4772" s="81" t="str">
        <f>IFERROR(HLOOKUP(J4772,データについて!$J$4:$AH$19,16,FALSE),"")</f>
        <v/>
      </c>
      <c r="AB4772" s="81" t="str">
        <f>IFERROR(HLOOKUP(K4772,データについて!$J$5:$AH$20,14,FALSE),"")</f>
        <v/>
      </c>
      <c r="AC4772" s="81" t="e">
        <f>IF(X4772=1,HLOOKUP(R4772,データについて!$J$12:$M$18,7,FALSE),"*")</f>
        <v>#N/A</v>
      </c>
      <c r="AD4772" s="81" t="e">
        <f>IF(X4772=2,HLOOKUP(R4772,データについて!$J$12:$M$18,7,FALSE),"*")</f>
        <v>#N/A</v>
      </c>
    </row>
    <row r="4773" spans="19:30">
      <c r="S4773" s="81" t="e">
        <f>HLOOKUP(L4773,データについて!$J$6:$M$18,13,FALSE)</f>
        <v>#N/A</v>
      </c>
      <c r="T4773" s="81" t="e">
        <f>HLOOKUP(M4773,データについて!$J$7:$M$18,12,FALSE)</f>
        <v>#N/A</v>
      </c>
      <c r="U4773" s="81" t="e">
        <f>HLOOKUP(N4773,データについて!$J$8:$M$18,11,FALSE)</f>
        <v>#N/A</v>
      </c>
      <c r="V4773" s="81" t="e">
        <f>HLOOKUP(O4773,データについて!$J$9:$M$18,10,FALSE)</f>
        <v>#N/A</v>
      </c>
      <c r="W4773" s="81" t="e">
        <f>HLOOKUP(P4773,データについて!$J$10:$M$18,9,FALSE)</f>
        <v>#N/A</v>
      </c>
      <c r="X4773" s="81" t="e">
        <f>HLOOKUP(Q4773,データについて!$J$11:$M$18,8,FALSE)</f>
        <v>#N/A</v>
      </c>
      <c r="Y4773" s="81" t="e">
        <f>HLOOKUP(R4773,データについて!$J$12:$M$18,7,FALSE)</f>
        <v>#N/A</v>
      </c>
      <c r="Z4773" s="81" t="e">
        <f>HLOOKUP(I4773,データについて!$J$3:$M$18,16,FALSE)</f>
        <v>#N/A</v>
      </c>
      <c r="AA4773" s="81" t="str">
        <f>IFERROR(HLOOKUP(J4773,データについて!$J$4:$AH$19,16,FALSE),"")</f>
        <v/>
      </c>
      <c r="AB4773" s="81" t="str">
        <f>IFERROR(HLOOKUP(K4773,データについて!$J$5:$AH$20,14,FALSE),"")</f>
        <v/>
      </c>
      <c r="AC4773" s="81" t="e">
        <f>IF(X4773=1,HLOOKUP(R4773,データについて!$J$12:$M$18,7,FALSE),"*")</f>
        <v>#N/A</v>
      </c>
      <c r="AD4773" s="81" t="e">
        <f>IF(X4773=2,HLOOKUP(R4773,データについて!$J$12:$M$18,7,FALSE),"*")</f>
        <v>#N/A</v>
      </c>
    </row>
    <row r="4774" spans="19:30">
      <c r="S4774" s="81" t="e">
        <f>HLOOKUP(L4774,データについて!$J$6:$M$18,13,FALSE)</f>
        <v>#N/A</v>
      </c>
      <c r="T4774" s="81" t="e">
        <f>HLOOKUP(M4774,データについて!$J$7:$M$18,12,FALSE)</f>
        <v>#N/A</v>
      </c>
      <c r="U4774" s="81" t="e">
        <f>HLOOKUP(N4774,データについて!$J$8:$M$18,11,FALSE)</f>
        <v>#N/A</v>
      </c>
      <c r="V4774" s="81" t="e">
        <f>HLOOKUP(O4774,データについて!$J$9:$M$18,10,FALSE)</f>
        <v>#N/A</v>
      </c>
      <c r="W4774" s="81" t="e">
        <f>HLOOKUP(P4774,データについて!$J$10:$M$18,9,FALSE)</f>
        <v>#N/A</v>
      </c>
      <c r="X4774" s="81" t="e">
        <f>HLOOKUP(Q4774,データについて!$J$11:$M$18,8,FALSE)</f>
        <v>#N/A</v>
      </c>
      <c r="Y4774" s="81" t="e">
        <f>HLOOKUP(R4774,データについて!$J$12:$M$18,7,FALSE)</f>
        <v>#N/A</v>
      </c>
      <c r="Z4774" s="81" t="e">
        <f>HLOOKUP(I4774,データについて!$J$3:$M$18,16,FALSE)</f>
        <v>#N/A</v>
      </c>
      <c r="AA4774" s="81" t="str">
        <f>IFERROR(HLOOKUP(J4774,データについて!$J$4:$AH$19,16,FALSE),"")</f>
        <v/>
      </c>
      <c r="AB4774" s="81" t="str">
        <f>IFERROR(HLOOKUP(K4774,データについて!$J$5:$AH$20,14,FALSE),"")</f>
        <v/>
      </c>
      <c r="AC4774" s="81" t="e">
        <f>IF(X4774=1,HLOOKUP(R4774,データについて!$J$12:$M$18,7,FALSE),"*")</f>
        <v>#N/A</v>
      </c>
      <c r="AD4774" s="81" t="e">
        <f>IF(X4774=2,HLOOKUP(R4774,データについて!$J$12:$M$18,7,FALSE),"*")</f>
        <v>#N/A</v>
      </c>
    </row>
    <row r="4775" spans="19:30">
      <c r="S4775" s="81" t="e">
        <f>HLOOKUP(L4775,データについて!$J$6:$M$18,13,FALSE)</f>
        <v>#N/A</v>
      </c>
      <c r="T4775" s="81" t="e">
        <f>HLOOKUP(M4775,データについて!$J$7:$M$18,12,FALSE)</f>
        <v>#N/A</v>
      </c>
      <c r="U4775" s="81" t="e">
        <f>HLOOKUP(N4775,データについて!$J$8:$M$18,11,FALSE)</f>
        <v>#N/A</v>
      </c>
      <c r="V4775" s="81" t="e">
        <f>HLOOKUP(O4775,データについて!$J$9:$M$18,10,FALSE)</f>
        <v>#N/A</v>
      </c>
      <c r="W4775" s="81" t="e">
        <f>HLOOKUP(P4775,データについて!$J$10:$M$18,9,FALSE)</f>
        <v>#N/A</v>
      </c>
      <c r="X4775" s="81" t="e">
        <f>HLOOKUP(Q4775,データについて!$J$11:$M$18,8,FALSE)</f>
        <v>#N/A</v>
      </c>
      <c r="Y4775" s="81" t="e">
        <f>HLOOKUP(R4775,データについて!$J$12:$M$18,7,FALSE)</f>
        <v>#N/A</v>
      </c>
      <c r="Z4775" s="81" t="e">
        <f>HLOOKUP(I4775,データについて!$J$3:$M$18,16,FALSE)</f>
        <v>#N/A</v>
      </c>
      <c r="AA4775" s="81" t="str">
        <f>IFERROR(HLOOKUP(J4775,データについて!$J$4:$AH$19,16,FALSE),"")</f>
        <v/>
      </c>
      <c r="AB4775" s="81" t="str">
        <f>IFERROR(HLOOKUP(K4775,データについて!$J$5:$AH$20,14,FALSE),"")</f>
        <v/>
      </c>
      <c r="AC4775" s="81" t="e">
        <f>IF(X4775=1,HLOOKUP(R4775,データについて!$J$12:$M$18,7,FALSE),"*")</f>
        <v>#N/A</v>
      </c>
      <c r="AD4775" s="81" t="e">
        <f>IF(X4775=2,HLOOKUP(R4775,データについて!$J$12:$M$18,7,FALSE),"*")</f>
        <v>#N/A</v>
      </c>
    </row>
    <row r="4776" spans="19:30">
      <c r="S4776" s="81" t="e">
        <f>HLOOKUP(L4776,データについて!$J$6:$M$18,13,FALSE)</f>
        <v>#N/A</v>
      </c>
      <c r="T4776" s="81" t="e">
        <f>HLOOKUP(M4776,データについて!$J$7:$M$18,12,FALSE)</f>
        <v>#N/A</v>
      </c>
      <c r="U4776" s="81" t="e">
        <f>HLOOKUP(N4776,データについて!$J$8:$M$18,11,FALSE)</f>
        <v>#N/A</v>
      </c>
      <c r="V4776" s="81" t="e">
        <f>HLOOKUP(O4776,データについて!$J$9:$M$18,10,FALSE)</f>
        <v>#N/A</v>
      </c>
      <c r="W4776" s="81" t="e">
        <f>HLOOKUP(P4776,データについて!$J$10:$M$18,9,FALSE)</f>
        <v>#N/A</v>
      </c>
      <c r="X4776" s="81" t="e">
        <f>HLOOKUP(Q4776,データについて!$J$11:$M$18,8,FALSE)</f>
        <v>#N/A</v>
      </c>
      <c r="Y4776" s="81" t="e">
        <f>HLOOKUP(R4776,データについて!$J$12:$M$18,7,FALSE)</f>
        <v>#N/A</v>
      </c>
      <c r="Z4776" s="81" t="e">
        <f>HLOOKUP(I4776,データについて!$J$3:$M$18,16,FALSE)</f>
        <v>#N/A</v>
      </c>
      <c r="AA4776" s="81" t="str">
        <f>IFERROR(HLOOKUP(J4776,データについて!$J$4:$AH$19,16,FALSE),"")</f>
        <v/>
      </c>
      <c r="AB4776" s="81" t="str">
        <f>IFERROR(HLOOKUP(K4776,データについて!$J$5:$AH$20,14,FALSE),"")</f>
        <v/>
      </c>
      <c r="AC4776" s="81" t="e">
        <f>IF(X4776=1,HLOOKUP(R4776,データについて!$J$12:$M$18,7,FALSE),"*")</f>
        <v>#N/A</v>
      </c>
      <c r="AD4776" s="81" t="e">
        <f>IF(X4776=2,HLOOKUP(R4776,データについて!$J$12:$M$18,7,FALSE),"*")</f>
        <v>#N/A</v>
      </c>
    </row>
    <row r="4777" spans="19:30">
      <c r="S4777" s="81" t="e">
        <f>HLOOKUP(L4777,データについて!$J$6:$M$18,13,FALSE)</f>
        <v>#N/A</v>
      </c>
      <c r="T4777" s="81" t="e">
        <f>HLOOKUP(M4777,データについて!$J$7:$M$18,12,FALSE)</f>
        <v>#N/A</v>
      </c>
      <c r="U4777" s="81" t="e">
        <f>HLOOKUP(N4777,データについて!$J$8:$M$18,11,FALSE)</f>
        <v>#N/A</v>
      </c>
      <c r="V4777" s="81" t="e">
        <f>HLOOKUP(O4777,データについて!$J$9:$M$18,10,FALSE)</f>
        <v>#N/A</v>
      </c>
      <c r="W4777" s="81" t="e">
        <f>HLOOKUP(P4777,データについて!$J$10:$M$18,9,FALSE)</f>
        <v>#N/A</v>
      </c>
      <c r="X4777" s="81" t="e">
        <f>HLOOKUP(Q4777,データについて!$J$11:$M$18,8,FALSE)</f>
        <v>#N/A</v>
      </c>
      <c r="Y4777" s="81" t="e">
        <f>HLOOKUP(R4777,データについて!$J$12:$M$18,7,FALSE)</f>
        <v>#N/A</v>
      </c>
      <c r="Z4777" s="81" t="e">
        <f>HLOOKUP(I4777,データについて!$J$3:$M$18,16,FALSE)</f>
        <v>#N/A</v>
      </c>
      <c r="AA4777" s="81" t="str">
        <f>IFERROR(HLOOKUP(J4777,データについて!$J$4:$AH$19,16,FALSE),"")</f>
        <v/>
      </c>
      <c r="AB4777" s="81" t="str">
        <f>IFERROR(HLOOKUP(K4777,データについて!$J$5:$AH$20,14,FALSE),"")</f>
        <v/>
      </c>
      <c r="AC4777" s="81" t="e">
        <f>IF(X4777=1,HLOOKUP(R4777,データについて!$J$12:$M$18,7,FALSE),"*")</f>
        <v>#N/A</v>
      </c>
      <c r="AD4777" s="81" t="e">
        <f>IF(X4777=2,HLOOKUP(R4777,データについて!$J$12:$M$18,7,FALSE),"*")</f>
        <v>#N/A</v>
      </c>
    </row>
    <row r="4778" spans="19:30">
      <c r="S4778" s="81" t="e">
        <f>HLOOKUP(L4778,データについて!$J$6:$M$18,13,FALSE)</f>
        <v>#N/A</v>
      </c>
      <c r="T4778" s="81" t="e">
        <f>HLOOKUP(M4778,データについて!$J$7:$M$18,12,FALSE)</f>
        <v>#N/A</v>
      </c>
      <c r="U4778" s="81" t="e">
        <f>HLOOKUP(N4778,データについて!$J$8:$M$18,11,FALSE)</f>
        <v>#N/A</v>
      </c>
      <c r="V4778" s="81" t="e">
        <f>HLOOKUP(O4778,データについて!$J$9:$M$18,10,FALSE)</f>
        <v>#N/A</v>
      </c>
      <c r="W4778" s="81" t="e">
        <f>HLOOKUP(P4778,データについて!$J$10:$M$18,9,FALSE)</f>
        <v>#N/A</v>
      </c>
      <c r="X4778" s="81" t="e">
        <f>HLOOKUP(Q4778,データについて!$J$11:$M$18,8,FALSE)</f>
        <v>#N/A</v>
      </c>
      <c r="Y4778" s="81" t="e">
        <f>HLOOKUP(R4778,データについて!$J$12:$M$18,7,FALSE)</f>
        <v>#N/A</v>
      </c>
      <c r="Z4778" s="81" t="e">
        <f>HLOOKUP(I4778,データについて!$J$3:$M$18,16,FALSE)</f>
        <v>#N/A</v>
      </c>
      <c r="AA4778" s="81" t="str">
        <f>IFERROR(HLOOKUP(J4778,データについて!$J$4:$AH$19,16,FALSE),"")</f>
        <v/>
      </c>
      <c r="AB4778" s="81" t="str">
        <f>IFERROR(HLOOKUP(K4778,データについて!$J$5:$AH$20,14,FALSE),"")</f>
        <v/>
      </c>
      <c r="AC4778" s="81" t="e">
        <f>IF(X4778=1,HLOOKUP(R4778,データについて!$J$12:$M$18,7,FALSE),"*")</f>
        <v>#N/A</v>
      </c>
      <c r="AD4778" s="81" t="e">
        <f>IF(X4778=2,HLOOKUP(R4778,データについて!$J$12:$M$18,7,FALSE),"*")</f>
        <v>#N/A</v>
      </c>
    </row>
    <row r="4779" spans="19:30">
      <c r="S4779" s="81" t="e">
        <f>HLOOKUP(L4779,データについて!$J$6:$M$18,13,FALSE)</f>
        <v>#N/A</v>
      </c>
      <c r="T4779" s="81" t="e">
        <f>HLOOKUP(M4779,データについて!$J$7:$M$18,12,FALSE)</f>
        <v>#N/A</v>
      </c>
      <c r="U4779" s="81" t="e">
        <f>HLOOKUP(N4779,データについて!$J$8:$M$18,11,FALSE)</f>
        <v>#N/A</v>
      </c>
      <c r="V4779" s="81" t="e">
        <f>HLOOKUP(O4779,データについて!$J$9:$M$18,10,FALSE)</f>
        <v>#N/A</v>
      </c>
      <c r="W4779" s="81" t="e">
        <f>HLOOKUP(P4779,データについて!$J$10:$M$18,9,FALSE)</f>
        <v>#N/A</v>
      </c>
      <c r="X4779" s="81" t="e">
        <f>HLOOKUP(Q4779,データについて!$J$11:$M$18,8,FALSE)</f>
        <v>#N/A</v>
      </c>
      <c r="Y4779" s="81" t="e">
        <f>HLOOKUP(R4779,データについて!$J$12:$M$18,7,FALSE)</f>
        <v>#N/A</v>
      </c>
      <c r="Z4779" s="81" t="e">
        <f>HLOOKUP(I4779,データについて!$J$3:$M$18,16,FALSE)</f>
        <v>#N/A</v>
      </c>
      <c r="AA4779" s="81" t="str">
        <f>IFERROR(HLOOKUP(J4779,データについて!$J$4:$AH$19,16,FALSE),"")</f>
        <v/>
      </c>
      <c r="AB4779" s="81" t="str">
        <f>IFERROR(HLOOKUP(K4779,データについて!$J$5:$AH$20,14,FALSE),"")</f>
        <v/>
      </c>
      <c r="AC4779" s="81" t="e">
        <f>IF(X4779=1,HLOOKUP(R4779,データについて!$J$12:$M$18,7,FALSE),"*")</f>
        <v>#N/A</v>
      </c>
      <c r="AD4779" s="81" t="e">
        <f>IF(X4779=2,HLOOKUP(R4779,データについて!$J$12:$M$18,7,FALSE),"*")</f>
        <v>#N/A</v>
      </c>
    </row>
    <row r="4780" spans="19:30">
      <c r="S4780" s="81" t="e">
        <f>HLOOKUP(L4780,データについて!$J$6:$M$18,13,FALSE)</f>
        <v>#N/A</v>
      </c>
      <c r="T4780" s="81" t="e">
        <f>HLOOKUP(M4780,データについて!$J$7:$M$18,12,FALSE)</f>
        <v>#N/A</v>
      </c>
      <c r="U4780" s="81" t="e">
        <f>HLOOKUP(N4780,データについて!$J$8:$M$18,11,FALSE)</f>
        <v>#N/A</v>
      </c>
      <c r="V4780" s="81" t="e">
        <f>HLOOKUP(O4780,データについて!$J$9:$M$18,10,FALSE)</f>
        <v>#N/A</v>
      </c>
      <c r="W4780" s="81" t="e">
        <f>HLOOKUP(P4780,データについて!$J$10:$M$18,9,FALSE)</f>
        <v>#N/A</v>
      </c>
      <c r="X4780" s="81" t="e">
        <f>HLOOKUP(Q4780,データについて!$J$11:$M$18,8,FALSE)</f>
        <v>#N/A</v>
      </c>
      <c r="Y4780" s="81" t="e">
        <f>HLOOKUP(R4780,データについて!$J$12:$M$18,7,FALSE)</f>
        <v>#N/A</v>
      </c>
      <c r="Z4780" s="81" t="e">
        <f>HLOOKUP(I4780,データについて!$J$3:$M$18,16,FALSE)</f>
        <v>#N/A</v>
      </c>
      <c r="AA4780" s="81" t="str">
        <f>IFERROR(HLOOKUP(J4780,データについて!$J$4:$AH$19,16,FALSE),"")</f>
        <v/>
      </c>
      <c r="AB4780" s="81" t="str">
        <f>IFERROR(HLOOKUP(K4780,データについて!$J$5:$AH$20,14,FALSE),"")</f>
        <v/>
      </c>
      <c r="AC4780" s="81" t="e">
        <f>IF(X4780=1,HLOOKUP(R4780,データについて!$J$12:$M$18,7,FALSE),"*")</f>
        <v>#N/A</v>
      </c>
      <c r="AD4780" s="81" t="e">
        <f>IF(X4780=2,HLOOKUP(R4780,データについて!$J$12:$M$18,7,FALSE),"*")</f>
        <v>#N/A</v>
      </c>
    </row>
    <row r="4781" spans="19:30">
      <c r="S4781" s="81" t="e">
        <f>HLOOKUP(L4781,データについて!$J$6:$M$18,13,FALSE)</f>
        <v>#N/A</v>
      </c>
      <c r="T4781" s="81" t="e">
        <f>HLOOKUP(M4781,データについて!$J$7:$M$18,12,FALSE)</f>
        <v>#N/A</v>
      </c>
      <c r="U4781" s="81" t="e">
        <f>HLOOKUP(N4781,データについて!$J$8:$M$18,11,FALSE)</f>
        <v>#N/A</v>
      </c>
      <c r="V4781" s="81" t="e">
        <f>HLOOKUP(O4781,データについて!$J$9:$M$18,10,FALSE)</f>
        <v>#N/A</v>
      </c>
      <c r="W4781" s="81" t="e">
        <f>HLOOKUP(P4781,データについて!$J$10:$M$18,9,FALSE)</f>
        <v>#N/A</v>
      </c>
      <c r="X4781" s="81" t="e">
        <f>HLOOKUP(Q4781,データについて!$J$11:$M$18,8,FALSE)</f>
        <v>#N/A</v>
      </c>
      <c r="Y4781" s="81" t="e">
        <f>HLOOKUP(R4781,データについて!$J$12:$M$18,7,FALSE)</f>
        <v>#N/A</v>
      </c>
      <c r="Z4781" s="81" t="e">
        <f>HLOOKUP(I4781,データについて!$J$3:$M$18,16,FALSE)</f>
        <v>#N/A</v>
      </c>
      <c r="AA4781" s="81" t="str">
        <f>IFERROR(HLOOKUP(J4781,データについて!$J$4:$AH$19,16,FALSE),"")</f>
        <v/>
      </c>
      <c r="AB4781" s="81" t="str">
        <f>IFERROR(HLOOKUP(K4781,データについて!$J$5:$AH$20,14,FALSE),"")</f>
        <v/>
      </c>
      <c r="AC4781" s="81" t="e">
        <f>IF(X4781=1,HLOOKUP(R4781,データについて!$J$12:$M$18,7,FALSE),"*")</f>
        <v>#N/A</v>
      </c>
      <c r="AD4781" s="81" t="e">
        <f>IF(X4781=2,HLOOKUP(R4781,データについて!$J$12:$M$18,7,FALSE),"*")</f>
        <v>#N/A</v>
      </c>
    </row>
    <row r="4782" spans="19:30">
      <c r="S4782" s="81" t="e">
        <f>HLOOKUP(L4782,データについて!$J$6:$M$18,13,FALSE)</f>
        <v>#N/A</v>
      </c>
      <c r="T4782" s="81" t="e">
        <f>HLOOKUP(M4782,データについて!$J$7:$M$18,12,FALSE)</f>
        <v>#N/A</v>
      </c>
      <c r="U4782" s="81" t="e">
        <f>HLOOKUP(N4782,データについて!$J$8:$M$18,11,FALSE)</f>
        <v>#N/A</v>
      </c>
      <c r="V4782" s="81" t="e">
        <f>HLOOKUP(O4782,データについて!$J$9:$M$18,10,FALSE)</f>
        <v>#N/A</v>
      </c>
      <c r="W4782" s="81" t="e">
        <f>HLOOKUP(P4782,データについて!$J$10:$M$18,9,FALSE)</f>
        <v>#N/A</v>
      </c>
      <c r="X4782" s="81" t="e">
        <f>HLOOKUP(Q4782,データについて!$J$11:$M$18,8,FALSE)</f>
        <v>#N/A</v>
      </c>
      <c r="Y4782" s="81" t="e">
        <f>HLOOKUP(R4782,データについて!$J$12:$M$18,7,FALSE)</f>
        <v>#N/A</v>
      </c>
      <c r="Z4782" s="81" t="e">
        <f>HLOOKUP(I4782,データについて!$J$3:$M$18,16,FALSE)</f>
        <v>#N/A</v>
      </c>
      <c r="AA4782" s="81" t="str">
        <f>IFERROR(HLOOKUP(J4782,データについて!$J$4:$AH$19,16,FALSE),"")</f>
        <v/>
      </c>
      <c r="AB4782" s="81" t="str">
        <f>IFERROR(HLOOKUP(K4782,データについて!$J$5:$AH$20,14,FALSE),"")</f>
        <v/>
      </c>
      <c r="AC4782" s="81" t="e">
        <f>IF(X4782=1,HLOOKUP(R4782,データについて!$J$12:$M$18,7,FALSE),"*")</f>
        <v>#N/A</v>
      </c>
      <c r="AD4782" s="81" t="e">
        <f>IF(X4782=2,HLOOKUP(R4782,データについて!$J$12:$M$18,7,FALSE),"*")</f>
        <v>#N/A</v>
      </c>
    </row>
    <row r="4783" spans="19:30">
      <c r="S4783" s="81" t="e">
        <f>HLOOKUP(L4783,データについて!$J$6:$M$18,13,FALSE)</f>
        <v>#N/A</v>
      </c>
      <c r="T4783" s="81" t="e">
        <f>HLOOKUP(M4783,データについて!$J$7:$M$18,12,FALSE)</f>
        <v>#N/A</v>
      </c>
      <c r="U4783" s="81" t="e">
        <f>HLOOKUP(N4783,データについて!$J$8:$M$18,11,FALSE)</f>
        <v>#N/A</v>
      </c>
      <c r="V4783" s="81" t="e">
        <f>HLOOKUP(O4783,データについて!$J$9:$M$18,10,FALSE)</f>
        <v>#N/A</v>
      </c>
      <c r="W4783" s="81" t="e">
        <f>HLOOKUP(P4783,データについて!$J$10:$M$18,9,FALSE)</f>
        <v>#N/A</v>
      </c>
      <c r="X4783" s="81" t="e">
        <f>HLOOKUP(Q4783,データについて!$J$11:$M$18,8,FALSE)</f>
        <v>#N/A</v>
      </c>
      <c r="Y4783" s="81" t="e">
        <f>HLOOKUP(R4783,データについて!$J$12:$M$18,7,FALSE)</f>
        <v>#N/A</v>
      </c>
      <c r="Z4783" s="81" t="e">
        <f>HLOOKUP(I4783,データについて!$J$3:$M$18,16,FALSE)</f>
        <v>#N/A</v>
      </c>
      <c r="AA4783" s="81" t="str">
        <f>IFERROR(HLOOKUP(J4783,データについて!$J$4:$AH$19,16,FALSE),"")</f>
        <v/>
      </c>
      <c r="AB4783" s="81" t="str">
        <f>IFERROR(HLOOKUP(K4783,データについて!$J$5:$AH$20,14,FALSE),"")</f>
        <v/>
      </c>
      <c r="AC4783" s="81" t="e">
        <f>IF(X4783=1,HLOOKUP(R4783,データについて!$J$12:$M$18,7,FALSE),"*")</f>
        <v>#N/A</v>
      </c>
      <c r="AD4783" s="81" t="e">
        <f>IF(X4783=2,HLOOKUP(R4783,データについて!$J$12:$M$18,7,FALSE),"*")</f>
        <v>#N/A</v>
      </c>
    </row>
    <row r="4784" spans="19:30">
      <c r="S4784" s="81" t="e">
        <f>HLOOKUP(L4784,データについて!$J$6:$M$18,13,FALSE)</f>
        <v>#N/A</v>
      </c>
      <c r="T4784" s="81" t="e">
        <f>HLOOKUP(M4784,データについて!$J$7:$M$18,12,FALSE)</f>
        <v>#N/A</v>
      </c>
      <c r="U4784" s="81" t="e">
        <f>HLOOKUP(N4784,データについて!$J$8:$M$18,11,FALSE)</f>
        <v>#N/A</v>
      </c>
      <c r="V4784" s="81" t="e">
        <f>HLOOKUP(O4784,データについて!$J$9:$M$18,10,FALSE)</f>
        <v>#N/A</v>
      </c>
      <c r="W4784" s="81" t="e">
        <f>HLOOKUP(P4784,データについて!$J$10:$M$18,9,FALSE)</f>
        <v>#N/A</v>
      </c>
      <c r="X4784" s="81" t="e">
        <f>HLOOKUP(Q4784,データについて!$J$11:$M$18,8,FALSE)</f>
        <v>#N/A</v>
      </c>
      <c r="Y4784" s="81" t="e">
        <f>HLOOKUP(R4784,データについて!$J$12:$M$18,7,FALSE)</f>
        <v>#N/A</v>
      </c>
      <c r="Z4784" s="81" t="e">
        <f>HLOOKUP(I4784,データについて!$J$3:$M$18,16,FALSE)</f>
        <v>#N/A</v>
      </c>
      <c r="AA4784" s="81" t="str">
        <f>IFERROR(HLOOKUP(J4784,データについて!$J$4:$AH$19,16,FALSE),"")</f>
        <v/>
      </c>
      <c r="AB4784" s="81" t="str">
        <f>IFERROR(HLOOKUP(K4784,データについて!$J$5:$AH$20,14,FALSE),"")</f>
        <v/>
      </c>
      <c r="AC4784" s="81" t="e">
        <f>IF(X4784=1,HLOOKUP(R4784,データについて!$J$12:$M$18,7,FALSE),"*")</f>
        <v>#N/A</v>
      </c>
      <c r="AD4784" s="81" t="e">
        <f>IF(X4784=2,HLOOKUP(R4784,データについて!$J$12:$M$18,7,FALSE),"*")</f>
        <v>#N/A</v>
      </c>
    </row>
    <row r="4785" spans="19:30">
      <c r="S4785" s="81" t="e">
        <f>HLOOKUP(L4785,データについて!$J$6:$M$18,13,FALSE)</f>
        <v>#N/A</v>
      </c>
      <c r="T4785" s="81" t="e">
        <f>HLOOKUP(M4785,データについて!$J$7:$M$18,12,FALSE)</f>
        <v>#N/A</v>
      </c>
      <c r="U4785" s="81" t="e">
        <f>HLOOKUP(N4785,データについて!$J$8:$M$18,11,FALSE)</f>
        <v>#N/A</v>
      </c>
      <c r="V4785" s="81" t="e">
        <f>HLOOKUP(O4785,データについて!$J$9:$M$18,10,FALSE)</f>
        <v>#N/A</v>
      </c>
      <c r="W4785" s="81" t="e">
        <f>HLOOKUP(P4785,データについて!$J$10:$M$18,9,FALSE)</f>
        <v>#N/A</v>
      </c>
      <c r="X4785" s="81" t="e">
        <f>HLOOKUP(Q4785,データについて!$J$11:$M$18,8,FALSE)</f>
        <v>#N/A</v>
      </c>
      <c r="Y4785" s="81" t="e">
        <f>HLOOKUP(R4785,データについて!$J$12:$M$18,7,FALSE)</f>
        <v>#N/A</v>
      </c>
      <c r="Z4785" s="81" t="e">
        <f>HLOOKUP(I4785,データについて!$J$3:$M$18,16,FALSE)</f>
        <v>#N/A</v>
      </c>
      <c r="AA4785" s="81" t="str">
        <f>IFERROR(HLOOKUP(J4785,データについて!$J$4:$AH$19,16,FALSE),"")</f>
        <v/>
      </c>
      <c r="AB4785" s="81" t="str">
        <f>IFERROR(HLOOKUP(K4785,データについて!$J$5:$AH$20,14,FALSE),"")</f>
        <v/>
      </c>
      <c r="AC4785" s="81" t="e">
        <f>IF(X4785=1,HLOOKUP(R4785,データについて!$J$12:$M$18,7,FALSE),"*")</f>
        <v>#N/A</v>
      </c>
      <c r="AD4785" s="81" t="e">
        <f>IF(X4785=2,HLOOKUP(R4785,データについて!$J$12:$M$18,7,FALSE),"*")</f>
        <v>#N/A</v>
      </c>
    </row>
    <row r="4786" spans="19:30">
      <c r="S4786" s="81" t="e">
        <f>HLOOKUP(L4786,データについて!$J$6:$M$18,13,FALSE)</f>
        <v>#N/A</v>
      </c>
      <c r="T4786" s="81" t="e">
        <f>HLOOKUP(M4786,データについて!$J$7:$M$18,12,FALSE)</f>
        <v>#N/A</v>
      </c>
      <c r="U4786" s="81" t="e">
        <f>HLOOKUP(N4786,データについて!$J$8:$M$18,11,FALSE)</f>
        <v>#N/A</v>
      </c>
      <c r="V4786" s="81" t="e">
        <f>HLOOKUP(O4786,データについて!$J$9:$M$18,10,FALSE)</f>
        <v>#N/A</v>
      </c>
      <c r="W4786" s="81" t="e">
        <f>HLOOKUP(P4786,データについて!$J$10:$M$18,9,FALSE)</f>
        <v>#N/A</v>
      </c>
      <c r="X4786" s="81" t="e">
        <f>HLOOKUP(Q4786,データについて!$J$11:$M$18,8,FALSE)</f>
        <v>#N/A</v>
      </c>
      <c r="Y4786" s="81" t="e">
        <f>HLOOKUP(R4786,データについて!$J$12:$M$18,7,FALSE)</f>
        <v>#N/A</v>
      </c>
      <c r="Z4786" s="81" t="e">
        <f>HLOOKUP(I4786,データについて!$J$3:$M$18,16,FALSE)</f>
        <v>#N/A</v>
      </c>
      <c r="AA4786" s="81" t="str">
        <f>IFERROR(HLOOKUP(J4786,データについて!$J$4:$AH$19,16,FALSE),"")</f>
        <v/>
      </c>
      <c r="AB4786" s="81" t="str">
        <f>IFERROR(HLOOKUP(K4786,データについて!$J$5:$AH$20,14,FALSE),"")</f>
        <v/>
      </c>
      <c r="AC4786" s="81" t="e">
        <f>IF(X4786=1,HLOOKUP(R4786,データについて!$J$12:$M$18,7,FALSE),"*")</f>
        <v>#N/A</v>
      </c>
      <c r="AD4786" s="81" t="e">
        <f>IF(X4786=2,HLOOKUP(R4786,データについて!$J$12:$M$18,7,FALSE),"*")</f>
        <v>#N/A</v>
      </c>
    </row>
    <row r="4787" spans="19:30">
      <c r="S4787" s="81" t="e">
        <f>HLOOKUP(L4787,データについて!$J$6:$M$18,13,FALSE)</f>
        <v>#N/A</v>
      </c>
      <c r="T4787" s="81" t="e">
        <f>HLOOKUP(M4787,データについて!$J$7:$M$18,12,FALSE)</f>
        <v>#N/A</v>
      </c>
      <c r="U4787" s="81" t="e">
        <f>HLOOKUP(N4787,データについて!$J$8:$M$18,11,FALSE)</f>
        <v>#N/A</v>
      </c>
      <c r="V4787" s="81" t="e">
        <f>HLOOKUP(O4787,データについて!$J$9:$M$18,10,FALSE)</f>
        <v>#N/A</v>
      </c>
      <c r="W4787" s="81" t="e">
        <f>HLOOKUP(P4787,データについて!$J$10:$M$18,9,FALSE)</f>
        <v>#N/A</v>
      </c>
      <c r="X4787" s="81" t="e">
        <f>HLOOKUP(Q4787,データについて!$J$11:$M$18,8,FALSE)</f>
        <v>#N/A</v>
      </c>
      <c r="Y4787" s="81" t="e">
        <f>HLOOKUP(R4787,データについて!$J$12:$M$18,7,FALSE)</f>
        <v>#N/A</v>
      </c>
      <c r="Z4787" s="81" t="e">
        <f>HLOOKUP(I4787,データについて!$J$3:$M$18,16,FALSE)</f>
        <v>#N/A</v>
      </c>
      <c r="AA4787" s="81" t="str">
        <f>IFERROR(HLOOKUP(J4787,データについて!$J$4:$AH$19,16,FALSE),"")</f>
        <v/>
      </c>
      <c r="AB4787" s="81" t="str">
        <f>IFERROR(HLOOKUP(K4787,データについて!$J$5:$AH$20,14,FALSE),"")</f>
        <v/>
      </c>
      <c r="AC4787" s="81" t="e">
        <f>IF(X4787=1,HLOOKUP(R4787,データについて!$J$12:$M$18,7,FALSE),"*")</f>
        <v>#N/A</v>
      </c>
      <c r="AD4787" s="81" t="e">
        <f>IF(X4787=2,HLOOKUP(R4787,データについて!$J$12:$M$18,7,FALSE),"*")</f>
        <v>#N/A</v>
      </c>
    </row>
    <row r="4788" spans="19:30">
      <c r="S4788" s="81" t="e">
        <f>HLOOKUP(L4788,データについて!$J$6:$M$18,13,FALSE)</f>
        <v>#N/A</v>
      </c>
      <c r="T4788" s="81" t="e">
        <f>HLOOKUP(M4788,データについて!$J$7:$M$18,12,FALSE)</f>
        <v>#N/A</v>
      </c>
      <c r="U4788" s="81" t="e">
        <f>HLOOKUP(N4788,データについて!$J$8:$M$18,11,FALSE)</f>
        <v>#N/A</v>
      </c>
      <c r="V4788" s="81" t="e">
        <f>HLOOKUP(O4788,データについて!$J$9:$M$18,10,FALSE)</f>
        <v>#N/A</v>
      </c>
      <c r="W4788" s="81" t="e">
        <f>HLOOKUP(P4788,データについて!$J$10:$M$18,9,FALSE)</f>
        <v>#N/A</v>
      </c>
      <c r="X4788" s="81" t="e">
        <f>HLOOKUP(Q4788,データについて!$J$11:$M$18,8,FALSE)</f>
        <v>#N/A</v>
      </c>
      <c r="Y4788" s="81" t="e">
        <f>HLOOKUP(R4788,データについて!$J$12:$M$18,7,FALSE)</f>
        <v>#N/A</v>
      </c>
      <c r="Z4788" s="81" t="e">
        <f>HLOOKUP(I4788,データについて!$J$3:$M$18,16,FALSE)</f>
        <v>#N/A</v>
      </c>
      <c r="AA4788" s="81" t="str">
        <f>IFERROR(HLOOKUP(J4788,データについて!$J$4:$AH$19,16,FALSE),"")</f>
        <v/>
      </c>
      <c r="AB4788" s="81" t="str">
        <f>IFERROR(HLOOKUP(K4788,データについて!$J$5:$AH$20,14,FALSE),"")</f>
        <v/>
      </c>
      <c r="AC4788" s="81" t="e">
        <f>IF(X4788=1,HLOOKUP(R4788,データについて!$J$12:$M$18,7,FALSE),"*")</f>
        <v>#N/A</v>
      </c>
      <c r="AD4788" s="81" t="e">
        <f>IF(X4788=2,HLOOKUP(R4788,データについて!$J$12:$M$18,7,FALSE),"*")</f>
        <v>#N/A</v>
      </c>
    </row>
    <row r="4789" spans="19:30">
      <c r="S4789" s="81" t="e">
        <f>HLOOKUP(L4789,データについて!$J$6:$M$18,13,FALSE)</f>
        <v>#N/A</v>
      </c>
      <c r="T4789" s="81" t="e">
        <f>HLOOKUP(M4789,データについて!$J$7:$M$18,12,FALSE)</f>
        <v>#N/A</v>
      </c>
      <c r="U4789" s="81" t="e">
        <f>HLOOKUP(N4789,データについて!$J$8:$M$18,11,FALSE)</f>
        <v>#N/A</v>
      </c>
      <c r="V4789" s="81" t="e">
        <f>HLOOKUP(O4789,データについて!$J$9:$M$18,10,FALSE)</f>
        <v>#N/A</v>
      </c>
      <c r="W4789" s="81" t="e">
        <f>HLOOKUP(P4789,データについて!$J$10:$M$18,9,FALSE)</f>
        <v>#N/A</v>
      </c>
      <c r="X4789" s="81" t="e">
        <f>HLOOKUP(Q4789,データについて!$J$11:$M$18,8,FALSE)</f>
        <v>#N/A</v>
      </c>
      <c r="Y4789" s="81" t="e">
        <f>HLOOKUP(R4789,データについて!$J$12:$M$18,7,FALSE)</f>
        <v>#N/A</v>
      </c>
      <c r="Z4789" s="81" t="e">
        <f>HLOOKUP(I4789,データについて!$J$3:$M$18,16,FALSE)</f>
        <v>#N/A</v>
      </c>
      <c r="AA4789" s="81" t="str">
        <f>IFERROR(HLOOKUP(J4789,データについて!$J$4:$AH$19,16,FALSE),"")</f>
        <v/>
      </c>
      <c r="AB4789" s="81" t="str">
        <f>IFERROR(HLOOKUP(K4789,データについて!$J$5:$AH$20,14,FALSE),"")</f>
        <v/>
      </c>
      <c r="AC4789" s="81" t="e">
        <f>IF(X4789=1,HLOOKUP(R4789,データについて!$J$12:$M$18,7,FALSE),"*")</f>
        <v>#N/A</v>
      </c>
      <c r="AD4789" s="81" t="e">
        <f>IF(X4789=2,HLOOKUP(R4789,データについて!$J$12:$M$18,7,FALSE),"*")</f>
        <v>#N/A</v>
      </c>
    </row>
    <row r="4790" spans="19:30">
      <c r="S4790" s="81" t="e">
        <f>HLOOKUP(L4790,データについて!$J$6:$M$18,13,FALSE)</f>
        <v>#N/A</v>
      </c>
      <c r="T4790" s="81" t="e">
        <f>HLOOKUP(M4790,データについて!$J$7:$M$18,12,FALSE)</f>
        <v>#N/A</v>
      </c>
      <c r="U4790" s="81" t="e">
        <f>HLOOKUP(N4790,データについて!$J$8:$M$18,11,FALSE)</f>
        <v>#N/A</v>
      </c>
      <c r="V4790" s="81" t="e">
        <f>HLOOKUP(O4790,データについて!$J$9:$M$18,10,FALSE)</f>
        <v>#N/A</v>
      </c>
      <c r="W4790" s="81" t="e">
        <f>HLOOKUP(P4790,データについて!$J$10:$M$18,9,FALSE)</f>
        <v>#N/A</v>
      </c>
      <c r="X4790" s="81" t="e">
        <f>HLOOKUP(Q4790,データについて!$J$11:$M$18,8,FALSE)</f>
        <v>#N/A</v>
      </c>
      <c r="Y4790" s="81" t="e">
        <f>HLOOKUP(R4790,データについて!$J$12:$M$18,7,FALSE)</f>
        <v>#N/A</v>
      </c>
      <c r="Z4790" s="81" t="e">
        <f>HLOOKUP(I4790,データについて!$J$3:$M$18,16,FALSE)</f>
        <v>#N/A</v>
      </c>
      <c r="AA4790" s="81" t="str">
        <f>IFERROR(HLOOKUP(J4790,データについて!$J$4:$AH$19,16,FALSE),"")</f>
        <v/>
      </c>
      <c r="AB4790" s="81" t="str">
        <f>IFERROR(HLOOKUP(K4790,データについて!$J$5:$AH$20,14,FALSE),"")</f>
        <v/>
      </c>
      <c r="AC4790" s="81" t="e">
        <f>IF(X4790=1,HLOOKUP(R4790,データについて!$J$12:$M$18,7,FALSE),"*")</f>
        <v>#N/A</v>
      </c>
      <c r="AD4790" s="81" t="e">
        <f>IF(X4790=2,HLOOKUP(R4790,データについて!$J$12:$M$18,7,FALSE),"*")</f>
        <v>#N/A</v>
      </c>
    </row>
    <row r="4791" spans="19:30">
      <c r="S4791" s="81" t="e">
        <f>HLOOKUP(L4791,データについて!$J$6:$M$18,13,FALSE)</f>
        <v>#N/A</v>
      </c>
      <c r="T4791" s="81" t="e">
        <f>HLOOKUP(M4791,データについて!$J$7:$M$18,12,FALSE)</f>
        <v>#N/A</v>
      </c>
      <c r="U4791" s="81" t="e">
        <f>HLOOKUP(N4791,データについて!$J$8:$M$18,11,FALSE)</f>
        <v>#N/A</v>
      </c>
      <c r="V4791" s="81" t="e">
        <f>HLOOKUP(O4791,データについて!$J$9:$M$18,10,FALSE)</f>
        <v>#N/A</v>
      </c>
      <c r="W4791" s="81" t="e">
        <f>HLOOKUP(P4791,データについて!$J$10:$M$18,9,FALSE)</f>
        <v>#N/A</v>
      </c>
      <c r="X4791" s="81" t="e">
        <f>HLOOKUP(Q4791,データについて!$J$11:$M$18,8,FALSE)</f>
        <v>#N/A</v>
      </c>
      <c r="Y4791" s="81" t="e">
        <f>HLOOKUP(R4791,データについて!$J$12:$M$18,7,FALSE)</f>
        <v>#N/A</v>
      </c>
      <c r="Z4791" s="81" t="e">
        <f>HLOOKUP(I4791,データについて!$J$3:$M$18,16,FALSE)</f>
        <v>#N/A</v>
      </c>
      <c r="AA4791" s="81" t="str">
        <f>IFERROR(HLOOKUP(J4791,データについて!$J$4:$AH$19,16,FALSE),"")</f>
        <v/>
      </c>
      <c r="AB4791" s="81" t="str">
        <f>IFERROR(HLOOKUP(K4791,データについて!$J$5:$AH$20,14,FALSE),"")</f>
        <v/>
      </c>
      <c r="AC4791" s="81" t="e">
        <f>IF(X4791=1,HLOOKUP(R4791,データについて!$J$12:$M$18,7,FALSE),"*")</f>
        <v>#N/A</v>
      </c>
      <c r="AD4791" s="81" t="e">
        <f>IF(X4791=2,HLOOKUP(R4791,データについて!$J$12:$M$18,7,FALSE),"*")</f>
        <v>#N/A</v>
      </c>
    </row>
    <row r="4792" spans="19:30">
      <c r="S4792" s="81" t="e">
        <f>HLOOKUP(L4792,データについて!$J$6:$M$18,13,FALSE)</f>
        <v>#N/A</v>
      </c>
      <c r="T4792" s="81" t="e">
        <f>HLOOKUP(M4792,データについて!$J$7:$M$18,12,FALSE)</f>
        <v>#N/A</v>
      </c>
      <c r="U4792" s="81" t="e">
        <f>HLOOKUP(N4792,データについて!$J$8:$M$18,11,FALSE)</f>
        <v>#N/A</v>
      </c>
      <c r="V4792" s="81" t="e">
        <f>HLOOKUP(O4792,データについて!$J$9:$M$18,10,FALSE)</f>
        <v>#N/A</v>
      </c>
      <c r="W4792" s="81" t="e">
        <f>HLOOKUP(P4792,データについて!$J$10:$M$18,9,FALSE)</f>
        <v>#N/A</v>
      </c>
      <c r="X4792" s="81" t="e">
        <f>HLOOKUP(Q4792,データについて!$J$11:$M$18,8,FALSE)</f>
        <v>#N/A</v>
      </c>
      <c r="Y4792" s="81" t="e">
        <f>HLOOKUP(R4792,データについて!$J$12:$M$18,7,FALSE)</f>
        <v>#N/A</v>
      </c>
      <c r="Z4792" s="81" t="e">
        <f>HLOOKUP(I4792,データについて!$J$3:$M$18,16,FALSE)</f>
        <v>#N/A</v>
      </c>
      <c r="AA4792" s="81" t="str">
        <f>IFERROR(HLOOKUP(J4792,データについて!$J$4:$AH$19,16,FALSE),"")</f>
        <v/>
      </c>
      <c r="AB4792" s="81" t="str">
        <f>IFERROR(HLOOKUP(K4792,データについて!$J$5:$AH$20,14,FALSE),"")</f>
        <v/>
      </c>
      <c r="AC4792" s="81" t="e">
        <f>IF(X4792=1,HLOOKUP(R4792,データについて!$J$12:$M$18,7,FALSE),"*")</f>
        <v>#N/A</v>
      </c>
      <c r="AD4792" s="81" t="e">
        <f>IF(X4792=2,HLOOKUP(R4792,データについて!$J$12:$M$18,7,FALSE),"*")</f>
        <v>#N/A</v>
      </c>
    </row>
    <row r="4793" spans="19:30">
      <c r="S4793" s="81" t="e">
        <f>HLOOKUP(L4793,データについて!$J$6:$M$18,13,FALSE)</f>
        <v>#N/A</v>
      </c>
      <c r="T4793" s="81" t="e">
        <f>HLOOKUP(M4793,データについて!$J$7:$M$18,12,FALSE)</f>
        <v>#N/A</v>
      </c>
      <c r="U4793" s="81" t="e">
        <f>HLOOKUP(N4793,データについて!$J$8:$M$18,11,FALSE)</f>
        <v>#N/A</v>
      </c>
      <c r="V4793" s="81" t="e">
        <f>HLOOKUP(O4793,データについて!$J$9:$M$18,10,FALSE)</f>
        <v>#N/A</v>
      </c>
      <c r="W4793" s="81" t="e">
        <f>HLOOKUP(P4793,データについて!$J$10:$M$18,9,FALSE)</f>
        <v>#N/A</v>
      </c>
      <c r="X4793" s="81" t="e">
        <f>HLOOKUP(Q4793,データについて!$J$11:$M$18,8,FALSE)</f>
        <v>#N/A</v>
      </c>
      <c r="Y4793" s="81" t="e">
        <f>HLOOKUP(R4793,データについて!$J$12:$M$18,7,FALSE)</f>
        <v>#N/A</v>
      </c>
      <c r="Z4793" s="81" t="e">
        <f>HLOOKUP(I4793,データについて!$J$3:$M$18,16,FALSE)</f>
        <v>#N/A</v>
      </c>
      <c r="AA4793" s="81" t="str">
        <f>IFERROR(HLOOKUP(J4793,データについて!$J$4:$AH$19,16,FALSE),"")</f>
        <v/>
      </c>
      <c r="AB4793" s="81" t="str">
        <f>IFERROR(HLOOKUP(K4793,データについて!$J$5:$AH$20,14,FALSE),"")</f>
        <v/>
      </c>
      <c r="AC4793" s="81" t="e">
        <f>IF(X4793=1,HLOOKUP(R4793,データについて!$J$12:$M$18,7,FALSE),"*")</f>
        <v>#N/A</v>
      </c>
      <c r="AD4793" s="81" t="e">
        <f>IF(X4793=2,HLOOKUP(R4793,データについて!$J$12:$M$18,7,FALSE),"*")</f>
        <v>#N/A</v>
      </c>
    </row>
    <row r="4794" spans="19:30">
      <c r="S4794" s="81" t="e">
        <f>HLOOKUP(L4794,データについて!$J$6:$M$18,13,FALSE)</f>
        <v>#N/A</v>
      </c>
      <c r="T4794" s="81" t="e">
        <f>HLOOKUP(M4794,データについて!$J$7:$M$18,12,FALSE)</f>
        <v>#N/A</v>
      </c>
      <c r="U4794" s="81" t="e">
        <f>HLOOKUP(N4794,データについて!$J$8:$M$18,11,FALSE)</f>
        <v>#N/A</v>
      </c>
      <c r="V4794" s="81" t="e">
        <f>HLOOKUP(O4794,データについて!$J$9:$M$18,10,FALSE)</f>
        <v>#N/A</v>
      </c>
      <c r="W4794" s="81" t="e">
        <f>HLOOKUP(P4794,データについて!$J$10:$M$18,9,FALSE)</f>
        <v>#N/A</v>
      </c>
      <c r="X4794" s="81" t="e">
        <f>HLOOKUP(Q4794,データについて!$J$11:$M$18,8,FALSE)</f>
        <v>#N/A</v>
      </c>
      <c r="Y4794" s="81" t="e">
        <f>HLOOKUP(R4794,データについて!$J$12:$M$18,7,FALSE)</f>
        <v>#N/A</v>
      </c>
      <c r="Z4794" s="81" t="e">
        <f>HLOOKUP(I4794,データについて!$J$3:$M$18,16,FALSE)</f>
        <v>#N/A</v>
      </c>
      <c r="AA4794" s="81" t="str">
        <f>IFERROR(HLOOKUP(J4794,データについて!$J$4:$AH$19,16,FALSE),"")</f>
        <v/>
      </c>
      <c r="AB4794" s="81" t="str">
        <f>IFERROR(HLOOKUP(K4794,データについて!$J$5:$AH$20,14,FALSE),"")</f>
        <v/>
      </c>
      <c r="AC4794" s="81" t="e">
        <f>IF(X4794=1,HLOOKUP(R4794,データについて!$J$12:$M$18,7,FALSE),"*")</f>
        <v>#N/A</v>
      </c>
      <c r="AD4794" s="81" t="e">
        <f>IF(X4794=2,HLOOKUP(R4794,データについて!$J$12:$M$18,7,FALSE),"*")</f>
        <v>#N/A</v>
      </c>
    </row>
    <row r="4795" spans="19:30">
      <c r="S4795" s="81" t="e">
        <f>HLOOKUP(L4795,データについて!$J$6:$M$18,13,FALSE)</f>
        <v>#N/A</v>
      </c>
      <c r="T4795" s="81" t="e">
        <f>HLOOKUP(M4795,データについて!$J$7:$M$18,12,FALSE)</f>
        <v>#N/A</v>
      </c>
      <c r="U4795" s="81" t="e">
        <f>HLOOKUP(N4795,データについて!$J$8:$M$18,11,FALSE)</f>
        <v>#N/A</v>
      </c>
      <c r="V4795" s="81" t="e">
        <f>HLOOKUP(O4795,データについて!$J$9:$M$18,10,FALSE)</f>
        <v>#N/A</v>
      </c>
      <c r="W4795" s="81" t="e">
        <f>HLOOKUP(P4795,データについて!$J$10:$M$18,9,FALSE)</f>
        <v>#N/A</v>
      </c>
      <c r="X4795" s="81" t="e">
        <f>HLOOKUP(Q4795,データについて!$J$11:$M$18,8,FALSE)</f>
        <v>#N/A</v>
      </c>
      <c r="Y4795" s="81" t="e">
        <f>HLOOKUP(R4795,データについて!$J$12:$M$18,7,FALSE)</f>
        <v>#N/A</v>
      </c>
      <c r="Z4795" s="81" t="e">
        <f>HLOOKUP(I4795,データについて!$J$3:$M$18,16,FALSE)</f>
        <v>#N/A</v>
      </c>
      <c r="AA4795" s="81" t="str">
        <f>IFERROR(HLOOKUP(J4795,データについて!$J$4:$AH$19,16,FALSE),"")</f>
        <v/>
      </c>
      <c r="AB4795" s="81" t="str">
        <f>IFERROR(HLOOKUP(K4795,データについて!$J$5:$AH$20,14,FALSE),"")</f>
        <v/>
      </c>
      <c r="AC4795" s="81" t="e">
        <f>IF(X4795=1,HLOOKUP(R4795,データについて!$J$12:$M$18,7,FALSE),"*")</f>
        <v>#N/A</v>
      </c>
      <c r="AD4795" s="81" t="e">
        <f>IF(X4795=2,HLOOKUP(R4795,データについて!$J$12:$M$18,7,FALSE),"*")</f>
        <v>#N/A</v>
      </c>
    </row>
    <row r="4796" spans="19:30">
      <c r="S4796" s="81" t="e">
        <f>HLOOKUP(L4796,データについて!$J$6:$M$18,13,FALSE)</f>
        <v>#N/A</v>
      </c>
      <c r="T4796" s="81" t="e">
        <f>HLOOKUP(M4796,データについて!$J$7:$M$18,12,FALSE)</f>
        <v>#N/A</v>
      </c>
      <c r="U4796" s="81" t="e">
        <f>HLOOKUP(N4796,データについて!$J$8:$M$18,11,FALSE)</f>
        <v>#N/A</v>
      </c>
      <c r="V4796" s="81" t="e">
        <f>HLOOKUP(O4796,データについて!$J$9:$M$18,10,FALSE)</f>
        <v>#N/A</v>
      </c>
      <c r="W4796" s="81" t="e">
        <f>HLOOKUP(P4796,データについて!$J$10:$M$18,9,FALSE)</f>
        <v>#N/A</v>
      </c>
      <c r="X4796" s="81" t="e">
        <f>HLOOKUP(Q4796,データについて!$J$11:$M$18,8,FALSE)</f>
        <v>#N/A</v>
      </c>
      <c r="Y4796" s="81" t="e">
        <f>HLOOKUP(R4796,データについて!$J$12:$M$18,7,FALSE)</f>
        <v>#N/A</v>
      </c>
      <c r="Z4796" s="81" t="e">
        <f>HLOOKUP(I4796,データについて!$J$3:$M$18,16,FALSE)</f>
        <v>#N/A</v>
      </c>
      <c r="AA4796" s="81" t="str">
        <f>IFERROR(HLOOKUP(J4796,データについて!$J$4:$AH$19,16,FALSE),"")</f>
        <v/>
      </c>
      <c r="AB4796" s="81" t="str">
        <f>IFERROR(HLOOKUP(K4796,データについて!$J$5:$AH$20,14,FALSE),"")</f>
        <v/>
      </c>
      <c r="AC4796" s="81" t="e">
        <f>IF(X4796=1,HLOOKUP(R4796,データについて!$J$12:$M$18,7,FALSE),"*")</f>
        <v>#N/A</v>
      </c>
      <c r="AD4796" s="81" t="e">
        <f>IF(X4796=2,HLOOKUP(R4796,データについて!$J$12:$M$18,7,FALSE),"*")</f>
        <v>#N/A</v>
      </c>
    </row>
    <row r="4797" spans="19:30">
      <c r="S4797" s="81" t="e">
        <f>HLOOKUP(L4797,データについて!$J$6:$M$18,13,FALSE)</f>
        <v>#N/A</v>
      </c>
      <c r="T4797" s="81" t="e">
        <f>HLOOKUP(M4797,データについて!$J$7:$M$18,12,FALSE)</f>
        <v>#N/A</v>
      </c>
      <c r="U4797" s="81" t="e">
        <f>HLOOKUP(N4797,データについて!$J$8:$M$18,11,FALSE)</f>
        <v>#N/A</v>
      </c>
      <c r="V4797" s="81" t="e">
        <f>HLOOKUP(O4797,データについて!$J$9:$M$18,10,FALSE)</f>
        <v>#N/A</v>
      </c>
      <c r="W4797" s="81" t="e">
        <f>HLOOKUP(P4797,データについて!$J$10:$M$18,9,FALSE)</f>
        <v>#N/A</v>
      </c>
      <c r="X4797" s="81" t="e">
        <f>HLOOKUP(Q4797,データについて!$J$11:$M$18,8,FALSE)</f>
        <v>#N/A</v>
      </c>
      <c r="Y4797" s="81" t="e">
        <f>HLOOKUP(R4797,データについて!$J$12:$M$18,7,FALSE)</f>
        <v>#N/A</v>
      </c>
      <c r="Z4797" s="81" t="e">
        <f>HLOOKUP(I4797,データについて!$J$3:$M$18,16,FALSE)</f>
        <v>#N/A</v>
      </c>
      <c r="AA4797" s="81" t="str">
        <f>IFERROR(HLOOKUP(J4797,データについて!$J$4:$AH$19,16,FALSE),"")</f>
        <v/>
      </c>
      <c r="AB4797" s="81" t="str">
        <f>IFERROR(HLOOKUP(K4797,データについて!$J$5:$AH$20,14,FALSE),"")</f>
        <v/>
      </c>
      <c r="AC4797" s="81" t="e">
        <f>IF(X4797=1,HLOOKUP(R4797,データについて!$J$12:$M$18,7,FALSE),"*")</f>
        <v>#N/A</v>
      </c>
      <c r="AD4797" s="81" t="e">
        <f>IF(X4797=2,HLOOKUP(R4797,データについて!$J$12:$M$18,7,FALSE),"*")</f>
        <v>#N/A</v>
      </c>
    </row>
    <row r="4798" spans="19:30">
      <c r="S4798" s="81" t="e">
        <f>HLOOKUP(L4798,データについて!$J$6:$M$18,13,FALSE)</f>
        <v>#N/A</v>
      </c>
      <c r="T4798" s="81" t="e">
        <f>HLOOKUP(M4798,データについて!$J$7:$M$18,12,FALSE)</f>
        <v>#N/A</v>
      </c>
      <c r="U4798" s="81" t="e">
        <f>HLOOKUP(N4798,データについて!$J$8:$M$18,11,FALSE)</f>
        <v>#N/A</v>
      </c>
      <c r="V4798" s="81" t="e">
        <f>HLOOKUP(O4798,データについて!$J$9:$M$18,10,FALSE)</f>
        <v>#N/A</v>
      </c>
      <c r="W4798" s="81" t="e">
        <f>HLOOKUP(P4798,データについて!$J$10:$M$18,9,FALSE)</f>
        <v>#N/A</v>
      </c>
      <c r="X4798" s="81" t="e">
        <f>HLOOKUP(Q4798,データについて!$J$11:$M$18,8,FALSE)</f>
        <v>#N/A</v>
      </c>
      <c r="Y4798" s="81" t="e">
        <f>HLOOKUP(R4798,データについて!$J$12:$M$18,7,FALSE)</f>
        <v>#N/A</v>
      </c>
      <c r="Z4798" s="81" t="e">
        <f>HLOOKUP(I4798,データについて!$J$3:$M$18,16,FALSE)</f>
        <v>#N/A</v>
      </c>
      <c r="AA4798" s="81" t="str">
        <f>IFERROR(HLOOKUP(J4798,データについて!$J$4:$AH$19,16,FALSE),"")</f>
        <v/>
      </c>
      <c r="AB4798" s="81" t="str">
        <f>IFERROR(HLOOKUP(K4798,データについて!$J$5:$AH$20,14,FALSE),"")</f>
        <v/>
      </c>
      <c r="AC4798" s="81" t="e">
        <f>IF(X4798=1,HLOOKUP(R4798,データについて!$J$12:$M$18,7,FALSE),"*")</f>
        <v>#N/A</v>
      </c>
      <c r="AD4798" s="81" t="e">
        <f>IF(X4798=2,HLOOKUP(R4798,データについて!$J$12:$M$18,7,FALSE),"*")</f>
        <v>#N/A</v>
      </c>
    </row>
    <row r="4799" spans="19:30">
      <c r="S4799" s="81" t="e">
        <f>HLOOKUP(L4799,データについて!$J$6:$M$18,13,FALSE)</f>
        <v>#N/A</v>
      </c>
      <c r="T4799" s="81" t="e">
        <f>HLOOKUP(M4799,データについて!$J$7:$M$18,12,FALSE)</f>
        <v>#N/A</v>
      </c>
      <c r="U4799" s="81" t="e">
        <f>HLOOKUP(N4799,データについて!$J$8:$M$18,11,FALSE)</f>
        <v>#N/A</v>
      </c>
      <c r="V4799" s="81" t="e">
        <f>HLOOKUP(O4799,データについて!$J$9:$M$18,10,FALSE)</f>
        <v>#N/A</v>
      </c>
      <c r="W4799" s="81" t="e">
        <f>HLOOKUP(P4799,データについて!$J$10:$M$18,9,FALSE)</f>
        <v>#N/A</v>
      </c>
      <c r="X4799" s="81" t="e">
        <f>HLOOKUP(Q4799,データについて!$J$11:$M$18,8,FALSE)</f>
        <v>#N/A</v>
      </c>
      <c r="Y4799" s="81" t="e">
        <f>HLOOKUP(R4799,データについて!$J$12:$M$18,7,FALSE)</f>
        <v>#N/A</v>
      </c>
      <c r="Z4799" s="81" t="e">
        <f>HLOOKUP(I4799,データについて!$J$3:$M$18,16,FALSE)</f>
        <v>#N/A</v>
      </c>
      <c r="AA4799" s="81" t="str">
        <f>IFERROR(HLOOKUP(J4799,データについて!$J$4:$AH$19,16,FALSE),"")</f>
        <v/>
      </c>
      <c r="AB4799" s="81" t="str">
        <f>IFERROR(HLOOKUP(K4799,データについて!$J$5:$AH$20,14,FALSE),"")</f>
        <v/>
      </c>
      <c r="AC4799" s="81" t="e">
        <f>IF(X4799=1,HLOOKUP(R4799,データについて!$J$12:$M$18,7,FALSE),"*")</f>
        <v>#N/A</v>
      </c>
      <c r="AD4799" s="81" t="e">
        <f>IF(X4799=2,HLOOKUP(R4799,データについて!$J$12:$M$18,7,FALSE),"*")</f>
        <v>#N/A</v>
      </c>
    </row>
    <row r="4800" spans="19:30">
      <c r="S4800" s="81" t="e">
        <f>HLOOKUP(L4800,データについて!$J$6:$M$18,13,FALSE)</f>
        <v>#N/A</v>
      </c>
      <c r="T4800" s="81" t="e">
        <f>HLOOKUP(M4800,データについて!$J$7:$M$18,12,FALSE)</f>
        <v>#N/A</v>
      </c>
      <c r="U4800" s="81" t="e">
        <f>HLOOKUP(N4800,データについて!$J$8:$M$18,11,FALSE)</f>
        <v>#N/A</v>
      </c>
      <c r="V4800" s="81" t="e">
        <f>HLOOKUP(O4800,データについて!$J$9:$M$18,10,FALSE)</f>
        <v>#N/A</v>
      </c>
      <c r="W4800" s="81" t="e">
        <f>HLOOKUP(P4800,データについて!$J$10:$M$18,9,FALSE)</f>
        <v>#N/A</v>
      </c>
      <c r="X4800" s="81" t="e">
        <f>HLOOKUP(Q4800,データについて!$J$11:$M$18,8,FALSE)</f>
        <v>#N/A</v>
      </c>
      <c r="Y4800" s="81" t="e">
        <f>HLOOKUP(R4800,データについて!$J$12:$M$18,7,FALSE)</f>
        <v>#N/A</v>
      </c>
      <c r="Z4800" s="81" t="e">
        <f>HLOOKUP(I4800,データについて!$J$3:$M$18,16,FALSE)</f>
        <v>#N/A</v>
      </c>
      <c r="AA4800" s="81" t="str">
        <f>IFERROR(HLOOKUP(J4800,データについて!$J$4:$AH$19,16,FALSE),"")</f>
        <v/>
      </c>
      <c r="AB4800" s="81" t="str">
        <f>IFERROR(HLOOKUP(K4800,データについて!$J$5:$AH$20,14,FALSE),"")</f>
        <v/>
      </c>
      <c r="AC4800" s="81" t="e">
        <f>IF(X4800=1,HLOOKUP(R4800,データについて!$J$12:$M$18,7,FALSE),"*")</f>
        <v>#N/A</v>
      </c>
      <c r="AD4800" s="81" t="e">
        <f>IF(X4800=2,HLOOKUP(R4800,データについて!$J$12:$M$18,7,FALSE),"*")</f>
        <v>#N/A</v>
      </c>
    </row>
    <row r="4801" spans="19:30">
      <c r="S4801" s="81" t="e">
        <f>HLOOKUP(L4801,データについて!$J$6:$M$18,13,FALSE)</f>
        <v>#N/A</v>
      </c>
      <c r="T4801" s="81" t="e">
        <f>HLOOKUP(M4801,データについて!$J$7:$M$18,12,FALSE)</f>
        <v>#N/A</v>
      </c>
      <c r="U4801" s="81" t="e">
        <f>HLOOKUP(N4801,データについて!$J$8:$M$18,11,FALSE)</f>
        <v>#N/A</v>
      </c>
      <c r="V4801" s="81" t="e">
        <f>HLOOKUP(O4801,データについて!$J$9:$M$18,10,FALSE)</f>
        <v>#N/A</v>
      </c>
      <c r="W4801" s="81" t="e">
        <f>HLOOKUP(P4801,データについて!$J$10:$M$18,9,FALSE)</f>
        <v>#N/A</v>
      </c>
      <c r="X4801" s="81" t="e">
        <f>HLOOKUP(Q4801,データについて!$J$11:$M$18,8,FALSE)</f>
        <v>#N/A</v>
      </c>
      <c r="Y4801" s="81" t="e">
        <f>HLOOKUP(R4801,データについて!$J$12:$M$18,7,FALSE)</f>
        <v>#N/A</v>
      </c>
      <c r="Z4801" s="81" t="e">
        <f>HLOOKUP(I4801,データについて!$J$3:$M$18,16,FALSE)</f>
        <v>#N/A</v>
      </c>
      <c r="AA4801" s="81" t="str">
        <f>IFERROR(HLOOKUP(J4801,データについて!$J$4:$AH$19,16,FALSE),"")</f>
        <v/>
      </c>
      <c r="AB4801" s="81" t="str">
        <f>IFERROR(HLOOKUP(K4801,データについて!$J$5:$AH$20,14,FALSE),"")</f>
        <v/>
      </c>
      <c r="AC4801" s="81" t="e">
        <f>IF(X4801=1,HLOOKUP(R4801,データについて!$J$12:$M$18,7,FALSE),"*")</f>
        <v>#N/A</v>
      </c>
      <c r="AD4801" s="81" t="e">
        <f>IF(X4801=2,HLOOKUP(R4801,データについて!$J$12:$M$18,7,FALSE),"*")</f>
        <v>#N/A</v>
      </c>
    </row>
    <row r="4802" spans="19:30">
      <c r="S4802" s="81" t="e">
        <f>HLOOKUP(L4802,データについて!$J$6:$M$18,13,FALSE)</f>
        <v>#N/A</v>
      </c>
      <c r="T4802" s="81" t="e">
        <f>HLOOKUP(M4802,データについて!$J$7:$M$18,12,FALSE)</f>
        <v>#N/A</v>
      </c>
      <c r="U4802" s="81" t="e">
        <f>HLOOKUP(N4802,データについて!$J$8:$M$18,11,FALSE)</f>
        <v>#N/A</v>
      </c>
      <c r="V4802" s="81" t="e">
        <f>HLOOKUP(O4802,データについて!$J$9:$M$18,10,FALSE)</f>
        <v>#N/A</v>
      </c>
      <c r="W4802" s="81" t="e">
        <f>HLOOKUP(P4802,データについて!$J$10:$M$18,9,FALSE)</f>
        <v>#N/A</v>
      </c>
      <c r="X4802" s="81" t="e">
        <f>HLOOKUP(Q4802,データについて!$J$11:$M$18,8,FALSE)</f>
        <v>#N/A</v>
      </c>
      <c r="Y4802" s="81" t="e">
        <f>HLOOKUP(R4802,データについて!$J$12:$M$18,7,FALSE)</f>
        <v>#N/A</v>
      </c>
      <c r="Z4802" s="81" t="e">
        <f>HLOOKUP(I4802,データについて!$J$3:$M$18,16,FALSE)</f>
        <v>#N/A</v>
      </c>
      <c r="AA4802" s="81" t="str">
        <f>IFERROR(HLOOKUP(J4802,データについて!$J$4:$AH$19,16,FALSE),"")</f>
        <v/>
      </c>
      <c r="AB4802" s="81" t="str">
        <f>IFERROR(HLOOKUP(K4802,データについて!$J$5:$AH$20,14,FALSE),"")</f>
        <v/>
      </c>
      <c r="AC4802" s="81" t="e">
        <f>IF(X4802=1,HLOOKUP(R4802,データについて!$J$12:$M$18,7,FALSE),"*")</f>
        <v>#N/A</v>
      </c>
      <c r="AD4802" s="81" t="e">
        <f>IF(X4802=2,HLOOKUP(R4802,データについて!$J$12:$M$18,7,FALSE),"*")</f>
        <v>#N/A</v>
      </c>
    </row>
    <row r="4803" spans="19:30">
      <c r="S4803" s="81" t="e">
        <f>HLOOKUP(L4803,データについて!$J$6:$M$18,13,FALSE)</f>
        <v>#N/A</v>
      </c>
      <c r="T4803" s="81" t="e">
        <f>HLOOKUP(M4803,データについて!$J$7:$M$18,12,FALSE)</f>
        <v>#N/A</v>
      </c>
      <c r="U4803" s="81" t="e">
        <f>HLOOKUP(N4803,データについて!$J$8:$M$18,11,FALSE)</f>
        <v>#N/A</v>
      </c>
      <c r="V4803" s="81" t="e">
        <f>HLOOKUP(O4803,データについて!$J$9:$M$18,10,FALSE)</f>
        <v>#N/A</v>
      </c>
      <c r="W4803" s="81" t="e">
        <f>HLOOKUP(P4803,データについて!$J$10:$M$18,9,FALSE)</f>
        <v>#N/A</v>
      </c>
      <c r="X4803" s="81" t="e">
        <f>HLOOKUP(Q4803,データについて!$J$11:$M$18,8,FALSE)</f>
        <v>#N/A</v>
      </c>
      <c r="Y4803" s="81" t="e">
        <f>HLOOKUP(R4803,データについて!$J$12:$M$18,7,FALSE)</f>
        <v>#N/A</v>
      </c>
      <c r="Z4803" s="81" t="e">
        <f>HLOOKUP(I4803,データについて!$J$3:$M$18,16,FALSE)</f>
        <v>#N/A</v>
      </c>
      <c r="AA4803" s="81" t="str">
        <f>IFERROR(HLOOKUP(J4803,データについて!$J$4:$AH$19,16,FALSE),"")</f>
        <v/>
      </c>
      <c r="AB4803" s="81" t="str">
        <f>IFERROR(HLOOKUP(K4803,データについて!$J$5:$AH$20,14,FALSE),"")</f>
        <v/>
      </c>
      <c r="AC4803" s="81" t="e">
        <f>IF(X4803=1,HLOOKUP(R4803,データについて!$J$12:$M$18,7,FALSE),"*")</f>
        <v>#N/A</v>
      </c>
      <c r="AD4803" s="81" t="e">
        <f>IF(X4803=2,HLOOKUP(R4803,データについて!$J$12:$M$18,7,FALSE),"*")</f>
        <v>#N/A</v>
      </c>
    </row>
    <row r="4804" spans="19:30">
      <c r="S4804" s="81" t="e">
        <f>HLOOKUP(L4804,データについて!$J$6:$M$18,13,FALSE)</f>
        <v>#N/A</v>
      </c>
      <c r="T4804" s="81" t="e">
        <f>HLOOKUP(M4804,データについて!$J$7:$M$18,12,FALSE)</f>
        <v>#N/A</v>
      </c>
      <c r="U4804" s="81" t="e">
        <f>HLOOKUP(N4804,データについて!$J$8:$M$18,11,FALSE)</f>
        <v>#N/A</v>
      </c>
      <c r="V4804" s="81" t="e">
        <f>HLOOKUP(O4804,データについて!$J$9:$M$18,10,FALSE)</f>
        <v>#N/A</v>
      </c>
      <c r="W4804" s="81" t="e">
        <f>HLOOKUP(P4804,データについて!$J$10:$M$18,9,FALSE)</f>
        <v>#N/A</v>
      </c>
      <c r="X4804" s="81" t="e">
        <f>HLOOKUP(Q4804,データについて!$J$11:$M$18,8,FALSE)</f>
        <v>#N/A</v>
      </c>
      <c r="Y4804" s="81" t="e">
        <f>HLOOKUP(R4804,データについて!$J$12:$M$18,7,FALSE)</f>
        <v>#N/A</v>
      </c>
      <c r="Z4804" s="81" t="e">
        <f>HLOOKUP(I4804,データについて!$J$3:$M$18,16,FALSE)</f>
        <v>#N/A</v>
      </c>
      <c r="AA4804" s="81" t="str">
        <f>IFERROR(HLOOKUP(J4804,データについて!$J$4:$AH$19,16,FALSE),"")</f>
        <v/>
      </c>
      <c r="AB4804" s="81" t="str">
        <f>IFERROR(HLOOKUP(K4804,データについて!$J$5:$AH$20,14,FALSE),"")</f>
        <v/>
      </c>
      <c r="AC4804" s="81" t="e">
        <f>IF(X4804=1,HLOOKUP(R4804,データについて!$J$12:$M$18,7,FALSE),"*")</f>
        <v>#N/A</v>
      </c>
      <c r="AD4804" s="81" t="e">
        <f>IF(X4804=2,HLOOKUP(R4804,データについて!$J$12:$M$18,7,FALSE),"*")</f>
        <v>#N/A</v>
      </c>
    </row>
    <row r="4805" spans="19:30">
      <c r="S4805" s="81" t="e">
        <f>HLOOKUP(L4805,データについて!$J$6:$M$18,13,FALSE)</f>
        <v>#N/A</v>
      </c>
      <c r="T4805" s="81" t="e">
        <f>HLOOKUP(M4805,データについて!$J$7:$M$18,12,FALSE)</f>
        <v>#N/A</v>
      </c>
      <c r="U4805" s="81" t="e">
        <f>HLOOKUP(N4805,データについて!$J$8:$M$18,11,FALSE)</f>
        <v>#N/A</v>
      </c>
      <c r="V4805" s="81" t="e">
        <f>HLOOKUP(O4805,データについて!$J$9:$M$18,10,FALSE)</f>
        <v>#N/A</v>
      </c>
      <c r="W4805" s="81" t="e">
        <f>HLOOKUP(P4805,データについて!$J$10:$M$18,9,FALSE)</f>
        <v>#N/A</v>
      </c>
      <c r="X4805" s="81" t="e">
        <f>HLOOKUP(Q4805,データについて!$J$11:$M$18,8,FALSE)</f>
        <v>#N/A</v>
      </c>
      <c r="Y4805" s="81" t="e">
        <f>HLOOKUP(R4805,データについて!$J$12:$M$18,7,FALSE)</f>
        <v>#N/A</v>
      </c>
      <c r="Z4805" s="81" t="e">
        <f>HLOOKUP(I4805,データについて!$J$3:$M$18,16,FALSE)</f>
        <v>#N/A</v>
      </c>
      <c r="AA4805" s="81" t="str">
        <f>IFERROR(HLOOKUP(J4805,データについて!$J$4:$AH$19,16,FALSE),"")</f>
        <v/>
      </c>
      <c r="AB4805" s="81" t="str">
        <f>IFERROR(HLOOKUP(K4805,データについて!$J$5:$AH$20,14,FALSE),"")</f>
        <v/>
      </c>
      <c r="AC4805" s="81" t="e">
        <f>IF(X4805=1,HLOOKUP(R4805,データについて!$J$12:$M$18,7,FALSE),"*")</f>
        <v>#N/A</v>
      </c>
      <c r="AD4805" s="81" t="e">
        <f>IF(X4805=2,HLOOKUP(R4805,データについて!$J$12:$M$18,7,FALSE),"*")</f>
        <v>#N/A</v>
      </c>
    </row>
    <row r="4806" spans="19:30">
      <c r="S4806" s="81" t="e">
        <f>HLOOKUP(L4806,データについて!$J$6:$M$18,13,FALSE)</f>
        <v>#N/A</v>
      </c>
      <c r="T4806" s="81" t="e">
        <f>HLOOKUP(M4806,データについて!$J$7:$M$18,12,FALSE)</f>
        <v>#N/A</v>
      </c>
      <c r="U4806" s="81" t="e">
        <f>HLOOKUP(N4806,データについて!$J$8:$M$18,11,FALSE)</f>
        <v>#N/A</v>
      </c>
      <c r="V4806" s="81" t="e">
        <f>HLOOKUP(O4806,データについて!$J$9:$M$18,10,FALSE)</f>
        <v>#N/A</v>
      </c>
      <c r="W4806" s="81" t="e">
        <f>HLOOKUP(P4806,データについて!$J$10:$M$18,9,FALSE)</f>
        <v>#N/A</v>
      </c>
      <c r="X4806" s="81" t="e">
        <f>HLOOKUP(Q4806,データについて!$J$11:$M$18,8,FALSE)</f>
        <v>#N/A</v>
      </c>
      <c r="Y4806" s="81" t="e">
        <f>HLOOKUP(R4806,データについて!$J$12:$M$18,7,FALSE)</f>
        <v>#N/A</v>
      </c>
      <c r="Z4806" s="81" t="e">
        <f>HLOOKUP(I4806,データについて!$J$3:$M$18,16,FALSE)</f>
        <v>#N/A</v>
      </c>
      <c r="AA4806" s="81" t="str">
        <f>IFERROR(HLOOKUP(J4806,データについて!$J$4:$AH$19,16,FALSE),"")</f>
        <v/>
      </c>
      <c r="AB4806" s="81" t="str">
        <f>IFERROR(HLOOKUP(K4806,データについて!$J$5:$AH$20,14,FALSE),"")</f>
        <v/>
      </c>
      <c r="AC4806" s="81" t="e">
        <f>IF(X4806=1,HLOOKUP(R4806,データについて!$J$12:$M$18,7,FALSE),"*")</f>
        <v>#N/A</v>
      </c>
      <c r="AD4806" s="81" t="e">
        <f>IF(X4806=2,HLOOKUP(R4806,データについて!$J$12:$M$18,7,FALSE),"*")</f>
        <v>#N/A</v>
      </c>
    </row>
    <row r="4807" spans="19:30">
      <c r="S4807" s="81" t="e">
        <f>HLOOKUP(L4807,データについて!$J$6:$M$18,13,FALSE)</f>
        <v>#N/A</v>
      </c>
      <c r="T4807" s="81" t="e">
        <f>HLOOKUP(M4807,データについて!$J$7:$M$18,12,FALSE)</f>
        <v>#N/A</v>
      </c>
      <c r="U4807" s="81" t="e">
        <f>HLOOKUP(N4807,データについて!$J$8:$M$18,11,FALSE)</f>
        <v>#N/A</v>
      </c>
      <c r="V4807" s="81" t="e">
        <f>HLOOKUP(O4807,データについて!$J$9:$M$18,10,FALSE)</f>
        <v>#N/A</v>
      </c>
      <c r="W4807" s="81" t="e">
        <f>HLOOKUP(P4807,データについて!$J$10:$M$18,9,FALSE)</f>
        <v>#N/A</v>
      </c>
      <c r="X4807" s="81" t="e">
        <f>HLOOKUP(Q4807,データについて!$J$11:$M$18,8,FALSE)</f>
        <v>#N/A</v>
      </c>
      <c r="Y4807" s="81" t="e">
        <f>HLOOKUP(R4807,データについて!$J$12:$M$18,7,FALSE)</f>
        <v>#N/A</v>
      </c>
      <c r="Z4807" s="81" t="e">
        <f>HLOOKUP(I4807,データについて!$J$3:$M$18,16,FALSE)</f>
        <v>#N/A</v>
      </c>
      <c r="AA4807" s="81" t="str">
        <f>IFERROR(HLOOKUP(J4807,データについて!$J$4:$AH$19,16,FALSE),"")</f>
        <v/>
      </c>
      <c r="AB4807" s="81" t="str">
        <f>IFERROR(HLOOKUP(K4807,データについて!$J$5:$AH$20,14,FALSE),"")</f>
        <v/>
      </c>
      <c r="AC4807" s="81" t="e">
        <f>IF(X4807=1,HLOOKUP(R4807,データについて!$J$12:$M$18,7,FALSE),"*")</f>
        <v>#N/A</v>
      </c>
      <c r="AD4807" s="81" t="e">
        <f>IF(X4807=2,HLOOKUP(R4807,データについて!$J$12:$M$18,7,FALSE),"*")</f>
        <v>#N/A</v>
      </c>
    </row>
    <row r="4808" spans="19:30">
      <c r="S4808" s="81" t="e">
        <f>HLOOKUP(L4808,データについて!$J$6:$M$18,13,FALSE)</f>
        <v>#N/A</v>
      </c>
      <c r="T4808" s="81" t="e">
        <f>HLOOKUP(M4808,データについて!$J$7:$M$18,12,FALSE)</f>
        <v>#N/A</v>
      </c>
      <c r="U4808" s="81" t="e">
        <f>HLOOKUP(N4808,データについて!$J$8:$M$18,11,FALSE)</f>
        <v>#N/A</v>
      </c>
      <c r="V4808" s="81" t="e">
        <f>HLOOKUP(O4808,データについて!$J$9:$M$18,10,FALSE)</f>
        <v>#N/A</v>
      </c>
      <c r="W4808" s="81" t="e">
        <f>HLOOKUP(P4808,データについて!$J$10:$M$18,9,FALSE)</f>
        <v>#N/A</v>
      </c>
      <c r="X4808" s="81" t="e">
        <f>HLOOKUP(Q4808,データについて!$J$11:$M$18,8,FALSE)</f>
        <v>#N/A</v>
      </c>
      <c r="Y4808" s="81" t="e">
        <f>HLOOKUP(R4808,データについて!$J$12:$M$18,7,FALSE)</f>
        <v>#N/A</v>
      </c>
      <c r="Z4808" s="81" t="e">
        <f>HLOOKUP(I4808,データについて!$J$3:$M$18,16,FALSE)</f>
        <v>#N/A</v>
      </c>
      <c r="AA4808" s="81" t="str">
        <f>IFERROR(HLOOKUP(J4808,データについて!$J$4:$AH$19,16,FALSE),"")</f>
        <v/>
      </c>
      <c r="AB4808" s="81" t="str">
        <f>IFERROR(HLOOKUP(K4808,データについて!$J$5:$AH$20,14,FALSE),"")</f>
        <v/>
      </c>
      <c r="AC4808" s="81" t="e">
        <f>IF(X4808=1,HLOOKUP(R4808,データについて!$J$12:$M$18,7,FALSE),"*")</f>
        <v>#N/A</v>
      </c>
      <c r="AD4808" s="81" t="e">
        <f>IF(X4808=2,HLOOKUP(R4808,データについて!$J$12:$M$18,7,FALSE),"*")</f>
        <v>#N/A</v>
      </c>
    </row>
    <row r="4809" spans="19:30">
      <c r="S4809" s="81" t="e">
        <f>HLOOKUP(L4809,データについて!$J$6:$M$18,13,FALSE)</f>
        <v>#N/A</v>
      </c>
      <c r="T4809" s="81" t="e">
        <f>HLOOKUP(M4809,データについて!$J$7:$M$18,12,FALSE)</f>
        <v>#N/A</v>
      </c>
      <c r="U4809" s="81" t="e">
        <f>HLOOKUP(N4809,データについて!$J$8:$M$18,11,FALSE)</f>
        <v>#N/A</v>
      </c>
      <c r="V4809" s="81" t="e">
        <f>HLOOKUP(O4809,データについて!$J$9:$M$18,10,FALSE)</f>
        <v>#N/A</v>
      </c>
      <c r="W4809" s="81" t="e">
        <f>HLOOKUP(P4809,データについて!$J$10:$M$18,9,FALSE)</f>
        <v>#N/A</v>
      </c>
      <c r="X4809" s="81" t="e">
        <f>HLOOKUP(Q4809,データについて!$J$11:$M$18,8,FALSE)</f>
        <v>#N/A</v>
      </c>
      <c r="Y4809" s="81" t="e">
        <f>HLOOKUP(R4809,データについて!$J$12:$M$18,7,FALSE)</f>
        <v>#N/A</v>
      </c>
      <c r="Z4809" s="81" t="e">
        <f>HLOOKUP(I4809,データについて!$J$3:$M$18,16,FALSE)</f>
        <v>#N/A</v>
      </c>
      <c r="AA4809" s="81" t="str">
        <f>IFERROR(HLOOKUP(J4809,データについて!$J$4:$AH$19,16,FALSE),"")</f>
        <v/>
      </c>
      <c r="AB4809" s="81" t="str">
        <f>IFERROR(HLOOKUP(K4809,データについて!$J$5:$AH$20,14,FALSE),"")</f>
        <v/>
      </c>
      <c r="AC4809" s="81" t="e">
        <f>IF(X4809=1,HLOOKUP(R4809,データについて!$J$12:$M$18,7,FALSE),"*")</f>
        <v>#N/A</v>
      </c>
      <c r="AD4809" s="81" t="e">
        <f>IF(X4809=2,HLOOKUP(R4809,データについて!$J$12:$M$18,7,FALSE),"*")</f>
        <v>#N/A</v>
      </c>
    </row>
    <row r="4810" spans="19:30">
      <c r="S4810" s="81" t="e">
        <f>HLOOKUP(L4810,データについて!$J$6:$M$18,13,FALSE)</f>
        <v>#N/A</v>
      </c>
      <c r="T4810" s="81" t="e">
        <f>HLOOKUP(M4810,データについて!$J$7:$M$18,12,FALSE)</f>
        <v>#N/A</v>
      </c>
      <c r="U4810" s="81" t="e">
        <f>HLOOKUP(N4810,データについて!$J$8:$M$18,11,FALSE)</f>
        <v>#N/A</v>
      </c>
      <c r="V4810" s="81" t="e">
        <f>HLOOKUP(O4810,データについて!$J$9:$M$18,10,FALSE)</f>
        <v>#N/A</v>
      </c>
      <c r="W4810" s="81" t="e">
        <f>HLOOKUP(P4810,データについて!$J$10:$M$18,9,FALSE)</f>
        <v>#N/A</v>
      </c>
      <c r="X4810" s="81" t="e">
        <f>HLOOKUP(Q4810,データについて!$J$11:$M$18,8,FALSE)</f>
        <v>#N/A</v>
      </c>
      <c r="Y4810" s="81" t="e">
        <f>HLOOKUP(R4810,データについて!$J$12:$M$18,7,FALSE)</f>
        <v>#N/A</v>
      </c>
      <c r="Z4810" s="81" t="e">
        <f>HLOOKUP(I4810,データについて!$J$3:$M$18,16,FALSE)</f>
        <v>#N/A</v>
      </c>
      <c r="AA4810" s="81" t="str">
        <f>IFERROR(HLOOKUP(J4810,データについて!$J$4:$AH$19,16,FALSE),"")</f>
        <v/>
      </c>
      <c r="AB4810" s="81" t="str">
        <f>IFERROR(HLOOKUP(K4810,データについて!$J$5:$AH$20,14,FALSE),"")</f>
        <v/>
      </c>
      <c r="AC4810" s="81" t="e">
        <f>IF(X4810=1,HLOOKUP(R4810,データについて!$J$12:$M$18,7,FALSE),"*")</f>
        <v>#N/A</v>
      </c>
      <c r="AD4810" s="81" t="e">
        <f>IF(X4810=2,HLOOKUP(R4810,データについて!$J$12:$M$18,7,FALSE),"*")</f>
        <v>#N/A</v>
      </c>
    </row>
    <row r="4811" spans="19:30">
      <c r="S4811" s="81" t="e">
        <f>HLOOKUP(L4811,データについて!$J$6:$M$18,13,FALSE)</f>
        <v>#N/A</v>
      </c>
      <c r="T4811" s="81" t="e">
        <f>HLOOKUP(M4811,データについて!$J$7:$M$18,12,FALSE)</f>
        <v>#N/A</v>
      </c>
      <c r="U4811" s="81" t="e">
        <f>HLOOKUP(N4811,データについて!$J$8:$M$18,11,FALSE)</f>
        <v>#N/A</v>
      </c>
      <c r="V4811" s="81" t="e">
        <f>HLOOKUP(O4811,データについて!$J$9:$M$18,10,FALSE)</f>
        <v>#N/A</v>
      </c>
      <c r="W4811" s="81" t="e">
        <f>HLOOKUP(P4811,データについて!$J$10:$M$18,9,FALSE)</f>
        <v>#N/A</v>
      </c>
      <c r="X4811" s="81" t="e">
        <f>HLOOKUP(Q4811,データについて!$J$11:$M$18,8,FALSE)</f>
        <v>#N/A</v>
      </c>
      <c r="Y4811" s="81" t="e">
        <f>HLOOKUP(R4811,データについて!$J$12:$M$18,7,FALSE)</f>
        <v>#N/A</v>
      </c>
      <c r="Z4811" s="81" t="e">
        <f>HLOOKUP(I4811,データについて!$J$3:$M$18,16,FALSE)</f>
        <v>#N/A</v>
      </c>
      <c r="AA4811" s="81" t="str">
        <f>IFERROR(HLOOKUP(J4811,データについて!$J$4:$AH$19,16,FALSE),"")</f>
        <v/>
      </c>
      <c r="AB4811" s="81" t="str">
        <f>IFERROR(HLOOKUP(K4811,データについて!$J$5:$AH$20,14,FALSE),"")</f>
        <v/>
      </c>
      <c r="AC4811" s="81" t="e">
        <f>IF(X4811=1,HLOOKUP(R4811,データについて!$J$12:$M$18,7,FALSE),"*")</f>
        <v>#N/A</v>
      </c>
      <c r="AD4811" s="81" t="e">
        <f>IF(X4811=2,HLOOKUP(R4811,データについて!$J$12:$M$18,7,FALSE),"*")</f>
        <v>#N/A</v>
      </c>
    </row>
    <row r="4812" spans="19:30">
      <c r="S4812" s="81" t="e">
        <f>HLOOKUP(L4812,データについて!$J$6:$M$18,13,FALSE)</f>
        <v>#N/A</v>
      </c>
      <c r="T4812" s="81" t="e">
        <f>HLOOKUP(M4812,データについて!$J$7:$M$18,12,FALSE)</f>
        <v>#N/A</v>
      </c>
      <c r="U4812" s="81" t="e">
        <f>HLOOKUP(N4812,データについて!$J$8:$M$18,11,FALSE)</f>
        <v>#N/A</v>
      </c>
      <c r="V4812" s="81" t="e">
        <f>HLOOKUP(O4812,データについて!$J$9:$M$18,10,FALSE)</f>
        <v>#N/A</v>
      </c>
      <c r="W4812" s="81" t="e">
        <f>HLOOKUP(P4812,データについて!$J$10:$M$18,9,FALSE)</f>
        <v>#N/A</v>
      </c>
      <c r="X4812" s="81" t="e">
        <f>HLOOKUP(Q4812,データについて!$J$11:$M$18,8,FALSE)</f>
        <v>#N/A</v>
      </c>
      <c r="Y4812" s="81" t="e">
        <f>HLOOKUP(R4812,データについて!$J$12:$M$18,7,FALSE)</f>
        <v>#N/A</v>
      </c>
      <c r="Z4812" s="81" t="e">
        <f>HLOOKUP(I4812,データについて!$J$3:$M$18,16,FALSE)</f>
        <v>#N/A</v>
      </c>
      <c r="AA4812" s="81" t="str">
        <f>IFERROR(HLOOKUP(J4812,データについて!$J$4:$AH$19,16,FALSE),"")</f>
        <v/>
      </c>
      <c r="AB4812" s="81" t="str">
        <f>IFERROR(HLOOKUP(K4812,データについて!$J$5:$AH$20,14,FALSE),"")</f>
        <v/>
      </c>
      <c r="AC4812" s="81" t="e">
        <f>IF(X4812=1,HLOOKUP(R4812,データについて!$J$12:$M$18,7,FALSE),"*")</f>
        <v>#N/A</v>
      </c>
      <c r="AD4812" s="81" t="e">
        <f>IF(X4812=2,HLOOKUP(R4812,データについて!$J$12:$M$18,7,FALSE),"*")</f>
        <v>#N/A</v>
      </c>
    </row>
    <row r="4813" spans="19:30">
      <c r="S4813" s="81" t="e">
        <f>HLOOKUP(L4813,データについて!$J$6:$M$18,13,FALSE)</f>
        <v>#N/A</v>
      </c>
      <c r="T4813" s="81" t="e">
        <f>HLOOKUP(M4813,データについて!$J$7:$M$18,12,FALSE)</f>
        <v>#N/A</v>
      </c>
      <c r="U4813" s="81" t="e">
        <f>HLOOKUP(N4813,データについて!$J$8:$M$18,11,FALSE)</f>
        <v>#N/A</v>
      </c>
      <c r="V4813" s="81" t="e">
        <f>HLOOKUP(O4813,データについて!$J$9:$M$18,10,FALSE)</f>
        <v>#N/A</v>
      </c>
      <c r="W4813" s="81" t="e">
        <f>HLOOKUP(P4813,データについて!$J$10:$M$18,9,FALSE)</f>
        <v>#N/A</v>
      </c>
      <c r="X4813" s="81" t="e">
        <f>HLOOKUP(Q4813,データについて!$J$11:$M$18,8,FALSE)</f>
        <v>#N/A</v>
      </c>
      <c r="Y4813" s="81" t="e">
        <f>HLOOKUP(R4813,データについて!$J$12:$M$18,7,FALSE)</f>
        <v>#N/A</v>
      </c>
      <c r="Z4813" s="81" t="e">
        <f>HLOOKUP(I4813,データについて!$J$3:$M$18,16,FALSE)</f>
        <v>#N/A</v>
      </c>
      <c r="AA4813" s="81" t="str">
        <f>IFERROR(HLOOKUP(J4813,データについて!$J$4:$AH$19,16,FALSE),"")</f>
        <v/>
      </c>
      <c r="AB4813" s="81" t="str">
        <f>IFERROR(HLOOKUP(K4813,データについて!$J$5:$AH$20,14,FALSE),"")</f>
        <v/>
      </c>
      <c r="AC4813" s="81" t="e">
        <f>IF(X4813=1,HLOOKUP(R4813,データについて!$J$12:$M$18,7,FALSE),"*")</f>
        <v>#N/A</v>
      </c>
      <c r="AD4813" s="81" t="e">
        <f>IF(X4813=2,HLOOKUP(R4813,データについて!$J$12:$M$18,7,FALSE),"*")</f>
        <v>#N/A</v>
      </c>
    </row>
    <row r="4814" spans="19:30">
      <c r="S4814" s="81" t="e">
        <f>HLOOKUP(L4814,データについて!$J$6:$M$18,13,FALSE)</f>
        <v>#N/A</v>
      </c>
      <c r="T4814" s="81" t="e">
        <f>HLOOKUP(M4814,データについて!$J$7:$M$18,12,FALSE)</f>
        <v>#N/A</v>
      </c>
      <c r="U4814" s="81" t="e">
        <f>HLOOKUP(N4814,データについて!$J$8:$M$18,11,FALSE)</f>
        <v>#N/A</v>
      </c>
      <c r="V4814" s="81" t="e">
        <f>HLOOKUP(O4814,データについて!$J$9:$M$18,10,FALSE)</f>
        <v>#N/A</v>
      </c>
      <c r="W4814" s="81" t="e">
        <f>HLOOKUP(P4814,データについて!$J$10:$M$18,9,FALSE)</f>
        <v>#N/A</v>
      </c>
      <c r="X4814" s="81" t="e">
        <f>HLOOKUP(Q4814,データについて!$J$11:$M$18,8,FALSE)</f>
        <v>#N/A</v>
      </c>
      <c r="Y4814" s="81" t="e">
        <f>HLOOKUP(R4814,データについて!$J$12:$M$18,7,FALSE)</f>
        <v>#N/A</v>
      </c>
      <c r="Z4814" s="81" t="e">
        <f>HLOOKUP(I4814,データについて!$J$3:$M$18,16,FALSE)</f>
        <v>#N/A</v>
      </c>
      <c r="AA4814" s="81" t="str">
        <f>IFERROR(HLOOKUP(J4814,データについて!$J$4:$AH$19,16,FALSE),"")</f>
        <v/>
      </c>
      <c r="AB4814" s="81" t="str">
        <f>IFERROR(HLOOKUP(K4814,データについて!$J$5:$AH$20,14,FALSE),"")</f>
        <v/>
      </c>
      <c r="AC4814" s="81" t="e">
        <f>IF(X4814=1,HLOOKUP(R4814,データについて!$J$12:$M$18,7,FALSE),"*")</f>
        <v>#N/A</v>
      </c>
      <c r="AD4814" s="81" t="e">
        <f>IF(X4814=2,HLOOKUP(R4814,データについて!$J$12:$M$18,7,FALSE),"*")</f>
        <v>#N/A</v>
      </c>
    </row>
    <row r="4815" spans="19:30">
      <c r="S4815" s="81" t="e">
        <f>HLOOKUP(L4815,データについて!$J$6:$M$18,13,FALSE)</f>
        <v>#N/A</v>
      </c>
      <c r="T4815" s="81" t="e">
        <f>HLOOKUP(M4815,データについて!$J$7:$M$18,12,FALSE)</f>
        <v>#N/A</v>
      </c>
      <c r="U4815" s="81" t="e">
        <f>HLOOKUP(N4815,データについて!$J$8:$M$18,11,FALSE)</f>
        <v>#N/A</v>
      </c>
      <c r="V4815" s="81" t="e">
        <f>HLOOKUP(O4815,データについて!$J$9:$M$18,10,FALSE)</f>
        <v>#N/A</v>
      </c>
      <c r="W4815" s="81" t="e">
        <f>HLOOKUP(P4815,データについて!$J$10:$M$18,9,FALSE)</f>
        <v>#N/A</v>
      </c>
      <c r="X4815" s="81" t="e">
        <f>HLOOKUP(Q4815,データについて!$J$11:$M$18,8,FALSE)</f>
        <v>#N/A</v>
      </c>
      <c r="Y4815" s="81" t="e">
        <f>HLOOKUP(R4815,データについて!$J$12:$M$18,7,FALSE)</f>
        <v>#N/A</v>
      </c>
      <c r="Z4815" s="81" t="e">
        <f>HLOOKUP(I4815,データについて!$J$3:$M$18,16,FALSE)</f>
        <v>#N/A</v>
      </c>
      <c r="AA4815" s="81" t="str">
        <f>IFERROR(HLOOKUP(J4815,データについて!$J$4:$AH$19,16,FALSE),"")</f>
        <v/>
      </c>
      <c r="AB4815" s="81" t="str">
        <f>IFERROR(HLOOKUP(K4815,データについて!$J$5:$AH$20,14,FALSE),"")</f>
        <v/>
      </c>
      <c r="AC4815" s="81" t="e">
        <f>IF(X4815=1,HLOOKUP(R4815,データについて!$J$12:$M$18,7,FALSE),"*")</f>
        <v>#N/A</v>
      </c>
      <c r="AD4815" s="81" t="e">
        <f>IF(X4815=2,HLOOKUP(R4815,データについて!$J$12:$M$18,7,FALSE),"*")</f>
        <v>#N/A</v>
      </c>
    </row>
    <row r="4816" spans="19:30">
      <c r="S4816" s="81" t="e">
        <f>HLOOKUP(L4816,データについて!$J$6:$M$18,13,FALSE)</f>
        <v>#N/A</v>
      </c>
      <c r="T4816" s="81" t="e">
        <f>HLOOKUP(M4816,データについて!$J$7:$M$18,12,FALSE)</f>
        <v>#N/A</v>
      </c>
      <c r="U4816" s="81" t="e">
        <f>HLOOKUP(N4816,データについて!$J$8:$M$18,11,FALSE)</f>
        <v>#N/A</v>
      </c>
      <c r="V4816" s="81" t="e">
        <f>HLOOKUP(O4816,データについて!$J$9:$M$18,10,FALSE)</f>
        <v>#N/A</v>
      </c>
      <c r="W4816" s="81" t="e">
        <f>HLOOKUP(P4816,データについて!$J$10:$M$18,9,FALSE)</f>
        <v>#N/A</v>
      </c>
      <c r="X4816" s="81" t="e">
        <f>HLOOKUP(Q4816,データについて!$J$11:$M$18,8,FALSE)</f>
        <v>#N/A</v>
      </c>
      <c r="Y4816" s="81" t="e">
        <f>HLOOKUP(R4816,データについて!$J$12:$M$18,7,FALSE)</f>
        <v>#N/A</v>
      </c>
      <c r="Z4816" s="81" t="e">
        <f>HLOOKUP(I4816,データについて!$J$3:$M$18,16,FALSE)</f>
        <v>#N/A</v>
      </c>
      <c r="AA4816" s="81" t="str">
        <f>IFERROR(HLOOKUP(J4816,データについて!$J$4:$AH$19,16,FALSE),"")</f>
        <v/>
      </c>
      <c r="AB4816" s="81" t="str">
        <f>IFERROR(HLOOKUP(K4816,データについて!$J$5:$AH$20,14,FALSE),"")</f>
        <v/>
      </c>
      <c r="AC4816" s="81" t="e">
        <f>IF(X4816=1,HLOOKUP(R4816,データについて!$J$12:$M$18,7,FALSE),"*")</f>
        <v>#N/A</v>
      </c>
      <c r="AD4816" s="81" t="e">
        <f>IF(X4816=2,HLOOKUP(R4816,データについて!$J$12:$M$18,7,FALSE),"*")</f>
        <v>#N/A</v>
      </c>
    </row>
    <row r="4817" spans="19:30">
      <c r="S4817" s="81" t="e">
        <f>HLOOKUP(L4817,データについて!$J$6:$M$18,13,FALSE)</f>
        <v>#N/A</v>
      </c>
      <c r="T4817" s="81" t="e">
        <f>HLOOKUP(M4817,データについて!$J$7:$M$18,12,FALSE)</f>
        <v>#N/A</v>
      </c>
      <c r="U4817" s="81" t="e">
        <f>HLOOKUP(N4817,データについて!$J$8:$M$18,11,FALSE)</f>
        <v>#N/A</v>
      </c>
      <c r="V4817" s="81" t="e">
        <f>HLOOKUP(O4817,データについて!$J$9:$M$18,10,FALSE)</f>
        <v>#N/A</v>
      </c>
      <c r="W4817" s="81" t="e">
        <f>HLOOKUP(P4817,データについて!$J$10:$M$18,9,FALSE)</f>
        <v>#N/A</v>
      </c>
      <c r="X4817" s="81" t="e">
        <f>HLOOKUP(Q4817,データについて!$J$11:$M$18,8,FALSE)</f>
        <v>#N/A</v>
      </c>
      <c r="Y4817" s="81" t="e">
        <f>HLOOKUP(R4817,データについて!$J$12:$M$18,7,FALSE)</f>
        <v>#N/A</v>
      </c>
      <c r="Z4817" s="81" t="e">
        <f>HLOOKUP(I4817,データについて!$J$3:$M$18,16,FALSE)</f>
        <v>#N/A</v>
      </c>
      <c r="AA4817" s="81" t="str">
        <f>IFERROR(HLOOKUP(J4817,データについて!$J$4:$AH$19,16,FALSE),"")</f>
        <v/>
      </c>
      <c r="AB4817" s="81" t="str">
        <f>IFERROR(HLOOKUP(K4817,データについて!$J$5:$AH$20,14,FALSE),"")</f>
        <v/>
      </c>
      <c r="AC4817" s="81" t="e">
        <f>IF(X4817=1,HLOOKUP(R4817,データについて!$J$12:$M$18,7,FALSE),"*")</f>
        <v>#N/A</v>
      </c>
      <c r="AD4817" s="81" t="e">
        <f>IF(X4817=2,HLOOKUP(R4817,データについて!$J$12:$M$18,7,FALSE),"*")</f>
        <v>#N/A</v>
      </c>
    </row>
    <row r="4818" spans="19:30">
      <c r="S4818" s="81" t="e">
        <f>HLOOKUP(L4818,データについて!$J$6:$M$18,13,FALSE)</f>
        <v>#N/A</v>
      </c>
      <c r="T4818" s="81" t="e">
        <f>HLOOKUP(M4818,データについて!$J$7:$M$18,12,FALSE)</f>
        <v>#N/A</v>
      </c>
      <c r="U4818" s="81" t="e">
        <f>HLOOKUP(N4818,データについて!$J$8:$M$18,11,FALSE)</f>
        <v>#N/A</v>
      </c>
      <c r="V4818" s="81" t="e">
        <f>HLOOKUP(O4818,データについて!$J$9:$M$18,10,FALSE)</f>
        <v>#N/A</v>
      </c>
      <c r="W4818" s="81" t="e">
        <f>HLOOKUP(P4818,データについて!$J$10:$M$18,9,FALSE)</f>
        <v>#N/A</v>
      </c>
      <c r="X4818" s="81" t="e">
        <f>HLOOKUP(Q4818,データについて!$J$11:$M$18,8,FALSE)</f>
        <v>#N/A</v>
      </c>
      <c r="Y4818" s="81" t="e">
        <f>HLOOKUP(R4818,データについて!$J$12:$M$18,7,FALSE)</f>
        <v>#N/A</v>
      </c>
      <c r="Z4818" s="81" t="e">
        <f>HLOOKUP(I4818,データについて!$J$3:$M$18,16,FALSE)</f>
        <v>#N/A</v>
      </c>
      <c r="AA4818" s="81" t="str">
        <f>IFERROR(HLOOKUP(J4818,データについて!$J$4:$AH$19,16,FALSE),"")</f>
        <v/>
      </c>
      <c r="AB4818" s="81" t="str">
        <f>IFERROR(HLOOKUP(K4818,データについて!$J$5:$AH$20,14,FALSE),"")</f>
        <v/>
      </c>
      <c r="AC4818" s="81" t="e">
        <f>IF(X4818=1,HLOOKUP(R4818,データについて!$J$12:$M$18,7,FALSE),"*")</f>
        <v>#N/A</v>
      </c>
      <c r="AD4818" s="81" t="e">
        <f>IF(X4818=2,HLOOKUP(R4818,データについて!$J$12:$M$18,7,FALSE),"*")</f>
        <v>#N/A</v>
      </c>
    </row>
    <row r="4819" spans="19:30">
      <c r="S4819" s="81" t="e">
        <f>HLOOKUP(L4819,データについて!$J$6:$M$18,13,FALSE)</f>
        <v>#N/A</v>
      </c>
      <c r="T4819" s="81" t="e">
        <f>HLOOKUP(M4819,データについて!$J$7:$M$18,12,FALSE)</f>
        <v>#N/A</v>
      </c>
      <c r="U4819" s="81" t="e">
        <f>HLOOKUP(N4819,データについて!$J$8:$M$18,11,FALSE)</f>
        <v>#N/A</v>
      </c>
      <c r="V4819" s="81" t="e">
        <f>HLOOKUP(O4819,データについて!$J$9:$M$18,10,FALSE)</f>
        <v>#N/A</v>
      </c>
      <c r="W4819" s="81" t="e">
        <f>HLOOKUP(P4819,データについて!$J$10:$M$18,9,FALSE)</f>
        <v>#N/A</v>
      </c>
      <c r="X4819" s="81" t="e">
        <f>HLOOKUP(Q4819,データについて!$J$11:$M$18,8,FALSE)</f>
        <v>#N/A</v>
      </c>
      <c r="Y4819" s="81" t="e">
        <f>HLOOKUP(R4819,データについて!$J$12:$M$18,7,FALSE)</f>
        <v>#N/A</v>
      </c>
      <c r="Z4819" s="81" t="e">
        <f>HLOOKUP(I4819,データについて!$J$3:$M$18,16,FALSE)</f>
        <v>#N/A</v>
      </c>
      <c r="AA4819" s="81" t="str">
        <f>IFERROR(HLOOKUP(J4819,データについて!$J$4:$AH$19,16,FALSE),"")</f>
        <v/>
      </c>
      <c r="AB4819" s="81" t="str">
        <f>IFERROR(HLOOKUP(K4819,データについて!$J$5:$AH$20,14,FALSE),"")</f>
        <v/>
      </c>
      <c r="AC4819" s="81" t="e">
        <f>IF(X4819=1,HLOOKUP(R4819,データについて!$J$12:$M$18,7,FALSE),"*")</f>
        <v>#N/A</v>
      </c>
      <c r="AD4819" s="81" t="e">
        <f>IF(X4819=2,HLOOKUP(R4819,データについて!$J$12:$M$18,7,FALSE),"*")</f>
        <v>#N/A</v>
      </c>
    </row>
    <row r="4820" spans="19:30">
      <c r="S4820" s="81" t="e">
        <f>HLOOKUP(L4820,データについて!$J$6:$M$18,13,FALSE)</f>
        <v>#N/A</v>
      </c>
      <c r="T4820" s="81" t="e">
        <f>HLOOKUP(M4820,データについて!$J$7:$M$18,12,FALSE)</f>
        <v>#N/A</v>
      </c>
      <c r="U4820" s="81" t="e">
        <f>HLOOKUP(N4820,データについて!$J$8:$M$18,11,FALSE)</f>
        <v>#N/A</v>
      </c>
      <c r="V4820" s="81" t="e">
        <f>HLOOKUP(O4820,データについて!$J$9:$M$18,10,FALSE)</f>
        <v>#N/A</v>
      </c>
      <c r="W4820" s="81" t="e">
        <f>HLOOKUP(P4820,データについて!$J$10:$M$18,9,FALSE)</f>
        <v>#N/A</v>
      </c>
      <c r="X4820" s="81" t="e">
        <f>HLOOKUP(Q4820,データについて!$J$11:$M$18,8,FALSE)</f>
        <v>#N/A</v>
      </c>
      <c r="Y4820" s="81" t="e">
        <f>HLOOKUP(R4820,データについて!$J$12:$M$18,7,FALSE)</f>
        <v>#N/A</v>
      </c>
      <c r="Z4820" s="81" t="e">
        <f>HLOOKUP(I4820,データについて!$J$3:$M$18,16,FALSE)</f>
        <v>#N/A</v>
      </c>
      <c r="AA4820" s="81" t="str">
        <f>IFERROR(HLOOKUP(J4820,データについて!$J$4:$AH$19,16,FALSE),"")</f>
        <v/>
      </c>
      <c r="AB4820" s="81" t="str">
        <f>IFERROR(HLOOKUP(K4820,データについて!$J$5:$AH$20,14,FALSE),"")</f>
        <v/>
      </c>
      <c r="AC4820" s="81" t="e">
        <f>IF(X4820=1,HLOOKUP(R4820,データについて!$J$12:$M$18,7,FALSE),"*")</f>
        <v>#N/A</v>
      </c>
      <c r="AD4820" s="81" t="e">
        <f>IF(X4820=2,HLOOKUP(R4820,データについて!$J$12:$M$18,7,FALSE),"*")</f>
        <v>#N/A</v>
      </c>
    </row>
    <row r="4821" spans="19:30">
      <c r="S4821" s="81" t="e">
        <f>HLOOKUP(L4821,データについて!$J$6:$M$18,13,FALSE)</f>
        <v>#N/A</v>
      </c>
      <c r="T4821" s="81" t="e">
        <f>HLOOKUP(M4821,データについて!$J$7:$M$18,12,FALSE)</f>
        <v>#N/A</v>
      </c>
      <c r="U4821" s="81" t="e">
        <f>HLOOKUP(N4821,データについて!$J$8:$M$18,11,FALSE)</f>
        <v>#N/A</v>
      </c>
      <c r="V4821" s="81" t="e">
        <f>HLOOKUP(O4821,データについて!$J$9:$M$18,10,FALSE)</f>
        <v>#N/A</v>
      </c>
      <c r="W4821" s="81" t="e">
        <f>HLOOKUP(P4821,データについて!$J$10:$M$18,9,FALSE)</f>
        <v>#N/A</v>
      </c>
      <c r="X4821" s="81" t="e">
        <f>HLOOKUP(Q4821,データについて!$J$11:$M$18,8,FALSE)</f>
        <v>#N/A</v>
      </c>
      <c r="Y4821" s="81" t="e">
        <f>HLOOKUP(R4821,データについて!$J$12:$M$18,7,FALSE)</f>
        <v>#N/A</v>
      </c>
      <c r="Z4821" s="81" t="e">
        <f>HLOOKUP(I4821,データについて!$J$3:$M$18,16,FALSE)</f>
        <v>#N/A</v>
      </c>
      <c r="AA4821" s="81" t="str">
        <f>IFERROR(HLOOKUP(J4821,データについて!$J$4:$AH$19,16,FALSE),"")</f>
        <v/>
      </c>
      <c r="AB4821" s="81" t="str">
        <f>IFERROR(HLOOKUP(K4821,データについて!$J$5:$AH$20,14,FALSE),"")</f>
        <v/>
      </c>
      <c r="AC4821" s="81" t="e">
        <f>IF(X4821=1,HLOOKUP(R4821,データについて!$J$12:$M$18,7,FALSE),"*")</f>
        <v>#N/A</v>
      </c>
      <c r="AD4821" s="81" t="e">
        <f>IF(X4821=2,HLOOKUP(R4821,データについて!$J$12:$M$18,7,FALSE),"*")</f>
        <v>#N/A</v>
      </c>
    </row>
    <row r="4822" spans="19:30">
      <c r="S4822" s="81" t="e">
        <f>HLOOKUP(L4822,データについて!$J$6:$M$18,13,FALSE)</f>
        <v>#N/A</v>
      </c>
      <c r="T4822" s="81" t="e">
        <f>HLOOKUP(M4822,データについて!$J$7:$M$18,12,FALSE)</f>
        <v>#N/A</v>
      </c>
      <c r="U4822" s="81" t="e">
        <f>HLOOKUP(N4822,データについて!$J$8:$M$18,11,FALSE)</f>
        <v>#N/A</v>
      </c>
      <c r="V4822" s="81" t="e">
        <f>HLOOKUP(O4822,データについて!$J$9:$M$18,10,FALSE)</f>
        <v>#N/A</v>
      </c>
      <c r="W4822" s="81" t="e">
        <f>HLOOKUP(P4822,データについて!$J$10:$M$18,9,FALSE)</f>
        <v>#N/A</v>
      </c>
      <c r="X4822" s="81" t="e">
        <f>HLOOKUP(Q4822,データについて!$J$11:$M$18,8,FALSE)</f>
        <v>#N/A</v>
      </c>
      <c r="Y4822" s="81" t="e">
        <f>HLOOKUP(R4822,データについて!$J$12:$M$18,7,FALSE)</f>
        <v>#N/A</v>
      </c>
      <c r="Z4822" s="81" t="e">
        <f>HLOOKUP(I4822,データについて!$J$3:$M$18,16,FALSE)</f>
        <v>#N/A</v>
      </c>
      <c r="AA4822" s="81" t="str">
        <f>IFERROR(HLOOKUP(J4822,データについて!$J$4:$AH$19,16,FALSE),"")</f>
        <v/>
      </c>
      <c r="AB4822" s="81" t="str">
        <f>IFERROR(HLOOKUP(K4822,データについて!$J$5:$AH$20,14,FALSE),"")</f>
        <v/>
      </c>
      <c r="AC4822" s="81" t="e">
        <f>IF(X4822=1,HLOOKUP(R4822,データについて!$J$12:$M$18,7,FALSE),"*")</f>
        <v>#N/A</v>
      </c>
      <c r="AD4822" s="81" t="e">
        <f>IF(X4822=2,HLOOKUP(R4822,データについて!$J$12:$M$18,7,FALSE),"*")</f>
        <v>#N/A</v>
      </c>
    </row>
    <row r="4823" spans="19:30">
      <c r="S4823" s="81" t="e">
        <f>HLOOKUP(L4823,データについて!$J$6:$M$18,13,FALSE)</f>
        <v>#N/A</v>
      </c>
      <c r="T4823" s="81" t="e">
        <f>HLOOKUP(M4823,データについて!$J$7:$M$18,12,FALSE)</f>
        <v>#N/A</v>
      </c>
      <c r="U4823" s="81" t="e">
        <f>HLOOKUP(N4823,データについて!$J$8:$M$18,11,FALSE)</f>
        <v>#N/A</v>
      </c>
      <c r="V4823" s="81" t="e">
        <f>HLOOKUP(O4823,データについて!$J$9:$M$18,10,FALSE)</f>
        <v>#N/A</v>
      </c>
      <c r="W4823" s="81" t="e">
        <f>HLOOKUP(P4823,データについて!$J$10:$M$18,9,FALSE)</f>
        <v>#N/A</v>
      </c>
      <c r="X4823" s="81" t="e">
        <f>HLOOKUP(Q4823,データについて!$J$11:$M$18,8,FALSE)</f>
        <v>#N/A</v>
      </c>
      <c r="Y4823" s="81" t="e">
        <f>HLOOKUP(R4823,データについて!$J$12:$M$18,7,FALSE)</f>
        <v>#N/A</v>
      </c>
      <c r="Z4823" s="81" t="e">
        <f>HLOOKUP(I4823,データについて!$J$3:$M$18,16,FALSE)</f>
        <v>#N/A</v>
      </c>
      <c r="AA4823" s="81" t="str">
        <f>IFERROR(HLOOKUP(J4823,データについて!$J$4:$AH$19,16,FALSE),"")</f>
        <v/>
      </c>
      <c r="AB4823" s="81" t="str">
        <f>IFERROR(HLOOKUP(K4823,データについて!$J$5:$AH$20,14,FALSE),"")</f>
        <v/>
      </c>
      <c r="AC4823" s="81" t="e">
        <f>IF(X4823=1,HLOOKUP(R4823,データについて!$J$12:$M$18,7,FALSE),"*")</f>
        <v>#N/A</v>
      </c>
      <c r="AD4823" s="81" t="e">
        <f>IF(X4823=2,HLOOKUP(R4823,データについて!$J$12:$M$18,7,FALSE),"*")</f>
        <v>#N/A</v>
      </c>
    </row>
    <row r="4824" spans="19:30">
      <c r="S4824" s="81" t="e">
        <f>HLOOKUP(L4824,データについて!$J$6:$M$18,13,FALSE)</f>
        <v>#N/A</v>
      </c>
      <c r="T4824" s="81" t="e">
        <f>HLOOKUP(M4824,データについて!$J$7:$M$18,12,FALSE)</f>
        <v>#N/A</v>
      </c>
      <c r="U4824" s="81" t="e">
        <f>HLOOKUP(N4824,データについて!$J$8:$M$18,11,FALSE)</f>
        <v>#N/A</v>
      </c>
      <c r="V4824" s="81" t="e">
        <f>HLOOKUP(O4824,データについて!$J$9:$M$18,10,FALSE)</f>
        <v>#N/A</v>
      </c>
      <c r="W4824" s="81" t="e">
        <f>HLOOKUP(P4824,データについて!$J$10:$M$18,9,FALSE)</f>
        <v>#N/A</v>
      </c>
      <c r="X4824" s="81" t="e">
        <f>HLOOKUP(Q4824,データについて!$J$11:$M$18,8,FALSE)</f>
        <v>#N/A</v>
      </c>
      <c r="Y4824" s="81" t="e">
        <f>HLOOKUP(R4824,データについて!$J$12:$M$18,7,FALSE)</f>
        <v>#N/A</v>
      </c>
      <c r="Z4824" s="81" t="e">
        <f>HLOOKUP(I4824,データについて!$J$3:$M$18,16,FALSE)</f>
        <v>#N/A</v>
      </c>
      <c r="AA4824" s="81" t="str">
        <f>IFERROR(HLOOKUP(J4824,データについて!$J$4:$AH$19,16,FALSE),"")</f>
        <v/>
      </c>
      <c r="AB4824" s="81" t="str">
        <f>IFERROR(HLOOKUP(K4824,データについて!$J$5:$AH$20,14,FALSE),"")</f>
        <v/>
      </c>
      <c r="AC4824" s="81" t="e">
        <f>IF(X4824=1,HLOOKUP(R4824,データについて!$J$12:$M$18,7,FALSE),"*")</f>
        <v>#N/A</v>
      </c>
      <c r="AD4824" s="81" t="e">
        <f>IF(X4824=2,HLOOKUP(R4824,データについて!$J$12:$M$18,7,FALSE),"*")</f>
        <v>#N/A</v>
      </c>
    </row>
    <row r="4825" spans="19:30">
      <c r="S4825" s="81" t="e">
        <f>HLOOKUP(L4825,データについて!$J$6:$M$18,13,FALSE)</f>
        <v>#N/A</v>
      </c>
      <c r="T4825" s="81" t="e">
        <f>HLOOKUP(M4825,データについて!$J$7:$M$18,12,FALSE)</f>
        <v>#N/A</v>
      </c>
      <c r="U4825" s="81" t="e">
        <f>HLOOKUP(N4825,データについて!$J$8:$M$18,11,FALSE)</f>
        <v>#N/A</v>
      </c>
      <c r="V4825" s="81" t="e">
        <f>HLOOKUP(O4825,データについて!$J$9:$M$18,10,FALSE)</f>
        <v>#N/A</v>
      </c>
      <c r="W4825" s="81" t="e">
        <f>HLOOKUP(P4825,データについて!$J$10:$M$18,9,FALSE)</f>
        <v>#N/A</v>
      </c>
      <c r="X4825" s="81" t="e">
        <f>HLOOKUP(Q4825,データについて!$J$11:$M$18,8,FALSE)</f>
        <v>#N/A</v>
      </c>
      <c r="Y4825" s="81" t="e">
        <f>HLOOKUP(R4825,データについて!$J$12:$M$18,7,FALSE)</f>
        <v>#N/A</v>
      </c>
      <c r="Z4825" s="81" t="e">
        <f>HLOOKUP(I4825,データについて!$J$3:$M$18,16,FALSE)</f>
        <v>#N/A</v>
      </c>
      <c r="AA4825" s="81" t="str">
        <f>IFERROR(HLOOKUP(J4825,データについて!$J$4:$AH$19,16,FALSE),"")</f>
        <v/>
      </c>
      <c r="AB4825" s="81" t="str">
        <f>IFERROR(HLOOKUP(K4825,データについて!$J$5:$AH$20,14,FALSE),"")</f>
        <v/>
      </c>
      <c r="AC4825" s="81" t="e">
        <f>IF(X4825=1,HLOOKUP(R4825,データについて!$J$12:$M$18,7,FALSE),"*")</f>
        <v>#N/A</v>
      </c>
      <c r="AD4825" s="81" t="e">
        <f>IF(X4825=2,HLOOKUP(R4825,データについて!$J$12:$M$18,7,FALSE),"*")</f>
        <v>#N/A</v>
      </c>
    </row>
    <row r="4826" spans="19:30">
      <c r="S4826" s="81" t="e">
        <f>HLOOKUP(L4826,データについて!$J$6:$M$18,13,FALSE)</f>
        <v>#N/A</v>
      </c>
      <c r="T4826" s="81" t="e">
        <f>HLOOKUP(M4826,データについて!$J$7:$M$18,12,FALSE)</f>
        <v>#N/A</v>
      </c>
      <c r="U4826" s="81" t="e">
        <f>HLOOKUP(N4826,データについて!$J$8:$M$18,11,FALSE)</f>
        <v>#N/A</v>
      </c>
      <c r="V4826" s="81" t="e">
        <f>HLOOKUP(O4826,データについて!$J$9:$M$18,10,FALSE)</f>
        <v>#N/A</v>
      </c>
      <c r="W4826" s="81" t="e">
        <f>HLOOKUP(P4826,データについて!$J$10:$M$18,9,FALSE)</f>
        <v>#N/A</v>
      </c>
      <c r="X4826" s="81" t="e">
        <f>HLOOKUP(Q4826,データについて!$J$11:$M$18,8,FALSE)</f>
        <v>#N/A</v>
      </c>
      <c r="Y4826" s="81" t="e">
        <f>HLOOKUP(R4826,データについて!$J$12:$M$18,7,FALSE)</f>
        <v>#N/A</v>
      </c>
      <c r="Z4826" s="81" t="e">
        <f>HLOOKUP(I4826,データについて!$J$3:$M$18,16,FALSE)</f>
        <v>#N/A</v>
      </c>
      <c r="AA4826" s="81" t="str">
        <f>IFERROR(HLOOKUP(J4826,データについて!$J$4:$AH$19,16,FALSE),"")</f>
        <v/>
      </c>
      <c r="AB4826" s="81" t="str">
        <f>IFERROR(HLOOKUP(K4826,データについて!$J$5:$AH$20,14,FALSE),"")</f>
        <v/>
      </c>
      <c r="AC4826" s="81" t="e">
        <f>IF(X4826=1,HLOOKUP(R4826,データについて!$J$12:$M$18,7,FALSE),"*")</f>
        <v>#N/A</v>
      </c>
      <c r="AD4826" s="81" t="e">
        <f>IF(X4826=2,HLOOKUP(R4826,データについて!$J$12:$M$18,7,FALSE),"*")</f>
        <v>#N/A</v>
      </c>
    </row>
    <row r="4827" spans="19:30">
      <c r="S4827" s="81" t="e">
        <f>HLOOKUP(L4827,データについて!$J$6:$M$18,13,FALSE)</f>
        <v>#N/A</v>
      </c>
      <c r="T4827" s="81" t="e">
        <f>HLOOKUP(M4827,データについて!$J$7:$M$18,12,FALSE)</f>
        <v>#N/A</v>
      </c>
      <c r="U4827" s="81" t="e">
        <f>HLOOKUP(N4827,データについて!$J$8:$M$18,11,FALSE)</f>
        <v>#N/A</v>
      </c>
      <c r="V4827" s="81" t="e">
        <f>HLOOKUP(O4827,データについて!$J$9:$M$18,10,FALSE)</f>
        <v>#N/A</v>
      </c>
      <c r="W4827" s="81" t="e">
        <f>HLOOKUP(P4827,データについて!$J$10:$M$18,9,FALSE)</f>
        <v>#N/A</v>
      </c>
      <c r="X4827" s="81" t="e">
        <f>HLOOKUP(Q4827,データについて!$J$11:$M$18,8,FALSE)</f>
        <v>#N/A</v>
      </c>
      <c r="Y4827" s="81" t="e">
        <f>HLOOKUP(R4827,データについて!$J$12:$M$18,7,FALSE)</f>
        <v>#N/A</v>
      </c>
      <c r="Z4827" s="81" t="e">
        <f>HLOOKUP(I4827,データについて!$J$3:$M$18,16,FALSE)</f>
        <v>#N/A</v>
      </c>
      <c r="AA4827" s="81" t="str">
        <f>IFERROR(HLOOKUP(J4827,データについて!$J$4:$AH$19,16,FALSE),"")</f>
        <v/>
      </c>
      <c r="AB4827" s="81" t="str">
        <f>IFERROR(HLOOKUP(K4827,データについて!$J$5:$AH$20,14,FALSE),"")</f>
        <v/>
      </c>
      <c r="AC4827" s="81" t="e">
        <f>IF(X4827=1,HLOOKUP(R4827,データについて!$J$12:$M$18,7,FALSE),"*")</f>
        <v>#N/A</v>
      </c>
      <c r="AD4827" s="81" t="e">
        <f>IF(X4827=2,HLOOKUP(R4827,データについて!$J$12:$M$18,7,FALSE),"*")</f>
        <v>#N/A</v>
      </c>
    </row>
    <row r="4828" spans="19:30">
      <c r="S4828" s="81" t="e">
        <f>HLOOKUP(L4828,データについて!$J$6:$M$18,13,FALSE)</f>
        <v>#N/A</v>
      </c>
      <c r="T4828" s="81" t="e">
        <f>HLOOKUP(M4828,データについて!$J$7:$M$18,12,FALSE)</f>
        <v>#N/A</v>
      </c>
      <c r="U4828" s="81" t="e">
        <f>HLOOKUP(N4828,データについて!$J$8:$M$18,11,FALSE)</f>
        <v>#N/A</v>
      </c>
      <c r="V4828" s="81" t="e">
        <f>HLOOKUP(O4828,データについて!$J$9:$M$18,10,FALSE)</f>
        <v>#N/A</v>
      </c>
      <c r="W4828" s="81" t="e">
        <f>HLOOKUP(P4828,データについて!$J$10:$M$18,9,FALSE)</f>
        <v>#N/A</v>
      </c>
      <c r="X4828" s="81" t="e">
        <f>HLOOKUP(Q4828,データについて!$J$11:$M$18,8,FALSE)</f>
        <v>#N/A</v>
      </c>
      <c r="Y4828" s="81" t="e">
        <f>HLOOKUP(R4828,データについて!$J$12:$M$18,7,FALSE)</f>
        <v>#N/A</v>
      </c>
      <c r="Z4828" s="81" t="e">
        <f>HLOOKUP(I4828,データについて!$J$3:$M$18,16,FALSE)</f>
        <v>#N/A</v>
      </c>
      <c r="AA4828" s="81" t="str">
        <f>IFERROR(HLOOKUP(J4828,データについて!$J$4:$AH$19,16,FALSE),"")</f>
        <v/>
      </c>
      <c r="AB4828" s="81" t="str">
        <f>IFERROR(HLOOKUP(K4828,データについて!$J$5:$AH$20,14,FALSE),"")</f>
        <v/>
      </c>
      <c r="AC4828" s="81" t="e">
        <f>IF(X4828=1,HLOOKUP(R4828,データについて!$J$12:$M$18,7,FALSE),"*")</f>
        <v>#N/A</v>
      </c>
      <c r="AD4828" s="81" t="e">
        <f>IF(X4828=2,HLOOKUP(R4828,データについて!$J$12:$M$18,7,FALSE),"*")</f>
        <v>#N/A</v>
      </c>
    </row>
    <row r="4829" spans="19:30">
      <c r="S4829" s="81" t="e">
        <f>HLOOKUP(L4829,データについて!$J$6:$M$18,13,FALSE)</f>
        <v>#N/A</v>
      </c>
      <c r="T4829" s="81" t="e">
        <f>HLOOKUP(M4829,データについて!$J$7:$M$18,12,FALSE)</f>
        <v>#N/A</v>
      </c>
      <c r="U4829" s="81" t="e">
        <f>HLOOKUP(N4829,データについて!$J$8:$M$18,11,FALSE)</f>
        <v>#N/A</v>
      </c>
      <c r="V4829" s="81" t="e">
        <f>HLOOKUP(O4829,データについて!$J$9:$M$18,10,FALSE)</f>
        <v>#N/A</v>
      </c>
      <c r="W4829" s="81" t="e">
        <f>HLOOKUP(P4829,データについて!$J$10:$M$18,9,FALSE)</f>
        <v>#N/A</v>
      </c>
      <c r="X4829" s="81" t="e">
        <f>HLOOKUP(Q4829,データについて!$J$11:$M$18,8,FALSE)</f>
        <v>#N/A</v>
      </c>
      <c r="Y4829" s="81" t="e">
        <f>HLOOKUP(R4829,データについて!$J$12:$M$18,7,FALSE)</f>
        <v>#N/A</v>
      </c>
      <c r="Z4829" s="81" t="e">
        <f>HLOOKUP(I4829,データについて!$J$3:$M$18,16,FALSE)</f>
        <v>#N/A</v>
      </c>
      <c r="AA4829" s="81" t="str">
        <f>IFERROR(HLOOKUP(J4829,データについて!$J$4:$AH$19,16,FALSE),"")</f>
        <v/>
      </c>
      <c r="AB4829" s="81" t="str">
        <f>IFERROR(HLOOKUP(K4829,データについて!$J$5:$AH$20,14,FALSE),"")</f>
        <v/>
      </c>
      <c r="AC4829" s="81" t="e">
        <f>IF(X4829=1,HLOOKUP(R4829,データについて!$J$12:$M$18,7,FALSE),"*")</f>
        <v>#N/A</v>
      </c>
      <c r="AD4829" s="81" t="e">
        <f>IF(X4829=2,HLOOKUP(R4829,データについて!$J$12:$M$18,7,FALSE),"*")</f>
        <v>#N/A</v>
      </c>
    </row>
    <row r="4830" spans="19:30">
      <c r="S4830" s="81" t="e">
        <f>HLOOKUP(L4830,データについて!$J$6:$M$18,13,FALSE)</f>
        <v>#N/A</v>
      </c>
      <c r="T4830" s="81" t="e">
        <f>HLOOKUP(M4830,データについて!$J$7:$M$18,12,FALSE)</f>
        <v>#N/A</v>
      </c>
      <c r="U4830" s="81" t="e">
        <f>HLOOKUP(N4830,データについて!$J$8:$M$18,11,FALSE)</f>
        <v>#N/A</v>
      </c>
      <c r="V4830" s="81" t="e">
        <f>HLOOKUP(O4830,データについて!$J$9:$M$18,10,FALSE)</f>
        <v>#N/A</v>
      </c>
      <c r="W4830" s="81" t="e">
        <f>HLOOKUP(P4830,データについて!$J$10:$M$18,9,FALSE)</f>
        <v>#N/A</v>
      </c>
      <c r="X4830" s="81" t="e">
        <f>HLOOKUP(Q4830,データについて!$J$11:$M$18,8,FALSE)</f>
        <v>#N/A</v>
      </c>
      <c r="Y4830" s="81" t="e">
        <f>HLOOKUP(R4830,データについて!$J$12:$M$18,7,FALSE)</f>
        <v>#N/A</v>
      </c>
      <c r="Z4830" s="81" t="e">
        <f>HLOOKUP(I4830,データについて!$J$3:$M$18,16,FALSE)</f>
        <v>#N/A</v>
      </c>
      <c r="AA4830" s="81" t="str">
        <f>IFERROR(HLOOKUP(J4830,データについて!$J$4:$AH$19,16,FALSE),"")</f>
        <v/>
      </c>
      <c r="AB4830" s="81" t="str">
        <f>IFERROR(HLOOKUP(K4830,データについて!$J$5:$AH$20,14,FALSE),"")</f>
        <v/>
      </c>
      <c r="AC4830" s="81" t="e">
        <f>IF(X4830=1,HLOOKUP(R4830,データについて!$J$12:$M$18,7,FALSE),"*")</f>
        <v>#N/A</v>
      </c>
      <c r="AD4830" s="81" t="e">
        <f>IF(X4830=2,HLOOKUP(R4830,データについて!$J$12:$M$18,7,FALSE),"*")</f>
        <v>#N/A</v>
      </c>
    </row>
    <row r="4831" spans="19:30">
      <c r="S4831" s="81" t="e">
        <f>HLOOKUP(L4831,データについて!$J$6:$M$18,13,FALSE)</f>
        <v>#N/A</v>
      </c>
      <c r="T4831" s="81" t="e">
        <f>HLOOKUP(M4831,データについて!$J$7:$M$18,12,FALSE)</f>
        <v>#N/A</v>
      </c>
      <c r="U4831" s="81" t="e">
        <f>HLOOKUP(N4831,データについて!$J$8:$M$18,11,FALSE)</f>
        <v>#N/A</v>
      </c>
      <c r="V4831" s="81" t="e">
        <f>HLOOKUP(O4831,データについて!$J$9:$M$18,10,FALSE)</f>
        <v>#N/A</v>
      </c>
      <c r="W4831" s="81" t="e">
        <f>HLOOKUP(P4831,データについて!$J$10:$M$18,9,FALSE)</f>
        <v>#N/A</v>
      </c>
      <c r="X4831" s="81" t="e">
        <f>HLOOKUP(Q4831,データについて!$J$11:$M$18,8,FALSE)</f>
        <v>#N/A</v>
      </c>
      <c r="Y4831" s="81" t="e">
        <f>HLOOKUP(R4831,データについて!$J$12:$M$18,7,FALSE)</f>
        <v>#N/A</v>
      </c>
      <c r="Z4831" s="81" t="e">
        <f>HLOOKUP(I4831,データについて!$J$3:$M$18,16,FALSE)</f>
        <v>#N/A</v>
      </c>
      <c r="AA4831" s="81" t="str">
        <f>IFERROR(HLOOKUP(J4831,データについて!$J$4:$AH$19,16,FALSE),"")</f>
        <v/>
      </c>
      <c r="AB4831" s="81" t="str">
        <f>IFERROR(HLOOKUP(K4831,データについて!$J$5:$AH$20,14,FALSE),"")</f>
        <v/>
      </c>
      <c r="AC4831" s="81" t="e">
        <f>IF(X4831=1,HLOOKUP(R4831,データについて!$J$12:$M$18,7,FALSE),"*")</f>
        <v>#N/A</v>
      </c>
      <c r="AD4831" s="81" t="e">
        <f>IF(X4831=2,HLOOKUP(R4831,データについて!$J$12:$M$18,7,FALSE),"*")</f>
        <v>#N/A</v>
      </c>
    </row>
    <row r="4832" spans="19:30">
      <c r="S4832" s="81" t="e">
        <f>HLOOKUP(L4832,データについて!$J$6:$M$18,13,FALSE)</f>
        <v>#N/A</v>
      </c>
      <c r="T4832" s="81" t="e">
        <f>HLOOKUP(M4832,データについて!$J$7:$M$18,12,FALSE)</f>
        <v>#N/A</v>
      </c>
      <c r="U4832" s="81" t="e">
        <f>HLOOKUP(N4832,データについて!$J$8:$M$18,11,FALSE)</f>
        <v>#N/A</v>
      </c>
      <c r="V4832" s="81" t="e">
        <f>HLOOKUP(O4832,データについて!$J$9:$M$18,10,FALSE)</f>
        <v>#N/A</v>
      </c>
      <c r="W4832" s="81" t="e">
        <f>HLOOKUP(P4832,データについて!$J$10:$M$18,9,FALSE)</f>
        <v>#N/A</v>
      </c>
      <c r="X4832" s="81" t="e">
        <f>HLOOKUP(Q4832,データについて!$J$11:$M$18,8,FALSE)</f>
        <v>#N/A</v>
      </c>
      <c r="Y4832" s="81" t="e">
        <f>HLOOKUP(R4832,データについて!$J$12:$M$18,7,FALSE)</f>
        <v>#N/A</v>
      </c>
      <c r="Z4832" s="81" t="e">
        <f>HLOOKUP(I4832,データについて!$J$3:$M$18,16,FALSE)</f>
        <v>#N/A</v>
      </c>
      <c r="AA4832" s="81" t="str">
        <f>IFERROR(HLOOKUP(J4832,データについて!$J$4:$AH$19,16,FALSE),"")</f>
        <v/>
      </c>
      <c r="AB4832" s="81" t="str">
        <f>IFERROR(HLOOKUP(K4832,データについて!$J$5:$AH$20,14,FALSE),"")</f>
        <v/>
      </c>
      <c r="AC4832" s="81" t="e">
        <f>IF(X4832=1,HLOOKUP(R4832,データについて!$J$12:$M$18,7,FALSE),"*")</f>
        <v>#N/A</v>
      </c>
      <c r="AD4832" s="81" t="e">
        <f>IF(X4832=2,HLOOKUP(R4832,データについて!$J$12:$M$18,7,FALSE),"*")</f>
        <v>#N/A</v>
      </c>
    </row>
    <row r="4833" spans="19:30">
      <c r="S4833" s="81" t="e">
        <f>HLOOKUP(L4833,データについて!$J$6:$M$18,13,FALSE)</f>
        <v>#N/A</v>
      </c>
      <c r="T4833" s="81" t="e">
        <f>HLOOKUP(M4833,データについて!$J$7:$M$18,12,FALSE)</f>
        <v>#N/A</v>
      </c>
      <c r="U4833" s="81" t="e">
        <f>HLOOKUP(N4833,データについて!$J$8:$M$18,11,FALSE)</f>
        <v>#N/A</v>
      </c>
      <c r="V4833" s="81" t="e">
        <f>HLOOKUP(O4833,データについて!$J$9:$M$18,10,FALSE)</f>
        <v>#N/A</v>
      </c>
      <c r="W4833" s="81" t="e">
        <f>HLOOKUP(P4833,データについて!$J$10:$M$18,9,FALSE)</f>
        <v>#N/A</v>
      </c>
      <c r="X4833" s="81" t="e">
        <f>HLOOKUP(Q4833,データについて!$J$11:$M$18,8,FALSE)</f>
        <v>#N/A</v>
      </c>
      <c r="Y4833" s="81" t="e">
        <f>HLOOKUP(R4833,データについて!$J$12:$M$18,7,FALSE)</f>
        <v>#N/A</v>
      </c>
      <c r="Z4833" s="81" t="e">
        <f>HLOOKUP(I4833,データについて!$J$3:$M$18,16,FALSE)</f>
        <v>#N/A</v>
      </c>
      <c r="AA4833" s="81" t="str">
        <f>IFERROR(HLOOKUP(J4833,データについて!$J$4:$AH$19,16,FALSE),"")</f>
        <v/>
      </c>
      <c r="AB4833" s="81" t="str">
        <f>IFERROR(HLOOKUP(K4833,データについて!$J$5:$AH$20,14,FALSE),"")</f>
        <v/>
      </c>
      <c r="AC4833" s="81" t="e">
        <f>IF(X4833=1,HLOOKUP(R4833,データについて!$J$12:$M$18,7,FALSE),"*")</f>
        <v>#N/A</v>
      </c>
      <c r="AD4833" s="81" t="e">
        <f>IF(X4833=2,HLOOKUP(R4833,データについて!$J$12:$M$18,7,FALSE),"*")</f>
        <v>#N/A</v>
      </c>
    </row>
    <row r="4834" spans="19:30">
      <c r="S4834" s="81" t="e">
        <f>HLOOKUP(L4834,データについて!$J$6:$M$18,13,FALSE)</f>
        <v>#N/A</v>
      </c>
      <c r="T4834" s="81" t="e">
        <f>HLOOKUP(M4834,データについて!$J$7:$M$18,12,FALSE)</f>
        <v>#N/A</v>
      </c>
      <c r="U4834" s="81" t="e">
        <f>HLOOKUP(N4834,データについて!$J$8:$M$18,11,FALSE)</f>
        <v>#N/A</v>
      </c>
      <c r="V4834" s="81" t="e">
        <f>HLOOKUP(O4834,データについて!$J$9:$M$18,10,FALSE)</f>
        <v>#N/A</v>
      </c>
      <c r="W4834" s="81" t="e">
        <f>HLOOKUP(P4834,データについて!$J$10:$M$18,9,FALSE)</f>
        <v>#N/A</v>
      </c>
      <c r="X4834" s="81" t="e">
        <f>HLOOKUP(Q4834,データについて!$J$11:$M$18,8,FALSE)</f>
        <v>#N/A</v>
      </c>
      <c r="Y4834" s="81" t="e">
        <f>HLOOKUP(R4834,データについて!$J$12:$M$18,7,FALSE)</f>
        <v>#N/A</v>
      </c>
      <c r="Z4834" s="81" t="e">
        <f>HLOOKUP(I4834,データについて!$J$3:$M$18,16,FALSE)</f>
        <v>#N/A</v>
      </c>
      <c r="AA4834" s="81" t="str">
        <f>IFERROR(HLOOKUP(J4834,データについて!$J$4:$AH$19,16,FALSE),"")</f>
        <v/>
      </c>
      <c r="AB4834" s="81" t="str">
        <f>IFERROR(HLOOKUP(K4834,データについて!$J$5:$AH$20,14,FALSE),"")</f>
        <v/>
      </c>
      <c r="AC4834" s="81" t="e">
        <f>IF(X4834=1,HLOOKUP(R4834,データについて!$J$12:$M$18,7,FALSE),"*")</f>
        <v>#N/A</v>
      </c>
      <c r="AD4834" s="81" t="e">
        <f>IF(X4834=2,HLOOKUP(R4834,データについて!$J$12:$M$18,7,FALSE),"*")</f>
        <v>#N/A</v>
      </c>
    </row>
    <row r="4835" spans="19:30">
      <c r="S4835" s="81" t="e">
        <f>HLOOKUP(L4835,データについて!$J$6:$M$18,13,FALSE)</f>
        <v>#N/A</v>
      </c>
      <c r="T4835" s="81" t="e">
        <f>HLOOKUP(M4835,データについて!$J$7:$M$18,12,FALSE)</f>
        <v>#N/A</v>
      </c>
      <c r="U4835" s="81" t="e">
        <f>HLOOKUP(N4835,データについて!$J$8:$M$18,11,FALSE)</f>
        <v>#N/A</v>
      </c>
      <c r="V4835" s="81" t="e">
        <f>HLOOKUP(O4835,データについて!$J$9:$M$18,10,FALSE)</f>
        <v>#N/A</v>
      </c>
      <c r="W4835" s="81" t="e">
        <f>HLOOKUP(P4835,データについて!$J$10:$M$18,9,FALSE)</f>
        <v>#N/A</v>
      </c>
      <c r="X4835" s="81" t="e">
        <f>HLOOKUP(Q4835,データについて!$J$11:$M$18,8,FALSE)</f>
        <v>#N/A</v>
      </c>
      <c r="Y4835" s="81" t="e">
        <f>HLOOKUP(R4835,データについて!$J$12:$M$18,7,FALSE)</f>
        <v>#N/A</v>
      </c>
      <c r="Z4835" s="81" t="e">
        <f>HLOOKUP(I4835,データについて!$J$3:$M$18,16,FALSE)</f>
        <v>#N/A</v>
      </c>
      <c r="AA4835" s="81" t="str">
        <f>IFERROR(HLOOKUP(J4835,データについて!$J$4:$AH$19,16,FALSE),"")</f>
        <v/>
      </c>
      <c r="AB4835" s="81" t="str">
        <f>IFERROR(HLOOKUP(K4835,データについて!$J$5:$AH$20,14,FALSE),"")</f>
        <v/>
      </c>
      <c r="AC4835" s="81" t="e">
        <f>IF(X4835=1,HLOOKUP(R4835,データについて!$J$12:$M$18,7,FALSE),"*")</f>
        <v>#N/A</v>
      </c>
      <c r="AD4835" s="81" t="e">
        <f>IF(X4835=2,HLOOKUP(R4835,データについて!$J$12:$M$18,7,FALSE),"*")</f>
        <v>#N/A</v>
      </c>
    </row>
    <row r="4836" spans="19:30">
      <c r="S4836" s="81" t="e">
        <f>HLOOKUP(L4836,データについて!$J$6:$M$18,13,FALSE)</f>
        <v>#N/A</v>
      </c>
      <c r="T4836" s="81" t="e">
        <f>HLOOKUP(M4836,データについて!$J$7:$M$18,12,FALSE)</f>
        <v>#N/A</v>
      </c>
      <c r="U4836" s="81" t="e">
        <f>HLOOKUP(N4836,データについて!$J$8:$M$18,11,FALSE)</f>
        <v>#N/A</v>
      </c>
      <c r="V4836" s="81" t="e">
        <f>HLOOKUP(O4836,データについて!$J$9:$M$18,10,FALSE)</f>
        <v>#N/A</v>
      </c>
      <c r="W4836" s="81" t="e">
        <f>HLOOKUP(P4836,データについて!$J$10:$M$18,9,FALSE)</f>
        <v>#N/A</v>
      </c>
      <c r="X4836" s="81" t="e">
        <f>HLOOKUP(Q4836,データについて!$J$11:$M$18,8,FALSE)</f>
        <v>#N/A</v>
      </c>
      <c r="Y4836" s="81" t="e">
        <f>HLOOKUP(R4836,データについて!$J$12:$M$18,7,FALSE)</f>
        <v>#N/A</v>
      </c>
      <c r="Z4836" s="81" t="e">
        <f>HLOOKUP(I4836,データについて!$J$3:$M$18,16,FALSE)</f>
        <v>#N/A</v>
      </c>
      <c r="AA4836" s="81" t="str">
        <f>IFERROR(HLOOKUP(J4836,データについて!$J$4:$AH$19,16,FALSE),"")</f>
        <v/>
      </c>
      <c r="AB4836" s="81" t="str">
        <f>IFERROR(HLOOKUP(K4836,データについて!$J$5:$AH$20,14,FALSE),"")</f>
        <v/>
      </c>
      <c r="AC4836" s="81" t="e">
        <f>IF(X4836=1,HLOOKUP(R4836,データについて!$J$12:$M$18,7,FALSE),"*")</f>
        <v>#N/A</v>
      </c>
      <c r="AD4836" s="81" t="e">
        <f>IF(X4836=2,HLOOKUP(R4836,データについて!$J$12:$M$18,7,FALSE),"*")</f>
        <v>#N/A</v>
      </c>
    </row>
    <row r="4837" spans="19:30">
      <c r="S4837" s="81" t="e">
        <f>HLOOKUP(L4837,データについて!$J$6:$M$18,13,FALSE)</f>
        <v>#N/A</v>
      </c>
      <c r="T4837" s="81" t="e">
        <f>HLOOKUP(M4837,データについて!$J$7:$M$18,12,FALSE)</f>
        <v>#N/A</v>
      </c>
      <c r="U4837" s="81" t="e">
        <f>HLOOKUP(N4837,データについて!$J$8:$M$18,11,FALSE)</f>
        <v>#N/A</v>
      </c>
      <c r="V4837" s="81" t="e">
        <f>HLOOKUP(O4837,データについて!$J$9:$M$18,10,FALSE)</f>
        <v>#N/A</v>
      </c>
      <c r="W4837" s="81" t="e">
        <f>HLOOKUP(P4837,データについて!$J$10:$M$18,9,FALSE)</f>
        <v>#N/A</v>
      </c>
      <c r="X4837" s="81" t="e">
        <f>HLOOKUP(Q4837,データについて!$J$11:$M$18,8,FALSE)</f>
        <v>#N/A</v>
      </c>
      <c r="Y4837" s="81" t="e">
        <f>HLOOKUP(R4837,データについて!$J$12:$M$18,7,FALSE)</f>
        <v>#N/A</v>
      </c>
      <c r="Z4837" s="81" t="e">
        <f>HLOOKUP(I4837,データについて!$J$3:$M$18,16,FALSE)</f>
        <v>#N/A</v>
      </c>
      <c r="AA4837" s="81" t="str">
        <f>IFERROR(HLOOKUP(J4837,データについて!$J$4:$AH$19,16,FALSE),"")</f>
        <v/>
      </c>
      <c r="AB4837" s="81" t="str">
        <f>IFERROR(HLOOKUP(K4837,データについて!$J$5:$AH$20,14,FALSE),"")</f>
        <v/>
      </c>
      <c r="AC4837" s="81" t="e">
        <f>IF(X4837=1,HLOOKUP(R4837,データについて!$J$12:$M$18,7,FALSE),"*")</f>
        <v>#N/A</v>
      </c>
      <c r="AD4837" s="81" t="e">
        <f>IF(X4837=2,HLOOKUP(R4837,データについて!$J$12:$M$18,7,FALSE),"*")</f>
        <v>#N/A</v>
      </c>
    </row>
    <row r="4838" spans="19:30">
      <c r="S4838" s="81" t="e">
        <f>HLOOKUP(L4838,データについて!$J$6:$M$18,13,FALSE)</f>
        <v>#N/A</v>
      </c>
      <c r="T4838" s="81" t="e">
        <f>HLOOKUP(M4838,データについて!$J$7:$M$18,12,FALSE)</f>
        <v>#N/A</v>
      </c>
      <c r="U4838" s="81" t="e">
        <f>HLOOKUP(N4838,データについて!$J$8:$M$18,11,FALSE)</f>
        <v>#N/A</v>
      </c>
      <c r="V4838" s="81" t="e">
        <f>HLOOKUP(O4838,データについて!$J$9:$M$18,10,FALSE)</f>
        <v>#N/A</v>
      </c>
      <c r="W4838" s="81" t="e">
        <f>HLOOKUP(P4838,データについて!$J$10:$M$18,9,FALSE)</f>
        <v>#N/A</v>
      </c>
      <c r="X4838" s="81" t="e">
        <f>HLOOKUP(Q4838,データについて!$J$11:$M$18,8,FALSE)</f>
        <v>#N/A</v>
      </c>
      <c r="Y4838" s="81" t="e">
        <f>HLOOKUP(R4838,データについて!$J$12:$M$18,7,FALSE)</f>
        <v>#N/A</v>
      </c>
      <c r="Z4838" s="81" t="e">
        <f>HLOOKUP(I4838,データについて!$J$3:$M$18,16,FALSE)</f>
        <v>#N/A</v>
      </c>
      <c r="AA4838" s="81" t="str">
        <f>IFERROR(HLOOKUP(J4838,データについて!$J$4:$AH$19,16,FALSE),"")</f>
        <v/>
      </c>
      <c r="AB4838" s="81" t="str">
        <f>IFERROR(HLOOKUP(K4838,データについて!$J$5:$AH$20,14,FALSE),"")</f>
        <v/>
      </c>
      <c r="AC4838" s="81" t="e">
        <f>IF(X4838=1,HLOOKUP(R4838,データについて!$J$12:$M$18,7,FALSE),"*")</f>
        <v>#N/A</v>
      </c>
      <c r="AD4838" s="81" t="e">
        <f>IF(X4838=2,HLOOKUP(R4838,データについて!$J$12:$M$18,7,FALSE),"*")</f>
        <v>#N/A</v>
      </c>
    </row>
    <row r="4839" spans="19:30">
      <c r="S4839" s="81" t="e">
        <f>HLOOKUP(L4839,データについて!$J$6:$M$18,13,FALSE)</f>
        <v>#N/A</v>
      </c>
      <c r="T4839" s="81" t="e">
        <f>HLOOKUP(M4839,データについて!$J$7:$M$18,12,FALSE)</f>
        <v>#N/A</v>
      </c>
      <c r="U4839" s="81" t="e">
        <f>HLOOKUP(N4839,データについて!$J$8:$M$18,11,FALSE)</f>
        <v>#N/A</v>
      </c>
      <c r="V4839" s="81" t="e">
        <f>HLOOKUP(O4839,データについて!$J$9:$M$18,10,FALSE)</f>
        <v>#N/A</v>
      </c>
      <c r="W4839" s="81" t="e">
        <f>HLOOKUP(P4839,データについて!$J$10:$M$18,9,FALSE)</f>
        <v>#N/A</v>
      </c>
      <c r="X4839" s="81" t="e">
        <f>HLOOKUP(Q4839,データについて!$J$11:$M$18,8,FALSE)</f>
        <v>#N/A</v>
      </c>
      <c r="Y4839" s="81" t="e">
        <f>HLOOKUP(R4839,データについて!$J$12:$M$18,7,FALSE)</f>
        <v>#N/A</v>
      </c>
      <c r="Z4839" s="81" t="e">
        <f>HLOOKUP(I4839,データについて!$J$3:$M$18,16,FALSE)</f>
        <v>#N/A</v>
      </c>
      <c r="AA4839" s="81" t="str">
        <f>IFERROR(HLOOKUP(J4839,データについて!$J$4:$AH$19,16,FALSE),"")</f>
        <v/>
      </c>
      <c r="AB4839" s="81" t="str">
        <f>IFERROR(HLOOKUP(K4839,データについて!$J$5:$AH$20,14,FALSE),"")</f>
        <v/>
      </c>
      <c r="AC4839" s="81" t="e">
        <f>IF(X4839=1,HLOOKUP(R4839,データについて!$J$12:$M$18,7,FALSE),"*")</f>
        <v>#N/A</v>
      </c>
      <c r="AD4839" s="81" t="e">
        <f>IF(X4839=2,HLOOKUP(R4839,データについて!$J$12:$M$18,7,FALSE),"*")</f>
        <v>#N/A</v>
      </c>
    </row>
    <row r="4840" spans="19:30">
      <c r="S4840" s="81" t="e">
        <f>HLOOKUP(L4840,データについて!$J$6:$M$18,13,FALSE)</f>
        <v>#N/A</v>
      </c>
      <c r="T4840" s="81" t="e">
        <f>HLOOKUP(M4840,データについて!$J$7:$M$18,12,FALSE)</f>
        <v>#N/A</v>
      </c>
      <c r="U4840" s="81" t="e">
        <f>HLOOKUP(N4840,データについて!$J$8:$M$18,11,FALSE)</f>
        <v>#N/A</v>
      </c>
      <c r="V4840" s="81" t="e">
        <f>HLOOKUP(O4840,データについて!$J$9:$M$18,10,FALSE)</f>
        <v>#N/A</v>
      </c>
      <c r="W4840" s="81" t="e">
        <f>HLOOKUP(P4840,データについて!$J$10:$M$18,9,FALSE)</f>
        <v>#N/A</v>
      </c>
      <c r="X4840" s="81" t="e">
        <f>HLOOKUP(Q4840,データについて!$J$11:$M$18,8,FALSE)</f>
        <v>#N/A</v>
      </c>
      <c r="Y4840" s="81" t="e">
        <f>HLOOKUP(R4840,データについて!$J$12:$M$18,7,FALSE)</f>
        <v>#N/A</v>
      </c>
      <c r="Z4840" s="81" t="e">
        <f>HLOOKUP(I4840,データについて!$J$3:$M$18,16,FALSE)</f>
        <v>#N/A</v>
      </c>
      <c r="AA4840" s="81" t="str">
        <f>IFERROR(HLOOKUP(J4840,データについて!$J$4:$AH$19,16,FALSE),"")</f>
        <v/>
      </c>
      <c r="AB4840" s="81" t="str">
        <f>IFERROR(HLOOKUP(K4840,データについて!$J$5:$AH$20,14,FALSE),"")</f>
        <v/>
      </c>
      <c r="AC4840" s="81" t="e">
        <f>IF(X4840=1,HLOOKUP(R4840,データについて!$J$12:$M$18,7,FALSE),"*")</f>
        <v>#N/A</v>
      </c>
      <c r="AD4840" s="81" t="e">
        <f>IF(X4840=2,HLOOKUP(R4840,データについて!$J$12:$M$18,7,FALSE),"*")</f>
        <v>#N/A</v>
      </c>
    </row>
    <row r="4841" spans="19:30">
      <c r="S4841" s="81" t="e">
        <f>HLOOKUP(L4841,データについて!$J$6:$M$18,13,FALSE)</f>
        <v>#N/A</v>
      </c>
      <c r="T4841" s="81" t="e">
        <f>HLOOKUP(M4841,データについて!$J$7:$M$18,12,FALSE)</f>
        <v>#N/A</v>
      </c>
      <c r="U4841" s="81" t="e">
        <f>HLOOKUP(N4841,データについて!$J$8:$M$18,11,FALSE)</f>
        <v>#N/A</v>
      </c>
      <c r="V4841" s="81" t="e">
        <f>HLOOKUP(O4841,データについて!$J$9:$M$18,10,FALSE)</f>
        <v>#N/A</v>
      </c>
      <c r="W4841" s="81" t="e">
        <f>HLOOKUP(P4841,データについて!$J$10:$M$18,9,FALSE)</f>
        <v>#N/A</v>
      </c>
      <c r="X4841" s="81" t="e">
        <f>HLOOKUP(Q4841,データについて!$J$11:$M$18,8,FALSE)</f>
        <v>#N/A</v>
      </c>
      <c r="Y4841" s="81" t="e">
        <f>HLOOKUP(R4841,データについて!$J$12:$M$18,7,FALSE)</f>
        <v>#N/A</v>
      </c>
      <c r="Z4841" s="81" t="e">
        <f>HLOOKUP(I4841,データについて!$J$3:$M$18,16,FALSE)</f>
        <v>#N/A</v>
      </c>
      <c r="AA4841" s="81" t="str">
        <f>IFERROR(HLOOKUP(J4841,データについて!$J$4:$AH$19,16,FALSE),"")</f>
        <v/>
      </c>
      <c r="AB4841" s="81" t="str">
        <f>IFERROR(HLOOKUP(K4841,データについて!$J$5:$AH$20,14,FALSE),"")</f>
        <v/>
      </c>
      <c r="AC4841" s="81" t="e">
        <f>IF(X4841=1,HLOOKUP(R4841,データについて!$J$12:$M$18,7,FALSE),"*")</f>
        <v>#N/A</v>
      </c>
      <c r="AD4841" s="81" t="e">
        <f>IF(X4841=2,HLOOKUP(R4841,データについて!$J$12:$M$18,7,FALSE),"*")</f>
        <v>#N/A</v>
      </c>
    </row>
    <row r="4842" spans="19:30">
      <c r="S4842" s="81" t="e">
        <f>HLOOKUP(L4842,データについて!$J$6:$M$18,13,FALSE)</f>
        <v>#N/A</v>
      </c>
      <c r="T4842" s="81" t="e">
        <f>HLOOKUP(M4842,データについて!$J$7:$M$18,12,FALSE)</f>
        <v>#N/A</v>
      </c>
      <c r="U4842" s="81" t="e">
        <f>HLOOKUP(N4842,データについて!$J$8:$M$18,11,FALSE)</f>
        <v>#N/A</v>
      </c>
      <c r="V4842" s="81" t="e">
        <f>HLOOKUP(O4842,データについて!$J$9:$M$18,10,FALSE)</f>
        <v>#N/A</v>
      </c>
      <c r="W4842" s="81" t="e">
        <f>HLOOKUP(P4842,データについて!$J$10:$M$18,9,FALSE)</f>
        <v>#N/A</v>
      </c>
      <c r="X4842" s="81" t="e">
        <f>HLOOKUP(Q4842,データについて!$J$11:$M$18,8,FALSE)</f>
        <v>#N/A</v>
      </c>
      <c r="Y4842" s="81" t="e">
        <f>HLOOKUP(R4842,データについて!$J$12:$M$18,7,FALSE)</f>
        <v>#N/A</v>
      </c>
      <c r="Z4842" s="81" t="e">
        <f>HLOOKUP(I4842,データについて!$J$3:$M$18,16,FALSE)</f>
        <v>#N/A</v>
      </c>
      <c r="AA4842" s="81" t="str">
        <f>IFERROR(HLOOKUP(J4842,データについて!$J$4:$AH$19,16,FALSE),"")</f>
        <v/>
      </c>
      <c r="AB4842" s="81" t="str">
        <f>IFERROR(HLOOKUP(K4842,データについて!$J$5:$AH$20,14,FALSE),"")</f>
        <v/>
      </c>
      <c r="AC4842" s="81" t="e">
        <f>IF(X4842=1,HLOOKUP(R4842,データについて!$J$12:$M$18,7,FALSE),"*")</f>
        <v>#N/A</v>
      </c>
      <c r="AD4842" s="81" t="e">
        <f>IF(X4842=2,HLOOKUP(R4842,データについて!$J$12:$M$18,7,FALSE),"*")</f>
        <v>#N/A</v>
      </c>
    </row>
    <row r="4843" spans="19:30">
      <c r="S4843" s="81" t="e">
        <f>HLOOKUP(L4843,データについて!$J$6:$M$18,13,FALSE)</f>
        <v>#N/A</v>
      </c>
      <c r="T4843" s="81" t="e">
        <f>HLOOKUP(M4843,データについて!$J$7:$M$18,12,FALSE)</f>
        <v>#N/A</v>
      </c>
      <c r="U4843" s="81" t="e">
        <f>HLOOKUP(N4843,データについて!$J$8:$M$18,11,FALSE)</f>
        <v>#N/A</v>
      </c>
      <c r="V4843" s="81" t="e">
        <f>HLOOKUP(O4843,データについて!$J$9:$M$18,10,FALSE)</f>
        <v>#N/A</v>
      </c>
      <c r="W4843" s="81" t="e">
        <f>HLOOKUP(P4843,データについて!$J$10:$M$18,9,FALSE)</f>
        <v>#N/A</v>
      </c>
      <c r="X4843" s="81" t="e">
        <f>HLOOKUP(Q4843,データについて!$J$11:$M$18,8,FALSE)</f>
        <v>#N/A</v>
      </c>
      <c r="Y4843" s="81" t="e">
        <f>HLOOKUP(R4843,データについて!$J$12:$M$18,7,FALSE)</f>
        <v>#N/A</v>
      </c>
      <c r="Z4843" s="81" t="e">
        <f>HLOOKUP(I4843,データについて!$J$3:$M$18,16,FALSE)</f>
        <v>#N/A</v>
      </c>
      <c r="AA4843" s="81" t="str">
        <f>IFERROR(HLOOKUP(J4843,データについて!$J$4:$AH$19,16,FALSE),"")</f>
        <v/>
      </c>
      <c r="AB4843" s="81" t="str">
        <f>IFERROR(HLOOKUP(K4843,データについて!$J$5:$AH$20,14,FALSE),"")</f>
        <v/>
      </c>
      <c r="AC4843" s="81" t="e">
        <f>IF(X4843=1,HLOOKUP(R4843,データについて!$J$12:$M$18,7,FALSE),"*")</f>
        <v>#N/A</v>
      </c>
      <c r="AD4843" s="81" t="e">
        <f>IF(X4843=2,HLOOKUP(R4843,データについて!$J$12:$M$18,7,FALSE),"*")</f>
        <v>#N/A</v>
      </c>
    </row>
    <row r="4844" spans="19:30">
      <c r="S4844" s="81" t="e">
        <f>HLOOKUP(L4844,データについて!$J$6:$M$18,13,FALSE)</f>
        <v>#N/A</v>
      </c>
      <c r="T4844" s="81" t="e">
        <f>HLOOKUP(M4844,データについて!$J$7:$M$18,12,FALSE)</f>
        <v>#N/A</v>
      </c>
      <c r="U4844" s="81" t="e">
        <f>HLOOKUP(N4844,データについて!$J$8:$M$18,11,FALSE)</f>
        <v>#N/A</v>
      </c>
      <c r="V4844" s="81" t="e">
        <f>HLOOKUP(O4844,データについて!$J$9:$M$18,10,FALSE)</f>
        <v>#N/A</v>
      </c>
      <c r="W4844" s="81" t="e">
        <f>HLOOKUP(P4844,データについて!$J$10:$M$18,9,FALSE)</f>
        <v>#N/A</v>
      </c>
      <c r="X4844" s="81" t="e">
        <f>HLOOKUP(Q4844,データについて!$J$11:$M$18,8,FALSE)</f>
        <v>#N/A</v>
      </c>
      <c r="Y4844" s="81" t="e">
        <f>HLOOKUP(R4844,データについて!$J$12:$M$18,7,FALSE)</f>
        <v>#N/A</v>
      </c>
      <c r="Z4844" s="81" t="e">
        <f>HLOOKUP(I4844,データについて!$J$3:$M$18,16,FALSE)</f>
        <v>#N/A</v>
      </c>
      <c r="AA4844" s="81" t="str">
        <f>IFERROR(HLOOKUP(J4844,データについて!$J$4:$AH$19,16,FALSE),"")</f>
        <v/>
      </c>
      <c r="AB4844" s="81" t="str">
        <f>IFERROR(HLOOKUP(K4844,データについて!$J$5:$AH$20,14,FALSE),"")</f>
        <v/>
      </c>
      <c r="AC4844" s="81" t="e">
        <f>IF(X4844=1,HLOOKUP(R4844,データについて!$J$12:$M$18,7,FALSE),"*")</f>
        <v>#N/A</v>
      </c>
      <c r="AD4844" s="81" t="e">
        <f>IF(X4844=2,HLOOKUP(R4844,データについて!$J$12:$M$18,7,FALSE),"*")</f>
        <v>#N/A</v>
      </c>
    </row>
    <row r="4845" spans="19:30">
      <c r="S4845" s="81" t="e">
        <f>HLOOKUP(L4845,データについて!$J$6:$M$18,13,FALSE)</f>
        <v>#N/A</v>
      </c>
      <c r="T4845" s="81" t="e">
        <f>HLOOKUP(M4845,データについて!$J$7:$M$18,12,FALSE)</f>
        <v>#N/A</v>
      </c>
      <c r="U4845" s="81" t="e">
        <f>HLOOKUP(N4845,データについて!$J$8:$M$18,11,FALSE)</f>
        <v>#N/A</v>
      </c>
      <c r="V4845" s="81" t="e">
        <f>HLOOKUP(O4845,データについて!$J$9:$M$18,10,FALSE)</f>
        <v>#N/A</v>
      </c>
      <c r="W4845" s="81" t="e">
        <f>HLOOKUP(P4845,データについて!$J$10:$M$18,9,FALSE)</f>
        <v>#N/A</v>
      </c>
      <c r="X4845" s="81" t="e">
        <f>HLOOKUP(Q4845,データについて!$J$11:$M$18,8,FALSE)</f>
        <v>#N/A</v>
      </c>
      <c r="Y4845" s="81" t="e">
        <f>HLOOKUP(R4845,データについて!$J$12:$M$18,7,FALSE)</f>
        <v>#N/A</v>
      </c>
      <c r="Z4845" s="81" t="e">
        <f>HLOOKUP(I4845,データについて!$J$3:$M$18,16,FALSE)</f>
        <v>#N/A</v>
      </c>
      <c r="AA4845" s="81" t="str">
        <f>IFERROR(HLOOKUP(J4845,データについて!$J$4:$AH$19,16,FALSE),"")</f>
        <v/>
      </c>
      <c r="AB4845" s="81" t="str">
        <f>IFERROR(HLOOKUP(K4845,データについて!$J$5:$AH$20,14,FALSE),"")</f>
        <v/>
      </c>
      <c r="AC4845" s="81" t="e">
        <f>IF(X4845=1,HLOOKUP(R4845,データについて!$J$12:$M$18,7,FALSE),"*")</f>
        <v>#N/A</v>
      </c>
      <c r="AD4845" s="81" t="e">
        <f>IF(X4845=2,HLOOKUP(R4845,データについて!$J$12:$M$18,7,FALSE),"*")</f>
        <v>#N/A</v>
      </c>
    </row>
    <row r="4846" spans="19:30">
      <c r="S4846" s="81" t="e">
        <f>HLOOKUP(L4846,データについて!$J$6:$M$18,13,FALSE)</f>
        <v>#N/A</v>
      </c>
      <c r="T4846" s="81" t="e">
        <f>HLOOKUP(M4846,データについて!$J$7:$M$18,12,FALSE)</f>
        <v>#N/A</v>
      </c>
      <c r="U4846" s="81" t="e">
        <f>HLOOKUP(N4846,データについて!$J$8:$M$18,11,FALSE)</f>
        <v>#N/A</v>
      </c>
      <c r="V4846" s="81" t="e">
        <f>HLOOKUP(O4846,データについて!$J$9:$M$18,10,FALSE)</f>
        <v>#N/A</v>
      </c>
      <c r="W4846" s="81" t="e">
        <f>HLOOKUP(P4846,データについて!$J$10:$M$18,9,FALSE)</f>
        <v>#N/A</v>
      </c>
      <c r="X4846" s="81" t="e">
        <f>HLOOKUP(Q4846,データについて!$J$11:$M$18,8,FALSE)</f>
        <v>#N/A</v>
      </c>
      <c r="Y4846" s="81" t="e">
        <f>HLOOKUP(R4846,データについて!$J$12:$M$18,7,FALSE)</f>
        <v>#N/A</v>
      </c>
      <c r="Z4846" s="81" t="e">
        <f>HLOOKUP(I4846,データについて!$J$3:$M$18,16,FALSE)</f>
        <v>#N/A</v>
      </c>
      <c r="AA4846" s="81" t="str">
        <f>IFERROR(HLOOKUP(J4846,データについて!$J$4:$AH$19,16,FALSE),"")</f>
        <v/>
      </c>
      <c r="AB4846" s="81" t="str">
        <f>IFERROR(HLOOKUP(K4846,データについて!$J$5:$AH$20,14,FALSE),"")</f>
        <v/>
      </c>
      <c r="AC4846" s="81" t="e">
        <f>IF(X4846=1,HLOOKUP(R4846,データについて!$J$12:$M$18,7,FALSE),"*")</f>
        <v>#N/A</v>
      </c>
      <c r="AD4846" s="81" t="e">
        <f>IF(X4846=2,HLOOKUP(R4846,データについて!$J$12:$M$18,7,FALSE),"*")</f>
        <v>#N/A</v>
      </c>
    </row>
    <row r="4847" spans="19:30">
      <c r="S4847" s="81" t="e">
        <f>HLOOKUP(L4847,データについて!$J$6:$M$18,13,FALSE)</f>
        <v>#N/A</v>
      </c>
      <c r="T4847" s="81" t="e">
        <f>HLOOKUP(M4847,データについて!$J$7:$M$18,12,FALSE)</f>
        <v>#N/A</v>
      </c>
      <c r="U4847" s="81" t="e">
        <f>HLOOKUP(N4847,データについて!$J$8:$M$18,11,FALSE)</f>
        <v>#N/A</v>
      </c>
      <c r="V4847" s="81" t="e">
        <f>HLOOKUP(O4847,データについて!$J$9:$M$18,10,FALSE)</f>
        <v>#N/A</v>
      </c>
      <c r="W4847" s="81" t="e">
        <f>HLOOKUP(P4847,データについて!$J$10:$M$18,9,FALSE)</f>
        <v>#N/A</v>
      </c>
      <c r="X4847" s="81" t="e">
        <f>HLOOKUP(Q4847,データについて!$J$11:$M$18,8,FALSE)</f>
        <v>#N/A</v>
      </c>
      <c r="Y4847" s="81" t="e">
        <f>HLOOKUP(R4847,データについて!$J$12:$M$18,7,FALSE)</f>
        <v>#N/A</v>
      </c>
      <c r="Z4847" s="81" t="e">
        <f>HLOOKUP(I4847,データについて!$J$3:$M$18,16,FALSE)</f>
        <v>#N/A</v>
      </c>
      <c r="AA4847" s="81" t="str">
        <f>IFERROR(HLOOKUP(J4847,データについて!$J$4:$AH$19,16,FALSE),"")</f>
        <v/>
      </c>
      <c r="AB4847" s="81" t="str">
        <f>IFERROR(HLOOKUP(K4847,データについて!$J$5:$AH$20,14,FALSE),"")</f>
        <v/>
      </c>
      <c r="AC4847" s="81" t="e">
        <f>IF(X4847=1,HLOOKUP(R4847,データについて!$J$12:$M$18,7,FALSE),"*")</f>
        <v>#N/A</v>
      </c>
      <c r="AD4847" s="81" t="e">
        <f>IF(X4847=2,HLOOKUP(R4847,データについて!$J$12:$M$18,7,FALSE),"*")</f>
        <v>#N/A</v>
      </c>
    </row>
    <row r="4848" spans="19:30">
      <c r="S4848" s="81" t="e">
        <f>HLOOKUP(L4848,データについて!$J$6:$M$18,13,FALSE)</f>
        <v>#N/A</v>
      </c>
      <c r="T4848" s="81" t="e">
        <f>HLOOKUP(M4848,データについて!$J$7:$M$18,12,FALSE)</f>
        <v>#N/A</v>
      </c>
      <c r="U4848" s="81" t="e">
        <f>HLOOKUP(N4848,データについて!$J$8:$M$18,11,FALSE)</f>
        <v>#N/A</v>
      </c>
      <c r="V4848" s="81" t="e">
        <f>HLOOKUP(O4848,データについて!$J$9:$M$18,10,FALSE)</f>
        <v>#N/A</v>
      </c>
      <c r="W4848" s="81" t="e">
        <f>HLOOKUP(P4848,データについて!$J$10:$M$18,9,FALSE)</f>
        <v>#N/A</v>
      </c>
      <c r="X4848" s="81" t="e">
        <f>HLOOKUP(Q4848,データについて!$J$11:$M$18,8,FALSE)</f>
        <v>#N/A</v>
      </c>
      <c r="Y4848" s="81" t="e">
        <f>HLOOKUP(R4848,データについて!$J$12:$M$18,7,FALSE)</f>
        <v>#N/A</v>
      </c>
      <c r="Z4848" s="81" t="e">
        <f>HLOOKUP(I4848,データについて!$J$3:$M$18,16,FALSE)</f>
        <v>#N/A</v>
      </c>
      <c r="AA4848" s="81" t="str">
        <f>IFERROR(HLOOKUP(J4848,データについて!$J$4:$AH$19,16,FALSE),"")</f>
        <v/>
      </c>
      <c r="AB4848" s="81" t="str">
        <f>IFERROR(HLOOKUP(K4848,データについて!$J$5:$AH$20,14,FALSE),"")</f>
        <v/>
      </c>
      <c r="AC4848" s="81" t="e">
        <f>IF(X4848=1,HLOOKUP(R4848,データについて!$J$12:$M$18,7,FALSE),"*")</f>
        <v>#N/A</v>
      </c>
      <c r="AD4848" s="81" t="e">
        <f>IF(X4848=2,HLOOKUP(R4848,データについて!$J$12:$M$18,7,FALSE),"*")</f>
        <v>#N/A</v>
      </c>
    </row>
    <row r="4849" spans="19:30">
      <c r="S4849" s="81" t="e">
        <f>HLOOKUP(L4849,データについて!$J$6:$M$18,13,FALSE)</f>
        <v>#N/A</v>
      </c>
      <c r="T4849" s="81" t="e">
        <f>HLOOKUP(M4849,データについて!$J$7:$M$18,12,FALSE)</f>
        <v>#N/A</v>
      </c>
      <c r="U4849" s="81" t="e">
        <f>HLOOKUP(N4849,データについて!$J$8:$M$18,11,FALSE)</f>
        <v>#N/A</v>
      </c>
      <c r="V4849" s="81" t="e">
        <f>HLOOKUP(O4849,データについて!$J$9:$M$18,10,FALSE)</f>
        <v>#N/A</v>
      </c>
      <c r="W4849" s="81" t="e">
        <f>HLOOKUP(P4849,データについて!$J$10:$M$18,9,FALSE)</f>
        <v>#N/A</v>
      </c>
      <c r="X4849" s="81" t="e">
        <f>HLOOKUP(Q4849,データについて!$J$11:$M$18,8,FALSE)</f>
        <v>#N/A</v>
      </c>
      <c r="Y4849" s="81" t="e">
        <f>HLOOKUP(R4849,データについて!$J$12:$M$18,7,FALSE)</f>
        <v>#N/A</v>
      </c>
      <c r="Z4849" s="81" t="e">
        <f>HLOOKUP(I4849,データについて!$J$3:$M$18,16,FALSE)</f>
        <v>#N/A</v>
      </c>
      <c r="AA4849" s="81" t="str">
        <f>IFERROR(HLOOKUP(J4849,データについて!$J$4:$AH$19,16,FALSE),"")</f>
        <v/>
      </c>
      <c r="AB4849" s="81" t="str">
        <f>IFERROR(HLOOKUP(K4849,データについて!$J$5:$AH$20,14,FALSE),"")</f>
        <v/>
      </c>
      <c r="AC4849" s="81" t="e">
        <f>IF(X4849=1,HLOOKUP(R4849,データについて!$J$12:$M$18,7,FALSE),"*")</f>
        <v>#N/A</v>
      </c>
      <c r="AD4849" s="81" t="e">
        <f>IF(X4849=2,HLOOKUP(R4849,データについて!$J$12:$M$18,7,FALSE),"*")</f>
        <v>#N/A</v>
      </c>
    </row>
    <row r="4850" spans="19:30">
      <c r="S4850" s="81" t="e">
        <f>HLOOKUP(L4850,データについて!$J$6:$M$18,13,FALSE)</f>
        <v>#N/A</v>
      </c>
      <c r="T4850" s="81" t="e">
        <f>HLOOKUP(M4850,データについて!$J$7:$M$18,12,FALSE)</f>
        <v>#N/A</v>
      </c>
      <c r="U4850" s="81" t="e">
        <f>HLOOKUP(N4850,データについて!$J$8:$M$18,11,FALSE)</f>
        <v>#N/A</v>
      </c>
      <c r="V4850" s="81" t="e">
        <f>HLOOKUP(O4850,データについて!$J$9:$M$18,10,FALSE)</f>
        <v>#N/A</v>
      </c>
      <c r="W4850" s="81" t="e">
        <f>HLOOKUP(P4850,データについて!$J$10:$M$18,9,FALSE)</f>
        <v>#N/A</v>
      </c>
      <c r="X4850" s="81" t="e">
        <f>HLOOKUP(Q4850,データについて!$J$11:$M$18,8,FALSE)</f>
        <v>#N/A</v>
      </c>
      <c r="Y4850" s="81" t="e">
        <f>HLOOKUP(R4850,データについて!$J$12:$M$18,7,FALSE)</f>
        <v>#N/A</v>
      </c>
      <c r="Z4850" s="81" t="e">
        <f>HLOOKUP(I4850,データについて!$J$3:$M$18,16,FALSE)</f>
        <v>#N/A</v>
      </c>
      <c r="AA4850" s="81" t="str">
        <f>IFERROR(HLOOKUP(J4850,データについて!$J$4:$AH$19,16,FALSE),"")</f>
        <v/>
      </c>
      <c r="AB4850" s="81" t="str">
        <f>IFERROR(HLOOKUP(K4850,データについて!$J$5:$AH$20,14,FALSE),"")</f>
        <v/>
      </c>
      <c r="AC4850" s="81" t="e">
        <f>IF(X4850=1,HLOOKUP(R4850,データについて!$J$12:$M$18,7,FALSE),"*")</f>
        <v>#N/A</v>
      </c>
      <c r="AD4850" s="81" t="e">
        <f>IF(X4850=2,HLOOKUP(R4850,データについて!$J$12:$M$18,7,FALSE),"*")</f>
        <v>#N/A</v>
      </c>
    </row>
    <row r="4851" spans="19:30">
      <c r="S4851" s="81" t="e">
        <f>HLOOKUP(L4851,データについて!$J$6:$M$18,13,FALSE)</f>
        <v>#N/A</v>
      </c>
      <c r="T4851" s="81" t="e">
        <f>HLOOKUP(M4851,データについて!$J$7:$M$18,12,FALSE)</f>
        <v>#N/A</v>
      </c>
      <c r="U4851" s="81" t="e">
        <f>HLOOKUP(N4851,データについて!$J$8:$M$18,11,FALSE)</f>
        <v>#N/A</v>
      </c>
      <c r="V4851" s="81" t="e">
        <f>HLOOKUP(O4851,データについて!$J$9:$M$18,10,FALSE)</f>
        <v>#N/A</v>
      </c>
      <c r="W4851" s="81" t="e">
        <f>HLOOKUP(P4851,データについて!$J$10:$M$18,9,FALSE)</f>
        <v>#N/A</v>
      </c>
      <c r="X4851" s="81" t="e">
        <f>HLOOKUP(Q4851,データについて!$J$11:$M$18,8,FALSE)</f>
        <v>#N/A</v>
      </c>
      <c r="Y4851" s="81" t="e">
        <f>HLOOKUP(R4851,データについて!$J$12:$M$18,7,FALSE)</f>
        <v>#N/A</v>
      </c>
      <c r="Z4851" s="81" t="e">
        <f>HLOOKUP(I4851,データについて!$J$3:$M$18,16,FALSE)</f>
        <v>#N/A</v>
      </c>
      <c r="AA4851" s="81" t="str">
        <f>IFERROR(HLOOKUP(J4851,データについて!$J$4:$AH$19,16,FALSE),"")</f>
        <v/>
      </c>
      <c r="AB4851" s="81" t="str">
        <f>IFERROR(HLOOKUP(K4851,データについて!$J$5:$AH$20,14,FALSE),"")</f>
        <v/>
      </c>
      <c r="AC4851" s="81" t="e">
        <f>IF(X4851=1,HLOOKUP(R4851,データについて!$J$12:$M$18,7,FALSE),"*")</f>
        <v>#N/A</v>
      </c>
      <c r="AD4851" s="81" t="e">
        <f>IF(X4851=2,HLOOKUP(R4851,データについて!$J$12:$M$18,7,FALSE),"*")</f>
        <v>#N/A</v>
      </c>
    </row>
    <row r="4852" spans="19:30">
      <c r="S4852" s="81" t="e">
        <f>HLOOKUP(L4852,データについて!$J$6:$M$18,13,FALSE)</f>
        <v>#N/A</v>
      </c>
      <c r="T4852" s="81" t="e">
        <f>HLOOKUP(M4852,データについて!$J$7:$M$18,12,FALSE)</f>
        <v>#N/A</v>
      </c>
      <c r="U4852" s="81" t="e">
        <f>HLOOKUP(N4852,データについて!$J$8:$M$18,11,FALSE)</f>
        <v>#N/A</v>
      </c>
      <c r="V4852" s="81" t="e">
        <f>HLOOKUP(O4852,データについて!$J$9:$M$18,10,FALSE)</f>
        <v>#N/A</v>
      </c>
      <c r="W4852" s="81" t="e">
        <f>HLOOKUP(P4852,データについて!$J$10:$M$18,9,FALSE)</f>
        <v>#N/A</v>
      </c>
      <c r="X4852" s="81" t="e">
        <f>HLOOKUP(Q4852,データについて!$J$11:$M$18,8,FALSE)</f>
        <v>#N/A</v>
      </c>
      <c r="Y4852" s="81" t="e">
        <f>HLOOKUP(R4852,データについて!$J$12:$M$18,7,FALSE)</f>
        <v>#N/A</v>
      </c>
      <c r="Z4852" s="81" t="e">
        <f>HLOOKUP(I4852,データについて!$J$3:$M$18,16,FALSE)</f>
        <v>#N/A</v>
      </c>
      <c r="AA4852" s="81" t="str">
        <f>IFERROR(HLOOKUP(J4852,データについて!$J$4:$AH$19,16,FALSE),"")</f>
        <v/>
      </c>
      <c r="AB4852" s="81" t="str">
        <f>IFERROR(HLOOKUP(K4852,データについて!$J$5:$AH$20,14,FALSE),"")</f>
        <v/>
      </c>
      <c r="AC4852" s="81" t="e">
        <f>IF(X4852=1,HLOOKUP(R4852,データについて!$J$12:$M$18,7,FALSE),"*")</f>
        <v>#N/A</v>
      </c>
      <c r="AD4852" s="81" t="e">
        <f>IF(X4852=2,HLOOKUP(R4852,データについて!$J$12:$M$18,7,FALSE),"*")</f>
        <v>#N/A</v>
      </c>
    </row>
    <row r="4853" spans="19:30">
      <c r="S4853" s="81" t="e">
        <f>HLOOKUP(L4853,データについて!$J$6:$M$18,13,FALSE)</f>
        <v>#N/A</v>
      </c>
      <c r="T4853" s="81" t="e">
        <f>HLOOKUP(M4853,データについて!$J$7:$M$18,12,FALSE)</f>
        <v>#N/A</v>
      </c>
      <c r="U4853" s="81" t="e">
        <f>HLOOKUP(N4853,データについて!$J$8:$M$18,11,FALSE)</f>
        <v>#N/A</v>
      </c>
      <c r="V4853" s="81" t="e">
        <f>HLOOKUP(O4853,データについて!$J$9:$M$18,10,FALSE)</f>
        <v>#N/A</v>
      </c>
      <c r="W4853" s="81" t="e">
        <f>HLOOKUP(P4853,データについて!$J$10:$M$18,9,FALSE)</f>
        <v>#N/A</v>
      </c>
      <c r="X4853" s="81" t="e">
        <f>HLOOKUP(Q4853,データについて!$J$11:$M$18,8,FALSE)</f>
        <v>#N/A</v>
      </c>
      <c r="Y4853" s="81" t="e">
        <f>HLOOKUP(R4853,データについて!$J$12:$M$18,7,FALSE)</f>
        <v>#N/A</v>
      </c>
      <c r="Z4853" s="81" t="e">
        <f>HLOOKUP(I4853,データについて!$J$3:$M$18,16,FALSE)</f>
        <v>#N/A</v>
      </c>
      <c r="AA4853" s="81" t="str">
        <f>IFERROR(HLOOKUP(J4853,データについて!$J$4:$AH$19,16,FALSE),"")</f>
        <v/>
      </c>
      <c r="AB4853" s="81" t="str">
        <f>IFERROR(HLOOKUP(K4853,データについて!$J$5:$AH$20,14,FALSE),"")</f>
        <v/>
      </c>
      <c r="AC4853" s="81" t="e">
        <f>IF(X4853=1,HLOOKUP(R4853,データについて!$J$12:$M$18,7,FALSE),"*")</f>
        <v>#N/A</v>
      </c>
      <c r="AD4853" s="81" t="e">
        <f>IF(X4853=2,HLOOKUP(R4853,データについて!$J$12:$M$18,7,FALSE),"*")</f>
        <v>#N/A</v>
      </c>
    </row>
    <row r="4854" spans="19:30">
      <c r="S4854" s="81" t="e">
        <f>HLOOKUP(L4854,データについて!$J$6:$M$18,13,FALSE)</f>
        <v>#N/A</v>
      </c>
      <c r="T4854" s="81" t="e">
        <f>HLOOKUP(M4854,データについて!$J$7:$M$18,12,FALSE)</f>
        <v>#N/A</v>
      </c>
      <c r="U4854" s="81" t="e">
        <f>HLOOKUP(N4854,データについて!$J$8:$M$18,11,FALSE)</f>
        <v>#N/A</v>
      </c>
      <c r="V4854" s="81" t="e">
        <f>HLOOKUP(O4854,データについて!$J$9:$M$18,10,FALSE)</f>
        <v>#N/A</v>
      </c>
      <c r="W4854" s="81" t="e">
        <f>HLOOKUP(P4854,データについて!$J$10:$M$18,9,FALSE)</f>
        <v>#N/A</v>
      </c>
      <c r="X4854" s="81" t="e">
        <f>HLOOKUP(Q4854,データについて!$J$11:$M$18,8,FALSE)</f>
        <v>#N/A</v>
      </c>
      <c r="Y4854" s="81" t="e">
        <f>HLOOKUP(R4854,データについて!$J$12:$M$18,7,FALSE)</f>
        <v>#N/A</v>
      </c>
      <c r="Z4854" s="81" t="e">
        <f>HLOOKUP(I4854,データについて!$J$3:$M$18,16,FALSE)</f>
        <v>#N/A</v>
      </c>
      <c r="AA4854" s="81" t="str">
        <f>IFERROR(HLOOKUP(J4854,データについて!$J$4:$AH$19,16,FALSE),"")</f>
        <v/>
      </c>
      <c r="AB4854" s="81" t="str">
        <f>IFERROR(HLOOKUP(K4854,データについて!$J$5:$AH$20,14,FALSE),"")</f>
        <v/>
      </c>
      <c r="AC4854" s="81" t="e">
        <f>IF(X4854=1,HLOOKUP(R4854,データについて!$J$12:$M$18,7,FALSE),"*")</f>
        <v>#N/A</v>
      </c>
      <c r="AD4854" s="81" t="e">
        <f>IF(X4854=2,HLOOKUP(R4854,データについて!$J$12:$M$18,7,FALSE),"*")</f>
        <v>#N/A</v>
      </c>
    </row>
    <row r="4855" spans="19:30">
      <c r="S4855" s="81" t="e">
        <f>HLOOKUP(L4855,データについて!$J$6:$M$18,13,FALSE)</f>
        <v>#N/A</v>
      </c>
      <c r="T4855" s="81" t="e">
        <f>HLOOKUP(M4855,データについて!$J$7:$M$18,12,FALSE)</f>
        <v>#N/A</v>
      </c>
      <c r="U4855" s="81" t="e">
        <f>HLOOKUP(N4855,データについて!$J$8:$M$18,11,FALSE)</f>
        <v>#N/A</v>
      </c>
      <c r="V4855" s="81" t="e">
        <f>HLOOKUP(O4855,データについて!$J$9:$M$18,10,FALSE)</f>
        <v>#N/A</v>
      </c>
      <c r="W4855" s="81" t="e">
        <f>HLOOKUP(P4855,データについて!$J$10:$M$18,9,FALSE)</f>
        <v>#N/A</v>
      </c>
      <c r="X4855" s="81" t="e">
        <f>HLOOKUP(Q4855,データについて!$J$11:$M$18,8,FALSE)</f>
        <v>#N/A</v>
      </c>
      <c r="Y4855" s="81" t="e">
        <f>HLOOKUP(R4855,データについて!$J$12:$M$18,7,FALSE)</f>
        <v>#N/A</v>
      </c>
      <c r="Z4855" s="81" t="e">
        <f>HLOOKUP(I4855,データについて!$J$3:$M$18,16,FALSE)</f>
        <v>#N/A</v>
      </c>
      <c r="AA4855" s="81" t="str">
        <f>IFERROR(HLOOKUP(J4855,データについて!$J$4:$AH$19,16,FALSE),"")</f>
        <v/>
      </c>
      <c r="AB4855" s="81" t="str">
        <f>IFERROR(HLOOKUP(K4855,データについて!$J$5:$AH$20,14,FALSE),"")</f>
        <v/>
      </c>
      <c r="AC4855" s="81" t="e">
        <f>IF(X4855=1,HLOOKUP(R4855,データについて!$J$12:$M$18,7,FALSE),"*")</f>
        <v>#N/A</v>
      </c>
      <c r="AD4855" s="81" t="e">
        <f>IF(X4855=2,HLOOKUP(R4855,データについて!$J$12:$M$18,7,FALSE),"*")</f>
        <v>#N/A</v>
      </c>
    </row>
    <row r="4856" spans="19:30">
      <c r="S4856" s="81" t="e">
        <f>HLOOKUP(L4856,データについて!$J$6:$M$18,13,FALSE)</f>
        <v>#N/A</v>
      </c>
      <c r="T4856" s="81" t="e">
        <f>HLOOKUP(M4856,データについて!$J$7:$M$18,12,FALSE)</f>
        <v>#N/A</v>
      </c>
      <c r="U4856" s="81" t="e">
        <f>HLOOKUP(N4856,データについて!$J$8:$M$18,11,FALSE)</f>
        <v>#N/A</v>
      </c>
      <c r="V4856" s="81" t="e">
        <f>HLOOKUP(O4856,データについて!$J$9:$M$18,10,FALSE)</f>
        <v>#N/A</v>
      </c>
      <c r="W4856" s="81" t="e">
        <f>HLOOKUP(P4856,データについて!$J$10:$M$18,9,FALSE)</f>
        <v>#N/A</v>
      </c>
      <c r="X4856" s="81" t="e">
        <f>HLOOKUP(Q4856,データについて!$J$11:$M$18,8,FALSE)</f>
        <v>#N/A</v>
      </c>
      <c r="Y4856" s="81" t="e">
        <f>HLOOKUP(R4856,データについて!$J$12:$M$18,7,FALSE)</f>
        <v>#N/A</v>
      </c>
      <c r="Z4856" s="81" t="e">
        <f>HLOOKUP(I4856,データについて!$J$3:$M$18,16,FALSE)</f>
        <v>#N/A</v>
      </c>
      <c r="AA4856" s="81" t="str">
        <f>IFERROR(HLOOKUP(J4856,データについて!$J$4:$AH$19,16,FALSE),"")</f>
        <v/>
      </c>
      <c r="AB4856" s="81" t="str">
        <f>IFERROR(HLOOKUP(K4856,データについて!$J$5:$AH$20,14,FALSE),"")</f>
        <v/>
      </c>
      <c r="AC4856" s="81" t="e">
        <f>IF(X4856=1,HLOOKUP(R4856,データについて!$J$12:$M$18,7,FALSE),"*")</f>
        <v>#N/A</v>
      </c>
      <c r="AD4856" s="81" t="e">
        <f>IF(X4856=2,HLOOKUP(R4856,データについて!$J$12:$M$18,7,FALSE),"*")</f>
        <v>#N/A</v>
      </c>
    </row>
    <row r="4857" spans="19:30">
      <c r="S4857" s="81" t="e">
        <f>HLOOKUP(L4857,データについて!$J$6:$M$18,13,FALSE)</f>
        <v>#N/A</v>
      </c>
      <c r="T4857" s="81" t="e">
        <f>HLOOKUP(M4857,データについて!$J$7:$M$18,12,FALSE)</f>
        <v>#N/A</v>
      </c>
      <c r="U4857" s="81" t="e">
        <f>HLOOKUP(N4857,データについて!$J$8:$M$18,11,FALSE)</f>
        <v>#N/A</v>
      </c>
      <c r="V4857" s="81" t="e">
        <f>HLOOKUP(O4857,データについて!$J$9:$M$18,10,FALSE)</f>
        <v>#N/A</v>
      </c>
      <c r="W4857" s="81" t="e">
        <f>HLOOKUP(P4857,データについて!$J$10:$M$18,9,FALSE)</f>
        <v>#N/A</v>
      </c>
      <c r="X4857" s="81" t="e">
        <f>HLOOKUP(Q4857,データについて!$J$11:$M$18,8,FALSE)</f>
        <v>#N/A</v>
      </c>
      <c r="Y4857" s="81" t="e">
        <f>HLOOKUP(R4857,データについて!$J$12:$M$18,7,FALSE)</f>
        <v>#N/A</v>
      </c>
      <c r="Z4857" s="81" t="e">
        <f>HLOOKUP(I4857,データについて!$J$3:$M$18,16,FALSE)</f>
        <v>#N/A</v>
      </c>
      <c r="AA4857" s="81" t="str">
        <f>IFERROR(HLOOKUP(J4857,データについて!$J$4:$AH$19,16,FALSE),"")</f>
        <v/>
      </c>
      <c r="AB4857" s="81" t="str">
        <f>IFERROR(HLOOKUP(K4857,データについて!$J$5:$AH$20,14,FALSE),"")</f>
        <v/>
      </c>
      <c r="AC4857" s="81" t="e">
        <f>IF(X4857=1,HLOOKUP(R4857,データについて!$J$12:$M$18,7,FALSE),"*")</f>
        <v>#N/A</v>
      </c>
      <c r="AD4857" s="81" t="e">
        <f>IF(X4857=2,HLOOKUP(R4857,データについて!$J$12:$M$18,7,FALSE),"*")</f>
        <v>#N/A</v>
      </c>
    </row>
    <row r="4858" spans="19:30">
      <c r="S4858" s="81" t="e">
        <f>HLOOKUP(L4858,データについて!$J$6:$M$18,13,FALSE)</f>
        <v>#N/A</v>
      </c>
      <c r="T4858" s="81" t="e">
        <f>HLOOKUP(M4858,データについて!$J$7:$M$18,12,FALSE)</f>
        <v>#N/A</v>
      </c>
      <c r="U4858" s="81" t="e">
        <f>HLOOKUP(N4858,データについて!$J$8:$M$18,11,FALSE)</f>
        <v>#N/A</v>
      </c>
      <c r="V4858" s="81" t="e">
        <f>HLOOKUP(O4858,データについて!$J$9:$M$18,10,FALSE)</f>
        <v>#N/A</v>
      </c>
      <c r="W4858" s="81" t="e">
        <f>HLOOKUP(P4858,データについて!$J$10:$M$18,9,FALSE)</f>
        <v>#N/A</v>
      </c>
      <c r="X4858" s="81" t="e">
        <f>HLOOKUP(Q4858,データについて!$J$11:$M$18,8,FALSE)</f>
        <v>#N/A</v>
      </c>
      <c r="Y4858" s="81" t="e">
        <f>HLOOKUP(R4858,データについて!$J$12:$M$18,7,FALSE)</f>
        <v>#N/A</v>
      </c>
      <c r="Z4858" s="81" t="e">
        <f>HLOOKUP(I4858,データについて!$J$3:$M$18,16,FALSE)</f>
        <v>#N/A</v>
      </c>
      <c r="AA4858" s="81" t="str">
        <f>IFERROR(HLOOKUP(J4858,データについて!$J$4:$AH$19,16,FALSE),"")</f>
        <v/>
      </c>
      <c r="AB4858" s="81" t="str">
        <f>IFERROR(HLOOKUP(K4858,データについて!$J$5:$AH$20,14,FALSE),"")</f>
        <v/>
      </c>
      <c r="AC4858" s="81" t="e">
        <f>IF(X4858=1,HLOOKUP(R4858,データについて!$J$12:$M$18,7,FALSE),"*")</f>
        <v>#N/A</v>
      </c>
      <c r="AD4858" s="81" t="e">
        <f>IF(X4858=2,HLOOKUP(R4858,データについて!$J$12:$M$18,7,FALSE),"*")</f>
        <v>#N/A</v>
      </c>
    </row>
    <row r="4859" spans="19:30">
      <c r="S4859" s="81" t="e">
        <f>HLOOKUP(L4859,データについて!$J$6:$M$18,13,FALSE)</f>
        <v>#N/A</v>
      </c>
      <c r="T4859" s="81" t="e">
        <f>HLOOKUP(M4859,データについて!$J$7:$M$18,12,FALSE)</f>
        <v>#N/A</v>
      </c>
      <c r="U4859" s="81" t="e">
        <f>HLOOKUP(N4859,データについて!$J$8:$M$18,11,FALSE)</f>
        <v>#N/A</v>
      </c>
      <c r="V4859" s="81" t="e">
        <f>HLOOKUP(O4859,データについて!$J$9:$M$18,10,FALSE)</f>
        <v>#N/A</v>
      </c>
      <c r="W4859" s="81" t="e">
        <f>HLOOKUP(P4859,データについて!$J$10:$M$18,9,FALSE)</f>
        <v>#N/A</v>
      </c>
      <c r="X4859" s="81" t="e">
        <f>HLOOKUP(Q4859,データについて!$J$11:$M$18,8,FALSE)</f>
        <v>#N/A</v>
      </c>
      <c r="Y4859" s="81" t="e">
        <f>HLOOKUP(R4859,データについて!$J$12:$M$18,7,FALSE)</f>
        <v>#N/A</v>
      </c>
      <c r="Z4859" s="81" t="e">
        <f>HLOOKUP(I4859,データについて!$J$3:$M$18,16,FALSE)</f>
        <v>#N/A</v>
      </c>
      <c r="AA4859" s="81" t="str">
        <f>IFERROR(HLOOKUP(J4859,データについて!$J$4:$AH$19,16,FALSE),"")</f>
        <v/>
      </c>
      <c r="AB4859" s="81" t="str">
        <f>IFERROR(HLOOKUP(K4859,データについて!$J$5:$AH$20,14,FALSE),"")</f>
        <v/>
      </c>
      <c r="AC4859" s="81" t="e">
        <f>IF(X4859=1,HLOOKUP(R4859,データについて!$J$12:$M$18,7,FALSE),"*")</f>
        <v>#N/A</v>
      </c>
      <c r="AD4859" s="81" t="e">
        <f>IF(X4859=2,HLOOKUP(R4859,データについて!$J$12:$M$18,7,FALSE),"*")</f>
        <v>#N/A</v>
      </c>
    </row>
    <row r="4860" spans="19:30">
      <c r="S4860" s="81" t="e">
        <f>HLOOKUP(L4860,データについて!$J$6:$M$18,13,FALSE)</f>
        <v>#N/A</v>
      </c>
      <c r="T4860" s="81" t="e">
        <f>HLOOKUP(M4860,データについて!$J$7:$M$18,12,FALSE)</f>
        <v>#N/A</v>
      </c>
      <c r="U4860" s="81" t="e">
        <f>HLOOKUP(N4860,データについて!$J$8:$M$18,11,FALSE)</f>
        <v>#N/A</v>
      </c>
      <c r="V4860" s="81" t="e">
        <f>HLOOKUP(O4860,データについて!$J$9:$M$18,10,FALSE)</f>
        <v>#N/A</v>
      </c>
      <c r="W4860" s="81" t="e">
        <f>HLOOKUP(P4860,データについて!$J$10:$M$18,9,FALSE)</f>
        <v>#N/A</v>
      </c>
      <c r="X4860" s="81" t="e">
        <f>HLOOKUP(Q4860,データについて!$J$11:$M$18,8,FALSE)</f>
        <v>#N/A</v>
      </c>
      <c r="Y4860" s="81" t="e">
        <f>HLOOKUP(R4860,データについて!$J$12:$M$18,7,FALSE)</f>
        <v>#N/A</v>
      </c>
      <c r="Z4860" s="81" t="e">
        <f>HLOOKUP(I4860,データについて!$J$3:$M$18,16,FALSE)</f>
        <v>#N/A</v>
      </c>
      <c r="AA4860" s="81" t="str">
        <f>IFERROR(HLOOKUP(J4860,データについて!$J$4:$AH$19,16,FALSE),"")</f>
        <v/>
      </c>
      <c r="AB4860" s="81" t="str">
        <f>IFERROR(HLOOKUP(K4860,データについて!$J$5:$AH$20,14,FALSE),"")</f>
        <v/>
      </c>
      <c r="AC4860" s="81" t="e">
        <f>IF(X4860=1,HLOOKUP(R4860,データについて!$J$12:$M$18,7,FALSE),"*")</f>
        <v>#N/A</v>
      </c>
      <c r="AD4860" s="81" t="e">
        <f>IF(X4860=2,HLOOKUP(R4860,データについて!$J$12:$M$18,7,FALSE),"*")</f>
        <v>#N/A</v>
      </c>
    </row>
    <row r="4861" spans="19:30">
      <c r="S4861" s="81" t="e">
        <f>HLOOKUP(L4861,データについて!$J$6:$M$18,13,FALSE)</f>
        <v>#N/A</v>
      </c>
      <c r="T4861" s="81" t="e">
        <f>HLOOKUP(M4861,データについて!$J$7:$M$18,12,FALSE)</f>
        <v>#N/A</v>
      </c>
      <c r="U4861" s="81" t="e">
        <f>HLOOKUP(N4861,データについて!$J$8:$M$18,11,FALSE)</f>
        <v>#N/A</v>
      </c>
      <c r="V4861" s="81" t="e">
        <f>HLOOKUP(O4861,データについて!$J$9:$M$18,10,FALSE)</f>
        <v>#N/A</v>
      </c>
      <c r="W4861" s="81" t="e">
        <f>HLOOKUP(P4861,データについて!$J$10:$M$18,9,FALSE)</f>
        <v>#N/A</v>
      </c>
      <c r="X4861" s="81" t="e">
        <f>HLOOKUP(Q4861,データについて!$J$11:$M$18,8,FALSE)</f>
        <v>#N/A</v>
      </c>
      <c r="Y4861" s="81" t="e">
        <f>HLOOKUP(R4861,データについて!$J$12:$M$18,7,FALSE)</f>
        <v>#N/A</v>
      </c>
      <c r="Z4861" s="81" t="e">
        <f>HLOOKUP(I4861,データについて!$J$3:$M$18,16,FALSE)</f>
        <v>#N/A</v>
      </c>
      <c r="AA4861" s="81" t="str">
        <f>IFERROR(HLOOKUP(J4861,データについて!$J$4:$AH$19,16,FALSE),"")</f>
        <v/>
      </c>
      <c r="AB4861" s="81" t="str">
        <f>IFERROR(HLOOKUP(K4861,データについて!$J$5:$AH$20,14,FALSE),"")</f>
        <v/>
      </c>
      <c r="AC4861" s="81" t="e">
        <f>IF(X4861=1,HLOOKUP(R4861,データについて!$J$12:$M$18,7,FALSE),"*")</f>
        <v>#N/A</v>
      </c>
      <c r="AD4861" s="81" t="e">
        <f>IF(X4861=2,HLOOKUP(R4861,データについて!$J$12:$M$18,7,FALSE),"*")</f>
        <v>#N/A</v>
      </c>
    </row>
    <row r="4862" spans="19:30">
      <c r="S4862" s="81" t="e">
        <f>HLOOKUP(L4862,データについて!$J$6:$M$18,13,FALSE)</f>
        <v>#N/A</v>
      </c>
      <c r="T4862" s="81" t="e">
        <f>HLOOKUP(M4862,データについて!$J$7:$M$18,12,FALSE)</f>
        <v>#N/A</v>
      </c>
      <c r="U4862" s="81" t="e">
        <f>HLOOKUP(N4862,データについて!$J$8:$M$18,11,FALSE)</f>
        <v>#N/A</v>
      </c>
      <c r="V4862" s="81" t="e">
        <f>HLOOKUP(O4862,データについて!$J$9:$M$18,10,FALSE)</f>
        <v>#N/A</v>
      </c>
      <c r="W4862" s="81" t="e">
        <f>HLOOKUP(P4862,データについて!$J$10:$M$18,9,FALSE)</f>
        <v>#N/A</v>
      </c>
      <c r="X4862" s="81" t="e">
        <f>HLOOKUP(Q4862,データについて!$J$11:$M$18,8,FALSE)</f>
        <v>#N/A</v>
      </c>
      <c r="Y4862" s="81" t="e">
        <f>HLOOKUP(R4862,データについて!$J$12:$M$18,7,FALSE)</f>
        <v>#N/A</v>
      </c>
      <c r="Z4862" s="81" t="e">
        <f>HLOOKUP(I4862,データについて!$J$3:$M$18,16,FALSE)</f>
        <v>#N/A</v>
      </c>
      <c r="AA4862" s="81" t="str">
        <f>IFERROR(HLOOKUP(J4862,データについて!$J$4:$AH$19,16,FALSE),"")</f>
        <v/>
      </c>
      <c r="AB4862" s="81" t="str">
        <f>IFERROR(HLOOKUP(K4862,データについて!$J$5:$AH$20,14,FALSE),"")</f>
        <v/>
      </c>
      <c r="AC4862" s="81" t="e">
        <f>IF(X4862=1,HLOOKUP(R4862,データについて!$J$12:$M$18,7,FALSE),"*")</f>
        <v>#N/A</v>
      </c>
      <c r="AD4862" s="81" t="e">
        <f>IF(X4862=2,HLOOKUP(R4862,データについて!$J$12:$M$18,7,FALSE),"*")</f>
        <v>#N/A</v>
      </c>
    </row>
    <row r="4863" spans="19:30">
      <c r="S4863" s="81" t="e">
        <f>HLOOKUP(L4863,データについて!$J$6:$M$18,13,FALSE)</f>
        <v>#N/A</v>
      </c>
      <c r="T4863" s="81" t="e">
        <f>HLOOKUP(M4863,データについて!$J$7:$M$18,12,FALSE)</f>
        <v>#N/A</v>
      </c>
      <c r="U4863" s="81" t="e">
        <f>HLOOKUP(N4863,データについて!$J$8:$M$18,11,FALSE)</f>
        <v>#N/A</v>
      </c>
      <c r="V4863" s="81" t="e">
        <f>HLOOKUP(O4863,データについて!$J$9:$M$18,10,FALSE)</f>
        <v>#N/A</v>
      </c>
      <c r="W4863" s="81" t="e">
        <f>HLOOKUP(P4863,データについて!$J$10:$M$18,9,FALSE)</f>
        <v>#N/A</v>
      </c>
      <c r="X4863" s="81" t="e">
        <f>HLOOKUP(Q4863,データについて!$J$11:$M$18,8,FALSE)</f>
        <v>#N/A</v>
      </c>
      <c r="Y4863" s="81" t="e">
        <f>HLOOKUP(R4863,データについて!$J$12:$M$18,7,FALSE)</f>
        <v>#N/A</v>
      </c>
      <c r="Z4863" s="81" t="e">
        <f>HLOOKUP(I4863,データについて!$J$3:$M$18,16,FALSE)</f>
        <v>#N/A</v>
      </c>
      <c r="AA4863" s="81" t="str">
        <f>IFERROR(HLOOKUP(J4863,データについて!$J$4:$AH$19,16,FALSE),"")</f>
        <v/>
      </c>
      <c r="AB4863" s="81" t="str">
        <f>IFERROR(HLOOKUP(K4863,データについて!$J$5:$AH$20,14,FALSE),"")</f>
        <v/>
      </c>
      <c r="AC4863" s="81" t="e">
        <f>IF(X4863=1,HLOOKUP(R4863,データについて!$J$12:$M$18,7,FALSE),"*")</f>
        <v>#N/A</v>
      </c>
      <c r="AD4863" s="81" t="e">
        <f>IF(X4863=2,HLOOKUP(R4863,データについて!$J$12:$M$18,7,FALSE),"*")</f>
        <v>#N/A</v>
      </c>
    </row>
    <row r="4864" spans="19:30">
      <c r="S4864" s="81" t="e">
        <f>HLOOKUP(L4864,データについて!$J$6:$M$18,13,FALSE)</f>
        <v>#N/A</v>
      </c>
      <c r="T4864" s="81" t="e">
        <f>HLOOKUP(M4864,データについて!$J$7:$M$18,12,FALSE)</f>
        <v>#N/A</v>
      </c>
      <c r="U4864" s="81" t="e">
        <f>HLOOKUP(N4864,データについて!$J$8:$M$18,11,FALSE)</f>
        <v>#N/A</v>
      </c>
      <c r="V4864" s="81" t="e">
        <f>HLOOKUP(O4864,データについて!$J$9:$M$18,10,FALSE)</f>
        <v>#N/A</v>
      </c>
      <c r="W4864" s="81" t="e">
        <f>HLOOKUP(P4864,データについて!$J$10:$M$18,9,FALSE)</f>
        <v>#N/A</v>
      </c>
      <c r="X4864" s="81" t="e">
        <f>HLOOKUP(Q4864,データについて!$J$11:$M$18,8,FALSE)</f>
        <v>#N/A</v>
      </c>
      <c r="Y4864" s="81" t="e">
        <f>HLOOKUP(R4864,データについて!$J$12:$M$18,7,FALSE)</f>
        <v>#N/A</v>
      </c>
      <c r="Z4864" s="81" t="e">
        <f>HLOOKUP(I4864,データについて!$J$3:$M$18,16,FALSE)</f>
        <v>#N/A</v>
      </c>
      <c r="AA4864" s="81" t="str">
        <f>IFERROR(HLOOKUP(J4864,データについて!$J$4:$AH$19,16,FALSE),"")</f>
        <v/>
      </c>
      <c r="AB4864" s="81" t="str">
        <f>IFERROR(HLOOKUP(K4864,データについて!$J$5:$AH$20,14,FALSE),"")</f>
        <v/>
      </c>
      <c r="AC4864" s="81" t="e">
        <f>IF(X4864=1,HLOOKUP(R4864,データについて!$J$12:$M$18,7,FALSE),"*")</f>
        <v>#N/A</v>
      </c>
      <c r="AD4864" s="81" t="e">
        <f>IF(X4864=2,HLOOKUP(R4864,データについて!$J$12:$M$18,7,FALSE),"*")</f>
        <v>#N/A</v>
      </c>
    </row>
    <row r="4865" spans="19:30">
      <c r="S4865" s="81" t="e">
        <f>HLOOKUP(L4865,データについて!$J$6:$M$18,13,FALSE)</f>
        <v>#N/A</v>
      </c>
      <c r="T4865" s="81" t="e">
        <f>HLOOKUP(M4865,データについて!$J$7:$M$18,12,FALSE)</f>
        <v>#N/A</v>
      </c>
      <c r="U4865" s="81" t="e">
        <f>HLOOKUP(N4865,データについて!$J$8:$M$18,11,FALSE)</f>
        <v>#N/A</v>
      </c>
      <c r="V4865" s="81" t="e">
        <f>HLOOKUP(O4865,データについて!$J$9:$M$18,10,FALSE)</f>
        <v>#N/A</v>
      </c>
      <c r="W4865" s="81" t="e">
        <f>HLOOKUP(P4865,データについて!$J$10:$M$18,9,FALSE)</f>
        <v>#N/A</v>
      </c>
      <c r="X4865" s="81" t="e">
        <f>HLOOKUP(Q4865,データについて!$J$11:$M$18,8,FALSE)</f>
        <v>#N/A</v>
      </c>
      <c r="Y4865" s="81" t="e">
        <f>HLOOKUP(R4865,データについて!$J$12:$M$18,7,FALSE)</f>
        <v>#N/A</v>
      </c>
      <c r="Z4865" s="81" t="e">
        <f>HLOOKUP(I4865,データについて!$J$3:$M$18,16,FALSE)</f>
        <v>#N/A</v>
      </c>
      <c r="AA4865" s="81" t="str">
        <f>IFERROR(HLOOKUP(J4865,データについて!$J$4:$AH$19,16,FALSE),"")</f>
        <v/>
      </c>
      <c r="AB4865" s="81" t="str">
        <f>IFERROR(HLOOKUP(K4865,データについて!$J$5:$AH$20,14,FALSE),"")</f>
        <v/>
      </c>
      <c r="AC4865" s="81" t="e">
        <f>IF(X4865=1,HLOOKUP(R4865,データについて!$J$12:$M$18,7,FALSE),"*")</f>
        <v>#N/A</v>
      </c>
      <c r="AD4865" s="81" t="e">
        <f>IF(X4865=2,HLOOKUP(R4865,データについて!$J$12:$M$18,7,FALSE),"*")</f>
        <v>#N/A</v>
      </c>
    </row>
    <row r="4866" spans="19:30">
      <c r="S4866" s="81" t="e">
        <f>HLOOKUP(L4866,データについて!$J$6:$M$18,13,FALSE)</f>
        <v>#N/A</v>
      </c>
      <c r="T4866" s="81" t="e">
        <f>HLOOKUP(M4866,データについて!$J$7:$M$18,12,FALSE)</f>
        <v>#N/A</v>
      </c>
      <c r="U4866" s="81" t="e">
        <f>HLOOKUP(N4866,データについて!$J$8:$M$18,11,FALSE)</f>
        <v>#N/A</v>
      </c>
      <c r="V4866" s="81" t="e">
        <f>HLOOKUP(O4866,データについて!$J$9:$M$18,10,FALSE)</f>
        <v>#N/A</v>
      </c>
      <c r="W4866" s="81" t="e">
        <f>HLOOKUP(P4866,データについて!$J$10:$M$18,9,FALSE)</f>
        <v>#N/A</v>
      </c>
      <c r="X4866" s="81" t="e">
        <f>HLOOKUP(Q4866,データについて!$J$11:$M$18,8,FALSE)</f>
        <v>#N/A</v>
      </c>
      <c r="Y4866" s="81" t="e">
        <f>HLOOKUP(R4866,データについて!$J$12:$M$18,7,FALSE)</f>
        <v>#N/A</v>
      </c>
      <c r="Z4866" s="81" t="e">
        <f>HLOOKUP(I4866,データについて!$J$3:$M$18,16,FALSE)</f>
        <v>#N/A</v>
      </c>
      <c r="AA4866" s="81" t="str">
        <f>IFERROR(HLOOKUP(J4866,データについて!$J$4:$AH$19,16,FALSE),"")</f>
        <v/>
      </c>
      <c r="AB4866" s="81" t="str">
        <f>IFERROR(HLOOKUP(K4866,データについて!$J$5:$AH$20,14,FALSE),"")</f>
        <v/>
      </c>
      <c r="AC4866" s="81" t="e">
        <f>IF(X4866=1,HLOOKUP(R4866,データについて!$J$12:$M$18,7,FALSE),"*")</f>
        <v>#N/A</v>
      </c>
      <c r="AD4866" s="81" t="e">
        <f>IF(X4866=2,HLOOKUP(R4866,データについて!$J$12:$M$18,7,FALSE),"*")</f>
        <v>#N/A</v>
      </c>
    </row>
    <row r="4867" spans="19:30">
      <c r="S4867" s="81" t="e">
        <f>HLOOKUP(L4867,データについて!$J$6:$M$18,13,FALSE)</f>
        <v>#N/A</v>
      </c>
      <c r="T4867" s="81" t="e">
        <f>HLOOKUP(M4867,データについて!$J$7:$M$18,12,FALSE)</f>
        <v>#N/A</v>
      </c>
      <c r="U4867" s="81" t="e">
        <f>HLOOKUP(N4867,データについて!$J$8:$M$18,11,FALSE)</f>
        <v>#N/A</v>
      </c>
      <c r="V4867" s="81" t="e">
        <f>HLOOKUP(O4867,データについて!$J$9:$M$18,10,FALSE)</f>
        <v>#N/A</v>
      </c>
      <c r="W4867" s="81" t="e">
        <f>HLOOKUP(P4867,データについて!$J$10:$M$18,9,FALSE)</f>
        <v>#N/A</v>
      </c>
      <c r="X4867" s="81" t="e">
        <f>HLOOKUP(Q4867,データについて!$J$11:$M$18,8,FALSE)</f>
        <v>#N/A</v>
      </c>
      <c r="Y4867" s="81" t="e">
        <f>HLOOKUP(R4867,データについて!$J$12:$M$18,7,FALSE)</f>
        <v>#N/A</v>
      </c>
      <c r="Z4867" s="81" t="e">
        <f>HLOOKUP(I4867,データについて!$J$3:$M$18,16,FALSE)</f>
        <v>#N/A</v>
      </c>
      <c r="AA4867" s="81" t="str">
        <f>IFERROR(HLOOKUP(J4867,データについて!$J$4:$AH$19,16,FALSE),"")</f>
        <v/>
      </c>
      <c r="AB4867" s="81" t="str">
        <f>IFERROR(HLOOKUP(K4867,データについて!$J$5:$AH$20,14,FALSE),"")</f>
        <v/>
      </c>
      <c r="AC4867" s="81" t="e">
        <f>IF(X4867=1,HLOOKUP(R4867,データについて!$J$12:$M$18,7,FALSE),"*")</f>
        <v>#N/A</v>
      </c>
      <c r="AD4867" s="81" t="e">
        <f>IF(X4867=2,HLOOKUP(R4867,データについて!$J$12:$M$18,7,FALSE),"*")</f>
        <v>#N/A</v>
      </c>
    </row>
    <row r="4868" spans="19:30">
      <c r="S4868" s="81" t="e">
        <f>HLOOKUP(L4868,データについて!$J$6:$M$18,13,FALSE)</f>
        <v>#N/A</v>
      </c>
      <c r="T4868" s="81" t="e">
        <f>HLOOKUP(M4868,データについて!$J$7:$M$18,12,FALSE)</f>
        <v>#N/A</v>
      </c>
      <c r="U4868" s="81" t="e">
        <f>HLOOKUP(N4868,データについて!$J$8:$M$18,11,FALSE)</f>
        <v>#N/A</v>
      </c>
      <c r="V4868" s="81" t="e">
        <f>HLOOKUP(O4868,データについて!$J$9:$M$18,10,FALSE)</f>
        <v>#N/A</v>
      </c>
      <c r="W4868" s="81" t="e">
        <f>HLOOKUP(P4868,データについて!$J$10:$M$18,9,FALSE)</f>
        <v>#N/A</v>
      </c>
      <c r="X4868" s="81" t="e">
        <f>HLOOKUP(Q4868,データについて!$J$11:$M$18,8,FALSE)</f>
        <v>#N/A</v>
      </c>
      <c r="Y4868" s="81" t="e">
        <f>HLOOKUP(R4868,データについて!$J$12:$M$18,7,FALSE)</f>
        <v>#N/A</v>
      </c>
      <c r="Z4868" s="81" t="e">
        <f>HLOOKUP(I4868,データについて!$J$3:$M$18,16,FALSE)</f>
        <v>#N/A</v>
      </c>
      <c r="AA4868" s="81" t="str">
        <f>IFERROR(HLOOKUP(J4868,データについて!$J$4:$AH$19,16,FALSE),"")</f>
        <v/>
      </c>
      <c r="AB4868" s="81" t="str">
        <f>IFERROR(HLOOKUP(K4868,データについて!$J$5:$AH$20,14,FALSE),"")</f>
        <v/>
      </c>
      <c r="AC4868" s="81" t="e">
        <f>IF(X4868=1,HLOOKUP(R4868,データについて!$J$12:$M$18,7,FALSE),"*")</f>
        <v>#N/A</v>
      </c>
      <c r="AD4868" s="81" t="e">
        <f>IF(X4868=2,HLOOKUP(R4868,データについて!$J$12:$M$18,7,FALSE),"*")</f>
        <v>#N/A</v>
      </c>
    </row>
    <row r="4869" spans="19:30">
      <c r="S4869" s="81" t="e">
        <f>HLOOKUP(L4869,データについて!$J$6:$M$18,13,FALSE)</f>
        <v>#N/A</v>
      </c>
      <c r="T4869" s="81" t="e">
        <f>HLOOKUP(M4869,データについて!$J$7:$M$18,12,FALSE)</f>
        <v>#N/A</v>
      </c>
      <c r="U4869" s="81" t="e">
        <f>HLOOKUP(N4869,データについて!$J$8:$M$18,11,FALSE)</f>
        <v>#N/A</v>
      </c>
      <c r="V4869" s="81" t="e">
        <f>HLOOKUP(O4869,データについて!$J$9:$M$18,10,FALSE)</f>
        <v>#N/A</v>
      </c>
      <c r="W4869" s="81" t="e">
        <f>HLOOKUP(P4869,データについて!$J$10:$M$18,9,FALSE)</f>
        <v>#N/A</v>
      </c>
      <c r="X4869" s="81" t="e">
        <f>HLOOKUP(Q4869,データについて!$J$11:$M$18,8,FALSE)</f>
        <v>#N/A</v>
      </c>
      <c r="Y4869" s="81" t="e">
        <f>HLOOKUP(R4869,データについて!$J$12:$M$18,7,FALSE)</f>
        <v>#N/A</v>
      </c>
      <c r="Z4869" s="81" t="e">
        <f>HLOOKUP(I4869,データについて!$J$3:$M$18,16,FALSE)</f>
        <v>#N/A</v>
      </c>
      <c r="AA4869" s="81" t="str">
        <f>IFERROR(HLOOKUP(J4869,データについて!$J$4:$AH$19,16,FALSE),"")</f>
        <v/>
      </c>
      <c r="AB4869" s="81" t="str">
        <f>IFERROR(HLOOKUP(K4869,データについて!$J$5:$AH$20,14,FALSE),"")</f>
        <v/>
      </c>
      <c r="AC4869" s="81" t="e">
        <f>IF(X4869=1,HLOOKUP(R4869,データについて!$J$12:$M$18,7,FALSE),"*")</f>
        <v>#N/A</v>
      </c>
      <c r="AD4869" s="81" t="e">
        <f>IF(X4869=2,HLOOKUP(R4869,データについて!$J$12:$M$18,7,FALSE),"*")</f>
        <v>#N/A</v>
      </c>
    </row>
    <row r="4870" spans="19:30">
      <c r="S4870" s="81" t="e">
        <f>HLOOKUP(L4870,データについて!$J$6:$M$18,13,FALSE)</f>
        <v>#N/A</v>
      </c>
      <c r="T4870" s="81" t="e">
        <f>HLOOKUP(M4870,データについて!$J$7:$M$18,12,FALSE)</f>
        <v>#N/A</v>
      </c>
      <c r="U4870" s="81" t="e">
        <f>HLOOKUP(N4870,データについて!$J$8:$M$18,11,FALSE)</f>
        <v>#N/A</v>
      </c>
      <c r="V4870" s="81" t="e">
        <f>HLOOKUP(O4870,データについて!$J$9:$M$18,10,FALSE)</f>
        <v>#N/A</v>
      </c>
      <c r="W4870" s="81" t="e">
        <f>HLOOKUP(P4870,データについて!$J$10:$M$18,9,FALSE)</f>
        <v>#N/A</v>
      </c>
      <c r="X4870" s="81" t="e">
        <f>HLOOKUP(Q4870,データについて!$J$11:$M$18,8,FALSE)</f>
        <v>#N/A</v>
      </c>
      <c r="Y4870" s="81" t="e">
        <f>HLOOKUP(R4870,データについて!$J$12:$M$18,7,FALSE)</f>
        <v>#N/A</v>
      </c>
      <c r="Z4870" s="81" t="e">
        <f>HLOOKUP(I4870,データについて!$J$3:$M$18,16,FALSE)</f>
        <v>#N/A</v>
      </c>
      <c r="AA4870" s="81" t="str">
        <f>IFERROR(HLOOKUP(J4870,データについて!$J$4:$AH$19,16,FALSE),"")</f>
        <v/>
      </c>
      <c r="AB4870" s="81" t="str">
        <f>IFERROR(HLOOKUP(K4870,データについて!$J$5:$AH$20,14,FALSE),"")</f>
        <v/>
      </c>
      <c r="AC4870" s="81" t="e">
        <f>IF(X4870=1,HLOOKUP(R4870,データについて!$J$12:$M$18,7,FALSE),"*")</f>
        <v>#N/A</v>
      </c>
      <c r="AD4870" s="81" t="e">
        <f>IF(X4870=2,HLOOKUP(R4870,データについて!$J$12:$M$18,7,FALSE),"*")</f>
        <v>#N/A</v>
      </c>
    </row>
    <row r="4871" spans="19:30">
      <c r="S4871" s="81" t="e">
        <f>HLOOKUP(L4871,データについて!$J$6:$M$18,13,FALSE)</f>
        <v>#N/A</v>
      </c>
      <c r="T4871" s="81" t="e">
        <f>HLOOKUP(M4871,データについて!$J$7:$M$18,12,FALSE)</f>
        <v>#N/A</v>
      </c>
      <c r="U4871" s="81" t="e">
        <f>HLOOKUP(N4871,データについて!$J$8:$M$18,11,FALSE)</f>
        <v>#N/A</v>
      </c>
      <c r="V4871" s="81" t="e">
        <f>HLOOKUP(O4871,データについて!$J$9:$M$18,10,FALSE)</f>
        <v>#N/A</v>
      </c>
      <c r="W4871" s="81" t="e">
        <f>HLOOKUP(P4871,データについて!$J$10:$M$18,9,FALSE)</f>
        <v>#N/A</v>
      </c>
      <c r="X4871" s="81" t="e">
        <f>HLOOKUP(Q4871,データについて!$J$11:$M$18,8,FALSE)</f>
        <v>#N/A</v>
      </c>
      <c r="Y4871" s="81" t="e">
        <f>HLOOKUP(R4871,データについて!$J$12:$M$18,7,FALSE)</f>
        <v>#N/A</v>
      </c>
      <c r="Z4871" s="81" t="e">
        <f>HLOOKUP(I4871,データについて!$J$3:$M$18,16,FALSE)</f>
        <v>#N/A</v>
      </c>
      <c r="AA4871" s="81" t="str">
        <f>IFERROR(HLOOKUP(J4871,データについて!$J$4:$AH$19,16,FALSE),"")</f>
        <v/>
      </c>
      <c r="AB4871" s="81" t="str">
        <f>IFERROR(HLOOKUP(K4871,データについて!$J$5:$AH$20,14,FALSE),"")</f>
        <v/>
      </c>
      <c r="AC4871" s="81" t="e">
        <f>IF(X4871=1,HLOOKUP(R4871,データについて!$J$12:$M$18,7,FALSE),"*")</f>
        <v>#N/A</v>
      </c>
      <c r="AD4871" s="81" t="e">
        <f>IF(X4871=2,HLOOKUP(R4871,データについて!$J$12:$M$18,7,FALSE),"*")</f>
        <v>#N/A</v>
      </c>
    </row>
    <row r="4872" spans="19:30">
      <c r="S4872" s="81" t="e">
        <f>HLOOKUP(L4872,データについて!$J$6:$M$18,13,FALSE)</f>
        <v>#N/A</v>
      </c>
      <c r="T4872" s="81" t="e">
        <f>HLOOKUP(M4872,データについて!$J$7:$M$18,12,FALSE)</f>
        <v>#N/A</v>
      </c>
      <c r="U4872" s="81" t="e">
        <f>HLOOKUP(N4872,データについて!$J$8:$M$18,11,FALSE)</f>
        <v>#N/A</v>
      </c>
      <c r="V4872" s="81" t="e">
        <f>HLOOKUP(O4872,データについて!$J$9:$M$18,10,FALSE)</f>
        <v>#N/A</v>
      </c>
      <c r="W4872" s="81" t="e">
        <f>HLOOKUP(P4872,データについて!$J$10:$M$18,9,FALSE)</f>
        <v>#N/A</v>
      </c>
      <c r="X4872" s="81" t="e">
        <f>HLOOKUP(Q4872,データについて!$J$11:$M$18,8,FALSE)</f>
        <v>#N/A</v>
      </c>
      <c r="Y4872" s="81" t="e">
        <f>HLOOKUP(R4872,データについて!$J$12:$M$18,7,FALSE)</f>
        <v>#N/A</v>
      </c>
      <c r="Z4872" s="81" t="e">
        <f>HLOOKUP(I4872,データについて!$J$3:$M$18,16,FALSE)</f>
        <v>#N/A</v>
      </c>
      <c r="AA4872" s="81" t="str">
        <f>IFERROR(HLOOKUP(J4872,データについて!$J$4:$AH$19,16,FALSE),"")</f>
        <v/>
      </c>
      <c r="AB4872" s="81" t="str">
        <f>IFERROR(HLOOKUP(K4872,データについて!$J$5:$AH$20,14,FALSE),"")</f>
        <v/>
      </c>
      <c r="AC4872" s="81" t="e">
        <f>IF(X4872=1,HLOOKUP(R4872,データについて!$J$12:$M$18,7,FALSE),"*")</f>
        <v>#N/A</v>
      </c>
      <c r="AD4872" s="81" t="e">
        <f>IF(X4872=2,HLOOKUP(R4872,データについて!$J$12:$M$18,7,FALSE),"*")</f>
        <v>#N/A</v>
      </c>
    </row>
    <row r="4873" spans="19:30">
      <c r="S4873" s="81" t="e">
        <f>HLOOKUP(L4873,データについて!$J$6:$M$18,13,FALSE)</f>
        <v>#N/A</v>
      </c>
      <c r="T4873" s="81" t="e">
        <f>HLOOKUP(M4873,データについて!$J$7:$M$18,12,FALSE)</f>
        <v>#N/A</v>
      </c>
      <c r="U4873" s="81" t="e">
        <f>HLOOKUP(N4873,データについて!$J$8:$M$18,11,FALSE)</f>
        <v>#N/A</v>
      </c>
      <c r="V4873" s="81" t="e">
        <f>HLOOKUP(O4873,データについて!$J$9:$M$18,10,FALSE)</f>
        <v>#N/A</v>
      </c>
      <c r="W4873" s="81" t="e">
        <f>HLOOKUP(P4873,データについて!$J$10:$M$18,9,FALSE)</f>
        <v>#N/A</v>
      </c>
      <c r="X4873" s="81" t="e">
        <f>HLOOKUP(Q4873,データについて!$J$11:$M$18,8,FALSE)</f>
        <v>#N/A</v>
      </c>
      <c r="Y4873" s="81" t="e">
        <f>HLOOKUP(R4873,データについて!$J$12:$M$18,7,FALSE)</f>
        <v>#N/A</v>
      </c>
      <c r="Z4873" s="81" t="e">
        <f>HLOOKUP(I4873,データについて!$J$3:$M$18,16,FALSE)</f>
        <v>#N/A</v>
      </c>
      <c r="AA4873" s="81" t="str">
        <f>IFERROR(HLOOKUP(J4873,データについて!$J$4:$AH$19,16,FALSE),"")</f>
        <v/>
      </c>
      <c r="AB4873" s="81" t="str">
        <f>IFERROR(HLOOKUP(K4873,データについて!$J$5:$AH$20,14,FALSE),"")</f>
        <v/>
      </c>
      <c r="AC4873" s="81" t="e">
        <f>IF(X4873=1,HLOOKUP(R4873,データについて!$J$12:$M$18,7,FALSE),"*")</f>
        <v>#N/A</v>
      </c>
      <c r="AD4873" s="81" t="e">
        <f>IF(X4873=2,HLOOKUP(R4873,データについて!$J$12:$M$18,7,FALSE),"*")</f>
        <v>#N/A</v>
      </c>
    </row>
    <row r="4874" spans="19:30">
      <c r="S4874" s="81" t="e">
        <f>HLOOKUP(L4874,データについて!$J$6:$M$18,13,FALSE)</f>
        <v>#N/A</v>
      </c>
      <c r="T4874" s="81" t="e">
        <f>HLOOKUP(M4874,データについて!$J$7:$M$18,12,FALSE)</f>
        <v>#N/A</v>
      </c>
      <c r="U4874" s="81" t="e">
        <f>HLOOKUP(N4874,データについて!$J$8:$M$18,11,FALSE)</f>
        <v>#N/A</v>
      </c>
      <c r="V4874" s="81" t="e">
        <f>HLOOKUP(O4874,データについて!$J$9:$M$18,10,FALSE)</f>
        <v>#N/A</v>
      </c>
      <c r="W4874" s="81" t="e">
        <f>HLOOKUP(P4874,データについて!$J$10:$M$18,9,FALSE)</f>
        <v>#N/A</v>
      </c>
      <c r="X4874" s="81" t="e">
        <f>HLOOKUP(Q4874,データについて!$J$11:$M$18,8,FALSE)</f>
        <v>#N/A</v>
      </c>
      <c r="Y4874" s="81" t="e">
        <f>HLOOKUP(R4874,データについて!$J$12:$M$18,7,FALSE)</f>
        <v>#N/A</v>
      </c>
      <c r="Z4874" s="81" t="e">
        <f>HLOOKUP(I4874,データについて!$J$3:$M$18,16,FALSE)</f>
        <v>#N/A</v>
      </c>
      <c r="AA4874" s="81" t="str">
        <f>IFERROR(HLOOKUP(J4874,データについて!$J$4:$AH$19,16,FALSE),"")</f>
        <v/>
      </c>
      <c r="AB4874" s="81" t="str">
        <f>IFERROR(HLOOKUP(K4874,データについて!$J$5:$AH$20,14,FALSE),"")</f>
        <v/>
      </c>
      <c r="AC4874" s="81" t="e">
        <f>IF(X4874=1,HLOOKUP(R4874,データについて!$J$12:$M$18,7,FALSE),"*")</f>
        <v>#N/A</v>
      </c>
      <c r="AD4874" s="81" t="e">
        <f>IF(X4874=2,HLOOKUP(R4874,データについて!$J$12:$M$18,7,FALSE),"*")</f>
        <v>#N/A</v>
      </c>
    </row>
    <row r="4875" spans="19:30">
      <c r="S4875" s="81" t="e">
        <f>HLOOKUP(L4875,データについて!$J$6:$M$18,13,FALSE)</f>
        <v>#N/A</v>
      </c>
      <c r="T4875" s="81" t="e">
        <f>HLOOKUP(M4875,データについて!$J$7:$M$18,12,FALSE)</f>
        <v>#N/A</v>
      </c>
      <c r="U4875" s="81" t="e">
        <f>HLOOKUP(N4875,データについて!$J$8:$M$18,11,FALSE)</f>
        <v>#N/A</v>
      </c>
      <c r="V4875" s="81" t="e">
        <f>HLOOKUP(O4875,データについて!$J$9:$M$18,10,FALSE)</f>
        <v>#N/A</v>
      </c>
      <c r="W4875" s="81" t="e">
        <f>HLOOKUP(P4875,データについて!$J$10:$M$18,9,FALSE)</f>
        <v>#N/A</v>
      </c>
      <c r="X4875" s="81" t="e">
        <f>HLOOKUP(Q4875,データについて!$J$11:$M$18,8,FALSE)</f>
        <v>#N/A</v>
      </c>
      <c r="Y4875" s="81" t="e">
        <f>HLOOKUP(R4875,データについて!$J$12:$M$18,7,FALSE)</f>
        <v>#N/A</v>
      </c>
      <c r="Z4875" s="81" t="e">
        <f>HLOOKUP(I4875,データについて!$J$3:$M$18,16,FALSE)</f>
        <v>#N/A</v>
      </c>
      <c r="AA4875" s="81" t="str">
        <f>IFERROR(HLOOKUP(J4875,データについて!$J$4:$AH$19,16,FALSE),"")</f>
        <v/>
      </c>
      <c r="AB4875" s="81" t="str">
        <f>IFERROR(HLOOKUP(K4875,データについて!$J$5:$AH$20,14,FALSE),"")</f>
        <v/>
      </c>
      <c r="AC4875" s="81" t="e">
        <f>IF(X4875=1,HLOOKUP(R4875,データについて!$J$12:$M$18,7,FALSE),"*")</f>
        <v>#N/A</v>
      </c>
      <c r="AD4875" s="81" t="e">
        <f>IF(X4875=2,HLOOKUP(R4875,データについて!$J$12:$M$18,7,FALSE),"*")</f>
        <v>#N/A</v>
      </c>
    </row>
    <row r="4876" spans="19:30">
      <c r="S4876" s="81" t="e">
        <f>HLOOKUP(L4876,データについて!$J$6:$M$18,13,FALSE)</f>
        <v>#N/A</v>
      </c>
      <c r="T4876" s="81" t="e">
        <f>HLOOKUP(M4876,データについて!$J$7:$M$18,12,FALSE)</f>
        <v>#N/A</v>
      </c>
      <c r="U4876" s="81" t="e">
        <f>HLOOKUP(N4876,データについて!$J$8:$M$18,11,FALSE)</f>
        <v>#N/A</v>
      </c>
      <c r="V4876" s="81" t="e">
        <f>HLOOKUP(O4876,データについて!$J$9:$M$18,10,FALSE)</f>
        <v>#N/A</v>
      </c>
      <c r="W4876" s="81" t="e">
        <f>HLOOKUP(P4876,データについて!$J$10:$M$18,9,FALSE)</f>
        <v>#N/A</v>
      </c>
      <c r="X4876" s="81" t="e">
        <f>HLOOKUP(Q4876,データについて!$J$11:$M$18,8,FALSE)</f>
        <v>#N/A</v>
      </c>
      <c r="Y4876" s="81" t="e">
        <f>HLOOKUP(R4876,データについて!$J$12:$M$18,7,FALSE)</f>
        <v>#N/A</v>
      </c>
      <c r="Z4876" s="81" t="e">
        <f>HLOOKUP(I4876,データについて!$J$3:$M$18,16,FALSE)</f>
        <v>#N/A</v>
      </c>
      <c r="AA4876" s="81" t="str">
        <f>IFERROR(HLOOKUP(J4876,データについて!$J$4:$AH$19,16,FALSE),"")</f>
        <v/>
      </c>
      <c r="AB4876" s="81" t="str">
        <f>IFERROR(HLOOKUP(K4876,データについて!$J$5:$AH$20,14,FALSE),"")</f>
        <v/>
      </c>
      <c r="AC4876" s="81" t="e">
        <f>IF(X4876=1,HLOOKUP(R4876,データについて!$J$12:$M$18,7,FALSE),"*")</f>
        <v>#N/A</v>
      </c>
      <c r="AD4876" s="81" t="e">
        <f>IF(X4876=2,HLOOKUP(R4876,データについて!$J$12:$M$18,7,FALSE),"*")</f>
        <v>#N/A</v>
      </c>
    </row>
    <row r="4877" spans="19:30">
      <c r="S4877" s="81" t="e">
        <f>HLOOKUP(L4877,データについて!$J$6:$M$18,13,FALSE)</f>
        <v>#N/A</v>
      </c>
      <c r="T4877" s="81" t="e">
        <f>HLOOKUP(M4877,データについて!$J$7:$M$18,12,FALSE)</f>
        <v>#N/A</v>
      </c>
      <c r="U4877" s="81" t="e">
        <f>HLOOKUP(N4877,データについて!$J$8:$M$18,11,FALSE)</f>
        <v>#N/A</v>
      </c>
      <c r="V4877" s="81" t="e">
        <f>HLOOKUP(O4877,データについて!$J$9:$M$18,10,FALSE)</f>
        <v>#N/A</v>
      </c>
      <c r="W4877" s="81" t="e">
        <f>HLOOKUP(P4877,データについて!$J$10:$M$18,9,FALSE)</f>
        <v>#N/A</v>
      </c>
      <c r="X4877" s="81" t="e">
        <f>HLOOKUP(Q4877,データについて!$J$11:$M$18,8,FALSE)</f>
        <v>#N/A</v>
      </c>
      <c r="Y4877" s="81" t="e">
        <f>HLOOKUP(R4877,データについて!$J$12:$M$18,7,FALSE)</f>
        <v>#N/A</v>
      </c>
      <c r="Z4877" s="81" t="e">
        <f>HLOOKUP(I4877,データについて!$J$3:$M$18,16,FALSE)</f>
        <v>#N/A</v>
      </c>
      <c r="AA4877" s="81" t="str">
        <f>IFERROR(HLOOKUP(J4877,データについて!$J$4:$AH$19,16,FALSE),"")</f>
        <v/>
      </c>
      <c r="AB4877" s="81" t="str">
        <f>IFERROR(HLOOKUP(K4877,データについて!$J$5:$AH$20,14,FALSE),"")</f>
        <v/>
      </c>
      <c r="AC4877" s="81" t="e">
        <f>IF(X4877=1,HLOOKUP(R4877,データについて!$J$12:$M$18,7,FALSE),"*")</f>
        <v>#N/A</v>
      </c>
      <c r="AD4877" s="81" t="e">
        <f>IF(X4877=2,HLOOKUP(R4877,データについて!$J$12:$M$18,7,FALSE),"*")</f>
        <v>#N/A</v>
      </c>
    </row>
    <row r="4878" spans="19:30">
      <c r="S4878" s="81" t="e">
        <f>HLOOKUP(L4878,データについて!$J$6:$M$18,13,FALSE)</f>
        <v>#N/A</v>
      </c>
      <c r="T4878" s="81" t="e">
        <f>HLOOKUP(M4878,データについて!$J$7:$M$18,12,FALSE)</f>
        <v>#N/A</v>
      </c>
      <c r="U4878" s="81" t="e">
        <f>HLOOKUP(N4878,データについて!$J$8:$M$18,11,FALSE)</f>
        <v>#N/A</v>
      </c>
      <c r="V4878" s="81" t="e">
        <f>HLOOKUP(O4878,データについて!$J$9:$M$18,10,FALSE)</f>
        <v>#N/A</v>
      </c>
      <c r="W4878" s="81" t="e">
        <f>HLOOKUP(P4878,データについて!$J$10:$M$18,9,FALSE)</f>
        <v>#N/A</v>
      </c>
      <c r="X4878" s="81" t="e">
        <f>HLOOKUP(Q4878,データについて!$J$11:$M$18,8,FALSE)</f>
        <v>#N/A</v>
      </c>
      <c r="Y4878" s="81" t="e">
        <f>HLOOKUP(R4878,データについて!$J$12:$M$18,7,FALSE)</f>
        <v>#N/A</v>
      </c>
      <c r="Z4878" s="81" t="e">
        <f>HLOOKUP(I4878,データについて!$J$3:$M$18,16,FALSE)</f>
        <v>#N/A</v>
      </c>
      <c r="AA4878" s="81" t="str">
        <f>IFERROR(HLOOKUP(J4878,データについて!$J$4:$AH$19,16,FALSE),"")</f>
        <v/>
      </c>
      <c r="AB4878" s="81" t="str">
        <f>IFERROR(HLOOKUP(K4878,データについて!$J$5:$AH$20,14,FALSE),"")</f>
        <v/>
      </c>
      <c r="AC4878" s="81" t="e">
        <f>IF(X4878=1,HLOOKUP(R4878,データについて!$J$12:$M$18,7,FALSE),"*")</f>
        <v>#N/A</v>
      </c>
      <c r="AD4878" s="81" t="e">
        <f>IF(X4878=2,HLOOKUP(R4878,データについて!$J$12:$M$18,7,FALSE),"*")</f>
        <v>#N/A</v>
      </c>
    </row>
    <row r="4879" spans="19:30">
      <c r="S4879" s="81" t="e">
        <f>HLOOKUP(L4879,データについて!$J$6:$M$18,13,FALSE)</f>
        <v>#N/A</v>
      </c>
      <c r="T4879" s="81" t="e">
        <f>HLOOKUP(M4879,データについて!$J$7:$M$18,12,FALSE)</f>
        <v>#N/A</v>
      </c>
      <c r="U4879" s="81" t="e">
        <f>HLOOKUP(N4879,データについて!$J$8:$M$18,11,FALSE)</f>
        <v>#N/A</v>
      </c>
      <c r="V4879" s="81" t="e">
        <f>HLOOKUP(O4879,データについて!$J$9:$M$18,10,FALSE)</f>
        <v>#N/A</v>
      </c>
      <c r="W4879" s="81" t="e">
        <f>HLOOKUP(P4879,データについて!$J$10:$M$18,9,FALSE)</f>
        <v>#N/A</v>
      </c>
      <c r="X4879" s="81" t="e">
        <f>HLOOKUP(Q4879,データについて!$J$11:$M$18,8,FALSE)</f>
        <v>#N/A</v>
      </c>
      <c r="Y4879" s="81" t="e">
        <f>HLOOKUP(R4879,データについて!$J$12:$M$18,7,FALSE)</f>
        <v>#N/A</v>
      </c>
      <c r="Z4879" s="81" t="e">
        <f>HLOOKUP(I4879,データについて!$J$3:$M$18,16,FALSE)</f>
        <v>#N/A</v>
      </c>
      <c r="AA4879" s="81" t="str">
        <f>IFERROR(HLOOKUP(J4879,データについて!$J$4:$AH$19,16,FALSE),"")</f>
        <v/>
      </c>
      <c r="AB4879" s="81" t="str">
        <f>IFERROR(HLOOKUP(K4879,データについて!$J$5:$AH$20,14,FALSE),"")</f>
        <v/>
      </c>
      <c r="AC4879" s="81" t="e">
        <f>IF(X4879=1,HLOOKUP(R4879,データについて!$J$12:$M$18,7,FALSE),"*")</f>
        <v>#N/A</v>
      </c>
      <c r="AD4879" s="81" t="e">
        <f>IF(X4879=2,HLOOKUP(R4879,データについて!$J$12:$M$18,7,FALSE),"*")</f>
        <v>#N/A</v>
      </c>
    </row>
    <row r="4880" spans="19:30">
      <c r="S4880" s="81" t="e">
        <f>HLOOKUP(L4880,データについて!$J$6:$M$18,13,FALSE)</f>
        <v>#N/A</v>
      </c>
      <c r="T4880" s="81" t="e">
        <f>HLOOKUP(M4880,データについて!$J$7:$M$18,12,FALSE)</f>
        <v>#N/A</v>
      </c>
      <c r="U4880" s="81" t="e">
        <f>HLOOKUP(N4880,データについて!$J$8:$M$18,11,FALSE)</f>
        <v>#N/A</v>
      </c>
      <c r="V4880" s="81" t="e">
        <f>HLOOKUP(O4880,データについて!$J$9:$M$18,10,FALSE)</f>
        <v>#N/A</v>
      </c>
      <c r="W4880" s="81" t="e">
        <f>HLOOKUP(P4880,データについて!$J$10:$M$18,9,FALSE)</f>
        <v>#N/A</v>
      </c>
      <c r="X4880" s="81" t="e">
        <f>HLOOKUP(Q4880,データについて!$J$11:$M$18,8,FALSE)</f>
        <v>#N/A</v>
      </c>
      <c r="Y4880" s="81" t="e">
        <f>HLOOKUP(R4880,データについて!$J$12:$M$18,7,FALSE)</f>
        <v>#N/A</v>
      </c>
      <c r="Z4880" s="81" t="e">
        <f>HLOOKUP(I4880,データについて!$J$3:$M$18,16,FALSE)</f>
        <v>#N/A</v>
      </c>
      <c r="AA4880" s="81" t="str">
        <f>IFERROR(HLOOKUP(J4880,データについて!$J$4:$AH$19,16,FALSE),"")</f>
        <v/>
      </c>
      <c r="AB4880" s="81" t="str">
        <f>IFERROR(HLOOKUP(K4880,データについて!$J$5:$AH$20,14,FALSE),"")</f>
        <v/>
      </c>
      <c r="AC4880" s="81" t="e">
        <f>IF(X4880=1,HLOOKUP(R4880,データについて!$J$12:$M$18,7,FALSE),"*")</f>
        <v>#N/A</v>
      </c>
      <c r="AD4880" s="81" t="e">
        <f>IF(X4880=2,HLOOKUP(R4880,データについて!$J$12:$M$18,7,FALSE),"*")</f>
        <v>#N/A</v>
      </c>
    </row>
    <row r="4881" spans="19:30">
      <c r="S4881" s="81" t="e">
        <f>HLOOKUP(L4881,データについて!$J$6:$M$18,13,FALSE)</f>
        <v>#N/A</v>
      </c>
      <c r="T4881" s="81" t="e">
        <f>HLOOKUP(M4881,データについて!$J$7:$M$18,12,FALSE)</f>
        <v>#N/A</v>
      </c>
      <c r="U4881" s="81" t="e">
        <f>HLOOKUP(N4881,データについて!$J$8:$M$18,11,FALSE)</f>
        <v>#N/A</v>
      </c>
      <c r="V4881" s="81" t="e">
        <f>HLOOKUP(O4881,データについて!$J$9:$M$18,10,FALSE)</f>
        <v>#N/A</v>
      </c>
      <c r="W4881" s="81" t="e">
        <f>HLOOKUP(P4881,データについて!$J$10:$M$18,9,FALSE)</f>
        <v>#N/A</v>
      </c>
      <c r="X4881" s="81" t="e">
        <f>HLOOKUP(Q4881,データについて!$J$11:$M$18,8,FALSE)</f>
        <v>#N/A</v>
      </c>
      <c r="Y4881" s="81" t="e">
        <f>HLOOKUP(R4881,データについて!$J$12:$M$18,7,FALSE)</f>
        <v>#N/A</v>
      </c>
      <c r="Z4881" s="81" t="e">
        <f>HLOOKUP(I4881,データについて!$J$3:$M$18,16,FALSE)</f>
        <v>#N/A</v>
      </c>
      <c r="AA4881" s="81" t="str">
        <f>IFERROR(HLOOKUP(J4881,データについて!$J$4:$AH$19,16,FALSE),"")</f>
        <v/>
      </c>
      <c r="AB4881" s="81" t="str">
        <f>IFERROR(HLOOKUP(K4881,データについて!$J$5:$AH$20,14,FALSE),"")</f>
        <v/>
      </c>
      <c r="AC4881" s="81" t="e">
        <f>IF(X4881=1,HLOOKUP(R4881,データについて!$J$12:$M$18,7,FALSE),"*")</f>
        <v>#N/A</v>
      </c>
      <c r="AD4881" s="81" t="e">
        <f>IF(X4881=2,HLOOKUP(R4881,データについて!$J$12:$M$18,7,FALSE),"*")</f>
        <v>#N/A</v>
      </c>
    </row>
    <row r="4882" spans="19:30">
      <c r="S4882" s="81" t="e">
        <f>HLOOKUP(L4882,データについて!$J$6:$M$18,13,FALSE)</f>
        <v>#N/A</v>
      </c>
      <c r="T4882" s="81" t="e">
        <f>HLOOKUP(M4882,データについて!$J$7:$M$18,12,FALSE)</f>
        <v>#N/A</v>
      </c>
      <c r="U4882" s="81" t="e">
        <f>HLOOKUP(N4882,データについて!$J$8:$M$18,11,FALSE)</f>
        <v>#N/A</v>
      </c>
      <c r="V4882" s="81" t="e">
        <f>HLOOKUP(O4882,データについて!$J$9:$M$18,10,FALSE)</f>
        <v>#N/A</v>
      </c>
      <c r="W4882" s="81" t="e">
        <f>HLOOKUP(P4882,データについて!$J$10:$M$18,9,FALSE)</f>
        <v>#N/A</v>
      </c>
      <c r="X4882" s="81" t="e">
        <f>HLOOKUP(Q4882,データについて!$J$11:$M$18,8,FALSE)</f>
        <v>#N/A</v>
      </c>
      <c r="Y4882" s="81" t="e">
        <f>HLOOKUP(R4882,データについて!$J$12:$M$18,7,FALSE)</f>
        <v>#N/A</v>
      </c>
      <c r="Z4882" s="81" t="e">
        <f>HLOOKUP(I4882,データについて!$J$3:$M$18,16,FALSE)</f>
        <v>#N/A</v>
      </c>
      <c r="AA4882" s="81" t="str">
        <f>IFERROR(HLOOKUP(J4882,データについて!$J$4:$AH$19,16,FALSE),"")</f>
        <v/>
      </c>
      <c r="AB4882" s="81" t="str">
        <f>IFERROR(HLOOKUP(K4882,データについて!$J$5:$AH$20,14,FALSE),"")</f>
        <v/>
      </c>
      <c r="AC4882" s="81" t="e">
        <f>IF(X4882=1,HLOOKUP(R4882,データについて!$J$12:$M$18,7,FALSE),"*")</f>
        <v>#N/A</v>
      </c>
      <c r="AD4882" s="81" t="e">
        <f>IF(X4882=2,HLOOKUP(R4882,データについて!$J$12:$M$18,7,FALSE),"*")</f>
        <v>#N/A</v>
      </c>
    </row>
    <row r="4883" spans="19:30">
      <c r="S4883" s="81" t="e">
        <f>HLOOKUP(L4883,データについて!$J$6:$M$18,13,FALSE)</f>
        <v>#N/A</v>
      </c>
      <c r="T4883" s="81" t="e">
        <f>HLOOKUP(M4883,データについて!$J$7:$M$18,12,FALSE)</f>
        <v>#N/A</v>
      </c>
      <c r="U4883" s="81" t="e">
        <f>HLOOKUP(N4883,データについて!$J$8:$M$18,11,FALSE)</f>
        <v>#N/A</v>
      </c>
      <c r="V4883" s="81" t="e">
        <f>HLOOKUP(O4883,データについて!$J$9:$M$18,10,FALSE)</f>
        <v>#N/A</v>
      </c>
      <c r="W4883" s="81" t="e">
        <f>HLOOKUP(P4883,データについて!$J$10:$M$18,9,FALSE)</f>
        <v>#N/A</v>
      </c>
      <c r="X4883" s="81" t="e">
        <f>HLOOKUP(Q4883,データについて!$J$11:$M$18,8,FALSE)</f>
        <v>#N/A</v>
      </c>
      <c r="Y4883" s="81" t="e">
        <f>HLOOKUP(R4883,データについて!$J$12:$M$18,7,FALSE)</f>
        <v>#N/A</v>
      </c>
      <c r="Z4883" s="81" t="e">
        <f>HLOOKUP(I4883,データについて!$J$3:$M$18,16,FALSE)</f>
        <v>#N/A</v>
      </c>
      <c r="AA4883" s="81" t="str">
        <f>IFERROR(HLOOKUP(J4883,データについて!$J$4:$AH$19,16,FALSE),"")</f>
        <v/>
      </c>
      <c r="AB4883" s="81" t="str">
        <f>IFERROR(HLOOKUP(K4883,データについて!$J$5:$AH$20,14,FALSE),"")</f>
        <v/>
      </c>
      <c r="AC4883" s="81" t="e">
        <f>IF(X4883=1,HLOOKUP(R4883,データについて!$J$12:$M$18,7,FALSE),"*")</f>
        <v>#N/A</v>
      </c>
      <c r="AD4883" s="81" t="e">
        <f>IF(X4883=2,HLOOKUP(R4883,データについて!$J$12:$M$18,7,FALSE),"*")</f>
        <v>#N/A</v>
      </c>
    </row>
    <row r="4884" spans="19:30">
      <c r="S4884" s="81" t="e">
        <f>HLOOKUP(L4884,データについて!$J$6:$M$18,13,FALSE)</f>
        <v>#N/A</v>
      </c>
      <c r="T4884" s="81" t="e">
        <f>HLOOKUP(M4884,データについて!$J$7:$M$18,12,FALSE)</f>
        <v>#N/A</v>
      </c>
      <c r="U4884" s="81" t="e">
        <f>HLOOKUP(N4884,データについて!$J$8:$M$18,11,FALSE)</f>
        <v>#N/A</v>
      </c>
      <c r="V4884" s="81" t="e">
        <f>HLOOKUP(O4884,データについて!$J$9:$M$18,10,FALSE)</f>
        <v>#N/A</v>
      </c>
      <c r="W4884" s="81" t="e">
        <f>HLOOKUP(P4884,データについて!$J$10:$M$18,9,FALSE)</f>
        <v>#N/A</v>
      </c>
      <c r="X4884" s="81" t="e">
        <f>HLOOKUP(Q4884,データについて!$J$11:$M$18,8,FALSE)</f>
        <v>#N/A</v>
      </c>
      <c r="Y4884" s="81" t="e">
        <f>HLOOKUP(R4884,データについて!$J$12:$M$18,7,FALSE)</f>
        <v>#N/A</v>
      </c>
      <c r="Z4884" s="81" t="e">
        <f>HLOOKUP(I4884,データについて!$J$3:$M$18,16,FALSE)</f>
        <v>#N/A</v>
      </c>
      <c r="AA4884" s="81" t="str">
        <f>IFERROR(HLOOKUP(J4884,データについて!$J$4:$AH$19,16,FALSE),"")</f>
        <v/>
      </c>
      <c r="AB4884" s="81" t="str">
        <f>IFERROR(HLOOKUP(K4884,データについて!$J$5:$AH$20,14,FALSE),"")</f>
        <v/>
      </c>
      <c r="AC4884" s="81" t="e">
        <f>IF(X4884=1,HLOOKUP(R4884,データについて!$J$12:$M$18,7,FALSE),"*")</f>
        <v>#N/A</v>
      </c>
      <c r="AD4884" s="81" t="e">
        <f>IF(X4884=2,HLOOKUP(R4884,データについて!$J$12:$M$18,7,FALSE),"*")</f>
        <v>#N/A</v>
      </c>
    </row>
    <row r="4885" spans="19:30">
      <c r="S4885" s="81" t="e">
        <f>HLOOKUP(L4885,データについて!$J$6:$M$18,13,FALSE)</f>
        <v>#N/A</v>
      </c>
      <c r="T4885" s="81" t="e">
        <f>HLOOKUP(M4885,データについて!$J$7:$M$18,12,FALSE)</f>
        <v>#N/A</v>
      </c>
      <c r="U4885" s="81" t="e">
        <f>HLOOKUP(N4885,データについて!$J$8:$M$18,11,FALSE)</f>
        <v>#N/A</v>
      </c>
      <c r="V4885" s="81" t="e">
        <f>HLOOKUP(O4885,データについて!$J$9:$M$18,10,FALSE)</f>
        <v>#N/A</v>
      </c>
      <c r="W4885" s="81" t="e">
        <f>HLOOKUP(P4885,データについて!$J$10:$M$18,9,FALSE)</f>
        <v>#N/A</v>
      </c>
      <c r="X4885" s="81" t="e">
        <f>HLOOKUP(Q4885,データについて!$J$11:$M$18,8,FALSE)</f>
        <v>#N/A</v>
      </c>
      <c r="Y4885" s="81" t="e">
        <f>HLOOKUP(R4885,データについて!$J$12:$M$18,7,FALSE)</f>
        <v>#N/A</v>
      </c>
      <c r="Z4885" s="81" t="e">
        <f>HLOOKUP(I4885,データについて!$J$3:$M$18,16,FALSE)</f>
        <v>#N/A</v>
      </c>
      <c r="AA4885" s="81" t="str">
        <f>IFERROR(HLOOKUP(J4885,データについて!$J$4:$AH$19,16,FALSE),"")</f>
        <v/>
      </c>
      <c r="AB4885" s="81" t="str">
        <f>IFERROR(HLOOKUP(K4885,データについて!$J$5:$AH$20,14,FALSE),"")</f>
        <v/>
      </c>
      <c r="AC4885" s="81" t="e">
        <f>IF(X4885=1,HLOOKUP(R4885,データについて!$J$12:$M$18,7,FALSE),"*")</f>
        <v>#N/A</v>
      </c>
      <c r="AD4885" s="81" t="e">
        <f>IF(X4885=2,HLOOKUP(R4885,データについて!$J$12:$M$18,7,FALSE),"*")</f>
        <v>#N/A</v>
      </c>
    </row>
    <row r="4886" spans="19:30">
      <c r="S4886" s="81" t="e">
        <f>HLOOKUP(L4886,データについて!$J$6:$M$18,13,FALSE)</f>
        <v>#N/A</v>
      </c>
      <c r="T4886" s="81" t="e">
        <f>HLOOKUP(M4886,データについて!$J$7:$M$18,12,FALSE)</f>
        <v>#N/A</v>
      </c>
      <c r="U4886" s="81" t="e">
        <f>HLOOKUP(N4886,データについて!$J$8:$M$18,11,FALSE)</f>
        <v>#N/A</v>
      </c>
      <c r="V4886" s="81" t="e">
        <f>HLOOKUP(O4886,データについて!$J$9:$M$18,10,FALSE)</f>
        <v>#N/A</v>
      </c>
      <c r="W4886" s="81" t="e">
        <f>HLOOKUP(P4886,データについて!$J$10:$M$18,9,FALSE)</f>
        <v>#N/A</v>
      </c>
      <c r="X4886" s="81" t="e">
        <f>HLOOKUP(Q4886,データについて!$J$11:$M$18,8,FALSE)</f>
        <v>#N/A</v>
      </c>
      <c r="Y4886" s="81" t="e">
        <f>HLOOKUP(R4886,データについて!$J$12:$M$18,7,FALSE)</f>
        <v>#N/A</v>
      </c>
      <c r="Z4886" s="81" t="e">
        <f>HLOOKUP(I4886,データについて!$J$3:$M$18,16,FALSE)</f>
        <v>#N/A</v>
      </c>
      <c r="AA4886" s="81" t="str">
        <f>IFERROR(HLOOKUP(J4886,データについて!$J$4:$AH$19,16,FALSE),"")</f>
        <v/>
      </c>
      <c r="AB4886" s="81" t="str">
        <f>IFERROR(HLOOKUP(K4886,データについて!$J$5:$AH$20,14,FALSE),"")</f>
        <v/>
      </c>
      <c r="AC4886" s="81" t="e">
        <f>IF(X4886=1,HLOOKUP(R4886,データについて!$J$12:$M$18,7,FALSE),"*")</f>
        <v>#N/A</v>
      </c>
      <c r="AD4886" s="81" t="e">
        <f>IF(X4886=2,HLOOKUP(R4886,データについて!$J$12:$M$18,7,FALSE),"*")</f>
        <v>#N/A</v>
      </c>
    </row>
    <row r="4887" spans="19:30">
      <c r="S4887" s="81" t="e">
        <f>HLOOKUP(L4887,データについて!$J$6:$M$18,13,FALSE)</f>
        <v>#N/A</v>
      </c>
      <c r="T4887" s="81" t="e">
        <f>HLOOKUP(M4887,データについて!$J$7:$M$18,12,FALSE)</f>
        <v>#N/A</v>
      </c>
      <c r="U4887" s="81" t="e">
        <f>HLOOKUP(N4887,データについて!$J$8:$M$18,11,FALSE)</f>
        <v>#N/A</v>
      </c>
      <c r="V4887" s="81" t="e">
        <f>HLOOKUP(O4887,データについて!$J$9:$M$18,10,FALSE)</f>
        <v>#N/A</v>
      </c>
      <c r="W4887" s="81" t="e">
        <f>HLOOKUP(P4887,データについて!$J$10:$M$18,9,FALSE)</f>
        <v>#N/A</v>
      </c>
      <c r="X4887" s="81" t="e">
        <f>HLOOKUP(Q4887,データについて!$J$11:$M$18,8,FALSE)</f>
        <v>#N/A</v>
      </c>
      <c r="Y4887" s="81" t="e">
        <f>HLOOKUP(R4887,データについて!$J$12:$M$18,7,FALSE)</f>
        <v>#N/A</v>
      </c>
      <c r="Z4887" s="81" t="e">
        <f>HLOOKUP(I4887,データについて!$J$3:$M$18,16,FALSE)</f>
        <v>#N/A</v>
      </c>
      <c r="AA4887" s="81" t="str">
        <f>IFERROR(HLOOKUP(J4887,データについて!$J$4:$AH$19,16,FALSE),"")</f>
        <v/>
      </c>
      <c r="AB4887" s="81" t="str">
        <f>IFERROR(HLOOKUP(K4887,データについて!$J$5:$AH$20,14,FALSE),"")</f>
        <v/>
      </c>
      <c r="AC4887" s="81" t="e">
        <f>IF(X4887=1,HLOOKUP(R4887,データについて!$J$12:$M$18,7,FALSE),"*")</f>
        <v>#N/A</v>
      </c>
      <c r="AD4887" s="81" t="e">
        <f>IF(X4887=2,HLOOKUP(R4887,データについて!$J$12:$M$18,7,FALSE),"*")</f>
        <v>#N/A</v>
      </c>
    </row>
    <row r="4888" spans="19:30">
      <c r="S4888" s="81" t="e">
        <f>HLOOKUP(L4888,データについて!$J$6:$M$18,13,FALSE)</f>
        <v>#N/A</v>
      </c>
      <c r="T4888" s="81" t="e">
        <f>HLOOKUP(M4888,データについて!$J$7:$M$18,12,FALSE)</f>
        <v>#N/A</v>
      </c>
      <c r="U4888" s="81" t="e">
        <f>HLOOKUP(N4888,データについて!$J$8:$M$18,11,FALSE)</f>
        <v>#N/A</v>
      </c>
      <c r="V4888" s="81" t="e">
        <f>HLOOKUP(O4888,データについて!$J$9:$M$18,10,FALSE)</f>
        <v>#N/A</v>
      </c>
      <c r="W4888" s="81" t="e">
        <f>HLOOKUP(P4888,データについて!$J$10:$M$18,9,FALSE)</f>
        <v>#N/A</v>
      </c>
      <c r="X4888" s="81" t="e">
        <f>HLOOKUP(Q4888,データについて!$J$11:$M$18,8,FALSE)</f>
        <v>#N/A</v>
      </c>
      <c r="Y4888" s="81" t="e">
        <f>HLOOKUP(R4888,データについて!$J$12:$M$18,7,FALSE)</f>
        <v>#N/A</v>
      </c>
      <c r="Z4888" s="81" t="e">
        <f>HLOOKUP(I4888,データについて!$J$3:$M$18,16,FALSE)</f>
        <v>#N/A</v>
      </c>
      <c r="AA4888" s="81" t="str">
        <f>IFERROR(HLOOKUP(J4888,データについて!$J$4:$AH$19,16,FALSE),"")</f>
        <v/>
      </c>
      <c r="AB4888" s="81" t="str">
        <f>IFERROR(HLOOKUP(K4888,データについて!$J$5:$AH$20,14,FALSE),"")</f>
        <v/>
      </c>
      <c r="AC4888" s="81" t="e">
        <f>IF(X4888=1,HLOOKUP(R4888,データについて!$J$12:$M$18,7,FALSE),"*")</f>
        <v>#N/A</v>
      </c>
      <c r="AD4888" s="81" t="e">
        <f>IF(X4888=2,HLOOKUP(R4888,データについて!$J$12:$M$18,7,FALSE),"*")</f>
        <v>#N/A</v>
      </c>
    </row>
    <row r="4889" spans="19:30">
      <c r="S4889" s="81" t="e">
        <f>HLOOKUP(L4889,データについて!$J$6:$M$18,13,FALSE)</f>
        <v>#N/A</v>
      </c>
      <c r="T4889" s="81" t="e">
        <f>HLOOKUP(M4889,データについて!$J$7:$M$18,12,FALSE)</f>
        <v>#N/A</v>
      </c>
      <c r="U4889" s="81" t="e">
        <f>HLOOKUP(N4889,データについて!$J$8:$M$18,11,FALSE)</f>
        <v>#N/A</v>
      </c>
      <c r="V4889" s="81" t="e">
        <f>HLOOKUP(O4889,データについて!$J$9:$M$18,10,FALSE)</f>
        <v>#N/A</v>
      </c>
      <c r="W4889" s="81" t="e">
        <f>HLOOKUP(P4889,データについて!$J$10:$M$18,9,FALSE)</f>
        <v>#N/A</v>
      </c>
      <c r="X4889" s="81" t="e">
        <f>HLOOKUP(Q4889,データについて!$J$11:$M$18,8,FALSE)</f>
        <v>#N/A</v>
      </c>
      <c r="Y4889" s="81" t="e">
        <f>HLOOKUP(R4889,データについて!$J$12:$M$18,7,FALSE)</f>
        <v>#N/A</v>
      </c>
      <c r="Z4889" s="81" t="e">
        <f>HLOOKUP(I4889,データについて!$J$3:$M$18,16,FALSE)</f>
        <v>#N/A</v>
      </c>
      <c r="AA4889" s="81" t="str">
        <f>IFERROR(HLOOKUP(J4889,データについて!$J$4:$AH$19,16,FALSE),"")</f>
        <v/>
      </c>
      <c r="AB4889" s="81" t="str">
        <f>IFERROR(HLOOKUP(K4889,データについて!$J$5:$AH$20,14,FALSE),"")</f>
        <v/>
      </c>
      <c r="AC4889" s="81" t="e">
        <f>IF(X4889=1,HLOOKUP(R4889,データについて!$J$12:$M$18,7,FALSE),"*")</f>
        <v>#N/A</v>
      </c>
      <c r="AD4889" s="81" t="e">
        <f>IF(X4889=2,HLOOKUP(R4889,データについて!$J$12:$M$18,7,FALSE),"*")</f>
        <v>#N/A</v>
      </c>
    </row>
    <row r="4890" spans="19:30">
      <c r="S4890" s="81" t="e">
        <f>HLOOKUP(L4890,データについて!$J$6:$M$18,13,FALSE)</f>
        <v>#N/A</v>
      </c>
      <c r="T4890" s="81" t="e">
        <f>HLOOKUP(M4890,データについて!$J$7:$M$18,12,FALSE)</f>
        <v>#N/A</v>
      </c>
      <c r="U4890" s="81" t="e">
        <f>HLOOKUP(N4890,データについて!$J$8:$M$18,11,FALSE)</f>
        <v>#N/A</v>
      </c>
      <c r="V4890" s="81" t="e">
        <f>HLOOKUP(O4890,データについて!$J$9:$M$18,10,FALSE)</f>
        <v>#N/A</v>
      </c>
      <c r="W4890" s="81" t="e">
        <f>HLOOKUP(P4890,データについて!$J$10:$M$18,9,FALSE)</f>
        <v>#N/A</v>
      </c>
      <c r="X4890" s="81" t="e">
        <f>HLOOKUP(Q4890,データについて!$J$11:$M$18,8,FALSE)</f>
        <v>#N/A</v>
      </c>
      <c r="Y4890" s="81" t="e">
        <f>HLOOKUP(R4890,データについて!$J$12:$M$18,7,FALSE)</f>
        <v>#N/A</v>
      </c>
      <c r="Z4890" s="81" t="e">
        <f>HLOOKUP(I4890,データについて!$J$3:$M$18,16,FALSE)</f>
        <v>#N/A</v>
      </c>
      <c r="AA4890" s="81" t="str">
        <f>IFERROR(HLOOKUP(J4890,データについて!$J$4:$AH$19,16,FALSE),"")</f>
        <v/>
      </c>
      <c r="AB4890" s="81" t="str">
        <f>IFERROR(HLOOKUP(K4890,データについて!$J$5:$AH$20,14,FALSE),"")</f>
        <v/>
      </c>
      <c r="AC4890" s="81" t="e">
        <f>IF(X4890=1,HLOOKUP(R4890,データについて!$J$12:$M$18,7,FALSE),"*")</f>
        <v>#N/A</v>
      </c>
      <c r="AD4890" s="81" t="e">
        <f>IF(X4890=2,HLOOKUP(R4890,データについて!$J$12:$M$18,7,FALSE),"*")</f>
        <v>#N/A</v>
      </c>
    </row>
    <row r="4891" spans="19:30">
      <c r="S4891" s="81" t="e">
        <f>HLOOKUP(L4891,データについて!$J$6:$M$18,13,FALSE)</f>
        <v>#N/A</v>
      </c>
      <c r="T4891" s="81" t="e">
        <f>HLOOKUP(M4891,データについて!$J$7:$M$18,12,FALSE)</f>
        <v>#N/A</v>
      </c>
      <c r="U4891" s="81" t="e">
        <f>HLOOKUP(N4891,データについて!$J$8:$M$18,11,FALSE)</f>
        <v>#N/A</v>
      </c>
      <c r="V4891" s="81" t="e">
        <f>HLOOKUP(O4891,データについて!$J$9:$M$18,10,FALSE)</f>
        <v>#N/A</v>
      </c>
      <c r="W4891" s="81" t="e">
        <f>HLOOKUP(P4891,データについて!$J$10:$M$18,9,FALSE)</f>
        <v>#N/A</v>
      </c>
      <c r="X4891" s="81" t="e">
        <f>HLOOKUP(Q4891,データについて!$J$11:$M$18,8,FALSE)</f>
        <v>#N/A</v>
      </c>
      <c r="Y4891" s="81" t="e">
        <f>HLOOKUP(R4891,データについて!$J$12:$M$18,7,FALSE)</f>
        <v>#N/A</v>
      </c>
      <c r="Z4891" s="81" t="e">
        <f>HLOOKUP(I4891,データについて!$J$3:$M$18,16,FALSE)</f>
        <v>#N/A</v>
      </c>
      <c r="AA4891" s="81" t="str">
        <f>IFERROR(HLOOKUP(J4891,データについて!$J$4:$AH$19,16,FALSE),"")</f>
        <v/>
      </c>
      <c r="AB4891" s="81" t="str">
        <f>IFERROR(HLOOKUP(K4891,データについて!$J$5:$AH$20,14,FALSE),"")</f>
        <v/>
      </c>
      <c r="AC4891" s="81" t="e">
        <f>IF(X4891=1,HLOOKUP(R4891,データについて!$J$12:$M$18,7,FALSE),"*")</f>
        <v>#N/A</v>
      </c>
      <c r="AD4891" s="81" t="e">
        <f>IF(X4891=2,HLOOKUP(R4891,データについて!$J$12:$M$18,7,FALSE),"*")</f>
        <v>#N/A</v>
      </c>
    </row>
    <row r="4892" spans="19:30">
      <c r="S4892" s="81" t="e">
        <f>HLOOKUP(L4892,データについて!$J$6:$M$18,13,FALSE)</f>
        <v>#N/A</v>
      </c>
      <c r="T4892" s="81" t="e">
        <f>HLOOKUP(M4892,データについて!$J$7:$M$18,12,FALSE)</f>
        <v>#N/A</v>
      </c>
      <c r="U4892" s="81" t="e">
        <f>HLOOKUP(N4892,データについて!$J$8:$M$18,11,FALSE)</f>
        <v>#N/A</v>
      </c>
      <c r="V4892" s="81" t="e">
        <f>HLOOKUP(O4892,データについて!$J$9:$M$18,10,FALSE)</f>
        <v>#N/A</v>
      </c>
      <c r="W4892" s="81" t="e">
        <f>HLOOKUP(P4892,データについて!$J$10:$M$18,9,FALSE)</f>
        <v>#N/A</v>
      </c>
      <c r="X4892" s="81" t="e">
        <f>HLOOKUP(Q4892,データについて!$J$11:$M$18,8,FALSE)</f>
        <v>#N/A</v>
      </c>
      <c r="Y4892" s="81" t="e">
        <f>HLOOKUP(R4892,データについて!$J$12:$M$18,7,FALSE)</f>
        <v>#N/A</v>
      </c>
      <c r="Z4892" s="81" t="e">
        <f>HLOOKUP(I4892,データについて!$J$3:$M$18,16,FALSE)</f>
        <v>#N/A</v>
      </c>
      <c r="AA4892" s="81" t="str">
        <f>IFERROR(HLOOKUP(J4892,データについて!$J$4:$AH$19,16,FALSE),"")</f>
        <v/>
      </c>
      <c r="AB4892" s="81" t="str">
        <f>IFERROR(HLOOKUP(K4892,データについて!$J$5:$AH$20,14,FALSE),"")</f>
        <v/>
      </c>
      <c r="AC4892" s="81" t="e">
        <f>IF(X4892=1,HLOOKUP(R4892,データについて!$J$12:$M$18,7,FALSE),"*")</f>
        <v>#N/A</v>
      </c>
      <c r="AD4892" s="81" t="e">
        <f>IF(X4892=2,HLOOKUP(R4892,データについて!$J$12:$M$18,7,FALSE),"*")</f>
        <v>#N/A</v>
      </c>
    </row>
    <row r="4893" spans="19:30">
      <c r="S4893" s="81" t="e">
        <f>HLOOKUP(L4893,データについて!$J$6:$M$18,13,FALSE)</f>
        <v>#N/A</v>
      </c>
      <c r="T4893" s="81" t="e">
        <f>HLOOKUP(M4893,データについて!$J$7:$M$18,12,FALSE)</f>
        <v>#N/A</v>
      </c>
      <c r="U4893" s="81" t="e">
        <f>HLOOKUP(N4893,データについて!$J$8:$M$18,11,FALSE)</f>
        <v>#N/A</v>
      </c>
      <c r="V4893" s="81" t="e">
        <f>HLOOKUP(O4893,データについて!$J$9:$M$18,10,FALSE)</f>
        <v>#N/A</v>
      </c>
      <c r="W4893" s="81" t="e">
        <f>HLOOKUP(P4893,データについて!$J$10:$M$18,9,FALSE)</f>
        <v>#N/A</v>
      </c>
      <c r="X4893" s="81" t="e">
        <f>HLOOKUP(Q4893,データについて!$J$11:$M$18,8,FALSE)</f>
        <v>#N/A</v>
      </c>
      <c r="Y4893" s="81" t="e">
        <f>HLOOKUP(R4893,データについて!$J$12:$M$18,7,FALSE)</f>
        <v>#N/A</v>
      </c>
      <c r="Z4893" s="81" t="e">
        <f>HLOOKUP(I4893,データについて!$J$3:$M$18,16,FALSE)</f>
        <v>#N/A</v>
      </c>
      <c r="AA4893" s="81" t="str">
        <f>IFERROR(HLOOKUP(J4893,データについて!$J$4:$AH$19,16,FALSE),"")</f>
        <v/>
      </c>
      <c r="AB4893" s="81" t="str">
        <f>IFERROR(HLOOKUP(K4893,データについて!$J$5:$AH$20,14,FALSE),"")</f>
        <v/>
      </c>
      <c r="AC4893" s="81" t="e">
        <f>IF(X4893=1,HLOOKUP(R4893,データについて!$J$12:$M$18,7,FALSE),"*")</f>
        <v>#N/A</v>
      </c>
      <c r="AD4893" s="81" t="e">
        <f>IF(X4893=2,HLOOKUP(R4893,データについて!$J$12:$M$18,7,FALSE),"*")</f>
        <v>#N/A</v>
      </c>
    </row>
    <row r="4894" spans="19:30">
      <c r="S4894" s="81" t="e">
        <f>HLOOKUP(L4894,データについて!$J$6:$M$18,13,FALSE)</f>
        <v>#N/A</v>
      </c>
      <c r="T4894" s="81" t="e">
        <f>HLOOKUP(M4894,データについて!$J$7:$M$18,12,FALSE)</f>
        <v>#N/A</v>
      </c>
      <c r="U4894" s="81" t="e">
        <f>HLOOKUP(N4894,データについて!$J$8:$M$18,11,FALSE)</f>
        <v>#N/A</v>
      </c>
      <c r="V4894" s="81" t="e">
        <f>HLOOKUP(O4894,データについて!$J$9:$M$18,10,FALSE)</f>
        <v>#N/A</v>
      </c>
      <c r="W4894" s="81" t="e">
        <f>HLOOKUP(P4894,データについて!$J$10:$M$18,9,FALSE)</f>
        <v>#N/A</v>
      </c>
      <c r="X4894" s="81" t="e">
        <f>HLOOKUP(Q4894,データについて!$J$11:$M$18,8,FALSE)</f>
        <v>#N/A</v>
      </c>
      <c r="Y4894" s="81" t="e">
        <f>HLOOKUP(R4894,データについて!$J$12:$M$18,7,FALSE)</f>
        <v>#N/A</v>
      </c>
      <c r="Z4894" s="81" t="e">
        <f>HLOOKUP(I4894,データについて!$J$3:$M$18,16,FALSE)</f>
        <v>#N/A</v>
      </c>
      <c r="AA4894" s="81" t="str">
        <f>IFERROR(HLOOKUP(J4894,データについて!$J$4:$AH$19,16,FALSE),"")</f>
        <v/>
      </c>
      <c r="AB4894" s="81" t="str">
        <f>IFERROR(HLOOKUP(K4894,データについて!$J$5:$AH$20,14,FALSE),"")</f>
        <v/>
      </c>
      <c r="AC4894" s="81" t="e">
        <f>IF(X4894=1,HLOOKUP(R4894,データについて!$J$12:$M$18,7,FALSE),"*")</f>
        <v>#N/A</v>
      </c>
      <c r="AD4894" s="81" t="e">
        <f>IF(X4894=2,HLOOKUP(R4894,データについて!$J$12:$M$18,7,FALSE),"*")</f>
        <v>#N/A</v>
      </c>
    </row>
    <row r="4895" spans="19:30">
      <c r="S4895" s="81" t="e">
        <f>HLOOKUP(L4895,データについて!$J$6:$M$18,13,FALSE)</f>
        <v>#N/A</v>
      </c>
      <c r="T4895" s="81" t="e">
        <f>HLOOKUP(M4895,データについて!$J$7:$M$18,12,FALSE)</f>
        <v>#N/A</v>
      </c>
      <c r="U4895" s="81" t="e">
        <f>HLOOKUP(N4895,データについて!$J$8:$M$18,11,FALSE)</f>
        <v>#N/A</v>
      </c>
      <c r="V4895" s="81" t="e">
        <f>HLOOKUP(O4895,データについて!$J$9:$M$18,10,FALSE)</f>
        <v>#N/A</v>
      </c>
      <c r="W4895" s="81" t="e">
        <f>HLOOKUP(P4895,データについて!$J$10:$M$18,9,FALSE)</f>
        <v>#N/A</v>
      </c>
      <c r="X4895" s="81" t="e">
        <f>HLOOKUP(Q4895,データについて!$J$11:$M$18,8,FALSE)</f>
        <v>#N/A</v>
      </c>
      <c r="Y4895" s="81" t="e">
        <f>HLOOKUP(R4895,データについて!$J$12:$M$18,7,FALSE)</f>
        <v>#N/A</v>
      </c>
      <c r="Z4895" s="81" t="e">
        <f>HLOOKUP(I4895,データについて!$J$3:$M$18,16,FALSE)</f>
        <v>#N/A</v>
      </c>
      <c r="AA4895" s="81" t="str">
        <f>IFERROR(HLOOKUP(J4895,データについて!$J$4:$AH$19,16,FALSE),"")</f>
        <v/>
      </c>
      <c r="AB4895" s="81" t="str">
        <f>IFERROR(HLOOKUP(K4895,データについて!$J$5:$AH$20,14,FALSE),"")</f>
        <v/>
      </c>
      <c r="AC4895" s="81" t="e">
        <f>IF(X4895=1,HLOOKUP(R4895,データについて!$J$12:$M$18,7,FALSE),"*")</f>
        <v>#N/A</v>
      </c>
      <c r="AD4895" s="81" t="e">
        <f>IF(X4895=2,HLOOKUP(R4895,データについて!$J$12:$M$18,7,FALSE),"*")</f>
        <v>#N/A</v>
      </c>
    </row>
    <row r="4896" spans="19:30">
      <c r="S4896" s="81" t="e">
        <f>HLOOKUP(L4896,データについて!$J$6:$M$18,13,FALSE)</f>
        <v>#N/A</v>
      </c>
      <c r="T4896" s="81" t="e">
        <f>HLOOKUP(M4896,データについて!$J$7:$M$18,12,FALSE)</f>
        <v>#N/A</v>
      </c>
      <c r="U4896" s="81" t="e">
        <f>HLOOKUP(N4896,データについて!$J$8:$M$18,11,FALSE)</f>
        <v>#N/A</v>
      </c>
      <c r="V4896" s="81" t="e">
        <f>HLOOKUP(O4896,データについて!$J$9:$M$18,10,FALSE)</f>
        <v>#N/A</v>
      </c>
      <c r="W4896" s="81" t="e">
        <f>HLOOKUP(P4896,データについて!$J$10:$M$18,9,FALSE)</f>
        <v>#N/A</v>
      </c>
      <c r="X4896" s="81" t="e">
        <f>HLOOKUP(Q4896,データについて!$J$11:$M$18,8,FALSE)</f>
        <v>#N/A</v>
      </c>
      <c r="Y4896" s="81" t="e">
        <f>HLOOKUP(R4896,データについて!$J$12:$M$18,7,FALSE)</f>
        <v>#N/A</v>
      </c>
      <c r="Z4896" s="81" t="e">
        <f>HLOOKUP(I4896,データについて!$J$3:$M$18,16,FALSE)</f>
        <v>#N/A</v>
      </c>
      <c r="AA4896" s="81" t="str">
        <f>IFERROR(HLOOKUP(J4896,データについて!$J$4:$AH$19,16,FALSE),"")</f>
        <v/>
      </c>
      <c r="AB4896" s="81" t="str">
        <f>IFERROR(HLOOKUP(K4896,データについて!$J$5:$AH$20,14,FALSE),"")</f>
        <v/>
      </c>
      <c r="AC4896" s="81" t="e">
        <f>IF(X4896=1,HLOOKUP(R4896,データについて!$J$12:$M$18,7,FALSE),"*")</f>
        <v>#N/A</v>
      </c>
      <c r="AD4896" s="81" t="e">
        <f>IF(X4896=2,HLOOKUP(R4896,データについて!$J$12:$M$18,7,FALSE),"*")</f>
        <v>#N/A</v>
      </c>
    </row>
    <row r="4897" spans="19:30">
      <c r="S4897" s="81" t="e">
        <f>HLOOKUP(L4897,データについて!$J$6:$M$18,13,FALSE)</f>
        <v>#N/A</v>
      </c>
      <c r="T4897" s="81" t="e">
        <f>HLOOKUP(M4897,データについて!$J$7:$M$18,12,FALSE)</f>
        <v>#N/A</v>
      </c>
      <c r="U4897" s="81" t="e">
        <f>HLOOKUP(N4897,データについて!$J$8:$M$18,11,FALSE)</f>
        <v>#N/A</v>
      </c>
      <c r="V4897" s="81" t="e">
        <f>HLOOKUP(O4897,データについて!$J$9:$M$18,10,FALSE)</f>
        <v>#N/A</v>
      </c>
      <c r="W4897" s="81" t="e">
        <f>HLOOKUP(P4897,データについて!$J$10:$M$18,9,FALSE)</f>
        <v>#N/A</v>
      </c>
      <c r="X4897" s="81" t="e">
        <f>HLOOKUP(Q4897,データについて!$J$11:$M$18,8,FALSE)</f>
        <v>#N/A</v>
      </c>
      <c r="Y4897" s="81" t="e">
        <f>HLOOKUP(R4897,データについて!$J$12:$M$18,7,FALSE)</f>
        <v>#N/A</v>
      </c>
      <c r="Z4897" s="81" t="e">
        <f>HLOOKUP(I4897,データについて!$J$3:$M$18,16,FALSE)</f>
        <v>#N/A</v>
      </c>
      <c r="AA4897" s="81" t="str">
        <f>IFERROR(HLOOKUP(J4897,データについて!$J$4:$AH$19,16,FALSE),"")</f>
        <v/>
      </c>
      <c r="AB4897" s="81" t="str">
        <f>IFERROR(HLOOKUP(K4897,データについて!$J$5:$AH$20,14,FALSE),"")</f>
        <v/>
      </c>
      <c r="AC4897" s="81" t="e">
        <f>IF(X4897=1,HLOOKUP(R4897,データについて!$J$12:$M$18,7,FALSE),"*")</f>
        <v>#N/A</v>
      </c>
      <c r="AD4897" s="81" t="e">
        <f>IF(X4897=2,HLOOKUP(R4897,データについて!$J$12:$M$18,7,FALSE),"*")</f>
        <v>#N/A</v>
      </c>
    </row>
    <row r="4898" spans="19:30">
      <c r="S4898" s="81" t="e">
        <f>HLOOKUP(L4898,データについて!$J$6:$M$18,13,FALSE)</f>
        <v>#N/A</v>
      </c>
      <c r="T4898" s="81" t="e">
        <f>HLOOKUP(M4898,データについて!$J$7:$M$18,12,FALSE)</f>
        <v>#N/A</v>
      </c>
      <c r="U4898" s="81" t="e">
        <f>HLOOKUP(N4898,データについて!$J$8:$M$18,11,FALSE)</f>
        <v>#N/A</v>
      </c>
      <c r="V4898" s="81" t="e">
        <f>HLOOKUP(O4898,データについて!$J$9:$M$18,10,FALSE)</f>
        <v>#N/A</v>
      </c>
      <c r="W4898" s="81" t="e">
        <f>HLOOKUP(P4898,データについて!$J$10:$M$18,9,FALSE)</f>
        <v>#N/A</v>
      </c>
      <c r="X4898" s="81" t="e">
        <f>HLOOKUP(Q4898,データについて!$J$11:$M$18,8,FALSE)</f>
        <v>#N/A</v>
      </c>
      <c r="Y4898" s="81" t="e">
        <f>HLOOKUP(R4898,データについて!$J$12:$M$18,7,FALSE)</f>
        <v>#N/A</v>
      </c>
      <c r="Z4898" s="81" t="e">
        <f>HLOOKUP(I4898,データについて!$J$3:$M$18,16,FALSE)</f>
        <v>#N/A</v>
      </c>
      <c r="AA4898" s="81" t="str">
        <f>IFERROR(HLOOKUP(J4898,データについて!$J$4:$AH$19,16,FALSE),"")</f>
        <v/>
      </c>
      <c r="AB4898" s="81" t="str">
        <f>IFERROR(HLOOKUP(K4898,データについて!$J$5:$AH$20,14,FALSE),"")</f>
        <v/>
      </c>
      <c r="AC4898" s="81" t="e">
        <f>IF(X4898=1,HLOOKUP(R4898,データについて!$J$12:$M$18,7,FALSE),"*")</f>
        <v>#N/A</v>
      </c>
      <c r="AD4898" s="81" t="e">
        <f>IF(X4898=2,HLOOKUP(R4898,データについて!$J$12:$M$18,7,FALSE),"*")</f>
        <v>#N/A</v>
      </c>
    </row>
    <row r="4899" spans="19:30">
      <c r="S4899" s="81" t="e">
        <f>HLOOKUP(L4899,データについて!$J$6:$M$18,13,FALSE)</f>
        <v>#N/A</v>
      </c>
      <c r="T4899" s="81" t="e">
        <f>HLOOKUP(M4899,データについて!$J$7:$M$18,12,FALSE)</f>
        <v>#N/A</v>
      </c>
      <c r="U4899" s="81" t="e">
        <f>HLOOKUP(N4899,データについて!$J$8:$M$18,11,FALSE)</f>
        <v>#N/A</v>
      </c>
      <c r="V4899" s="81" t="e">
        <f>HLOOKUP(O4899,データについて!$J$9:$M$18,10,FALSE)</f>
        <v>#N/A</v>
      </c>
      <c r="W4899" s="81" t="e">
        <f>HLOOKUP(P4899,データについて!$J$10:$M$18,9,FALSE)</f>
        <v>#N/A</v>
      </c>
      <c r="X4899" s="81" t="e">
        <f>HLOOKUP(Q4899,データについて!$J$11:$M$18,8,FALSE)</f>
        <v>#N/A</v>
      </c>
      <c r="Y4899" s="81" t="e">
        <f>HLOOKUP(R4899,データについて!$J$12:$M$18,7,FALSE)</f>
        <v>#N/A</v>
      </c>
      <c r="Z4899" s="81" t="e">
        <f>HLOOKUP(I4899,データについて!$J$3:$M$18,16,FALSE)</f>
        <v>#N/A</v>
      </c>
      <c r="AA4899" s="81" t="str">
        <f>IFERROR(HLOOKUP(J4899,データについて!$J$4:$AH$19,16,FALSE),"")</f>
        <v/>
      </c>
      <c r="AB4899" s="81" t="str">
        <f>IFERROR(HLOOKUP(K4899,データについて!$J$5:$AH$20,14,FALSE),"")</f>
        <v/>
      </c>
      <c r="AC4899" s="81" t="e">
        <f>IF(X4899=1,HLOOKUP(R4899,データについて!$J$12:$M$18,7,FALSE),"*")</f>
        <v>#N/A</v>
      </c>
      <c r="AD4899" s="81" t="e">
        <f>IF(X4899=2,HLOOKUP(R4899,データについて!$J$12:$M$18,7,FALSE),"*")</f>
        <v>#N/A</v>
      </c>
    </row>
    <row r="4900" spans="19:30">
      <c r="S4900" s="81" t="e">
        <f>HLOOKUP(L4900,データについて!$J$6:$M$18,13,FALSE)</f>
        <v>#N/A</v>
      </c>
      <c r="T4900" s="81" t="e">
        <f>HLOOKUP(M4900,データについて!$J$7:$M$18,12,FALSE)</f>
        <v>#N/A</v>
      </c>
      <c r="U4900" s="81" t="e">
        <f>HLOOKUP(N4900,データについて!$J$8:$M$18,11,FALSE)</f>
        <v>#N/A</v>
      </c>
      <c r="V4900" s="81" t="e">
        <f>HLOOKUP(O4900,データについて!$J$9:$M$18,10,FALSE)</f>
        <v>#N/A</v>
      </c>
      <c r="W4900" s="81" t="e">
        <f>HLOOKUP(P4900,データについて!$J$10:$M$18,9,FALSE)</f>
        <v>#N/A</v>
      </c>
      <c r="X4900" s="81" t="e">
        <f>HLOOKUP(Q4900,データについて!$J$11:$M$18,8,FALSE)</f>
        <v>#N/A</v>
      </c>
      <c r="Y4900" s="81" t="e">
        <f>HLOOKUP(R4900,データについて!$J$12:$M$18,7,FALSE)</f>
        <v>#N/A</v>
      </c>
      <c r="Z4900" s="81" t="e">
        <f>HLOOKUP(I4900,データについて!$J$3:$M$18,16,FALSE)</f>
        <v>#N/A</v>
      </c>
      <c r="AA4900" s="81" t="str">
        <f>IFERROR(HLOOKUP(J4900,データについて!$J$4:$AH$19,16,FALSE),"")</f>
        <v/>
      </c>
      <c r="AB4900" s="81" t="str">
        <f>IFERROR(HLOOKUP(K4900,データについて!$J$5:$AH$20,14,FALSE),"")</f>
        <v/>
      </c>
      <c r="AC4900" s="81" t="e">
        <f>IF(X4900=1,HLOOKUP(R4900,データについて!$J$12:$M$18,7,FALSE),"*")</f>
        <v>#N/A</v>
      </c>
      <c r="AD4900" s="81" t="e">
        <f>IF(X4900=2,HLOOKUP(R4900,データについて!$J$12:$M$18,7,FALSE),"*")</f>
        <v>#N/A</v>
      </c>
    </row>
    <row r="4901" spans="19:30">
      <c r="S4901" s="81" t="e">
        <f>HLOOKUP(L4901,データについて!$J$6:$M$18,13,FALSE)</f>
        <v>#N/A</v>
      </c>
      <c r="T4901" s="81" t="e">
        <f>HLOOKUP(M4901,データについて!$J$7:$M$18,12,FALSE)</f>
        <v>#N/A</v>
      </c>
      <c r="U4901" s="81" t="e">
        <f>HLOOKUP(N4901,データについて!$J$8:$M$18,11,FALSE)</f>
        <v>#N/A</v>
      </c>
      <c r="V4901" s="81" t="e">
        <f>HLOOKUP(O4901,データについて!$J$9:$M$18,10,FALSE)</f>
        <v>#N/A</v>
      </c>
      <c r="W4901" s="81" t="e">
        <f>HLOOKUP(P4901,データについて!$J$10:$M$18,9,FALSE)</f>
        <v>#N/A</v>
      </c>
      <c r="X4901" s="81" t="e">
        <f>HLOOKUP(Q4901,データについて!$J$11:$M$18,8,FALSE)</f>
        <v>#N/A</v>
      </c>
      <c r="Y4901" s="81" t="e">
        <f>HLOOKUP(R4901,データについて!$J$12:$M$18,7,FALSE)</f>
        <v>#N/A</v>
      </c>
      <c r="Z4901" s="81" t="e">
        <f>HLOOKUP(I4901,データについて!$J$3:$M$18,16,FALSE)</f>
        <v>#N/A</v>
      </c>
      <c r="AA4901" s="81" t="str">
        <f>IFERROR(HLOOKUP(J4901,データについて!$J$4:$AH$19,16,FALSE),"")</f>
        <v/>
      </c>
      <c r="AB4901" s="81" t="str">
        <f>IFERROR(HLOOKUP(K4901,データについて!$J$5:$AH$20,14,FALSE),"")</f>
        <v/>
      </c>
      <c r="AC4901" s="81" t="e">
        <f>IF(X4901=1,HLOOKUP(R4901,データについて!$J$12:$M$18,7,FALSE),"*")</f>
        <v>#N/A</v>
      </c>
      <c r="AD4901" s="81" t="e">
        <f>IF(X4901=2,HLOOKUP(R4901,データについて!$J$12:$M$18,7,FALSE),"*")</f>
        <v>#N/A</v>
      </c>
    </row>
    <row r="4902" spans="19:30">
      <c r="S4902" s="81" t="e">
        <f>HLOOKUP(L4902,データについて!$J$6:$M$18,13,FALSE)</f>
        <v>#N/A</v>
      </c>
      <c r="T4902" s="81" t="e">
        <f>HLOOKUP(M4902,データについて!$J$7:$M$18,12,FALSE)</f>
        <v>#N/A</v>
      </c>
      <c r="U4902" s="81" t="e">
        <f>HLOOKUP(N4902,データについて!$J$8:$M$18,11,FALSE)</f>
        <v>#N/A</v>
      </c>
      <c r="V4902" s="81" t="e">
        <f>HLOOKUP(O4902,データについて!$J$9:$M$18,10,FALSE)</f>
        <v>#N/A</v>
      </c>
      <c r="W4902" s="81" t="e">
        <f>HLOOKUP(P4902,データについて!$J$10:$M$18,9,FALSE)</f>
        <v>#N/A</v>
      </c>
      <c r="X4902" s="81" t="e">
        <f>HLOOKUP(Q4902,データについて!$J$11:$M$18,8,FALSE)</f>
        <v>#N/A</v>
      </c>
      <c r="Y4902" s="81" t="e">
        <f>HLOOKUP(R4902,データについて!$J$12:$M$18,7,FALSE)</f>
        <v>#N/A</v>
      </c>
      <c r="Z4902" s="81" t="e">
        <f>HLOOKUP(I4902,データについて!$J$3:$M$18,16,FALSE)</f>
        <v>#N/A</v>
      </c>
      <c r="AA4902" s="81" t="str">
        <f>IFERROR(HLOOKUP(J4902,データについて!$J$4:$AH$19,16,FALSE),"")</f>
        <v/>
      </c>
      <c r="AB4902" s="81" t="str">
        <f>IFERROR(HLOOKUP(K4902,データについて!$J$5:$AH$20,14,FALSE),"")</f>
        <v/>
      </c>
      <c r="AC4902" s="81" t="e">
        <f>IF(X4902=1,HLOOKUP(R4902,データについて!$J$12:$M$18,7,FALSE),"*")</f>
        <v>#N/A</v>
      </c>
      <c r="AD4902" s="81" t="e">
        <f>IF(X4902=2,HLOOKUP(R4902,データについて!$J$12:$M$18,7,FALSE),"*")</f>
        <v>#N/A</v>
      </c>
    </row>
    <row r="4903" spans="19:30">
      <c r="S4903" s="81" t="e">
        <f>HLOOKUP(L4903,データについて!$J$6:$M$18,13,FALSE)</f>
        <v>#N/A</v>
      </c>
      <c r="T4903" s="81" t="e">
        <f>HLOOKUP(M4903,データについて!$J$7:$M$18,12,FALSE)</f>
        <v>#N/A</v>
      </c>
      <c r="U4903" s="81" t="e">
        <f>HLOOKUP(N4903,データについて!$J$8:$M$18,11,FALSE)</f>
        <v>#N/A</v>
      </c>
      <c r="V4903" s="81" t="e">
        <f>HLOOKUP(O4903,データについて!$J$9:$M$18,10,FALSE)</f>
        <v>#N/A</v>
      </c>
      <c r="W4903" s="81" t="e">
        <f>HLOOKUP(P4903,データについて!$J$10:$M$18,9,FALSE)</f>
        <v>#N/A</v>
      </c>
      <c r="X4903" s="81" t="e">
        <f>HLOOKUP(Q4903,データについて!$J$11:$M$18,8,FALSE)</f>
        <v>#N/A</v>
      </c>
      <c r="Y4903" s="81" t="e">
        <f>HLOOKUP(R4903,データについて!$J$12:$M$18,7,FALSE)</f>
        <v>#N/A</v>
      </c>
      <c r="Z4903" s="81" t="e">
        <f>HLOOKUP(I4903,データについて!$J$3:$M$18,16,FALSE)</f>
        <v>#N/A</v>
      </c>
      <c r="AA4903" s="81" t="str">
        <f>IFERROR(HLOOKUP(J4903,データについて!$J$4:$AH$19,16,FALSE),"")</f>
        <v/>
      </c>
      <c r="AB4903" s="81" t="str">
        <f>IFERROR(HLOOKUP(K4903,データについて!$J$5:$AH$20,14,FALSE),"")</f>
        <v/>
      </c>
      <c r="AC4903" s="81" t="e">
        <f>IF(X4903=1,HLOOKUP(R4903,データについて!$J$12:$M$18,7,FALSE),"*")</f>
        <v>#N/A</v>
      </c>
      <c r="AD4903" s="81" t="e">
        <f>IF(X4903=2,HLOOKUP(R4903,データについて!$J$12:$M$18,7,FALSE),"*")</f>
        <v>#N/A</v>
      </c>
    </row>
    <row r="4904" spans="19:30">
      <c r="S4904" s="81" t="e">
        <f>HLOOKUP(L4904,データについて!$J$6:$M$18,13,FALSE)</f>
        <v>#N/A</v>
      </c>
      <c r="T4904" s="81" t="e">
        <f>HLOOKUP(M4904,データについて!$J$7:$M$18,12,FALSE)</f>
        <v>#N/A</v>
      </c>
      <c r="U4904" s="81" t="e">
        <f>HLOOKUP(N4904,データについて!$J$8:$M$18,11,FALSE)</f>
        <v>#N/A</v>
      </c>
      <c r="V4904" s="81" t="e">
        <f>HLOOKUP(O4904,データについて!$J$9:$M$18,10,FALSE)</f>
        <v>#N/A</v>
      </c>
      <c r="W4904" s="81" t="e">
        <f>HLOOKUP(P4904,データについて!$J$10:$M$18,9,FALSE)</f>
        <v>#N/A</v>
      </c>
      <c r="X4904" s="81" t="e">
        <f>HLOOKUP(Q4904,データについて!$J$11:$M$18,8,FALSE)</f>
        <v>#N/A</v>
      </c>
      <c r="Y4904" s="81" t="e">
        <f>HLOOKUP(R4904,データについて!$J$12:$M$18,7,FALSE)</f>
        <v>#N/A</v>
      </c>
      <c r="Z4904" s="81" t="e">
        <f>HLOOKUP(I4904,データについて!$J$3:$M$18,16,FALSE)</f>
        <v>#N/A</v>
      </c>
      <c r="AA4904" s="81" t="str">
        <f>IFERROR(HLOOKUP(J4904,データについて!$J$4:$AH$19,16,FALSE),"")</f>
        <v/>
      </c>
      <c r="AB4904" s="81" t="str">
        <f>IFERROR(HLOOKUP(K4904,データについて!$J$5:$AH$20,14,FALSE),"")</f>
        <v/>
      </c>
      <c r="AC4904" s="81" t="e">
        <f>IF(X4904=1,HLOOKUP(R4904,データについて!$J$12:$M$18,7,FALSE),"*")</f>
        <v>#N/A</v>
      </c>
      <c r="AD4904" s="81" t="e">
        <f>IF(X4904=2,HLOOKUP(R4904,データについて!$J$12:$M$18,7,FALSE),"*")</f>
        <v>#N/A</v>
      </c>
    </row>
    <row r="4905" spans="19:30">
      <c r="S4905" s="81" t="e">
        <f>HLOOKUP(L4905,データについて!$J$6:$M$18,13,FALSE)</f>
        <v>#N/A</v>
      </c>
      <c r="T4905" s="81" t="e">
        <f>HLOOKUP(M4905,データについて!$J$7:$M$18,12,FALSE)</f>
        <v>#N/A</v>
      </c>
      <c r="U4905" s="81" t="e">
        <f>HLOOKUP(N4905,データについて!$J$8:$M$18,11,FALSE)</f>
        <v>#N/A</v>
      </c>
      <c r="V4905" s="81" t="e">
        <f>HLOOKUP(O4905,データについて!$J$9:$M$18,10,FALSE)</f>
        <v>#N/A</v>
      </c>
      <c r="W4905" s="81" t="e">
        <f>HLOOKUP(P4905,データについて!$J$10:$M$18,9,FALSE)</f>
        <v>#N/A</v>
      </c>
      <c r="X4905" s="81" t="e">
        <f>HLOOKUP(Q4905,データについて!$J$11:$M$18,8,FALSE)</f>
        <v>#N/A</v>
      </c>
      <c r="Y4905" s="81" t="e">
        <f>HLOOKUP(R4905,データについて!$J$12:$M$18,7,FALSE)</f>
        <v>#N/A</v>
      </c>
      <c r="Z4905" s="81" t="e">
        <f>HLOOKUP(I4905,データについて!$J$3:$M$18,16,FALSE)</f>
        <v>#N/A</v>
      </c>
      <c r="AA4905" s="81" t="str">
        <f>IFERROR(HLOOKUP(J4905,データについて!$J$4:$AH$19,16,FALSE),"")</f>
        <v/>
      </c>
      <c r="AB4905" s="81" t="str">
        <f>IFERROR(HLOOKUP(K4905,データについて!$J$5:$AH$20,14,FALSE),"")</f>
        <v/>
      </c>
      <c r="AC4905" s="81" t="e">
        <f>IF(X4905=1,HLOOKUP(R4905,データについて!$J$12:$M$18,7,FALSE),"*")</f>
        <v>#N/A</v>
      </c>
      <c r="AD4905" s="81" t="e">
        <f>IF(X4905=2,HLOOKUP(R4905,データについて!$J$12:$M$18,7,FALSE),"*")</f>
        <v>#N/A</v>
      </c>
    </row>
    <row r="4906" spans="19:30">
      <c r="S4906" s="81" t="e">
        <f>HLOOKUP(L4906,データについて!$J$6:$M$18,13,FALSE)</f>
        <v>#N/A</v>
      </c>
      <c r="T4906" s="81" t="e">
        <f>HLOOKUP(M4906,データについて!$J$7:$M$18,12,FALSE)</f>
        <v>#N/A</v>
      </c>
      <c r="U4906" s="81" t="e">
        <f>HLOOKUP(N4906,データについて!$J$8:$M$18,11,FALSE)</f>
        <v>#N/A</v>
      </c>
      <c r="V4906" s="81" t="e">
        <f>HLOOKUP(O4906,データについて!$J$9:$M$18,10,FALSE)</f>
        <v>#N/A</v>
      </c>
      <c r="W4906" s="81" t="e">
        <f>HLOOKUP(P4906,データについて!$J$10:$M$18,9,FALSE)</f>
        <v>#N/A</v>
      </c>
      <c r="X4906" s="81" t="e">
        <f>HLOOKUP(Q4906,データについて!$J$11:$M$18,8,FALSE)</f>
        <v>#N/A</v>
      </c>
      <c r="Y4906" s="81" t="e">
        <f>HLOOKUP(R4906,データについて!$J$12:$M$18,7,FALSE)</f>
        <v>#N/A</v>
      </c>
      <c r="Z4906" s="81" t="e">
        <f>HLOOKUP(I4906,データについて!$J$3:$M$18,16,FALSE)</f>
        <v>#N/A</v>
      </c>
      <c r="AA4906" s="81" t="str">
        <f>IFERROR(HLOOKUP(J4906,データについて!$J$4:$AH$19,16,FALSE),"")</f>
        <v/>
      </c>
      <c r="AB4906" s="81" t="str">
        <f>IFERROR(HLOOKUP(K4906,データについて!$J$5:$AH$20,14,FALSE),"")</f>
        <v/>
      </c>
      <c r="AC4906" s="81" t="e">
        <f>IF(X4906=1,HLOOKUP(R4906,データについて!$J$12:$M$18,7,FALSE),"*")</f>
        <v>#N/A</v>
      </c>
      <c r="AD4906" s="81" t="e">
        <f>IF(X4906=2,HLOOKUP(R4906,データについて!$J$12:$M$18,7,FALSE),"*")</f>
        <v>#N/A</v>
      </c>
    </row>
    <row r="4907" spans="19:30">
      <c r="S4907" s="81" t="e">
        <f>HLOOKUP(L4907,データについて!$J$6:$M$18,13,FALSE)</f>
        <v>#N/A</v>
      </c>
      <c r="T4907" s="81" t="e">
        <f>HLOOKUP(M4907,データについて!$J$7:$M$18,12,FALSE)</f>
        <v>#N/A</v>
      </c>
      <c r="U4907" s="81" t="e">
        <f>HLOOKUP(N4907,データについて!$J$8:$M$18,11,FALSE)</f>
        <v>#N/A</v>
      </c>
      <c r="V4907" s="81" t="e">
        <f>HLOOKUP(O4907,データについて!$J$9:$M$18,10,FALSE)</f>
        <v>#N/A</v>
      </c>
      <c r="W4907" s="81" t="e">
        <f>HLOOKUP(P4907,データについて!$J$10:$M$18,9,FALSE)</f>
        <v>#N/A</v>
      </c>
      <c r="X4907" s="81" t="e">
        <f>HLOOKUP(Q4907,データについて!$J$11:$M$18,8,FALSE)</f>
        <v>#N/A</v>
      </c>
      <c r="Y4907" s="81" t="e">
        <f>HLOOKUP(R4907,データについて!$J$12:$M$18,7,FALSE)</f>
        <v>#N/A</v>
      </c>
      <c r="Z4907" s="81" t="e">
        <f>HLOOKUP(I4907,データについて!$J$3:$M$18,16,FALSE)</f>
        <v>#N/A</v>
      </c>
      <c r="AA4907" s="81" t="str">
        <f>IFERROR(HLOOKUP(J4907,データについて!$J$4:$AH$19,16,FALSE),"")</f>
        <v/>
      </c>
      <c r="AB4907" s="81" t="str">
        <f>IFERROR(HLOOKUP(K4907,データについて!$J$5:$AH$20,14,FALSE),"")</f>
        <v/>
      </c>
      <c r="AC4907" s="81" t="e">
        <f>IF(X4907=1,HLOOKUP(R4907,データについて!$J$12:$M$18,7,FALSE),"*")</f>
        <v>#N/A</v>
      </c>
      <c r="AD4907" s="81" t="e">
        <f>IF(X4907=2,HLOOKUP(R4907,データについて!$J$12:$M$18,7,FALSE),"*")</f>
        <v>#N/A</v>
      </c>
    </row>
    <row r="4908" spans="19:30">
      <c r="S4908" s="81" t="e">
        <f>HLOOKUP(L4908,データについて!$J$6:$M$18,13,FALSE)</f>
        <v>#N/A</v>
      </c>
      <c r="T4908" s="81" t="e">
        <f>HLOOKUP(M4908,データについて!$J$7:$M$18,12,FALSE)</f>
        <v>#N/A</v>
      </c>
      <c r="U4908" s="81" t="e">
        <f>HLOOKUP(N4908,データについて!$J$8:$M$18,11,FALSE)</f>
        <v>#N/A</v>
      </c>
      <c r="V4908" s="81" t="e">
        <f>HLOOKUP(O4908,データについて!$J$9:$M$18,10,FALSE)</f>
        <v>#N/A</v>
      </c>
      <c r="W4908" s="81" t="e">
        <f>HLOOKUP(P4908,データについて!$J$10:$M$18,9,FALSE)</f>
        <v>#N/A</v>
      </c>
      <c r="X4908" s="81" t="e">
        <f>HLOOKUP(Q4908,データについて!$J$11:$M$18,8,FALSE)</f>
        <v>#N/A</v>
      </c>
      <c r="Y4908" s="81" t="e">
        <f>HLOOKUP(R4908,データについて!$J$12:$M$18,7,FALSE)</f>
        <v>#N/A</v>
      </c>
      <c r="Z4908" s="81" t="e">
        <f>HLOOKUP(I4908,データについて!$J$3:$M$18,16,FALSE)</f>
        <v>#N/A</v>
      </c>
      <c r="AA4908" s="81" t="str">
        <f>IFERROR(HLOOKUP(J4908,データについて!$J$4:$AH$19,16,FALSE),"")</f>
        <v/>
      </c>
      <c r="AB4908" s="81" t="str">
        <f>IFERROR(HLOOKUP(K4908,データについて!$J$5:$AH$20,14,FALSE),"")</f>
        <v/>
      </c>
      <c r="AC4908" s="81" t="e">
        <f>IF(X4908=1,HLOOKUP(R4908,データについて!$J$12:$M$18,7,FALSE),"*")</f>
        <v>#N/A</v>
      </c>
      <c r="AD4908" s="81" t="e">
        <f>IF(X4908=2,HLOOKUP(R4908,データについて!$J$12:$M$18,7,FALSE),"*")</f>
        <v>#N/A</v>
      </c>
    </row>
    <row r="4909" spans="19:30">
      <c r="S4909" s="81" t="e">
        <f>HLOOKUP(L4909,データについて!$J$6:$M$18,13,FALSE)</f>
        <v>#N/A</v>
      </c>
      <c r="T4909" s="81" t="e">
        <f>HLOOKUP(M4909,データについて!$J$7:$M$18,12,FALSE)</f>
        <v>#N/A</v>
      </c>
      <c r="U4909" s="81" t="e">
        <f>HLOOKUP(N4909,データについて!$J$8:$M$18,11,FALSE)</f>
        <v>#N/A</v>
      </c>
      <c r="V4909" s="81" t="e">
        <f>HLOOKUP(O4909,データについて!$J$9:$M$18,10,FALSE)</f>
        <v>#N/A</v>
      </c>
      <c r="W4909" s="81" t="e">
        <f>HLOOKUP(P4909,データについて!$J$10:$M$18,9,FALSE)</f>
        <v>#N/A</v>
      </c>
      <c r="X4909" s="81" t="e">
        <f>HLOOKUP(Q4909,データについて!$J$11:$M$18,8,FALSE)</f>
        <v>#N/A</v>
      </c>
      <c r="Y4909" s="81" t="e">
        <f>HLOOKUP(R4909,データについて!$J$12:$M$18,7,FALSE)</f>
        <v>#N/A</v>
      </c>
      <c r="Z4909" s="81" t="e">
        <f>HLOOKUP(I4909,データについて!$J$3:$M$18,16,FALSE)</f>
        <v>#N/A</v>
      </c>
      <c r="AA4909" s="81" t="str">
        <f>IFERROR(HLOOKUP(J4909,データについて!$J$4:$AH$19,16,FALSE),"")</f>
        <v/>
      </c>
      <c r="AB4909" s="81" t="str">
        <f>IFERROR(HLOOKUP(K4909,データについて!$J$5:$AH$20,14,FALSE),"")</f>
        <v/>
      </c>
      <c r="AC4909" s="81" t="e">
        <f>IF(X4909=1,HLOOKUP(R4909,データについて!$J$12:$M$18,7,FALSE),"*")</f>
        <v>#N/A</v>
      </c>
      <c r="AD4909" s="81" t="e">
        <f>IF(X4909=2,HLOOKUP(R4909,データについて!$J$12:$M$18,7,FALSE),"*")</f>
        <v>#N/A</v>
      </c>
    </row>
    <row r="4910" spans="19:30">
      <c r="S4910" s="81" t="e">
        <f>HLOOKUP(L4910,データについて!$J$6:$M$18,13,FALSE)</f>
        <v>#N/A</v>
      </c>
      <c r="T4910" s="81" t="e">
        <f>HLOOKUP(M4910,データについて!$J$7:$M$18,12,FALSE)</f>
        <v>#N/A</v>
      </c>
      <c r="U4910" s="81" t="e">
        <f>HLOOKUP(N4910,データについて!$J$8:$M$18,11,FALSE)</f>
        <v>#N/A</v>
      </c>
      <c r="V4910" s="81" t="e">
        <f>HLOOKUP(O4910,データについて!$J$9:$M$18,10,FALSE)</f>
        <v>#N/A</v>
      </c>
      <c r="W4910" s="81" t="e">
        <f>HLOOKUP(P4910,データについて!$J$10:$M$18,9,FALSE)</f>
        <v>#N/A</v>
      </c>
      <c r="X4910" s="81" t="e">
        <f>HLOOKUP(Q4910,データについて!$J$11:$M$18,8,FALSE)</f>
        <v>#N/A</v>
      </c>
      <c r="Y4910" s="81" t="e">
        <f>HLOOKUP(R4910,データについて!$J$12:$M$18,7,FALSE)</f>
        <v>#N/A</v>
      </c>
      <c r="Z4910" s="81" t="e">
        <f>HLOOKUP(I4910,データについて!$J$3:$M$18,16,FALSE)</f>
        <v>#N/A</v>
      </c>
      <c r="AA4910" s="81" t="str">
        <f>IFERROR(HLOOKUP(J4910,データについて!$J$4:$AH$19,16,FALSE),"")</f>
        <v/>
      </c>
      <c r="AB4910" s="81" t="str">
        <f>IFERROR(HLOOKUP(K4910,データについて!$J$5:$AH$20,14,FALSE),"")</f>
        <v/>
      </c>
      <c r="AC4910" s="81" t="e">
        <f>IF(X4910=1,HLOOKUP(R4910,データについて!$J$12:$M$18,7,FALSE),"*")</f>
        <v>#N/A</v>
      </c>
      <c r="AD4910" s="81" t="e">
        <f>IF(X4910=2,HLOOKUP(R4910,データについて!$J$12:$M$18,7,FALSE),"*")</f>
        <v>#N/A</v>
      </c>
    </row>
    <row r="4911" spans="19:30">
      <c r="S4911" s="81" t="e">
        <f>HLOOKUP(L4911,データについて!$J$6:$M$18,13,FALSE)</f>
        <v>#N/A</v>
      </c>
      <c r="T4911" s="81" t="e">
        <f>HLOOKUP(M4911,データについて!$J$7:$M$18,12,FALSE)</f>
        <v>#N/A</v>
      </c>
      <c r="U4911" s="81" t="e">
        <f>HLOOKUP(N4911,データについて!$J$8:$M$18,11,FALSE)</f>
        <v>#N/A</v>
      </c>
      <c r="V4911" s="81" t="e">
        <f>HLOOKUP(O4911,データについて!$J$9:$M$18,10,FALSE)</f>
        <v>#N/A</v>
      </c>
      <c r="W4911" s="81" t="e">
        <f>HLOOKUP(P4911,データについて!$J$10:$M$18,9,FALSE)</f>
        <v>#N/A</v>
      </c>
      <c r="X4911" s="81" t="e">
        <f>HLOOKUP(Q4911,データについて!$J$11:$M$18,8,FALSE)</f>
        <v>#N/A</v>
      </c>
      <c r="Y4911" s="81" t="e">
        <f>HLOOKUP(R4911,データについて!$J$12:$M$18,7,FALSE)</f>
        <v>#N/A</v>
      </c>
      <c r="Z4911" s="81" t="e">
        <f>HLOOKUP(I4911,データについて!$J$3:$M$18,16,FALSE)</f>
        <v>#N/A</v>
      </c>
      <c r="AA4911" s="81" t="str">
        <f>IFERROR(HLOOKUP(J4911,データについて!$J$4:$AH$19,16,FALSE),"")</f>
        <v/>
      </c>
      <c r="AB4911" s="81" t="str">
        <f>IFERROR(HLOOKUP(K4911,データについて!$J$5:$AH$20,14,FALSE),"")</f>
        <v/>
      </c>
      <c r="AC4911" s="81" t="e">
        <f>IF(X4911=1,HLOOKUP(R4911,データについて!$J$12:$M$18,7,FALSE),"*")</f>
        <v>#N/A</v>
      </c>
      <c r="AD4911" s="81" t="e">
        <f>IF(X4911=2,HLOOKUP(R4911,データについて!$J$12:$M$18,7,FALSE),"*")</f>
        <v>#N/A</v>
      </c>
    </row>
    <row r="4912" spans="19:30">
      <c r="S4912" s="81" t="e">
        <f>HLOOKUP(L4912,データについて!$J$6:$M$18,13,FALSE)</f>
        <v>#N/A</v>
      </c>
      <c r="T4912" s="81" t="e">
        <f>HLOOKUP(M4912,データについて!$J$7:$M$18,12,FALSE)</f>
        <v>#N/A</v>
      </c>
      <c r="U4912" s="81" t="e">
        <f>HLOOKUP(N4912,データについて!$J$8:$M$18,11,FALSE)</f>
        <v>#N/A</v>
      </c>
      <c r="V4912" s="81" t="e">
        <f>HLOOKUP(O4912,データについて!$J$9:$M$18,10,FALSE)</f>
        <v>#N/A</v>
      </c>
      <c r="W4912" s="81" t="e">
        <f>HLOOKUP(P4912,データについて!$J$10:$M$18,9,FALSE)</f>
        <v>#N/A</v>
      </c>
      <c r="X4912" s="81" t="e">
        <f>HLOOKUP(Q4912,データについて!$J$11:$M$18,8,FALSE)</f>
        <v>#N/A</v>
      </c>
      <c r="Y4912" s="81" t="e">
        <f>HLOOKUP(R4912,データについて!$J$12:$M$18,7,FALSE)</f>
        <v>#N/A</v>
      </c>
      <c r="Z4912" s="81" t="e">
        <f>HLOOKUP(I4912,データについて!$J$3:$M$18,16,FALSE)</f>
        <v>#N/A</v>
      </c>
      <c r="AA4912" s="81" t="str">
        <f>IFERROR(HLOOKUP(J4912,データについて!$J$4:$AH$19,16,FALSE),"")</f>
        <v/>
      </c>
      <c r="AB4912" s="81" t="str">
        <f>IFERROR(HLOOKUP(K4912,データについて!$J$5:$AH$20,14,FALSE),"")</f>
        <v/>
      </c>
      <c r="AC4912" s="81" t="e">
        <f>IF(X4912=1,HLOOKUP(R4912,データについて!$J$12:$M$18,7,FALSE),"*")</f>
        <v>#N/A</v>
      </c>
      <c r="AD4912" s="81" t="e">
        <f>IF(X4912=2,HLOOKUP(R4912,データについて!$J$12:$M$18,7,FALSE),"*")</f>
        <v>#N/A</v>
      </c>
    </row>
    <row r="4913" spans="19:30">
      <c r="S4913" s="81" t="e">
        <f>HLOOKUP(L4913,データについて!$J$6:$M$18,13,FALSE)</f>
        <v>#N/A</v>
      </c>
      <c r="T4913" s="81" t="e">
        <f>HLOOKUP(M4913,データについて!$J$7:$M$18,12,FALSE)</f>
        <v>#N/A</v>
      </c>
      <c r="U4913" s="81" t="e">
        <f>HLOOKUP(N4913,データについて!$J$8:$M$18,11,FALSE)</f>
        <v>#N/A</v>
      </c>
      <c r="V4913" s="81" t="e">
        <f>HLOOKUP(O4913,データについて!$J$9:$M$18,10,FALSE)</f>
        <v>#N/A</v>
      </c>
      <c r="W4913" s="81" t="e">
        <f>HLOOKUP(P4913,データについて!$J$10:$M$18,9,FALSE)</f>
        <v>#N/A</v>
      </c>
      <c r="X4913" s="81" t="e">
        <f>HLOOKUP(Q4913,データについて!$J$11:$M$18,8,FALSE)</f>
        <v>#N/A</v>
      </c>
      <c r="Y4913" s="81" t="e">
        <f>HLOOKUP(R4913,データについて!$J$12:$M$18,7,FALSE)</f>
        <v>#N/A</v>
      </c>
      <c r="Z4913" s="81" t="e">
        <f>HLOOKUP(I4913,データについて!$J$3:$M$18,16,FALSE)</f>
        <v>#N/A</v>
      </c>
      <c r="AA4913" s="81" t="str">
        <f>IFERROR(HLOOKUP(J4913,データについて!$J$4:$AH$19,16,FALSE),"")</f>
        <v/>
      </c>
      <c r="AB4913" s="81" t="str">
        <f>IFERROR(HLOOKUP(K4913,データについて!$J$5:$AH$20,14,FALSE),"")</f>
        <v/>
      </c>
      <c r="AC4913" s="81" t="e">
        <f>IF(X4913=1,HLOOKUP(R4913,データについて!$J$12:$M$18,7,FALSE),"*")</f>
        <v>#N/A</v>
      </c>
      <c r="AD4913" s="81" t="e">
        <f>IF(X4913=2,HLOOKUP(R4913,データについて!$J$12:$M$18,7,FALSE),"*")</f>
        <v>#N/A</v>
      </c>
    </row>
    <row r="4914" spans="19:30">
      <c r="S4914" s="81" t="e">
        <f>HLOOKUP(L4914,データについて!$J$6:$M$18,13,FALSE)</f>
        <v>#N/A</v>
      </c>
      <c r="T4914" s="81" t="e">
        <f>HLOOKUP(M4914,データについて!$J$7:$M$18,12,FALSE)</f>
        <v>#N/A</v>
      </c>
      <c r="U4914" s="81" t="e">
        <f>HLOOKUP(N4914,データについて!$J$8:$M$18,11,FALSE)</f>
        <v>#N/A</v>
      </c>
      <c r="V4914" s="81" t="e">
        <f>HLOOKUP(O4914,データについて!$J$9:$M$18,10,FALSE)</f>
        <v>#N/A</v>
      </c>
      <c r="W4914" s="81" t="e">
        <f>HLOOKUP(P4914,データについて!$J$10:$M$18,9,FALSE)</f>
        <v>#N/A</v>
      </c>
      <c r="X4914" s="81" t="e">
        <f>HLOOKUP(Q4914,データについて!$J$11:$M$18,8,FALSE)</f>
        <v>#N/A</v>
      </c>
      <c r="Y4914" s="81" t="e">
        <f>HLOOKUP(R4914,データについて!$J$12:$M$18,7,FALSE)</f>
        <v>#N/A</v>
      </c>
      <c r="Z4914" s="81" t="e">
        <f>HLOOKUP(I4914,データについて!$J$3:$M$18,16,FALSE)</f>
        <v>#N/A</v>
      </c>
      <c r="AA4914" s="81" t="str">
        <f>IFERROR(HLOOKUP(J4914,データについて!$J$4:$AH$19,16,FALSE),"")</f>
        <v/>
      </c>
      <c r="AB4914" s="81" t="str">
        <f>IFERROR(HLOOKUP(K4914,データについて!$J$5:$AH$20,14,FALSE),"")</f>
        <v/>
      </c>
      <c r="AC4914" s="81" t="e">
        <f>IF(X4914=1,HLOOKUP(R4914,データについて!$J$12:$M$18,7,FALSE),"*")</f>
        <v>#N/A</v>
      </c>
      <c r="AD4914" s="81" t="e">
        <f>IF(X4914=2,HLOOKUP(R4914,データについて!$J$12:$M$18,7,FALSE),"*")</f>
        <v>#N/A</v>
      </c>
    </row>
    <row r="4915" spans="19:30">
      <c r="S4915" s="81" t="e">
        <f>HLOOKUP(L4915,データについて!$J$6:$M$18,13,FALSE)</f>
        <v>#N/A</v>
      </c>
      <c r="T4915" s="81" t="e">
        <f>HLOOKUP(M4915,データについて!$J$7:$M$18,12,FALSE)</f>
        <v>#N/A</v>
      </c>
      <c r="U4915" s="81" t="e">
        <f>HLOOKUP(N4915,データについて!$J$8:$M$18,11,FALSE)</f>
        <v>#N/A</v>
      </c>
      <c r="V4915" s="81" t="e">
        <f>HLOOKUP(O4915,データについて!$J$9:$M$18,10,FALSE)</f>
        <v>#N/A</v>
      </c>
      <c r="W4915" s="81" t="e">
        <f>HLOOKUP(P4915,データについて!$J$10:$M$18,9,FALSE)</f>
        <v>#N/A</v>
      </c>
      <c r="X4915" s="81" t="e">
        <f>HLOOKUP(Q4915,データについて!$J$11:$M$18,8,FALSE)</f>
        <v>#N/A</v>
      </c>
      <c r="Y4915" s="81" t="e">
        <f>HLOOKUP(R4915,データについて!$J$12:$M$18,7,FALSE)</f>
        <v>#N/A</v>
      </c>
      <c r="Z4915" s="81" t="e">
        <f>HLOOKUP(I4915,データについて!$J$3:$M$18,16,FALSE)</f>
        <v>#N/A</v>
      </c>
      <c r="AA4915" s="81" t="str">
        <f>IFERROR(HLOOKUP(J4915,データについて!$J$4:$AH$19,16,FALSE),"")</f>
        <v/>
      </c>
      <c r="AB4915" s="81" t="str">
        <f>IFERROR(HLOOKUP(K4915,データについて!$J$5:$AH$20,14,FALSE),"")</f>
        <v/>
      </c>
      <c r="AC4915" s="81" t="e">
        <f>IF(X4915=1,HLOOKUP(R4915,データについて!$J$12:$M$18,7,FALSE),"*")</f>
        <v>#N/A</v>
      </c>
      <c r="AD4915" s="81" t="e">
        <f>IF(X4915=2,HLOOKUP(R4915,データについて!$J$12:$M$18,7,FALSE),"*")</f>
        <v>#N/A</v>
      </c>
    </row>
    <row r="4916" spans="19:30">
      <c r="S4916" s="81" t="e">
        <f>HLOOKUP(L4916,データについて!$J$6:$M$18,13,FALSE)</f>
        <v>#N/A</v>
      </c>
      <c r="T4916" s="81" t="e">
        <f>HLOOKUP(M4916,データについて!$J$7:$M$18,12,FALSE)</f>
        <v>#N/A</v>
      </c>
      <c r="U4916" s="81" t="e">
        <f>HLOOKUP(N4916,データについて!$J$8:$M$18,11,FALSE)</f>
        <v>#N/A</v>
      </c>
      <c r="V4916" s="81" t="e">
        <f>HLOOKUP(O4916,データについて!$J$9:$M$18,10,FALSE)</f>
        <v>#N/A</v>
      </c>
      <c r="W4916" s="81" t="e">
        <f>HLOOKUP(P4916,データについて!$J$10:$M$18,9,FALSE)</f>
        <v>#N/A</v>
      </c>
      <c r="X4916" s="81" t="e">
        <f>HLOOKUP(Q4916,データについて!$J$11:$M$18,8,FALSE)</f>
        <v>#N/A</v>
      </c>
      <c r="Y4916" s="81" t="e">
        <f>HLOOKUP(R4916,データについて!$J$12:$M$18,7,FALSE)</f>
        <v>#N/A</v>
      </c>
      <c r="Z4916" s="81" t="e">
        <f>HLOOKUP(I4916,データについて!$J$3:$M$18,16,FALSE)</f>
        <v>#N/A</v>
      </c>
      <c r="AA4916" s="81" t="str">
        <f>IFERROR(HLOOKUP(J4916,データについて!$J$4:$AH$19,16,FALSE),"")</f>
        <v/>
      </c>
      <c r="AB4916" s="81" t="str">
        <f>IFERROR(HLOOKUP(K4916,データについて!$J$5:$AH$20,14,FALSE),"")</f>
        <v/>
      </c>
      <c r="AC4916" s="81" t="e">
        <f>IF(X4916=1,HLOOKUP(R4916,データについて!$J$12:$M$18,7,FALSE),"*")</f>
        <v>#N/A</v>
      </c>
      <c r="AD4916" s="81" t="e">
        <f>IF(X4916=2,HLOOKUP(R4916,データについて!$J$12:$M$18,7,FALSE),"*")</f>
        <v>#N/A</v>
      </c>
    </row>
    <row r="4917" spans="19:30">
      <c r="S4917" s="81" t="e">
        <f>HLOOKUP(L4917,データについて!$J$6:$M$18,13,FALSE)</f>
        <v>#N/A</v>
      </c>
      <c r="T4917" s="81" t="e">
        <f>HLOOKUP(M4917,データについて!$J$7:$M$18,12,FALSE)</f>
        <v>#N/A</v>
      </c>
      <c r="U4917" s="81" t="e">
        <f>HLOOKUP(N4917,データについて!$J$8:$M$18,11,FALSE)</f>
        <v>#N/A</v>
      </c>
      <c r="V4917" s="81" t="e">
        <f>HLOOKUP(O4917,データについて!$J$9:$M$18,10,FALSE)</f>
        <v>#N/A</v>
      </c>
      <c r="W4917" s="81" t="e">
        <f>HLOOKUP(P4917,データについて!$J$10:$M$18,9,FALSE)</f>
        <v>#N/A</v>
      </c>
      <c r="X4917" s="81" t="e">
        <f>HLOOKUP(Q4917,データについて!$J$11:$M$18,8,FALSE)</f>
        <v>#N/A</v>
      </c>
      <c r="Y4917" s="81" t="e">
        <f>HLOOKUP(R4917,データについて!$J$12:$M$18,7,FALSE)</f>
        <v>#N/A</v>
      </c>
      <c r="Z4917" s="81" t="e">
        <f>HLOOKUP(I4917,データについて!$J$3:$M$18,16,FALSE)</f>
        <v>#N/A</v>
      </c>
      <c r="AA4917" s="81" t="str">
        <f>IFERROR(HLOOKUP(J4917,データについて!$J$4:$AH$19,16,FALSE),"")</f>
        <v/>
      </c>
      <c r="AB4917" s="81" t="str">
        <f>IFERROR(HLOOKUP(K4917,データについて!$J$5:$AH$20,14,FALSE),"")</f>
        <v/>
      </c>
      <c r="AC4917" s="81" t="e">
        <f>IF(X4917=1,HLOOKUP(R4917,データについて!$J$12:$M$18,7,FALSE),"*")</f>
        <v>#N/A</v>
      </c>
      <c r="AD4917" s="81" t="e">
        <f>IF(X4917=2,HLOOKUP(R4917,データについて!$J$12:$M$18,7,FALSE),"*")</f>
        <v>#N/A</v>
      </c>
    </row>
    <row r="4918" spans="19:30">
      <c r="S4918" s="81" t="e">
        <f>HLOOKUP(L4918,データについて!$J$6:$M$18,13,FALSE)</f>
        <v>#N/A</v>
      </c>
      <c r="T4918" s="81" t="e">
        <f>HLOOKUP(M4918,データについて!$J$7:$M$18,12,FALSE)</f>
        <v>#N/A</v>
      </c>
      <c r="U4918" s="81" t="e">
        <f>HLOOKUP(N4918,データについて!$J$8:$M$18,11,FALSE)</f>
        <v>#N/A</v>
      </c>
      <c r="V4918" s="81" t="e">
        <f>HLOOKUP(O4918,データについて!$J$9:$M$18,10,FALSE)</f>
        <v>#N/A</v>
      </c>
      <c r="W4918" s="81" t="e">
        <f>HLOOKUP(P4918,データについて!$J$10:$M$18,9,FALSE)</f>
        <v>#N/A</v>
      </c>
      <c r="X4918" s="81" t="e">
        <f>HLOOKUP(Q4918,データについて!$J$11:$M$18,8,FALSE)</f>
        <v>#N/A</v>
      </c>
      <c r="Y4918" s="81" t="e">
        <f>HLOOKUP(R4918,データについて!$J$12:$M$18,7,FALSE)</f>
        <v>#N/A</v>
      </c>
      <c r="Z4918" s="81" t="e">
        <f>HLOOKUP(I4918,データについて!$J$3:$M$18,16,FALSE)</f>
        <v>#N/A</v>
      </c>
      <c r="AA4918" s="81" t="str">
        <f>IFERROR(HLOOKUP(J4918,データについて!$J$4:$AH$19,16,FALSE),"")</f>
        <v/>
      </c>
      <c r="AB4918" s="81" t="str">
        <f>IFERROR(HLOOKUP(K4918,データについて!$J$5:$AH$20,14,FALSE),"")</f>
        <v/>
      </c>
      <c r="AC4918" s="81" t="e">
        <f>IF(X4918=1,HLOOKUP(R4918,データについて!$J$12:$M$18,7,FALSE),"*")</f>
        <v>#N/A</v>
      </c>
      <c r="AD4918" s="81" t="e">
        <f>IF(X4918=2,HLOOKUP(R4918,データについて!$J$12:$M$18,7,FALSE),"*")</f>
        <v>#N/A</v>
      </c>
    </row>
    <row r="4919" spans="19:30">
      <c r="S4919" s="81" t="e">
        <f>HLOOKUP(L4919,データについて!$J$6:$M$18,13,FALSE)</f>
        <v>#N/A</v>
      </c>
      <c r="T4919" s="81" t="e">
        <f>HLOOKUP(M4919,データについて!$J$7:$M$18,12,FALSE)</f>
        <v>#N/A</v>
      </c>
      <c r="U4919" s="81" t="e">
        <f>HLOOKUP(N4919,データについて!$J$8:$M$18,11,FALSE)</f>
        <v>#N/A</v>
      </c>
      <c r="V4919" s="81" t="e">
        <f>HLOOKUP(O4919,データについて!$J$9:$M$18,10,FALSE)</f>
        <v>#N/A</v>
      </c>
      <c r="W4919" s="81" t="e">
        <f>HLOOKUP(P4919,データについて!$J$10:$M$18,9,FALSE)</f>
        <v>#N/A</v>
      </c>
      <c r="X4919" s="81" t="e">
        <f>HLOOKUP(Q4919,データについて!$J$11:$M$18,8,FALSE)</f>
        <v>#N/A</v>
      </c>
      <c r="Y4919" s="81" t="e">
        <f>HLOOKUP(R4919,データについて!$J$12:$M$18,7,FALSE)</f>
        <v>#N/A</v>
      </c>
      <c r="Z4919" s="81" t="e">
        <f>HLOOKUP(I4919,データについて!$J$3:$M$18,16,FALSE)</f>
        <v>#N/A</v>
      </c>
      <c r="AA4919" s="81" t="str">
        <f>IFERROR(HLOOKUP(J4919,データについて!$J$4:$AH$19,16,FALSE),"")</f>
        <v/>
      </c>
      <c r="AB4919" s="81" t="str">
        <f>IFERROR(HLOOKUP(K4919,データについて!$J$5:$AH$20,14,FALSE),"")</f>
        <v/>
      </c>
      <c r="AC4919" s="81" t="e">
        <f>IF(X4919=1,HLOOKUP(R4919,データについて!$J$12:$M$18,7,FALSE),"*")</f>
        <v>#N/A</v>
      </c>
      <c r="AD4919" s="81" t="e">
        <f>IF(X4919=2,HLOOKUP(R4919,データについて!$J$12:$M$18,7,FALSE),"*")</f>
        <v>#N/A</v>
      </c>
    </row>
    <row r="4920" spans="19:30">
      <c r="S4920" s="81" t="e">
        <f>HLOOKUP(L4920,データについて!$J$6:$M$18,13,FALSE)</f>
        <v>#N/A</v>
      </c>
      <c r="T4920" s="81" t="e">
        <f>HLOOKUP(M4920,データについて!$J$7:$M$18,12,FALSE)</f>
        <v>#N/A</v>
      </c>
      <c r="U4920" s="81" t="e">
        <f>HLOOKUP(N4920,データについて!$J$8:$M$18,11,FALSE)</f>
        <v>#N/A</v>
      </c>
      <c r="V4920" s="81" t="e">
        <f>HLOOKUP(O4920,データについて!$J$9:$M$18,10,FALSE)</f>
        <v>#N/A</v>
      </c>
      <c r="W4920" s="81" t="e">
        <f>HLOOKUP(P4920,データについて!$J$10:$M$18,9,FALSE)</f>
        <v>#N/A</v>
      </c>
      <c r="X4920" s="81" t="e">
        <f>HLOOKUP(Q4920,データについて!$J$11:$M$18,8,FALSE)</f>
        <v>#N/A</v>
      </c>
      <c r="Y4920" s="81" t="e">
        <f>HLOOKUP(R4920,データについて!$J$12:$M$18,7,FALSE)</f>
        <v>#N/A</v>
      </c>
      <c r="Z4920" s="81" t="e">
        <f>HLOOKUP(I4920,データについて!$J$3:$M$18,16,FALSE)</f>
        <v>#N/A</v>
      </c>
      <c r="AA4920" s="81" t="str">
        <f>IFERROR(HLOOKUP(J4920,データについて!$J$4:$AH$19,16,FALSE),"")</f>
        <v/>
      </c>
      <c r="AB4920" s="81" t="str">
        <f>IFERROR(HLOOKUP(K4920,データについて!$J$5:$AH$20,14,FALSE),"")</f>
        <v/>
      </c>
      <c r="AC4920" s="81" t="e">
        <f>IF(X4920=1,HLOOKUP(R4920,データについて!$J$12:$M$18,7,FALSE),"*")</f>
        <v>#N/A</v>
      </c>
      <c r="AD4920" s="81" t="e">
        <f>IF(X4920=2,HLOOKUP(R4920,データについて!$J$12:$M$18,7,FALSE),"*")</f>
        <v>#N/A</v>
      </c>
    </row>
    <row r="4921" spans="19:30">
      <c r="S4921" s="81" t="e">
        <f>HLOOKUP(L4921,データについて!$J$6:$M$18,13,FALSE)</f>
        <v>#N/A</v>
      </c>
      <c r="T4921" s="81" t="e">
        <f>HLOOKUP(M4921,データについて!$J$7:$M$18,12,FALSE)</f>
        <v>#N/A</v>
      </c>
      <c r="U4921" s="81" t="e">
        <f>HLOOKUP(N4921,データについて!$J$8:$M$18,11,FALSE)</f>
        <v>#N/A</v>
      </c>
      <c r="V4921" s="81" t="e">
        <f>HLOOKUP(O4921,データについて!$J$9:$M$18,10,FALSE)</f>
        <v>#N/A</v>
      </c>
      <c r="W4921" s="81" t="e">
        <f>HLOOKUP(P4921,データについて!$J$10:$M$18,9,FALSE)</f>
        <v>#N/A</v>
      </c>
      <c r="X4921" s="81" t="e">
        <f>HLOOKUP(Q4921,データについて!$J$11:$M$18,8,FALSE)</f>
        <v>#N/A</v>
      </c>
      <c r="Y4921" s="81" t="e">
        <f>HLOOKUP(R4921,データについて!$J$12:$M$18,7,FALSE)</f>
        <v>#N/A</v>
      </c>
      <c r="Z4921" s="81" t="e">
        <f>HLOOKUP(I4921,データについて!$J$3:$M$18,16,FALSE)</f>
        <v>#N/A</v>
      </c>
      <c r="AA4921" s="81" t="str">
        <f>IFERROR(HLOOKUP(J4921,データについて!$J$4:$AH$19,16,FALSE),"")</f>
        <v/>
      </c>
      <c r="AB4921" s="81" t="str">
        <f>IFERROR(HLOOKUP(K4921,データについて!$J$5:$AH$20,14,FALSE),"")</f>
        <v/>
      </c>
      <c r="AC4921" s="81" t="e">
        <f>IF(X4921=1,HLOOKUP(R4921,データについて!$J$12:$M$18,7,FALSE),"*")</f>
        <v>#N/A</v>
      </c>
      <c r="AD4921" s="81" t="e">
        <f>IF(X4921=2,HLOOKUP(R4921,データについて!$J$12:$M$18,7,FALSE),"*")</f>
        <v>#N/A</v>
      </c>
    </row>
    <row r="4922" spans="19:30">
      <c r="S4922" s="81" t="e">
        <f>HLOOKUP(L4922,データについて!$J$6:$M$18,13,FALSE)</f>
        <v>#N/A</v>
      </c>
      <c r="T4922" s="81" t="e">
        <f>HLOOKUP(M4922,データについて!$J$7:$M$18,12,FALSE)</f>
        <v>#N/A</v>
      </c>
      <c r="U4922" s="81" t="e">
        <f>HLOOKUP(N4922,データについて!$J$8:$M$18,11,FALSE)</f>
        <v>#N/A</v>
      </c>
      <c r="V4922" s="81" t="e">
        <f>HLOOKUP(O4922,データについて!$J$9:$M$18,10,FALSE)</f>
        <v>#N/A</v>
      </c>
      <c r="W4922" s="81" t="e">
        <f>HLOOKUP(P4922,データについて!$J$10:$M$18,9,FALSE)</f>
        <v>#N/A</v>
      </c>
      <c r="X4922" s="81" t="e">
        <f>HLOOKUP(Q4922,データについて!$J$11:$M$18,8,FALSE)</f>
        <v>#N/A</v>
      </c>
      <c r="Y4922" s="81" t="e">
        <f>HLOOKUP(R4922,データについて!$J$12:$M$18,7,FALSE)</f>
        <v>#N/A</v>
      </c>
      <c r="Z4922" s="81" t="e">
        <f>HLOOKUP(I4922,データについて!$J$3:$M$18,16,FALSE)</f>
        <v>#N/A</v>
      </c>
      <c r="AA4922" s="81" t="str">
        <f>IFERROR(HLOOKUP(J4922,データについて!$J$4:$AH$19,16,FALSE),"")</f>
        <v/>
      </c>
      <c r="AB4922" s="81" t="str">
        <f>IFERROR(HLOOKUP(K4922,データについて!$J$5:$AH$20,14,FALSE),"")</f>
        <v/>
      </c>
      <c r="AC4922" s="81" t="e">
        <f>IF(X4922=1,HLOOKUP(R4922,データについて!$J$12:$M$18,7,FALSE),"*")</f>
        <v>#N/A</v>
      </c>
      <c r="AD4922" s="81" t="e">
        <f>IF(X4922=2,HLOOKUP(R4922,データについて!$J$12:$M$18,7,FALSE),"*")</f>
        <v>#N/A</v>
      </c>
    </row>
    <row r="4923" spans="19:30">
      <c r="S4923" s="81" t="e">
        <f>HLOOKUP(L4923,データについて!$J$6:$M$18,13,FALSE)</f>
        <v>#N/A</v>
      </c>
      <c r="T4923" s="81" t="e">
        <f>HLOOKUP(M4923,データについて!$J$7:$M$18,12,FALSE)</f>
        <v>#N/A</v>
      </c>
      <c r="U4923" s="81" t="e">
        <f>HLOOKUP(N4923,データについて!$J$8:$M$18,11,FALSE)</f>
        <v>#N/A</v>
      </c>
      <c r="V4923" s="81" t="e">
        <f>HLOOKUP(O4923,データについて!$J$9:$M$18,10,FALSE)</f>
        <v>#N/A</v>
      </c>
      <c r="W4923" s="81" t="e">
        <f>HLOOKUP(P4923,データについて!$J$10:$M$18,9,FALSE)</f>
        <v>#N/A</v>
      </c>
      <c r="X4923" s="81" t="e">
        <f>HLOOKUP(Q4923,データについて!$J$11:$M$18,8,FALSE)</f>
        <v>#N/A</v>
      </c>
      <c r="Y4923" s="81" t="e">
        <f>HLOOKUP(R4923,データについて!$J$12:$M$18,7,FALSE)</f>
        <v>#N/A</v>
      </c>
      <c r="Z4923" s="81" t="e">
        <f>HLOOKUP(I4923,データについて!$J$3:$M$18,16,FALSE)</f>
        <v>#N/A</v>
      </c>
      <c r="AA4923" s="81" t="str">
        <f>IFERROR(HLOOKUP(J4923,データについて!$J$4:$AH$19,16,FALSE),"")</f>
        <v/>
      </c>
      <c r="AB4923" s="81" t="str">
        <f>IFERROR(HLOOKUP(K4923,データについて!$J$5:$AH$20,14,FALSE),"")</f>
        <v/>
      </c>
      <c r="AC4923" s="81" t="e">
        <f>IF(X4923=1,HLOOKUP(R4923,データについて!$J$12:$M$18,7,FALSE),"*")</f>
        <v>#N/A</v>
      </c>
      <c r="AD4923" s="81" t="e">
        <f>IF(X4923=2,HLOOKUP(R4923,データについて!$J$12:$M$18,7,FALSE),"*")</f>
        <v>#N/A</v>
      </c>
    </row>
    <row r="4924" spans="19:30">
      <c r="S4924" s="81" t="e">
        <f>HLOOKUP(L4924,データについて!$J$6:$M$18,13,FALSE)</f>
        <v>#N/A</v>
      </c>
      <c r="T4924" s="81" t="e">
        <f>HLOOKUP(M4924,データについて!$J$7:$M$18,12,FALSE)</f>
        <v>#N/A</v>
      </c>
      <c r="U4924" s="81" t="e">
        <f>HLOOKUP(N4924,データについて!$J$8:$M$18,11,FALSE)</f>
        <v>#N/A</v>
      </c>
      <c r="V4924" s="81" t="e">
        <f>HLOOKUP(O4924,データについて!$J$9:$M$18,10,FALSE)</f>
        <v>#N/A</v>
      </c>
      <c r="W4924" s="81" t="e">
        <f>HLOOKUP(P4924,データについて!$J$10:$M$18,9,FALSE)</f>
        <v>#N/A</v>
      </c>
      <c r="X4924" s="81" t="e">
        <f>HLOOKUP(Q4924,データについて!$J$11:$M$18,8,FALSE)</f>
        <v>#N/A</v>
      </c>
      <c r="Y4924" s="81" t="e">
        <f>HLOOKUP(R4924,データについて!$J$12:$M$18,7,FALSE)</f>
        <v>#N/A</v>
      </c>
      <c r="Z4924" s="81" t="e">
        <f>HLOOKUP(I4924,データについて!$J$3:$M$18,16,FALSE)</f>
        <v>#N/A</v>
      </c>
      <c r="AA4924" s="81" t="str">
        <f>IFERROR(HLOOKUP(J4924,データについて!$J$4:$AH$19,16,FALSE),"")</f>
        <v/>
      </c>
      <c r="AB4924" s="81" t="str">
        <f>IFERROR(HLOOKUP(K4924,データについて!$J$5:$AH$20,14,FALSE),"")</f>
        <v/>
      </c>
      <c r="AC4924" s="81" t="e">
        <f>IF(X4924=1,HLOOKUP(R4924,データについて!$J$12:$M$18,7,FALSE),"*")</f>
        <v>#N/A</v>
      </c>
      <c r="AD4924" s="81" t="e">
        <f>IF(X4924=2,HLOOKUP(R4924,データについて!$J$12:$M$18,7,FALSE),"*")</f>
        <v>#N/A</v>
      </c>
    </row>
    <row r="4925" spans="19:30">
      <c r="S4925" s="81" t="e">
        <f>HLOOKUP(L4925,データについて!$J$6:$M$18,13,FALSE)</f>
        <v>#N/A</v>
      </c>
      <c r="T4925" s="81" t="e">
        <f>HLOOKUP(M4925,データについて!$J$7:$M$18,12,FALSE)</f>
        <v>#N/A</v>
      </c>
      <c r="U4925" s="81" t="e">
        <f>HLOOKUP(N4925,データについて!$J$8:$M$18,11,FALSE)</f>
        <v>#N/A</v>
      </c>
      <c r="V4925" s="81" t="e">
        <f>HLOOKUP(O4925,データについて!$J$9:$M$18,10,FALSE)</f>
        <v>#N/A</v>
      </c>
      <c r="W4925" s="81" t="e">
        <f>HLOOKUP(P4925,データについて!$J$10:$M$18,9,FALSE)</f>
        <v>#N/A</v>
      </c>
      <c r="X4925" s="81" t="e">
        <f>HLOOKUP(Q4925,データについて!$J$11:$M$18,8,FALSE)</f>
        <v>#N/A</v>
      </c>
      <c r="Y4925" s="81" t="e">
        <f>HLOOKUP(R4925,データについて!$J$12:$M$18,7,FALSE)</f>
        <v>#N/A</v>
      </c>
      <c r="Z4925" s="81" t="e">
        <f>HLOOKUP(I4925,データについて!$J$3:$M$18,16,FALSE)</f>
        <v>#N/A</v>
      </c>
      <c r="AA4925" s="81" t="str">
        <f>IFERROR(HLOOKUP(J4925,データについて!$J$4:$AH$19,16,FALSE),"")</f>
        <v/>
      </c>
      <c r="AB4925" s="81" t="str">
        <f>IFERROR(HLOOKUP(K4925,データについて!$J$5:$AH$20,14,FALSE),"")</f>
        <v/>
      </c>
      <c r="AC4925" s="81" t="e">
        <f>IF(X4925=1,HLOOKUP(R4925,データについて!$J$12:$M$18,7,FALSE),"*")</f>
        <v>#N/A</v>
      </c>
      <c r="AD4925" s="81" t="e">
        <f>IF(X4925=2,HLOOKUP(R4925,データについて!$J$12:$M$18,7,FALSE),"*")</f>
        <v>#N/A</v>
      </c>
    </row>
    <row r="4926" spans="19:30">
      <c r="S4926" s="81" t="e">
        <f>HLOOKUP(L4926,データについて!$J$6:$M$18,13,FALSE)</f>
        <v>#N/A</v>
      </c>
      <c r="T4926" s="81" t="e">
        <f>HLOOKUP(M4926,データについて!$J$7:$M$18,12,FALSE)</f>
        <v>#N/A</v>
      </c>
      <c r="U4926" s="81" t="e">
        <f>HLOOKUP(N4926,データについて!$J$8:$M$18,11,FALSE)</f>
        <v>#N/A</v>
      </c>
      <c r="V4926" s="81" t="e">
        <f>HLOOKUP(O4926,データについて!$J$9:$M$18,10,FALSE)</f>
        <v>#N/A</v>
      </c>
      <c r="W4926" s="81" t="e">
        <f>HLOOKUP(P4926,データについて!$J$10:$M$18,9,FALSE)</f>
        <v>#N/A</v>
      </c>
      <c r="X4926" s="81" t="e">
        <f>HLOOKUP(Q4926,データについて!$J$11:$M$18,8,FALSE)</f>
        <v>#N/A</v>
      </c>
      <c r="Y4926" s="81" t="e">
        <f>HLOOKUP(R4926,データについて!$J$12:$M$18,7,FALSE)</f>
        <v>#N/A</v>
      </c>
      <c r="Z4926" s="81" t="e">
        <f>HLOOKUP(I4926,データについて!$J$3:$M$18,16,FALSE)</f>
        <v>#N/A</v>
      </c>
      <c r="AA4926" s="81" t="str">
        <f>IFERROR(HLOOKUP(J4926,データについて!$J$4:$AH$19,16,FALSE),"")</f>
        <v/>
      </c>
      <c r="AB4926" s="81" t="str">
        <f>IFERROR(HLOOKUP(K4926,データについて!$J$5:$AH$20,14,FALSE),"")</f>
        <v/>
      </c>
      <c r="AC4926" s="81" t="e">
        <f>IF(X4926=1,HLOOKUP(R4926,データについて!$J$12:$M$18,7,FALSE),"*")</f>
        <v>#N/A</v>
      </c>
      <c r="AD4926" s="81" t="e">
        <f>IF(X4926=2,HLOOKUP(R4926,データについて!$J$12:$M$18,7,FALSE),"*")</f>
        <v>#N/A</v>
      </c>
    </row>
    <row r="4927" spans="19:30">
      <c r="S4927" s="81" t="e">
        <f>HLOOKUP(L4927,データについて!$J$6:$M$18,13,FALSE)</f>
        <v>#N/A</v>
      </c>
      <c r="T4927" s="81" t="e">
        <f>HLOOKUP(M4927,データについて!$J$7:$M$18,12,FALSE)</f>
        <v>#N/A</v>
      </c>
      <c r="U4927" s="81" t="e">
        <f>HLOOKUP(N4927,データについて!$J$8:$M$18,11,FALSE)</f>
        <v>#N/A</v>
      </c>
      <c r="V4927" s="81" t="e">
        <f>HLOOKUP(O4927,データについて!$J$9:$M$18,10,FALSE)</f>
        <v>#N/A</v>
      </c>
      <c r="W4927" s="81" t="e">
        <f>HLOOKUP(P4927,データについて!$J$10:$M$18,9,FALSE)</f>
        <v>#N/A</v>
      </c>
      <c r="X4927" s="81" t="e">
        <f>HLOOKUP(Q4927,データについて!$J$11:$M$18,8,FALSE)</f>
        <v>#N/A</v>
      </c>
      <c r="Y4927" s="81" t="e">
        <f>HLOOKUP(R4927,データについて!$J$12:$M$18,7,FALSE)</f>
        <v>#N/A</v>
      </c>
      <c r="Z4927" s="81" t="e">
        <f>HLOOKUP(I4927,データについて!$J$3:$M$18,16,FALSE)</f>
        <v>#N/A</v>
      </c>
      <c r="AA4927" s="81" t="str">
        <f>IFERROR(HLOOKUP(J4927,データについて!$J$4:$AH$19,16,FALSE),"")</f>
        <v/>
      </c>
      <c r="AB4927" s="81" t="str">
        <f>IFERROR(HLOOKUP(K4927,データについて!$J$5:$AH$20,14,FALSE),"")</f>
        <v/>
      </c>
      <c r="AC4927" s="81" t="e">
        <f>IF(X4927=1,HLOOKUP(R4927,データについて!$J$12:$M$18,7,FALSE),"*")</f>
        <v>#N/A</v>
      </c>
      <c r="AD4927" s="81" t="e">
        <f>IF(X4927=2,HLOOKUP(R4927,データについて!$J$12:$M$18,7,FALSE),"*")</f>
        <v>#N/A</v>
      </c>
    </row>
    <row r="4928" spans="19:30">
      <c r="S4928" s="81" t="e">
        <f>HLOOKUP(L4928,データについて!$J$6:$M$18,13,FALSE)</f>
        <v>#N/A</v>
      </c>
      <c r="T4928" s="81" t="e">
        <f>HLOOKUP(M4928,データについて!$J$7:$M$18,12,FALSE)</f>
        <v>#N/A</v>
      </c>
      <c r="U4928" s="81" t="e">
        <f>HLOOKUP(N4928,データについて!$J$8:$M$18,11,FALSE)</f>
        <v>#N/A</v>
      </c>
      <c r="V4928" s="81" t="e">
        <f>HLOOKUP(O4928,データについて!$J$9:$M$18,10,FALSE)</f>
        <v>#N/A</v>
      </c>
      <c r="W4928" s="81" t="e">
        <f>HLOOKUP(P4928,データについて!$J$10:$M$18,9,FALSE)</f>
        <v>#N/A</v>
      </c>
      <c r="X4928" s="81" t="e">
        <f>HLOOKUP(Q4928,データについて!$J$11:$M$18,8,FALSE)</f>
        <v>#N/A</v>
      </c>
      <c r="Y4928" s="81" t="e">
        <f>HLOOKUP(R4928,データについて!$J$12:$M$18,7,FALSE)</f>
        <v>#N/A</v>
      </c>
      <c r="Z4928" s="81" t="e">
        <f>HLOOKUP(I4928,データについて!$J$3:$M$18,16,FALSE)</f>
        <v>#N/A</v>
      </c>
      <c r="AA4928" s="81" t="str">
        <f>IFERROR(HLOOKUP(J4928,データについて!$J$4:$AH$19,16,FALSE),"")</f>
        <v/>
      </c>
      <c r="AB4928" s="81" t="str">
        <f>IFERROR(HLOOKUP(K4928,データについて!$J$5:$AH$20,14,FALSE),"")</f>
        <v/>
      </c>
      <c r="AC4928" s="81" t="e">
        <f>IF(X4928=1,HLOOKUP(R4928,データについて!$J$12:$M$18,7,FALSE),"*")</f>
        <v>#N/A</v>
      </c>
      <c r="AD4928" s="81" t="e">
        <f>IF(X4928=2,HLOOKUP(R4928,データについて!$J$12:$M$18,7,FALSE),"*")</f>
        <v>#N/A</v>
      </c>
    </row>
    <row r="4929" spans="19:30">
      <c r="S4929" s="81" t="e">
        <f>HLOOKUP(L4929,データについて!$J$6:$M$18,13,FALSE)</f>
        <v>#N/A</v>
      </c>
      <c r="T4929" s="81" t="e">
        <f>HLOOKUP(M4929,データについて!$J$7:$M$18,12,FALSE)</f>
        <v>#N/A</v>
      </c>
      <c r="U4929" s="81" t="e">
        <f>HLOOKUP(N4929,データについて!$J$8:$M$18,11,FALSE)</f>
        <v>#N/A</v>
      </c>
      <c r="V4929" s="81" t="e">
        <f>HLOOKUP(O4929,データについて!$J$9:$M$18,10,FALSE)</f>
        <v>#N/A</v>
      </c>
      <c r="W4929" s="81" t="e">
        <f>HLOOKUP(P4929,データについて!$J$10:$M$18,9,FALSE)</f>
        <v>#N/A</v>
      </c>
      <c r="X4929" s="81" t="e">
        <f>HLOOKUP(Q4929,データについて!$J$11:$M$18,8,FALSE)</f>
        <v>#N/A</v>
      </c>
      <c r="Y4929" s="81" t="e">
        <f>HLOOKUP(R4929,データについて!$J$12:$M$18,7,FALSE)</f>
        <v>#N/A</v>
      </c>
      <c r="Z4929" s="81" t="e">
        <f>HLOOKUP(I4929,データについて!$J$3:$M$18,16,FALSE)</f>
        <v>#N/A</v>
      </c>
      <c r="AA4929" s="81" t="str">
        <f>IFERROR(HLOOKUP(J4929,データについて!$J$4:$AH$19,16,FALSE),"")</f>
        <v/>
      </c>
      <c r="AB4929" s="81" t="str">
        <f>IFERROR(HLOOKUP(K4929,データについて!$J$5:$AH$20,14,FALSE),"")</f>
        <v/>
      </c>
      <c r="AC4929" s="81" t="e">
        <f>IF(X4929=1,HLOOKUP(R4929,データについて!$J$12:$M$18,7,FALSE),"*")</f>
        <v>#N/A</v>
      </c>
      <c r="AD4929" s="81" t="e">
        <f>IF(X4929=2,HLOOKUP(R4929,データについて!$J$12:$M$18,7,FALSE),"*")</f>
        <v>#N/A</v>
      </c>
    </row>
    <row r="4930" spans="19:30">
      <c r="S4930" s="81" t="e">
        <f>HLOOKUP(L4930,データについて!$J$6:$M$18,13,FALSE)</f>
        <v>#N/A</v>
      </c>
      <c r="T4930" s="81" t="e">
        <f>HLOOKUP(M4930,データについて!$J$7:$M$18,12,FALSE)</f>
        <v>#N/A</v>
      </c>
      <c r="U4930" s="81" t="e">
        <f>HLOOKUP(N4930,データについて!$J$8:$M$18,11,FALSE)</f>
        <v>#N/A</v>
      </c>
      <c r="V4930" s="81" t="e">
        <f>HLOOKUP(O4930,データについて!$J$9:$M$18,10,FALSE)</f>
        <v>#N/A</v>
      </c>
      <c r="W4930" s="81" t="e">
        <f>HLOOKUP(P4930,データについて!$J$10:$M$18,9,FALSE)</f>
        <v>#N/A</v>
      </c>
      <c r="X4930" s="81" t="e">
        <f>HLOOKUP(Q4930,データについて!$J$11:$M$18,8,FALSE)</f>
        <v>#N/A</v>
      </c>
      <c r="Y4930" s="81" t="e">
        <f>HLOOKUP(R4930,データについて!$J$12:$M$18,7,FALSE)</f>
        <v>#N/A</v>
      </c>
      <c r="Z4930" s="81" t="e">
        <f>HLOOKUP(I4930,データについて!$J$3:$M$18,16,FALSE)</f>
        <v>#N/A</v>
      </c>
      <c r="AA4930" s="81" t="str">
        <f>IFERROR(HLOOKUP(J4930,データについて!$J$4:$AH$19,16,FALSE),"")</f>
        <v/>
      </c>
      <c r="AB4930" s="81" t="str">
        <f>IFERROR(HLOOKUP(K4930,データについて!$J$5:$AH$20,14,FALSE),"")</f>
        <v/>
      </c>
      <c r="AC4930" s="81" t="e">
        <f>IF(X4930=1,HLOOKUP(R4930,データについて!$J$12:$M$18,7,FALSE),"*")</f>
        <v>#N/A</v>
      </c>
      <c r="AD4930" s="81" t="e">
        <f>IF(X4930=2,HLOOKUP(R4930,データについて!$J$12:$M$18,7,FALSE),"*")</f>
        <v>#N/A</v>
      </c>
    </row>
    <row r="4931" spans="19:30">
      <c r="S4931" s="81" t="e">
        <f>HLOOKUP(L4931,データについて!$J$6:$M$18,13,FALSE)</f>
        <v>#N/A</v>
      </c>
      <c r="T4931" s="81" t="e">
        <f>HLOOKUP(M4931,データについて!$J$7:$M$18,12,FALSE)</f>
        <v>#N/A</v>
      </c>
      <c r="U4931" s="81" t="e">
        <f>HLOOKUP(N4931,データについて!$J$8:$M$18,11,FALSE)</f>
        <v>#N/A</v>
      </c>
      <c r="V4931" s="81" t="e">
        <f>HLOOKUP(O4931,データについて!$J$9:$M$18,10,FALSE)</f>
        <v>#N/A</v>
      </c>
      <c r="W4931" s="81" t="e">
        <f>HLOOKUP(P4931,データについて!$J$10:$M$18,9,FALSE)</f>
        <v>#N/A</v>
      </c>
      <c r="X4931" s="81" t="e">
        <f>HLOOKUP(Q4931,データについて!$J$11:$M$18,8,FALSE)</f>
        <v>#N/A</v>
      </c>
      <c r="Y4931" s="81" t="e">
        <f>HLOOKUP(R4931,データについて!$J$12:$M$18,7,FALSE)</f>
        <v>#N/A</v>
      </c>
      <c r="Z4931" s="81" t="e">
        <f>HLOOKUP(I4931,データについて!$J$3:$M$18,16,FALSE)</f>
        <v>#N/A</v>
      </c>
      <c r="AA4931" s="81" t="str">
        <f>IFERROR(HLOOKUP(J4931,データについて!$J$4:$AH$19,16,FALSE),"")</f>
        <v/>
      </c>
      <c r="AB4931" s="81" t="str">
        <f>IFERROR(HLOOKUP(K4931,データについて!$J$5:$AH$20,14,FALSE),"")</f>
        <v/>
      </c>
      <c r="AC4931" s="81" t="e">
        <f>IF(X4931=1,HLOOKUP(R4931,データについて!$J$12:$M$18,7,FALSE),"*")</f>
        <v>#N/A</v>
      </c>
      <c r="AD4931" s="81" t="e">
        <f>IF(X4931=2,HLOOKUP(R4931,データについて!$J$12:$M$18,7,FALSE),"*")</f>
        <v>#N/A</v>
      </c>
    </row>
    <row r="4932" spans="19:30">
      <c r="S4932" s="81" t="e">
        <f>HLOOKUP(L4932,データについて!$J$6:$M$18,13,FALSE)</f>
        <v>#N/A</v>
      </c>
      <c r="T4932" s="81" t="e">
        <f>HLOOKUP(M4932,データについて!$J$7:$M$18,12,FALSE)</f>
        <v>#N/A</v>
      </c>
      <c r="U4932" s="81" t="e">
        <f>HLOOKUP(N4932,データについて!$J$8:$M$18,11,FALSE)</f>
        <v>#N/A</v>
      </c>
      <c r="V4932" s="81" t="e">
        <f>HLOOKUP(O4932,データについて!$J$9:$M$18,10,FALSE)</f>
        <v>#N/A</v>
      </c>
      <c r="W4932" s="81" t="e">
        <f>HLOOKUP(P4932,データについて!$J$10:$M$18,9,FALSE)</f>
        <v>#N/A</v>
      </c>
      <c r="X4932" s="81" t="e">
        <f>HLOOKUP(Q4932,データについて!$J$11:$M$18,8,FALSE)</f>
        <v>#N/A</v>
      </c>
      <c r="Y4932" s="81" t="e">
        <f>HLOOKUP(R4932,データについて!$J$12:$M$18,7,FALSE)</f>
        <v>#N/A</v>
      </c>
      <c r="Z4932" s="81" t="e">
        <f>HLOOKUP(I4932,データについて!$J$3:$M$18,16,FALSE)</f>
        <v>#N/A</v>
      </c>
      <c r="AA4932" s="81" t="str">
        <f>IFERROR(HLOOKUP(J4932,データについて!$J$4:$AH$19,16,FALSE),"")</f>
        <v/>
      </c>
      <c r="AB4932" s="81" t="str">
        <f>IFERROR(HLOOKUP(K4932,データについて!$J$5:$AH$20,14,FALSE),"")</f>
        <v/>
      </c>
      <c r="AC4932" s="81" t="e">
        <f>IF(X4932=1,HLOOKUP(R4932,データについて!$J$12:$M$18,7,FALSE),"*")</f>
        <v>#N/A</v>
      </c>
      <c r="AD4932" s="81" t="e">
        <f>IF(X4932=2,HLOOKUP(R4932,データについて!$J$12:$M$18,7,FALSE),"*")</f>
        <v>#N/A</v>
      </c>
    </row>
    <row r="4933" spans="19:30">
      <c r="S4933" s="81" t="e">
        <f>HLOOKUP(L4933,データについて!$J$6:$M$18,13,FALSE)</f>
        <v>#N/A</v>
      </c>
      <c r="T4933" s="81" t="e">
        <f>HLOOKUP(M4933,データについて!$J$7:$M$18,12,FALSE)</f>
        <v>#N/A</v>
      </c>
      <c r="U4933" s="81" t="e">
        <f>HLOOKUP(N4933,データについて!$J$8:$M$18,11,FALSE)</f>
        <v>#N/A</v>
      </c>
      <c r="V4933" s="81" t="e">
        <f>HLOOKUP(O4933,データについて!$J$9:$M$18,10,FALSE)</f>
        <v>#N/A</v>
      </c>
      <c r="W4933" s="81" t="e">
        <f>HLOOKUP(P4933,データについて!$J$10:$M$18,9,FALSE)</f>
        <v>#N/A</v>
      </c>
      <c r="X4933" s="81" t="e">
        <f>HLOOKUP(Q4933,データについて!$J$11:$M$18,8,FALSE)</f>
        <v>#N/A</v>
      </c>
      <c r="Y4933" s="81" t="e">
        <f>HLOOKUP(R4933,データについて!$J$12:$M$18,7,FALSE)</f>
        <v>#N/A</v>
      </c>
      <c r="Z4933" s="81" t="e">
        <f>HLOOKUP(I4933,データについて!$J$3:$M$18,16,FALSE)</f>
        <v>#N/A</v>
      </c>
      <c r="AA4933" s="81" t="str">
        <f>IFERROR(HLOOKUP(J4933,データについて!$J$4:$AH$19,16,FALSE),"")</f>
        <v/>
      </c>
      <c r="AB4933" s="81" t="str">
        <f>IFERROR(HLOOKUP(K4933,データについて!$J$5:$AH$20,14,FALSE),"")</f>
        <v/>
      </c>
      <c r="AC4933" s="81" t="e">
        <f>IF(X4933=1,HLOOKUP(R4933,データについて!$J$12:$M$18,7,FALSE),"*")</f>
        <v>#N/A</v>
      </c>
      <c r="AD4933" s="81" t="e">
        <f>IF(X4933=2,HLOOKUP(R4933,データについて!$J$12:$M$18,7,FALSE),"*")</f>
        <v>#N/A</v>
      </c>
    </row>
    <row r="4934" spans="19:30">
      <c r="S4934" s="81" t="e">
        <f>HLOOKUP(L4934,データについて!$J$6:$M$18,13,FALSE)</f>
        <v>#N/A</v>
      </c>
      <c r="T4934" s="81" t="e">
        <f>HLOOKUP(M4934,データについて!$J$7:$M$18,12,FALSE)</f>
        <v>#N/A</v>
      </c>
      <c r="U4934" s="81" t="e">
        <f>HLOOKUP(N4934,データについて!$J$8:$M$18,11,FALSE)</f>
        <v>#N/A</v>
      </c>
      <c r="V4934" s="81" t="e">
        <f>HLOOKUP(O4934,データについて!$J$9:$M$18,10,FALSE)</f>
        <v>#N/A</v>
      </c>
      <c r="W4934" s="81" t="e">
        <f>HLOOKUP(P4934,データについて!$J$10:$M$18,9,FALSE)</f>
        <v>#N/A</v>
      </c>
      <c r="X4934" s="81" t="e">
        <f>HLOOKUP(Q4934,データについて!$J$11:$M$18,8,FALSE)</f>
        <v>#N/A</v>
      </c>
      <c r="Y4934" s="81" t="e">
        <f>HLOOKUP(R4934,データについて!$J$12:$M$18,7,FALSE)</f>
        <v>#N/A</v>
      </c>
      <c r="Z4934" s="81" t="e">
        <f>HLOOKUP(I4934,データについて!$J$3:$M$18,16,FALSE)</f>
        <v>#N/A</v>
      </c>
      <c r="AA4934" s="81" t="str">
        <f>IFERROR(HLOOKUP(J4934,データについて!$J$4:$AH$19,16,FALSE),"")</f>
        <v/>
      </c>
      <c r="AB4934" s="81" t="str">
        <f>IFERROR(HLOOKUP(K4934,データについて!$J$5:$AH$20,14,FALSE),"")</f>
        <v/>
      </c>
      <c r="AC4934" s="81" t="e">
        <f>IF(X4934=1,HLOOKUP(R4934,データについて!$J$12:$M$18,7,FALSE),"*")</f>
        <v>#N/A</v>
      </c>
      <c r="AD4934" s="81" t="e">
        <f>IF(X4934=2,HLOOKUP(R4934,データについて!$J$12:$M$18,7,FALSE),"*")</f>
        <v>#N/A</v>
      </c>
    </row>
    <row r="4935" spans="19:30">
      <c r="S4935" s="81" t="e">
        <f>HLOOKUP(L4935,データについて!$J$6:$M$18,13,FALSE)</f>
        <v>#N/A</v>
      </c>
      <c r="T4935" s="81" t="e">
        <f>HLOOKUP(M4935,データについて!$J$7:$M$18,12,FALSE)</f>
        <v>#N/A</v>
      </c>
      <c r="U4935" s="81" t="e">
        <f>HLOOKUP(N4935,データについて!$J$8:$M$18,11,FALSE)</f>
        <v>#N/A</v>
      </c>
      <c r="V4935" s="81" t="e">
        <f>HLOOKUP(O4935,データについて!$J$9:$M$18,10,FALSE)</f>
        <v>#N/A</v>
      </c>
      <c r="W4935" s="81" t="e">
        <f>HLOOKUP(P4935,データについて!$J$10:$M$18,9,FALSE)</f>
        <v>#N/A</v>
      </c>
      <c r="X4935" s="81" t="e">
        <f>HLOOKUP(Q4935,データについて!$J$11:$M$18,8,FALSE)</f>
        <v>#N/A</v>
      </c>
      <c r="Y4935" s="81" t="e">
        <f>HLOOKUP(R4935,データについて!$J$12:$M$18,7,FALSE)</f>
        <v>#N/A</v>
      </c>
      <c r="Z4935" s="81" t="e">
        <f>HLOOKUP(I4935,データについて!$J$3:$M$18,16,FALSE)</f>
        <v>#N/A</v>
      </c>
      <c r="AA4935" s="81" t="str">
        <f>IFERROR(HLOOKUP(J4935,データについて!$J$4:$AH$19,16,FALSE),"")</f>
        <v/>
      </c>
      <c r="AB4935" s="81" t="str">
        <f>IFERROR(HLOOKUP(K4935,データについて!$J$5:$AH$20,14,FALSE),"")</f>
        <v/>
      </c>
      <c r="AC4935" s="81" t="e">
        <f>IF(X4935=1,HLOOKUP(R4935,データについて!$J$12:$M$18,7,FALSE),"*")</f>
        <v>#N/A</v>
      </c>
      <c r="AD4935" s="81" t="e">
        <f>IF(X4935=2,HLOOKUP(R4935,データについて!$J$12:$M$18,7,FALSE),"*")</f>
        <v>#N/A</v>
      </c>
    </row>
    <row r="4936" spans="19:30">
      <c r="S4936" s="81" t="e">
        <f>HLOOKUP(L4936,データについて!$J$6:$M$18,13,FALSE)</f>
        <v>#N/A</v>
      </c>
      <c r="T4936" s="81" t="e">
        <f>HLOOKUP(M4936,データについて!$J$7:$M$18,12,FALSE)</f>
        <v>#N/A</v>
      </c>
      <c r="U4936" s="81" t="e">
        <f>HLOOKUP(N4936,データについて!$J$8:$M$18,11,FALSE)</f>
        <v>#N/A</v>
      </c>
      <c r="V4936" s="81" t="e">
        <f>HLOOKUP(O4936,データについて!$J$9:$M$18,10,FALSE)</f>
        <v>#N/A</v>
      </c>
      <c r="W4936" s="81" t="e">
        <f>HLOOKUP(P4936,データについて!$J$10:$M$18,9,FALSE)</f>
        <v>#N/A</v>
      </c>
      <c r="X4936" s="81" t="e">
        <f>HLOOKUP(Q4936,データについて!$J$11:$M$18,8,FALSE)</f>
        <v>#N/A</v>
      </c>
      <c r="Y4936" s="81" t="e">
        <f>HLOOKUP(R4936,データについて!$J$12:$M$18,7,FALSE)</f>
        <v>#N/A</v>
      </c>
      <c r="Z4936" s="81" t="e">
        <f>HLOOKUP(I4936,データについて!$J$3:$M$18,16,FALSE)</f>
        <v>#N/A</v>
      </c>
      <c r="AA4936" s="81" t="str">
        <f>IFERROR(HLOOKUP(J4936,データについて!$J$4:$AH$19,16,FALSE),"")</f>
        <v/>
      </c>
      <c r="AB4936" s="81" t="str">
        <f>IFERROR(HLOOKUP(K4936,データについて!$J$5:$AH$20,14,FALSE),"")</f>
        <v/>
      </c>
      <c r="AC4936" s="81" t="e">
        <f>IF(X4936=1,HLOOKUP(R4936,データについて!$J$12:$M$18,7,FALSE),"*")</f>
        <v>#N/A</v>
      </c>
      <c r="AD4936" s="81" t="e">
        <f>IF(X4936=2,HLOOKUP(R4936,データについて!$J$12:$M$18,7,FALSE),"*")</f>
        <v>#N/A</v>
      </c>
    </row>
    <row r="4937" spans="19:30">
      <c r="S4937" s="81" t="e">
        <f>HLOOKUP(L4937,データについて!$J$6:$M$18,13,FALSE)</f>
        <v>#N/A</v>
      </c>
      <c r="T4937" s="81" t="e">
        <f>HLOOKUP(M4937,データについて!$J$7:$M$18,12,FALSE)</f>
        <v>#N/A</v>
      </c>
      <c r="U4937" s="81" t="e">
        <f>HLOOKUP(N4937,データについて!$J$8:$M$18,11,FALSE)</f>
        <v>#N/A</v>
      </c>
      <c r="V4937" s="81" t="e">
        <f>HLOOKUP(O4937,データについて!$J$9:$M$18,10,FALSE)</f>
        <v>#N/A</v>
      </c>
      <c r="W4937" s="81" t="e">
        <f>HLOOKUP(P4937,データについて!$J$10:$M$18,9,FALSE)</f>
        <v>#N/A</v>
      </c>
      <c r="X4937" s="81" t="e">
        <f>HLOOKUP(Q4937,データについて!$J$11:$M$18,8,FALSE)</f>
        <v>#N/A</v>
      </c>
      <c r="Y4937" s="81" t="e">
        <f>HLOOKUP(R4937,データについて!$J$12:$M$18,7,FALSE)</f>
        <v>#N/A</v>
      </c>
      <c r="Z4937" s="81" t="e">
        <f>HLOOKUP(I4937,データについて!$J$3:$M$18,16,FALSE)</f>
        <v>#N/A</v>
      </c>
      <c r="AA4937" s="81" t="str">
        <f>IFERROR(HLOOKUP(J4937,データについて!$J$4:$AH$19,16,FALSE),"")</f>
        <v/>
      </c>
      <c r="AB4937" s="81" t="str">
        <f>IFERROR(HLOOKUP(K4937,データについて!$J$5:$AH$20,14,FALSE),"")</f>
        <v/>
      </c>
      <c r="AC4937" s="81" t="e">
        <f>IF(X4937=1,HLOOKUP(R4937,データについて!$J$12:$M$18,7,FALSE),"*")</f>
        <v>#N/A</v>
      </c>
      <c r="AD4937" s="81" t="e">
        <f>IF(X4937=2,HLOOKUP(R4937,データについて!$J$12:$M$18,7,FALSE),"*")</f>
        <v>#N/A</v>
      </c>
    </row>
    <row r="4938" spans="19:30">
      <c r="S4938" s="81" t="e">
        <f>HLOOKUP(L4938,データについて!$J$6:$M$18,13,FALSE)</f>
        <v>#N/A</v>
      </c>
      <c r="T4938" s="81" t="e">
        <f>HLOOKUP(M4938,データについて!$J$7:$M$18,12,FALSE)</f>
        <v>#N/A</v>
      </c>
      <c r="U4938" s="81" t="e">
        <f>HLOOKUP(N4938,データについて!$J$8:$M$18,11,FALSE)</f>
        <v>#N/A</v>
      </c>
      <c r="V4938" s="81" t="e">
        <f>HLOOKUP(O4938,データについて!$J$9:$M$18,10,FALSE)</f>
        <v>#N/A</v>
      </c>
      <c r="W4938" s="81" t="e">
        <f>HLOOKUP(P4938,データについて!$J$10:$M$18,9,FALSE)</f>
        <v>#N/A</v>
      </c>
      <c r="X4938" s="81" t="e">
        <f>HLOOKUP(Q4938,データについて!$J$11:$M$18,8,FALSE)</f>
        <v>#N/A</v>
      </c>
      <c r="Y4938" s="81" t="e">
        <f>HLOOKUP(R4938,データについて!$J$12:$M$18,7,FALSE)</f>
        <v>#N/A</v>
      </c>
      <c r="Z4938" s="81" t="e">
        <f>HLOOKUP(I4938,データについて!$J$3:$M$18,16,FALSE)</f>
        <v>#N/A</v>
      </c>
      <c r="AA4938" s="81" t="str">
        <f>IFERROR(HLOOKUP(J4938,データについて!$J$4:$AH$19,16,FALSE),"")</f>
        <v/>
      </c>
      <c r="AB4938" s="81" t="str">
        <f>IFERROR(HLOOKUP(K4938,データについて!$J$5:$AH$20,14,FALSE),"")</f>
        <v/>
      </c>
      <c r="AC4938" s="81" t="e">
        <f>IF(X4938=1,HLOOKUP(R4938,データについて!$J$12:$M$18,7,FALSE),"*")</f>
        <v>#N/A</v>
      </c>
      <c r="AD4938" s="81" t="e">
        <f>IF(X4938=2,HLOOKUP(R4938,データについて!$J$12:$M$18,7,FALSE),"*")</f>
        <v>#N/A</v>
      </c>
    </row>
    <row r="4939" spans="19:30">
      <c r="S4939" s="81" t="e">
        <f>HLOOKUP(L4939,データについて!$J$6:$M$18,13,FALSE)</f>
        <v>#N/A</v>
      </c>
      <c r="T4939" s="81" t="e">
        <f>HLOOKUP(M4939,データについて!$J$7:$M$18,12,FALSE)</f>
        <v>#N/A</v>
      </c>
      <c r="U4939" s="81" t="e">
        <f>HLOOKUP(N4939,データについて!$J$8:$M$18,11,FALSE)</f>
        <v>#N/A</v>
      </c>
      <c r="V4939" s="81" t="e">
        <f>HLOOKUP(O4939,データについて!$J$9:$M$18,10,FALSE)</f>
        <v>#N/A</v>
      </c>
      <c r="W4939" s="81" t="e">
        <f>HLOOKUP(P4939,データについて!$J$10:$M$18,9,FALSE)</f>
        <v>#N/A</v>
      </c>
      <c r="X4939" s="81" t="e">
        <f>HLOOKUP(Q4939,データについて!$J$11:$M$18,8,FALSE)</f>
        <v>#N/A</v>
      </c>
      <c r="Y4939" s="81" t="e">
        <f>HLOOKUP(R4939,データについて!$J$12:$M$18,7,FALSE)</f>
        <v>#N/A</v>
      </c>
      <c r="Z4939" s="81" t="e">
        <f>HLOOKUP(I4939,データについて!$J$3:$M$18,16,FALSE)</f>
        <v>#N/A</v>
      </c>
      <c r="AA4939" s="81" t="str">
        <f>IFERROR(HLOOKUP(J4939,データについて!$J$4:$AH$19,16,FALSE),"")</f>
        <v/>
      </c>
      <c r="AB4939" s="81" t="str">
        <f>IFERROR(HLOOKUP(K4939,データについて!$J$5:$AH$20,14,FALSE),"")</f>
        <v/>
      </c>
      <c r="AC4939" s="81" t="e">
        <f>IF(X4939=1,HLOOKUP(R4939,データについて!$J$12:$M$18,7,FALSE),"*")</f>
        <v>#N/A</v>
      </c>
      <c r="AD4939" s="81" t="e">
        <f>IF(X4939=2,HLOOKUP(R4939,データについて!$J$12:$M$18,7,FALSE),"*")</f>
        <v>#N/A</v>
      </c>
    </row>
    <row r="4940" spans="19:30">
      <c r="S4940" s="81" t="e">
        <f>HLOOKUP(L4940,データについて!$J$6:$M$18,13,FALSE)</f>
        <v>#N/A</v>
      </c>
      <c r="T4940" s="81" t="e">
        <f>HLOOKUP(M4940,データについて!$J$7:$M$18,12,FALSE)</f>
        <v>#N/A</v>
      </c>
      <c r="U4940" s="81" t="e">
        <f>HLOOKUP(N4940,データについて!$J$8:$M$18,11,FALSE)</f>
        <v>#N/A</v>
      </c>
      <c r="V4940" s="81" t="e">
        <f>HLOOKUP(O4940,データについて!$J$9:$M$18,10,FALSE)</f>
        <v>#N/A</v>
      </c>
      <c r="W4940" s="81" t="e">
        <f>HLOOKUP(P4940,データについて!$J$10:$M$18,9,FALSE)</f>
        <v>#N/A</v>
      </c>
      <c r="X4940" s="81" t="e">
        <f>HLOOKUP(Q4940,データについて!$J$11:$M$18,8,FALSE)</f>
        <v>#N/A</v>
      </c>
      <c r="Y4940" s="81" t="e">
        <f>HLOOKUP(R4940,データについて!$J$12:$M$18,7,FALSE)</f>
        <v>#N/A</v>
      </c>
      <c r="Z4940" s="81" t="e">
        <f>HLOOKUP(I4940,データについて!$J$3:$M$18,16,FALSE)</f>
        <v>#N/A</v>
      </c>
      <c r="AA4940" s="81" t="str">
        <f>IFERROR(HLOOKUP(J4940,データについて!$J$4:$AH$19,16,FALSE),"")</f>
        <v/>
      </c>
      <c r="AB4940" s="81" t="str">
        <f>IFERROR(HLOOKUP(K4940,データについて!$J$5:$AH$20,14,FALSE),"")</f>
        <v/>
      </c>
      <c r="AC4940" s="81" t="e">
        <f>IF(X4940=1,HLOOKUP(R4940,データについて!$J$12:$M$18,7,FALSE),"*")</f>
        <v>#N/A</v>
      </c>
      <c r="AD4940" s="81" t="e">
        <f>IF(X4940=2,HLOOKUP(R4940,データについて!$J$12:$M$18,7,FALSE),"*")</f>
        <v>#N/A</v>
      </c>
    </row>
    <row r="4941" spans="19:30">
      <c r="S4941" s="81" t="e">
        <f>HLOOKUP(L4941,データについて!$J$6:$M$18,13,FALSE)</f>
        <v>#N/A</v>
      </c>
      <c r="T4941" s="81" t="e">
        <f>HLOOKUP(M4941,データについて!$J$7:$M$18,12,FALSE)</f>
        <v>#N/A</v>
      </c>
      <c r="U4941" s="81" t="e">
        <f>HLOOKUP(N4941,データについて!$J$8:$M$18,11,FALSE)</f>
        <v>#N/A</v>
      </c>
      <c r="V4941" s="81" t="e">
        <f>HLOOKUP(O4941,データについて!$J$9:$M$18,10,FALSE)</f>
        <v>#N/A</v>
      </c>
      <c r="W4941" s="81" t="e">
        <f>HLOOKUP(P4941,データについて!$J$10:$M$18,9,FALSE)</f>
        <v>#N/A</v>
      </c>
      <c r="X4941" s="81" t="e">
        <f>HLOOKUP(Q4941,データについて!$J$11:$M$18,8,FALSE)</f>
        <v>#N/A</v>
      </c>
      <c r="Y4941" s="81" t="e">
        <f>HLOOKUP(R4941,データについて!$J$12:$M$18,7,FALSE)</f>
        <v>#N/A</v>
      </c>
      <c r="Z4941" s="81" t="e">
        <f>HLOOKUP(I4941,データについて!$J$3:$M$18,16,FALSE)</f>
        <v>#N/A</v>
      </c>
      <c r="AA4941" s="81" t="str">
        <f>IFERROR(HLOOKUP(J4941,データについて!$J$4:$AH$19,16,FALSE),"")</f>
        <v/>
      </c>
      <c r="AB4941" s="81" t="str">
        <f>IFERROR(HLOOKUP(K4941,データについて!$J$5:$AH$20,14,FALSE),"")</f>
        <v/>
      </c>
      <c r="AC4941" s="81" t="e">
        <f>IF(X4941=1,HLOOKUP(R4941,データについて!$J$12:$M$18,7,FALSE),"*")</f>
        <v>#N/A</v>
      </c>
      <c r="AD4941" s="81" t="e">
        <f>IF(X4941=2,HLOOKUP(R4941,データについて!$J$12:$M$18,7,FALSE),"*")</f>
        <v>#N/A</v>
      </c>
    </row>
    <row r="4942" spans="19:30">
      <c r="S4942" s="81" t="e">
        <f>HLOOKUP(L4942,データについて!$J$6:$M$18,13,FALSE)</f>
        <v>#N/A</v>
      </c>
      <c r="T4942" s="81" t="e">
        <f>HLOOKUP(M4942,データについて!$J$7:$M$18,12,FALSE)</f>
        <v>#N/A</v>
      </c>
      <c r="U4942" s="81" t="e">
        <f>HLOOKUP(N4942,データについて!$J$8:$M$18,11,FALSE)</f>
        <v>#N/A</v>
      </c>
      <c r="V4942" s="81" t="e">
        <f>HLOOKUP(O4942,データについて!$J$9:$M$18,10,FALSE)</f>
        <v>#N/A</v>
      </c>
      <c r="W4942" s="81" t="e">
        <f>HLOOKUP(P4942,データについて!$J$10:$M$18,9,FALSE)</f>
        <v>#N/A</v>
      </c>
      <c r="X4942" s="81" t="e">
        <f>HLOOKUP(Q4942,データについて!$J$11:$M$18,8,FALSE)</f>
        <v>#N/A</v>
      </c>
      <c r="Y4942" s="81" t="e">
        <f>HLOOKUP(R4942,データについて!$J$12:$M$18,7,FALSE)</f>
        <v>#N/A</v>
      </c>
      <c r="Z4942" s="81" t="e">
        <f>HLOOKUP(I4942,データについて!$J$3:$M$18,16,FALSE)</f>
        <v>#N/A</v>
      </c>
      <c r="AA4942" s="81" t="str">
        <f>IFERROR(HLOOKUP(J4942,データについて!$J$4:$AH$19,16,FALSE),"")</f>
        <v/>
      </c>
      <c r="AB4942" s="81" t="str">
        <f>IFERROR(HLOOKUP(K4942,データについて!$J$5:$AH$20,14,FALSE),"")</f>
        <v/>
      </c>
      <c r="AC4942" s="81" t="e">
        <f>IF(X4942=1,HLOOKUP(R4942,データについて!$J$12:$M$18,7,FALSE),"*")</f>
        <v>#N/A</v>
      </c>
      <c r="AD4942" s="81" t="e">
        <f>IF(X4942=2,HLOOKUP(R4942,データについて!$J$12:$M$18,7,FALSE),"*")</f>
        <v>#N/A</v>
      </c>
    </row>
    <row r="4943" spans="19:30">
      <c r="S4943" s="81" t="e">
        <f>HLOOKUP(L4943,データについて!$J$6:$M$18,13,FALSE)</f>
        <v>#N/A</v>
      </c>
      <c r="T4943" s="81" t="e">
        <f>HLOOKUP(M4943,データについて!$J$7:$M$18,12,FALSE)</f>
        <v>#N/A</v>
      </c>
      <c r="U4943" s="81" t="e">
        <f>HLOOKUP(N4943,データについて!$J$8:$M$18,11,FALSE)</f>
        <v>#N/A</v>
      </c>
      <c r="V4943" s="81" t="e">
        <f>HLOOKUP(O4943,データについて!$J$9:$M$18,10,FALSE)</f>
        <v>#N/A</v>
      </c>
      <c r="W4943" s="81" t="e">
        <f>HLOOKUP(P4943,データについて!$J$10:$M$18,9,FALSE)</f>
        <v>#N/A</v>
      </c>
      <c r="X4943" s="81" t="e">
        <f>HLOOKUP(Q4943,データについて!$J$11:$M$18,8,FALSE)</f>
        <v>#N/A</v>
      </c>
      <c r="Y4943" s="81" t="e">
        <f>HLOOKUP(R4943,データについて!$J$12:$M$18,7,FALSE)</f>
        <v>#N/A</v>
      </c>
      <c r="Z4943" s="81" t="e">
        <f>HLOOKUP(I4943,データについて!$J$3:$M$18,16,FALSE)</f>
        <v>#N/A</v>
      </c>
      <c r="AA4943" s="81" t="str">
        <f>IFERROR(HLOOKUP(J4943,データについて!$J$4:$AH$19,16,FALSE),"")</f>
        <v/>
      </c>
      <c r="AB4943" s="81" t="str">
        <f>IFERROR(HLOOKUP(K4943,データについて!$J$5:$AH$20,14,FALSE),"")</f>
        <v/>
      </c>
      <c r="AC4943" s="81" t="e">
        <f>IF(X4943=1,HLOOKUP(R4943,データについて!$J$12:$M$18,7,FALSE),"*")</f>
        <v>#N/A</v>
      </c>
      <c r="AD4943" s="81" t="e">
        <f>IF(X4943=2,HLOOKUP(R4943,データについて!$J$12:$M$18,7,FALSE),"*")</f>
        <v>#N/A</v>
      </c>
    </row>
    <row r="4944" spans="19:30">
      <c r="S4944" s="81" t="e">
        <f>HLOOKUP(L4944,データについて!$J$6:$M$18,13,FALSE)</f>
        <v>#N/A</v>
      </c>
      <c r="T4944" s="81" t="e">
        <f>HLOOKUP(M4944,データについて!$J$7:$M$18,12,FALSE)</f>
        <v>#N/A</v>
      </c>
      <c r="U4944" s="81" t="e">
        <f>HLOOKUP(N4944,データについて!$J$8:$M$18,11,FALSE)</f>
        <v>#N/A</v>
      </c>
      <c r="V4944" s="81" t="e">
        <f>HLOOKUP(O4944,データについて!$J$9:$M$18,10,FALSE)</f>
        <v>#N/A</v>
      </c>
      <c r="W4944" s="81" t="e">
        <f>HLOOKUP(P4944,データについて!$J$10:$M$18,9,FALSE)</f>
        <v>#N/A</v>
      </c>
      <c r="X4944" s="81" t="e">
        <f>HLOOKUP(Q4944,データについて!$J$11:$M$18,8,FALSE)</f>
        <v>#N/A</v>
      </c>
      <c r="Y4944" s="81" t="e">
        <f>HLOOKUP(R4944,データについて!$J$12:$M$18,7,FALSE)</f>
        <v>#N/A</v>
      </c>
      <c r="Z4944" s="81" t="e">
        <f>HLOOKUP(I4944,データについて!$J$3:$M$18,16,FALSE)</f>
        <v>#N/A</v>
      </c>
      <c r="AA4944" s="81" t="str">
        <f>IFERROR(HLOOKUP(J4944,データについて!$J$4:$AH$19,16,FALSE),"")</f>
        <v/>
      </c>
      <c r="AB4944" s="81" t="str">
        <f>IFERROR(HLOOKUP(K4944,データについて!$J$5:$AH$20,14,FALSE),"")</f>
        <v/>
      </c>
      <c r="AC4944" s="81" t="e">
        <f>IF(X4944=1,HLOOKUP(R4944,データについて!$J$12:$M$18,7,FALSE),"*")</f>
        <v>#N/A</v>
      </c>
      <c r="AD4944" s="81" t="e">
        <f>IF(X4944=2,HLOOKUP(R4944,データについて!$J$12:$M$18,7,FALSE),"*")</f>
        <v>#N/A</v>
      </c>
    </row>
    <row r="4945" spans="19:30">
      <c r="S4945" s="81" t="e">
        <f>HLOOKUP(L4945,データについて!$J$6:$M$18,13,FALSE)</f>
        <v>#N/A</v>
      </c>
      <c r="T4945" s="81" t="e">
        <f>HLOOKUP(M4945,データについて!$J$7:$M$18,12,FALSE)</f>
        <v>#N/A</v>
      </c>
      <c r="U4945" s="81" t="e">
        <f>HLOOKUP(N4945,データについて!$J$8:$M$18,11,FALSE)</f>
        <v>#N/A</v>
      </c>
      <c r="V4945" s="81" t="e">
        <f>HLOOKUP(O4945,データについて!$J$9:$M$18,10,FALSE)</f>
        <v>#N/A</v>
      </c>
      <c r="W4945" s="81" t="e">
        <f>HLOOKUP(P4945,データについて!$J$10:$M$18,9,FALSE)</f>
        <v>#N/A</v>
      </c>
      <c r="X4945" s="81" t="e">
        <f>HLOOKUP(Q4945,データについて!$J$11:$M$18,8,FALSE)</f>
        <v>#N/A</v>
      </c>
      <c r="Y4945" s="81" t="e">
        <f>HLOOKUP(R4945,データについて!$J$12:$M$18,7,FALSE)</f>
        <v>#N/A</v>
      </c>
      <c r="Z4945" s="81" t="e">
        <f>HLOOKUP(I4945,データについて!$J$3:$M$18,16,FALSE)</f>
        <v>#N/A</v>
      </c>
      <c r="AA4945" s="81" t="str">
        <f>IFERROR(HLOOKUP(J4945,データについて!$J$4:$AH$19,16,FALSE),"")</f>
        <v/>
      </c>
      <c r="AB4945" s="81" t="str">
        <f>IFERROR(HLOOKUP(K4945,データについて!$J$5:$AH$20,14,FALSE),"")</f>
        <v/>
      </c>
      <c r="AC4945" s="81" t="e">
        <f>IF(X4945=1,HLOOKUP(R4945,データについて!$J$12:$M$18,7,FALSE),"*")</f>
        <v>#N/A</v>
      </c>
      <c r="AD4945" s="81" t="e">
        <f>IF(X4945=2,HLOOKUP(R4945,データについて!$J$12:$M$18,7,FALSE),"*")</f>
        <v>#N/A</v>
      </c>
    </row>
    <row r="4946" spans="19:30">
      <c r="S4946" s="81" t="e">
        <f>HLOOKUP(L4946,データについて!$J$6:$M$18,13,FALSE)</f>
        <v>#N/A</v>
      </c>
      <c r="T4946" s="81" t="e">
        <f>HLOOKUP(M4946,データについて!$J$7:$M$18,12,FALSE)</f>
        <v>#N/A</v>
      </c>
      <c r="U4946" s="81" t="e">
        <f>HLOOKUP(N4946,データについて!$J$8:$M$18,11,FALSE)</f>
        <v>#N/A</v>
      </c>
      <c r="V4946" s="81" t="e">
        <f>HLOOKUP(O4946,データについて!$J$9:$M$18,10,FALSE)</f>
        <v>#N/A</v>
      </c>
      <c r="W4946" s="81" t="e">
        <f>HLOOKUP(P4946,データについて!$J$10:$M$18,9,FALSE)</f>
        <v>#N/A</v>
      </c>
      <c r="X4946" s="81" t="e">
        <f>HLOOKUP(Q4946,データについて!$J$11:$M$18,8,FALSE)</f>
        <v>#N/A</v>
      </c>
      <c r="Y4946" s="81" t="e">
        <f>HLOOKUP(R4946,データについて!$J$12:$M$18,7,FALSE)</f>
        <v>#N/A</v>
      </c>
      <c r="Z4946" s="81" t="e">
        <f>HLOOKUP(I4946,データについて!$J$3:$M$18,16,FALSE)</f>
        <v>#N/A</v>
      </c>
      <c r="AA4946" s="81" t="str">
        <f>IFERROR(HLOOKUP(J4946,データについて!$J$4:$AH$19,16,FALSE),"")</f>
        <v/>
      </c>
      <c r="AB4946" s="81" t="str">
        <f>IFERROR(HLOOKUP(K4946,データについて!$J$5:$AH$20,14,FALSE),"")</f>
        <v/>
      </c>
      <c r="AC4946" s="81" t="e">
        <f>IF(X4946=1,HLOOKUP(R4946,データについて!$J$12:$M$18,7,FALSE),"*")</f>
        <v>#N/A</v>
      </c>
      <c r="AD4946" s="81" t="e">
        <f>IF(X4946=2,HLOOKUP(R4946,データについて!$J$12:$M$18,7,FALSE),"*")</f>
        <v>#N/A</v>
      </c>
    </row>
    <row r="4947" spans="19:30">
      <c r="S4947" s="81" t="e">
        <f>HLOOKUP(L4947,データについて!$J$6:$M$18,13,FALSE)</f>
        <v>#N/A</v>
      </c>
      <c r="T4947" s="81" t="e">
        <f>HLOOKUP(M4947,データについて!$J$7:$M$18,12,FALSE)</f>
        <v>#N/A</v>
      </c>
      <c r="U4947" s="81" t="e">
        <f>HLOOKUP(N4947,データについて!$J$8:$M$18,11,FALSE)</f>
        <v>#N/A</v>
      </c>
      <c r="V4947" s="81" t="e">
        <f>HLOOKUP(O4947,データについて!$J$9:$M$18,10,FALSE)</f>
        <v>#N/A</v>
      </c>
      <c r="W4947" s="81" t="e">
        <f>HLOOKUP(P4947,データについて!$J$10:$M$18,9,FALSE)</f>
        <v>#N/A</v>
      </c>
      <c r="X4947" s="81" t="e">
        <f>HLOOKUP(Q4947,データについて!$J$11:$M$18,8,FALSE)</f>
        <v>#N/A</v>
      </c>
      <c r="Y4947" s="81" t="e">
        <f>HLOOKUP(R4947,データについて!$J$12:$M$18,7,FALSE)</f>
        <v>#N/A</v>
      </c>
      <c r="Z4947" s="81" t="e">
        <f>HLOOKUP(I4947,データについて!$J$3:$M$18,16,FALSE)</f>
        <v>#N/A</v>
      </c>
      <c r="AA4947" s="81" t="str">
        <f>IFERROR(HLOOKUP(J4947,データについて!$J$4:$AH$19,16,FALSE),"")</f>
        <v/>
      </c>
      <c r="AB4947" s="81" t="str">
        <f>IFERROR(HLOOKUP(K4947,データについて!$J$5:$AH$20,14,FALSE),"")</f>
        <v/>
      </c>
      <c r="AC4947" s="81" t="e">
        <f>IF(X4947=1,HLOOKUP(R4947,データについて!$J$12:$M$18,7,FALSE),"*")</f>
        <v>#N/A</v>
      </c>
      <c r="AD4947" s="81" t="e">
        <f>IF(X4947=2,HLOOKUP(R4947,データについて!$J$12:$M$18,7,FALSE),"*")</f>
        <v>#N/A</v>
      </c>
    </row>
    <row r="4948" spans="19:30">
      <c r="S4948" s="81" t="e">
        <f>HLOOKUP(L4948,データについて!$J$6:$M$18,13,FALSE)</f>
        <v>#N/A</v>
      </c>
      <c r="T4948" s="81" t="e">
        <f>HLOOKUP(M4948,データについて!$J$7:$M$18,12,FALSE)</f>
        <v>#N/A</v>
      </c>
      <c r="U4948" s="81" t="e">
        <f>HLOOKUP(N4948,データについて!$J$8:$M$18,11,FALSE)</f>
        <v>#N/A</v>
      </c>
      <c r="V4948" s="81" t="e">
        <f>HLOOKUP(O4948,データについて!$J$9:$M$18,10,FALSE)</f>
        <v>#N/A</v>
      </c>
      <c r="W4948" s="81" t="e">
        <f>HLOOKUP(P4948,データについて!$J$10:$M$18,9,FALSE)</f>
        <v>#N/A</v>
      </c>
      <c r="X4948" s="81" t="e">
        <f>HLOOKUP(Q4948,データについて!$J$11:$M$18,8,FALSE)</f>
        <v>#N/A</v>
      </c>
      <c r="Y4948" s="81" t="e">
        <f>HLOOKUP(R4948,データについて!$J$12:$M$18,7,FALSE)</f>
        <v>#N/A</v>
      </c>
      <c r="Z4948" s="81" t="e">
        <f>HLOOKUP(I4948,データについて!$J$3:$M$18,16,FALSE)</f>
        <v>#N/A</v>
      </c>
      <c r="AA4948" s="81" t="str">
        <f>IFERROR(HLOOKUP(J4948,データについて!$J$4:$AH$19,16,FALSE),"")</f>
        <v/>
      </c>
      <c r="AB4948" s="81" t="str">
        <f>IFERROR(HLOOKUP(K4948,データについて!$J$5:$AH$20,14,FALSE),"")</f>
        <v/>
      </c>
      <c r="AC4948" s="81" t="e">
        <f>IF(X4948=1,HLOOKUP(R4948,データについて!$J$12:$M$18,7,FALSE),"*")</f>
        <v>#N/A</v>
      </c>
      <c r="AD4948" s="81" t="e">
        <f>IF(X4948=2,HLOOKUP(R4948,データについて!$J$12:$M$18,7,FALSE),"*")</f>
        <v>#N/A</v>
      </c>
    </row>
    <row r="4949" spans="19:30">
      <c r="S4949" s="81" t="e">
        <f>HLOOKUP(L4949,データについて!$J$6:$M$18,13,FALSE)</f>
        <v>#N/A</v>
      </c>
      <c r="T4949" s="81" t="e">
        <f>HLOOKUP(M4949,データについて!$J$7:$M$18,12,FALSE)</f>
        <v>#N/A</v>
      </c>
      <c r="U4949" s="81" t="e">
        <f>HLOOKUP(N4949,データについて!$J$8:$M$18,11,FALSE)</f>
        <v>#N/A</v>
      </c>
      <c r="V4949" s="81" t="e">
        <f>HLOOKUP(O4949,データについて!$J$9:$M$18,10,FALSE)</f>
        <v>#N/A</v>
      </c>
      <c r="W4949" s="81" t="e">
        <f>HLOOKUP(P4949,データについて!$J$10:$M$18,9,FALSE)</f>
        <v>#N/A</v>
      </c>
      <c r="X4949" s="81" t="e">
        <f>HLOOKUP(Q4949,データについて!$J$11:$M$18,8,FALSE)</f>
        <v>#N/A</v>
      </c>
      <c r="Y4949" s="81" t="e">
        <f>HLOOKUP(R4949,データについて!$J$12:$M$18,7,FALSE)</f>
        <v>#N/A</v>
      </c>
      <c r="Z4949" s="81" t="e">
        <f>HLOOKUP(I4949,データについて!$J$3:$M$18,16,FALSE)</f>
        <v>#N/A</v>
      </c>
      <c r="AA4949" s="81" t="str">
        <f>IFERROR(HLOOKUP(J4949,データについて!$J$4:$AH$19,16,FALSE),"")</f>
        <v/>
      </c>
      <c r="AB4949" s="81" t="str">
        <f>IFERROR(HLOOKUP(K4949,データについて!$J$5:$AH$20,14,FALSE),"")</f>
        <v/>
      </c>
      <c r="AC4949" s="81" t="e">
        <f>IF(X4949=1,HLOOKUP(R4949,データについて!$J$12:$M$18,7,FALSE),"*")</f>
        <v>#N/A</v>
      </c>
      <c r="AD4949" s="81" t="e">
        <f>IF(X4949=2,HLOOKUP(R4949,データについて!$J$12:$M$18,7,FALSE),"*")</f>
        <v>#N/A</v>
      </c>
    </row>
    <row r="4950" spans="19:30">
      <c r="S4950" s="81" t="e">
        <f>HLOOKUP(L4950,データについて!$J$6:$M$18,13,FALSE)</f>
        <v>#N/A</v>
      </c>
      <c r="T4950" s="81" t="e">
        <f>HLOOKUP(M4950,データについて!$J$7:$M$18,12,FALSE)</f>
        <v>#N/A</v>
      </c>
      <c r="U4950" s="81" t="e">
        <f>HLOOKUP(N4950,データについて!$J$8:$M$18,11,FALSE)</f>
        <v>#N/A</v>
      </c>
      <c r="V4950" s="81" t="e">
        <f>HLOOKUP(O4950,データについて!$J$9:$M$18,10,FALSE)</f>
        <v>#N/A</v>
      </c>
      <c r="W4950" s="81" t="e">
        <f>HLOOKUP(P4950,データについて!$J$10:$M$18,9,FALSE)</f>
        <v>#N/A</v>
      </c>
      <c r="X4950" s="81" t="e">
        <f>HLOOKUP(Q4950,データについて!$J$11:$M$18,8,FALSE)</f>
        <v>#N/A</v>
      </c>
      <c r="Y4950" s="81" t="e">
        <f>HLOOKUP(R4950,データについて!$J$12:$M$18,7,FALSE)</f>
        <v>#N/A</v>
      </c>
      <c r="Z4950" s="81" t="e">
        <f>HLOOKUP(I4950,データについて!$J$3:$M$18,16,FALSE)</f>
        <v>#N/A</v>
      </c>
      <c r="AA4950" s="81" t="str">
        <f>IFERROR(HLOOKUP(J4950,データについて!$J$4:$AH$19,16,FALSE),"")</f>
        <v/>
      </c>
      <c r="AB4950" s="81" t="str">
        <f>IFERROR(HLOOKUP(K4950,データについて!$J$5:$AH$20,14,FALSE),"")</f>
        <v/>
      </c>
      <c r="AC4950" s="81" t="e">
        <f>IF(X4950=1,HLOOKUP(R4950,データについて!$J$12:$M$18,7,FALSE),"*")</f>
        <v>#N/A</v>
      </c>
      <c r="AD4950" s="81" t="e">
        <f>IF(X4950=2,HLOOKUP(R4950,データについて!$J$12:$M$18,7,FALSE),"*")</f>
        <v>#N/A</v>
      </c>
    </row>
    <row r="4951" spans="19:30">
      <c r="S4951" s="81" t="e">
        <f>HLOOKUP(L4951,データについて!$J$6:$M$18,13,FALSE)</f>
        <v>#N/A</v>
      </c>
      <c r="T4951" s="81" t="e">
        <f>HLOOKUP(M4951,データについて!$J$7:$M$18,12,FALSE)</f>
        <v>#N/A</v>
      </c>
      <c r="U4951" s="81" t="e">
        <f>HLOOKUP(N4951,データについて!$J$8:$M$18,11,FALSE)</f>
        <v>#N/A</v>
      </c>
      <c r="V4951" s="81" t="e">
        <f>HLOOKUP(O4951,データについて!$J$9:$M$18,10,FALSE)</f>
        <v>#N/A</v>
      </c>
      <c r="W4951" s="81" t="e">
        <f>HLOOKUP(P4951,データについて!$J$10:$M$18,9,FALSE)</f>
        <v>#N/A</v>
      </c>
      <c r="X4951" s="81" t="e">
        <f>HLOOKUP(Q4951,データについて!$J$11:$M$18,8,FALSE)</f>
        <v>#N/A</v>
      </c>
      <c r="Y4951" s="81" t="e">
        <f>HLOOKUP(R4951,データについて!$J$12:$M$18,7,FALSE)</f>
        <v>#N/A</v>
      </c>
      <c r="Z4951" s="81" t="e">
        <f>HLOOKUP(I4951,データについて!$J$3:$M$18,16,FALSE)</f>
        <v>#N/A</v>
      </c>
      <c r="AA4951" s="81" t="str">
        <f>IFERROR(HLOOKUP(J4951,データについて!$J$4:$AH$19,16,FALSE),"")</f>
        <v/>
      </c>
      <c r="AB4951" s="81" t="str">
        <f>IFERROR(HLOOKUP(K4951,データについて!$J$5:$AH$20,14,FALSE),"")</f>
        <v/>
      </c>
      <c r="AC4951" s="81" t="e">
        <f>IF(X4951=1,HLOOKUP(R4951,データについて!$J$12:$M$18,7,FALSE),"*")</f>
        <v>#N/A</v>
      </c>
      <c r="AD4951" s="81" t="e">
        <f>IF(X4951=2,HLOOKUP(R4951,データについて!$J$12:$M$18,7,FALSE),"*")</f>
        <v>#N/A</v>
      </c>
    </row>
    <row r="4952" spans="19:30">
      <c r="S4952" s="81" t="e">
        <f>HLOOKUP(L4952,データについて!$J$6:$M$18,13,FALSE)</f>
        <v>#N/A</v>
      </c>
      <c r="T4952" s="81" t="e">
        <f>HLOOKUP(M4952,データについて!$J$7:$M$18,12,FALSE)</f>
        <v>#N/A</v>
      </c>
      <c r="U4952" s="81" t="e">
        <f>HLOOKUP(N4952,データについて!$J$8:$M$18,11,FALSE)</f>
        <v>#N/A</v>
      </c>
      <c r="V4952" s="81" t="e">
        <f>HLOOKUP(O4952,データについて!$J$9:$M$18,10,FALSE)</f>
        <v>#N/A</v>
      </c>
      <c r="W4952" s="81" t="e">
        <f>HLOOKUP(P4952,データについて!$J$10:$M$18,9,FALSE)</f>
        <v>#N/A</v>
      </c>
      <c r="X4952" s="81" t="e">
        <f>HLOOKUP(Q4952,データについて!$J$11:$M$18,8,FALSE)</f>
        <v>#N/A</v>
      </c>
      <c r="Y4952" s="81" t="e">
        <f>HLOOKUP(R4952,データについて!$J$12:$M$18,7,FALSE)</f>
        <v>#N/A</v>
      </c>
      <c r="Z4952" s="81" t="e">
        <f>HLOOKUP(I4952,データについて!$J$3:$M$18,16,FALSE)</f>
        <v>#N/A</v>
      </c>
      <c r="AA4952" s="81" t="str">
        <f>IFERROR(HLOOKUP(J4952,データについて!$J$4:$AH$19,16,FALSE),"")</f>
        <v/>
      </c>
      <c r="AB4952" s="81" t="str">
        <f>IFERROR(HLOOKUP(K4952,データについて!$J$5:$AH$20,14,FALSE),"")</f>
        <v/>
      </c>
      <c r="AC4952" s="81" t="e">
        <f>IF(X4952=1,HLOOKUP(R4952,データについて!$J$12:$M$18,7,FALSE),"*")</f>
        <v>#N/A</v>
      </c>
      <c r="AD4952" s="81" t="e">
        <f>IF(X4952=2,HLOOKUP(R4952,データについて!$J$12:$M$18,7,FALSE),"*")</f>
        <v>#N/A</v>
      </c>
    </row>
    <row r="4953" spans="19:30">
      <c r="S4953" s="81" t="e">
        <f>HLOOKUP(L4953,データについて!$J$6:$M$18,13,FALSE)</f>
        <v>#N/A</v>
      </c>
      <c r="T4953" s="81" t="e">
        <f>HLOOKUP(M4953,データについて!$J$7:$M$18,12,FALSE)</f>
        <v>#N/A</v>
      </c>
      <c r="U4953" s="81" t="e">
        <f>HLOOKUP(N4953,データについて!$J$8:$M$18,11,FALSE)</f>
        <v>#N/A</v>
      </c>
      <c r="V4953" s="81" t="e">
        <f>HLOOKUP(O4953,データについて!$J$9:$M$18,10,FALSE)</f>
        <v>#N/A</v>
      </c>
      <c r="W4953" s="81" t="e">
        <f>HLOOKUP(P4953,データについて!$J$10:$M$18,9,FALSE)</f>
        <v>#N/A</v>
      </c>
      <c r="X4953" s="81" t="e">
        <f>HLOOKUP(Q4953,データについて!$J$11:$M$18,8,FALSE)</f>
        <v>#N/A</v>
      </c>
      <c r="Y4953" s="81" t="e">
        <f>HLOOKUP(R4953,データについて!$J$12:$M$18,7,FALSE)</f>
        <v>#N/A</v>
      </c>
      <c r="Z4953" s="81" t="e">
        <f>HLOOKUP(I4953,データについて!$J$3:$M$18,16,FALSE)</f>
        <v>#N/A</v>
      </c>
      <c r="AA4953" s="81" t="str">
        <f>IFERROR(HLOOKUP(J4953,データについて!$J$4:$AH$19,16,FALSE),"")</f>
        <v/>
      </c>
      <c r="AB4953" s="81" t="str">
        <f>IFERROR(HLOOKUP(K4953,データについて!$J$5:$AH$20,14,FALSE),"")</f>
        <v/>
      </c>
      <c r="AC4953" s="81" t="e">
        <f>IF(X4953=1,HLOOKUP(R4953,データについて!$J$12:$M$18,7,FALSE),"*")</f>
        <v>#N/A</v>
      </c>
      <c r="AD4953" s="81" t="e">
        <f>IF(X4953=2,HLOOKUP(R4953,データについて!$J$12:$M$18,7,FALSE),"*")</f>
        <v>#N/A</v>
      </c>
    </row>
    <row r="4954" spans="19:30">
      <c r="S4954" s="81" t="e">
        <f>HLOOKUP(L4954,データについて!$J$6:$M$18,13,FALSE)</f>
        <v>#N/A</v>
      </c>
      <c r="T4954" s="81" t="e">
        <f>HLOOKUP(M4954,データについて!$J$7:$M$18,12,FALSE)</f>
        <v>#N/A</v>
      </c>
      <c r="U4954" s="81" t="e">
        <f>HLOOKUP(N4954,データについて!$J$8:$M$18,11,FALSE)</f>
        <v>#N/A</v>
      </c>
      <c r="V4954" s="81" t="e">
        <f>HLOOKUP(O4954,データについて!$J$9:$M$18,10,FALSE)</f>
        <v>#N/A</v>
      </c>
      <c r="W4954" s="81" t="e">
        <f>HLOOKUP(P4954,データについて!$J$10:$M$18,9,FALSE)</f>
        <v>#N/A</v>
      </c>
      <c r="X4954" s="81" t="e">
        <f>HLOOKUP(Q4954,データについて!$J$11:$M$18,8,FALSE)</f>
        <v>#N/A</v>
      </c>
      <c r="Y4954" s="81" t="e">
        <f>HLOOKUP(R4954,データについて!$J$12:$M$18,7,FALSE)</f>
        <v>#N/A</v>
      </c>
      <c r="Z4954" s="81" t="e">
        <f>HLOOKUP(I4954,データについて!$J$3:$M$18,16,FALSE)</f>
        <v>#N/A</v>
      </c>
      <c r="AA4954" s="81" t="str">
        <f>IFERROR(HLOOKUP(J4954,データについて!$J$4:$AH$19,16,FALSE),"")</f>
        <v/>
      </c>
      <c r="AB4954" s="81" t="str">
        <f>IFERROR(HLOOKUP(K4954,データについて!$J$5:$AH$20,14,FALSE),"")</f>
        <v/>
      </c>
      <c r="AC4954" s="81" t="e">
        <f>IF(X4954=1,HLOOKUP(R4954,データについて!$J$12:$M$18,7,FALSE),"*")</f>
        <v>#N/A</v>
      </c>
      <c r="AD4954" s="81" t="e">
        <f>IF(X4954=2,HLOOKUP(R4954,データについて!$J$12:$M$18,7,FALSE),"*")</f>
        <v>#N/A</v>
      </c>
    </row>
    <row r="4955" spans="19:30">
      <c r="S4955" s="81" t="e">
        <f>HLOOKUP(L4955,データについて!$J$6:$M$18,13,FALSE)</f>
        <v>#N/A</v>
      </c>
      <c r="T4955" s="81" t="e">
        <f>HLOOKUP(M4955,データについて!$J$7:$M$18,12,FALSE)</f>
        <v>#N/A</v>
      </c>
      <c r="U4955" s="81" t="e">
        <f>HLOOKUP(N4955,データについて!$J$8:$M$18,11,FALSE)</f>
        <v>#N/A</v>
      </c>
      <c r="V4955" s="81" t="e">
        <f>HLOOKUP(O4955,データについて!$J$9:$M$18,10,FALSE)</f>
        <v>#N/A</v>
      </c>
      <c r="W4955" s="81" t="e">
        <f>HLOOKUP(P4955,データについて!$J$10:$M$18,9,FALSE)</f>
        <v>#N/A</v>
      </c>
      <c r="X4955" s="81" t="e">
        <f>HLOOKUP(Q4955,データについて!$J$11:$M$18,8,FALSE)</f>
        <v>#N/A</v>
      </c>
      <c r="Y4955" s="81" t="e">
        <f>HLOOKUP(R4955,データについて!$J$12:$M$18,7,FALSE)</f>
        <v>#N/A</v>
      </c>
      <c r="Z4955" s="81" t="e">
        <f>HLOOKUP(I4955,データについて!$J$3:$M$18,16,FALSE)</f>
        <v>#N/A</v>
      </c>
      <c r="AA4955" s="81" t="str">
        <f>IFERROR(HLOOKUP(J4955,データについて!$J$4:$AH$19,16,FALSE),"")</f>
        <v/>
      </c>
      <c r="AB4955" s="81" t="str">
        <f>IFERROR(HLOOKUP(K4955,データについて!$J$5:$AH$20,14,FALSE),"")</f>
        <v/>
      </c>
      <c r="AC4955" s="81" t="e">
        <f>IF(X4955=1,HLOOKUP(R4955,データについて!$J$12:$M$18,7,FALSE),"*")</f>
        <v>#N/A</v>
      </c>
      <c r="AD4955" s="81" t="e">
        <f>IF(X4955=2,HLOOKUP(R4955,データについて!$J$12:$M$18,7,FALSE),"*")</f>
        <v>#N/A</v>
      </c>
    </row>
    <row r="4956" spans="19:30">
      <c r="S4956" s="81" t="e">
        <f>HLOOKUP(L4956,データについて!$J$6:$M$18,13,FALSE)</f>
        <v>#N/A</v>
      </c>
      <c r="T4956" s="81" t="e">
        <f>HLOOKUP(M4956,データについて!$J$7:$M$18,12,FALSE)</f>
        <v>#N/A</v>
      </c>
      <c r="U4956" s="81" t="e">
        <f>HLOOKUP(N4956,データについて!$J$8:$M$18,11,FALSE)</f>
        <v>#N/A</v>
      </c>
      <c r="V4956" s="81" t="e">
        <f>HLOOKUP(O4956,データについて!$J$9:$M$18,10,FALSE)</f>
        <v>#N/A</v>
      </c>
      <c r="W4956" s="81" t="e">
        <f>HLOOKUP(P4956,データについて!$J$10:$M$18,9,FALSE)</f>
        <v>#N/A</v>
      </c>
      <c r="X4956" s="81" t="e">
        <f>HLOOKUP(Q4956,データについて!$J$11:$M$18,8,FALSE)</f>
        <v>#N/A</v>
      </c>
      <c r="Y4956" s="81" t="e">
        <f>HLOOKUP(R4956,データについて!$J$12:$M$18,7,FALSE)</f>
        <v>#N/A</v>
      </c>
      <c r="Z4956" s="81" t="e">
        <f>HLOOKUP(I4956,データについて!$J$3:$M$18,16,FALSE)</f>
        <v>#N/A</v>
      </c>
      <c r="AA4956" s="81" t="str">
        <f>IFERROR(HLOOKUP(J4956,データについて!$J$4:$AH$19,16,FALSE),"")</f>
        <v/>
      </c>
      <c r="AB4956" s="81" t="str">
        <f>IFERROR(HLOOKUP(K4956,データについて!$J$5:$AH$20,14,FALSE),"")</f>
        <v/>
      </c>
      <c r="AC4956" s="81" t="e">
        <f>IF(X4956=1,HLOOKUP(R4956,データについて!$J$12:$M$18,7,FALSE),"*")</f>
        <v>#N/A</v>
      </c>
      <c r="AD4956" s="81" t="e">
        <f>IF(X4956=2,HLOOKUP(R4956,データについて!$J$12:$M$18,7,FALSE),"*")</f>
        <v>#N/A</v>
      </c>
    </row>
    <row r="4957" spans="19:30">
      <c r="S4957" s="81" t="e">
        <f>HLOOKUP(L4957,データについて!$J$6:$M$18,13,FALSE)</f>
        <v>#N/A</v>
      </c>
      <c r="T4957" s="81" t="e">
        <f>HLOOKUP(M4957,データについて!$J$7:$M$18,12,FALSE)</f>
        <v>#N/A</v>
      </c>
      <c r="U4957" s="81" t="e">
        <f>HLOOKUP(N4957,データについて!$J$8:$M$18,11,FALSE)</f>
        <v>#N/A</v>
      </c>
      <c r="V4957" s="81" t="e">
        <f>HLOOKUP(O4957,データについて!$J$9:$M$18,10,FALSE)</f>
        <v>#N/A</v>
      </c>
      <c r="W4957" s="81" t="e">
        <f>HLOOKUP(P4957,データについて!$J$10:$M$18,9,FALSE)</f>
        <v>#N/A</v>
      </c>
      <c r="X4957" s="81" t="e">
        <f>HLOOKUP(Q4957,データについて!$J$11:$M$18,8,FALSE)</f>
        <v>#N/A</v>
      </c>
      <c r="Y4957" s="81" t="e">
        <f>HLOOKUP(R4957,データについて!$J$12:$M$18,7,FALSE)</f>
        <v>#N/A</v>
      </c>
      <c r="Z4957" s="81" t="e">
        <f>HLOOKUP(I4957,データについて!$J$3:$M$18,16,FALSE)</f>
        <v>#N/A</v>
      </c>
      <c r="AA4957" s="81" t="str">
        <f>IFERROR(HLOOKUP(J4957,データについて!$J$4:$AH$19,16,FALSE),"")</f>
        <v/>
      </c>
      <c r="AB4957" s="81" t="str">
        <f>IFERROR(HLOOKUP(K4957,データについて!$J$5:$AH$20,14,FALSE),"")</f>
        <v/>
      </c>
      <c r="AC4957" s="81" t="e">
        <f>IF(X4957=1,HLOOKUP(R4957,データについて!$J$12:$M$18,7,FALSE),"*")</f>
        <v>#N/A</v>
      </c>
      <c r="AD4957" s="81" t="e">
        <f>IF(X4957=2,HLOOKUP(R4957,データについて!$J$12:$M$18,7,FALSE),"*")</f>
        <v>#N/A</v>
      </c>
    </row>
    <row r="4958" spans="19:30">
      <c r="S4958" s="81" t="e">
        <f>HLOOKUP(L4958,データについて!$J$6:$M$18,13,FALSE)</f>
        <v>#N/A</v>
      </c>
      <c r="T4958" s="81" t="e">
        <f>HLOOKUP(M4958,データについて!$J$7:$M$18,12,FALSE)</f>
        <v>#N/A</v>
      </c>
      <c r="U4958" s="81" t="e">
        <f>HLOOKUP(N4958,データについて!$J$8:$M$18,11,FALSE)</f>
        <v>#N/A</v>
      </c>
      <c r="V4958" s="81" t="e">
        <f>HLOOKUP(O4958,データについて!$J$9:$M$18,10,FALSE)</f>
        <v>#N/A</v>
      </c>
      <c r="W4958" s="81" t="e">
        <f>HLOOKUP(P4958,データについて!$J$10:$M$18,9,FALSE)</f>
        <v>#N/A</v>
      </c>
      <c r="X4958" s="81" t="e">
        <f>HLOOKUP(Q4958,データについて!$J$11:$M$18,8,FALSE)</f>
        <v>#N/A</v>
      </c>
      <c r="Y4958" s="81" t="e">
        <f>HLOOKUP(R4958,データについて!$J$12:$M$18,7,FALSE)</f>
        <v>#N/A</v>
      </c>
      <c r="Z4958" s="81" t="e">
        <f>HLOOKUP(I4958,データについて!$J$3:$M$18,16,FALSE)</f>
        <v>#N/A</v>
      </c>
      <c r="AA4958" s="81" t="str">
        <f>IFERROR(HLOOKUP(J4958,データについて!$J$4:$AH$19,16,FALSE),"")</f>
        <v/>
      </c>
      <c r="AB4958" s="81" t="str">
        <f>IFERROR(HLOOKUP(K4958,データについて!$J$5:$AH$20,14,FALSE),"")</f>
        <v/>
      </c>
      <c r="AC4958" s="81" t="e">
        <f>IF(X4958=1,HLOOKUP(R4958,データについて!$J$12:$M$18,7,FALSE),"*")</f>
        <v>#N/A</v>
      </c>
      <c r="AD4958" s="81" t="e">
        <f>IF(X4958=2,HLOOKUP(R4958,データについて!$J$12:$M$18,7,FALSE),"*")</f>
        <v>#N/A</v>
      </c>
    </row>
    <row r="4959" spans="19:30">
      <c r="S4959" s="81" t="e">
        <f>HLOOKUP(L4959,データについて!$J$6:$M$18,13,FALSE)</f>
        <v>#N/A</v>
      </c>
      <c r="T4959" s="81" t="e">
        <f>HLOOKUP(M4959,データについて!$J$7:$M$18,12,FALSE)</f>
        <v>#N/A</v>
      </c>
      <c r="U4959" s="81" t="e">
        <f>HLOOKUP(N4959,データについて!$J$8:$M$18,11,FALSE)</f>
        <v>#N/A</v>
      </c>
      <c r="V4959" s="81" t="e">
        <f>HLOOKUP(O4959,データについて!$J$9:$M$18,10,FALSE)</f>
        <v>#N/A</v>
      </c>
      <c r="W4959" s="81" t="e">
        <f>HLOOKUP(P4959,データについて!$J$10:$M$18,9,FALSE)</f>
        <v>#N/A</v>
      </c>
      <c r="X4959" s="81" t="e">
        <f>HLOOKUP(Q4959,データについて!$J$11:$M$18,8,FALSE)</f>
        <v>#N/A</v>
      </c>
      <c r="Y4959" s="81" t="e">
        <f>HLOOKUP(R4959,データについて!$J$12:$M$18,7,FALSE)</f>
        <v>#N/A</v>
      </c>
      <c r="Z4959" s="81" t="e">
        <f>HLOOKUP(I4959,データについて!$J$3:$M$18,16,FALSE)</f>
        <v>#N/A</v>
      </c>
      <c r="AA4959" s="81" t="str">
        <f>IFERROR(HLOOKUP(J4959,データについて!$J$4:$AH$19,16,FALSE),"")</f>
        <v/>
      </c>
      <c r="AB4959" s="81" t="str">
        <f>IFERROR(HLOOKUP(K4959,データについて!$J$5:$AH$20,14,FALSE),"")</f>
        <v/>
      </c>
      <c r="AC4959" s="81" t="e">
        <f>IF(X4959=1,HLOOKUP(R4959,データについて!$J$12:$M$18,7,FALSE),"*")</f>
        <v>#N/A</v>
      </c>
      <c r="AD4959" s="81" t="e">
        <f>IF(X4959=2,HLOOKUP(R4959,データについて!$J$12:$M$18,7,FALSE),"*")</f>
        <v>#N/A</v>
      </c>
    </row>
    <row r="4960" spans="19:30">
      <c r="S4960" s="81" t="e">
        <f>HLOOKUP(L4960,データについて!$J$6:$M$18,13,FALSE)</f>
        <v>#N/A</v>
      </c>
      <c r="T4960" s="81" t="e">
        <f>HLOOKUP(M4960,データについて!$J$7:$M$18,12,FALSE)</f>
        <v>#N/A</v>
      </c>
      <c r="U4960" s="81" t="e">
        <f>HLOOKUP(N4960,データについて!$J$8:$M$18,11,FALSE)</f>
        <v>#N/A</v>
      </c>
      <c r="V4960" s="81" t="e">
        <f>HLOOKUP(O4960,データについて!$J$9:$M$18,10,FALSE)</f>
        <v>#N/A</v>
      </c>
      <c r="W4960" s="81" t="e">
        <f>HLOOKUP(P4960,データについて!$J$10:$M$18,9,FALSE)</f>
        <v>#N/A</v>
      </c>
      <c r="X4960" s="81" t="e">
        <f>HLOOKUP(Q4960,データについて!$J$11:$M$18,8,FALSE)</f>
        <v>#N/A</v>
      </c>
      <c r="Y4960" s="81" t="e">
        <f>HLOOKUP(R4960,データについて!$J$12:$M$18,7,FALSE)</f>
        <v>#N/A</v>
      </c>
      <c r="Z4960" s="81" t="e">
        <f>HLOOKUP(I4960,データについて!$J$3:$M$18,16,FALSE)</f>
        <v>#N/A</v>
      </c>
      <c r="AA4960" s="81" t="str">
        <f>IFERROR(HLOOKUP(J4960,データについて!$J$4:$AH$19,16,FALSE),"")</f>
        <v/>
      </c>
      <c r="AB4960" s="81" t="str">
        <f>IFERROR(HLOOKUP(K4960,データについて!$J$5:$AH$20,14,FALSE),"")</f>
        <v/>
      </c>
      <c r="AC4960" s="81" t="e">
        <f>IF(X4960=1,HLOOKUP(R4960,データについて!$J$12:$M$18,7,FALSE),"*")</f>
        <v>#N/A</v>
      </c>
      <c r="AD4960" s="81" t="e">
        <f>IF(X4960=2,HLOOKUP(R4960,データについて!$J$12:$M$18,7,FALSE),"*")</f>
        <v>#N/A</v>
      </c>
    </row>
    <row r="4961" spans="19:30">
      <c r="S4961" s="81" t="e">
        <f>HLOOKUP(L4961,データについて!$J$6:$M$18,13,FALSE)</f>
        <v>#N/A</v>
      </c>
      <c r="T4961" s="81" t="e">
        <f>HLOOKUP(M4961,データについて!$J$7:$M$18,12,FALSE)</f>
        <v>#N/A</v>
      </c>
      <c r="U4961" s="81" t="e">
        <f>HLOOKUP(N4961,データについて!$J$8:$M$18,11,FALSE)</f>
        <v>#N/A</v>
      </c>
      <c r="V4961" s="81" t="e">
        <f>HLOOKUP(O4961,データについて!$J$9:$M$18,10,FALSE)</f>
        <v>#N/A</v>
      </c>
      <c r="W4961" s="81" t="e">
        <f>HLOOKUP(P4961,データについて!$J$10:$M$18,9,FALSE)</f>
        <v>#N/A</v>
      </c>
      <c r="X4961" s="81" t="e">
        <f>HLOOKUP(Q4961,データについて!$J$11:$M$18,8,FALSE)</f>
        <v>#N/A</v>
      </c>
      <c r="Y4961" s="81" t="e">
        <f>HLOOKUP(R4961,データについて!$J$12:$M$18,7,FALSE)</f>
        <v>#N/A</v>
      </c>
      <c r="Z4961" s="81" t="e">
        <f>HLOOKUP(I4961,データについて!$J$3:$M$18,16,FALSE)</f>
        <v>#N/A</v>
      </c>
      <c r="AA4961" s="81" t="str">
        <f>IFERROR(HLOOKUP(J4961,データについて!$J$4:$AH$19,16,FALSE),"")</f>
        <v/>
      </c>
      <c r="AB4961" s="81" t="str">
        <f>IFERROR(HLOOKUP(K4961,データについて!$J$5:$AH$20,14,FALSE),"")</f>
        <v/>
      </c>
      <c r="AC4961" s="81" t="e">
        <f>IF(X4961=1,HLOOKUP(R4961,データについて!$J$12:$M$18,7,FALSE),"*")</f>
        <v>#N/A</v>
      </c>
      <c r="AD4961" s="81" t="e">
        <f>IF(X4961=2,HLOOKUP(R4961,データについて!$J$12:$M$18,7,FALSE),"*")</f>
        <v>#N/A</v>
      </c>
    </row>
    <row r="4962" spans="19:30">
      <c r="S4962" s="81" t="e">
        <f>HLOOKUP(L4962,データについて!$J$6:$M$18,13,FALSE)</f>
        <v>#N/A</v>
      </c>
      <c r="T4962" s="81" t="e">
        <f>HLOOKUP(M4962,データについて!$J$7:$M$18,12,FALSE)</f>
        <v>#N/A</v>
      </c>
      <c r="U4962" s="81" t="e">
        <f>HLOOKUP(N4962,データについて!$J$8:$M$18,11,FALSE)</f>
        <v>#N/A</v>
      </c>
      <c r="V4962" s="81" t="e">
        <f>HLOOKUP(O4962,データについて!$J$9:$M$18,10,FALSE)</f>
        <v>#N/A</v>
      </c>
      <c r="W4962" s="81" t="e">
        <f>HLOOKUP(P4962,データについて!$J$10:$M$18,9,FALSE)</f>
        <v>#N/A</v>
      </c>
      <c r="X4962" s="81" t="e">
        <f>HLOOKUP(Q4962,データについて!$J$11:$M$18,8,FALSE)</f>
        <v>#N/A</v>
      </c>
      <c r="Y4962" s="81" t="e">
        <f>HLOOKUP(R4962,データについて!$J$12:$M$18,7,FALSE)</f>
        <v>#N/A</v>
      </c>
      <c r="Z4962" s="81" t="e">
        <f>HLOOKUP(I4962,データについて!$J$3:$M$18,16,FALSE)</f>
        <v>#N/A</v>
      </c>
      <c r="AA4962" s="81" t="str">
        <f>IFERROR(HLOOKUP(J4962,データについて!$J$4:$AH$19,16,FALSE),"")</f>
        <v/>
      </c>
      <c r="AB4962" s="81" t="str">
        <f>IFERROR(HLOOKUP(K4962,データについて!$J$5:$AH$20,14,FALSE),"")</f>
        <v/>
      </c>
      <c r="AC4962" s="81" t="e">
        <f>IF(X4962=1,HLOOKUP(R4962,データについて!$J$12:$M$18,7,FALSE),"*")</f>
        <v>#N/A</v>
      </c>
      <c r="AD4962" s="81" t="e">
        <f>IF(X4962=2,HLOOKUP(R4962,データについて!$J$12:$M$18,7,FALSE),"*")</f>
        <v>#N/A</v>
      </c>
    </row>
    <row r="4963" spans="19:30">
      <c r="S4963" s="81" t="e">
        <f>HLOOKUP(L4963,データについて!$J$6:$M$18,13,FALSE)</f>
        <v>#N/A</v>
      </c>
      <c r="T4963" s="81" t="e">
        <f>HLOOKUP(M4963,データについて!$J$7:$M$18,12,FALSE)</f>
        <v>#N/A</v>
      </c>
      <c r="U4963" s="81" t="e">
        <f>HLOOKUP(N4963,データについて!$J$8:$M$18,11,FALSE)</f>
        <v>#N/A</v>
      </c>
      <c r="V4963" s="81" t="e">
        <f>HLOOKUP(O4963,データについて!$J$9:$M$18,10,FALSE)</f>
        <v>#N/A</v>
      </c>
      <c r="W4963" s="81" t="e">
        <f>HLOOKUP(P4963,データについて!$J$10:$M$18,9,FALSE)</f>
        <v>#N/A</v>
      </c>
      <c r="X4963" s="81" t="e">
        <f>HLOOKUP(Q4963,データについて!$J$11:$M$18,8,FALSE)</f>
        <v>#N/A</v>
      </c>
      <c r="Y4963" s="81" t="e">
        <f>HLOOKUP(R4963,データについて!$J$12:$M$18,7,FALSE)</f>
        <v>#N/A</v>
      </c>
      <c r="Z4963" s="81" t="e">
        <f>HLOOKUP(I4963,データについて!$J$3:$M$18,16,FALSE)</f>
        <v>#N/A</v>
      </c>
      <c r="AA4963" s="81" t="str">
        <f>IFERROR(HLOOKUP(J4963,データについて!$J$4:$AH$19,16,FALSE),"")</f>
        <v/>
      </c>
      <c r="AB4963" s="81" t="str">
        <f>IFERROR(HLOOKUP(K4963,データについて!$J$5:$AH$20,14,FALSE),"")</f>
        <v/>
      </c>
      <c r="AC4963" s="81" t="e">
        <f>IF(X4963=1,HLOOKUP(R4963,データについて!$J$12:$M$18,7,FALSE),"*")</f>
        <v>#N/A</v>
      </c>
      <c r="AD4963" s="81" t="e">
        <f>IF(X4963=2,HLOOKUP(R4963,データについて!$J$12:$M$18,7,FALSE),"*")</f>
        <v>#N/A</v>
      </c>
    </row>
    <row r="4964" spans="19:30">
      <c r="S4964" s="81" t="e">
        <f>HLOOKUP(L4964,データについて!$J$6:$M$18,13,FALSE)</f>
        <v>#N/A</v>
      </c>
      <c r="T4964" s="81" t="e">
        <f>HLOOKUP(M4964,データについて!$J$7:$M$18,12,FALSE)</f>
        <v>#N/A</v>
      </c>
      <c r="U4964" s="81" t="e">
        <f>HLOOKUP(N4964,データについて!$J$8:$M$18,11,FALSE)</f>
        <v>#N/A</v>
      </c>
      <c r="V4964" s="81" t="e">
        <f>HLOOKUP(O4964,データについて!$J$9:$M$18,10,FALSE)</f>
        <v>#N/A</v>
      </c>
      <c r="W4964" s="81" t="e">
        <f>HLOOKUP(P4964,データについて!$J$10:$M$18,9,FALSE)</f>
        <v>#N/A</v>
      </c>
      <c r="X4964" s="81" t="e">
        <f>HLOOKUP(Q4964,データについて!$J$11:$M$18,8,FALSE)</f>
        <v>#N/A</v>
      </c>
      <c r="Y4964" s="81" t="e">
        <f>HLOOKUP(R4964,データについて!$J$12:$M$18,7,FALSE)</f>
        <v>#N/A</v>
      </c>
      <c r="Z4964" s="81" t="e">
        <f>HLOOKUP(I4964,データについて!$J$3:$M$18,16,FALSE)</f>
        <v>#N/A</v>
      </c>
      <c r="AA4964" s="81" t="str">
        <f>IFERROR(HLOOKUP(J4964,データについて!$J$4:$AH$19,16,FALSE),"")</f>
        <v/>
      </c>
      <c r="AB4964" s="81" t="str">
        <f>IFERROR(HLOOKUP(K4964,データについて!$J$5:$AH$20,14,FALSE),"")</f>
        <v/>
      </c>
      <c r="AC4964" s="81" t="e">
        <f>IF(X4964=1,HLOOKUP(R4964,データについて!$J$12:$M$18,7,FALSE),"*")</f>
        <v>#N/A</v>
      </c>
      <c r="AD4964" s="81" t="e">
        <f>IF(X4964=2,HLOOKUP(R4964,データについて!$J$12:$M$18,7,FALSE),"*")</f>
        <v>#N/A</v>
      </c>
    </row>
    <row r="4965" spans="19:30">
      <c r="S4965" s="81" t="e">
        <f>HLOOKUP(L4965,データについて!$J$6:$M$18,13,FALSE)</f>
        <v>#N/A</v>
      </c>
      <c r="T4965" s="81" t="e">
        <f>HLOOKUP(M4965,データについて!$J$7:$M$18,12,FALSE)</f>
        <v>#N/A</v>
      </c>
      <c r="U4965" s="81" t="e">
        <f>HLOOKUP(N4965,データについて!$J$8:$M$18,11,FALSE)</f>
        <v>#N/A</v>
      </c>
      <c r="V4965" s="81" t="e">
        <f>HLOOKUP(O4965,データについて!$J$9:$M$18,10,FALSE)</f>
        <v>#N/A</v>
      </c>
      <c r="W4965" s="81" t="e">
        <f>HLOOKUP(P4965,データについて!$J$10:$M$18,9,FALSE)</f>
        <v>#N/A</v>
      </c>
      <c r="X4965" s="81" t="e">
        <f>HLOOKUP(Q4965,データについて!$J$11:$M$18,8,FALSE)</f>
        <v>#N/A</v>
      </c>
      <c r="Y4965" s="81" t="e">
        <f>HLOOKUP(R4965,データについて!$J$12:$M$18,7,FALSE)</f>
        <v>#N/A</v>
      </c>
      <c r="Z4965" s="81" t="e">
        <f>HLOOKUP(I4965,データについて!$J$3:$M$18,16,FALSE)</f>
        <v>#N/A</v>
      </c>
      <c r="AA4965" s="81" t="str">
        <f>IFERROR(HLOOKUP(J4965,データについて!$J$4:$AH$19,16,FALSE),"")</f>
        <v/>
      </c>
      <c r="AB4965" s="81" t="str">
        <f>IFERROR(HLOOKUP(K4965,データについて!$J$5:$AH$20,14,FALSE),"")</f>
        <v/>
      </c>
      <c r="AC4965" s="81" t="e">
        <f>IF(X4965=1,HLOOKUP(R4965,データについて!$J$12:$M$18,7,FALSE),"*")</f>
        <v>#N/A</v>
      </c>
      <c r="AD4965" s="81" t="e">
        <f>IF(X4965=2,HLOOKUP(R4965,データについて!$J$12:$M$18,7,FALSE),"*")</f>
        <v>#N/A</v>
      </c>
    </row>
    <row r="4966" spans="19:30">
      <c r="S4966" s="81" t="e">
        <f>HLOOKUP(L4966,データについて!$J$6:$M$18,13,FALSE)</f>
        <v>#N/A</v>
      </c>
      <c r="T4966" s="81" t="e">
        <f>HLOOKUP(M4966,データについて!$J$7:$M$18,12,FALSE)</f>
        <v>#N/A</v>
      </c>
      <c r="U4966" s="81" t="e">
        <f>HLOOKUP(N4966,データについて!$J$8:$M$18,11,FALSE)</f>
        <v>#N/A</v>
      </c>
      <c r="V4966" s="81" t="e">
        <f>HLOOKUP(O4966,データについて!$J$9:$M$18,10,FALSE)</f>
        <v>#N/A</v>
      </c>
      <c r="W4966" s="81" t="e">
        <f>HLOOKUP(P4966,データについて!$J$10:$M$18,9,FALSE)</f>
        <v>#N/A</v>
      </c>
      <c r="X4966" s="81" t="e">
        <f>HLOOKUP(Q4966,データについて!$J$11:$M$18,8,FALSE)</f>
        <v>#N/A</v>
      </c>
      <c r="Y4966" s="81" t="e">
        <f>HLOOKUP(R4966,データについて!$J$12:$M$18,7,FALSE)</f>
        <v>#N/A</v>
      </c>
      <c r="Z4966" s="81" t="e">
        <f>HLOOKUP(I4966,データについて!$J$3:$M$18,16,FALSE)</f>
        <v>#N/A</v>
      </c>
      <c r="AA4966" s="81" t="str">
        <f>IFERROR(HLOOKUP(J4966,データについて!$J$4:$AH$19,16,FALSE),"")</f>
        <v/>
      </c>
      <c r="AB4966" s="81" t="str">
        <f>IFERROR(HLOOKUP(K4966,データについて!$J$5:$AH$20,14,FALSE),"")</f>
        <v/>
      </c>
      <c r="AC4966" s="81" t="e">
        <f>IF(X4966=1,HLOOKUP(R4966,データについて!$J$12:$M$18,7,FALSE),"*")</f>
        <v>#N/A</v>
      </c>
      <c r="AD4966" s="81" t="e">
        <f>IF(X4966=2,HLOOKUP(R4966,データについて!$J$12:$M$18,7,FALSE),"*")</f>
        <v>#N/A</v>
      </c>
    </row>
    <row r="4967" spans="19:30">
      <c r="S4967" s="81" t="e">
        <f>HLOOKUP(L4967,データについて!$J$6:$M$18,13,FALSE)</f>
        <v>#N/A</v>
      </c>
      <c r="T4967" s="81" t="e">
        <f>HLOOKUP(M4967,データについて!$J$7:$M$18,12,FALSE)</f>
        <v>#N/A</v>
      </c>
      <c r="U4967" s="81" t="e">
        <f>HLOOKUP(N4967,データについて!$J$8:$M$18,11,FALSE)</f>
        <v>#N/A</v>
      </c>
      <c r="V4967" s="81" t="e">
        <f>HLOOKUP(O4967,データについて!$J$9:$M$18,10,FALSE)</f>
        <v>#N/A</v>
      </c>
      <c r="W4967" s="81" t="e">
        <f>HLOOKUP(P4967,データについて!$J$10:$M$18,9,FALSE)</f>
        <v>#N/A</v>
      </c>
      <c r="X4967" s="81" t="e">
        <f>HLOOKUP(Q4967,データについて!$J$11:$M$18,8,FALSE)</f>
        <v>#N/A</v>
      </c>
      <c r="Y4967" s="81" t="e">
        <f>HLOOKUP(R4967,データについて!$J$12:$M$18,7,FALSE)</f>
        <v>#N/A</v>
      </c>
      <c r="Z4967" s="81" t="e">
        <f>HLOOKUP(I4967,データについて!$J$3:$M$18,16,FALSE)</f>
        <v>#N/A</v>
      </c>
      <c r="AA4967" s="81" t="str">
        <f>IFERROR(HLOOKUP(J4967,データについて!$J$4:$AH$19,16,FALSE),"")</f>
        <v/>
      </c>
      <c r="AB4967" s="81" t="str">
        <f>IFERROR(HLOOKUP(K4967,データについて!$J$5:$AH$20,14,FALSE),"")</f>
        <v/>
      </c>
      <c r="AC4967" s="81" t="e">
        <f>IF(X4967=1,HLOOKUP(R4967,データについて!$J$12:$M$18,7,FALSE),"*")</f>
        <v>#N/A</v>
      </c>
      <c r="AD4967" s="81" t="e">
        <f>IF(X4967=2,HLOOKUP(R4967,データについて!$J$12:$M$18,7,FALSE),"*")</f>
        <v>#N/A</v>
      </c>
    </row>
    <row r="4968" spans="19:30">
      <c r="S4968" s="81" t="e">
        <f>HLOOKUP(L4968,データについて!$J$6:$M$18,13,FALSE)</f>
        <v>#N/A</v>
      </c>
      <c r="T4968" s="81" t="e">
        <f>HLOOKUP(M4968,データについて!$J$7:$M$18,12,FALSE)</f>
        <v>#N/A</v>
      </c>
      <c r="U4968" s="81" t="e">
        <f>HLOOKUP(N4968,データについて!$J$8:$M$18,11,FALSE)</f>
        <v>#N/A</v>
      </c>
      <c r="V4968" s="81" t="e">
        <f>HLOOKUP(O4968,データについて!$J$9:$M$18,10,FALSE)</f>
        <v>#N/A</v>
      </c>
      <c r="W4968" s="81" t="e">
        <f>HLOOKUP(P4968,データについて!$J$10:$M$18,9,FALSE)</f>
        <v>#N/A</v>
      </c>
      <c r="X4968" s="81" t="e">
        <f>HLOOKUP(Q4968,データについて!$J$11:$M$18,8,FALSE)</f>
        <v>#N/A</v>
      </c>
      <c r="Y4968" s="81" t="e">
        <f>HLOOKUP(R4968,データについて!$J$12:$M$18,7,FALSE)</f>
        <v>#N/A</v>
      </c>
      <c r="Z4968" s="81" t="e">
        <f>HLOOKUP(I4968,データについて!$J$3:$M$18,16,FALSE)</f>
        <v>#N/A</v>
      </c>
      <c r="AA4968" s="81" t="str">
        <f>IFERROR(HLOOKUP(J4968,データについて!$J$4:$AH$19,16,FALSE),"")</f>
        <v/>
      </c>
      <c r="AB4968" s="81" t="str">
        <f>IFERROR(HLOOKUP(K4968,データについて!$J$5:$AH$20,14,FALSE),"")</f>
        <v/>
      </c>
      <c r="AC4968" s="81" t="e">
        <f>IF(X4968=1,HLOOKUP(R4968,データについて!$J$12:$M$18,7,FALSE),"*")</f>
        <v>#N/A</v>
      </c>
      <c r="AD4968" s="81" t="e">
        <f>IF(X4968=2,HLOOKUP(R4968,データについて!$J$12:$M$18,7,FALSE),"*")</f>
        <v>#N/A</v>
      </c>
    </row>
    <row r="4969" spans="19:30">
      <c r="S4969" s="81" t="e">
        <f>HLOOKUP(L4969,データについて!$J$6:$M$18,13,FALSE)</f>
        <v>#N/A</v>
      </c>
      <c r="T4969" s="81" t="e">
        <f>HLOOKUP(M4969,データについて!$J$7:$M$18,12,FALSE)</f>
        <v>#N/A</v>
      </c>
      <c r="U4969" s="81" t="e">
        <f>HLOOKUP(N4969,データについて!$J$8:$M$18,11,FALSE)</f>
        <v>#N/A</v>
      </c>
      <c r="V4969" s="81" t="e">
        <f>HLOOKUP(O4969,データについて!$J$9:$M$18,10,FALSE)</f>
        <v>#N/A</v>
      </c>
      <c r="W4969" s="81" t="e">
        <f>HLOOKUP(P4969,データについて!$J$10:$M$18,9,FALSE)</f>
        <v>#N/A</v>
      </c>
      <c r="X4969" s="81" t="e">
        <f>HLOOKUP(Q4969,データについて!$J$11:$M$18,8,FALSE)</f>
        <v>#N/A</v>
      </c>
      <c r="Y4969" s="81" t="e">
        <f>HLOOKUP(R4969,データについて!$J$12:$M$18,7,FALSE)</f>
        <v>#N/A</v>
      </c>
      <c r="Z4969" s="81" t="e">
        <f>HLOOKUP(I4969,データについて!$J$3:$M$18,16,FALSE)</f>
        <v>#N/A</v>
      </c>
      <c r="AA4969" s="81" t="str">
        <f>IFERROR(HLOOKUP(J4969,データについて!$J$4:$AH$19,16,FALSE),"")</f>
        <v/>
      </c>
      <c r="AB4969" s="81" t="str">
        <f>IFERROR(HLOOKUP(K4969,データについて!$J$5:$AH$20,14,FALSE),"")</f>
        <v/>
      </c>
      <c r="AC4969" s="81" t="e">
        <f>IF(X4969=1,HLOOKUP(R4969,データについて!$J$12:$M$18,7,FALSE),"*")</f>
        <v>#N/A</v>
      </c>
      <c r="AD4969" s="81" t="e">
        <f>IF(X4969=2,HLOOKUP(R4969,データについて!$J$12:$M$18,7,FALSE),"*")</f>
        <v>#N/A</v>
      </c>
    </row>
    <row r="4970" spans="19:30">
      <c r="S4970" s="81" t="e">
        <f>HLOOKUP(L4970,データについて!$J$6:$M$18,13,FALSE)</f>
        <v>#N/A</v>
      </c>
      <c r="T4970" s="81" t="e">
        <f>HLOOKUP(M4970,データについて!$J$7:$M$18,12,FALSE)</f>
        <v>#N/A</v>
      </c>
      <c r="U4970" s="81" t="e">
        <f>HLOOKUP(N4970,データについて!$J$8:$M$18,11,FALSE)</f>
        <v>#N/A</v>
      </c>
      <c r="V4970" s="81" t="e">
        <f>HLOOKUP(O4970,データについて!$J$9:$M$18,10,FALSE)</f>
        <v>#N/A</v>
      </c>
      <c r="W4970" s="81" t="e">
        <f>HLOOKUP(P4970,データについて!$J$10:$M$18,9,FALSE)</f>
        <v>#N/A</v>
      </c>
      <c r="X4970" s="81" t="e">
        <f>HLOOKUP(Q4970,データについて!$J$11:$M$18,8,FALSE)</f>
        <v>#N/A</v>
      </c>
      <c r="Y4970" s="81" t="e">
        <f>HLOOKUP(R4970,データについて!$J$12:$M$18,7,FALSE)</f>
        <v>#N/A</v>
      </c>
      <c r="Z4970" s="81" t="e">
        <f>HLOOKUP(I4970,データについて!$J$3:$M$18,16,FALSE)</f>
        <v>#N/A</v>
      </c>
      <c r="AA4970" s="81" t="str">
        <f>IFERROR(HLOOKUP(J4970,データについて!$J$4:$AH$19,16,FALSE),"")</f>
        <v/>
      </c>
      <c r="AB4970" s="81" t="str">
        <f>IFERROR(HLOOKUP(K4970,データについて!$J$5:$AH$20,14,FALSE),"")</f>
        <v/>
      </c>
      <c r="AC4970" s="81" t="e">
        <f>IF(X4970=1,HLOOKUP(R4970,データについて!$J$12:$M$18,7,FALSE),"*")</f>
        <v>#N/A</v>
      </c>
      <c r="AD4970" s="81" t="e">
        <f>IF(X4970=2,HLOOKUP(R4970,データについて!$J$12:$M$18,7,FALSE),"*")</f>
        <v>#N/A</v>
      </c>
    </row>
    <row r="4971" spans="19:30">
      <c r="S4971" s="81" t="e">
        <f>HLOOKUP(L4971,データについて!$J$6:$M$18,13,FALSE)</f>
        <v>#N/A</v>
      </c>
      <c r="T4971" s="81" t="e">
        <f>HLOOKUP(M4971,データについて!$J$7:$M$18,12,FALSE)</f>
        <v>#N/A</v>
      </c>
      <c r="U4971" s="81" t="e">
        <f>HLOOKUP(N4971,データについて!$J$8:$M$18,11,FALSE)</f>
        <v>#N/A</v>
      </c>
      <c r="V4971" s="81" t="e">
        <f>HLOOKUP(O4971,データについて!$J$9:$M$18,10,FALSE)</f>
        <v>#N/A</v>
      </c>
      <c r="W4971" s="81" t="e">
        <f>HLOOKUP(P4971,データについて!$J$10:$M$18,9,FALSE)</f>
        <v>#N/A</v>
      </c>
      <c r="X4971" s="81" t="e">
        <f>HLOOKUP(Q4971,データについて!$J$11:$M$18,8,FALSE)</f>
        <v>#N/A</v>
      </c>
      <c r="Y4971" s="81" t="e">
        <f>HLOOKUP(R4971,データについて!$J$12:$M$18,7,FALSE)</f>
        <v>#N/A</v>
      </c>
      <c r="Z4971" s="81" t="e">
        <f>HLOOKUP(I4971,データについて!$J$3:$M$18,16,FALSE)</f>
        <v>#N/A</v>
      </c>
      <c r="AA4971" s="81" t="str">
        <f>IFERROR(HLOOKUP(J4971,データについて!$J$4:$AH$19,16,FALSE),"")</f>
        <v/>
      </c>
      <c r="AB4971" s="81" t="str">
        <f>IFERROR(HLOOKUP(K4971,データについて!$J$5:$AH$20,14,FALSE),"")</f>
        <v/>
      </c>
      <c r="AC4971" s="81" t="e">
        <f>IF(X4971=1,HLOOKUP(R4971,データについて!$J$12:$M$18,7,FALSE),"*")</f>
        <v>#N/A</v>
      </c>
      <c r="AD4971" s="81" t="e">
        <f>IF(X4971=2,HLOOKUP(R4971,データについて!$J$12:$M$18,7,FALSE),"*")</f>
        <v>#N/A</v>
      </c>
    </row>
    <row r="4972" spans="19:30">
      <c r="S4972" s="81" t="e">
        <f>HLOOKUP(L4972,データについて!$J$6:$M$18,13,FALSE)</f>
        <v>#N/A</v>
      </c>
      <c r="T4972" s="81" t="e">
        <f>HLOOKUP(M4972,データについて!$J$7:$M$18,12,FALSE)</f>
        <v>#N/A</v>
      </c>
      <c r="U4972" s="81" t="e">
        <f>HLOOKUP(N4972,データについて!$J$8:$M$18,11,FALSE)</f>
        <v>#N/A</v>
      </c>
      <c r="V4972" s="81" t="e">
        <f>HLOOKUP(O4972,データについて!$J$9:$M$18,10,FALSE)</f>
        <v>#N/A</v>
      </c>
      <c r="W4972" s="81" t="e">
        <f>HLOOKUP(P4972,データについて!$J$10:$M$18,9,FALSE)</f>
        <v>#N/A</v>
      </c>
      <c r="X4972" s="81" t="e">
        <f>HLOOKUP(Q4972,データについて!$J$11:$M$18,8,FALSE)</f>
        <v>#N/A</v>
      </c>
      <c r="Y4972" s="81" t="e">
        <f>HLOOKUP(R4972,データについて!$J$12:$M$18,7,FALSE)</f>
        <v>#N/A</v>
      </c>
      <c r="Z4972" s="81" t="e">
        <f>HLOOKUP(I4972,データについて!$J$3:$M$18,16,FALSE)</f>
        <v>#N/A</v>
      </c>
      <c r="AA4972" s="81" t="str">
        <f>IFERROR(HLOOKUP(J4972,データについて!$J$4:$AH$19,16,FALSE),"")</f>
        <v/>
      </c>
      <c r="AB4972" s="81" t="str">
        <f>IFERROR(HLOOKUP(K4972,データについて!$J$5:$AH$20,14,FALSE),"")</f>
        <v/>
      </c>
      <c r="AC4972" s="81" t="e">
        <f>IF(X4972=1,HLOOKUP(R4972,データについて!$J$12:$M$18,7,FALSE),"*")</f>
        <v>#N/A</v>
      </c>
      <c r="AD4972" s="81" t="e">
        <f>IF(X4972=2,HLOOKUP(R4972,データについて!$J$12:$M$18,7,FALSE),"*")</f>
        <v>#N/A</v>
      </c>
    </row>
    <row r="4973" spans="19:30">
      <c r="S4973" s="81" t="e">
        <f>HLOOKUP(L4973,データについて!$J$6:$M$18,13,FALSE)</f>
        <v>#N/A</v>
      </c>
      <c r="T4973" s="81" t="e">
        <f>HLOOKUP(M4973,データについて!$J$7:$M$18,12,FALSE)</f>
        <v>#N/A</v>
      </c>
      <c r="U4973" s="81" t="e">
        <f>HLOOKUP(N4973,データについて!$J$8:$M$18,11,FALSE)</f>
        <v>#N/A</v>
      </c>
      <c r="V4973" s="81" t="e">
        <f>HLOOKUP(O4973,データについて!$J$9:$M$18,10,FALSE)</f>
        <v>#N/A</v>
      </c>
      <c r="W4973" s="81" t="e">
        <f>HLOOKUP(P4973,データについて!$J$10:$M$18,9,FALSE)</f>
        <v>#N/A</v>
      </c>
      <c r="X4973" s="81" t="e">
        <f>HLOOKUP(Q4973,データについて!$J$11:$M$18,8,FALSE)</f>
        <v>#N/A</v>
      </c>
      <c r="Y4973" s="81" t="e">
        <f>HLOOKUP(R4973,データについて!$J$12:$M$18,7,FALSE)</f>
        <v>#N/A</v>
      </c>
      <c r="Z4973" s="81" t="e">
        <f>HLOOKUP(I4973,データについて!$J$3:$M$18,16,FALSE)</f>
        <v>#N/A</v>
      </c>
      <c r="AA4973" s="81" t="str">
        <f>IFERROR(HLOOKUP(J4973,データについて!$J$4:$AH$19,16,FALSE),"")</f>
        <v/>
      </c>
      <c r="AB4973" s="81" t="str">
        <f>IFERROR(HLOOKUP(K4973,データについて!$J$5:$AH$20,14,FALSE),"")</f>
        <v/>
      </c>
      <c r="AC4973" s="81" t="e">
        <f>IF(X4973=1,HLOOKUP(R4973,データについて!$J$12:$M$18,7,FALSE),"*")</f>
        <v>#N/A</v>
      </c>
      <c r="AD4973" s="81" t="e">
        <f>IF(X4973=2,HLOOKUP(R4973,データについて!$J$12:$M$18,7,FALSE),"*")</f>
        <v>#N/A</v>
      </c>
    </row>
    <row r="4974" spans="19:30">
      <c r="S4974" s="81" t="e">
        <f>HLOOKUP(L4974,データについて!$J$6:$M$18,13,FALSE)</f>
        <v>#N/A</v>
      </c>
      <c r="T4974" s="81" t="e">
        <f>HLOOKUP(M4974,データについて!$J$7:$M$18,12,FALSE)</f>
        <v>#N/A</v>
      </c>
      <c r="U4974" s="81" t="e">
        <f>HLOOKUP(N4974,データについて!$J$8:$M$18,11,FALSE)</f>
        <v>#N/A</v>
      </c>
      <c r="V4974" s="81" t="e">
        <f>HLOOKUP(O4974,データについて!$J$9:$M$18,10,FALSE)</f>
        <v>#N/A</v>
      </c>
      <c r="W4974" s="81" t="e">
        <f>HLOOKUP(P4974,データについて!$J$10:$M$18,9,FALSE)</f>
        <v>#N/A</v>
      </c>
      <c r="X4974" s="81" t="e">
        <f>HLOOKUP(Q4974,データについて!$J$11:$M$18,8,FALSE)</f>
        <v>#N/A</v>
      </c>
      <c r="Y4974" s="81" t="e">
        <f>HLOOKUP(R4974,データについて!$J$12:$M$18,7,FALSE)</f>
        <v>#N/A</v>
      </c>
      <c r="Z4974" s="81" t="e">
        <f>HLOOKUP(I4974,データについて!$J$3:$M$18,16,FALSE)</f>
        <v>#N/A</v>
      </c>
      <c r="AA4974" s="81" t="str">
        <f>IFERROR(HLOOKUP(J4974,データについて!$J$4:$AH$19,16,FALSE),"")</f>
        <v/>
      </c>
      <c r="AB4974" s="81" t="str">
        <f>IFERROR(HLOOKUP(K4974,データについて!$J$5:$AH$20,14,FALSE),"")</f>
        <v/>
      </c>
      <c r="AC4974" s="81" t="e">
        <f>IF(X4974=1,HLOOKUP(R4974,データについて!$J$12:$M$18,7,FALSE),"*")</f>
        <v>#N/A</v>
      </c>
      <c r="AD4974" s="81" t="e">
        <f>IF(X4974=2,HLOOKUP(R4974,データについて!$J$12:$M$18,7,FALSE),"*")</f>
        <v>#N/A</v>
      </c>
    </row>
    <row r="4975" spans="19:30">
      <c r="S4975" s="81" t="e">
        <f>HLOOKUP(L4975,データについて!$J$6:$M$18,13,FALSE)</f>
        <v>#N/A</v>
      </c>
      <c r="T4975" s="81" t="e">
        <f>HLOOKUP(M4975,データについて!$J$7:$M$18,12,FALSE)</f>
        <v>#N/A</v>
      </c>
      <c r="U4975" s="81" t="e">
        <f>HLOOKUP(N4975,データについて!$J$8:$M$18,11,FALSE)</f>
        <v>#N/A</v>
      </c>
      <c r="V4975" s="81" t="e">
        <f>HLOOKUP(O4975,データについて!$J$9:$M$18,10,FALSE)</f>
        <v>#N/A</v>
      </c>
      <c r="W4975" s="81" t="e">
        <f>HLOOKUP(P4975,データについて!$J$10:$M$18,9,FALSE)</f>
        <v>#N/A</v>
      </c>
      <c r="X4975" s="81" t="e">
        <f>HLOOKUP(Q4975,データについて!$J$11:$M$18,8,FALSE)</f>
        <v>#N/A</v>
      </c>
      <c r="Y4975" s="81" t="e">
        <f>HLOOKUP(R4975,データについて!$J$12:$M$18,7,FALSE)</f>
        <v>#N/A</v>
      </c>
      <c r="Z4975" s="81" t="e">
        <f>HLOOKUP(I4975,データについて!$J$3:$M$18,16,FALSE)</f>
        <v>#N/A</v>
      </c>
      <c r="AA4975" s="81" t="str">
        <f>IFERROR(HLOOKUP(J4975,データについて!$J$4:$AH$19,16,FALSE),"")</f>
        <v/>
      </c>
      <c r="AB4975" s="81" t="str">
        <f>IFERROR(HLOOKUP(K4975,データについて!$J$5:$AH$20,14,FALSE),"")</f>
        <v/>
      </c>
      <c r="AC4975" s="81" t="e">
        <f>IF(X4975=1,HLOOKUP(R4975,データについて!$J$12:$M$18,7,FALSE),"*")</f>
        <v>#N/A</v>
      </c>
      <c r="AD4975" s="81" t="e">
        <f>IF(X4975=2,HLOOKUP(R4975,データについて!$J$12:$M$18,7,FALSE),"*")</f>
        <v>#N/A</v>
      </c>
    </row>
    <row r="4976" spans="19:30">
      <c r="S4976" s="81" t="e">
        <f>HLOOKUP(L4976,データについて!$J$6:$M$18,13,FALSE)</f>
        <v>#N/A</v>
      </c>
      <c r="T4976" s="81" t="e">
        <f>HLOOKUP(M4976,データについて!$J$7:$M$18,12,FALSE)</f>
        <v>#N/A</v>
      </c>
      <c r="U4976" s="81" t="e">
        <f>HLOOKUP(N4976,データについて!$J$8:$M$18,11,FALSE)</f>
        <v>#N/A</v>
      </c>
      <c r="V4976" s="81" t="e">
        <f>HLOOKUP(O4976,データについて!$J$9:$M$18,10,FALSE)</f>
        <v>#N/A</v>
      </c>
      <c r="W4976" s="81" t="e">
        <f>HLOOKUP(P4976,データについて!$J$10:$M$18,9,FALSE)</f>
        <v>#N/A</v>
      </c>
      <c r="X4976" s="81" t="e">
        <f>HLOOKUP(Q4976,データについて!$J$11:$M$18,8,FALSE)</f>
        <v>#N/A</v>
      </c>
      <c r="Y4976" s="81" t="e">
        <f>HLOOKUP(R4976,データについて!$J$12:$M$18,7,FALSE)</f>
        <v>#N/A</v>
      </c>
      <c r="Z4976" s="81" t="e">
        <f>HLOOKUP(I4976,データについて!$J$3:$M$18,16,FALSE)</f>
        <v>#N/A</v>
      </c>
      <c r="AA4976" s="81" t="str">
        <f>IFERROR(HLOOKUP(J4976,データについて!$J$4:$AH$19,16,FALSE),"")</f>
        <v/>
      </c>
      <c r="AB4976" s="81" t="str">
        <f>IFERROR(HLOOKUP(K4976,データについて!$J$5:$AH$20,14,FALSE),"")</f>
        <v/>
      </c>
      <c r="AC4976" s="81" t="e">
        <f>IF(X4976=1,HLOOKUP(R4976,データについて!$J$12:$M$18,7,FALSE),"*")</f>
        <v>#N/A</v>
      </c>
      <c r="AD4976" s="81" t="e">
        <f>IF(X4976=2,HLOOKUP(R4976,データについて!$J$12:$M$18,7,FALSE),"*")</f>
        <v>#N/A</v>
      </c>
    </row>
    <row r="4977" spans="19:30">
      <c r="S4977" s="81" t="e">
        <f>HLOOKUP(L4977,データについて!$J$6:$M$18,13,FALSE)</f>
        <v>#N/A</v>
      </c>
      <c r="T4977" s="81" t="e">
        <f>HLOOKUP(M4977,データについて!$J$7:$M$18,12,FALSE)</f>
        <v>#N/A</v>
      </c>
      <c r="U4977" s="81" t="e">
        <f>HLOOKUP(N4977,データについて!$J$8:$M$18,11,FALSE)</f>
        <v>#N/A</v>
      </c>
      <c r="V4977" s="81" t="e">
        <f>HLOOKUP(O4977,データについて!$J$9:$M$18,10,FALSE)</f>
        <v>#N/A</v>
      </c>
      <c r="W4977" s="81" t="e">
        <f>HLOOKUP(P4977,データについて!$J$10:$M$18,9,FALSE)</f>
        <v>#N/A</v>
      </c>
      <c r="X4977" s="81" t="e">
        <f>HLOOKUP(Q4977,データについて!$J$11:$M$18,8,FALSE)</f>
        <v>#N/A</v>
      </c>
      <c r="Y4977" s="81" t="e">
        <f>HLOOKUP(R4977,データについて!$J$12:$M$18,7,FALSE)</f>
        <v>#N/A</v>
      </c>
      <c r="Z4977" s="81" t="e">
        <f>HLOOKUP(I4977,データについて!$J$3:$M$18,16,FALSE)</f>
        <v>#N/A</v>
      </c>
      <c r="AA4977" s="81" t="str">
        <f>IFERROR(HLOOKUP(J4977,データについて!$J$4:$AH$19,16,FALSE),"")</f>
        <v/>
      </c>
      <c r="AB4977" s="81" t="str">
        <f>IFERROR(HLOOKUP(K4977,データについて!$J$5:$AH$20,14,FALSE),"")</f>
        <v/>
      </c>
      <c r="AC4977" s="81" t="e">
        <f>IF(X4977=1,HLOOKUP(R4977,データについて!$J$12:$M$18,7,FALSE),"*")</f>
        <v>#N/A</v>
      </c>
      <c r="AD4977" s="81" t="e">
        <f>IF(X4977=2,HLOOKUP(R4977,データについて!$J$12:$M$18,7,FALSE),"*")</f>
        <v>#N/A</v>
      </c>
    </row>
    <row r="4978" spans="19:30">
      <c r="S4978" s="81" t="e">
        <f>HLOOKUP(L4978,データについて!$J$6:$M$18,13,FALSE)</f>
        <v>#N/A</v>
      </c>
      <c r="T4978" s="81" t="e">
        <f>HLOOKUP(M4978,データについて!$J$7:$M$18,12,FALSE)</f>
        <v>#N/A</v>
      </c>
      <c r="U4978" s="81" t="e">
        <f>HLOOKUP(N4978,データについて!$J$8:$M$18,11,FALSE)</f>
        <v>#N/A</v>
      </c>
      <c r="V4978" s="81" t="e">
        <f>HLOOKUP(O4978,データについて!$J$9:$M$18,10,FALSE)</f>
        <v>#N/A</v>
      </c>
      <c r="W4978" s="81" t="e">
        <f>HLOOKUP(P4978,データについて!$J$10:$M$18,9,FALSE)</f>
        <v>#N/A</v>
      </c>
      <c r="X4978" s="81" t="e">
        <f>HLOOKUP(Q4978,データについて!$J$11:$M$18,8,FALSE)</f>
        <v>#N/A</v>
      </c>
      <c r="Y4978" s="81" t="e">
        <f>HLOOKUP(R4978,データについて!$J$12:$M$18,7,FALSE)</f>
        <v>#N/A</v>
      </c>
      <c r="Z4978" s="81" t="e">
        <f>HLOOKUP(I4978,データについて!$J$3:$M$18,16,FALSE)</f>
        <v>#N/A</v>
      </c>
      <c r="AA4978" s="81" t="str">
        <f>IFERROR(HLOOKUP(J4978,データについて!$J$4:$AH$19,16,FALSE),"")</f>
        <v/>
      </c>
      <c r="AB4978" s="81" t="str">
        <f>IFERROR(HLOOKUP(K4978,データについて!$J$5:$AH$20,14,FALSE),"")</f>
        <v/>
      </c>
      <c r="AC4978" s="81" t="e">
        <f>IF(X4978=1,HLOOKUP(R4978,データについて!$J$12:$M$18,7,FALSE),"*")</f>
        <v>#N/A</v>
      </c>
      <c r="AD4978" s="81" t="e">
        <f>IF(X4978=2,HLOOKUP(R4978,データについて!$J$12:$M$18,7,FALSE),"*")</f>
        <v>#N/A</v>
      </c>
    </row>
    <row r="4979" spans="19:30">
      <c r="S4979" s="81" t="e">
        <f>HLOOKUP(L4979,データについて!$J$6:$M$18,13,FALSE)</f>
        <v>#N/A</v>
      </c>
      <c r="T4979" s="81" t="e">
        <f>HLOOKUP(M4979,データについて!$J$7:$M$18,12,FALSE)</f>
        <v>#N/A</v>
      </c>
      <c r="U4979" s="81" t="e">
        <f>HLOOKUP(N4979,データについて!$J$8:$M$18,11,FALSE)</f>
        <v>#N/A</v>
      </c>
      <c r="V4979" s="81" t="e">
        <f>HLOOKUP(O4979,データについて!$J$9:$M$18,10,FALSE)</f>
        <v>#N/A</v>
      </c>
      <c r="W4979" s="81" t="e">
        <f>HLOOKUP(P4979,データについて!$J$10:$M$18,9,FALSE)</f>
        <v>#N/A</v>
      </c>
      <c r="X4979" s="81" t="e">
        <f>HLOOKUP(Q4979,データについて!$J$11:$M$18,8,FALSE)</f>
        <v>#N/A</v>
      </c>
      <c r="Y4979" s="81" t="e">
        <f>HLOOKUP(R4979,データについて!$J$12:$M$18,7,FALSE)</f>
        <v>#N/A</v>
      </c>
      <c r="Z4979" s="81" t="e">
        <f>HLOOKUP(I4979,データについて!$J$3:$M$18,16,FALSE)</f>
        <v>#N/A</v>
      </c>
      <c r="AA4979" s="81" t="str">
        <f>IFERROR(HLOOKUP(J4979,データについて!$J$4:$AH$19,16,FALSE),"")</f>
        <v/>
      </c>
      <c r="AB4979" s="81" t="str">
        <f>IFERROR(HLOOKUP(K4979,データについて!$J$5:$AH$20,14,FALSE),"")</f>
        <v/>
      </c>
      <c r="AC4979" s="81" t="e">
        <f>IF(X4979=1,HLOOKUP(R4979,データについて!$J$12:$M$18,7,FALSE),"*")</f>
        <v>#N/A</v>
      </c>
      <c r="AD4979" s="81" t="e">
        <f>IF(X4979=2,HLOOKUP(R4979,データについて!$J$12:$M$18,7,FALSE),"*")</f>
        <v>#N/A</v>
      </c>
    </row>
    <row r="4980" spans="19:30">
      <c r="S4980" s="81" t="e">
        <f>HLOOKUP(L4980,データについて!$J$6:$M$18,13,FALSE)</f>
        <v>#N/A</v>
      </c>
      <c r="T4980" s="81" t="e">
        <f>HLOOKUP(M4980,データについて!$J$7:$M$18,12,FALSE)</f>
        <v>#N/A</v>
      </c>
      <c r="U4980" s="81" t="e">
        <f>HLOOKUP(N4980,データについて!$J$8:$M$18,11,FALSE)</f>
        <v>#N/A</v>
      </c>
      <c r="V4980" s="81" t="e">
        <f>HLOOKUP(O4980,データについて!$J$9:$M$18,10,FALSE)</f>
        <v>#N/A</v>
      </c>
      <c r="W4980" s="81" t="e">
        <f>HLOOKUP(P4980,データについて!$J$10:$M$18,9,FALSE)</f>
        <v>#N/A</v>
      </c>
      <c r="X4980" s="81" t="e">
        <f>HLOOKUP(Q4980,データについて!$J$11:$M$18,8,FALSE)</f>
        <v>#N/A</v>
      </c>
      <c r="Y4980" s="81" t="e">
        <f>HLOOKUP(R4980,データについて!$J$12:$M$18,7,FALSE)</f>
        <v>#N/A</v>
      </c>
      <c r="Z4980" s="81" t="e">
        <f>HLOOKUP(I4980,データについて!$J$3:$M$18,16,FALSE)</f>
        <v>#N/A</v>
      </c>
      <c r="AA4980" s="81" t="str">
        <f>IFERROR(HLOOKUP(J4980,データについて!$J$4:$AH$19,16,FALSE),"")</f>
        <v/>
      </c>
      <c r="AB4980" s="81" t="str">
        <f>IFERROR(HLOOKUP(K4980,データについて!$J$5:$AH$20,14,FALSE),"")</f>
        <v/>
      </c>
      <c r="AC4980" s="81" t="e">
        <f>IF(X4980=1,HLOOKUP(R4980,データについて!$J$12:$M$18,7,FALSE),"*")</f>
        <v>#N/A</v>
      </c>
      <c r="AD4980" s="81" t="e">
        <f>IF(X4980=2,HLOOKUP(R4980,データについて!$J$12:$M$18,7,FALSE),"*")</f>
        <v>#N/A</v>
      </c>
    </row>
    <row r="4981" spans="19:30">
      <c r="S4981" s="81" t="e">
        <f>HLOOKUP(L4981,データについて!$J$6:$M$18,13,FALSE)</f>
        <v>#N/A</v>
      </c>
      <c r="T4981" s="81" t="e">
        <f>HLOOKUP(M4981,データについて!$J$7:$M$18,12,FALSE)</f>
        <v>#N/A</v>
      </c>
      <c r="U4981" s="81" t="e">
        <f>HLOOKUP(N4981,データについて!$J$8:$M$18,11,FALSE)</f>
        <v>#N/A</v>
      </c>
      <c r="V4981" s="81" t="e">
        <f>HLOOKUP(O4981,データについて!$J$9:$M$18,10,FALSE)</f>
        <v>#N/A</v>
      </c>
      <c r="W4981" s="81" t="e">
        <f>HLOOKUP(P4981,データについて!$J$10:$M$18,9,FALSE)</f>
        <v>#N/A</v>
      </c>
      <c r="X4981" s="81" t="e">
        <f>HLOOKUP(Q4981,データについて!$J$11:$M$18,8,FALSE)</f>
        <v>#N/A</v>
      </c>
      <c r="Y4981" s="81" t="e">
        <f>HLOOKUP(R4981,データについて!$J$12:$M$18,7,FALSE)</f>
        <v>#N/A</v>
      </c>
      <c r="Z4981" s="81" t="e">
        <f>HLOOKUP(I4981,データについて!$J$3:$M$18,16,FALSE)</f>
        <v>#N/A</v>
      </c>
      <c r="AA4981" s="81" t="str">
        <f>IFERROR(HLOOKUP(J4981,データについて!$J$4:$AH$19,16,FALSE),"")</f>
        <v/>
      </c>
      <c r="AB4981" s="81" t="str">
        <f>IFERROR(HLOOKUP(K4981,データについて!$J$5:$AH$20,14,FALSE),"")</f>
        <v/>
      </c>
      <c r="AC4981" s="81" t="e">
        <f>IF(X4981=1,HLOOKUP(R4981,データについて!$J$12:$M$18,7,FALSE),"*")</f>
        <v>#N/A</v>
      </c>
      <c r="AD4981" s="81" t="e">
        <f>IF(X4981=2,HLOOKUP(R4981,データについて!$J$12:$M$18,7,FALSE),"*")</f>
        <v>#N/A</v>
      </c>
    </row>
    <row r="4982" spans="19:30">
      <c r="S4982" s="81" t="e">
        <f>HLOOKUP(L4982,データについて!$J$6:$M$18,13,FALSE)</f>
        <v>#N/A</v>
      </c>
      <c r="T4982" s="81" t="e">
        <f>HLOOKUP(M4982,データについて!$J$7:$M$18,12,FALSE)</f>
        <v>#N/A</v>
      </c>
      <c r="U4982" s="81" t="e">
        <f>HLOOKUP(N4982,データについて!$J$8:$M$18,11,FALSE)</f>
        <v>#N/A</v>
      </c>
      <c r="V4982" s="81" t="e">
        <f>HLOOKUP(O4982,データについて!$J$9:$M$18,10,FALSE)</f>
        <v>#N/A</v>
      </c>
      <c r="W4982" s="81" t="e">
        <f>HLOOKUP(P4982,データについて!$J$10:$M$18,9,FALSE)</f>
        <v>#N/A</v>
      </c>
      <c r="X4982" s="81" t="e">
        <f>HLOOKUP(Q4982,データについて!$J$11:$M$18,8,FALSE)</f>
        <v>#N/A</v>
      </c>
      <c r="Y4982" s="81" t="e">
        <f>HLOOKUP(R4982,データについて!$J$12:$M$18,7,FALSE)</f>
        <v>#N/A</v>
      </c>
      <c r="Z4982" s="81" t="e">
        <f>HLOOKUP(I4982,データについて!$J$3:$M$18,16,FALSE)</f>
        <v>#N/A</v>
      </c>
      <c r="AA4982" s="81" t="str">
        <f>IFERROR(HLOOKUP(J4982,データについて!$J$4:$AH$19,16,FALSE),"")</f>
        <v/>
      </c>
      <c r="AB4982" s="81" t="str">
        <f>IFERROR(HLOOKUP(K4982,データについて!$J$5:$AH$20,14,FALSE),"")</f>
        <v/>
      </c>
      <c r="AC4982" s="81" t="e">
        <f>IF(X4982=1,HLOOKUP(R4982,データについて!$J$12:$M$18,7,FALSE),"*")</f>
        <v>#N/A</v>
      </c>
      <c r="AD4982" s="81" t="e">
        <f>IF(X4982=2,HLOOKUP(R4982,データについて!$J$12:$M$18,7,FALSE),"*")</f>
        <v>#N/A</v>
      </c>
    </row>
    <row r="4983" spans="19:30">
      <c r="S4983" s="81" t="e">
        <f>HLOOKUP(L4983,データについて!$J$6:$M$18,13,FALSE)</f>
        <v>#N/A</v>
      </c>
      <c r="T4983" s="81" t="e">
        <f>HLOOKUP(M4983,データについて!$J$7:$M$18,12,FALSE)</f>
        <v>#N/A</v>
      </c>
      <c r="U4983" s="81" t="e">
        <f>HLOOKUP(N4983,データについて!$J$8:$M$18,11,FALSE)</f>
        <v>#N/A</v>
      </c>
      <c r="V4983" s="81" t="e">
        <f>HLOOKUP(O4983,データについて!$J$9:$M$18,10,FALSE)</f>
        <v>#N/A</v>
      </c>
      <c r="W4983" s="81" t="e">
        <f>HLOOKUP(P4983,データについて!$J$10:$M$18,9,FALSE)</f>
        <v>#N/A</v>
      </c>
      <c r="X4983" s="81" t="e">
        <f>HLOOKUP(Q4983,データについて!$J$11:$M$18,8,FALSE)</f>
        <v>#N/A</v>
      </c>
      <c r="Y4983" s="81" t="e">
        <f>HLOOKUP(R4983,データについて!$J$12:$M$18,7,FALSE)</f>
        <v>#N/A</v>
      </c>
      <c r="Z4983" s="81" t="e">
        <f>HLOOKUP(I4983,データについて!$J$3:$M$18,16,FALSE)</f>
        <v>#N/A</v>
      </c>
      <c r="AA4983" s="81" t="str">
        <f>IFERROR(HLOOKUP(J4983,データについて!$J$4:$AH$19,16,FALSE),"")</f>
        <v/>
      </c>
      <c r="AB4983" s="81" t="str">
        <f>IFERROR(HLOOKUP(K4983,データについて!$J$5:$AH$20,14,FALSE),"")</f>
        <v/>
      </c>
      <c r="AC4983" s="81" t="e">
        <f>IF(X4983=1,HLOOKUP(R4983,データについて!$J$12:$M$18,7,FALSE),"*")</f>
        <v>#N/A</v>
      </c>
      <c r="AD4983" s="81" t="e">
        <f>IF(X4983=2,HLOOKUP(R4983,データについて!$J$12:$M$18,7,FALSE),"*")</f>
        <v>#N/A</v>
      </c>
    </row>
    <row r="4984" spans="19:30">
      <c r="S4984" s="81" t="e">
        <f>HLOOKUP(L4984,データについて!$J$6:$M$18,13,FALSE)</f>
        <v>#N/A</v>
      </c>
      <c r="T4984" s="81" t="e">
        <f>HLOOKUP(M4984,データについて!$J$7:$M$18,12,FALSE)</f>
        <v>#N/A</v>
      </c>
      <c r="U4984" s="81" t="e">
        <f>HLOOKUP(N4984,データについて!$J$8:$M$18,11,FALSE)</f>
        <v>#N/A</v>
      </c>
      <c r="V4984" s="81" t="e">
        <f>HLOOKUP(O4984,データについて!$J$9:$M$18,10,FALSE)</f>
        <v>#N/A</v>
      </c>
      <c r="W4984" s="81" t="e">
        <f>HLOOKUP(P4984,データについて!$J$10:$M$18,9,FALSE)</f>
        <v>#N/A</v>
      </c>
      <c r="X4984" s="81" t="e">
        <f>HLOOKUP(Q4984,データについて!$J$11:$M$18,8,FALSE)</f>
        <v>#N/A</v>
      </c>
      <c r="Y4984" s="81" t="e">
        <f>HLOOKUP(R4984,データについて!$J$12:$M$18,7,FALSE)</f>
        <v>#N/A</v>
      </c>
      <c r="Z4984" s="81" t="e">
        <f>HLOOKUP(I4984,データについて!$J$3:$M$18,16,FALSE)</f>
        <v>#N/A</v>
      </c>
      <c r="AA4984" s="81" t="str">
        <f>IFERROR(HLOOKUP(J4984,データについて!$J$4:$AH$19,16,FALSE),"")</f>
        <v/>
      </c>
      <c r="AB4984" s="81" t="str">
        <f>IFERROR(HLOOKUP(K4984,データについて!$J$5:$AH$20,14,FALSE),"")</f>
        <v/>
      </c>
      <c r="AC4984" s="81" t="e">
        <f>IF(X4984=1,HLOOKUP(R4984,データについて!$J$12:$M$18,7,FALSE),"*")</f>
        <v>#N/A</v>
      </c>
      <c r="AD4984" s="81" t="e">
        <f>IF(X4984=2,HLOOKUP(R4984,データについて!$J$12:$M$18,7,FALSE),"*")</f>
        <v>#N/A</v>
      </c>
    </row>
    <row r="4985" spans="19:30">
      <c r="S4985" s="81" t="e">
        <f>HLOOKUP(L4985,データについて!$J$6:$M$18,13,FALSE)</f>
        <v>#N/A</v>
      </c>
      <c r="T4985" s="81" t="e">
        <f>HLOOKUP(M4985,データについて!$J$7:$M$18,12,FALSE)</f>
        <v>#N/A</v>
      </c>
      <c r="U4985" s="81" t="e">
        <f>HLOOKUP(N4985,データについて!$J$8:$M$18,11,FALSE)</f>
        <v>#N/A</v>
      </c>
      <c r="V4985" s="81" t="e">
        <f>HLOOKUP(O4985,データについて!$J$9:$M$18,10,FALSE)</f>
        <v>#N/A</v>
      </c>
      <c r="W4985" s="81" t="e">
        <f>HLOOKUP(P4985,データについて!$J$10:$M$18,9,FALSE)</f>
        <v>#N/A</v>
      </c>
      <c r="X4985" s="81" t="e">
        <f>HLOOKUP(Q4985,データについて!$J$11:$M$18,8,FALSE)</f>
        <v>#N/A</v>
      </c>
      <c r="Y4985" s="81" t="e">
        <f>HLOOKUP(R4985,データについて!$J$12:$M$18,7,FALSE)</f>
        <v>#N/A</v>
      </c>
      <c r="Z4985" s="81" t="e">
        <f>HLOOKUP(I4985,データについて!$J$3:$M$18,16,FALSE)</f>
        <v>#N/A</v>
      </c>
      <c r="AA4985" s="81" t="str">
        <f>IFERROR(HLOOKUP(J4985,データについて!$J$4:$AH$19,16,FALSE),"")</f>
        <v/>
      </c>
      <c r="AB4985" s="81" t="str">
        <f>IFERROR(HLOOKUP(K4985,データについて!$J$5:$AH$20,14,FALSE),"")</f>
        <v/>
      </c>
      <c r="AC4985" s="81" t="e">
        <f>IF(X4985=1,HLOOKUP(R4985,データについて!$J$12:$M$18,7,FALSE),"*")</f>
        <v>#N/A</v>
      </c>
      <c r="AD4985" s="81" t="e">
        <f>IF(X4985=2,HLOOKUP(R4985,データについて!$J$12:$M$18,7,FALSE),"*")</f>
        <v>#N/A</v>
      </c>
    </row>
    <row r="4986" spans="19:30">
      <c r="S4986" s="81" t="e">
        <f>HLOOKUP(L4986,データについて!$J$6:$M$18,13,FALSE)</f>
        <v>#N/A</v>
      </c>
      <c r="T4986" s="81" t="e">
        <f>HLOOKUP(M4986,データについて!$J$7:$M$18,12,FALSE)</f>
        <v>#N/A</v>
      </c>
      <c r="U4986" s="81" t="e">
        <f>HLOOKUP(N4986,データについて!$J$8:$M$18,11,FALSE)</f>
        <v>#N/A</v>
      </c>
      <c r="V4986" s="81" t="e">
        <f>HLOOKUP(O4986,データについて!$J$9:$M$18,10,FALSE)</f>
        <v>#N/A</v>
      </c>
      <c r="W4986" s="81" t="e">
        <f>HLOOKUP(P4986,データについて!$J$10:$M$18,9,FALSE)</f>
        <v>#N/A</v>
      </c>
      <c r="X4986" s="81" t="e">
        <f>HLOOKUP(Q4986,データについて!$J$11:$M$18,8,FALSE)</f>
        <v>#N/A</v>
      </c>
      <c r="Y4986" s="81" t="e">
        <f>HLOOKUP(R4986,データについて!$J$12:$M$18,7,FALSE)</f>
        <v>#N/A</v>
      </c>
      <c r="Z4986" s="81" t="e">
        <f>HLOOKUP(I4986,データについて!$J$3:$M$18,16,FALSE)</f>
        <v>#N/A</v>
      </c>
      <c r="AA4986" s="81" t="str">
        <f>IFERROR(HLOOKUP(J4986,データについて!$J$4:$AH$19,16,FALSE),"")</f>
        <v/>
      </c>
      <c r="AB4986" s="81" t="str">
        <f>IFERROR(HLOOKUP(K4986,データについて!$J$5:$AH$20,14,FALSE),"")</f>
        <v/>
      </c>
      <c r="AC4986" s="81" t="e">
        <f>IF(X4986=1,HLOOKUP(R4986,データについて!$J$12:$M$18,7,FALSE),"*")</f>
        <v>#N/A</v>
      </c>
      <c r="AD4986" s="81" t="e">
        <f>IF(X4986=2,HLOOKUP(R4986,データについて!$J$12:$M$18,7,FALSE),"*")</f>
        <v>#N/A</v>
      </c>
    </row>
    <row r="4987" spans="19:30">
      <c r="S4987" s="81" t="e">
        <f>HLOOKUP(L4987,データについて!$J$6:$M$18,13,FALSE)</f>
        <v>#N/A</v>
      </c>
      <c r="T4987" s="81" t="e">
        <f>HLOOKUP(M4987,データについて!$J$7:$M$18,12,FALSE)</f>
        <v>#N/A</v>
      </c>
      <c r="U4987" s="81" t="e">
        <f>HLOOKUP(N4987,データについて!$J$8:$M$18,11,FALSE)</f>
        <v>#N/A</v>
      </c>
      <c r="V4987" s="81" t="e">
        <f>HLOOKUP(O4987,データについて!$J$9:$M$18,10,FALSE)</f>
        <v>#N/A</v>
      </c>
      <c r="W4987" s="81" t="e">
        <f>HLOOKUP(P4987,データについて!$J$10:$M$18,9,FALSE)</f>
        <v>#N/A</v>
      </c>
      <c r="X4987" s="81" t="e">
        <f>HLOOKUP(Q4987,データについて!$J$11:$M$18,8,FALSE)</f>
        <v>#N/A</v>
      </c>
      <c r="Y4987" s="81" t="e">
        <f>HLOOKUP(R4987,データについて!$J$12:$M$18,7,FALSE)</f>
        <v>#N/A</v>
      </c>
      <c r="Z4987" s="81" t="e">
        <f>HLOOKUP(I4987,データについて!$J$3:$M$18,16,FALSE)</f>
        <v>#N/A</v>
      </c>
      <c r="AA4987" s="81" t="str">
        <f>IFERROR(HLOOKUP(J4987,データについて!$J$4:$AH$19,16,FALSE),"")</f>
        <v/>
      </c>
      <c r="AB4987" s="81" t="str">
        <f>IFERROR(HLOOKUP(K4987,データについて!$J$5:$AH$20,14,FALSE),"")</f>
        <v/>
      </c>
      <c r="AC4987" s="81" t="e">
        <f>IF(X4987=1,HLOOKUP(R4987,データについて!$J$12:$M$18,7,FALSE),"*")</f>
        <v>#N/A</v>
      </c>
      <c r="AD4987" s="81" t="e">
        <f>IF(X4987=2,HLOOKUP(R4987,データについて!$J$12:$M$18,7,FALSE),"*")</f>
        <v>#N/A</v>
      </c>
    </row>
    <row r="4988" spans="19:30">
      <c r="S4988" s="81" t="e">
        <f>HLOOKUP(L4988,データについて!$J$6:$M$18,13,FALSE)</f>
        <v>#N/A</v>
      </c>
      <c r="T4988" s="81" t="e">
        <f>HLOOKUP(M4988,データについて!$J$7:$M$18,12,FALSE)</f>
        <v>#N/A</v>
      </c>
      <c r="U4988" s="81" t="e">
        <f>HLOOKUP(N4988,データについて!$J$8:$M$18,11,FALSE)</f>
        <v>#N/A</v>
      </c>
      <c r="V4988" s="81" t="e">
        <f>HLOOKUP(O4988,データについて!$J$9:$M$18,10,FALSE)</f>
        <v>#N/A</v>
      </c>
      <c r="W4988" s="81" t="e">
        <f>HLOOKUP(P4988,データについて!$J$10:$M$18,9,FALSE)</f>
        <v>#N/A</v>
      </c>
      <c r="X4988" s="81" t="e">
        <f>HLOOKUP(Q4988,データについて!$J$11:$M$18,8,FALSE)</f>
        <v>#N/A</v>
      </c>
      <c r="Y4988" s="81" t="e">
        <f>HLOOKUP(R4988,データについて!$J$12:$M$18,7,FALSE)</f>
        <v>#N/A</v>
      </c>
      <c r="Z4988" s="81" t="e">
        <f>HLOOKUP(I4988,データについて!$J$3:$M$18,16,FALSE)</f>
        <v>#N/A</v>
      </c>
      <c r="AA4988" s="81" t="str">
        <f>IFERROR(HLOOKUP(J4988,データについて!$J$4:$AH$19,16,FALSE),"")</f>
        <v/>
      </c>
      <c r="AB4988" s="81" t="str">
        <f>IFERROR(HLOOKUP(K4988,データについて!$J$5:$AH$20,14,FALSE),"")</f>
        <v/>
      </c>
      <c r="AC4988" s="81" t="e">
        <f>IF(X4988=1,HLOOKUP(R4988,データについて!$J$12:$M$18,7,FALSE),"*")</f>
        <v>#N/A</v>
      </c>
      <c r="AD4988" s="81" t="e">
        <f>IF(X4988=2,HLOOKUP(R4988,データについて!$J$12:$M$18,7,FALSE),"*")</f>
        <v>#N/A</v>
      </c>
    </row>
    <row r="4989" spans="19:30">
      <c r="S4989" s="81" t="e">
        <f>HLOOKUP(L4989,データについて!$J$6:$M$18,13,FALSE)</f>
        <v>#N/A</v>
      </c>
      <c r="T4989" s="81" t="e">
        <f>HLOOKUP(M4989,データについて!$J$7:$M$18,12,FALSE)</f>
        <v>#N/A</v>
      </c>
      <c r="U4989" s="81" t="e">
        <f>HLOOKUP(N4989,データについて!$J$8:$M$18,11,FALSE)</f>
        <v>#N/A</v>
      </c>
      <c r="V4989" s="81" t="e">
        <f>HLOOKUP(O4989,データについて!$J$9:$M$18,10,FALSE)</f>
        <v>#N/A</v>
      </c>
      <c r="W4989" s="81" t="e">
        <f>HLOOKUP(P4989,データについて!$J$10:$M$18,9,FALSE)</f>
        <v>#N/A</v>
      </c>
      <c r="X4989" s="81" t="e">
        <f>HLOOKUP(Q4989,データについて!$J$11:$M$18,8,FALSE)</f>
        <v>#N/A</v>
      </c>
      <c r="Y4989" s="81" t="e">
        <f>HLOOKUP(R4989,データについて!$J$12:$M$18,7,FALSE)</f>
        <v>#N/A</v>
      </c>
      <c r="Z4989" s="81" t="e">
        <f>HLOOKUP(I4989,データについて!$J$3:$M$18,16,FALSE)</f>
        <v>#N/A</v>
      </c>
      <c r="AA4989" s="81" t="str">
        <f>IFERROR(HLOOKUP(J4989,データについて!$J$4:$AH$19,16,FALSE),"")</f>
        <v/>
      </c>
      <c r="AB4989" s="81" t="str">
        <f>IFERROR(HLOOKUP(K4989,データについて!$J$5:$AH$20,14,FALSE),"")</f>
        <v/>
      </c>
      <c r="AC4989" s="81" t="e">
        <f>IF(X4989=1,HLOOKUP(R4989,データについて!$J$12:$M$18,7,FALSE),"*")</f>
        <v>#N/A</v>
      </c>
      <c r="AD4989" s="81" t="e">
        <f>IF(X4989=2,HLOOKUP(R4989,データについて!$J$12:$M$18,7,FALSE),"*")</f>
        <v>#N/A</v>
      </c>
    </row>
    <row r="4990" spans="19:30">
      <c r="S4990" s="81" t="e">
        <f>HLOOKUP(L4990,データについて!$J$6:$M$18,13,FALSE)</f>
        <v>#N/A</v>
      </c>
      <c r="T4990" s="81" t="e">
        <f>HLOOKUP(M4990,データについて!$J$7:$M$18,12,FALSE)</f>
        <v>#N/A</v>
      </c>
      <c r="U4990" s="81" t="e">
        <f>HLOOKUP(N4990,データについて!$J$8:$M$18,11,FALSE)</f>
        <v>#N/A</v>
      </c>
      <c r="V4990" s="81" t="e">
        <f>HLOOKUP(O4990,データについて!$J$9:$M$18,10,FALSE)</f>
        <v>#N/A</v>
      </c>
      <c r="W4990" s="81" t="e">
        <f>HLOOKUP(P4990,データについて!$J$10:$M$18,9,FALSE)</f>
        <v>#N/A</v>
      </c>
      <c r="X4990" s="81" t="e">
        <f>HLOOKUP(Q4990,データについて!$J$11:$M$18,8,FALSE)</f>
        <v>#N/A</v>
      </c>
      <c r="Y4990" s="81" t="e">
        <f>HLOOKUP(R4990,データについて!$J$12:$M$18,7,FALSE)</f>
        <v>#N/A</v>
      </c>
      <c r="Z4990" s="81" t="e">
        <f>HLOOKUP(I4990,データについて!$J$3:$M$18,16,FALSE)</f>
        <v>#N/A</v>
      </c>
      <c r="AA4990" s="81" t="str">
        <f>IFERROR(HLOOKUP(J4990,データについて!$J$4:$AH$19,16,FALSE),"")</f>
        <v/>
      </c>
      <c r="AB4990" s="81" t="str">
        <f>IFERROR(HLOOKUP(K4990,データについて!$J$5:$AH$20,14,FALSE),"")</f>
        <v/>
      </c>
      <c r="AC4990" s="81" t="e">
        <f>IF(X4990=1,HLOOKUP(R4990,データについて!$J$12:$M$18,7,FALSE),"*")</f>
        <v>#N/A</v>
      </c>
      <c r="AD4990" s="81" t="e">
        <f>IF(X4990=2,HLOOKUP(R4990,データについて!$J$12:$M$18,7,FALSE),"*")</f>
        <v>#N/A</v>
      </c>
    </row>
    <row r="4991" spans="19:30">
      <c r="S4991" s="81" t="e">
        <f>HLOOKUP(L4991,データについて!$J$6:$M$18,13,FALSE)</f>
        <v>#N/A</v>
      </c>
      <c r="T4991" s="81" t="e">
        <f>HLOOKUP(M4991,データについて!$J$7:$M$18,12,FALSE)</f>
        <v>#N/A</v>
      </c>
      <c r="U4991" s="81" t="e">
        <f>HLOOKUP(N4991,データについて!$J$8:$M$18,11,FALSE)</f>
        <v>#N/A</v>
      </c>
      <c r="V4991" s="81" t="e">
        <f>HLOOKUP(O4991,データについて!$J$9:$M$18,10,FALSE)</f>
        <v>#N/A</v>
      </c>
      <c r="W4991" s="81" t="e">
        <f>HLOOKUP(P4991,データについて!$J$10:$M$18,9,FALSE)</f>
        <v>#N/A</v>
      </c>
      <c r="X4991" s="81" t="e">
        <f>HLOOKUP(Q4991,データについて!$J$11:$M$18,8,FALSE)</f>
        <v>#N/A</v>
      </c>
      <c r="Y4991" s="81" t="e">
        <f>HLOOKUP(R4991,データについて!$J$12:$M$18,7,FALSE)</f>
        <v>#N/A</v>
      </c>
      <c r="Z4991" s="81" t="e">
        <f>HLOOKUP(I4991,データについて!$J$3:$M$18,16,FALSE)</f>
        <v>#N/A</v>
      </c>
      <c r="AA4991" s="81" t="str">
        <f>IFERROR(HLOOKUP(J4991,データについて!$J$4:$AH$19,16,FALSE),"")</f>
        <v/>
      </c>
      <c r="AB4991" s="81" t="str">
        <f>IFERROR(HLOOKUP(K4991,データについて!$J$5:$AH$20,14,FALSE),"")</f>
        <v/>
      </c>
      <c r="AC4991" s="81" t="e">
        <f>IF(X4991=1,HLOOKUP(R4991,データについて!$J$12:$M$18,7,FALSE),"*")</f>
        <v>#N/A</v>
      </c>
      <c r="AD4991" s="81" t="e">
        <f>IF(X4991=2,HLOOKUP(R4991,データについて!$J$12:$M$18,7,FALSE),"*")</f>
        <v>#N/A</v>
      </c>
    </row>
    <row r="4992" spans="19:30">
      <c r="S4992" s="81" t="e">
        <f>HLOOKUP(L4992,データについて!$J$6:$M$18,13,FALSE)</f>
        <v>#N/A</v>
      </c>
      <c r="T4992" s="81" t="e">
        <f>HLOOKUP(M4992,データについて!$J$7:$M$18,12,FALSE)</f>
        <v>#N/A</v>
      </c>
      <c r="U4992" s="81" t="e">
        <f>HLOOKUP(N4992,データについて!$J$8:$M$18,11,FALSE)</f>
        <v>#N/A</v>
      </c>
      <c r="V4992" s="81" t="e">
        <f>HLOOKUP(O4992,データについて!$J$9:$M$18,10,FALSE)</f>
        <v>#N/A</v>
      </c>
      <c r="W4992" s="81" t="e">
        <f>HLOOKUP(P4992,データについて!$J$10:$M$18,9,FALSE)</f>
        <v>#N/A</v>
      </c>
      <c r="X4992" s="81" t="e">
        <f>HLOOKUP(Q4992,データについて!$J$11:$M$18,8,FALSE)</f>
        <v>#N/A</v>
      </c>
      <c r="Y4992" s="81" t="e">
        <f>HLOOKUP(R4992,データについて!$J$12:$M$18,7,FALSE)</f>
        <v>#N/A</v>
      </c>
      <c r="Z4992" s="81" t="e">
        <f>HLOOKUP(I4992,データについて!$J$3:$M$18,16,FALSE)</f>
        <v>#N/A</v>
      </c>
      <c r="AA4992" s="81" t="str">
        <f>IFERROR(HLOOKUP(J4992,データについて!$J$4:$AH$19,16,FALSE),"")</f>
        <v/>
      </c>
      <c r="AB4992" s="81" t="str">
        <f>IFERROR(HLOOKUP(K4992,データについて!$J$5:$AH$20,14,FALSE),"")</f>
        <v/>
      </c>
      <c r="AC4992" s="81" t="e">
        <f>IF(X4992=1,HLOOKUP(R4992,データについて!$J$12:$M$18,7,FALSE),"*")</f>
        <v>#N/A</v>
      </c>
      <c r="AD4992" s="81" t="e">
        <f>IF(X4992=2,HLOOKUP(R4992,データについて!$J$12:$M$18,7,FALSE),"*")</f>
        <v>#N/A</v>
      </c>
    </row>
    <row r="4993" spans="19:30">
      <c r="S4993" s="81" t="e">
        <f>HLOOKUP(L4993,データについて!$J$6:$M$18,13,FALSE)</f>
        <v>#N/A</v>
      </c>
      <c r="T4993" s="81" t="e">
        <f>HLOOKUP(M4993,データについて!$J$7:$M$18,12,FALSE)</f>
        <v>#N/A</v>
      </c>
      <c r="U4993" s="81" t="e">
        <f>HLOOKUP(N4993,データについて!$J$8:$M$18,11,FALSE)</f>
        <v>#N/A</v>
      </c>
      <c r="V4993" s="81" t="e">
        <f>HLOOKUP(O4993,データについて!$J$9:$M$18,10,FALSE)</f>
        <v>#N/A</v>
      </c>
      <c r="W4993" s="81" t="e">
        <f>HLOOKUP(P4993,データについて!$J$10:$M$18,9,FALSE)</f>
        <v>#N/A</v>
      </c>
      <c r="X4993" s="81" t="e">
        <f>HLOOKUP(Q4993,データについて!$J$11:$M$18,8,FALSE)</f>
        <v>#N/A</v>
      </c>
      <c r="Y4993" s="81" t="e">
        <f>HLOOKUP(R4993,データについて!$J$12:$M$18,7,FALSE)</f>
        <v>#N/A</v>
      </c>
      <c r="Z4993" s="81" t="e">
        <f>HLOOKUP(I4993,データについて!$J$3:$M$18,16,FALSE)</f>
        <v>#N/A</v>
      </c>
      <c r="AA4993" s="81" t="str">
        <f>IFERROR(HLOOKUP(J4993,データについて!$J$4:$AH$19,16,FALSE),"")</f>
        <v/>
      </c>
      <c r="AB4993" s="81" t="str">
        <f>IFERROR(HLOOKUP(K4993,データについて!$J$5:$AH$20,14,FALSE),"")</f>
        <v/>
      </c>
      <c r="AC4993" s="81" t="e">
        <f>IF(X4993=1,HLOOKUP(R4993,データについて!$J$12:$M$18,7,FALSE),"*")</f>
        <v>#N/A</v>
      </c>
      <c r="AD4993" s="81" t="e">
        <f>IF(X4993=2,HLOOKUP(R4993,データについて!$J$12:$M$18,7,FALSE),"*")</f>
        <v>#N/A</v>
      </c>
    </row>
    <row r="4994" spans="19:30">
      <c r="S4994" s="81" t="e">
        <f>HLOOKUP(L4994,データについて!$J$6:$M$18,13,FALSE)</f>
        <v>#N/A</v>
      </c>
      <c r="T4994" s="81" t="e">
        <f>HLOOKUP(M4994,データについて!$J$7:$M$18,12,FALSE)</f>
        <v>#N/A</v>
      </c>
      <c r="U4994" s="81" t="e">
        <f>HLOOKUP(N4994,データについて!$J$8:$M$18,11,FALSE)</f>
        <v>#N/A</v>
      </c>
      <c r="V4994" s="81" t="e">
        <f>HLOOKUP(O4994,データについて!$J$9:$M$18,10,FALSE)</f>
        <v>#N/A</v>
      </c>
      <c r="W4994" s="81" t="e">
        <f>HLOOKUP(P4994,データについて!$J$10:$M$18,9,FALSE)</f>
        <v>#N/A</v>
      </c>
      <c r="X4994" s="81" t="e">
        <f>HLOOKUP(Q4994,データについて!$J$11:$M$18,8,FALSE)</f>
        <v>#N/A</v>
      </c>
      <c r="Y4994" s="81" t="e">
        <f>HLOOKUP(R4994,データについて!$J$12:$M$18,7,FALSE)</f>
        <v>#N/A</v>
      </c>
      <c r="Z4994" s="81" t="e">
        <f>HLOOKUP(I4994,データについて!$J$3:$M$18,16,FALSE)</f>
        <v>#N/A</v>
      </c>
      <c r="AA4994" s="81" t="str">
        <f>IFERROR(HLOOKUP(J4994,データについて!$J$4:$AH$19,16,FALSE),"")</f>
        <v/>
      </c>
      <c r="AB4994" s="81" t="str">
        <f>IFERROR(HLOOKUP(K4994,データについて!$J$5:$AH$20,14,FALSE),"")</f>
        <v/>
      </c>
      <c r="AC4994" s="81" t="e">
        <f>IF(X4994=1,HLOOKUP(R4994,データについて!$J$12:$M$18,7,FALSE),"*")</f>
        <v>#N/A</v>
      </c>
      <c r="AD4994" s="81" t="e">
        <f>IF(X4994=2,HLOOKUP(R4994,データについて!$J$12:$M$18,7,FALSE),"*")</f>
        <v>#N/A</v>
      </c>
    </row>
    <row r="4995" spans="19:30">
      <c r="S4995" s="81" t="e">
        <f>HLOOKUP(L4995,データについて!$J$6:$M$18,13,FALSE)</f>
        <v>#N/A</v>
      </c>
      <c r="T4995" s="81" t="e">
        <f>HLOOKUP(M4995,データについて!$J$7:$M$18,12,FALSE)</f>
        <v>#N/A</v>
      </c>
      <c r="U4995" s="81" t="e">
        <f>HLOOKUP(N4995,データについて!$J$8:$M$18,11,FALSE)</f>
        <v>#N/A</v>
      </c>
      <c r="V4995" s="81" t="e">
        <f>HLOOKUP(O4995,データについて!$J$9:$M$18,10,FALSE)</f>
        <v>#N/A</v>
      </c>
      <c r="W4995" s="81" t="e">
        <f>HLOOKUP(P4995,データについて!$J$10:$M$18,9,FALSE)</f>
        <v>#N/A</v>
      </c>
      <c r="X4995" s="81" t="e">
        <f>HLOOKUP(Q4995,データについて!$J$11:$M$18,8,FALSE)</f>
        <v>#N/A</v>
      </c>
      <c r="Y4995" s="81" t="e">
        <f>HLOOKUP(R4995,データについて!$J$12:$M$18,7,FALSE)</f>
        <v>#N/A</v>
      </c>
      <c r="Z4995" s="81" t="e">
        <f>HLOOKUP(I4995,データについて!$J$3:$M$18,16,FALSE)</f>
        <v>#N/A</v>
      </c>
      <c r="AA4995" s="81" t="str">
        <f>IFERROR(HLOOKUP(J4995,データについて!$J$4:$AH$19,16,FALSE),"")</f>
        <v/>
      </c>
      <c r="AB4995" s="81" t="str">
        <f>IFERROR(HLOOKUP(K4995,データについて!$J$5:$AH$20,14,FALSE),"")</f>
        <v/>
      </c>
      <c r="AC4995" s="81" t="e">
        <f>IF(X4995=1,HLOOKUP(R4995,データについて!$J$12:$M$18,7,FALSE),"*")</f>
        <v>#N/A</v>
      </c>
      <c r="AD4995" s="81" t="e">
        <f>IF(X4995=2,HLOOKUP(R4995,データについて!$J$12:$M$18,7,FALSE),"*")</f>
        <v>#N/A</v>
      </c>
    </row>
    <row r="4996" spans="19:30">
      <c r="S4996" s="81" t="e">
        <f>HLOOKUP(L4996,データについて!$J$6:$M$18,13,FALSE)</f>
        <v>#N/A</v>
      </c>
      <c r="T4996" s="81" t="e">
        <f>HLOOKUP(M4996,データについて!$J$7:$M$18,12,FALSE)</f>
        <v>#N/A</v>
      </c>
      <c r="U4996" s="81" t="e">
        <f>HLOOKUP(N4996,データについて!$J$8:$M$18,11,FALSE)</f>
        <v>#N/A</v>
      </c>
      <c r="V4996" s="81" t="e">
        <f>HLOOKUP(O4996,データについて!$J$9:$M$18,10,FALSE)</f>
        <v>#N/A</v>
      </c>
      <c r="W4996" s="81" t="e">
        <f>HLOOKUP(P4996,データについて!$J$10:$M$18,9,FALSE)</f>
        <v>#N/A</v>
      </c>
      <c r="X4996" s="81" t="e">
        <f>HLOOKUP(Q4996,データについて!$J$11:$M$18,8,FALSE)</f>
        <v>#N/A</v>
      </c>
      <c r="Y4996" s="81" t="e">
        <f>HLOOKUP(R4996,データについて!$J$12:$M$18,7,FALSE)</f>
        <v>#N/A</v>
      </c>
      <c r="Z4996" s="81" t="e">
        <f>HLOOKUP(I4996,データについて!$J$3:$M$18,16,FALSE)</f>
        <v>#N/A</v>
      </c>
      <c r="AA4996" s="81" t="str">
        <f>IFERROR(HLOOKUP(J4996,データについて!$J$4:$AH$19,16,FALSE),"")</f>
        <v/>
      </c>
      <c r="AB4996" s="81" t="str">
        <f>IFERROR(HLOOKUP(K4996,データについて!$J$5:$AH$20,14,FALSE),"")</f>
        <v/>
      </c>
      <c r="AC4996" s="81" t="e">
        <f>IF(X4996=1,HLOOKUP(R4996,データについて!$J$12:$M$18,7,FALSE),"*")</f>
        <v>#N/A</v>
      </c>
      <c r="AD4996" s="81" t="e">
        <f>IF(X4996=2,HLOOKUP(R4996,データについて!$J$12:$M$18,7,FALSE),"*")</f>
        <v>#N/A</v>
      </c>
    </row>
    <row r="4997" spans="19:30">
      <c r="S4997" s="81" t="e">
        <f>HLOOKUP(L4997,データについて!$J$6:$M$18,13,FALSE)</f>
        <v>#N/A</v>
      </c>
      <c r="T4997" s="81" t="e">
        <f>HLOOKUP(M4997,データについて!$J$7:$M$18,12,FALSE)</f>
        <v>#N/A</v>
      </c>
      <c r="U4997" s="81" t="e">
        <f>HLOOKUP(N4997,データについて!$J$8:$M$18,11,FALSE)</f>
        <v>#N/A</v>
      </c>
      <c r="V4997" s="81" t="e">
        <f>HLOOKUP(O4997,データについて!$J$9:$M$18,10,FALSE)</f>
        <v>#N/A</v>
      </c>
      <c r="W4997" s="81" t="e">
        <f>HLOOKUP(P4997,データについて!$J$10:$M$18,9,FALSE)</f>
        <v>#N/A</v>
      </c>
      <c r="X4997" s="81" t="e">
        <f>HLOOKUP(Q4997,データについて!$J$11:$M$18,8,FALSE)</f>
        <v>#N/A</v>
      </c>
      <c r="Y4997" s="81" t="e">
        <f>HLOOKUP(R4997,データについて!$J$12:$M$18,7,FALSE)</f>
        <v>#N/A</v>
      </c>
      <c r="Z4997" s="81" t="e">
        <f>HLOOKUP(I4997,データについて!$J$3:$M$18,16,FALSE)</f>
        <v>#N/A</v>
      </c>
      <c r="AA4997" s="81" t="str">
        <f>IFERROR(HLOOKUP(J4997,データについて!$J$4:$AH$19,16,FALSE),"")</f>
        <v/>
      </c>
      <c r="AB4997" s="81" t="str">
        <f>IFERROR(HLOOKUP(K4997,データについて!$J$5:$AH$20,14,FALSE),"")</f>
        <v/>
      </c>
      <c r="AC4997" s="81" t="e">
        <f>IF(X4997=1,HLOOKUP(R4997,データについて!$J$12:$M$18,7,FALSE),"*")</f>
        <v>#N/A</v>
      </c>
      <c r="AD4997" s="81" t="e">
        <f>IF(X4997=2,HLOOKUP(R4997,データについて!$J$12:$M$18,7,FALSE),"*")</f>
        <v>#N/A</v>
      </c>
    </row>
    <row r="4998" spans="19:30">
      <c r="S4998" s="81" t="e">
        <f>HLOOKUP(L4998,データについて!$J$6:$M$18,13,FALSE)</f>
        <v>#N/A</v>
      </c>
      <c r="T4998" s="81" t="e">
        <f>HLOOKUP(M4998,データについて!$J$7:$M$18,12,FALSE)</f>
        <v>#N/A</v>
      </c>
      <c r="U4998" s="81" t="e">
        <f>HLOOKUP(N4998,データについて!$J$8:$M$18,11,FALSE)</f>
        <v>#N/A</v>
      </c>
      <c r="V4998" s="81" t="e">
        <f>HLOOKUP(O4998,データについて!$J$9:$M$18,10,FALSE)</f>
        <v>#N/A</v>
      </c>
      <c r="W4998" s="81" t="e">
        <f>HLOOKUP(P4998,データについて!$J$10:$M$18,9,FALSE)</f>
        <v>#N/A</v>
      </c>
      <c r="X4998" s="81" t="e">
        <f>HLOOKUP(Q4998,データについて!$J$11:$M$18,8,FALSE)</f>
        <v>#N/A</v>
      </c>
      <c r="Y4998" s="81" t="e">
        <f>HLOOKUP(R4998,データについて!$J$12:$M$18,7,FALSE)</f>
        <v>#N/A</v>
      </c>
      <c r="Z4998" s="81" t="e">
        <f>HLOOKUP(I4998,データについて!$J$3:$M$18,16,FALSE)</f>
        <v>#N/A</v>
      </c>
      <c r="AA4998" s="81" t="str">
        <f>IFERROR(HLOOKUP(J4998,データについて!$J$4:$AH$19,16,FALSE),"")</f>
        <v/>
      </c>
      <c r="AB4998" s="81" t="str">
        <f>IFERROR(HLOOKUP(K4998,データについて!$J$5:$AH$20,14,FALSE),"")</f>
        <v/>
      </c>
      <c r="AC4998" s="81" t="e">
        <f>IF(X4998=1,HLOOKUP(R4998,データについて!$J$12:$M$18,7,FALSE),"*")</f>
        <v>#N/A</v>
      </c>
      <c r="AD4998" s="81" t="e">
        <f>IF(X4998=2,HLOOKUP(R4998,データについて!$J$12:$M$18,7,FALSE),"*")</f>
        <v>#N/A</v>
      </c>
    </row>
    <row r="4999" spans="19:30">
      <c r="S4999" s="81" t="e">
        <f>HLOOKUP(L4999,データについて!$J$6:$M$18,13,FALSE)</f>
        <v>#N/A</v>
      </c>
      <c r="T4999" s="81" t="e">
        <f>HLOOKUP(M4999,データについて!$J$7:$M$18,12,FALSE)</f>
        <v>#N/A</v>
      </c>
      <c r="U4999" s="81" t="e">
        <f>HLOOKUP(N4999,データについて!$J$8:$M$18,11,FALSE)</f>
        <v>#N/A</v>
      </c>
      <c r="V4999" s="81" t="e">
        <f>HLOOKUP(O4999,データについて!$J$9:$M$18,10,FALSE)</f>
        <v>#N/A</v>
      </c>
      <c r="W4999" s="81" t="e">
        <f>HLOOKUP(P4999,データについて!$J$10:$M$18,9,FALSE)</f>
        <v>#N/A</v>
      </c>
      <c r="X4999" s="81" t="e">
        <f>HLOOKUP(Q4999,データについて!$J$11:$M$18,8,FALSE)</f>
        <v>#N/A</v>
      </c>
      <c r="Y4999" s="81" t="e">
        <f>HLOOKUP(R4999,データについて!$J$12:$M$18,7,FALSE)</f>
        <v>#N/A</v>
      </c>
      <c r="Z4999" s="81" t="e">
        <f>HLOOKUP(I4999,データについて!$J$3:$M$18,16,FALSE)</f>
        <v>#N/A</v>
      </c>
      <c r="AA4999" s="81" t="str">
        <f>IFERROR(HLOOKUP(J4999,データについて!$J$4:$AH$19,16,FALSE),"")</f>
        <v/>
      </c>
      <c r="AB4999" s="81" t="str">
        <f>IFERROR(HLOOKUP(K4999,データについて!$J$5:$AH$20,14,FALSE),"")</f>
        <v/>
      </c>
      <c r="AC4999" s="81" t="e">
        <f>IF(X4999=1,HLOOKUP(R4999,データについて!$J$12:$M$18,7,FALSE),"*")</f>
        <v>#N/A</v>
      </c>
      <c r="AD4999" s="81" t="e">
        <f>IF(X4999=2,HLOOKUP(R4999,データについて!$J$12:$M$18,7,FALSE),"*")</f>
        <v>#N/A</v>
      </c>
    </row>
    <row r="5000" spans="19:30">
      <c r="S5000" s="81" t="e">
        <f>HLOOKUP(L5000,データについて!$J$6:$M$18,13,FALSE)</f>
        <v>#N/A</v>
      </c>
      <c r="T5000" s="81" t="e">
        <f>HLOOKUP(M5000,データについて!$J$7:$M$18,12,FALSE)</f>
        <v>#N/A</v>
      </c>
      <c r="U5000" s="81" t="e">
        <f>HLOOKUP(N5000,データについて!$J$8:$M$18,11,FALSE)</f>
        <v>#N/A</v>
      </c>
      <c r="V5000" s="81" t="e">
        <f>HLOOKUP(O5000,データについて!$J$9:$M$18,10,FALSE)</f>
        <v>#N/A</v>
      </c>
      <c r="W5000" s="81" t="e">
        <f>HLOOKUP(P5000,データについて!$J$10:$M$18,9,FALSE)</f>
        <v>#N/A</v>
      </c>
      <c r="X5000" s="81" t="e">
        <f>HLOOKUP(Q5000,データについて!$J$11:$M$18,8,FALSE)</f>
        <v>#N/A</v>
      </c>
      <c r="Y5000" s="81" t="e">
        <f>HLOOKUP(R5000,データについて!$J$12:$M$18,7,FALSE)</f>
        <v>#N/A</v>
      </c>
      <c r="Z5000" s="81" t="e">
        <f>HLOOKUP(I5000,データについて!$J$3:$M$18,16,FALSE)</f>
        <v>#N/A</v>
      </c>
      <c r="AA5000" s="81" t="str">
        <f>IFERROR(HLOOKUP(J5000,データについて!$J$4:$AH$19,16,FALSE),"")</f>
        <v/>
      </c>
      <c r="AB5000" s="81" t="str">
        <f>IFERROR(HLOOKUP(K5000,データについて!$J$5:$AH$20,14,FALSE),"")</f>
        <v/>
      </c>
      <c r="AC5000" s="81" t="e">
        <f>IF(X5000=1,HLOOKUP(R5000,データについて!$J$12:$M$18,7,FALSE),"*")</f>
        <v>#N/A</v>
      </c>
      <c r="AD5000" s="81" t="e">
        <f>IF(X5000=2,HLOOKUP(R5000,データについて!$J$12:$M$18,7,FALSE),"*")</f>
        <v>#N/A</v>
      </c>
    </row>
  </sheetData>
  <autoFilter ref="A4:AD2656"/>
  <phoneticPr fontId="2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B79"/>
  <sheetViews>
    <sheetView tabSelected="1" view="pageBreakPreview" zoomScaleNormal="100" zoomScaleSheetLayoutView="100" workbookViewId="0">
      <pane xSplit="4" ySplit="5" topLeftCell="E6" activePane="bottomRight" state="frozen"/>
      <selection pane="topRight"/>
      <selection pane="bottomLeft"/>
      <selection pane="bottomRight" activeCell="E6" sqref="E6"/>
    </sheetView>
  </sheetViews>
  <sheetFormatPr defaultRowHeight="13.5" outlineLevelRow="1"/>
  <cols>
    <col min="1" max="1" width="5.25" style="30" bestFit="1" customWidth="1"/>
    <col min="2" max="2" width="6.625" customWidth="1"/>
    <col min="3" max="3" width="12.625" customWidth="1"/>
    <col min="4" max="4" width="10.625" customWidth="1"/>
    <col min="5" max="9" width="11.625" customWidth="1"/>
    <col min="10" max="10" width="9" customWidth="1"/>
    <col min="11" max="11" width="9" style="30" hidden="1" customWidth="1"/>
    <col min="12" max="13" width="9" style="105" hidden="1" customWidth="1"/>
    <col min="14" max="14" width="9" style="30" hidden="1" customWidth="1"/>
    <col min="15" max="16" width="9" style="32" hidden="1" customWidth="1"/>
    <col min="17" max="17" width="9" style="32"/>
  </cols>
  <sheetData>
    <row r="1" spans="1:80" ht="175.5" hidden="1" outlineLevel="1">
      <c r="B1" s="31" t="str">
        <f>データについて!B7</f>
        <v>あなたは学校が楽しいですか？</v>
      </c>
      <c r="C1" s="31" t="str">
        <f>データについて!B8</f>
        <v>あなたは給食が楽しみですか？</v>
      </c>
      <c r="D1" s="31" t="str">
        <f>データについて!B9</f>
        <v>あなたはふだん朝食を食べますか？</v>
      </c>
      <c r="E1" s="31" t="str">
        <f>データについて!B10</f>
        <v>あなたは日常生活において、自転車に乗るときにヘルメットを着用していますか？</v>
      </c>
      <c r="F1" s="31" t="str">
        <f>データについて!B11</f>
        <v>「あなたがいてくれてよかった」「あなたのことが大好きだよ」という気持ちを家族やまわりの人から聞いたことがありますか？</v>
      </c>
      <c r="G1" s="31" t="str">
        <f>データについて!B12</f>
        <v>自分の良いところ、悪いところも含めて、今の自分を好きといえますか？</v>
      </c>
      <c r="H1" s="1" t="str">
        <f>データについて!B13</f>
        <v>「あなたがいてくれてよかった」「あなたのことが大好きだよ」という気持ちを家族やまわりの人から聞いたことがあるこどものうち、今の自分を好きと答えた割合</v>
      </c>
      <c r="I1" s="31" t="str">
        <f>データについて!B14</f>
        <v>「あなたがいてくれてよかった」「あなたのことが大好きだよ」という気持ちを家族やまわりの人から聞いたことが「ない」こどものうち、今の自分を好きと答えた割合</v>
      </c>
      <c r="J1" s="64"/>
      <c r="K1" s="64"/>
      <c r="L1" s="104"/>
      <c r="M1" s="104"/>
      <c r="N1" s="64"/>
      <c r="O1" s="89"/>
      <c r="P1" s="89"/>
      <c r="Q1" s="89"/>
      <c r="R1" s="64"/>
      <c r="S1" s="64"/>
      <c r="T1" s="64"/>
      <c r="U1" s="64"/>
      <c r="V1" s="64"/>
      <c r="W1" s="64"/>
      <c r="X1" s="64"/>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row>
    <row r="2" spans="1:80" collapsed="1">
      <c r="O2" s="88"/>
      <c r="P2" s="88"/>
      <c r="Q2" s="88"/>
      <c r="R2" s="65"/>
      <c r="S2" s="65"/>
      <c r="T2" s="65"/>
      <c r="U2" s="65"/>
      <c r="V2" s="65"/>
      <c r="W2" s="65"/>
      <c r="X2" s="65"/>
      <c r="Y2" s="65"/>
    </row>
    <row r="3" spans="1:80" ht="21" customHeight="1">
      <c r="B3" s="126" t="s">
        <v>146</v>
      </c>
      <c r="C3" s="126"/>
      <c r="D3" s="126"/>
      <c r="E3" s="126"/>
      <c r="F3" s="126"/>
      <c r="G3" s="126"/>
      <c r="H3" s="126"/>
      <c r="I3" s="112" t="str">
        <f>IF(B3=B1,"[問3]",IF(B3=C1,"[問4]",IF(B3=D1,"[問5]",IF(B3=E1,"[問6]",IF(B3=F1,"[問7]",IF(B3=G1,"[問8]",IF(B3=H1,"[問7]×[問8]",IF(B3=I1,"[問7']×[問8]",""))))))))</f>
        <v>[問3]</v>
      </c>
      <c r="O3" s="88"/>
      <c r="P3" s="88"/>
      <c r="Q3" s="88"/>
      <c r="R3" s="65"/>
      <c r="S3" s="65"/>
      <c r="T3" s="65"/>
      <c r="U3" s="65"/>
      <c r="V3" s="65"/>
      <c r="W3" s="65"/>
      <c r="X3" s="65"/>
      <c r="Y3" s="65"/>
    </row>
    <row r="4" spans="1:80" ht="18" customHeight="1">
      <c r="B4" s="55">
        <f>HLOOKUP(B3,【貼付用】児童・生徒アンケートlist!2:4,3,FALSE)</f>
        <v>4</v>
      </c>
      <c r="C4" s="55"/>
      <c r="D4" s="2"/>
      <c r="E4" s="2"/>
      <c r="F4" s="2"/>
      <c r="G4" s="2"/>
      <c r="H4" s="2"/>
      <c r="O4" s="88"/>
      <c r="P4" s="88"/>
      <c r="Q4" s="88"/>
      <c r="R4" s="65"/>
      <c r="S4" s="65"/>
      <c r="T4" s="65"/>
      <c r="U4" s="65"/>
      <c r="V4" s="65"/>
      <c r="W4" s="65"/>
      <c r="X4" s="65"/>
      <c r="Y4" s="65"/>
    </row>
    <row r="5" spans="1:80" ht="65.099999999999994" customHeight="1" thickBot="1">
      <c r="B5" s="73" t="str">
        <f>HLOOKUP(B3,【貼付用】児童・生徒アンケートlist!2:3,2,FALSE)</f>
        <v>【貼付用】児童・生徒アンケートlist!T5:T5000</v>
      </c>
      <c r="C5" s="74"/>
      <c r="D5" s="2"/>
      <c r="E5" s="3" t="str">
        <f>IF($B$3=$B$1,データについて!$J7,IF($B$3=$C$1,データについて!$J8,IF($B$3=$D$1,データについて!$J9,IF($B$3=$E$1,データについて!$J10,IF($B$3=$F$1,データについて!$J11,IF($B$3=$G$1,データについて!$J12,IF($B$3=$H$1,データについて!$J13,IF($B$3=$I$1,データについて!$J14))))))))</f>
        <v>楽しい</v>
      </c>
      <c r="F5" s="4" t="str">
        <f>IF($B$3=$B$1,データについて!$K7,IF($B$3=$C$1,データについて!$K8,IF($B$3=$D$1,データについて!$K9,IF($B$3=$E$1,データについて!$K10,IF($B$3=$F$1,データについて!$K11,IF($B$3=$G$1,データについて!$K12,IF($B$3=$H$1,データについて!$K13,IF($B$3=$I$1,データについて!$K14))))))))</f>
        <v>どちらかといえば楽しい</v>
      </c>
      <c r="G5" s="3" t="str">
        <f>IF($B$3=$B$1,データについて!$L7,IF($B$3=$C$1,データについて!$L8,IF($B$3=$D$1,データについて!$L9,IF($B$3=$E$1,データについて!$L10,IF($B$3=$F$1,データについて!$L11,IF($B$3=$G$1,データについて!$L12,IF($B$3=$H$1,データについて!$L13,IF($B$3=$I$1,データについて!$L14))))))))</f>
        <v>どちらかといえば楽しくない</v>
      </c>
      <c r="H5" s="4" t="str">
        <f>IF($B$3=$B$1,データについて!$M7,IF($B$3=$C$1,データについて!$M8,IF($B$3=$D$1,データについて!$M9,IF($B$3=$E$1,データについて!$M10,IF($B$3=$F$1,データについて!$M11,IF($B$3=$G$1,データについて!$M12,IF($B$3=$H$1,データについて!$M13,IF($B$3=$I$1,データについて!$M14))))))))</f>
        <v>楽しくない</v>
      </c>
      <c r="I5" s="3" t="s">
        <v>1</v>
      </c>
      <c r="L5" s="106" t="s">
        <v>4338</v>
      </c>
      <c r="M5" s="110" t="s">
        <v>4339</v>
      </c>
      <c r="N5" s="93" t="s">
        <v>151</v>
      </c>
      <c r="O5" s="94"/>
      <c r="P5" s="94"/>
      <c r="Q5" s="88"/>
      <c r="R5" s="65"/>
      <c r="S5" s="65"/>
      <c r="T5" s="65"/>
      <c r="U5" s="65"/>
      <c r="V5" s="65"/>
      <c r="W5" s="65"/>
      <c r="X5" s="65"/>
      <c r="Y5" s="65"/>
    </row>
    <row r="6" spans="1:80" ht="15.95" customHeight="1" thickTop="1" thickBot="1">
      <c r="B6" s="133" t="s">
        <v>2</v>
      </c>
      <c r="C6" s="134"/>
      <c r="D6" s="5" t="s">
        <v>3</v>
      </c>
      <c r="E6" s="6">
        <f ca="1">IF(B4=4,COUNTIF(INDIRECT($B$5),1),COUNTIF(INDIRECT($B$5),1))</f>
        <v>1461</v>
      </c>
      <c r="F6" s="7">
        <f ca="1">IF(B4=4,COUNTIF(INDIRECT($B$5),2),COUNTIF(INDIRECT($B$5),2))</f>
        <v>951</v>
      </c>
      <c r="G6" s="6">
        <f ca="1">IF(B4=4,COUNTIF(INDIRECT($B$5),3),"－")</f>
        <v>169</v>
      </c>
      <c r="H6" s="7">
        <f ca="1">IF(B4=4,COUNTIF(INDIRECT($B$5),4),"－")</f>
        <v>71</v>
      </c>
      <c r="I6" s="8">
        <f ca="1">COUNTIFS(INDIRECT($B$5),"0")</f>
        <v>0</v>
      </c>
      <c r="J6" s="9">
        <f ca="1">SUM(E6:I6)</f>
        <v>2652</v>
      </c>
      <c r="K6" s="90">
        <f>COUNTA(【貼付用】児童・生徒アンケートlist!$A$5:$A$5000)</f>
        <v>2652</v>
      </c>
      <c r="L6" s="107">
        <f>SUM(L14:L16)</f>
        <v>2725</v>
      </c>
      <c r="M6" s="107">
        <f ca="1">J6-L6</f>
        <v>-73</v>
      </c>
      <c r="N6" s="95" t="str">
        <f ca="1">IF(J6=K6,"○","エラー")</f>
        <v>○</v>
      </c>
      <c r="O6" s="95" t="str">
        <f ca="1">IF(J6=SUM(J8:J13),"○","エラー")</f>
        <v>○</v>
      </c>
      <c r="P6" s="95" t="str">
        <f ca="1">IF(J14=SUM(J18:J49),"○","エラー")</f>
        <v>○</v>
      </c>
      <c r="Q6" s="88"/>
      <c r="R6" s="65"/>
      <c r="S6" s="65"/>
      <c r="T6" s="65"/>
      <c r="U6" s="65"/>
      <c r="V6" s="65"/>
      <c r="W6" s="65"/>
      <c r="X6" s="65"/>
      <c r="Y6" s="65"/>
    </row>
    <row r="7" spans="1:80" ht="15.95" customHeight="1" thickTop="1" thickBot="1">
      <c r="B7" s="133"/>
      <c r="C7" s="134"/>
      <c r="D7" s="10" t="s">
        <v>4</v>
      </c>
      <c r="E7" s="11">
        <f ca="1">E6/$J$6</f>
        <v>0.55090497737556565</v>
      </c>
      <c r="F7" s="12">
        <f ca="1">F6/$J$6</f>
        <v>0.35859728506787331</v>
      </c>
      <c r="G7" s="11">
        <f ca="1">IF(B4=4,G6/$J$6,"－")</f>
        <v>6.3725490196078427E-2</v>
      </c>
      <c r="H7" s="12">
        <f ca="1">IF(B4=4,H6/$J$6,"－")</f>
        <v>2.6772247360482653E-2</v>
      </c>
      <c r="I7" s="13">
        <f ca="1">I6/$J$6</f>
        <v>0</v>
      </c>
      <c r="J7" s="14"/>
      <c r="K7" s="91"/>
      <c r="L7" s="108"/>
      <c r="M7" s="108"/>
      <c r="N7" s="96"/>
      <c r="O7" s="95" t="str">
        <f ca="1">IF(J6=SUM(J14:J17),"○","エラー")</f>
        <v>○</v>
      </c>
      <c r="P7" s="95" t="str">
        <f ca="1">IF(J16=SUM(J50:J67),"○","エラー")</f>
        <v>○</v>
      </c>
      <c r="Q7" s="88"/>
      <c r="R7" s="65"/>
      <c r="S7" s="65"/>
      <c r="T7" s="65"/>
      <c r="U7" s="65"/>
      <c r="V7" s="65"/>
      <c r="W7" s="65"/>
      <c r="X7" s="65"/>
      <c r="Y7" s="65"/>
    </row>
    <row r="8" spans="1:80" ht="15.95" customHeight="1" thickTop="1">
      <c r="B8" s="135" t="s">
        <v>5</v>
      </c>
      <c r="C8" s="130" t="s">
        <v>6</v>
      </c>
      <c r="D8" s="5" t="s">
        <v>3</v>
      </c>
      <c r="E8" s="6">
        <f ca="1">IF($B$4=4,COUNTIFS(INDIRECT($B$5),1,【貼付用】児童・生徒アンケートlist!$S$5:$S$5000,1),COUNTIFS(INDIRECT($B$5),1,【貼付用】児童・生徒アンケートlist!$S$5:$S$5000,1))</f>
        <v>776</v>
      </c>
      <c r="F8" s="7">
        <f ca="1">IF($B$4=4,COUNTIFS(INDIRECT($B$5),2,【貼付用】児童・生徒アンケートlist!$S$5:$S$5000,1),COUNTIFS(INDIRECT($B$5),2,【貼付用】児童・生徒アンケートlist!$S$5:$S$5000,1))</f>
        <v>485</v>
      </c>
      <c r="G8" s="6">
        <f ca="1">IF($B$4=4,COUNTIFS(INDIRECT($B$5),3,【貼付用】児童・生徒アンケートlist!$S$5:$S$5000,1),"－")</f>
        <v>73</v>
      </c>
      <c r="H8" s="7">
        <f ca="1">IF($B$4=4,COUNTIFS(INDIRECT($B$5),4,【貼付用】児童・生徒アンケートlist!$S$5:$S$5000,1),"－")</f>
        <v>50</v>
      </c>
      <c r="I8" s="15">
        <f ca="1">COUNTIFS(INDIRECT($B$5),"",【貼付用】児童・生徒アンケートlist!$S$5:$S$5000,1)+COUNTIFS(INDIRECT($B$5),"0",【貼付用】児童・生徒アンケートlist!$S$5:$S$5000,1)</f>
        <v>0</v>
      </c>
      <c r="J8" s="16">
        <f ca="1">SUM(E8:I8)</f>
        <v>1384</v>
      </c>
      <c r="K8" s="63">
        <f>COUNTIF(【貼付用】児童・生徒アンケートlist!$L$5:$L$5000,"男")</f>
        <v>1384</v>
      </c>
      <c r="L8" s="109"/>
      <c r="M8" s="109"/>
      <c r="N8" s="95" t="str">
        <f ca="1">IF(J8=K8,"○","エラー")</f>
        <v>○</v>
      </c>
      <c r="O8" s="95" t="str">
        <f ca="1">IF(J6=SUM(J18:J67),"○","エラー")</f>
        <v>○</v>
      </c>
      <c r="P8" s="92"/>
      <c r="Q8" s="88"/>
      <c r="R8" s="65"/>
      <c r="S8" s="65"/>
      <c r="T8" s="65"/>
      <c r="U8" s="65"/>
      <c r="V8" s="65"/>
      <c r="W8" s="65"/>
      <c r="X8" s="65"/>
      <c r="Y8" s="65"/>
    </row>
    <row r="9" spans="1:80" ht="15.95" customHeight="1">
      <c r="B9" s="136"/>
      <c r="C9" s="128"/>
      <c r="D9" s="17" t="s">
        <v>4</v>
      </c>
      <c r="E9" s="18">
        <f ca="1">E8/$J$8</f>
        <v>0.56069364161849711</v>
      </c>
      <c r="F9" s="19">
        <f ca="1">F8/$J$8</f>
        <v>0.35043352601156069</v>
      </c>
      <c r="G9" s="18">
        <f ca="1">IF($B$4=4,G8/$J$8,"－")</f>
        <v>5.2745664739884394E-2</v>
      </c>
      <c r="H9" s="19">
        <f ca="1">IF($B$4=4,H8/$J$8,"－")</f>
        <v>3.6127167630057806E-2</v>
      </c>
      <c r="I9" s="20">
        <f ca="1">I8/$J$8</f>
        <v>0</v>
      </c>
      <c r="N9" s="97"/>
      <c r="O9" s="92"/>
      <c r="P9" s="92"/>
      <c r="Q9" s="88"/>
      <c r="R9" s="65"/>
      <c r="S9" s="65"/>
      <c r="T9" s="65"/>
      <c r="U9" s="65"/>
      <c r="V9" s="65"/>
      <c r="W9" s="65"/>
      <c r="X9" s="65"/>
      <c r="Y9" s="65"/>
    </row>
    <row r="10" spans="1:80" s="30" customFormat="1" ht="15.95" customHeight="1">
      <c r="B10" s="136"/>
      <c r="C10" s="127" t="s">
        <v>7</v>
      </c>
      <c r="D10" s="77" t="s">
        <v>3</v>
      </c>
      <c r="E10" s="78">
        <f ca="1">IF($B$4=4,COUNTIFS(INDIRECT($B$5),1,【貼付用】児童・生徒アンケートlist!$S$5:$S$5000,2),COUNTIFS(INDIRECT($B$5),1,【貼付用】児童・生徒アンケートlist!$S$5:$S$5000,2))</f>
        <v>676</v>
      </c>
      <c r="F10" s="28">
        <f ca="1">IF($B$4=4,COUNTIFS(INDIRECT($B$5),2,【貼付用】児童・生徒アンケートlist!$S$5:$S$5000,2),COUNTIFS(INDIRECT($B$5),2,【貼付用】児童・生徒アンケートlist!$S$5:$S$5000,2))</f>
        <v>458</v>
      </c>
      <c r="G10" s="78">
        <f ca="1">IF($B$4=4,COUNTIFS(INDIRECT($B$5),3,【貼付用】児童・生徒アンケートlist!$S$5:$S$5000,2),"－")</f>
        <v>91</v>
      </c>
      <c r="H10" s="28">
        <f ca="1">IF($B$4=4,COUNTIFS(INDIRECT($B$5),4,【貼付用】児童・生徒アンケートlist!$S$5:$S$5000,2),"－")</f>
        <v>21</v>
      </c>
      <c r="I10" s="87">
        <f ca="1">COUNTIFS(INDIRECT($B$5),"",【貼付用】児童・生徒アンケートlist!$S$5:$S$5000,2)+COUNTIFS(INDIRECT($B$5),"0",【貼付用】児童・生徒アンケートlist!$S$5:$S$5000,2)</f>
        <v>0</v>
      </c>
      <c r="J10" s="30">
        <f ca="1">SUM(E10:I10)</f>
        <v>1246</v>
      </c>
      <c r="K10" s="63">
        <f>COUNTIF(【貼付用】児童・生徒アンケートlist!$L$5:$L$5000,"女")</f>
        <v>1246</v>
      </c>
      <c r="L10" s="109"/>
      <c r="M10" s="109"/>
      <c r="N10" s="95" t="str">
        <f ca="1">IF(J10=K10,"○","エラー")</f>
        <v>○</v>
      </c>
      <c r="O10" s="92"/>
      <c r="P10" s="92"/>
      <c r="Q10" s="88"/>
      <c r="R10" s="65"/>
      <c r="S10" s="65"/>
      <c r="T10" s="65"/>
      <c r="U10" s="65"/>
      <c r="V10" s="65"/>
      <c r="W10" s="65"/>
      <c r="X10" s="65"/>
      <c r="Y10" s="65"/>
    </row>
    <row r="11" spans="1:80" s="30" customFormat="1" ht="15.95" customHeight="1">
      <c r="B11" s="136"/>
      <c r="C11" s="128"/>
      <c r="D11" s="76" t="s">
        <v>4</v>
      </c>
      <c r="E11" s="79">
        <f ca="1">E10/$J$10</f>
        <v>0.5425361155698234</v>
      </c>
      <c r="F11" s="19">
        <f ca="1">F10/$J$10</f>
        <v>0.36757624398073835</v>
      </c>
      <c r="G11" s="79">
        <f ca="1">IF($B$4=4,G10/$J$10,"－")</f>
        <v>7.3033707865168537E-2</v>
      </c>
      <c r="H11" s="19">
        <f ca="1">IF($B$4=4,H10/$J$10,"－")</f>
        <v>1.6853932584269662E-2</v>
      </c>
      <c r="I11" s="40">
        <f ca="1">I10/$J$10</f>
        <v>0</v>
      </c>
      <c r="L11" s="105"/>
      <c r="M11" s="105"/>
      <c r="N11" s="97"/>
      <c r="O11" s="92"/>
      <c r="P11" s="92"/>
      <c r="Q11" s="88"/>
      <c r="R11" s="65"/>
      <c r="S11" s="65"/>
      <c r="T11" s="65"/>
      <c r="U11" s="65"/>
      <c r="V11" s="65"/>
      <c r="W11" s="65"/>
      <c r="X11" s="65"/>
      <c r="Y11" s="65"/>
    </row>
    <row r="12" spans="1:80" ht="15.95" customHeight="1">
      <c r="B12" s="136"/>
      <c r="C12" s="138" t="s">
        <v>150</v>
      </c>
      <c r="D12" s="21" t="s">
        <v>3</v>
      </c>
      <c r="E12" s="22">
        <f ca="1">IF($B$4=4,COUNTIFS(INDIRECT($B$5),1,【貼付用】児童・生徒アンケートlist!$S$5:$S$5000,3),COUNTIFS(INDIRECT($B$5),1,【貼付用】児童・生徒アンケートlist!$S$5:$S$5000,3))</f>
        <v>9</v>
      </c>
      <c r="F12" s="23">
        <f ca="1">IF($B$4=4,COUNTIFS(INDIRECT($B$5),2,【貼付用】児童・生徒アンケートlist!$S$5:$S$5000,3),COUNTIFS(INDIRECT($B$5),2,【貼付用】児童・生徒アンケートlist!$S$5:$S$5000,3))</f>
        <v>8</v>
      </c>
      <c r="G12" s="22">
        <f ca="1">IF($B$4=4,COUNTIFS(INDIRECT($B$5),3,【貼付用】児童・生徒アンケートlist!$S$5:$S$5000,3),"－")</f>
        <v>5</v>
      </c>
      <c r="H12" s="23">
        <f ca="1">IF($B$4=4,COUNTIFS(INDIRECT($B$5),4,【貼付用】児童・生徒アンケートlist!$S$5:$S$5000,3),"－")</f>
        <v>0</v>
      </c>
      <c r="I12" s="24">
        <f ca="1">COUNTIFS(INDIRECT($B$5),"",【貼付用】児童・生徒アンケートlist!$S$5:$S$5000,3)+COUNTIFS(INDIRECT($B$5),"0",【貼付用】児童・生徒アンケートlist!$S$5:$S$5000,3)</f>
        <v>0</v>
      </c>
      <c r="J12">
        <f ca="1">SUM(E12:I12)</f>
        <v>22</v>
      </c>
      <c r="K12" s="63">
        <f>COUNTIF(【貼付用】児童・生徒アンケートlist!$L$5:$L$5000,"その他")</f>
        <v>22</v>
      </c>
      <c r="L12" s="109"/>
      <c r="M12" s="109"/>
      <c r="N12" s="95" t="str">
        <f ca="1">IF(J12=K12,"○","エラー")</f>
        <v>○</v>
      </c>
      <c r="O12" s="92"/>
      <c r="P12" s="92"/>
      <c r="Q12" s="88"/>
      <c r="R12" s="65"/>
      <c r="S12" s="65"/>
      <c r="T12" s="65"/>
      <c r="U12" s="65"/>
      <c r="V12" s="65"/>
      <c r="W12" s="65"/>
      <c r="X12" s="65"/>
      <c r="Y12" s="65"/>
    </row>
    <row r="13" spans="1:80" ht="15.95" customHeight="1" thickBot="1">
      <c r="B13" s="137"/>
      <c r="C13" s="132"/>
      <c r="D13" s="10" t="s">
        <v>4</v>
      </c>
      <c r="E13" s="11">
        <f ca="1">E12/$J$12</f>
        <v>0.40909090909090912</v>
      </c>
      <c r="F13" s="12">
        <f ca="1">F12/$J$12</f>
        <v>0.36363636363636365</v>
      </c>
      <c r="G13" s="11">
        <f ca="1">IF(B4=4,G12/$J$12,"－")</f>
        <v>0.22727272727272727</v>
      </c>
      <c r="H13" s="12">
        <f ca="1">IF(B4=4,H12/$J$12,"－")</f>
        <v>0</v>
      </c>
      <c r="I13" s="13">
        <f ca="1">I12/$J$12</f>
        <v>0</v>
      </c>
      <c r="N13" s="97"/>
      <c r="O13" s="92"/>
      <c r="P13" s="92"/>
      <c r="Q13" s="88"/>
      <c r="R13" s="65"/>
      <c r="S13" s="65"/>
      <c r="T13" s="65"/>
      <c r="U13" s="65"/>
      <c r="V13" s="65"/>
      <c r="W13" s="65"/>
      <c r="X13" s="65"/>
      <c r="Y13" s="65"/>
    </row>
    <row r="14" spans="1:80" ht="15.95" customHeight="1" thickTop="1">
      <c r="B14" s="129" t="s">
        <v>8</v>
      </c>
      <c r="C14" s="130" t="s">
        <v>9</v>
      </c>
      <c r="D14" s="5" t="s">
        <v>3</v>
      </c>
      <c r="E14" s="80">
        <f ca="1">IF($B$4=4,COUNTIFS(INDIRECT($B$5),1,【貼付用】児童・生徒アンケートlist!$Z$5:$Z$5000,1),COUNTIFS(INDIRECT($B$5),1,【貼付用】児童・生徒アンケートlist!$Z$5:$Z$5000,1))</f>
        <v>816</v>
      </c>
      <c r="F14" s="7">
        <f ca="1">IF($B$4=4,COUNTIFS(INDIRECT($B$5),2,【貼付用】児童・生徒アンケートlist!$Z$5:$Z$5000,1),COUNTIFS(INDIRECT($B$5),2,【貼付用】児童・生徒アンケートlist!$Z$5:$Z$5000,1))</f>
        <v>476</v>
      </c>
      <c r="G14" s="6">
        <f ca="1">IF($B$4=4,COUNTIFS(INDIRECT($B$5),3,【貼付用】児童・生徒アンケートlist!$Z$5:$Z$5000,1),"－")</f>
        <v>57</v>
      </c>
      <c r="H14" s="7">
        <f ca="1">IF($B$4=4,COUNTIFS(INDIRECT($B$5),4,【貼付用】児童・生徒アンケートlist!$Z$5:$Z$5000,1),"－")</f>
        <v>23</v>
      </c>
      <c r="I14" s="8">
        <f ca="1">COUNTIFS(INDIRECT($B$5),"",【貼付用】児童・生徒アンケートlist!$Z$5:$Z$5000,1)+COUNTIFS(INDIRECT($B$5),"0",【貼付用】児童・生徒アンケートlist!$Z$5:$Z$5000,1)</f>
        <v>0</v>
      </c>
      <c r="J14">
        <f ca="1">SUM(E14:I14)</f>
        <v>1372</v>
      </c>
      <c r="K14" s="30">
        <f>COUNTIF(【貼付用】児童・生徒アンケートlist!$Z$5:$Z$5000,1)</f>
        <v>1372</v>
      </c>
      <c r="L14" s="105">
        <f>SUM(L18:L48)</f>
        <v>1346</v>
      </c>
      <c r="M14" s="107">
        <f ca="1">J14-L14</f>
        <v>26</v>
      </c>
      <c r="N14" s="95" t="str">
        <f ca="1">IF(J14=K14,"○","エラー")</f>
        <v>○</v>
      </c>
      <c r="O14" s="92"/>
      <c r="P14" s="92"/>
      <c r="Q14" s="88"/>
      <c r="R14" s="65"/>
      <c r="S14" s="65"/>
      <c r="T14" s="65"/>
      <c r="U14" s="65"/>
      <c r="V14" s="65"/>
      <c r="W14" s="65"/>
      <c r="X14" s="65"/>
      <c r="Y14" s="65"/>
    </row>
    <row r="15" spans="1:80" ht="15.95" customHeight="1">
      <c r="B15" s="123"/>
      <c r="C15" s="128"/>
      <c r="D15" s="17" t="s">
        <v>4</v>
      </c>
      <c r="E15" s="18">
        <f ca="1">E14/J14</f>
        <v>0.59475218658892126</v>
      </c>
      <c r="F15" s="19">
        <f ca="1">F14/J14</f>
        <v>0.34693877551020408</v>
      </c>
      <c r="G15" s="18">
        <f ca="1">IF(B4=4,G14/$J$14,"－")</f>
        <v>4.1545189504373178E-2</v>
      </c>
      <c r="H15" s="19">
        <f ca="1">IF(B4=4,H14/$J$14,"－")</f>
        <v>1.6763848396501458E-2</v>
      </c>
      <c r="I15" s="20">
        <f ca="1">I14/J14</f>
        <v>0</v>
      </c>
      <c r="N15" s="97"/>
      <c r="O15" s="92"/>
      <c r="P15" s="92"/>
      <c r="Q15" s="88"/>
      <c r="R15" s="65"/>
      <c r="S15" s="65"/>
      <c r="T15" s="65"/>
      <c r="U15" s="65"/>
      <c r="V15" s="65"/>
      <c r="W15" s="65"/>
      <c r="X15" s="65"/>
      <c r="Y15" s="65"/>
    </row>
    <row r="16" spans="1:80" ht="15.95" customHeight="1">
      <c r="A16" s="30" t="s">
        <v>2931</v>
      </c>
      <c r="B16" s="123"/>
      <c r="C16" s="127" t="s">
        <v>10</v>
      </c>
      <c r="D16" s="21" t="s">
        <v>3</v>
      </c>
      <c r="E16" s="22">
        <f ca="1">IF($B$4=4,COUNTIFS(INDIRECT($B$5),1,【貼付用】児童・生徒アンケートlist!$Z$5:$Z$5000,2),COUNTIFS(INDIRECT($B$5),1,【貼付用】児童・生徒アンケートlist!$Z$5:$Z$5000,2))</f>
        <v>645</v>
      </c>
      <c r="F16" s="23">
        <f ca="1">IF($B$4=4,COUNTIFS(INDIRECT($B$5),2,【貼付用】児童・生徒アンケートlist!$Z$5:$Z$5000,2),COUNTIFS(INDIRECT($B$5),2,【貼付用】児童・生徒アンケートlist!$Z$5:$Z$5000,2))</f>
        <v>475</v>
      </c>
      <c r="G16" s="22">
        <f ca="1">IF($B$4=4,COUNTIFS(INDIRECT($B$5),3,【貼付用】児童・生徒アンケートlist!$Z$5:$Z$5000,2),"－")</f>
        <v>112</v>
      </c>
      <c r="H16" s="23">
        <f ca="1">IF($B$4=4,COUNTIFS(INDIRECT($B$5),4,【貼付用】児童・生徒アンケートlist!$Z$5:$Z$5000,2),"－")</f>
        <v>48</v>
      </c>
      <c r="I16" s="25">
        <f ca="1">COUNTIFS(INDIRECT($B$5),"",【貼付用】児童・生徒アンケートlist!$Z$5:$Z$5000,2)+COUNTIFS(INDIRECT($B$5),"0",【貼付用】児童・生徒アンケートlist!$Z$5:$Z$5000,2)</f>
        <v>0</v>
      </c>
      <c r="J16">
        <f ca="1">SUM(E16:I16)</f>
        <v>1280</v>
      </c>
      <c r="K16" s="30">
        <f>COUNTIF(【貼付用】児童・生徒アンケートlist!$Z$5:$Z$5000,2)</f>
        <v>1280</v>
      </c>
      <c r="L16" s="105">
        <f>SUM(L50:L66)</f>
        <v>1379</v>
      </c>
      <c r="M16" s="107">
        <f t="shared" ref="M16" ca="1" si="0">J16-L16</f>
        <v>-99</v>
      </c>
      <c r="N16" s="95" t="str">
        <f ca="1">IF(J16=K16,"○","エラー")</f>
        <v>○</v>
      </c>
      <c r="O16" s="92"/>
      <c r="P16" s="92"/>
      <c r="Q16" s="88"/>
      <c r="R16" s="65"/>
      <c r="S16" s="65"/>
      <c r="T16" s="65"/>
      <c r="U16" s="65"/>
      <c r="V16" s="65"/>
      <c r="W16" s="65"/>
      <c r="X16" s="65"/>
      <c r="Y16" s="65"/>
    </row>
    <row r="17" spans="1:25" ht="15.95" customHeight="1" thickBot="1">
      <c r="A17" s="32" t="s">
        <v>2930</v>
      </c>
      <c r="B17" s="124"/>
      <c r="C17" s="132"/>
      <c r="D17" s="10" t="s">
        <v>4</v>
      </c>
      <c r="E17" s="11">
        <f ca="1">E16/J16</f>
        <v>0.50390625</v>
      </c>
      <c r="F17" s="12">
        <f ca="1">F16/J16</f>
        <v>0.37109375</v>
      </c>
      <c r="G17" s="11">
        <f ca="1">IF(B4=4,G16/J16,"－")</f>
        <v>8.7499999999999994E-2</v>
      </c>
      <c r="H17" s="12">
        <f ca="1">IF(B4=4,H16/J16,"－")</f>
        <v>3.7499999999999999E-2</v>
      </c>
      <c r="I17" s="13">
        <f ca="1">I16/J16</f>
        <v>0</v>
      </c>
      <c r="N17" s="97"/>
      <c r="O17" s="92"/>
      <c r="P17" s="92"/>
      <c r="Q17" s="88"/>
      <c r="R17" s="65"/>
      <c r="S17" s="65"/>
      <c r="T17" s="65"/>
      <c r="U17" s="65"/>
      <c r="V17" s="65"/>
      <c r="W17" s="65"/>
      <c r="X17" s="65"/>
      <c r="Y17" s="65"/>
    </row>
    <row r="18" spans="1:25" ht="15.95" customHeight="1" thickTop="1">
      <c r="A18" s="32" t="str">
        <f ca="1">IF(J18&lt;&gt;0,"","未")</f>
        <v/>
      </c>
      <c r="B18" s="129" t="s">
        <v>11</v>
      </c>
      <c r="C18" s="130" t="s">
        <v>12</v>
      </c>
      <c r="D18" s="5" t="s">
        <v>3</v>
      </c>
      <c r="E18" s="6">
        <f ca="1">IF($B$4=4,COUNTIFS(INDIRECT($B$5),1,【貼付用】児童・生徒アンケートlist!$J$5:$J$5000,$C18),COUNTIFS(INDIRECT($B$5),1,【貼付用】児童・生徒アンケートlist!$J$5:$J$5000,$C18))</f>
        <v>84</v>
      </c>
      <c r="F18" s="7">
        <f ca="1">IF($B$4=4,COUNTIFS(INDIRECT($B$5),2,【貼付用】児童・生徒アンケートlist!$J$5:$J$5000,$C18),COUNTIFS(INDIRECT($B$5),2,【貼付用】児童・生徒アンケートlist!$J$5:$J$5000,$C18))</f>
        <v>43</v>
      </c>
      <c r="G18" s="6">
        <f ca="1">IF($B$4=4,COUNTIFS(INDIRECT($B$5),3,【貼付用】児童・生徒アンケートlist!$J$5:$J$5000,$C18),"－")</f>
        <v>8</v>
      </c>
      <c r="H18" s="7">
        <f ca="1">IF($B$4=4,COUNTIFS(INDIRECT($B$5),4,【貼付用】児童・生徒アンケートlist!$J$5:$J$5000,$C18),"－")</f>
        <v>3</v>
      </c>
      <c r="I18" s="8">
        <f ca="1">COUNTIFS(INDIRECT($B$5),"",【貼付用】児童・生徒アンケートlist!$J$5:$J$5000,C18)+COUNTIFS(INDIRECT($B$5),"0",【貼付用】児童・生徒アンケートlist!$J$5:$J$5000,C18)</f>
        <v>0</v>
      </c>
      <c r="J18">
        <f ca="1">SUM(E18:I18)</f>
        <v>138</v>
      </c>
      <c r="K18" s="63">
        <f>COUNTIF(【貼付用】児童・生徒アンケートlist!$I$5:$L$5000,"小牧小学校")</f>
        <v>138</v>
      </c>
      <c r="L18" s="109">
        <v>124</v>
      </c>
      <c r="M18" s="107">
        <f t="shared" ref="M18" ca="1" si="1">J18-L18</f>
        <v>14</v>
      </c>
      <c r="N18" s="95" t="str">
        <f ca="1">IF(J18=K18,"○","エラー")</f>
        <v>○</v>
      </c>
      <c r="O18" s="92"/>
      <c r="P18" s="92"/>
      <c r="Q18" s="88"/>
      <c r="R18" s="65"/>
      <c r="S18" s="65"/>
      <c r="T18" s="65"/>
      <c r="U18" s="65"/>
      <c r="V18" s="65"/>
      <c r="W18" s="65"/>
      <c r="X18" s="65"/>
      <c r="Y18" s="65"/>
    </row>
    <row r="19" spans="1:25" ht="15.95" customHeight="1">
      <c r="A19" s="32"/>
      <c r="B19" s="123"/>
      <c r="C19" s="128"/>
      <c r="D19" s="17" t="s">
        <v>4</v>
      </c>
      <c r="E19" s="18">
        <f ca="1">E18/J18</f>
        <v>0.60869565217391308</v>
      </c>
      <c r="F19" s="19">
        <f ca="1">F18/J18</f>
        <v>0.31159420289855072</v>
      </c>
      <c r="G19" s="18">
        <f ca="1">IF(B4=4,G18/J18,"－")</f>
        <v>5.7971014492753624E-2</v>
      </c>
      <c r="H19" s="19">
        <f ca="1">IF(B4=4,H18/J18,"－")</f>
        <v>2.1739130434782608E-2</v>
      </c>
      <c r="I19" s="40">
        <f ca="1">I18/J18</f>
        <v>0</v>
      </c>
      <c r="N19" s="97"/>
      <c r="O19" s="92"/>
      <c r="P19" s="92"/>
      <c r="Q19" s="88"/>
      <c r="R19" s="65"/>
      <c r="S19" s="65"/>
      <c r="T19" s="65"/>
      <c r="U19" s="65"/>
      <c r="V19" s="65"/>
      <c r="W19" s="65"/>
      <c r="X19" s="65"/>
      <c r="Y19" s="65"/>
    </row>
    <row r="20" spans="1:25" ht="15.95" customHeight="1">
      <c r="A20" s="32" t="str">
        <f t="shared" ref="A20" ca="1" si="2">IF(J20&lt;&gt;0,"","未")</f>
        <v/>
      </c>
      <c r="B20" s="123"/>
      <c r="C20" s="127" t="s">
        <v>13</v>
      </c>
      <c r="D20" s="21" t="s">
        <v>3</v>
      </c>
      <c r="E20" s="22">
        <f ca="1">IF($B$4=4,COUNTIFS(INDIRECT($B$5),1,【貼付用】児童・生徒アンケートlist!$J$5:$J$5000,$C20),COUNTIFS(INDIRECT($B$5),1,【貼付用】児童・生徒アンケートlist!$J$5:$J$5000,$C20))</f>
        <v>42</v>
      </c>
      <c r="F20" s="23">
        <f ca="1">IF($B$4=4,COUNTIFS(INDIRECT($B$5),2,【貼付用】児童・生徒アンケートlist!$J$5:$J$5000,$C20),COUNTIFS(INDIRECT($B$5),2,【貼付用】児童・生徒アンケートlist!$J$5:$J$5000,$C20))</f>
        <v>30</v>
      </c>
      <c r="G20" s="22">
        <f ca="1">IF($B$4=4,COUNTIFS(INDIRECT($B$5),3,【貼付用】児童・生徒アンケートlist!$J$5:$J$5000,$C20),"－")</f>
        <v>4</v>
      </c>
      <c r="H20" s="23">
        <f ca="1">IF($B$4=4,COUNTIFS(INDIRECT($B$5),4,【貼付用】児童・生徒アンケートlist!$J$5:$J$5000,$C20),"－")</f>
        <v>4</v>
      </c>
      <c r="I20" s="43">
        <f ca="1">COUNTIFS(INDIRECT($B$5),"",【貼付用】児童・生徒アンケートlist!$J$5:$J$5000,C20)+COUNTIFS(INDIRECT($B$5),"0",【貼付用】児童・生徒アンケートlist!$J$5:$J$5000,C20)</f>
        <v>0</v>
      </c>
      <c r="J20">
        <f ca="1">SUM(E20:I20)</f>
        <v>80</v>
      </c>
      <c r="K20" s="63">
        <f>COUNTIF(【貼付用】児童・生徒アンケートlist!$I$5:$L$5000,"村中小学校")</f>
        <v>80</v>
      </c>
      <c r="L20" s="109">
        <v>68</v>
      </c>
      <c r="M20" s="107">
        <f t="shared" ref="M20" ca="1" si="3">J20-L20</f>
        <v>12</v>
      </c>
      <c r="N20" s="95" t="str">
        <f ca="1">IF(J20=K20,"○","エラー")</f>
        <v>○</v>
      </c>
      <c r="O20" s="92"/>
      <c r="P20" s="92"/>
      <c r="Q20" s="88"/>
      <c r="R20" s="65"/>
      <c r="S20" s="65"/>
      <c r="T20" s="65"/>
      <c r="U20" s="65"/>
      <c r="V20" s="65"/>
      <c r="W20" s="65"/>
      <c r="X20" s="65"/>
      <c r="Y20" s="65"/>
    </row>
    <row r="21" spans="1:25" ht="15.95" customHeight="1">
      <c r="A21" s="32"/>
      <c r="B21" s="123"/>
      <c r="C21" s="128"/>
      <c r="D21" s="17" t="s">
        <v>4</v>
      </c>
      <c r="E21" s="18">
        <f ca="1">E20/J20</f>
        <v>0.52500000000000002</v>
      </c>
      <c r="F21" s="19">
        <f ca="1">F20/J20</f>
        <v>0.375</v>
      </c>
      <c r="G21" s="18">
        <f ca="1">IF(B4=4,G20/J20,"－")</f>
        <v>0.05</v>
      </c>
      <c r="H21" s="19">
        <f ca="1">IF(B4=4,H20/J20,"－")</f>
        <v>0.05</v>
      </c>
      <c r="I21" s="40">
        <f ca="1">I20/J20</f>
        <v>0</v>
      </c>
      <c r="N21" s="97"/>
      <c r="O21" s="92"/>
      <c r="P21" s="92"/>
      <c r="Q21" s="88"/>
      <c r="R21" s="65"/>
      <c r="S21" s="65"/>
      <c r="T21" s="65"/>
      <c r="U21" s="65"/>
      <c r="V21" s="65"/>
      <c r="W21" s="65"/>
      <c r="X21" s="65"/>
      <c r="Y21" s="65"/>
    </row>
    <row r="22" spans="1:25" ht="15.95" customHeight="1">
      <c r="A22" s="32" t="str">
        <f t="shared" ref="A22" ca="1" si="4">IF(J22&lt;&gt;0,"","未")</f>
        <v/>
      </c>
      <c r="B22" s="123"/>
      <c r="C22" s="127" t="s">
        <v>14</v>
      </c>
      <c r="D22" s="21" t="s">
        <v>3</v>
      </c>
      <c r="E22" s="22">
        <f ca="1">IF($B$4=4,COUNTIFS(INDIRECT($B$5),1,【貼付用】児童・生徒アンケートlist!$J$5:$J$5000,$C22),COUNTIFS(INDIRECT($B$5),1,【貼付用】児童・生徒アンケートlist!$J$5:$J$5000,$C22))</f>
        <v>59</v>
      </c>
      <c r="F22" s="23">
        <f ca="1">IF($B$4=4,COUNTIFS(INDIRECT($B$5),2,【貼付用】児童・生徒アンケートlist!$J$5:$J$5000,$C22),COUNTIFS(INDIRECT($B$5),2,【貼付用】児童・生徒アンケートlist!$J$5:$J$5000,$C22))</f>
        <v>32</v>
      </c>
      <c r="G22" s="22">
        <f ca="1">IF($B$4=4,COUNTIFS(INDIRECT($B$5),3,【貼付用】児童・生徒アンケートlist!$J$5:$J$5000,$C22),"－")</f>
        <v>0</v>
      </c>
      <c r="H22" s="23">
        <f ca="1">IF($B$4=4,COUNTIFS(INDIRECT($B$5),4,【貼付用】児童・生徒アンケートlist!$J$5:$J$5000,$C22),"－")</f>
        <v>1</v>
      </c>
      <c r="I22" s="43">
        <f ca="1">COUNTIFS(INDIRECT($B$5),"",【貼付用】児童・生徒アンケートlist!$J$5:$J$5000,C22)+COUNTIFS(INDIRECT($B$5),"0",【貼付用】児童・生徒アンケートlist!$J$5:$J$5000,C22)</f>
        <v>0</v>
      </c>
      <c r="J22">
        <f ca="1">SUM(E22:I22)</f>
        <v>92</v>
      </c>
      <c r="K22" s="63">
        <f>COUNTIF(【貼付用】児童・生徒アンケートlist!$I$5:$L$5000,"小牧南小学校")</f>
        <v>92</v>
      </c>
      <c r="L22" s="109">
        <v>131</v>
      </c>
      <c r="M22" s="107">
        <f t="shared" ref="M22" ca="1" si="5">J22-L22</f>
        <v>-39</v>
      </c>
      <c r="N22" s="95" t="str">
        <f ca="1">IF(J22=K22,"○","エラー")</f>
        <v>○</v>
      </c>
      <c r="O22" s="92"/>
      <c r="P22" s="92"/>
      <c r="Q22" s="88"/>
      <c r="R22" s="65"/>
      <c r="S22" s="65"/>
      <c r="T22" s="65"/>
      <c r="U22" s="65"/>
      <c r="V22" s="65"/>
      <c r="W22" s="65"/>
      <c r="X22" s="65"/>
      <c r="Y22" s="65"/>
    </row>
    <row r="23" spans="1:25" ht="15.95" customHeight="1">
      <c r="A23" s="32"/>
      <c r="B23" s="123"/>
      <c r="C23" s="128"/>
      <c r="D23" s="17" t="s">
        <v>4</v>
      </c>
      <c r="E23" s="18">
        <f ca="1">E22/J22</f>
        <v>0.64130434782608692</v>
      </c>
      <c r="F23" s="19">
        <f ca="1">F22/J22</f>
        <v>0.34782608695652173</v>
      </c>
      <c r="G23" s="18">
        <f ca="1">IF(B4=4,G22/J22,"－")</f>
        <v>0</v>
      </c>
      <c r="H23" s="19">
        <f ca="1">IF(B4=4,H22/J22,"－")</f>
        <v>1.0869565217391304E-2</v>
      </c>
      <c r="I23" s="40">
        <f ca="1">I22/J22</f>
        <v>0</v>
      </c>
      <c r="N23" s="97"/>
      <c r="O23" s="92"/>
      <c r="P23" s="92"/>
      <c r="Q23" s="88"/>
      <c r="R23" s="65"/>
      <c r="S23" s="65"/>
      <c r="T23" s="65"/>
      <c r="U23" s="65"/>
      <c r="V23" s="65"/>
      <c r="W23" s="65"/>
      <c r="X23" s="65"/>
      <c r="Y23" s="65"/>
    </row>
    <row r="24" spans="1:25" ht="15.95" customHeight="1">
      <c r="A24" s="32" t="str">
        <f t="shared" ref="A24" ca="1" si="6">IF(J24&lt;&gt;0,"","未")</f>
        <v/>
      </c>
      <c r="B24" s="123"/>
      <c r="C24" s="127" t="s">
        <v>15</v>
      </c>
      <c r="D24" s="21" t="s">
        <v>3</v>
      </c>
      <c r="E24" s="22">
        <f ca="1">IF($B$4=4,COUNTIFS(INDIRECT($B$5),1,【貼付用】児童・生徒アンケートlist!$J$5:$J$5000,$C24),COUNTIFS(INDIRECT($B$5),1,【貼付用】児童・生徒アンケートlist!$J$5:$J$5000,$C24))</f>
        <v>28</v>
      </c>
      <c r="F24" s="23">
        <f ca="1">IF($B$4=4,COUNTIFS(INDIRECT($B$5),2,【貼付用】児童・生徒アンケートlist!$J$5:$J$5000,$C24),COUNTIFS(INDIRECT($B$5),2,【貼付用】児童・生徒アンケートlist!$J$5:$J$5000,$C24))</f>
        <v>32</v>
      </c>
      <c r="G24" s="22">
        <f ca="1">IF($B$4=4,COUNTIFS(INDIRECT($B$5),3,【貼付用】児童・生徒アンケートlist!$J$5:$J$5000,$C24),"－")</f>
        <v>3</v>
      </c>
      <c r="H24" s="23">
        <f ca="1">IF($B$4=4,COUNTIFS(INDIRECT($B$5),4,【貼付用】児童・生徒アンケートlist!$J$5:$J$5000,$C24),"－")</f>
        <v>2</v>
      </c>
      <c r="I24" s="43">
        <f ca="1">COUNTIFS(INDIRECT($B$5),"",【貼付用】児童・生徒アンケートlist!$J$5:$J$5000,C24)+COUNTIFS(INDIRECT($B$5),"0",【貼付用】児童・生徒アンケートlist!$J$5:$J$5000,C24)</f>
        <v>0</v>
      </c>
      <c r="J24">
        <f ca="1">SUM(E24:I24)</f>
        <v>65</v>
      </c>
      <c r="K24" s="63">
        <f>COUNTIF(【貼付用】児童・生徒アンケートlist!$I$5:$L$5000,"三ツ渕小学校")</f>
        <v>65</v>
      </c>
      <c r="L24" s="109">
        <v>49</v>
      </c>
      <c r="M24" s="107">
        <f t="shared" ref="M24" ca="1" si="7">J24-L24</f>
        <v>16</v>
      </c>
      <c r="N24" s="95" t="str">
        <f ca="1">IF(J24=K24,"○","エラー")</f>
        <v>○</v>
      </c>
      <c r="O24" s="92"/>
      <c r="P24" s="92"/>
      <c r="Q24" s="88"/>
      <c r="R24" s="65"/>
      <c r="S24" s="65"/>
      <c r="T24" s="65"/>
      <c r="U24" s="65"/>
      <c r="V24" s="65"/>
      <c r="W24" s="65"/>
      <c r="X24" s="65"/>
      <c r="Y24" s="65"/>
    </row>
    <row r="25" spans="1:25" ht="15.95" customHeight="1">
      <c r="A25" s="32"/>
      <c r="B25" s="123"/>
      <c r="C25" s="128"/>
      <c r="D25" s="17" t="s">
        <v>4</v>
      </c>
      <c r="E25" s="18">
        <f ca="1">E24/J24</f>
        <v>0.43076923076923079</v>
      </c>
      <c r="F25" s="19">
        <f ca="1">F24/J24</f>
        <v>0.49230769230769234</v>
      </c>
      <c r="G25" s="18">
        <f ca="1">IF(B4=4,G24/J24,"－")</f>
        <v>4.6153846153846156E-2</v>
      </c>
      <c r="H25" s="19">
        <f ca="1">IF(B4=4,H24/J24,"－")</f>
        <v>3.0769230769230771E-2</v>
      </c>
      <c r="I25" s="40">
        <f ca="1">I24/J24</f>
        <v>0</v>
      </c>
      <c r="N25" s="97"/>
      <c r="O25" s="92"/>
      <c r="P25" s="92"/>
      <c r="Q25" s="88"/>
      <c r="R25" s="65"/>
      <c r="S25" s="65"/>
      <c r="T25" s="65"/>
      <c r="U25" s="65"/>
      <c r="V25" s="65"/>
      <c r="W25" s="65"/>
      <c r="X25" s="65"/>
      <c r="Y25" s="65"/>
    </row>
    <row r="26" spans="1:25" ht="15.95" customHeight="1">
      <c r="A26" s="32" t="str">
        <f t="shared" ref="A26" ca="1" si="8">IF(J26&lt;&gt;0,"","未")</f>
        <v/>
      </c>
      <c r="B26" s="123"/>
      <c r="C26" s="127" t="s">
        <v>16</v>
      </c>
      <c r="D26" s="21" t="s">
        <v>3</v>
      </c>
      <c r="E26" s="22">
        <f ca="1">IF($B$4=4,COUNTIFS(INDIRECT($B$5),1,【貼付用】児童・生徒アンケートlist!$J$5:$J$5000,$C26),COUNTIFS(INDIRECT($B$5),1,【貼付用】児童・生徒アンケートlist!$J$5:$J$5000,$C26))</f>
        <v>62</v>
      </c>
      <c r="F26" s="23">
        <f ca="1">IF($B$4=4,COUNTIFS(INDIRECT($B$5),2,【貼付用】児童・生徒アンケートlist!$J$5:$J$5000,$C26),COUNTIFS(INDIRECT($B$5),2,【貼付用】児童・生徒アンケートlist!$J$5:$J$5000,$C26))</f>
        <v>42</v>
      </c>
      <c r="G26" s="22">
        <f ca="1">IF($B$4=4,COUNTIFS(INDIRECT($B$5),3,【貼付用】児童・生徒アンケートlist!$J$5:$J$5000,$C26),"－")</f>
        <v>5</v>
      </c>
      <c r="H26" s="23">
        <f ca="1">IF($B$4=4,COUNTIFS(INDIRECT($B$5),4,【貼付用】児童・生徒アンケートlist!$J$5:$J$5000,$C26),"－")</f>
        <v>1</v>
      </c>
      <c r="I26" s="43">
        <f ca="1">COUNTIFS(INDIRECT($B$5),"",【貼付用】児童・生徒アンケートlist!$J$5:$J$5000,C26)+COUNTIFS(INDIRECT($B$5),"0",【貼付用】児童・生徒アンケートlist!$J$5:$J$5000,C26)</f>
        <v>0</v>
      </c>
      <c r="J26">
        <f ca="1">SUM(E26:I26)</f>
        <v>110</v>
      </c>
      <c r="K26" s="63">
        <f>COUNTIF(【貼付用】児童・生徒アンケートlist!$I$5:$L$5000,"味岡小学校")</f>
        <v>110</v>
      </c>
      <c r="L26" s="109">
        <v>134</v>
      </c>
      <c r="M26" s="107">
        <f t="shared" ref="M26" ca="1" si="9">J26-L26</f>
        <v>-24</v>
      </c>
      <c r="N26" s="95" t="str">
        <f ca="1">IF(J26=K26,"○","エラー")</f>
        <v>○</v>
      </c>
      <c r="O26" s="92"/>
      <c r="P26" s="92"/>
      <c r="Q26" s="88"/>
      <c r="R26" s="65"/>
      <c r="S26" s="65"/>
      <c r="T26" s="65"/>
      <c r="U26" s="65"/>
      <c r="V26" s="65"/>
      <c r="W26" s="65"/>
      <c r="X26" s="65"/>
      <c r="Y26" s="65"/>
    </row>
    <row r="27" spans="1:25" ht="15.95" customHeight="1">
      <c r="A27" s="32"/>
      <c r="B27" s="123"/>
      <c r="C27" s="128"/>
      <c r="D27" s="17" t="s">
        <v>4</v>
      </c>
      <c r="E27" s="18">
        <f ca="1">E26/J26</f>
        <v>0.5636363636363636</v>
      </c>
      <c r="F27" s="19">
        <f ca="1">F26/J26</f>
        <v>0.38181818181818183</v>
      </c>
      <c r="G27" s="18">
        <f ca="1">IF(B4=4,G26/J26,"－")</f>
        <v>4.5454545454545456E-2</v>
      </c>
      <c r="H27" s="19">
        <f ca="1">IF(B4=4,H26/J26,"－")</f>
        <v>9.0909090909090905E-3</v>
      </c>
      <c r="I27" s="40">
        <f ca="1">I26/J26</f>
        <v>0</v>
      </c>
      <c r="N27" s="97"/>
      <c r="O27" s="92"/>
      <c r="P27" s="92"/>
      <c r="Q27" s="88"/>
      <c r="R27" s="65"/>
      <c r="S27" s="65"/>
      <c r="T27" s="65"/>
      <c r="U27" s="65"/>
      <c r="V27" s="65"/>
      <c r="W27" s="65"/>
      <c r="X27" s="65"/>
      <c r="Y27" s="65"/>
    </row>
    <row r="28" spans="1:25" ht="15.95" customHeight="1">
      <c r="A28" s="32" t="str">
        <f t="shared" ref="A28" ca="1" si="10">IF(J28&lt;&gt;0,"","未")</f>
        <v/>
      </c>
      <c r="B28" s="123"/>
      <c r="C28" s="127" t="s">
        <v>17</v>
      </c>
      <c r="D28" s="21" t="s">
        <v>3</v>
      </c>
      <c r="E28" s="22">
        <f ca="1">IF($B$4=4,COUNTIFS(INDIRECT($B$5),1,【貼付用】児童・生徒アンケートlist!$J$5:$J$5000,$C28),COUNTIFS(INDIRECT($B$5),1,【貼付用】児童・生徒アンケートlist!$J$5:$J$5000,$C28))</f>
        <v>36</v>
      </c>
      <c r="F28" s="23">
        <f ca="1">IF($B$4=4,COUNTIFS(INDIRECT($B$5),2,【貼付用】児童・生徒アンケートlist!$J$5:$J$5000,$C28),COUNTIFS(INDIRECT($B$5),2,【貼付用】児童・生徒アンケートlist!$J$5:$J$5000,$C28))</f>
        <v>12</v>
      </c>
      <c r="G28" s="22">
        <f ca="1">IF($B$4=4,COUNTIFS(INDIRECT($B$5),3,【貼付用】児童・生徒アンケートlist!$J$5:$J$5000,$C28),"－")</f>
        <v>3</v>
      </c>
      <c r="H28" s="23">
        <f ca="1">IF($B$4=4,COUNTIFS(INDIRECT($B$5),4,【貼付用】児童・生徒アンケートlist!$J$5:$J$5000,$C28),"－")</f>
        <v>0</v>
      </c>
      <c r="I28" s="43">
        <f ca="1">COUNTIFS(INDIRECT($B$5),"",【貼付用】児童・生徒アンケートlist!$J$5:$J$5000,C28)+COUNTIFS(INDIRECT($B$5),"0",【貼付用】児童・生徒アンケートlist!$J$5:$J$5000,C28)</f>
        <v>0</v>
      </c>
      <c r="J28">
        <f ca="1">SUM(E28:I28)</f>
        <v>51</v>
      </c>
      <c r="K28" s="63">
        <f>COUNTIF(【貼付用】児童・生徒アンケートlist!$I$5:$L$5000,"篠岡小学校")</f>
        <v>51</v>
      </c>
      <c r="L28" s="109">
        <v>46</v>
      </c>
      <c r="M28" s="107">
        <f t="shared" ref="M28" ca="1" si="11">J28-L28</f>
        <v>5</v>
      </c>
      <c r="N28" s="95" t="str">
        <f ca="1">IF(J28=K28,"○","エラー")</f>
        <v>○</v>
      </c>
      <c r="O28" s="92"/>
      <c r="P28" s="92"/>
      <c r="Q28" s="88"/>
      <c r="R28" s="65"/>
      <c r="S28" s="65"/>
      <c r="T28" s="65"/>
      <c r="U28" s="65"/>
      <c r="V28" s="65"/>
      <c r="W28" s="65"/>
      <c r="X28" s="65"/>
      <c r="Y28" s="65"/>
    </row>
    <row r="29" spans="1:25" ht="15.95" customHeight="1">
      <c r="A29" s="32"/>
      <c r="B29" s="123"/>
      <c r="C29" s="128"/>
      <c r="D29" s="17" t="s">
        <v>4</v>
      </c>
      <c r="E29" s="18">
        <f ca="1">E28/J28</f>
        <v>0.70588235294117652</v>
      </c>
      <c r="F29" s="19">
        <f ca="1">F28/J28</f>
        <v>0.23529411764705882</v>
      </c>
      <c r="G29" s="18">
        <f ca="1">IF(B4=4,G28/J28,"－")</f>
        <v>5.8823529411764705E-2</v>
      </c>
      <c r="H29" s="19">
        <f ca="1">IF(B4=4,H28/J28,"－")</f>
        <v>0</v>
      </c>
      <c r="I29" s="40">
        <f ca="1">I28/J28</f>
        <v>0</v>
      </c>
      <c r="N29" s="97"/>
      <c r="O29" s="92"/>
      <c r="P29" s="92"/>
      <c r="Q29" s="88"/>
      <c r="R29" s="65"/>
      <c r="S29" s="65"/>
      <c r="T29" s="65"/>
      <c r="U29" s="65"/>
      <c r="V29" s="65"/>
      <c r="W29" s="65"/>
      <c r="X29" s="65"/>
      <c r="Y29" s="65"/>
    </row>
    <row r="30" spans="1:25" ht="15.95" customHeight="1">
      <c r="A30" s="32" t="str">
        <f t="shared" ref="A30" ca="1" si="12">IF(J30&lt;&gt;0,"","未")</f>
        <v/>
      </c>
      <c r="B30" s="123"/>
      <c r="C30" s="131" t="s">
        <v>18</v>
      </c>
      <c r="D30" s="26" t="s">
        <v>3</v>
      </c>
      <c r="E30" s="27">
        <f ca="1">IF($B$4=4,COUNTIFS(INDIRECT($B$5),1,【貼付用】児童・生徒アンケートlist!$J$5:$J$5000,$C30),COUNTIFS(INDIRECT($B$5),1,【貼付用】児童・生徒アンケートlist!$J$5:$J$5000,$C30))</f>
        <v>62</v>
      </c>
      <c r="F30" s="28">
        <f ca="1">IF($B$4=4,COUNTIFS(INDIRECT($B$5),2,【貼付用】児童・生徒アンケートlist!$J$5:$J$5000,$C30),COUNTIFS(INDIRECT($B$5),2,【貼付用】児童・生徒アンケートlist!$J$5:$J$5000,$C30))</f>
        <v>35</v>
      </c>
      <c r="G30" s="27">
        <f ca="1">IF($B$4=4,COUNTIFS(INDIRECT($B$5),3,【貼付用】児童・生徒アンケートlist!$J$5:$J$5000,$C30),"－")</f>
        <v>1</v>
      </c>
      <c r="H30" s="28">
        <f ca="1">IF($B$4=4,COUNTIFS(INDIRECT($B$5),4,【貼付用】児童・生徒アンケートlist!$J$5:$J$5000,$C30),"－")</f>
        <v>2</v>
      </c>
      <c r="I30" s="43">
        <f ca="1">COUNTIFS(INDIRECT($B$5),"",【貼付用】児童・生徒アンケートlist!$J$5:$J$5000,C30)+COUNTIFS(INDIRECT($B$5),"0",【貼付用】児童・生徒アンケートlist!$J$5:$J$5000,C30)</f>
        <v>0</v>
      </c>
      <c r="J30">
        <f ca="1">SUM(E30:I30)</f>
        <v>100</v>
      </c>
      <c r="K30" s="63">
        <f>COUNTIF(【貼付用】児童・生徒アンケートlist!$I$5:$L$5000,"北里小学校")</f>
        <v>100</v>
      </c>
      <c r="L30" s="109">
        <v>86</v>
      </c>
      <c r="M30" s="107">
        <f t="shared" ref="M30" ca="1" si="13">J30-L30</f>
        <v>14</v>
      </c>
      <c r="N30" s="95" t="str">
        <f ca="1">IF(J30=K30,"○","エラー")</f>
        <v>○</v>
      </c>
      <c r="O30" s="92"/>
      <c r="P30" s="92"/>
      <c r="Q30" s="88"/>
      <c r="R30" s="65"/>
      <c r="S30" s="65"/>
      <c r="T30" s="65"/>
      <c r="U30" s="65"/>
      <c r="V30" s="65"/>
      <c r="W30" s="65"/>
      <c r="X30" s="65"/>
      <c r="Y30" s="65"/>
    </row>
    <row r="31" spans="1:25" ht="15.95" customHeight="1">
      <c r="A31" s="32"/>
      <c r="B31" s="123"/>
      <c r="C31" s="131"/>
      <c r="D31" s="17" t="s">
        <v>4</v>
      </c>
      <c r="E31" s="18">
        <f ca="1">E30/J30</f>
        <v>0.62</v>
      </c>
      <c r="F31" s="19">
        <f ca="1">F30/J30</f>
        <v>0.35</v>
      </c>
      <c r="G31" s="18">
        <f ca="1">IF(B4=4,G30/J30,"－")</f>
        <v>0.01</v>
      </c>
      <c r="H31" s="19">
        <f ca="1">IF(B4=4,H30/J30,"－")</f>
        <v>0.02</v>
      </c>
      <c r="I31" s="40">
        <f ca="1">I30/J30</f>
        <v>0</v>
      </c>
      <c r="N31" s="97"/>
      <c r="O31" s="92"/>
      <c r="P31" s="92"/>
      <c r="Q31" s="88"/>
      <c r="R31" s="65"/>
      <c r="S31" s="65"/>
      <c r="T31" s="65"/>
      <c r="U31" s="65"/>
      <c r="V31" s="65"/>
      <c r="W31" s="65"/>
      <c r="X31" s="65"/>
      <c r="Y31" s="65"/>
    </row>
    <row r="32" spans="1:25" ht="15.95" customHeight="1">
      <c r="A32" s="32" t="str">
        <f t="shared" ref="A32" ca="1" si="14">IF(J32&lt;&gt;0,"","未")</f>
        <v/>
      </c>
      <c r="B32" s="123"/>
      <c r="C32" s="121" t="s">
        <v>19</v>
      </c>
      <c r="D32" s="26" t="s">
        <v>3</v>
      </c>
      <c r="E32" s="27">
        <f ca="1">IF($B$4=4,COUNTIFS(INDIRECT($B$5),1,【貼付用】児童・生徒アンケートlist!$J$5:$J$5000,$C32),COUNTIFS(INDIRECT($B$5),1,【貼付用】児童・生徒アンケートlist!$J$5:$J$5000,$C32))</f>
        <v>79</v>
      </c>
      <c r="F32" s="28">
        <f ca="1">IF($B$4=4,COUNTIFS(INDIRECT($B$5),2,【貼付用】児童・生徒アンケートlist!$J$5:$J$5000,$C32),COUNTIFS(INDIRECT($B$5),2,【貼付用】児童・生徒アンケートlist!$J$5:$J$5000,$C32))</f>
        <v>57</v>
      </c>
      <c r="G32" s="27">
        <f ca="1">IF($B$4=4,COUNTIFS(INDIRECT($B$5),3,【貼付用】児童・生徒アンケートlist!$J$5:$J$5000,$C32),"－")</f>
        <v>9</v>
      </c>
      <c r="H32" s="28">
        <f ca="1">IF($B$4=4,COUNTIFS(INDIRECT($B$5),4,【貼付用】児童・生徒アンケートlist!$J$5:$J$5000,$C32),"－")</f>
        <v>1</v>
      </c>
      <c r="I32" s="43">
        <f ca="1">COUNTIFS(INDIRECT($B$5),"",【貼付用】児童・生徒アンケートlist!$J$5:$J$5000,C32)+COUNTIFS(INDIRECT($B$5),"0",【貼付用】児童・生徒アンケートlist!$J$5:$J$5000,C32)</f>
        <v>0</v>
      </c>
      <c r="J32">
        <f ca="1">SUM(E32:I32)</f>
        <v>146</v>
      </c>
      <c r="K32" s="63">
        <f>COUNTIF(【貼付用】児童・生徒アンケートlist!$I$5:$L$5000,"米野小学校")</f>
        <v>146</v>
      </c>
      <c r="L32" s="109">
        <v>146</v>
      </c>
      <c r="M32" s="107">
        <f t="shared" ref="M32" ca="1" si="15">J32-L32</f>
        <v>0</v>
      </c>
      <c r="N32" s="95" t="str">
        <f ca="1">IF(J32=K32,"○","エラー")</f>
        <v>○</v>
      </c>
      <c r="O32" s="92"/>
      <c r="P32" s="92"/>
      <c r="Q32" s="88"/>
      <c r="R32" s="65"/>
      <c r="S32" s="65"/>
      <c r="T32" s="65"/>
      <c r="U32" s="65"/>
      <c r="V32" s="65"/>
      <c r="W32" s="65"/>
      <c r="X32" s="65"/>
      <c r="Y32" s="65"/>
    </row>
    <row r="33" spans="1:25" ht="15.95" customHeight="1">
      <c r="A33" s="32"/>
      <c r="B33" s="123"/>
      <c r="C33" s="121"/>
      <c r="D33" s="17" t="s">
        <v>4</v>
      </c>
      <c r="E33" s="18">
        <f ca="1">E32/J32</f>
        <v>0.54109589041095896</v>
      </c>
      <c r="F33" s="19">
        <f t="shared" ref="F33" ca="1" si="16">F32/J32</f>
        <v>0.3904109589041096</v>
      </c>
      <c r="G33" s="18">
        <f ca="1">IF(B4=4,G32/J32,"－")</f>
        <v>6.1643835616438353E-2</v>
      </c>
      <c r="H33" s="19">
        <f ca="1">IF(B4=4,H32/J32,"－")</f>
        <v>6.8493150684931503E-3</v>
      </c>
      <c r="I33" s="40">
        <f t="shared" ref="I33" ca="1" si="17">I32/J32</f>
        <v>0</v>
      </c>
      <c r="N33" s="97"/>
      <c r="O33" s="92"/>
      <c r="P33" s="92"/>
      <c r="Q33" s="88"/>
      <c r="R33" s="65"/>
      <c r="S33" s="65"/>
      <c r="T33" s="65"/>
      <c r="U33" s="65"/>
      <c r="V33" s="65"/>
      <c r="W33" s="65"/>
      <c r="X33" s="65"/>
      <c r="Y33" s="65"/>
    </row>
    <row r="34" spans="1:25" ht="15.95" customHeight="1">
      <c r="A34" s="32" t="str">
        <f t="shared" ref="A34" ca="1" si="18">IF(J34&lt;&gt;0,"","未")</f>
        <v/>
      </c>
      <c r="B34" s="123"/>
      <c r="C34" s="121" t="s">
        <v>20</v>
      </c>
      <c r="D34" s="26" t="s">
        <v>3</v>
      </c>
      <c r="E34" s="27">
        <f ca="1">IF($B$4=4,COUNTIFS(INDIRECT($B$5),1,【貼付用】児童・生徒アンケートlist!$J$5:$J$5000,$C34),COUNTIFS(INDIRECT($B$5),1,【貼付用】児童・生徒アンケートlist!$J$5:$J$5000,$C34))</f>
        <v>70</v>
      </c>
      <c r="F34" s="28">
        <f ca="1">IF($B$4=4,COUNTIFS(INDIRECT($B$5),2,【貼付用】児童・生徒アンケートlist!$J$5:$J$5000,$C34),COUNTIFS(INDIRECT($B$5),2,【貼付用】児童・生徒アンケートlist!$J$5:$J$5000,$C34))</f>
        <v>23</v>
      </c>
      <c r="G34" s="27">
        <f ca="1">IF($B$4=4,COUNTIFS(INDIRECT($B$5),3,【貼付用】児童・生徒アンケートlist!$J$5:$J$5000,$C34),"－")</f>
        <v>3</v>
      </c>
      <c r="H34" s="28">
        <f ca="1">IF($B$4=4,COUNTIFS(INDIRECT($B$5),4,【貼付用】児童・生徒アンケートlist!$J$5:$J$5000,$C34),"－")</f>
        <v>1</v>
      </c>
      <c r="I34" s="43">
        <f ca="1">COUNTIFS(INDIRECT($B$5),"",【貼付用】児童・生徒アンケートlist!$J$5:$J$5000,C34)+COUNTIFS(INDIRECT($B$5),"0",【貼付用】児童・生徒アンケートlist!$J$5:$J$5000,C34)</f>
        <v>0</v>
      </c>
      <c r="J34">
        <f ca="1">SUM(E34:I34)</f>
        <v>97</v>
      </c>
      <c r="K34" s="63">
        <f>COUNTIF(【貼付用】児童・生徒アンケートlist!$I$5:$L$5000,"一色小学校")</f>
        <v>97</v>
      </c>
      <c r="L34" s="109">
        <v>89</v>
      </c>
      <c r="M34" s="107">
        <f t="shared" ref="M34" ca="1" si="19">J34-L34</f>
        <v>8</v>
      </c>
      <c r="N34" s="95" t="str">
        <f ca="1">IF(J34=K34,"○","エラー")</f>
        <v>○</v>
      </c>
      <c r="O34" s="92"/>
      <c r="P34" s="92"/>
      <c r="Q34" s="88"/>
      <c r="R34" s="65"/>
      <c r="S34" s="65"/>
      <c r="T34" s="65"/>
      <c r="U34" s="65"/>
      <c r="V34" s="65"/>
      <c r="W34" s="65"/>
      <c r="X34" s="65"/>
      <c r="Y34" s="65"/>
    </row>
    <row r="35" spans="1:25" ht="15.95" customHeight="1">
      <c r="A35" s="32"/>
      <c r="B35" s="123"/>
      <c r="C35" s="121"/>
      <c r="D35" s="17" t="s">
        <v>4</v>
      </c>
      <c r="E35" s="18">
        <f t="shared" ref="E35" ca="1" si="20">E34/J34</f>
        <v>0.72164948453608246</v>
      </c>
      <c r="F35" s="19">
        <f t="shared" ref="F35" ca="1" si="21">F34/J34</f>
        <v>0.23711340206185566</v>
      </c>
      <c r="G35" s="18">
        <f ca="1">IF(B4=4,G34/J34,"－")</f>
        <v>3.0927835051546393E-2</v>
      </c>
      <c r="H35" s="19">
        <f ca="1">IF(B4=4,H34/J34,"－")</f>
        <v>1.0309278350515464E-2</v>
      </c>
      <c r="I35" s="40">
        <f t="shared" ref="I35" ca="1" si="22">I34/J34</f>
        <v>0</v>
      </c>
      <c r="N35" s="97"/>
      <c r="O35" s="92"/>
      <c r="P35" s="92"/>
      <c r="Q35" s="88"/>
      <c r="R35" s="65"/>
      <c r="S35" s="65"/>
      <c r="T35" s="65"/>
      <c r="U35" s="65"/>
      <c r="V35" s="65"/>
      <c r="W35" s="65"/>
      <c r="X35" s="65"/>
      <c r="Y35" s="65"/>
    </row>
    <row r="36" spans="1:25" ht="15.95" customHeight="1">
      <c r="A36" s="32" t="str">
        <f t="shared" ref="A36" ca="1" si="23">IF(J36&lt;&gt;0,"","未")</f>
        <v/>
      </c>
      <c r="B36" s="123"/>
      <c r="C36" s="121" t="s">
        <v>21</v>
      </c>
      <c r="D36" s="26" t="s">
        <v>3</v>
      </c>
      <c r="E36" s="27">
        <f ca="1">IF($B$4=4,COUNTIFS(INDIRECT($B$5),1,【貼付用】児童・生徒アンケートlist!$J$5:$J$5000,$C36),COUNTIFS(INDIRECT($B$5),1,【貼付用】児童・生徒アンケートlist!$J$5:$J$5000,$C36))</f>
        <v>14</v>
      </c>
      <c r="F36" s="28">
        <f ca="1">IF($B$4=4,COUNTIFS(INDIRECT($B$5),2,【貼付用】児童・生徒アンケートlist!$J$5:$J$5000,$C36),COUNTIFS(INDIRECT($B$5),2,【貼付用】児童・生徒アンケートlist!$J$5:$J$5000,$C36))</f>
        <v>20</v>
      </c>
      <c r="G36" s="27">
        <f ca="1">IF($B$4=4,COUNTIFS(INDIRECT($B$5),3,【貼付用】児童・生徒アンケートlist!$J$5:$J$5000,$C36),"－")</f>
        <v>6</v>
      </c>
      <c r="H36" s="28">
        <f ca="1">IF($B$4=4,COUNTIFS(INDIRECT($B$5),4,【貼付用】児童・生徒アンケートlist!$J$5:$J$5000,$C36),"－")</f>
        <v>0</v>
      </c>
      <c r="I36" s="43">
        <f ca="1">COUNTIFS(INDIRECT($B$5),"",【貼付用】児童・生徒アンケートlist!$J$5:$J$5000,C36)+COUNTIFS(INDIRECT($B$5),"0",【貼付用】児童・生徒アンケートlist!$J$5:$J$5000,C36)</f>
        <v>0</v>
      </c>
      <c r="J36">
        <f ca="1">SUM(E36:I36)</f>
        <v>40</v>
      </c>
      <c r="K36" s="63">
        <f>COUNTIF(【貼付用】児童・生徒アンケートlist!$I$5:$L$5000,"小木小学校")</f>
        <v>40</v>
      </c>
      <c r="L36" s="109">
        <v>44</v>
      </c>
      <c r="M36" s="107">
        <f t="shared" ref="M36" ca="1" si="24">J36-L36</f>
        <v>-4</v>
      </c>
      <c r="N36" s="95" t="str">
        <f ca="1">IF(J36=K36,"○","エラー")</f>
        <v>○</v>
      </c>
      <c r="O36" s="92"/>
      <c r="P36" s="92"/>
      <c r="Q36" s="88"/>
      <c r="R36" s="65"/>
      <c r="S36" s="65"/>
      <c r="T36" s="65"/>
      <c r="U36" s="65"/>
      <c r="V36" s="65"/>
      <c r="W36" s="65"/>
      <c r="X36" s="65"/>
      <c r="Y36" s="65"/>
    </row>
    <row r="37" spans="1:25" ht="15.95" customHeight="1">
      <c r="A37" s="32"/>
      <c r="B37" s="123"/>
      <c r="C37" s="121"/>
      <c r="D37" s="17" t="s">
        <v>4</v>
      </c>
      <c r="E37" s="18">
        <f t="shared" ref="E37" ca="1" si="25">E36/J36</f>
        <v>0.35</v>
      </c>
      <c r="F37" s="19">
        <f t="shared" ref="F37" ca="1" si="26">F36/J36</f>
        <v>0.5</v>
      </c>
      <c r="G37" s="18">
        <f ca="1">IF(B4=4,G36/J36,"－")</f>
        <v>0.15</v>
      </c>
      <c r="H37" s="19">
        <f ca="1">IF(B4=4,H36/J36,"－")</f>
        <v>0</v>
      </c>
      <c r="I37" s="40">
        <f t="shared" ref="I37" ca="1" si="27">I36/J36</f>
        <v>0</v>
      </c>
      <c r="N37" s="97"/>
      <c r="O37" s="92"/>
      <c r="P37" s="92"/>
      <c r="Q37" s="88"/>
      <c r="R37" s="65"/>
      <c r="S37" s="65"/>
      <c r="T37" s="65"/>
      <c r="U37" s="65"/>
      <c r="V37" s="65"/>
      <c r="W37" s="65"/>
      <c r="X37" s="65"/>
      <c r="Y37" s="65"/>
    </row>
    <row r="38" spans="1:25" ht="15.95" customHeight="1">
      <c r="A38" s="32" t="str">
        <f t="shared" ref="A38" ca="1" si="28">IF(J38&lt;&gt;0,"","未")</f>
        <v/>
      </c>
      <c r="B38" s="123"/>
      <c r="C38" s="121" t="s">
        <v>22</v>
      </c>
      <c r="D38" s="26" t="s">
        <v>3</v>
      </c>
      <c r="E38" s="27">
        <f ca="1">IF($B$4=4,COUNTIFS(INDIRECT($B$5),1,【貼付用】児童・生徒アンケートlist!$J$5:$J$5000,$C38),COUNTIFS(INDIRECT($B$5),1,【貼付用】児童・生徒アンケートlist!$J$5:$J$5000,$C38))</f>
        <v>83</v>
      </c>
      <c r="F38" s="28">
        <f ca="1">IF($B$4=4,COUNTIFS(INDIRECT($B$5),2,【貼付用】児童・生徒アンケートlist!$J$5:$J$5000,$C38),COUNTIFS(INDIRECT($B$5),2,【貼付用】児童・生徒アンケートlist!$J$5:$J$5000,$C38))</f>
        <v>31</v>
      </c>
      <c r="G38" s="27">
        <f ca="1">IF($B$4=4,COUNTIFS(INDIRECT($B$5),3,【貼付用】児童・生徒アンケートlist!$J$5:$J$5000,$C38),"－")</f>
        <v>6</v>
      </c>
      <c r="H38" s="28">
        <f ca="1">IF($B$4=4,COUNTIFS(INDIRECT($B$5),4,【貼付用】児童・生徒アンケートlist!$J$5:$J$5000,$C38),"－")</f>
        <v>1</v>
      </c>
      <c r="I38" s="43">
        <f ca="1">COUNTIFS(INDIRECT($B$5),"",【貼付用】児童・生徒アンケートlist!$J$5:$J$5000,C38)+COUNTIFS(INDIRECT($B$5),"0",【貼付用】児童・生徒アンケートlist!$J$5:$J$5000,C38)</f>
        <v>0</v>
      </c>
      <c r="J38">
        <f ca="1">SUM(E38:I38)</f>
        <v>121</v>
      </c>
      <c r="K38" s="63">
        <f>COUNTIF(【貼付用】児童・生徒アンケートlist!$I$5:$L$5000,"小牧原小学校")</f>
        <v>121</v>
      </c>
      <c r="L38" s="109">
        <v>115</v>
      </c>
      <c r="M38" s="107">
        <f t="shared" ref="M38" ca="1" si="29">J38-L38</f>
        <v>6</v>
      </c>
      <c r="N38" s="95" t="str">
        <f ca="1">IF(J38=K38,"○","エラー")</f>
        <v>○</v>
      </c>
      <c r="O38" s="92"/>
      <c r="P38" s="92"/>
      <c r="Q38" s="88"/>
      <c r="R38" s="65"/>
      <c r="S38" s="65"/>
      <c r="T38" s="65"/>
      <c r="U38" s="65"/>
      <c r="V38" s="65"/>
      <c r="W38" s="65"/>
      <c r="X38" s="65"/>
      <c r="Y38" s="65"/>
    </row>
    <row r="39" spans="1:25" ht="15.95" customHeight="1">
      <c r="A39" s="32"/>
      <c r="B39" s="123"/>
      <c r="C39" s="121"/>
      <c r="D39" s="17" t="s">
        <v>4</v>
      </c>
      <c r="E39" s="18">
        <f t="shared" ref="E39" ca="1" si="30">E38/J38</f>
        <v>0.68595041322314054</v>
      </c>
      <c r="F39" s="19">
        <f t="shared" ref="F39" ca="1" si="31">F38/J38</f>
        <v>0.256198347107438</v>
      </c>
      <c r="G39" s="18">
        <f ca="1">IF(B4=4,G38/J38,"－")</f>
        <v>4.9586776859504134E-2</v>
      </c>
      <c r="H39" s="19">
        <f ca="1">IF(B4=4,H38/J38,"－")</f>
        <v>8.2644628099173556E-3</v>
      </c>
      <c r="I39" s="40">
        <f t="shared" ref="I39" ca="1" si="32">I38/J38</f>
        <v>0</v>
      </c>
      <c r="N39" s="97"/>
      <c r="O39" s="92"/>
      <c r="P39" s="92"/>
      <c r="Q39" s="88"/>
      <c r="R39" s="65"/>
      <c r="S39" s="65"/>
      <c r="T39" s="65"/>
      <c r="U39" s="65"/>
      <c r="V39" s="65"/>
      <c r="W39" s="65"/>
      <c r="X39" s="65"/>
      <c r="Y39" s="65"/>
    </row>
    <row r="40" spans="1:25" ht="15.95" customHeight="1">
      <c r="A40" s="32" t="str">
        <f t="shared" ref="A40" ca="1" si="33">IF(J40&lt;&gt;0,"","未")</f>
        <v/>
      </c>
      <c r="B40" s="123"/>
      <c r="C40" s="121" t="s">
        <v>23</v>
      </c>
      <c r="D40" s="26" t="s">
        <v>3</v>
      </c>
      <c r="E40" s="27">
        <f ca="1">IF($B$4=4,COUNTIFS(INDIRECT($B$5),1,【貼付用】児童・生徒アンケートlist!$J$5:$J$5000,$C40),COUNTIFS(INDIRECT($B$5),1,【貼付用】児童・生徒アンケートlist!$J$5:$J$5000,$C40))</f>
        <v>63</v>
      </c>
      <c r="F40" s="28">
        <f ca="1">IF($B$4=4,COUNTIFS(INDIRECT($B$5),2,【貼付用】児童・生徒アンケートlist!$J$5:$J$5000,$C40),COUNTIFS(INDIRECT($B$5),2,【貼付用】児童・生徒アンケートlist!$J$5:$J$5000,$C40))</f>
        <v>47</v>
      </c>
      <c r="G40" s="27">
        <f ca="1">IF($B$4=4,COUNTIFS(INDIRECT($B$5),3,【貼付用】児童・生徒アンケートlist!$J$5:$J$5000,$C40),"－")</f>
        <v>2</v>
      </c>
      <c r="H40" s="28">
        <f ca="1">IF($B$4=4,COUNTIFS(INDIRECT($B$5),4,【貼付用】児童・生徒アンケートlist!$J$5:$J$5000,$C40),"－")</f>
        <v>0</v>
      </c>
      <c r="I40" s="43">
        <f ca="1">COUNTIFS(INDIRECT($B$5),"",【貼付用】児童・生徒アンケートlist!$J$5:$J$5000,C40)+COUNTIFS(INDIRECT($B$5),"0",【貼付用】児童・生徒アンケートlist!$J$5:$J$5000,C40)</f>
        <v>0</v>
      </c>
      <c r="J40">
        <f ca="1">SUM(E40:I40)</f>
        <v>112</v>
      </c>
      <c r="K40" s="63">
        <f>COUNTIF(【貼付用】児童・生徒アンケートlist!$I$5:$L$5000,"本庄小学校")</f>
        <v>112</v>
      </c>
      <c r="L40" s="109">
        <v>102</v>
      </c>
      <c r="M40" s="107">
        <f t="shared" ref="M40" ca="1" si="34">J40-L40</f>
        <v>10</v>
      </c>
      <c r="N40" s="95" t="str">
        <f ca="1">IF(J40=K40,"○","エラー")</f>
        <v>○</v>
      </c>
      <c r="O40" s="92"/>
      <c r="P40" s="92"/>
      <c r="Q40" s="88"/>
      <c r="R40" s="65"/>
      <c r="S40" s="65"/>
      <c r="T40" s="65"/>
      <c r="U40" s="65"/>
      <c r="V40" s="65"/>
      <c r="W40" s="65"/>
      <c r="X40" s="65"/>
      <c r="Y40" s="65"/>
    </row>
    <row r="41" spans="1:25" ht="15.95" customHeight="1">
      <c r="A41" s="32"/>
      <c r="B41" s="123"/>
      <c r="C41" s="121"/>
      <c r="D41" s="17" t="s">
        <v>4</v>
      </c>
      <c r="E41" s="18">
        <f t="shared" ref="E41" ca="1" si="35">E40/J40</f>
        <v>0.5625</v>
      </c>
      <c r="F41" s="19">
        <f t="shared" ref="F41" ca="1" si="36">F40/J40</f>
        <v>0.41964285714285715</v>
      </c>
      <c r="G41" s="18">
        <f ca="1">IF(B4=4,G40/J40,"－")</f>
        <v>1.7857142857142856E-2</v>
      </c>
      <c r="H41" s="19">
        <f ca="1">IF(B4=4,H40/J40,"－")</f>
        <v>0</v>
      </c>
      <c r="I41" s="40">
        <f t="shared" ref="I41" ca="1" si="37">I40/J40</f>
        <v>0</v>
      </c>
      <c r="N41" s="97"/>
      <c r="O41" s="92"/>
      <c r="P41" s="92"/>
      <c r="Q41" s="88"/>
      <c r="R41" s="65"/>
      <c r="S41" s="65"/>
      <c r="T41" s="65"/>
      <c r="U41" s="65"/>
      <c r="V41" s="65"/>
      <c r="W41" s="65"/>
      <c r="X41" s="65"/>
      <c r="Y41" s="65"/>
    </row>
    <row r="42" spans="1:25" ht="15.95" customHeight="1">
      <c r="A42" s="32" t="str">
        <f t="shared" ref="A42" ca="1" si="38">IF(J42&lt;&gt;0,"","未")</f>
        <v/>
      </c>
      <c r="B42" s="123"/>
      <c r="C42" s="121" t="s">
        <v>3840</v>
      </c>
      <c r="D42" s="26" t="s">
        <v>3</v>
      </c>
      <c r="E42" s="27">
        <f ca="1">IF($B$4=4,COUNTIFS(INDIRECT($B$5),1,【貼付用】児童・生徒アンケートlist!$J$5:$J$5000,$C42),COUNTIFS(INDIRECT($B$5),1,【貼付用】児童・生徒アンケートlist!$J$5:$J$5000,$C42))</f>
        <v>52</v>
      </c>
      <c r="F42" s="28">
        <f ca="1">IF($B$4=4,COUNTIFS(INDIRECT($B$5),2,【貼付用】児童・生徒アンケートlist!$J$5:$J$5000,$C42),COUNTIFS(INDIRECT($B$5),2,【貼付用】児童・生徒アンケートlist!$J$5:$J$5000,$C42))</f>
        <v>33</v>
      </c>
      <c r="G42" s="27">
        <f ca="1">IF($B$4=4,COUNTIFS(INDIRECT($B$5),3,【貼付用】児童・生徒アンケートlist!$J$5:$J$5000,$C42),"－")</f>
        <v>1</v>
      </c>
      <c r="H42" s="28">
        <f ca="1">IF($B$4=4,COUNTIFS(INDIRECT($B$5),4,【貼付用】児童・生徒アンケートlist!$J$5:$J$5000,$C42),"－")</f>
        <v>1</v>
      </c>
      <c r="I42" s="43">
        <f ca="1">COUNTIFS(INDIRECT($B$5),"",【貼付用】児童・生徒アンケートlist!$J$5:$J$5000,C42)+COUNTIFS(INDIRECT($B$5),"0",【貼付用】児童・生徒アンケートlist!$J$5:$J$5000,C42)</f>
        <v>0</v>
      </c>
      <c r="J42">
        <f ca="1">SUM(E42:I42)</f>
        <v>87</v>
      </c>
      <c r="K42" s="63">
        <f>COUNTIF(【貼付用】児童・生徒アンケートlist!$I$5:$L$5000,"桃ヶ丘小学校")</f>
        <v>87</v>
      </c>
      <c r="L42" s="109">
        <v>75</v>
      </c>
      <c r="M42" s="107">
        <f t="shared" ref="M42" ca="1" si="39">J42-L42</f>
        <v>12</v>
      </c>
      <c r="N42" s="95" t="str">
        <f ca="1">IF(J42=K42,"○","エラー")</f>
        <v>○</v>
      </c>
      <c r="O42" s="92"/>
      <c r="P42" s="92"/>
      <c r="Q42" s="88"/>
      <c r="R42" s="65"/>
      <c r="S42" s="65"/>
      <c r="T42" s="65"/>
      <c r="U42" s="65"/>
      <c r="V42" s="65"/>
      <c r="W42" s="65"/>
      <c r="X42" s="65"/>
      <c r="Y42" s="65"/>
    </row>
    <row r="43" spans="1:25" ht="15.95" customHeight="1">
      <c r="A43" s="32"/>
      <c r="B43" s="123"/>
      <c r="C43" s="121"/>
      <c r="D43" s="17" t="s">
        <v>4</v>
      </c>
      <c r="E43" s="18">
        <f t="shared" ref="E43" ca="1" si="40">E42/J42</f>
        <v>0.5977011494252874</v>
      </c>
      <c r="F43" s="19">
        <f t="shared" ref="F43" ca="1" si="41">F42/J42</f>
        <v>0.37931034482758619</v>
      </c>
      <c r="G43" s="18">
        <f ca="1">IF(B4=4,G42/J42,"－")</f>
        <v>1.1494252873563218E-2</v>
      </c>
      <c r="H43" s="19">
        <f ca="1">IF(B4=4,H42/J42,"－")</f>
        <v>1.1494252873563218E-2</v>
      </c>
      <c r="I43" s="40">
        <f t="shared" ref="I43" ca="1" si="42">I42/J42</f>
        <v>0</v>
      </c>
      <c r="N43" s="97"/>
      <c r="O43" s="92"/>
      <c r="P43" s="92"/>
      <c r="Q43" s="88"/>
      <c r="R43" s="65"/>
      <c r="S43" s="65"/>
      <c r="T43" s="65"/>
      <c r="U43" s="65"/>
      <c r="V43" s="65"/>
      <c r="W43" s="65"/>
      <c r="X43" s="65"/>
      <c r="Y43" s="65"/>
    </row>
    <row r="44" spans="1:25" ht="15.95" customHeight="1">
      <c r="A44" s="32" t="str">
        <f t="shared" ref="A44" ca="1" si="43">IF(J44&lt;&gt;0,"","未")</f>
        <v/>
      </c>
      <c r="B44" s="123"/>
      <c r="C44" s="121" t="s">
        <v>24</v>
      </c>
      <c r="D44" s="26" t="s">
        <v>3</v>
      </c>
      <c r="E44" s="27">
        <f ca="1">IF($B$4=4,COUNTIFS(INDIRECT($B$5),1,【貼付用】児童・生徒アンケートlist!$J$5:$J$5000,$C44),COUNTIFS(INDIRECT($B$5),1,【貼付用】児童・生徒アンケートlist!$J$5:$J$5000,$C44))</f>
        <v>13</v>
      </c>
      <c r="F44" s="28">
        <f ca="1">IF($B$4=4,COUNTIFS(INDIRECT($B$5),2,【貼付用】児童・生徒アンケートlist!$J$5:$J$5000,$C44),COUNTIFS(INDIRECT($B$5),2,【貼付用】児童・生徒アンケートlist!$J$5:$J$5000,$C44))</f>
        <v>10</v>
      </c>
      <c r="G44" s="27">
        <f ca="1">IF($B$4=4,COUNTIFS(INDIRECT($B$5),3,【貼付用】児童・生徒アンケートlist!$J$5:$J$5000,$C44),"－")</f>
        <v>1</v>
      </c>
      <c r="H44" s="28">
        <f ca="1">IF($B$4=4,COUNTIFS(INDIRECT($B$5),4,【貼付用】児童・生徒アンケートlist!$J$5:$J$5000,$C44),"－")</f>
        <v>2</v>
      </c>
      <c r="I44" s="43">
        <f ca="1">COUNTIFS(INDIRECT($B$5),"",【貼付用】児童・生徒アンケートlist!$J$5:$J$5000,C44)+COUNTIFS(INDIRECT($B$5),"0",【貼付用】児童・生徒アンケートlist!$J$5:$J$5000,C44)</f>
        <v>0</v>
      </c>
      <c r="J44">
        <f ca="1">SUM(E44:I44)</f>
        <v>26</v>
      </c>
      <c r="K44" s="63">
        <f>COUNTIF(【貼付用】児童・生徒アンケートlist!$I$5:$L$5000,"陶小学校")</f>
        <v>26</v>
      </c>
      <c r="L44" s="109">
        <v>29</v>
      </c>
      <c r="M44" s="107">
        <f t="shared" ref="M44" ca="1" si="44">J44-L44</f>
        <v>-3</v>
      </c>
      <c r="N44" s="95" t="str">
        <f ca="1">IF(J44=K44,"○","エラー")</f>
        <v>○</v>
      </c>
      <c r="O44" s="92"/>
      <c r="P44" s="92"/>
      <c r="Q44" s="88"/>
      <c r="R44" s="65"/>
      <c r="S44" s="65"/>
      <c r="T44" s="65"/>
      <c r="U44" s="65"/>
      <c r="V44" s="65"/>
      <c r="W44" s="65"/>
      <c r="X44" s="65"/>
      <c r="Y44" s="65"/>
    </row>
    <row r="45" spans="1:25" ht="15.95" customHeight="1">
      <c r="A45" s="32"/>
      <c r="B45" s="123"/>
      <c r="C45" s="121"/>
      <c r="D45" s="17" t="s">
        <v>4</v>
      </c>
      <c r="E45" s="18">
        <f t="shared" ref="E45" ca="1" si="45">E44/J44</f>
        <v>0.5</v>
      </c>
      <c r="F45" s="19">
        <f t="shared" ref="F45" ca="1" si="46">F44/J44</f>
        <v>0.38461538461538464</v>
      </c>
      <c r="G45" s="18">
        <f ca="1">IF(B4=4,G44/J44,"－")</f>
        <v>3.8461538461538464E-2</v>
      </c>
      <c r="H45" s="19">
        <f ca="1">IF(B4=4,H44/J44,"－")</f>
        <v>7.6923076923076927E-2</v>
      </c>
      <c r="I45" s="40">
        <f t="shared" ref="I45" ca="1" si="47">I44/J44</f>
        <v>0</v>
      </c>
      <c r="N45" s="97"/>
      <c r="O45" s="92"/>
      <c r="P45" s="92"/>
      <c r="Q45" s="88"/>
      <c r="R45" s="65"/>
      <c r="S45" s="65"/>
      <c r="T45" s="65"/>
      <c r="U45" s="65"/>
      <c r="V45" s="65"/>
      <c r="W45" s="65"/>
      <c r="X45" s="65"/>
      <c r="Y45" s="65"/>
    </row>
    <row r="46" spans="1:25" ht="15.95" customHeight="1">
      <c r="A46" s="32" t="str">
        <f t="shared" ref="A46" ca="1" si="48">IF(J46&lt;&gt;0,"","未")</f>
        <v/>
      </c>
      <c r="B46" s="123"/>
      <c r="C46" s="121" t="s">
        <v>25</v>
      </c>
      <c r="D46" s="26" t="s">
        <v>3</v>
      </c>
      <c r="E46" s="27">
        <f ca="1">IF($B$4=4,COUNTIFS(INDIRECT($B$5),1,【貼付用】児童・生徒アンケートlist!$J$5:$J$5000,$C46),COUNTIFS(INDIRECT($B$5),1,【貼付用】児童・生徒アンケートlist!$J$5:$J$5000,$C46))</f>
        <v>37</v>
      </c>
      <c r="F46" s="28">
        <f ca="1">IF($B$4=4,COUNTIFS(INDIRECT($B$5),2,【貼付用】児童・生徒アンケートlist!$J$5:$J$5000,$C46),COUNTIFS(INDIRECT($B$5),2,【貼付用】児童・生徒アンケートlist!$J$5:$J$5000,$C46))</f>
        <v>17</v>
      </c>
      <c r="G46" s="27">
        <f ca="1">IF($B$4=4,COUNTIFS(INDIRECT($B$5),3,【貼付用】児童・生徒アンケートlist!$J$5:$J$5000,$C46),"－")</f>
        <v>5</v>
      </c>
      <c r="H46" s="28">
        <f ca="1">IF($B$4=4,COUNTIFS(INDIRECT($B$5),4,【貼付用】児童・生徒アンケートlist!$J$5:$J$5000,$C46),"－")</f>
        <v>4</v>
      </c>
      <c r="I46" s="43">
        <f ca="1">COUNTIFS(INDIRECT($B$5),"",【貼付用】児童・生徒アンケートlist!$J$5:$J$5000,C46)+COUNTIFS(INDIRECT($B$5),"0",【貼付用】児童・生徒アンケートlist!$J$5:$J$5000,C46)</f>
        <v>0</v>
      </c>
      <c r="J46">
        <f ca="1">SUM(E46:I46)</f>
        <v>63</v>
      </c>
      <c r="K46" s="63">
        <f>COUNTIF(【貼付用】児童・生徒アンケートlist!$I$5:$L$5000,"光ヶ丘小学校")</f>
        <v>63</v>
      </c>
      <c r="L46" s="109">
        <v>64</v>
      </c>
      <c r="M46" s="107">
        <f t="shared" ref="M46" ca="1" si="49">J46-L46</f>
        <v>-1</v>
      </c>
      <c r="N46" s="95" t="str">
        <f ca="1">IF(J46=K46,"○","エラー")</f>
        <v>○</v>
      </c>
      <c r="O46" s="92"/>
      <c r="P46" s="92"/>
      <c r="Q46" s="88"/>
      <c r="R46" s="65"/>
      <c r="S46" s="65"/>
      <c r="T46" s="65"/>
      <c r="U46" s="65"/>
      <c r="V46" s="65"/>
      <c r="W46" s="65"/>
      <c r="X46" s="65"/>
      <c r="Y46" s="65"/>
    </row>
    <row r="47" spans="1:25" ht="15.95" customHeight="1">
      <c r="A47" s="32"/>
      <c r="B47" s="123"/>
      <c r="C47" s="121"/>
      <c r="D47" s="17" t="s">
        <v>4</v>
      </c>
      <c r="E47" s="18">
        <f t="shared" ref="E47" ca="1" si="50">E46/J46</f>
        <v>0.58730158730158732</v>
      </c>
      <c r="F47" s="19">
        <f t="shared" ref="F47" ca="1" si="51">F46/J46</f>
        <v>0.26984126984126983</v>
      </c>
      <c r="G47" s="18">
        <f ca="1">IF(B4=4,G46/J46,"－")</f>
        <v>7.9365079365079361E-2</v>
      </c>
      <c r="H47" s="19">
        <f ca="1">IF(B4=4,H46/J46,"－")</f>
        <v>6.3492063492063489E-2</v>
      </c>
      <c r="I47" s="40">
        <f t="shared" ref="I47" ca="1" si="52">I46/J46</f>
        <v>0</v>
      </c>
      <c r="N47" s="97"/>
      <c r="O47" s="92"/>
      <c r="P47" s="92"/>
      <c r="Q47" s="88"/>
      <c r="R47" s="65"/>
      <c r="S47" s="65"/>
      <c r="T47" s="65"/>
      <c r="U47" s="65"/>
      <c r="V47" s="65"/>
      <c r="W47" s="65"/>
      <c r="X47" s="65"/>
      <c r="Y47" s="65"/>
    </row>
    <row r="48" spans="1:25" ht="15.95" customHeight="1">
      <c r="A48" s="32" t="str">
        <f t="shared" ref="A48" ca="1" si="53">IF(J48&lt;&gt;0,"","未")</f>
        <v/>
      </c>
      <c r="B48" s="123"/>
      <c r="C48" s="121" t="s">
        <v>26</v>
      </c>
      <c r="D48" s="26" t="s">
        <v>3</v>
      </c>
      <c r="E48" s="27">
        <f ca="1">IF($B$4=4,COUNTIFS(INDIRECT($B$5),1,【貼付用】児童・生徒アンケートlist!$J$5:$J$5000,$C48),COUNTIFS(INDIRECT($B$5),1,【貼付用】児童・生徒アンケートlist!$J$5:$J$5000,$C48))</f>
        <v>32</v>
      </c>
      <c r="F48" s="28">
        <f ca="1">IF($B$4=4,COUNTIFS(INDIRECT($B$5),2,【貼付用】児童・生徒アンケートlist!$J$5:$J$5000,$C48),COUNTIFS(INDIRECT($B$5),2,【貼付用】児童・生徒アンケートlist!$J$5:$J$5000,$C48))</f>
        <v>12</v>
      </c>
      <c r="G48" s="27">
        <f ca="1">IF($B$4=4,COUNTIFS(INDIRECT($B$5),3,【貼付用】児童・生徒アンケートlist!$J$5:$J$5000,$C48),"－")</f>
        <v>0</v>
      </c>
      <c r="H48" s="28">
        <f ca="1">IF($B$4=4,COUNTIFS(INDIRECT($B$5),4,【貼付用】児童・生徒アンケートlist!$J$5:$J$5000,$C48),"－")</f>
        <v>0</v>
      </c>
      <c r="I48" s="43">
        <f ca="1">COUNTIFS(INDIRECT($B$5),"",【貼付用】児童・生徒アンケートlist!$J$5:$J$5000,C48)+COUNTIFS(INDIRECT($B$5),"0",【貼付用】児童・生徒アンケートlist!$J$5:$J$5000,C48)</f>
        <v>0</v>
      </c>
      <c r="J48">
        <f ca="1">SUM(E48:I48)</f>
        <v>44</v>
      </c>
      <c r="K48" s="63">
        <f>COUNTIF(【貼付用】児童・生徒アンケートlist!$I$5:$L$5000,"大城小学校")</f>
        <v>44</v>
      </c>
      <c r="L48" s="109">
        <v>44</v>
      </c>
      <c r="M48" s="107">
        <f t="shared" ref="M48" ca="1" si="54">J48-L48</f>
        <v>0</v>
      </c>
      <c r="N48" s="95" t="str">
        <f ca="1">IF(J48=K48,"○","エラー")</f>
        <v>○</v>
      </c>
      <c r="O48" s="92"/>
      <c r="P48" s="92"/>
      <c r="Q48" s="88"/>
      <c r="R48" s="65"/>
      <c r="S48" s="65"/>
      <c r="T48" s="65"/>
      <c r="U48" s="65"/>
      <c r="V48" s="65"/>
      <c r="W48" s="65"/>
      <c r="X48" s="65"/>
      <c r="Y48" s="65"/>
    </row>
    <row r="49" spans="1:25" ht="15.95" customHeight="1" thickBot="1">
      <c r="A49" s="32"/>
      <c r="B49" s="123"/>
      <c r="C49" s="122"/>
      <c r="D49" s="10" t="s">
        <v>4</v>
      </c>
      <c r="E49" s="11">
        <f t="shared" ref="E49" ca="1" si="55">E48/J48</f>
        <v>0.72727272727272729</v>
      </c>
      <c r="F49" s="12">
        <f t="shared" ref="F49" ca="1" si="56">F48/J48</f>
        <v>0.27272727272727271</v>
      </c>
      <c r="G49" s="11">
        <f ca="1">IF(B4=4,G48/J48,"－")</f>
        <v>0</v>
      </c>
      <c r="H49" s="12">
        <f ca="1">IF(B4=4,H48/J48,"－")</f>
        <v>0</v>
      </c>
      <c r="I49" s="37">
        <f t="shared" ref="I49" ca="1" si="57">I48/J48</f>
        <v>0</v>
      </c>
      <c r="N49" s="97"/>
      <c r="O49" s="92"/>
      <c r="P49" s="92"/>
      <c r="Q49" s="88"/>
      <c r="R49" s="65"/>
      <c r="S49" s="65"/>
      <c r="T49" s="65"/>
      <c r="U49" s="65"/>
      <c r="V49" s="65"/>
      <c r="W49" s="65"/>
      <c r="X49" s="65"/>
      <c r="Y49" s="65"/>
    </row>
    <row r="50" spans="1:25" ht="15.95" customHeight="1" thickTop="1">
      <c r="A50" s="32" t="str">
        <f t="shared" ref="A50" ca="1" si="58">IF(J50&lt;&gt;0,"","未")</f>
        <v/>
      </c>
      <c r="B50" s="123" t="s">
        <v>11</v>
      </c>
      <c r="C50" s="125" t="s">
        <v>27</v>
      </c>
      <c r="D50" s="21" t="s">
        <v>3</v>
      </c>
      <c r="E50" s="22">
        <f ca="1">IF($B$4=4,COUNTIFS(INDIRECT($B$5),1,【貼付用】児童・生徒アンケートlist!$K$5:$K$5000,$C50),COUNTIFS(INDIRECT($B$5),1,【貼付用】児童・生徒アンケートlist!$K$5:$K$5000,$C50))</f>
        <v>143</v>
      </c>
      <c r="F50" s="23">
        <f ca="1">IF($B$4=4,COUNTIFS(INDIRECT($B$5),2,【貼付用】児童・生徒アンケートlist!$K$5:$K$5000,$C50),COUNTIFS(INDIRECT($B$5),2,【貼付用】児童・生徒アンケートlist!$K$5:$K$5000,$C50))</f>
        <v>78</v>
      </c>
      <c r="G50" s="22">
        <f ca="1">IF($B$4=4,COUNTIFS(INDIRECT($B$5),3,【貼付用】児童・生徒アンケートlist!$K$5:$K$5000,$C50),"－")</f>
        <v>21</v>
      </c>
      <c r="H50" s="23">
        <f ca="1">IF($B$4=4,COUNTIFS(INDIRECT($B$5),4,【貼付用】児童・生徒アンケートlist!$K$5:$K$5000,$C50),"－")</f>
        <v>3</v>
      </c>
      <c r="I50" s="43">
        <f ca="1">COUNTIFS(INDIRECT($B$5),"",【貼付用】児童・生徒アンケートlist!$K$5:$K$5000,C50)+COUNTIFS(INDIRECT($B$5),"0",【貼付用】児童・生徒アンケートlist!$K$5:$K$5000,C50)</f>
        <v>0</v>
      </c>
      <c r="J50">
        <f ca="1">SUM(E50:I50)</f>
        <v>245</v>
      </c>
      <c r="K50" s="63">
        <f>COUNTIF(【貼付用】児童・生徒アンケートlist!$I$5:$L$5000,"小牧中学校")</f>
        <v>245</v>
      </c>
      <c r="L50" s="109">
        <v>271</v>
      </c>
      <c r="M50" s="107">
        <f t="shared" ref="M50" ca="1" si="59">J50-L50</f>
        <v>-26</v>
      </c>
      <c r="N50" s="95" t="str">
        <f ca="1">IF(J50=K50,"○","エラー")</f>
        <v>○</v>
      </c>
      <c r="O50" s="92"/>
      <c r="P50" s="92"/>
      <c r="Q50" s="88"/>
      <c r="R50" s="65"/>
      <c r="S50" s="65"/>
      <c r="T50" s="65"/>
      <c r="U50" s="65"/>
      <c r="V50" s="65"/>
      <c r="W50" s="65"/>
      <c r="X50" s="65"/>
      <c r="Y50" s="65"/>
    </row>
    <row r="51" spans="1:25" ht="15.95" customHeight="1">
      <c r="A51" s="32"/>
      <c r="B51" s="123"/>
      <c r="C51" s="121"/>
      <c r="D51" s="17" t="s">
        <v>4</v>
      </c>
      <c r="E51" s="18">
        <f t="shared" ref="E51" ca="1" si="60">E50/J50</f>
        <v>0.58367346938775511</v>
      </c>
      <c r="F51" s="19">
        <f t="shared" ref="F51" ca="1" si="61">F50/J50</f>
        <v>0.3183673469387755</v>
      </c>
      <c r="G51" s="18">
        <f ca="1">IF(B4=4,G50/J50,"－")</f>
        <v>8.5714285714285715E-2</v>
      </c>
      <c r="H51" s="19">
        <f ca="1">IF(B4=4,H50/J50,"－")</f>
        <v>1.2244897959183673E-2</v>
      </c>
      <c r="I51" s="40">
        <f t="shared" ref="I51" ca="1" si="62">I50/J50</f>
        <v>0</v>
      </c>
      <c r="N51" s="97"/>
      <c r="O51" s="92"/>
      <c r="P51" s="92"/>
      <c r="Q51" s="88"/>
      <c r="R51" s="65"/>
      <c r="S51" s="65"/>
      <c r="T51" s="65"/>
      <c r="U51" s="65"/>
      <c r="V51" s="65"/>
      <c r="W51" s="65"/>
      <c r="X51" s="65"/>
      <c r="Y51" s="65"/>
    </row>
    <row r="52" spans="1:25" ht="15.95" customHeight="1">
      <c r="A52" s="32" t="str">
        <f t="shared" ref="A52" ca="1" si="63">IF(J52&lt;&gt;0,"","未")</f>
        <v/>
      </c>
      <c r="B52" s="123"/>
      <c r="C52" s="121" t="s">
        <v>28</v>
      </c>
      <c r="D52" s="26" t="s">
        <v>3</v>
      </c>
      <c r="E52" s="27">
        <f ca="1">IF($B$4=4,COUNTIFS(INDIRECT($B$5),1,【貼付用】児童・生徒アンケートlist!$K$5:$K$5000,$C52),COUNTIFS(INDIRECT($B$5),1,【貼付用】児童・生徒アンケートlist!$K$5:$K$5000,$C52))</f>
        <v>131</v>
      </c>
      <c r="F52" s="28">
        <f ca="1">IF($B$4=4,COUNTIFS(INDIRECT($B$5),2,【貼付用】児童・生徒アンケートlist!$K$5:$K$5000,$C52),COUNTIFS(INDIRECT($B$5),2,【貼付用】児童・生徒アンケートlist!$K$5:$K$5000,$C52))</f>
        <v>68</v>
      </c>
      <c r="G52" s="27">
        <f ca="1">IF($B$4=4,COUNTIFS(INDIRECT($B$5),3,【貼付用】児童・生徒アンケートlist!$K$5:$K$5000,$C52),"－")</f>
        <v>11</v>
      </c>
      <c r="H52" s="28">
        <f ca="1">IF($B$4=4,COUNTIFS(INDIRECT($B$5),4,【貼付用】児童・生徒アンケートlist!$K$5:$K$5000,$C52),"－")</f>
        <v>8</v>
      </c>
      <c r="I52" s="43">
        <f ca="1">COUNTIFS(INDIRECT($B$5),"",【貼付用】児童・生徒アンケートlist!$K$5:$K$5000,C52)+COUNTIFS(INDIRECT($B$5),"0",【貼付用】児童・生徒アンケートlist!$K$5:$K$5000,C52)</f>
        <v>0</v>
      </c>
      <c r="J52">
        <f ca="1">SUM(E52:I52)</f>
        <v>218</v>
      </c>
      <c r="K52" s="63">
        <f>COUNTIF(【貼付用】児童・生徒アンケートlist!$I$5:$L$5000,"味岡中学校")</f>
        <v>218</v>
      </c>
      <c r="L52" s="109">
        <v>224</v>
      </c>
      <c r="M52" s="107">
        <f t="shared" ref="M52" ca="1" si="64">J52-L52</f>
        <v>-6</v>
      </c>
      <c r="N52" s="95" t="str">
        <f ca="1">IF(J52=K52,"○","エラー")</f>
        <v>○</v>
      </c>
      <c r="O52" s="92"/>
      <c r="P52" s="92"/>
      <c r="Q52" s="88"/>
      <c r="R52" s="65"/>
      <c r="S52" s="65"/>
      <c r="T52" s="65"/>
      <c r="U52" s="65"/>
      <c r="V52" s="65"/>
      <c r="W52" s="65"/>
      <c r="X52" s="65"/>
      <c r="Y52" s="65"/>
    </row>
    <row r="53" spans="1:25" ht="15.95" customHeight="1">
      <c r="A53" s="32"/>
      <c r="B53" s="123"/>
      <c r="C53" s="121"/>
      <c r="D53" s="17" t="s">
        <v>4</v>
      </c>
      <c r="E53" s="18">
        <f t="shared" ref="E53" ca="1" si="65">E52/J52</f>
        <v>0.6009174311926605</v>
      </c>
      <c r="F53" s="19">
        <f t="shared" ref="F53" ca="1" si="66">F52/J52</f>
        <v>0.31192660550458717</v>
      </c>
      <c r="G53" s="18">
        <f ca="1">IF(B4=4,G52/J52,"－")</f>
        <v>5.0458715596330278E-2</v>
      </c>
      <c r="H53" s="19">
        <f ca="1">IF(B4=4,H52/J52,"－")</f>
        <v>3.669724770642202E-2</v>
      </c>
      <c r="I53" s="40">
        <f t="shared" ref="I53" ca="1" si="67">I52/J52</f>
        <v>0</v>
      </c>
      <c r="K53" s="63"/>
      <c r="L53" s="109"/>
      <c r="N53" s="97"/>
      <c r="O53" s="92"/>
      <c r="P53" s="92"/>
      <c r="Q53" s="88"/>
      <c r="R53" s="65"/>
      <c r="S53" s="65"/>
      <c r="T53" s="65"/>
      <c r="U53" s="65"/>
      <c r="V53" s="65"/>
      <c r="W53" s="65"/>
      <c r="X53" s="65"/>
      <c r="Y53" s="65"/>
    </row>
    <row r="54" spans="1:25" ht="15.95" customHeight="1">
      <c r="A54" s="32" t="str">
        <f t="shared" ref="A54" ca="1" si="68">IF(J54&lt;&gt;0,"","未")</f>
        <v/>
      </c>
      <c r="B54" s="123"/>
      <c r="C54" s="121" t="s">
        <v>29</v>
      </c>
      <c r="D54" s="26" t="s">
        <v>3</v>
      </c>
      <c r="E54" s="27">
        <f ca="1">IF($B$4=4,COUNTIFS(INDIRECT($B$5),1,【貼付用】児童・生徒アンケートlist!$K$5:$K$5000,$C54),COUNTIFS(INDIRECT($B$5),1,【貼付用】児童・生徒アンケートlist!$K$5:$K$5000,$C54))</f>
        <v>17</v>
      </c>
      <c r="F54" s="28">
        <f ca="1">IF($B$4=4,COUNTIFS(INDIRECT($B$5),2,【貼付用】児童・生徒アンケートlist!$K$5:$K$5000,$C54),COUNTIFS(INDIRECT($B$5),2,【貼付用】児童・生徒アンケートlist!$K$5:$K$5000,$C54))</f>
        <v>36</v>
      </c>
      <c r="G54" s="27">
        <f ca="1">IF($B$4=4,COUNTIFS(INDIRECT($B$5),3,【貼付用】児童・生徒アンケートlist!$K$5:$K$5000,$C54),"－")</f>
        <v>6</v>
      </c>
      <c r="H54" s="28">
        <f ca="1">IF($B$4=4,COUNTIFS(INDIRECT($B$5),4,【貼付用】児童・生徒アンケートlist!$K$5:$K$5000,$C54),"－")</f>
        <v>1</v>
      </c>
      <c r="I54" s="43">
        <f ca="1">COUNTIFS(INDIRECT($B$5),"",【貼付用】児童・生徒アンケートlist!$K$5:$K$5000,C54)+COUNTIFS(INDIRECT($B$5),"0",【貼付用】児童・生徒アンケートlist!$K$5:$K$5000,C54)</f>
        <v>0</v>
      </c>
      <c r="J54">
        <f ca="1">SUM(E54:I54)</f>
        <v>60</v>
      </c>
      <c r="K54" s="63">
        <f>COUNTIF(【貼付用】児童・生徒アンケートlist!$I$5:$L$5000,"篠岡中学校")</f>
        <v>60</v>
      </c>
      <c r="L54" s="109">
        <v>58</v>
      </c>
      <c r="M54" s="107">
        <f t="shared" ref="M54" ca="1" si="69">J54-L54</f>
        <v>2</v>
      </c>
      <c r="N54" s="95" t="str">
        <f ca="1">IF(J54=K54,"○","エラー")</f>
        <v>○</v>
      </c>
      <c r="O54" s="92"/>
      <c r="P54" s="92"/>
      <c r="Q54" s="88"/>
      <c r="R54" s="65"/>
      <c r="S54" s="65"/>
      <c r="T54" s="65"/>
      <c r="U54" s="65"/>
      <c r="V54" s="65"/>
      <c r="W54" s="65"/>
      <c r="X54" s="65"/>
      <c r="Y54" s="65"/>
    </row>
    <row r="55" spans="1:25" ht="15.95" customHeight="1">
      <c r="A55" s="32"/>
      <c r="B55" s="123"/>
      <c r="C55" s="121"/>
      <c r="D55" s="17" t="s">
        <v>4</v>
      </c>
      <c r="E55" s="18">
        <f t="shared" ref="E55" ca="1" si="70">E54/J54</f>
        <v>0.28333333333333333</v>
      </c>
      <c r="F55" s="19">
        <f t="shared" ref="F55" ca="1" si="71">F54/J54</f>
        <v>0.6</v>
      </c>
      <c r="G55" s="18">
        <f ca="1">IF(B4=4,G54/J54,"－")</f>
        <v>0.1</v>
      </c>
      <c r="H55" s="19">
        <f ca="1">IF(B4=4,H54/J54,"－")</f>
        <v>1.6666666666666666E-2</v>
      </c>
      <c r="I55" s="40">
        <f t="shared" ref="I55" ca="1" si="72">I54/J54</f>
        <v>0</v>
      </c>
      <c r="N55" s="97"/>
      <c r="O55" s="92"/>
      <c r="P55" s="92"/>
      <c r="Q55" s="88"/>
      <c r="R55" s="65"/>
      <c r="S55" s="65"/>
      <c r="T55" s="65"/>
      <c r="U55" s="65"/>
      <c r="V55" s="65"/>
      <c r="W55" s="65"/>
      <c r="X55" s="65"/>
      <c r="Y55" s="65"/>
    </row>
    <row r="56" spans="1:25" ht="15.95" customHeight="1">
      <c r="A56" s="32" t="str">
        <f t="shared" ref="A56" ca="1" si="73">IF(J56&lt;&gt;0,"","未")</f>
        <v/>
      </c>
      <c r="B56" s="123"/>
      <c r="C56" s="121" t="s">
        <v>30</v>
      </c>
      <c r="D56" s="26" t="s">
        <v>3</v>
      </c>
      <c r="E56" s="27">
        <f ca="1">IF($B$4=4,COUNTIFS(INDIRECT($B$5),1,【貼付用】児童・生徒アンケートlist!$K$5:$K$5000,$C56),COUNTIFS(INDIRECT($B$5),1,【貼付用】児童・生徒アンケートlist!$K$5:$K$5000,$C56))</f>
        <v>50</v>
      </c>
      <c r="F56" s="28">
        <f ca="1">IF($B$4=4,COUNTIFS(INDIRECT($B$5),2,【貼付用】児童・生徒アンケートlist!$K$5:$K$5000,$C56),COUNTIFS(INDIRECT($B$5),2,【貼付用】児童・生徒アンケートlist!$K$5:$K$5000,$C56))</f>
        <v>42</v>
      </c>
      <c r="G56" s="27">
        <f ca="1">IF($B$4=4,COUNTIFS(INDIRECT($B$5),3,【貼付用】児童・生徒アンケートlist!$K$5:$K$5000,$C56),"－")</f>
        <v>16</v>
      </c>
      <c r="H56" s="28">
        <f ca="1">IF($B$4=4,COUNTIFS(INDIRECT($B$5),4,【貼付用】児童・生徒アンケートlist!$K$5:$K$5000,$C56),"－")</f>
        <v>8</v>
      </c>
      <c r="I56" s="43">
        <f ca="1">COUNTIFS(INDIRECT($B$5),"",【貼付用】児童・生徒アンケートlist!$K$5:$K$5000,C56)+COUNTIFS(INDIRECT($B$5),"0",【貼付用】児童・生徒アンケートlist!$K$5:$K$5000,C56)</f>
        <v>0</v>
      </c>
      <c r="J56">
        <f ca="1">SUM(E56:I56)</f>
        <v>116</v>
      </c>
      <c r="K56" s="63">
        <f>COUNTIF(【貼付用】児童・生徒アンケートlist!$I$5:$L$5000,"北里中学校")</f>
        <v>116</v>
      </c>
      <c r="L56" s="109">
        <v>130</v>
      </c>
      <c r="M56" s="107">
        <f t="shared" ref="M56" ca="1" si="74">J56-L56</f>
        <v>-14</v>
      </c>
      <c r="N56" s="95" t="str">
        <f ca="1">IF(J56=K56,"○","エラー")</f>
        <v>○</v>
      </c>
      <c r="O56" s="92"/>
      <c r="P56" s="92"/>
      <c r="Q56" s="88"/>
      <c r="R56" s="65"/>
      <c r="S56" s="65"/>
      <c r="T56" s="65"/>
      <c r="U56" s="65"/>
      <c r="V56" s="65"/>
      <c r="W56" s="65"/>
      <c r="X56" s="65"/>
      <c r="Y56" s="65"/>
    </row>
    <row r="57" spans="1:25" ht="15.95" customHeight="1">
      <c r="A57" s="32"/>
      <c r="B57" s="123"/>
      <c r="C57" s="121"/>
      <c r="D57" s="17" t="s">
        <v>4</v>
      </c>
      <c r="E57" s="18">
        <f t="shared" ref="E57" ca="1" si="75">E56/J56</f>
        <v>0.43103448275862066</v>
      </c>
      <c r="F57" s="19">
        <f t="shared" ref="F57" ca="1" si="76">F56/J56</f>
        <v>0.36206896551724138</v>
      </c>
      <c r="G57" s="18">
        <f ca="1">IF(B4=4,G56/J56,"－")</f>
        <v>0.13793103448275862</v>
      </c>
      <c r="H57" s="19">
        <f ca="1">IF(B4=4,H56/J56,"－")</f>
        <v>6.8965517241379309E-2</v>
      </c>
      <c r="I57" s="40">
        <f t="shared" ref="I57" ca="1" si="77">I56/J56</f>
        <v>0</v>
      </c>
      <c r="N57" s="97"/>
      <c r="O57" s="92"/>
      <c r="P57" s="92"/>
      <c r="Q57" s="88"/>
      <c r="R57" s="65"/>
      <c r="S57" s="65"/>
      <c r="T57" s="65"/>
      <c r="U57" s="65"/>
      <c r="V57" s="65"/>
      <c r="W57" s="65"/>
      <c r="X57" s="65"/>
      <c r="Y57" s="65"/>
    </row>
    <row r="58" spans="1:25" ht="15.95" customHeight="1">
      <c r="A58" s="32" t="str">
        <f t="shared" ref="A58" ca="1" si="78">IF(J58&lt;&gt;0,"","未")</f>
        <v/>
      </c>
      <c r="B58" s="123"/>
      <c r="C58" s="121" t="s">
        <v>31</v>
      </c>
      <c r="D58" s="26" t="s">
        <v>3</v>
      </c>
      <c r="E58" s="27">
        <f ca="1">IF($B$4=4,COUNTIFS(INDIRECT($B$5),1,【貼付用】児童・生徒アンケートlist!$K$5:$K$5000,$C58),COUNTIFS(INDIRECT($B$5),1,【貼付用】児童・生徒アンケートlist!$K$5:$K$5000,$C58))</f>
        <v>108</v>
      </c>
      <c r="F58" s="28">
        <f ca="1">IF($B$4=4,COUNTIFS(INDIRECT($B$5),2,【貼付用】児童・生徒アンケートlist!$K$5:$K$5000,$C58),COUNTIFS(INDIRECT($B$5),2,【貼付用】児童・生徒アンケートlist!$K$5:$K$5000,$C58))</f>
        <v>88</v>
      </c>
      <c r="G58" s="27">
        <f ca="1">IF($B$4=4,COUNTIFS(INDIRECT($B$5),3,【貼付用】児童・生徒アンケートlist!$K$5:$K$5000,$C58),"－")</f>
        <v>13</v>
      </c>
      <c r="H58" s="28">
        <f ca="1">IF($B$4=4,COUNTIFS(INDIRECT($B$5),4,【貼付用】児童・生徒アンケートlist!$K$5:$K$5000,$C58),"－")</f>
        <v>5</v>
      </c>
      <c r="I58" s="43">
        <f ca="1">COUNTIFS(INDIRECT($B$5),"",【貼付用】児童・生徒アンケートlist!$K$5:$K$5000,C58)+COUNTIFS(INDIRECT($B$5),"0",【貼付用】児童・生徒アンケートlist!$K$5:$K$5000,C58)</f>
        <v>0</v>
      </c>
      <c r="J58">
        <f ca="1">SUM(E58:I58)</f>
        <v>214</v>
      </c>
      <c r="K58" s="63">
        <f>COUNTIF(【貼付用】児童・生徒アンケートlist!$I$5:$L$5000,"応時中学校")</f>
        <v>214</v>
      </c>
      <c r="L58" s="109">
        <v>233</v>
      </c>
      <c r="M58" s="107">
        <f t="shared" ref="M58" ca="1" si="79">J58-L58</f>
        <v>-19</v>
      </c>
      <c r="N58" s="95" t="str">
        <f ca="1">IF(J58=K58,"○","エラー")</f>
        <v>○</v>
      </c>
      <c r="O58" s="92"/>
      <c r="P58" s="92"/>
      <c r="Q58" s="88"/>
      <c r="R58" s="65"/>
      <c r="S58" s="65"/>
      <c r="T58" s="65"/>
      <c r="U58" s="65"/>
      <c r="V58" s="65"/>
      <c r="W58" s="65"/>
      <c r="X58" s="65"/>
      <c r="Y58" s="65"/>
    </row>
    <row r="59" spans="1:25" ht="15.95" customHeight="1">
      <c r="A59" s="32"/>
      <c r="B59" s="123"/>
      <c r="C59" s="121"/>
      <c r="D59" s="17" t="s">
        <v>4</v>
      </c>
      <c r="E59" s="18">
        <f t="shared" ref="E59" ca="1" si="80">E58/J58</f>
        <v>0.50467289719626163</v>
      </c>
      <c r="F59" s="19">
        <f t="shared" ref="F59" ca="1" si="81">F58/J58</f>
        <v>0.41121495327102803</v>
      </c>
      <c r="G59" s="18">
        <f ca="1">IF(B4=4,G58/J58,"－")</f>
        <v>6.0747663551401869E-2</v>
      </c>
      <c r="H59" s="19">
        <f ca="1">IF(B4=4,H58/J58,"－")</f>
        <v>2.336448598130841E-2</v>
      </c>
      <c r="I59" s="40">
        <f t="shared" ref="I59" ca="1" si="82">I58/J58</f>
        <v>0</v>
      </c>
      <c r="N59" s="97"/>
      <c r="O59" s="92"/>
      <c r="P59" s="92"/>
      <c r="Q59" s="88"/>
      <c r="R59" s="65"/>
      <c r="S59" s="65"/>
      <c r="T59" s="65"/>
      <c r="U59" s="65"/>
      <c r="V59" s="65"/>
      <c r="W59" s="65"/>
      <c r="X59" s="65"/>
      <c r="Y59" s="65"/>
    </row>
    <row r="60" spans="1:25" ht="15.95" customHeight="1">
      <c r="A60" s="32" t="str">
        <f t="shared" ref="A60" ca="1" si="83">IF(J60&lt;&gt;0,"","未")</f>
        <v/>
      </c>
      <c r="B60" s="123"/>
      <c r="C60" s="121" t="s">
        <v>32</v>
      </c>
      <c r="D60" s="26" t="s">
        <v>3</v>
      </c>
      <c r="E60" s="27">
        <f ca="1">IF($B$4=4,COUNTIFS(INDIRECT($B$5),1,【貼付用】児童・生徒アンケートlist!$K$5:$K$5000,$C60),COUNTIFS(INDIRECT($B$5),1,【貼付用】児童・生徒アンケートlist!$K$5:$K$5000,$C60))</f>
        <v>55</v>
      </c>
      <c r="F60" s="28">
        <f ca="1">IF($B$4=4,COUNTIFS(INDIRECT($B$5),2,【貼付用】児童・生徒アンケートlist!$K$5:$K$5000,$C60),COUNTIFS(INDIRECT($B$5),2,【貼付用】児童・生徒アンケートlist!$K$5:$K$5000,$C60))</f>
        <v>46</v>
      </c>
      <c r="G60" s="27">
        <f ca="1">IF($B$4=4,COUNTIFS(INDIRECT($B$5),3,【貼付用】児童・生徒アンケートlist!$K$5:$K$5000,$C60),"－")</f>
        <v>20</v>
      </c>
      <c r="H60" s="28">
        <f ca="1">IF($B$4=4,COUNTIFS(INDIRECT($B$5),4,【貼付用】児童・生徒アンケートlist!$K$5:$K$5000,$C60),"－")</f>
        <v>9</v>
      </c>
      <c r="I60" s="43">
        <f ca="1">COUNTIFS(INDIRECT($B$5),"",【貼付用】児童・生徒アンケートlist!$K$5:$K$5000,C60)+COUNTIFS(INDIRECT($B$5),"0",【貼付用】児童・生徒アンケートlist!$K$5:$K$5000,C60)</f>
        <v>0</v>
      </c>
      <c r="J60">
        <f ca="1">SUM(E60:I60)</f>
        <v>130</v>
      </c>
      <c r="K60" s="63">
        <f>COUNTIF(【貼付用】児童・生徒アンケートlist!$I$5:$L$5000,"岩崎中学校")</f>
        <v>130</v>
      </c>
      <c r="L60" s="109">
        <v>147</v>
      </c>
      <c r="M60" s="107">
        <f t="shared" ref="M60" ca="1" si="84">J60-L60</f>
        <v>-17</v>
      </c>
      <c r="N60" s="95" t="str">
        <f ca="1">IF(J60=K60,"○","エラー")</f>
        <v>○</v>
      </c>
      <c r="O60" s="92"/>
      <c r="P60" s="92"/>
      <c r="Q60" s="88"/>
      <c r="R60" s="65"/>
      <c r="S60" s="65"/>
      <c r="T60" s="65"/>
      <c r="U60" s="65"/>
      <c r="V60" s="65"/>
      <c r="W60" s="65"/>
      <c r="X60" s="65"/>
      <c r="Y60" s="65"/>
    </row>
    <row r="61" spans="1:25" ht="15.95" customHeight="1">
      <c r="A61" s="32"/>
      <c r="B61" s="123"/>
      <c r="C61" s="121"/>
      <c r="D61" s="17" t="s">
        <v>4</v>
      </c>
      <c r="E61" s="18">
        <f t="shared" ref="E61" ca="1" si="85">E60/J60</f>
        <v>0.42307692307692307</v>
      </c>
      <c r="F61" s="19">
        <f t="shared" ref="F61" ca="1" si="86">F60/J60</f>
        <v>0.35384615384615387</v>
      </c>
      <c r="G61" s="18">
        <f ca="1">IF(B4=4,G60/J60,"－")</f>
        <v>0.15384615384615385</v>
      </c>
      <c r="H61" s="19">
        <f ca="1">IF(B4=4,H60/J60,"－")</f>
        <v>6.9230769230769235E-2</v>
      </c>
      <c r="I61" s="40">
        <f t="shared" ref="I61" ca="1" si="87">I60/J60</f>
        <v>0</v>
      </c>
      <c r="N61" s="97"/>
      <c r="O61" s="92"/>
      <c r="P61" s="92"/>
      <c r="Q61" s="88"/>
      <c r="R61" s="65"/>
      <c r="S61" s="65"/>
      <c r="T61" s="65"/>
      <c r="U61" s="65"/>
      <c r="V61" s="65"/>
      <c r="W61" s="65"/>
      <c r="X61" s="65"/>
      <c r="Y61" s="65"/>
    </row>
    <row r="62" spans="1:25" ht="15.95" customHeight="1">
      <c r="A62" s="32" t="str">
        <f t="shared" ref="A62" ca="1" si="88">IF(J62&lt;&gt;0,"","未")</f>
        <v/>
      </c>
      <c r="B62" s="123"/>
      <c r="C62" s="121" t="s">
        <v>33</v>
      </c>
      <c r="D62" s="26" t="s">
        <v>3</v>
      </c>
      <c r="E62" s="27">
        <f ca="1">IF($B$4=4,COUNTIFS(INDIRECT($B$5),1,【貼付用】児童・生徒アンケートlist!$K$5:$K$5000,$C62),COUNTIFS(INDIRECT($B$5),1,【貼付用】児童・生徒アンケートlist!$K$5:$K$5000,$C62))</f>
        <v>70</v>
      </c>
      <c r="F62" s="28">
        <f ca="1">IF($B$4=4,COUNTIFS(INDIRECT($B$5),2,【貼付用】児童・生徒アンケートlist!$K$5:$K$5000,$C62),COUNTIFS(INDIRECT($B$5),2,【貼付用】児童・生徒アンケートlist!$K$5:$K$5000,$C62))</f>
        <v>47</v>
      </c>
      <c r="G62" s="27">
        <f ca="1">IF($B$4=4,COUNTIFS(INDIRECT($B$5),3,【貼付用】児童・生徒アンケートlist!$K$5:$K$5000,$C62),"－")</f>
        <v>11</v>
      </c>
      <c r="H62" s="28">
        <f ca="1">IF($B$4=4,COUNTIFS(INDIRECT($B$5),4,【貼付用】児童・生徒アンケートlist!$K$5:$K$5000,$C62),"－")</f>
        <v>10</v>
      </c>
      <c r="I62" s="43">
        <f ca="1">COUNTIFS(INDIRECT($B$5),"",【貼付用】児童・生徒アンケートlist!$K$5:$K$5000,C62)+COUNTIFS(INDIRECT($B$5),"0",【貼付用】児童・生徒アンケートlist!$K$5:$K$5000,C62)</f>
        <v>0</v>
      </c>
      <c r="J62">
        <f ca="1">SUM(E62:I62)</f>
        <v>138</v>
      </c>
      <c r="K62" s="63">
        <f>COUNTIF(【貼付用】児童・生徒アンケートlist!$I$5:$L$5000,"桃陵中学校")</f>
        <v>138</v>
      </c>
      <c r="L62" s="109">
        <v>145</v>
      </c>
      <c r="M62" s="107">
        <f t="shared" ref="M62" ca="1" si="89">J62-L62</f>
        <v>-7</v>
      </c>
      <c r="N62" s="95" t="str">
        <f ca="1">IF(J62=K62,"○","エラー")</f>
        <v>○</v>
      </c>
      <c r="O62" s="92"/>
      <c r="P62" s="92"/>
      <c r="Q62" s="88"/>
      <c r="R62" s="65"/>
      <c r="S62" s="65"/>
      <c r="T62" s="65"/>
      <c r="U62" s="65"/>
      <c r="V62" s="65"/>
      <c r="W62" s="65"/>
      <c r="X62" s="65"/>
      <c r="Y62" s="65"/>
    </row>
    <row r="63" spans="1:25" ht="15.95" customHeight="1">
      <c r="A63" s="32"/>
      <c r="B63" s="123"/>
      <c r="C63" s="121"/>
      <c r="D63" s="17" t="s">
        <v>4</v>
      </c>
      <c r="E63" s="18">
        <f t="shared" ref="E63" ca="1" si="90">E62/J62</f>
        <v>0.50724637681159424</v>
      </c>
      <c r="F63" s="19">
        <f t="shared" ref="F63" ca="1" si="91">F62/J62</f>
        <v>0.34057971014492755</v>
      </c>
      <c r="G63" s="18">
        <f ca="1">IF(B4=4,G62/J62,"－")</f>
        <v>7.9710144927536225E-2</v>
      </c>
      <c r="H63" s="19">
        <f ca="1">IF(B4=4,H62/J62,"－")</f>
        <v>7.2463768115942032E-2</v>
      </c>
      <c r="I63" s="40">
        <f t="shared" ref="I63" ca="1" si="92">I62/J62</f>
        <v>0</v>
      </c>
      <c r="N63" s="97"/>
      <c r="O63" s="92"/>
      <c r="P63" s="92"/>
      <c r="Q63" s="88"/>
      <c r="R63" s="65"/>
      <c r="S63" s="65"/>
      <c r="T63" s="65"/>
      <c r="U63" s="65"/>
      <c r="V63" s="65"/>
      <c r="W63" s="65"/>
      <c r="X63" s="65"/>
      <c r="Y63" s="65"/>
    </row>
    <row r="64" spans="1:25" ht="15.95" customHeight="1">
      <c r="A64" s="32" t="str">
        <f t="shared" ref="A64" ca="1" si="93">IF(J64&lt;&gt;0,"","未")</f>
        <v/>
      </c>
      <c r="B64" s="123"/>
      <c r="C64" s="121" t="s">
        <v>34</v>
      </c>
      <c r="D64" s="26" t="s">
        <v>3</v>
      </c>
      <c r="E64" s="27">
        <f ca="1">IF($B$4=4,COUNTIFS(INDIRECT($B$5),1,【貼付用】児童・生徒アンケートlist!$K$5:$K$5000,$C64),COUNTIFS(INDIRECT($B$5),1,【貼付用】児童・生徒アンケートlist!$K$5:$K$5000,$C64))</f>
        <v>24</v>
      </c>
      <c r="F64" s="28">
        <f ca="1">IF($B$4=4,COUNTIFS(INDIRECT($B$5),2,【貼付用】児童・生徒アンケートlist!$K$5:$K$5000,$C64),COUNTIFS(INDIRECT($B$5),2,【貼付用】児童・生徒アンケートlist!$K$5:$K$5000,$C64))</f>
        <v>40</v>
      </c>
      <c r="G64" s="27">
        <f ca="1">IF($B$4=4,COUNTIFS(INDIRECT($B$5),3,【貼付用】児童・生徒アンケートlist!$K$5:$K$5000,$C64),"－")</f>
        <v>12</v>
      </c>
      <c r="H64" s="28">
        <f ca="1">IF($B$4=4,COUNTIFS(INDIRECT($B$5),4,【貼付用】児童・生徒アンケートlist!$K$5:$K$5000,$C64),"－")</f>
        <v>1</v>
      </c>
      <c r="I64" s="43">
        <f ca="1">COUNTIFS(INDIRECT($B$5),"",【貼付用】児童・生徒アンケートlist!$K$5:$K$5000,C64)+COUNTIFS(INDIRECT($B$5),"0",【貼付用】児童・生徒アンケートlist!$K$5:$K$5000,C64)</f>
        <v>0</v>
      </c>
      <c r="J64">
        <f ca="1">SUM(E64:I64)</f>
        <v>77</v>
      </c>
      <c r="K64" s="63">
        <f>COUNTIF(【貼付用】児童・生徒アンケートlist!$I$5:$L$5000,"小牧西中学校")</f>
        <v>77</v>
      </c>
      <c r="L64" s="109">
        <v>83</v>
      </c>
      <c r="M64" s="107">
        <f t="shared" ref="M64" ca="1" si="94">J64-L64</f>
        <v>-6</v>
      </c>
      <c r="N64" s="95" t="str">
        <f ca="1">IF(J64=K64,"○","エラー")</f>
        <v>○</v>
      </c>
      <c r="O64" s="92"/>
      <c r="P64" s="92"/>
      <c r="Q64" s="88"/>
      <c r="R64" s="65"/>
      <c r="S64" s="65"/>
      <c r="T64" s="65"/>
      <c r="U64" s="65"/>
      <c r="V64" s="65"/>
      <c r="W64" s="65"/>
      <c r="X64" s="65"/>
      <c r="Y64" s="65"/>
    </row>
    <row r="65" spans="1:25" ht="15.95" customHeight="1">
      <c r="A65" s="32"/>
      <c r="B65" s="123"/>
      <c r="C65" s="121"/>
      <c r="D65" s="17" t="s">
        <v>4</v>
      </c>
      <c r="E65" s="18">
        <f t="shared" ref="E65" ca="1" si="95">E64/J64</f>
        <v>0.31168831168831168</v>
      </c>
      <c r="F65" s="19">
        <f t="shared" ref="F65" ca="1" si="96">F64/J64</f>
        <v>0.51948051948051943</v>
      </c>
      <c r="G65" s="18">
        <f ca="1">IF(B4=4,G64/J64,"－")</f>
        <v>0.15584415584415584</v>
      </c>
      <c r="H65" s="19">
        <f ca="1">IF(B4=4,H64/J64,"－")</f>
        <v>1.2987012987012988E-2</v>
      </c>
      <c r="I65" s="40">
        <f t="shared" ref="I65" ca="1" si="97">I64/J64</f>
        <v>0</v>
      </c>
      <c r="N65" s="97"/>
      <c r="O65" s="92"/>
      <c r="P65" s="92"/>
      <c r="Q65" s="88"/>
      <c r="R65" s="65"/>
      <c r="S65" s="65"/>
      <c r="T65" s="65"/>
      <c r="U65" s="65"/>
      <c r="V65" s="65"/>
      <c r="W65" s="65"/>
      <c r="X65" s="65"/>
      <c r="Y65" s="65"/>
    </row>
    <row r="66" spans="1:25" ht="15.95" customHeight="1">
      <c r="A66" s="32" t="str">
        <f t="shared" ref="A66" ca="1" si="98">IF(J66&lt;&gt;0,"","未")</f>
        <v/>
      </c>
      <c r="B66" s="123"/>
      <c r="C66" s="121" t="s">
        <v>35</v>
      </c>
      <c r="D66" s="26" t="s">
        <v>3</v>
      </c>
      <c r="E66" s="27">
        <f ca="1">IF($B$4=4,COUNTIFS(INDIRECT($B$5),1,【貼付用】児童・生徒アンケートlist!$K$5:$K$5000,$C66),COUNTIFS(INDIRECT($B$5),1,【貼付用】児童・生徒アンケートlist!$K$5:$K$5000,$C66))</f>
        <v>47</v>
      </c>
      <c r="F66" s="28">
        <f ca="1">IF($B$4=4,COUNTIFS(INDIRECT($B$5),2,【貼付用】児童・生徒アンケートlist!$K$5:$K$5000,$C66),COUNTIFS(INDIRECT($B$5),2,【貼付用】児童・生徒アンケートlist!$K$5:$K$5000,$C66))</f>
        <v>30</v>
      </c>
      <c r="G66" s="27">
        <f ca="1">IF($B$4=4,COUNTIFS(INDIRECT($B$5),3,【貼付用】児童・生徒アンケートlist!$K$5:$K$5000,$C66),"－")</f>
        <v>2</v>
      </c>
      <c r="H66" s="28">
        <f ca="1">IF($B$4=4,COUNTIFS(INDIRECT($B$5),4,【貼付用】児童・生徒アンケートlist!$K$5:$K$5000,$C66),"－")</f>
        <v>3</v>
      </c>
      <c r="I66" s="43">
        <f ca="1">COUNTIFS(INDIRECT($B$5),"",【貼付用】児童・生徒アンケートlist!$K$5:$K$5000,C66)+COUNTIFS(INDIRECT($B$5),"0",【貼付用】児童・生徒アンケートlist!$K$5:$K$5000,C66)</f>
        <v>0</v>
      </c>
      <c r="J66">
        <f ca="1">SUM(E66:I66)</f>
        <v>82</v>
      </c>
      <c r="K66" s="63">
        <f>COUNTIF(【貼付用】児童・生徒アンケートlist!$I$5:$L$5000,"光ヶ丘中学校")</f>
        <v>82</v>
      </c>
      <c r="L66" s="109">
        <v>88</v>
      </c>
      <c r="M66" s="107">
        <f t="shared" ref="M66" ca="1" si="99">J66-L66</f>
        <v>-6</v>
      </c>
      <c r="N66" s="95" t="str">
        <f ca="1">IF(J66=K66,"○","エラー")</f>
        <v>○</v>
      </c>
      <c r="O66" s="92"/>
      <c r="P66" s="92"/>
      <c r="Q66" s="88"/>
      <c r="R66" s="65"/>
      <c r="S66" s="65"/>
      <c r="T66" s="65"/>
      <c r="U66" s="65"/>
      <c r="V66" s="65"/>
      <c r="W66" s="65"/>
      <c r="X66" s="65"/>
      <c r="Y66" s="65"/>
    </row>
    <row r="67" spans="1:25" ht="15.95" customHeight="1" thickBot="1">
      <c r="A67" s="32"/>
      <c r="B67" s="124"/>
      <c r="C67" s="122"/>
      <c r="D67" s="10" t="s">
        <v>4</v>
      </c>
      <c r="E67" s="11">
        <f t="shared" ref="E67" ca="1" si="100">E66/J66</f>
        <v>0.57317073170731703</v>
      </c>
      <c r="F67" s="12">
        <f t="shared" ref="F67" ca="1" si="101">F66/J66</f>
        <v>0.36585365853658536</v>
      </c>
      <c r="G67" s="11">
        <f ca="1">IF(B4=4,G66/J66,"－")</f>
        <v>2.4390243902439025E-2</v>
      </c>
      <c r="H67" s="12">
        <f ca="1">IF(B4=4,H66/J66,"－")</f>
        <v>3.6585365853658534E-2</v>
      </c>
      <c r="I67" s="37">
        <f t="shared" ref="I67" ca="1" si="102">I66/J66</f>
        <v>0</v>
      </c>
      <c r="N67" s="97"/>
      <c r="O67" s="92"/>
      <c r="P67" s="92"/>
      <c r="Q67" s="88"/>
      <c r="R67" s="65"/>
      <c r="S67" s="65"/>
      <c r="T67" s="65"/>
      <c r="U67" s="65"/>
      <c r="V67" s="65"/>
      <c r="W67" s="65"/>
      <c r="X67" s="65"/>
      <c r="Y67" s="65"/>
    </row>
    <row r="68" spans="1:25" ht="18" customHeight="1" thickTop="1">
      <c r="O68" s="88"/>
      <c r="P68" s="88"/>
      <c r="Q68" s="88"/>
      <c r="R68" s="65"/>
      <c r="S68" s="65"/>
      <c r="T68" s="65"/>
      <c r="U68" s="65"/>
      <c r="V68" s="65"/>
      <c r="W68" s="65"/>
      <c r="X68" s="65"/>
      <c r="Y68" s="65"/>
    </row>
    <row r="69" spans="1:25" ht="18" customHeight="1">
      <c r="O69" s="88"/>
      <c r="P69" s="88"/>
      <c r="Q69" s="88"/>
      <c r="R69" s="65"/>
      <c r="S69" s="65"/>
      <c r="T69" s="65"/>
      <c r="U69" s="65"/>
      <c r="V69" s="65"/>
      <c r="W69" s="65"/>
      <c r="X69" s="65"/>
      <c r="Y69" s="65"/>
    </row>
    <row r="70" spans="1:25" ht="18" customHeight="1">
      <c r="O70" s="88"/>
      <c r="P70" s="88"/>
      <c r="Q70" s="88"/>
      <c r="R70" s="65"/>
      <c r="S70" s="65"/>
      <c r="T70" s="65"/>
      <c r="U70" s="65"/>
      <c r="V70" s="65"/>
      <c r="W70" s="65"/>
      <c r="X70" s="65"/>
      <c r="Y70" s="65"/>
    </row>
    <row r="71" spans="1:25" ht="18" customHeight="1">
      <c r="O71" s="88"/>
      <c r="P71" s="88"/>
      <c r="Q71" s="88"/>
      <c r="R71" s="65"/>
      <c r="S71" s="65"/>
      <c r="T71" s="65"/>
      <c r="U71" s="65"/>
      <c r="V71" s="65"/>
      <c r="W71" s="65"/>
      <c r="X71" s="65"/>
      <c r="Y71" s="65"/>
    </row>
    <row r="72" spans="1:25" ht="18" customHeight="1">
      <c r="O72" s="88"/>
      <c r="P72" s="88"/>
      <c r="Q72" s="88"/>
      <c r="R72" s="65"/>
      <c r="S72" s="65"/>
      <c r="T72" s="65"/>
      <c r="U72" s="65"/>
      <c r="V72" s="65"/>
      <c r="W72" s="65"/>
      <c r="X72" s="65"/>
      <c r="Y72" s="65"/>
    </row>
    <row r="73" spans="1:25" ht="18" customHeight="1">
      <c r="O73" s="88"/>
      <c r="P73" s="88"/>
      <c r="Q73" s="88"/>
      <c r="R73" s="65"/>
      <c r="S73" s="65"/>
      <c r="T73" s="65"/>
      <c r="U73" s="65"/>
      <c r="V73" s="65"/>
      <c r="W73" s="65"/>
      <c r="X73" s="65"/>
      <c r="Y73" s="65"/>
    </row>
    <row r="74" spans="1:25" ht="18" customHeight="1">
      <c r="O74" s="88"/>
      <c r="P74" s="88"/>
      <c r="Q74" s="88"/>
      <c r="R74" s="65"/>
      <c r="S74" s="65"/>
      <c r="T74" s="65"/>
      <c r="U74" s="65"/>
      <c r="V74" s="65"/>
      <c r="W74" s="65"/>
      <c r="X74" s="65"/>
      <c r="Y74" s="65"/>
    </row>
    <row r="75" spans="1:25" ht="18" customHeight="1">
      <c r="O75" s="88"/>
      <c r="P75" s="88"/>
      <c r="Q75" s="88"/>
      <c r="R75" s="65"/>
      <c r="S75" s="65"/>
      <c r="T75" s="65"/>
      <c r="U75" s="65"/>
      <c r="V75" s="65"/>
      <c r="W75" s="65"/>
      <c r="X75" s="65"/>
      <c r="Y75" s="65"/>
    </row>
    <row r="76" spans="1:25" ht="18" customHeight="1">
      <c r="O76" s="88"/>
      <c r="P76" s="88"/>
      <c r="Q76" s="88"/>
      <c r="R76" s="65"/>
      <c r="S76" s="65"/>
      <c r="T76" s="65"/>
      <c r="U76" s="65"/>
      <c r="V76" s="65"/>
      <c r="W76" s="65"/>
      <c r="X76" s="65"/>
      <c r="Y76" s="65"/>
    </row>
    <row r="77" spans="1:25" ht="18" customHeight="1"/>
    <row r="78" spans="1:25" ht="18" customHeight="1"/>
    <row r="79" spans="1:25" ht="18" customHeight="1"/>
  </sheetData>
  <sheetProtection algorithmName="SHA-512" hashValue="1Awx59tnQMsCntvfPhuB7LK2NOrSB6R0V+OgVNmwymSMdag5V8w6u4e5XPut2C+FgGCi+dARYckiv1XR6DxcmQ==" saltValue="WOLGjo8hwLWWazMNJiqGIQ==" spinCount="100000" sheet="1" objects="1" scenarios="1"/>
  <mergeCells count="36">
    <mergeCell ref="B14:B17"/>
    <mergeCell ref="C14:C15"/>
    <mergeCell ref="C16:C17"/>
    <mergeCell ref="B6:C7"/>
    <mergeCell ref="B8:B13"/>
    <mergeCell ref="C8:C9"/>
    <mergeCell ref="C12:C13"/>
    <mergeCell ref="B3:H3"/>
    <mergeCell ref="C10:C11"/>
    <mergeCell ref="C46:C47"/>
    <mergeCell ref="B18:B49"/>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66:C67"/>
    <mergeCell ref="C48:C49"/>
    <mergeCell ref="B50:B67"/>
    <mergeCell ref="C50:C51"/>
    <mergeCell ref="C52:C53"/>
    <mergeCell ref="C54:C55"/>
    <mergeCell ref="C56:C57"/>
    <mergeCell ref="C58:C59"/>
    <mergeCell ref="C60:C61"/>
    <mergeCell ref="C62:C63"/>
    <mergeCell ref="C64:C65"/>
  </mergeCells>
  <phoneticPr fontId="23"/>
  <conditionalFormatting sqref="E7:H7">
    <cfRule type="top10" dxfId="124" priority="65" bottom="1" rank="1"/>
    <cfRule type="top10" dxfId="123" priority="66" rank="1"/>
  </conditionalFormatting>
  <conditionalFormatting sqref="E9:H9">
    <cfRule type="top10" dxfId="122" priority="63" bottom="1" rank="1"/>
    <cfRule type="top10" dxfId="121" priority="64" rank="1"/>
  </conditionalFormatting>
  <conditionalFormatting sqref="E13:H13">
    <cfRule type="top10" dxfId="120" priority="61" bottom="1" rank="1"/>
    <cfRule type="top10" dxfId="119" priority="62" rank="1"/>
  </conditionalFormatting>
  <conditionalFormatting sqref="E15:H15">
    <cfRule type="top10" dxfId="118" priority="59" bottom="1" rank="1"/>
    <cfRule type="top10" dxfId="117" priority="60" rank="1"/>
  </conditionalFormatting>
  <conditionalFormatting sqref="E17:H17">
    <cfRule type="top10" dxfId="116" priority="57" bottom="1" rank="1"/>
    <cfRule type="top10" dxfId="115" priority="58" rank="1"/>
  </conditionalFormatting>
  <conditionalFormatting sqref="E19:H19">
    <cfRule type="top10" dxfId="114" priority="55" bottom="1" rank="1"/>
    <cfRule type="top10" dxfId="113" priority="56" rank="1"/>
  </conditionalFormatting>
  <conditionalFormatting sqref="E21:H21">
    <cfRule type="top10" dxfId="112" priority="53" bottom="1" rank="1"/>
    <cfRule type="top10" dxfId="111" priority="54" rank="1"/>
  </conditionalFormatting>
  <conditionalFormatting sqref="E23:H23">
    <cfRule type="top10" dxfId="110" priority="51" bottom="1" rank="1"/>
    <cfRule type="top10" dxfId="109" priority="52" rank="1"/>
  </conditionalFormatting>
  <conditionalFormatting sqref="E25:H25">
    <cfRule type="top10" dxfId="108" priority="49" bottom="1" rank="1"/>
    <cfRule type="top10" dxfId="107" priority="50" rank="1"/>
  </conditionalFormatting>
  <conditionalFormatting sqref="E27:H27">
    <cfRule type="top10" dxfId="106" priority="47" bottom="1" rank="1"/>
    <cfRule type="top10" dxfId="105" priority="48" rank="1"/>
  </conditionalFormatting>
  <conditionalFormatting sqref="E29:H29">
    <cfRule type="top10" dxfId="104" priority="45" bottom="1" rank="1"/>
    <cfRule type="top10" dxfId="103" priority="46" rank="1"/>
  </conditionalFormatting>
  <conditionalFormatting sqref="E31:H31">
    <cfRule type="top10" dxfId="102" priority="43" bottom="1" rank="1"/>
    <cfRule type="top10" dxfId="101" priority="44" rank="1"/>
  </conditionalFormatting>
  <conditionalFormatting sqref="E33:H33">
    <cfRule type="top10" dxfId="100" priority="41" bottom="1" rank="1"/>
    <cfRule type="top10" dxfId="99" priority="42" rank="1"/>
  </conditionalFormatting>
  <conditionalFormatting sqref="E35:H35">
    <cfRule type="top10" dxfId="98" priority="39" bottom="1" rank="1"/>
    <cfRule type="top10" dxfId="97" priority="40" rank="1"/>
  </conditionalFormatting>
  <conditionalFormatting sqref="E37:H37">
    <cfRule type="top10" dxfId="96" priority="37" bottom="1" rank="1"/>
    <cfRule type="top10" dxfId="95" priority="38" rank="1"/>
  </conditionalFormatting>
  <conditionalFormatting sqref="E39:H39">
    <cfRule type="top10" dxfId="94" priority="35" bottom="1" rank="1"/>
    <cfRule type="top10" dxfId="93" priority="36" rank="1"/>
  </conditionalFormatting>
  <conditionalFormatting sqref="E41:H41">
    <cfRule type="top10" dxfId="92" priority="33" bottom="1" rank="1"/>
    <cfRule type="top10" dxfId="91" priority="34" rank="1"/>
  </conditionalFormatting>
  <conditionalFormatting sqref="E43:H43">
    <cfRule type="top10" dxfId="90" priority="31" bottom="1" rank="1"/>
    <cfRule type="top10" dxfId="89" priority="32" rank="1"/>
  </conditionalFormatting>
  <conditionalFormatting sqref="E45:H45">
    <cfRule type="top10" dxfId="88" priority="29" bottom="1" rank="1"/>
    <cfRule type="top10" dxfId="87" priority="30" rank="1"/>
  </conditionalFormatting>
  <conditionalFormatting sqref="E47:H47">
    <cfRule type="top10" dxfId="86" priority="27" bottom="1" rank="1"/>
    <cfRule type="top10" dxfId="85" priority="28" rank="1"/>
  </conditionalFormatting>
  <conditionalFormatting sqref="E49:H49">
    <cfRule type="top10" dxfId="84" priority="25" bottom="1" rank="1"/>
    <cfRule type="top10" dxfId="83" priority="26" rank="1"/>
  </conditionalFormatting>
  <conditionalFormatting sqref="E51:H51">
    <cfRule type="top10" dxfId="82" priority="23" bottom="1" rank="1"/>
    <cfRule type="top10" dxfId="81" priority="24" rank="1"/>
  </conditionalFormatting>
  <conditionalFormatting sqref="E53:H53">
    <cfRule type="top10" dxfId="80" priority="21" bottom="1" rank="1"/>
    <cfRule type="top10" dxfId="79" priority="22" rank="1"/>
  </conditionalFormatting>
  <conditionalFormatting sqref="E55:H55">
    <cfRule type="top10" dxfId="78" priority="19" bottom="1" rank="1"/>
    <cfRule type="top10" dxfId="77" priority="20" rank="1"/>
  </conditionalFormatting>
  <conditionalFormatting sqref="E57:H57">
    <cfRule type="top10" dxfId="76" priority="17" bottom="1" rank="1"/>
    <cfRule type="top10" dxfId="75" priority="18" rank="1"/>
  </conditionalFormatting>
  <conditionalFormatting sqref="E59:H59">
    <cfRule type="top10" dxfId="74" priority="15" bottom="1" rank="1"/>
    <cfRule type="top10" dxfId="73" priority="16" rank="1"/>
  </conditionalFormatting>
  <conditionalFormatting sqref="E61:H61">
    <cfRule type="top10" dxfId="72" priority="13" bottom="1" rank="1"/>
    <cfRule type="top10" dxfId="71" priority="14" rank="1"/>
  </conditionalFormatting>
  <conditionalFormatting sqref="E63:H63">
    <cfRule type="top10" dxfId="70" priority="11" bottom="1" rank="1"/>
    <cfRule type="top10" dxfId="69" priority="12" rank="1"/>
  </conditionalFormatting>
  <conditionalFormatting sqref="E65:H65">
    <cfRule type="top10" dxfId="68" priority="9" bottom="1" rank="1"/>
    <cfRule type="top10" dxfId="67" priority="10" rank="1"/>
  </conditionalFormatting>
  <conditionalFormatting sqref="E67:H67">
    <cfRule type="top10" dxfId="66" priority="7" bottom="1" rank="1"/>
    <cfRule type="top10" dxfId="65" priority="8" rank="1"/>
  </conditionalFormatting>
  <conditionalFormatting sqref="E11:H11">
    <cfRule type="top10" dxfId="64" priority="5" bottom="1" rank="1"/>
    <cfRule type="top10" dxfId="63" priority="6" rank="1"/>
  </conditionalFormatting>
  <conditionalFormatting sqref="N6:P67">
    <cfRule type="expression" dxfId="62" priority="3">
      <formula>N6="エラー"</formula>
    </cfRule>
  </conditionalFormatting>
  <conditionalFormatting sqref="A18:A67">
    <cfRule type="notContainsBlanks" dxfId="61" priority="67">
      <formula>LEN(TRIM(A18))&gt;0</formula>
    </cfRule>
  </conditionalFormatting>
  <conditionalFormatting sqref="M6:M67">
    <cfRule type="cellIs" dxfId="60" priority="1" operator="greaterThan">
      <formula>0</formula>
    </cfRule>
  </conditionalFormatting>
  <dataValidations count="1">
    <dataValidation type="list" allowBlank="1" showInputMessage="1" showErrorMessage="1" sqref="B3">
      <formula1>$B$1:$I$1</formula1>
    </dataValidation>
  </dataValidations>
  <pageMargins left="0.70866141732283472" right="0.70866141732283472" top="0.74803149606299213" bottom="0.74803149606299213" header="0.31496062992125984" footer="0.31496062992125984"/>
  <pageSetup paperSize="9" scale="95" orientation="portrait" r:id="rId1"/>
  <rowBreaks count="1" manualBreakCount="1">
    <brk id="49" min="1" max="8"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2"/>
  <sheetViews>
    <sheetView view="pageBreakPreview" topLeftCell="A2" zoomScaleNormal="100" zoomScaleSheetLayoutView="100" workbookViewId="0">
      <selection activeCell="A2" sqref="A2"/>
    </sheetView>
  </sheetViews>
  <sheetFormatPr defaultRowHeight="13.5"/>
  <cols>
    <col min="1" max="1" width="6.625" style="30" customWidth="1"/>
    <col min="2" max="2" width="12.625" style="30" customWidth="1"/>
    <col min="3" max="3" width="10.625" style="30" customWidth="1"/>
    <col min="4" max="4" width="4.625" style="30" customWidth="1"/>
    <col min="5" max="5" width="2.375" style="47" customWidth="1"/>
    <col min="6" max="7" width="4.625" style="30" customWidth="1"/>
    <col min="8" max="8" width="2.375" style="30" customWidth="1"/>
    <col min="9" max="10" width="4.625" style="30" customWidth="1"/>
    <col min="11" max="11" width="2.375" style="30" customWidth="1"/>
    <col min="12" max="13" width="4.625" style="30" customWidth="1"/>
    <col min="14" max="14" width="2.375" style="30" customWidth="1"/>
    <col min="15" max="15" width="4.625" style="30" customWidth="1"/>
    <col min="16" max="16" width="11.625" style="30" customWidth="1"/>
    <col min="17" max="17" width="6.125" style="48" hidden="1" customWidth="1"/>
    <col min="18" max="32" width="10" style="30" hidden="1" customWidth="1"/>
    <col min="33" max="33" width="9" style="30" hidden="1" customWidth="1"/>
    <col min="34" max="16384" width="9" style="30"/>
  </cols>
  <sheetData>
    <row r="1" spans="1:77" ht="202.5" hidden="1">
      <c r="A1" s="31" t="s">
        <v>64</v>
      </c>
      <c r="B1" s="31" t="s">
        <v>61</v>
      </c>
      <c r="C1" s="31" t="s">
        <v>69</v>
      </c>
      <c r="D1" s="31" t="s">
        <v>62</v>
      </c>
      <c r="E1" s="31" t="s">
        <v>63</v>
      </c>
      <c r="F1" s="31"/>
      <c r="G1" s="31"/>
      <c r="H1" s="45"/>
      <c r="I1" s="45"/>
      <c r="J1" s="45"/>
      <c r="K1" s="45"/>
      <c r="L1" s="45"/>
      <c r="M1" s="45"/>
      <c r="N1" s="45"/>
      <c r="O1" s="45"/>
      <c r="P1" s="46"/>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row>
    <row r="3" spans="1:77" ht="21" customHeight="1">
      <c r="A3" s="49" t="s">
        <v>56</v>
      </c>
      <c r="B3" s="139" t="s">
        <v>64</v>
      </c>
      <c r="C3" s="139"/>
      <c r="D3" s="139"/>
      <c r="E3" s="139"/>
      <c r="F3" s="139"/>
      <c r="G3" s="139"/>
      <c r="H3" s="139"/>
      <c r="I3" s="139"/>
      <c r="J3" s="139"/>
      <c r="K3" s="139"/>
      <c r="L3" s="139"/>
      <c r="M3" s="139"/>
      <c r="N3" s="139"/>
      <c r="O3" s="139"/>
      <c r="P3" s="139"/>
      <c r="R3" s="30" t="s">
        <v>70</v>
      </c>
      <c r="S3" s="29"/>
      <c r="T3" s="29"/>
    </row>
    <row r="4" spans="1:77" s="53" customFormat="1" ht="8.1" customHeight="1">
      <c r="A4" s="50"/>
      <c r="B4" s="51"/>
      <c r="C4" s="51"/>
      <c r="D4" s="51"/>
      <c r="E4" s="52"/>
      <c r="F4" s="51"/>
      <c r="G4" s="51"/>
      <c r="H4" s="51"/>
      <c r="I4" s="51"/>
      <c r="J4" s="51"/>
      <c r="K4" s="51"/>
      <c r="L4" s="51"/>
      <c r="M4" s="51"/>
      <c r="N4" s="51"/>
      <c r="O4" s="51"/>
      <c r="P4" s="51"/>
      <c r="Q4" s="48"/>
    </row>
    <row r="5" spans="1:77" ht="21" customHeight="1">
      <c r="A5" s="49" t="s">
        <v>57</v>
      </c>
      <c r="B5" s="139" t="s">
        <v>63</v>
      </c>
      <c r="C5" s="139"/>
      <c r="D5" s="139"/>
      <c r="E5" s="139"/>
      <c r="F5" s="139"/>
      <c r="G5" s="139"/>
      <c r="H5" s="139"/>
      <c r="I5" s="139"/>
      <c r="J5" s="139"/>
      <c r="K5" s="139"/>
      <c r="L5" s="139"/>
      <c r="M5" s="139"/>
      <c r="N5" s="139"/>
      <c r="O5" s="139"/>
      <c r="P5" s="139"/>
      <c r="R5" s="66" t="s">
        <v>77</v>
      </c>
      <c r="S5" s="67"/>
      <c r="T5" s="67"/>
      <c r="U5" s="68"/>
      <c r="V5" s="66" t="s">
        <v>78</v>
      </c>
      <c r="W5" s="67"/>
      <c r="X5" s="67"/>
      <c r="Y5" s="68"/>
      <c r="Z5" s="66" t="s">
        <v>79</v>
      </c>
      <c r="AA5" s="67"/>
      <c r="AB5" s="67"/>
      <c r="AC5" s="68"/>
      <c r="AD5" s="66" t="s">
        <v>71</v>
      </c>
      <c r="AE5" s="67"/>
      <c r="AF5" s="67"/>
      <c r="AG5" s="68"/>
    </row>
    <row r="6" spans="1:77" ht="7.5" customHeight="1">
      <c r="A6" s="55" t="e">
        <f>HLOOKUP(B3,#REF!,3,FALSE)</f>
        <v>#REF!</v>
      </c>
      <c r="B6" s="55" t="e">
        <f>HLOOKUP(B5,#REF!,3,FALSE)</f>
        <v>#REF!</v>
      </c>
      <c r="C6" s="55"/>
      <c r="D6" s="32"/>
      <c r="E6" s="54"/>
      <c r="F6" s="32"/>
      <c r="G6" s="32"/>
      <c r="H6" s="32"/>
      <c r="I6" s="32"/>
      <c r="J6" s="32"/>
      <c r="K6" s="32"/>
      <c r="L6" s="32"/>
      <c r="M6" s="32"/>
      <c r="N6" s="32"/>
      <c r="O6" s="32"/>
      <c r="P6" s="32"/>
      <c r="R6" s="69"/>
      <c r="S6" s="70"/>
      <c r="T6" s="70"/>
      <c r="U6" s="71"/>
      <c r="V6" s="69"/>
      <c r="W6" s="70"/>
      <c r="X6" s="70"/>
      <c r="Y6" s="71"/>
      <c r="Z6" s="69"/>
      <c r="AA6" s="70"/>
      <c r="AB6" s="70"/>
      <c r="AC6" s="71"/>
      <c r="AD6" s="69"/>
      <c r="AE6" s="70"/>
      <c r="AF6" s="70"/>
      <c r="AG6" s="71"/>
    </row>
    <row r="7" spans="1:77" ht="65.099999999999994" customHeight="1" thickBot="1">
      <c r="A7" s="75" t="e">
        <f>HLOOKUP(B3,#REF!,2,FALSE)</f>
        <v>#REF!</v>
      </c>
      <c r="B7" s="75" t="e">
        <f>HLOOKUP(B5,#REF!,2,FALSE)</f>
        <v>#REF!</v>
      </c>
      <c r="C7" s="55"/>
      <c r="D7" s="56" t="e">
        <f>IF(B3="学校が楽しいか","楽しい",IF(A6=4,"そう思う","はい"))</f>
        <v>#REF!</v>
      </c>
      <c r="E7" s="56" t="s">
        <v>58</v>
      </c>
      <c r="F7" s="56" t="e">
        <f>IF(B5="小牧市のブランドロゴマークとキャッチフレーズを知っているか","知っている",IF(B6=4,"そう思う","はい"))</f>
        <v>#REF!</v>
      </c>
      <c r="G7" s="57" t="e">
        <f>IF(B3="学校が楽しいか","楽しい",IF(A6=4,"そう思う","はい"))</f>
        <v>#REF!</v>
      </c>
      <c r="H7" s="57" t="s">
        <v>58</v>
      </c>
      <c r="I7" s="57" t="e">
        <f>IF(B3="小牧市のブランドロゴマークとキャッチフレーズを知っているか","知らない",IF(B6=4,"そう思わない","いいえ"))</f>
        <v>#REF!</v>
      </c>
      <c r="J7" s="56" t="e">
        <f>IF(B3="学校が楽しいか","楽しくない",IF(A6=4,"そう思わない","いいえ"))</f>
        <v>#REF!</v>
      </c>
      <c r="K7" s="56" t="s">
        <v>36</v>
      </c>
      <c r="L7" s="56" t="e">
        <f>IF(B5="小牧市のブランドロゴマークとキャッチフレーズを知っているか","知っている",IF(B6=4,"そう思う","はい"))</f>
        <v>#REF!</v>
      </c>
      <c r="M7" s="57" t="e">
        <f>IF(B3="学校が楽しいか","楽しくない",IF(A6=4,"そう思わない","いいえ"))</f>
        <v>#REF!</v>
      </c>
      <c r="N7" s="57" t="s">
        <v>36</v>
      </c>
      <c r="O7" s="57" t="e">
        <f>IF(B3="小牧市のブランドロゴマークとキャッチフレーズを知っているか","知らない",IF(B6=4,"そう思わない","いいえ"))</f>
        <v>#REF!</v>
      </c>
      <c r="P7" s="33" t="s">
        <v>1</v>
      </c>
      <c r="R7" s="72" t="s">
        <v>72</v>
      </c>
      <c r="S7" s="72" t="s">
        <v>80</v>
      </c>
      <c r="T7" s="72" t="s">
        <v>81</v>
      </c>
      <c r="U7" s="72" t="s">
        <v>73</v>
      </c>
      <c r="V7" s="72" t="s">
        <v>82</v>
      </c>
      <c r="W7" s="72" t="s">
        <v>83</v>
      </c>
      <c r="X7" s="72" t="s">
        <v>74</v>
      </c>
      <c r="Y7" s="72" t="s">
        <v>84</v>
      </c>
      <c r="Z7" s="72" t="s">
        <v>85</v>
      </c>
      <c r="AA7" s="72" t="s">
        <v>86</v>
      </c>
      <c r="AB7" s="72" t="s">
        <v>75</v>
      </c>
      <c r="AC7" s="72" t="s">
        <v>76</v>
      </c>
    </row>
    <row r="8" spans="1:77" ht="15.95" customHeight="1" thickTop="1" thickBot="1">
      <c r="A8" s="133" t="s">
        <v>2</v>
      </c>
      <c r="B8" s="134"/>
      <c r="C8" s="34" t="s">
        <v>3</v>
      </c>
      <c r="D8" s="140" t="e">
        <f ca="1">IF(AND(A6=4,B6=4),U8,IF(AND(A6=4,B6=2),Y8,IF(AND(A6=2,B6=4),AC8,COUNTIFS(INDIRECT(A7),1,INDIRECT(B7),1))))</f>
        <v>#REF!</v>
      </c>
      <c r="E8" s="141"/>
      <c r="F8" s="141"/>
      <c r="G8" s="145" t="e">
        <f ca="1">IF(AND(A6=4,B6=4),T8,IF(AND(A6=4,B6=2),X8,IF(AND(A6=2,B6=4),AB8,COUNTIFS(INDIRECT(A7),1,INDIRECT(B7),2))))</f>
        <v>#REF!</v>
      </c>
      <c r="H8" s="145"/>
      <c r="I8" s="145"/>
      <c r="J8" s="141" t="e">
        <f ca="1">IF(AND(A6=4,B6=4),S8,IF(AND(A6=4,B6=2),W8,IF(AND(A6=2,B6=4),AA8,COUNTIFS(INDIRECT(A7),2,INDIRECT(B7),1))))</f>
        <v>#REF!</v>
      </c>
      <c r="K8" s="141"/>
      <c r="L8" s="141"/>
      <c r="M8" s="145" t="e">
        <f ca="1">IF(AND(A6=4,B6=4),R8,IF(AND(A6=4,B6=2),V8,IF(AND(A6=2,B6=4),Z8,COUNTIFS(INDIRECT(A7),2,INDIRECT(B7),2))))</f>
        <v>#REF!</v>
      </c>
      <c r="N8" s="145"/>
      <c r="O8" s="145"/>
      <c r="P8" s="35" t="e">
        <f ca="1">Q8-SUM(D8:O8)</f>
        <v>#REF!</v>
      </c>
      <c r="Q8" s="58" t="e">
        <f>#REF!</f>
        <v>#REF!</v>
      </c>
      <c r="R8" s="59" t="e">
        <f ca="1">COUNTIFS(INDIRECT(A$7),4,INDIRECT(B$7),4)+COUNTIFS(INDIRECT(A$7),4,INDIRECT(B$7),3)+COUNTIFS(INDIRECT(A$7),3,INDIRECT(B$7),4)+COUNTIFS(INDIRECT(A$7),3,INDIRECT(B$7),3)</f>
        <v>#REF!</v>
      </c>
      <c r="S8" s="60" t="e">
        <f ca="1">COUNTIFS(INDIRECT(A$7),4,INDIRECT(B$7),2)+COUNTIFS(INDIRECT(A$7),4,INDIRECT(B$7),1)+COUNTIFS(INDIRECT(A$7),3,INDIRECT(B$7),2)+COUNTIFS(INDIRECT(A$7),3,INDIRECT(B$7),1)</f>
        <v>#REF!</v>
      </c>
      <c r="T8" s="60" t="e">
        <f ca="1">COUNTIFS(INDIRECT(A$7),1,INDIRECT(B$7),3)+COUNTIFS(INDIRECT(A$7),1,INDIRECT(B$7),4)+COUNTIFS(INDIRECT(A$7),2,INDIRECT(B$7),4)+COUNTIFS(INDIRECT(A$7),2,INDIRECT(B$7),3)</f>
        <v>#REF!</v>
      </c>
      <c r="U8" s="60" t="e">
        <f ca="1">COUNTIFS(INDIRECT(A$7),1,INDIRECT(B$7),1)+COUNTIFS(INDIRECT(A$7),1,INDIRECT(B$7),2)+COUNTIFS(INDIRECT(A$7),2,INDIRECT(B$7),1)+COUNTIFS(INDIRECT(A$7),2,INDIRECT(B$7),2)</f>
        <v>#REF!</v>
      </c>
      <c r="V8" s="59" t="e">
        <f ca="1">COUNTIFS(INDIRECT(A$7),4,INDIRECT(B$7),1)+COUNTIFS(INDIRECT(A$7),3,INDIRECT(B$7),1)</f>
        <v>#REF!</v>
      </c>
      <c r="W8" s="60" t="e">
        <f ca="1">COUNTIFS(INDIRECT(A$7),4,INDIRECT(B$7),2)+COUNTIFS(INDIRECT(A$7),3,INDIRECT(B$7),2)</f>
        <v>#REF!</v>
      </c>
      <c r="X8" s="60" t="e">
        <f ca="1">COUNTIFS(INDIRECT(A$7),1,INDIRECT(B$7),1)+COUNTIFS(INDIRECT(A$7),2,INDIRECT(B$7),1)</f>
        <v>#REF!</v>
      </c>
      <c r="Y8" s="60" t="e">
        <f ca="1">COUNTIFS(INDIRECT(A$7),1,INDIRECT(B$7),2)+COUNTIFS(INDIRECT(A$7),2,INDIRECT(B$7),2)</f>
        <v>#REF!</v>
      </c>
      <c r="Z8" s="59" t="e">
        <f ca="1">COUNTIFS(INDIRECT(A$7),1,INDIRECT(B$7),4)+COUNTIFS(INDIRECT(A$7),1,INDIRECT(B$7),3)</f>
        <v>#REF!</v>
      </c>
      <c r="AA8" s="60" t="e">
        <f ca="1">COUNTIFS(INDIRECT(A$7),1,INDIRECT(B$7),1)+COUNTIFS(INDIRECT(A$7),1,INDIRECT(B$7),2)</f>
        <v>#REF!</v>
      </c>
      <c r="AB8" s="60" t="e">
        <f ca="1">COUNTIFS(INDIRECT(A$7),2,INDIRECT(B$7),4)+COUNTIFS(INDIRECT(A$7),2,INDIRECT(B$7),3)</f>
        <v>#REF!</v>
      </c>
      <c r="AC8" s="60" t="e">
        <f ca="1">COUNTIFS(INDIRECT(A$7),2,INDIRECT(B$7),1)+COUNTIFS(INDIRECT(A$7),2,INDIRECT(B$7),2)</f>
        <v>#REF!</v>
      </c>
    </row>
    <row r="9" spans="1:77" ht="15.95" customHeight="1" thickTop="1" thickBot="1">
      <c r="A9" s="133"/>
      <c r="B9" s="134"/>
      <c r="C9" s="36" t="s">
        <v>4</v>
      </c>
      <c r="D9" s="142" t="e">
        <f ca="1">D8/$Q$8</f>
        <v>#REF!</v>
      </c>
      <c r="E9" s="143"/>
      <c r="F9" s="143"/>
      <c r="G9" s="144" t="e">
        <f ca="1">G8/$Q$8</f>
        <v>#REF!</v>
      </c>
      <c r="H9" s="144"/>
      <c r="I9" s="144"/>
      <c r="J9" s="143" t="e">
        <f ca="1">J8/$Q$8</f>
        <v>#REF!</v>
      </c>
      <c r="K9" s="143"/>
      <c r="L9" s="143"/>
      <c r="M9" s="144" t="e">
        <f ca="1">M8/$Q$8</f>
        <v>#REF!</v>
      </c>
      <c r="N9" s="144"/>
      <c r="O9" s="144"/>
      <c r="P9" s="37" t="e">
        <f ca="1">P8/$Q$8</f>
        <v>#REF!</v>
      </c>
      <c r="Q9" s="58"/>
    </row>
    <row r="10" spans="1:77" ht="15.95" customHeight="1" thickTop="1">
      <c r="A10" s="135" t="s">
        <v>5</v>
      </c>
      <c r="B10" s="130" t="s">
        <v>6</v>
      </c>
      <c r="C10" s="34" t="s">
        <v>3</v>
      </c>
      <c r="D10" s="141" t="e">
        <f ca="1">IF(AND(A6=4,B6=4),U10,IF(AND(A6=4,B6=2),Y10,IF(AND(A6=2,B6=4),AC10,COUNTIFS(INDIRECT(A7),1,INDIRECT(B7),1,INDIRECT(#REF!),1))))</f>
        <v>#REF!</v>
      </c>
      <c r="E10" s="141"/>
      <c r="F10" s="141"/>
      <c r="G10" s="145" t="e">
        <f ca="1">IF(AND(A6=4,B6=4),T10,IF(AND(A6=4,B6=2),X10,IF(AND(A6=2,B6=4),AB10,COUNTIFS(INDIRECT(A7),1,INDIRECT(B7),2,INDIRECT(#REF!),1))))</f>
        <v>#REF!</v>
      </c>
      <c r="H10" s="145"/>
      <c r="I10" s="145"/>
      <c r="J10" s="141" t="e">
        <f ca="1">IF(AND(A6=4,B6=4),S10,IF(AND(A6=4,B6=2),W10,IF(AND(A6=2,B6=4),AA10,COUNTIFS(INDIRECT(A7),2,INDIRECT(B7),1,INDIRECT(#REF!),1))))</f>
        <v>#REF!</v>
      </c>
      <c r="K10" s="141"/>
      <c r="L10" s="141"/>
      <c r="M10" s="145" t="e">
        <f ca="1">IF(AND(A6=4,B6=4),R10,IF(AND(A6=4,B6=2),V10,IF(AND(A6=2,B6=4),Z10,COUNTIFS(INDIRECT(A7),2,INDIRECT(B7),2,INDIRECT(#REF!),1))))</f>
        <v>#REF!</v>
      </c>
      <c r="N10" s="145"/>
      <c r="O10" s="145"/>
      <c r="P10" s="38" t="e">
        <f ca="1">Q10-SUM(D10:O10)</f>
        <v>#REF!</v>
      </c>
      <c r="Q10" s="61" t="e">
        <f>COUNTIF(#REF!,1)</f>
        <v>#REF!</v>
      </c>
      <c r="R10" s="30" t="e">
        <f ca="1">COUNTIFS(INDIRECT(A7),4,INDIRECT(B7),4,INDIRECT(#REF!),1)+COUNTIFS(INDIRECT(A7),4,INDIRECT(B7),3,INDIRECT(#REF!),1)+COUNTIFS(INDIRECT(A7),3,INDIRECT(B7),4,INDIRECT(#REF!),1)+COUNTIFS(INDIRECT(A7),3,INDIRECT(B7),3,INDIRECT(#REF!),1)</f>
        <v>#REF!</v>
      </c>
      <c r="S10" s="30" t="e">
        <f ca="1">COUNTIFS(INDIRECT(A7),4,INDIRECT(B7),2,INDIRECT(#REF!),1)+COUNTIFS(INDIRECT(A7),4,INDIRECT(B7),1,INDIRECT(#REF!),1)+COUNTIFS(INDIRECT(A7),3,INDIRECT(B7),2,INDIRECT(#REF!),1)+COUNTIFS(INDIRECT(A7),3,INDIRECT(B7),1,INDIRECT(#REF!),1)</f>
        <v>#REF!</v>
      </c>
      <c r="T10" s="30" t="e">
        <f ca="1">COUNTIFS(INDIRECT(A7),1,INDIRECT(B7),3,INDIRECT(#REF!),1)+COUNTIFS(INDIRECT(A7),1,INDIRECT(B7),4,INDIRECT(#REF!),1)+COUNTIFS(INDIRECT(A7),2,INDIRECT(B7),4,INDIRECT(#REF!),1)+COUNTIFS(INDIRECT(A7),2,INDIRECT(B7),3,INDIRECT(#REF!),1)</f>
        <v>#REF!</v>
      </c>
      <c r="U10" s="60" t="e">
        <f ca="1">COUNTIFS(INDIRECT(A$7),1,INDIRECT(B$7),1,INDIRECT(#REF!),1)+COUNTIFS(INDIRECT(A$7),1,INDIRECT(B$7),2,INDIRECT(#REF!),1)+COUNTIFS(INDIRECT(A$7),2,INDIRECT(B$7),1,INDIRECT(#REF!),1)+COUNTIFS(INDIRECT(A$7),2,INDIRECT(B$7),2,INDIRECT(#REF!),1)</f>
        <v>#REF!</v>
      </c>
      <c r="V10" s="59" t="e">
        <f ca="1">COUNTIFS(INDIRECT(A$7),4,INDIRECT(B$7),1,INDIRECT(#REF!),1)+COUNTIFS(INDIRECT(A$7),3,INDIRECT(B$7),1,INDIRECT(#REF!),1)</f>
        <v>#REF!</v>
      </c>
      <c r="W10" s="60" t="e">
        <f ca="1">COUNTIFS(INDIRECT(A$7),4,INDIRECT(B$7),2,INDIRECT(#REF!),1)+COUNTIFS(INDIRECT(A$7),3,INDIRECT(B$7),2,INDIRECT(#REF!),1)</f>
        <v>#REF!</v>
      </c>
      <c r="X10" s="60" t="e">
        <f ca="1">COUNTIFS(INDIRECT(A$7),1,INDIRECT(B$7),1,INDIRECT(#REF!),1)+COUNTIFS(INDIRECT(A$7),2,INDIRECT(B$7),1,INDIRECT(#REF!),1)</f>
        <v>#REF!</v>
      </c>
      <c r="Y10" s="60" t="e">
        <f ca="1">COUNTIFS(INDIRECT(A$7),1,INDIRECT(B$7),2,INDIRECT(#REF!),1)+COUNTIFS(INDIRECT(A$7),2,INDIRECT(B$7),2,INDIRECT(#REF!),1)</f>
        <v>#REF!</v>
      </c>
      <c r="Z10" s="59" t="e">
        <f ca="1">COUNTIFS(INDIRECT(A$7),1,INDIRECT(B$7),4,INDIRECT(#REF!),1)+COUNTIFS(INDIRECT(A$7),1,INDIRECT(B$7),3,INDIRECT(#REF!),1)</f>
        <v>#REF!</v>
      </c>
      <c r="AA10" s="60" t="e">
        <f ca="1">COUNTIFS(INDIRECT(A$7),1,INDIRECT(B$7),1,INDIRECT(#REF!),1)+COUNTIFS(INDIRECT(A$7),1,INDIRECT(B$7),2,INDIRECT(#REF!),1)</f>
        <v>#REF!</v>
      </c>
      <c r="AB10" s="60" t="e">
        <f ca="1">COUNTIFS(INDIRECT(A$7),2,INDIRECT(B$7),4,INDIRECT(#REF!),1)+COUNTIFS(INDIRECT(A$7),2,INDIRECT(B$7),3,INDIRECT(#REF!),1)</f>
        <v>#REF!</v>
      </c>
      <c r="AC10" s="60" t="e">
        <f ca="1">COUNTIFS(INDIRECT(A$7),2,INDIRECT(B$7),1,INDIRECT(#REF!),1)+COUNTIFS(INDIRECT(A$7),2,INDIRECT(B$7),2,INDIRECT(#REF!),1)</f>
        <v>#REF!</v>
      </c>
    </row>
    <row r="11" spans="1:77" ht="15.95" customHeight="1">
      <c r="A11" s="136"/>
      <c r="B11" s="128"/>
      <c r="C11" s="39" t="s">
        <v>4</v>
      </c>
      <c r="D11" s="146" t="e">
        <f ca="1">D10/$Q$10</f>
        <v>#REF!</v>
      </c>
      <c r="E11" s="147"/>
      <c r="F11" s="147"/>
      <c r="G11" s="148" t="e">
        <f ca="1">G10/$Q$10</f>
        <v>#REF!</v>
      </c>
      <c r="H11" s="148"/>
      <c r="I11" s="148"/>
      <c r="J11" s="149" t="e">
        <f ca="1">J10/$Q$10</f>
        <v>#REF!</v>
      </c>
      <c r="K11" s="149"/>
      <c r="L11" s="149"/>
      <c r="M11" s="148" t="e">
        <f ca="1">M10/$Q$10</f>
        <v>#REF!</v>
      </c>
      <c r="N11" s="148"/>
      <c r="O11" s="148"/>
      <c r="P11" s="40" t="e">
        <f ca="1">P10/$Q$10</f>
        <v>#REF!</v>
      </c>
      <c r="Q11" s="62"/>
      <c r="R11" s="63"/>
    </row>
    <row r="12" spans="1:77" ht="15.95" customHeight="1">
      <c r="A12" s="136"/>
      <c r="B12" s="127" t="s">
        <v>7</v>
      </c>
      <c r="C12" s="41" t="s">
        <v>3</v>
      </c>
      <c r="D12" s="150" t="e">
        <f ca="1">IF(AND(A6=4,B6=4),U12,IF(AND(A6=4,B6=2),Y12,IF(AND(A6=2,B6=4),AC12,COUNTIFS(INDIRECT(A7),1,INDIRECT(B7),1,INDIRECT(#REF!),2))))</f>
        <v>#REF!</v>
      </c>
      <c r="E12" s="150"/>
      <c r="F12" s="150"/>
      <c r="G12" s="151" t="e">
        <f ca="1">IF(AND(A6=4,B6=4),T12,IF(AND(A6=4,B6=2),X12,IF(AND(A6=2,B6=4),AB12,COUNTIFS(INDIRECT(A7),1,INDIRECT(B7),2,INDIRECT(#REF!),2))))</f>
        <v>#REF!</v>
      </c>
      <c r="H12" s="151"/>
      <c r="I12" s="151"/>
      <c r="J12" s="150" t="e">
        <f ca="1">IF(AND(A6=4,B6=4),S12,IF(AND(A6=4,B6=2),W12,IF(AND(A6=2,B6=4),AA12,COUNTIFS(INDIRECT(A7),2,INDIRECT(B7),1,INDIRECT(#REF!),2))))</f>
        <v>#REF!</v>
      </c>
      <c r="K12" s="150"/>
      <c r="L12" s="150"/>
      <c r="M12" s="151" t="e">
        <f ca="1">IF(AND(A6=4,B6=4),R12,IF(AND(A6=4,B6=2),V12,IF(AND(A6=2,B6=4),Z12,COUNTIFS(INDIRECT(A7),2,INDIRECT(B7),2,INDIRECT(#REF!),2))))</f>
        <v>#REF!</v>
      </c>
      <c r="N12" s="151"/>
      <c r="O12" s="151"/>
      <c r="P12" s="42" t="e">
        <f ca="1">Q12-SUM(D12:O12)</f>
        <v>#REF!</v>
      </c>
      <c r="Q12" s="62" t="e">
        <f>COUNTIF(#REF!,2)</f>
        <v>#REF!</v>
      </c>
      <c r="R12" s="30" t="e">
        <f ca="1">COUNTIFS(INDIRECT(A$7),4,INDIRECT(B$7),4,INDIRECT(#REF!),2)+COUNTIFS(INDIRECT(A$7),4,INDIRECT(B$7),3,INDIRECT(#REF!),2)+COUNTIFS(INDIRECT(A$7),3,INDIRECT(B$7),4,INDIRECT(#REF!),2)+COUNTIFS(INDIRECT(A$7),3,INDIRECT(B$7),3,INDIRECT(#REF!),2)</f>
        <v>#REF!</v>
      </c>
      <c r="S12" s="30" t="e">
        <f ca="1">COUNTIFS(INDIRECT(A$7),4,INDIRECT(B$7),2,INDIRECT(#REF!),2)+COUNTIFS(INDIRECT(A$7),4,INDIRECT(B$7),1,INDIRECT(#REF!),2)+COUNTIFS(INDIRECT(A$7),3,INDIRECT(B$7),2,INDIRECT(#REF!),2)+COUNTIFS(INDIRECT(A$7),3,INDIRECT(B$7),1,INDIRECT(#REF!),2)</f>
        <v>#REF!</v>
      </c>
      <c r="T12" s="30" t="e">
        <f ca="1">COUNTIFS(INDIRECT(A$7),1,INDIRECT(B$7),3,INDIRECT(#REF!),2)+COUNTIFS(INDIRECT(A$7),1,INDIRECT(B$7),4,INDIRECT(#REF!),2)+COUNTIFS(INDIRECT(A$7),2,INDIRECT(B$7),4,INDIRECT(#REF!),2)+COUNTIFS(INDIRECT(A$7),2,INDIRECT(B$7),3,INDIRECT(#REF!),2)</f>
        <v>#REF!</v>
      </c>
      <c r="U12" s="60" t="e">
        <f ca="1">COUNTIFS(INDIRECT(A$7),1,INDIRECT(B$7),1,INDIRECT(#REF!),2)+COUNTIFS(INDIRECT(A$7),1,INDIRECT(B$7),2,INDIRECT(#REF!),2)+COUNTIFS(INDIRECT(A$7),2,INDIRECT(B$7),1,INDIRECT(#REF!),2)+COUNTIFS(INDIRECT(A$7),2,INDIRECT(B$7),2,INDIRECT(#REF!),2)</f>
        <v>#REF!</v>
      </c>
      <c r="V12" s="59" t="e">
        <f ca="1">COUNTIFS(INDIRECT(A$7),4,INDIRECT(B$7),1,INDIRECT(#REF!),2)+COUNTIFS(INDIRECT(A$7),3,INDIRECT(B$7),1,INDIRECT(#REF!),2)</f>
        <v>#REF!</v>
      </c>
      <c r="W12" s="60" t="e">
        <f ca="1">COUNTIFS(INDIRECT(A$7),4,INDIRECT(B$7),2,INDIRECT(#REF!),2)+COUNTIFS(INDIRECT(A$7),3,INDIRECT(B$7),2,INDIRECT(#REF!),2)</f>
        <v>#REF!</v>
      </c>
      <c r="X12" s="60" t="e">
        <f ca="1">COUNTIFS(INDIRECT(A$7),1,INDIRECT(B$7),1,INDIRECT(#REF!),2)+COUNTIFS(INDIRECT(A$7),2,INDIRECT(B$7),1,INDIRECT(#REF!),2)</f>
        <v>#REF!</v>
      </c>
      <c r="Y12" s="60" t="e">
        <f ca="1">COUNTIFS(INDIRECT(A$7),1,INDIRECT(B$7),2,INDIRECT(#REF!),2)+COUNTIFS(INDIRECT(A$7),2,INDIRECT(B$7),2,INDIRECT(#REF!),2)</f>
        <v>#REF!</v>
      </c>
      <c r="Z12" s="59" t="e">
        <f ca="1">COUNTIFS(INDIRECT(A$7),1,INDIRECT(B$7),4,INDIRECT(#REF!),2)+COUNTIFS(INDIRECT(A$7),1,INDIRECT(B$7),3,INDIRECT(#REF!),2)</f>
        <v>#REF!</v>
      </c>
      <c r="AA12" s="60" t="e">
        <f ca="1">COUNTIFS(INDIRECT(A$7),1,INDIRECT(B$7),1,INDIRECT(#REF!),2)+COUNTIFS(INDIRECT(A$7),1,INDIRECT(B$7),2,INDIRECT(#REF!),2)</f>
        <v>#REF!</v>
      </c>
      <c r="AB12" s="60" t="e">
        <f ca="1">COUNTIFS(INDIRECT(A$7),2,INDIRECT(B$7),4,INDIRECT(#REF!),2)+COUNTIFS(INDIRECT(A$7),2,INDIRECT(B$7),3,INDIRECT(#REF!),2)</f>
        <v>#REF!</v>
      </c>
      <c r="AC12" s="60" t="e">
        <f ca="1">COUNTIFS(INDIRECT(A$7),2,INDIRECT(B$7),1,INDIRECT(#REF!),2)+COUNTIFS(INDIRECT(A$7),2,INDIRECT(B$7),2,INDIRECT(#REF!),2)</f>
        <v>#REF!</v>
      </c>
    </row>
    <row r="13" spans="1:77" ht="15.95" customHeight="1" thickBot="1">
      <c r="A13" s="137"/>
      <c r="B13" s="132"/>
      <c r="C13" s="36" t="s">
        <v>4</v>
      </c>
      <c r="D13" s="142" t="e">
        <f ca="1">D12/$Q$12</f>
        <v>#REF!</v>
      </c>
      <c r="E13" s="143"/>
      <c r="F13" s="143"/>
      <c r="G13" s="144" t="e">
        <f ca="1">G12/$Q$12</f>
        <v>#REF!</v>
      </c>
      <c r="H13" s="144"/>
      <c r="I13" s="144"/>
      <c r="J13" s="143" t="e">
        <f ca="1">J12/$Q$12</f>
        <v>#REF!</v>
      </c>
      <c r="K13" s="143"/>
      <c r="L13" s="143"/>
      <c r="M13" s="144" t="e">
        <f ca="1">M12/$Q$12</f>
        <v>#REF!</v>
      </c>
      <c r="N13" s="144"/>
      <c r="O13" s="144"/>
      <c r="P13" s="37" t="e">
        <f ca="1">P12/$Q$12</f>
        <v>#REF!</v>
      </c>
    </row>
    <row r="14" spans="1:77" ht="15.95" customHeight="1" thickTop="1">
      <c r="A14" s="129" t="s">
        <v>8</v>
      </c>
      <c r="B14" s="130" t="s">
        <v>9</v>
      </c>
      <c r="C14" s="34" t="s">
        <v>3</v>
      </c>
      <c r="D14" s="141" t="e">
        <f ca="1">IF(AND(A6=4,B6=4),U14,IF(AND(A6=4,B6=2),Y14,IF(AND(A6=2,B6=4),AC14,COUNTIFS(INDIRECT(A7),1,INDIRECT(B7),1,INDIRECT(#REF!),1))))</f>
        <v>#REF!</v>
      </c>
      <c r="E14" s="141"/>
      <c r="F14" s="141"/>
      <c r="G14" s="145" t="e">
        <f ca="1">IF(AND(A6=4,B6=4),T14,IF(AND(A6=4,B6=2),X14,IF(AND(A6=2,B6=4),AB14,COUNTIFS(INDIRECT(A7),1,INDIRECT(B7),2,INDIRECT(#REF!),1))))</f>
        <v>#REF!</v>
      </c>
      <c r="H14" s="145"/>
      <c r="I14" s="145"/>
      <c r="J14" s="141" t="e">
        <f ca="1">IF(AND(A6=4,B6=4),S14,IF(AND(A6=4,B6=2),W14,IF(AND(A6=2,B6=4),AA14,COUNTIFS(INDIRECT(A7),2,INDIRECT(B7),1,INDIRECT(#REF!),1))))</f>
        <v>#REF!</v>
      </c>
      <c r="K14" s="141"/>
      <c r="L14" s="141"/>
      <c r="M14" s="145" t="e">
        <f ca="1">IF(AND(A6=4,B6=4),R14,IF(AND(A6=4,B6=2),V14,IF(AND(A6=2,B6=4),Z14,COUNTIFS(INDIRECT(A7),2,INDIRECT(B7),2,INDIRECT(#REF!),1))))</f>
        <v>#REF!</v>
      </c>
      <c r="N14" s="145"/>
      <c r="O14" s="145"/>
      <c r="P14" s="35" t="e">
        <f ca="1">Q14-SUM(D14:O14)</f>
        <v>#REF!</v>
      </c>
      <c r="Q14" s="48" t="e">
        <f>COUNTIF(#REF!,1)</f>
        <v>#REF!</v>
      </c>
      <c r="R14" s="30" t="e">
        <f ca="1">COUNTIFS(INDIRECT(A$7),4,INDIRECT(B$7),4,INDIRECT(#REF!),1)+COUNTIFS(INDIRECT(A$7),4,INDIRECT(B$7),3,INDIRECT(#REF!),1)+COUNTIFS(INDIRECT(A$7),3,INDIRECT(B$7),4,INDIRECT(#REF!),1)+COUNTIFS(INDIRECT(A$7),3,INDIRECT(B$7),3,INDIRECT(#REF!),1)</f>
        <v>#REF!</v>
      </c>
      <c r="S14" s="30" t="e">
        <f ca="1">COUNTIFS(INDIRECT(A$7),4,INDIRECT(B$7),1,INDIRECT(#REF!),1)+COUNTIFS(INDIRECT(A$7),4,INDIRECT(B$7),2,INDIRECT(#REF!),1)+COUNTIFS(INDIRECT(A$7),3,INDIRECT(B$7),1,INDIRECT(#REF!),1)+COUNTIFS(INDIRECT(A$7),3,INDIRECT(B$7),2,INDIRECT(#REF!),1)</f>
        <v>#REF!</v>
      </c>
      <c r="T14" s="30" t="e">
        <f ca="1">COUNTIFS(INDIRECT(A$7),1,INDIRECT(B$7),3,INDIRECT(#REF!),1)+COUNTIFS(INDIRECT(A$7),1,INDIRECT(B$7),4,INDIRECT(#REF!),1)+COUNTIFS(INDIRECT(A$7),2,INDIRECT(B$7),4,INDIRECT(#REF!),1)+COUNTIFS(INDIRECT(A$7),2,INDIRECT(B$7),3,INDIRECT(#REF!),1)</f>
        <v>#REF!</v>
      </c>
      <c r="U14" s="60" t="e">
        <f ca="1">COUNTIFS(INDIRECT(A$7),1,INDIRECT(B$7),1,INDIRECT(#REF!),1)+COUNTIFS(INDIRECT(A$7),1,INDIRECT(B$7),2,INDIRECT(#REF!),1)+COUNTIFS(INDIRECT(A$7),2,INDIRECT(B$7),1,INDIRECT(#REF!),1)+COUNTIFS(INDIRECT(A$7),2,INDIRECT(B$7),2,INDIRECT(#REF!),1)</f>
        <v>#REF!</v>
      </c>
      <c r="V14" s="59" t="e">
        <f ca="1">COUNTIFS(INDIRECT(A$7),4,INDIRECT(B$7),1,INDIRECT(#REF!),1)+COUNTIFS(INDIRECT(A$7),3,INDIRECT(B$7),1,INDIRECT(#REF!),1)</f>
        <v>#REF!</v>
      </c>
      <c r="W14" s="60" t="e">
        <f ca="1">COUNTIFS(INDIRECT(A$7),4,INDIRECT(B$7),2,INDIRECT(#REF!),1)+COUNTIFS(INDIRECT(A$7),3,INDIRECT(B$7),2,INDIRECT(#REF!),1)</f>
        <v>#REF!</v>
      </c>
      <c r="X14" s="60" t="e">
        <f ca="1">COUNTIFS(INDIRECT(A$7),1,INDIRECT(B$7),1,INDIRECT(#REF!),1)+COUNTIFS(INDIRECT(A$7),2,INDIRECT(B$7),1,INDIRECT(#REF!),1)</f>
        <v>#REF!</v>
      </c>
      <c r="Y14" s="60" t="e">
        <f ca="1">COUNTIFS(INDIRECT(A$7),1,INDIRECT(B$7),2,INDIRECT(#REF!),1)+COUNTIFS(INDIRECT(A$7),2,INDIRECT(B$7),2,INDIRECT(#REF!),1)</f>
        <v>#REF!</v>
      </c>
      <c r="Z14" s="59" t="e">
        <f ca="1">COUNTIFS(INDIRECT(A$7),1,INDIRECT(B$7),4,INDIRECT(#REF!),1)+COUNTIFS(INDIRECT(A$7),1,INDIRECT(B$7),3,INDIRECT(#REF!),1)</f>
        <v>#REF!</v>
      </c>
      <c r="AA14" s="60" t="e">
        <f ca="1">COUNTIFS(INDIRECT(A$7),1,INDIRECT(B$7),1,INDIRECT(#REF!),1)+COUNTIFS(INDIRECT(A$7),1,INDIRECT(B$7),2,INDIRECT(#REF!),1)</f>
        <v>#REF!</v>
      </c>
      <c r="AB14" s="60" t="e">
        <f ca="1">COUNTIFS(INDIRECT(A$7),2,INDIRECT(B$7),4,INDIRECT(#REF!),1)+COUNTIFS(INDIRECT(A$7),2,INDIRECT(B$7),3,INDIRECT(#REF!),1)</f>
        <v>#REF!</v>
      </c>
      <c r="AC14" s="60" t="e">
        <f ca="1">COUNTIFS(INDIRECT(A$7),2,INDIRECT(B$7),1,INDIRECT(#REF!),1)+COUNTIFS(INDIRECT(A$7),2,INDIRECT(B$7),2,INDIRECT(#REF!),1)</f>
        <v>#REF!</v>
      </c>
    </row>
    <row r="15" spans="1:77" ht="15.95" customHeight="1">
      <c r="A15" s="123"/>
      <c r="B15" s="128"/>
      <c r="C15" s="39" t="s">
        <v>4</v>
      </c>
      <c r="D15" s="152" t="e">
        <f ca="1">D14/$Q14</f>
        <v>#REF!</v>
      </c>
      <c r="E15" s="149"/>
      <c r="F15" s="149"/>
      <c r="G15" s="148" t="e">
        <f ca="1">G14/Q14</f>
        <v>#REF!</v>
      </c>
      <c r="H15" s="148"/>
      <c r="I15" s="148"/>
      <c r="J15" s="149" t="e">
        <f ca="1">J14/Q14</f>
        <v>#REF!</v>
      </c>
      <c r="K15" s="149"/>
      <c r="L15" s="149"/>
      <c r="M15" s="148" t="e">
        <f ca="1">M14/Q14</f>
        <v>#REF!</v>
      </c>
      <c r="N15" s="148"/>
      <c r="O15" s="148"/>
      <c r="P15" s="40" t="e">
        <f ca="1">P14/Q14</f>
        <v>#REF!</v>
      </c>
    </row>
    <row r="16" spans="1:77" ht="15.95" customHeight="1">
      <c r="A16" s="123"/>
      <c r="B16" s="127" t="s">
        <v>10</v>
      </c>
      <c r="C16" s="41" t="s">
        <v>3</v>
      </c>
      <c r="D16" s="150" t="e">
        <f ca="1">IF(AND(A6=4,B6=4),U16,IF(AND(A6=4,B6=2),Y16,IF(AND(A6=2,B6=4),AC16,COUNTIFS(INDIRECT(A$7),1,INDIRECT(B$7),1,INDIRECT(#REF!),2))))</f>
        <v>#REF!</v>
      </c>
      <c r="E16" s="150"/>
      <c r="F16" s="150"/>
      <c r="G16" s="151" t="e">
        <f ca="1">IF(AND(A6=4,B6=4),T16,IF(AND(A6=4,B6=2),X16,IF(AND(A6=2,B6=4),AB16,COUNTIFS(INDIRECT(A$7),1,INDIRECT(B$7),2,INDIRECT(#REF!),2))))</f>
        <v>#REF!</v>
      </c>
      <c r="H16" s="151"/>
      <c r="I16" s="151"/>
      <c r="J16" s="150" t="e">
        <f ca="1">IF(AND(A6=4,B6=4),S16,IF(AND(A6=4,B6=2),W16,IF(AND(A6=2,B6=4),AA16,COUNTIFS(INDIRECT(A$7),2,INDIRECT(B$7),1,INDIRECT(#REF!),2))))</f>
        <v>#REF!</v>
      </c>
      <c r="K16" s="150"/>
      <c r="L16" s="150"/>
      <c r="M16" s="153" t="e">
        <f ca="1">IF(AND(A6=4,B6=4),R16,IF(AND(A6=4,B6=2),V16,IF(AND(A6=2,B6=4),Z16,COUNTIFS(INDIRECT(A$7),2,INDIRECT(B$7),2,INDIRECT(#REF!),2))))</f>
        <v>#REF!</v>
      </c>
      <c r="N16" s="153"/>
      <c r="O16" s="153"/>
      <c r="P16" s="43" t="e">
        <f ca="1">Q16-SUM(D16:O16)</f>
        <v>#REF!</v>
      </c>
      <c r="Q16" s="48" t="e">
        <f>COUNTIF(#REF!,2)</f>
        <v>#REF!</v>
      </c>
      <c r="R16" s="30" t="e">
        <f ca="1">COUNTIFS(INDIRECT(A$7),4,INDIRECT(B$7),4,INDIRECT(#REF!),2)+COUNTIFS(INDIRECT(A$7),4,INDIRECT(B$7),3,INDIRECT(#REF!),2)+COUNTIFS(INDIRECT(A$7),3,INDIRECT(B$7),4,INDIRECT(#REF!),2)+COUNTIFS(INDIRECT(A$7),3,INDIRECT(B$7),3,INDIRECT(#REF!),2)</f>
        <v>#REF!</v>
      </c>
      <c r="S16" s="30" t="e">
        <f ca="1">COUNTIFS(INDIRECT(A$7),4,INDIRECT(B$7),1,INDIRECT(#REF!),2)+COUNTIFS(INDIRECT(A$7),4,INDIRECT(B$7),2,INDIRECT(#REF!),2)+COUNTIFS(INDIRECT(A$7),3,INDIRECT(B$7),1,INDIRECT(#REF!),2)+COUNTIFS(INDIRECT(A$7),3,INDIRECT(B$7),2,INDIRECT(#REF!),2)</f>
        <v>#REF!</v>
      </c>
      <c r="T16" s="30" t="e">
        <f ca="1">COUNTIFS(INDIRECT(A$7),1,INDIRECT(B$7),3,INDIRECT(#REF!),2)+COUNTIFS(INDIRECT(A$7),1,INDIRECT(B$7),4,INDIRECT(#REF!),2)+COUNTIFS(INDIRECT(A$7),2,INDIRECT(B$7),4,INDIRECT(#REF!),2)+COUNTIFS(INDIRECT(A$7),2,INDIRECT(B$7),3,INDIRECT(#REF!),2)</f>
        <v>#REF!</v>
      </c>
      <c r="U16" s="60" t="e">
        <f ca="1">COUNTIFS(INDIRECT(A$7),1,INDIRECT(B$7),1,INDIRECT(#REF!),2)+COUNTIFS(INDIRECT(A$7),1,INDIRECT(B$7),2,INDIRECT(#REF!),2)+COUNTIFS(INDIRECT(A$7),2,INDIRECT(B$7),1,INDIRECT(#REF!),2)+COUNTIFS(INDIRECT(A$7),2,INDIRECT(B$7),2,INDIRECT(#REF!),2)</f>
        <v>#REF!</v>
      </c>
      <c r="V16" s="59" t="e">
        <f ca="1">COUNTIFS(INDIRECT(A$7),4,INDIRECT(B$7),1,INDIRECT(#REF!),2)+COUNTIFS(INDIRECT(A$7),3,INDIRECT(B$7),1,INDIRECT(#REF!),2)</f>
        <v>#REF!</v>
      </c>
      <c r="W16" s="60" t="e">
        <f ca="1">COUNTIFS(INDIRECT(A$7),4,INDIRECT(B$7),2,INDIRECT(#REF!),2)+COUNTIFS(INDIRECT(A$7),3,INDIRECT(B$7),2,INDIRECT(#REF!),2)</f>
        <v>#REF!</v>
      </c>
      <c r="X16" s="60" t="e">
        <f ca="1">COUNTIFS(INDIRECT(A$7),1,INDIRECT(B$7),1,INDIRECT(#REF!),2)+COUNTIFS(INDIRECT(A$7),2,INDIRECT(B$7),1,INDIRECT(#REF!),2)</f>
        <v>#REF!</v>
      </c>
      <c r="Y16" s="60" t="e">
        <f ca="1">COUNTIFS(INDIRECT(A$7),1,INDIRECT(B$7),2,INDIRECT(#REF!),2)+COUNTIFS(INDIRECT(A$7),2,INDIRECT(B$7),2,INDIRECT(#REF!),2)</f>
        <v>#REF!</v>
      </c>
      <c r="Z16" s="59" t="e">
        <f ca="1">COUNTIFS(INDIRECT(A$7),1,INDIRECT(B$7),4,INDIRECT(#REF!),2)+COUNTIFS(INDIRECT(A$7),1,INDIRECT(B$7),3,INDIRECT(#REF!),2)</f>
        <v>#REF!</v>
      </c>
      <c r="AA16" s="60" t="e">
        <f ca="1">COUNTIFS(INDIRECT(A$7),1,INDIRECT(B$7),1,INDIRECT(#REF!),2)+COUNTIFS(INDIRECT(A$7),1,INDIRECT(B$7),2,INDIRECT(#REF!),2)</f>
        <v>#REF!</v>
      </c>
      <c r="AB16" s="60" t="e">
        <f ca="1">COUNTIFS(INDIRECT(A$7),2,INDIRECT(B$7),4,INDIRECT(#REF!),2)+COUNTIFS(INDIRECT(A$7),2,INDIRECT(B$7),3,INDIRECT(#REF!),2)</f>
        <v>#REF!</v>
      </c>
      <c r="AC16" s="60" t="e">
        <f ca="1">COUNTIFS(INDIRECT(A$7),2,INDIRECT(B$7),1,INDIRECT(#REF!),2)+COUNTIFS(INDIRECT(A$7),2,INDIRECT(B$7),2,INDIRECT(#REF!),2)</f>
        <v>#REF!</v>
      </c>
    </row>
    <row r="17" spans="1:29" ht="15.95" customHeight="1" thickBot="1">
      <c r="A17" s="124"/>
      <c r="B17" s="132"/>
      <c r="C17" s="36" t="s">
        <v>4</v>
      </c>
      <c r="D17" s="142" t="e">
        <f ca="1">D16/$Q16</f>
        <v>#REF!</v>
      </c>
      <c r="E17" s="143"/>
      <c r="F17" s="143"/>
      <c r="G17" s="144" t="e">
        <f ca="1">G16/Q16</f>
        <v>#REF!</v>
      </c>
      <c r="H17" s="144"/>
      <c r="I17" s="144"/>
      <c r="J17" s="143" t="e">
        <f ca="1">J16/Q16</f>
        <v>#REF!</v>
      </c>
      <c r="K17" s="143"/>
      <c r="L17" s="143"/>
      <c r="M17" s="144" t="e">
        <f ca="1">M16/Q16</f>
        <v>#REF!</v>
      </c>
      <c r="N17" s="144"/>
      <c r="O17" s="144"/>
      <c r="P17" s="37" t="e">
        <f ca="1">P16/Q16</f>
        <v>#REF!</v>
      </c>
    </row>
    <row r="18" spans="1:29" ht="15.95" customHeight="1" thickTop="1">
      <c r="A18" s="129" t="s">
        <v>11</v>
      </c>
      <c r="B18" s="138" t="s">
        <v>12</v>
      </c>
      <c r="C18" s="41" t="s">
        <v>3</v>
      </c>
      <c r="D18" s="154" t="e">
        <f ca="1">IF(AND(A6=4,B6=4),U18,IF(AND(A6=4,B6=2),Y18,IF(AND(A6=2,B6=4),AC18,COUNTIFS(INDIRECT(A$7),1,INDIRECT(B$7),1,INDIRECT(#REF!),1))))</f>
        <v>#REF!</v>
      </c>
      <c r="E18" s="154"/>
      <c r="F18" s="154"/>
      <c r="G18" s="153" t="e">
        <f ca="1">IF(AND(A6=4,B6=4),T18,IF(AND(A6=4,B6=2),X18,IF(AND(A6=2,B6=4),AB18,COUNTIFS(INDIRECT(A$7),1,INDIRECT(B$7),2,INDIRECT(#REF!),1))))</f>
        <v>#REF!</v>
      </c>
      <c r="H18" s="153"/>
      <c r="I18" s="153"/>
      <c r="J18" s="154" t="e">
        <f ca="1">IF(AND(A6=4,B6=4),S18,IF(AND(A6=4,B6=2),W18,IF(AND(A6=2,B6=4),AA18,COUNTIFS(INDIRECT(A$7),2,INDIRECT(B$7),1,INDIRECT(#REF!),1))))</f>
        <v>#REF!</v>
      </c>
      <c r="K18" s="154"/>
      <c r="L18" s="154"/>
      <c r="M18" s="153" t="e">
        <f ca="1">IF(AND(A6=4,B6=4),R18,IF(AND(A6=4,B6=2),V18,IF(AND(A6=2,B6=4),Z18,COUNTIFS(INDIRECT(A$7),2,INDIRECT(B$7),2,INDIRECT(#REF!),1))))</f>
        <v>#REF!</v>
      </c>
      <c r="N18" s="153"/>
      <c r="O18" s="153"/>
      <c r="P18" s="43" t="e">
        <f ca="1">Q18-SUM(D18:O18)</f>
        <v>#REF!</v>
      </c>
      <c r="Q18" s="48" t="e">
        <f>COUNTIF(#REF!,1)</f>
        <v>#REF!</v>
      </c>
      <c r="R18" s="30" t="e">
        <f ca="1">COUNTIFS(INDIRECT(A$7),4,INDIRECT(B$7),4,INDIRECT(#REF!),1)+COUNTIFS(INDIRECT(A$7),4,INDIRECT(B$7),3,INDIRECT(#REF!),1)+COUNTIFS(INDIRECT(A$7),3,INDIRECT(B$7),4,INDIRECT(#REF!),1)+COUNTIFS(INDIRECT(A$7),3,INDIRECT(B$7),3,INDIRECT(#REF!),1)</f>
        <v>#REF!</v>
      </c>
      <c r="S18" s="30" t="e">
        <f ca="1">COUNTIFS(INDIRECT(A$7),4,INDIRECT(B$7),1,INDIRECT(#REF!),1)+COUNTIFS(INDIRECT(A$7),4,INDIRECT(B$7),2,INDIRECT(#REF!),1)+COUNTIFS(INDIRECT(A$7),3,INDIRECT(B$7),1,INDIRECT(#REF!),1)+COUNTIFS(INDIRECT(A$7),3,INDIRECT(B$7),2,INDIRECT(#REF!),1)</f>
        <v>#REF!</v>
      </c>
      <c r="T18" s="30" t="e">
        <f ca="1">COUNTIFS(INDIRECT(A$7),1,INDIRECT(B$7),3,INDIRECT(#REF!),1)+COUNTIFS(INDIRECT(A$7),1,INDIRECT(B$7),4,INDIRECT(#REF!),1)+COUNTIFS(INDIRECT(A$7),2,INDIRECT(B$7),4,INDIRECT(#REF!),1)+COUNTIFS(INDIRECT(A$7),2,INDIRECT(B$7),3,INDIRECT(#REF!),1)</f>
        <v>#REF!</v>
      </c>
      <c r="U18" s="60" t="e">
        <f ca="1">COUNTIFS(INDIRECT(A$7),1,INDIRECT(B$7),1,INDIRECT(#REF!),1)+COUNTIFS(INDIRECT(A$7),1,INDIRECT(B$7),2,INDIRECT(#REF!),1)+COUNTIFS(INDIRECT(A$7),2,INDIRECT(B$7),1,INDIRECT(#REF!),1)+COUNTIFS(INDIRECT(A$7),2,INDIRECT(B$7),2,INDIRECT(#REF!),1)</f>
        <v>#REF!</v>
      </c>
      <c r="V18" s="59" t="e">
        <f ca="1">COUNTIFS(INDIRECT(A$7),4,INDIRECT(B$7),1,INDIRECT(#REF!),1)+COUNTIFS(INDIRECT(A$7),3,INDIRECT(B$7),1,INDIRECT(#REF!),1)</f>
        <v>#REF!</v>
      </c>
      <c r="W18" s="60" t="e">
        <f ca="1">COUNTIFS(INDIRECT(A$7),4,INDIRECT(B$7),2,INDIRECT(#REF!),1)+COUNTIFS(INDIRECT(A$7),3,INDIRECT(B$7),2,INDIRECT(#REF!),1)</f>
        <v>#REF!</v>
      </c>
      <c r="X18" s="60" t="e">
        <f ca="1">COUNTIFS(INDIRECT(A$7),1,INDIRECT(B$7),1,INDIRECT(#REF!),1)+COUNTIFS(INDIRECT(A$7),2,INDIRECT(B$7),1,INDIRECT(#REF!),1)</f>
        <v>#REF!</v>
      </c>
      <c r="Y18" s="60" t="e">
        <f ca="1">COUNTIFS(INDIRECT(A$7),1,INDIRECT(B$7),2,INDIRECT(#REF!),1)+COUNTIFS(INDIRECT(A$7),2,INDIRECT(B$7),2,INDIRECT(#REF!),1)</f>
        <v>#REF!</v>
      </c>
      <c r="Z18" s="59" t="e">
        <f ca="1">COUNTIFS(INDIRECT(A$7),1,INDIRECT(B$7),4,INDIRECT(#REF!),1)+COUNTIFS(INDIRECT(A$7),1,INDIRECT(B$7),3,INDIRECT(#REF!),1)</f>
        <v>#REF!</v>
      </c>
      <c r="AA18" s="60" t="e">
        <f ca="1">COUNTIFS(INDIRECT(A$7),1,INDIRECT(B$7),1,INDIRECT(#REF!),1)+COUNTIFS(INDIRECT(A$7),1,INDIRECT(B$7),2,INDIRECT(#REF!),1)</f>
        <v>#REF!</v>
      </c>
      <c r="AB18" s="60" t="e">
        <f ca="1">COUNTIFS(INDIRECT(A$7),2,INDIRECT(B$7),4,INDIRECT(#REF!),1)+COUNTIFS(INDIRECT(A$7),2,INDIRECT(B$7),3,INDIRECT(#REF!),1)</f>
        <v>#REF!</v>
      </c>
      <c r="AC18" s="60" t="e">
        <f ca="1">COUNTIFS(INDIRECT(A$7),2,INDIRECT(B$7),1,INDIRECT(#REF!),1)+COUNTIFS(INDIRECT(A$7),2,INDIRECT(B$7),2,INDIRECT(#REF!),1)</f>
        <v>#REF!</v>
      </c>
    </row>
    <row r="19" spans="1:29" ht="15.95" customHeight="1">
      <c r="A19" s="123"/>
      <c r="B19" s="128"/>
      <c r="C19" s="39" t="s">
        <v>4</v>
      </c>
      <c r="D19" s="152" t="e">
        <f ca="1">D18/$Q18</f>
        <v>#REF!</v>
      </c>
      <c r="E19" s="149"/>
      <c r="F19" s="149"/>
      <c r="G19" s="148" t="e">
        <f ca="1">G18/Q18</f>
        <v>#REF!</v>
      </c>
      <c r="H19" s="148"/>
      <c r="I19" s="148"/>
      <c r="J19" s="149" t="e">
        <f ca="1">J18/Q18</f>
        <v>#REF!</v>
      </c>
      <c r="K19" s="149"/>
      <c r="L19" s="149"/>
      <c r="M19" s="148" t="e">
        <f ca="1">M18/Q18</f>
        <v>#REF!</v>
      </c>
      <c r="N19" s="148"/>
      <c r="O19" s="148"/>
      <c r="P19" s="40" t="e">
        <f ca="1">P18/Q18</f>
        <v>#REF!</v>
      </c>
    </row>
    <row r="20" spans="1:29" ht="15.95" customHeight="1">
      <c r="A20" s="123"/>
      <c r="B20" s="127" t="s">
        <v>13</v>
      </c>
      <c r="C20" s="41" t="s">
        <v>3</v>
      </c>
      <c r="D20" s="150" t="e">
        <f ca="1">IF(AND(A6=4,B6=4),U20,IF(AND(A6=4,B6=2),Y20,IF(AND(A6=2,B6=4),AC20,COUNTIFS(INDIRECT(A$7),1,INDIRECT(B$7),1,INDIRECT(#REF!),2))))</f>
        <v>#REF!</v>
      </c>
      <c r="E20" s="150"/>
      <c r="F20" s="150"/>
      <c r="G20" s="151" t="e">
        <f ca="1">IF(AND(A6=4,B6=4),T20,IF(AND(A6=4,B6=2),X20,IF(AND(A6=2,B6=4),AB20,COUNTIFS(INDIRECT(A$7),1,INDIRECT(B$7),2,INDIRECT(#REF!),2))))</f>
        <v>#REF!</v>
      </c>
      <c r="H20" s="151"/>
      <c r="I20" s="151"/>
      <c r="J20" s="154" t="e">
        <f ca="1">IF(AND(A6=4,B6=4),S20,IF(AND(A6=4,B6=2),W20,IF(AND(A6=2,B6=4),AA20,COUNTIFS(INDIRECT(A$7),2,INDIRECT(B$7),1,INDIRECT(#REF!),2))))</f>
        <v>#REF!</v>
      </c>
      <c r="K20" s="154"/>
      <c r="L20" s="154"/>
      <c r="M20" s="153" t="e">
        <f ca="1">IF(AND(A6=4,B6=4),R20,IF(AND(A6=4,B6=2),V20,IF(AND(A6=2,B6=4),Z20,COUNTIFS(INDIRECT(A$7),2,INDIRECT(B$7),2,INDIRECT(#REF!),2))))</f>
        <v>#REF!</v>
      </c>
      <c r="N20" s="153"/>
      <c r="O20" s="153"/>
      <c r="P20" s="43" t="e">
        <f ca="1">Q20-SUM(D20:O20)</f>
        <v>#REF!</v>
      </c>
      <c r="Q20" s="48" t="e">
        <f>COUNTIF(#REF!,2)</f>
        <v>#REF!</v>
      </c>
      <c r="R20" s="30" t="e">
        <f ca="1">COUNTIFS(INDIRECT(A$7),4,INDIRECT(B$7),4,INDIRECT(#REF!),2)+COUNTIFS(INDIRECT(A$7),4,INDIRECT(B$7),3,INDIRECT(#REF!),2)+COUNTIFS(INDIRECT(A$7),3,INDIRECT(B$7),4,INDIRECT(#REF!),2)+COUNTIFS(INDIRECT(A$7),3,INDIRECT(B$7),3,INDIRECT(#REF!),2)</f>
        <v>#REF!</v>
      </c>
      <c r="S20" s="30" t="e">
        <f ca="1">COUNTIFS(INDIRECT(A$7),4,INDIRECT(B$7),1,INDIRECT(#REF!),2)+COUNTIFS(INDIRECT(A$7),4,INDIRECT(B$7),2,INDIRECT(#REF!),2)+COUNTIFS(INDIRECT(A$7),3,INDIRECT(B$7),1,INDIRECT(#REF!),2)+COUNTIFS(INDIRECT(A$7),3,INDIRECT(B$7),2,INDIRECT(#REF!),2)</f>
        <v>#REF!</v>
      </c>
      <c r="T20" s="30" t="e">
        <f ca="1">COUNTIFS(INDIRECT(A$7),1,INDIRECT(B$7),3,INDIRECT(#REF!),2)+COUNTIFS(INDIRECT(A$7),1,INDIRECT(B$7),4,INDIRECT(#REF!),2)+COUNTIFS(INDIRECT(A$7),2,INDIRECT(B$7),4,INDIRECT(#REF!),2)+COUNTIFS(INDIRECT(A$7),2,INDIRECT(B$7),3,INDIRECT(#REF!),2)</f>
        <v>#REF!</v>
      </c>
      <c r="U20" s="60" t="e">
        <f ca="1">COUNTIFS(INDIRECT(A$7),1,INDIRECT(B$7),1,INDIRECT(#REF!),2)+COUNTIFS(INDIRECT(A$7),1,INDIRECT(B$7),2,INDIRECT(#REF!),2)+COUNTIFS(INDIRECT(A$7),2,INDIRECT(B$7),1,INDIRECT(#REF!),2)+COUNTIFS(INDIRECT(A$7),2,INDIRECT(B$7),2,INDIRECT(#REF!),2)</f>
        <v>#REF!</v>
      </c>
      <c r="V20" s="59" t="e">
        <f ca="1">COUNTIFS(INDIRECT(A$7),4,INDIRECT(B$7),1,INDIRECT(#REF!),2)+COUNTIFS(INDIRECT(A$7),3,INDIRECT(B$7),1,INDIRECT(#REF!),2)</f>
        <v>#REF!</v>
      </c>
      <c r="W20" s="60" t="e">
        <f ca="1">COUNTIFS(INDIRECT(A$7),4,INDIRECT(B$7),2,INDIRECT(#REF!),2)+COUNTIFS(INDIRECT(A$7),3,INDIRECT(B$7),2,INDIRECT(#REF!),2)</f>
        <v>#REF!</v>
      </c>
      <c r="X20" s="60" t="e">
        <f ca="1">COUNTIFS(INDIRECT(A$7),1,INDIRECT(B$7),1,INDIRECT(#REF!),2)+COUNTIFS(INDIRECT(A$7),2,INDIRECT(B$7),1,INDIRECT(#REF!),2)</f>
        <v>#REF!</v>
      </c>
      <c r="Y20" s="60" t="e">
        <f ca="1">COUNTIFS(INDIRECT(A$7),1,INDIRECT(B$7),2,INDIRECT(#REF!),2)+COUNTIFS(INDIRECT(A$7),2,INDIRECT(B$7),2,INDIRECT(#REF!),2)</f>
        <v>#REF!</v>
      </c>
      <c r="Z20" s="59" t="e">
        <f ca="1">COUNTIFS(INDIRECT(A$7),1,INDIRECT(B$7),4,INDIRECT(#REF!),2)+COUNTIFS(INDIRECT(A$7),1,INDIRECT(B$7),3,INDIRECT(#REF!),2)</f>
        <v>#REF!</v>
      </c>
      <c r="AA20" s="60" t="e">
        <f ca="1">COUNTIFS(INDIRECT(A$7),1,INDIRECT(B$7),1,INDIRECT(#REF!),2)+COUNTIFS(INDIRECT(A$7),1,INDIRECT(B$7),2,INDIRECT(#REF!),2)</f>
        <v>#REF!</v>
      </c>
      <c r="AB20" s="60" t="e">
        <f ca="1">COUNTIFS(INDIRECT(A$7),2,INDIRECT(B$7),4,INDIRECT(#REF!),2)+COUNTIFS(INDIRECT(A$7),2,INDIRECT(B$7),3,INDIRECT(#REF!),2)</f>
        <v>#REF!</v>
      </c>
      <c r="AC20" s="60" t="e">
        <f ca="1">COUNTIFS(INDIRECT(A$7),2,INDIRECT(B$7),1,INDIRECT(#REF!),2)+COUNTIFS(INDIRECT(A$7),2,INDIRECT(B$7),2,INDIRECT(#REF!),2)</f>
        <v>#REF!</v>
      </c>
    </row>
    <row r="21" spans="1:29" ht="15.95" customHeight="1">
      <c r="A21" s="123"/>
      <c r="B21" s="128"/>
      <c r="C21" s="39" t="s">
        <v>4</v>
      </c>
      <c r="D21" s="152" t="e">
        <f ca="1">D20/$Q20</f>
        <v>#REF!</v>
      </c>
      <c r="E21" s="149"/>
      <c r="F21" s="149"/>
      <c r="G21" s="148" t="e">
        <f ca="1">G20/Q20</f>
        <v>#REF!</v>
      </c>
      <c r="H21" s="148"/>
      <c r="I21" s="148"/>
      <c r="J21" s="149" t="e">
        <f ca="1">J20/Q20</f>
        <v>#REF!</v>
      </c>
      <c r="K21" s="149"/>
      <c r="L21" s="149"/>
      <c r="M21" s="148" t="e">
        <f ca="1">M20/Q20</f>
        <v>#REF!</v>
      </c>
      <c r="N21" s="148"/>
      <c r="O21" s="148"/>
      <c r="P21" s="40" t="e">
        <f ca="1">P20/Q20</f>
        <v>#REF!</v>
      </c>
    </row>
    <row r="22" spans="1:29" ht="15.95" customHeight="1">
      <c r="A22" s="123"/>
      <c r="B22" s="127" t="s">
        <v>14</v>
      </c>
      <c r="C22" s="41" t="s">
        <v>3</v>
      </c>
      <c r="D22" s="150" t="e">
        <f ca="1">IF(AND(A6=4,B6=4),U22,IF(AND(A6=4,B6=2),Y22,IF(AND(A6=2,B6=4),AC22,COUNTIFS(INDIRECT(A$7),1,INDIRECT(B$7),1,INDIRECT(#REF!),3))))</f>
        <v>#REF!</v>
      </c>
      <c r="E22" s="150"/>
      <c r="F22" s="150"/>
      <c r="G22" s="151" t="e">
        <f ca="1">IF(AND(A6=4,B6=4),T22,IF(AND(A6=4,B6=2),X22,IF(AND(A6=2,B6=4),AB22,COUNTIFS(INDIRECT(A$7),1,INDIRECT(B$7),2,INDIRECT(#REF!),3))))</f>
        <v>#REF!</v>
      </c>
      <c r="H22" s="151"/>
      <c r="I22" s="151"/>
      <c r="J22" s="154" t="e">
        <f ca="1">IF(AND(A6=4,B6=4),S22,IF(AND(A6=4,B6=2),W22,IF(AND(A6=2,B6=4),AA22,COUNTIFS(INDIRECT(A$7),2,INDIRECT(B$7),1,INDIRECT(#REF!),3))))</f>
        <v>#REF!</v>
      </c>
      <c r="K22" s="154"/>
      <c r="L22" s="154"/>
      <c r="M22" s="153" t="e">
        <f ca="1">IF(AND(A6=4,B6=4),R22,IF(AND(A6=4,B6=2),V22,IF(AND(A6=2,B6=4),Z22,COUNTIFS(INDIRECT(A$7),2,INDIRECT(B$7),2,INDIRECT(#REF!),3))))</f>
        <v>#REF!</v>
      </c>
      <c r="N22" s="153"/>
      <c r="O22" s="153"/>
      <c r="P22" s="43" t="e">
        <f ca="1">Q22-SUM(D22:O22)</f>
        <v>#REF!</v>
      </c>
      <c r="Q22" s="48" t="e">
        <f>COUNTIF(#REF!,3)</f>
        <v>#REF!</v>
      </c>
      <c r="R22" s="30" t="e">
        <f ca="1">COUNTIFS(INDIRECT(A$7),4,INDIRECT(B$7),4,INDIRECT(#REF!),3)+COUNTIFS(INDIRECT(A$7),4,INDIRECT(B$7),3,INDIRECT(#REF!),3)+COUNTIFS(INDIRECT(A$7),3,INDIRECT(B$7),4,INDIRECT(#REF!),3)+COUNTIFS(INDIRECT(A$7),3,INDIRECT(B$7),3,INDIRECT(#REF!),3)</f>
        <v>#REF!</v>
      </c>
      <c r="S22" s="30" t="e">
        <f ca="1">COUNTIFS(INDIRECT(A$7),4,INDIRECT(B$7),1,INDIRECT(#REF!),3)+COUNTIFS(INDIRECT(A$7),4,INDIRECT(B$7),2,INDIRECT(#REF!),3)+COUNTIFS(INDIRECT(A$7),3,INDIRECT(B$7),1,INDIRECT(#REF!),3)+COUNTIFS(INDIRECT(A$7),3,INDIRECT(B$7),2,INDIRECT(#REF!),3)</f>
        <v>#REF!</v>
      </c>
      <c r="T22" s="30" t="e">
        <f ca="1">COUNTIFS(INDIRECT(A$7),1,INDIRECT(B$7),3,INDIRECT(#REF!),3)+COUNTIFS(INDIRECT(A$7),1,INDIRECT(B$7),4,INDIRECT(#REF!),3)+COUNTIFS(INDIRECT(A$7),2,INDIRECT(B$7),4,INDIRECT(#REF!),3)+COUNTIFS(INDIRECT(A$7),2,INDIRECT(B$7),3,INDIRECT(#REF!),3)</f>
        <v>#REF!</v>
      </c>
      <c r="U22" s="60" t="e">
        <f ca="1">COUNTIFS(INDIRECT(A$7),1,INDIRECT(B$7),1,INDIRECT(#REF!),3)+COUNTIFS(INDIRECT(A$7),1,INDIRECT(B$7),2,INDIRECT(#REF!),3)+COUNTIFS(INDIRECT(A$7),2,INDIRECT(B$7),1,INDIRECT(#REF!),3)+COUNTIFS(INDIRECT(A$7),2,INDIRECT(B$7),2,INDIRECT(#REF!),3)</f>
        <v>#REF!</v>
      </c>
      <c r="V22" s="59" t="e">
        <f ca="1">COUNTIFS(INDIRECT(A$7),4,INDIRECT(B$7),1,INDIRECT(#REF!),3)+COUNTIFS(INDIRECT(A$7),3,INDIRECT(B$7),1,INDIRECT(#REF!),3)</f>
        <v>#REF!</v>
      </c>
      <c r="W22" s="60" t="e">
        <f ca="1">COUNTIFS(INDIRECT(A$7),4,INDIRECT(B$7),2,INDIRECT(#REF!),3)+COUNTIFS(INDIRECT(A$7),3,INDIRECT(B$7),2,INDIRECT(#REF!),3)</f>
        <v>#REF!</v>
      </c>
      <c r="X22" s="60" t="e">
        <f ca="1">COUNTIFS(INDIRECT(A$7),1,INDIRECT(B$7),1,INDIRECT(#REF!),3)+COUNTIFS(INDIRECT(A$7),2,INDIRECT(B$7),1,INDIRECT(#REF!),3)</f>
        <v>#REF!</v>
      </c>
      <c r="Y22" s="60" t="e">
        <f ca="1">COUNTIFS(INDIRECT(A$7),1,INDIRECT(B$7),2,INDIRECT(#REF!),3)+COUNTIFS(INDIRECT(A$7),2,INDIRECT(B$7),2,INDIRECT(#REF!),3)</f>
        <v>#REF!</v>
      </c>
      <c r="Z22" s="59" t="e">
        <f ca="1">COUNTIFS(INDIRECT(A$7),1,INDIRECT(B$7),4,INDIRECT(#REF!),3)+COUNTIFS(INDIRECT(A$7),1,INDIRECT(B$7),3,INDIRECT(#REF!),3)</f>
        <v>#REF!</v>
      </c>
      <c r="AA22" s="60" t="e">
        <f ca="1">COUNTIFS(INDIRECT(A$7),1,INDIRECT(B$7),1,INDIRECT(#REF!),3)+COUNTIFS(INDIRECT(A$7),1,INDIRECT(B$7),2,INDIRECT(#REF!),3)</f>
        <v>#REF!</v>
      </c>
      <c r="AB22" s="60" t="e">
        <f ca="1">COUNTIFS(INDIRECT(A$7),2,INDIRECT(B$7),4,INDIRECT(#REF!),3)+COUNTIFS(INDIRECT(A$7),2,INDIRECT(B$7),3,INDIRECT(#REF!),3)</f>
        <v>#REF!</v>
      </c>
      <c r="AC22" s="60" t="e">
        <f ca="1">COUNTIFS(INDIRECT(A$7),2,INDIRECT(B$7),1,INDIRECT(#REF!),3)+COUNTIFS(INDIRECT(A$7),2,INDIRECT(B$7),2,INDIRECT(#REF!),3)</f>
        <v>#REF!</v>
      </c>
    </row>
    <row r="23" spans="1:29" ht="15.95" customHeight="1">
      <c r="A23" s="123"/>
      <c r="B23" s="128"/>
      <c r="C23" s="39" t="s">
        <v>4</v>
      </c>
      <c r="D23" s="152" t="e">
        <f ca="1">D22/$Q22</f>
        <v>#REF!</v>
      </c>
      <c r="E23" s="149"/>
      <c r="F23" s="149"/>
      <c r="G23" s="148" t="e">
        <f ca="1">G22/Q22</f>
        <v>#REF!</v>
      </c>
      <c r="H23" s="148"/>
      <c r="I23" s="148"/>
      <c r="J23" s="149" t="e">
        <f ca="1">J22/Q22</f>
        <v>#REF!</v>
      </c>
      <c r="K23" s="149"/>
      <c r="L23" s="149"/>
      <c r="M23" s="148" t="e">
        <f ca="1">M22/Q22</f>
        <v>#REF!</v>
      </c>
      <c r="N23" s="148"/>
      <c r="O23" s="148"/>
      <c r="P23" s="40" t="e">
        <f ca="1">P22/Q22</f>
        <v>#REF!</v>
      </c>
    </row>
    <row r="24" spans="1:29" ht="15.95" customHeight="1">
      <c r="A24" s="123"/>
      <c r="B24" s="127" t="s">
        <v>37</v>
      </c>
      <c r="C24" s="41" t="s">
        <v>3</v>
      </c>
      <c r="D24" s="150" t="e">
        <f ca="1">IF(AND(A6=4,B6=4),U24,IF(AND(A6=4,B6=2),Y24,IF(AND(A6=2,B6=4),AC24,COUNTIFS(INDIRECT(A$7),1,INDIRECT(B$7),1,INDIRECT(#REF!),4))))</f>
        <v>#REF!</v>
      </c>
      <c r="E24" s="150"/>
      <c r="F24" s="150"/>
      <c r="G24" s="151" t="e">
        <f ca="1">IF(AND(A6=4,B6=4),T24,IF(AND(A6=4,B6=2),X24,IF(AND(A6=2,B6=4),AB24,COUNTIFS(INDIRECT(A$7),1,INDIRECT(B$7),2,INDIRECT(#REF!),4))))</f>
        <v>#REF!</v>
      </c>
      <c r="H24" s="151"/>
      <c r="I24" s="151"/>
      <c r="J24" s="154" t="e">
        <f ca="1">IF(AND(A6=4,B6=4),S24,IF(AND(A6=4,B6=2),W24,IF(AND(A6=2,B6=4),AA24,COUNTIFS(INDIRECT(A$7),2,INDIRECT(B$7),1,INDIRECT(#REF!),4))))</f>
        <v>#REF!</v>
      </c>
      <c r="K24" s="154"/>
      <c r="L24" s="154"/>
      <c r="M24" s="153" t="e">
        <f ca="1">IF(AND(A6=4,B6=4),R24,IF(AND(A6=4,B6=2),V24,IF(AND(A6=2,B6=4),Z24,COUNTIFS(INDIRECT(A$7),2,INDIRECT(B$7),2,INDIRECT(#REF!),4))))</f>
        <v>#REF!</v>
      </c>
      <c r="N24" s="153"/>
      <c r="O24" s="153"/>
      <c r="P24" s="43" t="e">
        <f ca="1">Q24-SUM(D24:O24)</f>
        <v>#REF!</v>
      </c>
      <c r="Q24" s="48" t="e">
        <f>COUNTIF(#REF!,4)</f>
        <v>#REF!</v>
      </c>
      <c r="R24" s="30" t="e">
        <f ca="1">COUNTIFS(INDIRECT(A$7),4,INDIRECT(B$7),4,INDIRECT(#REF!),4)+COUNTIFS(INDIRECT(A$7),4,INDIRECT(B$7),3,INDIRECT(#REF!),4)+COUNTIFS(INDIRECT(A$7),3,INDIRECT(B$7),4,INDIRECT(#REF!),4)+COUNTIFS(INDIRECT(A$7),3,INDIRECT(B$7),3,INDIRECT(#REF!),4)</f>
        <v>#REF!</v>
      </c>
      <c r="S24" s="30" t="e">
        <f ca="1">COUNTIFS(INDIRECT(A$7),4,INDIRECT(B$7),1,INDIRECT(#REF!),4)+COUNTIFS(INDIRECT(A$7),4,INDIRECT(B$7),2,INDIRECT(#REF!),4)+COUNTIFS(INDIRECT(A$7),3,INDIRECT(B$7),1,INDIRECT(#REF!),4)+COUNTIFS(INDIRECT(A$7),3,INDIRECT(B$7),2,INDIRECT(#REF!),4)</f>
        <v>#REF!</v>
      </c>
      <c r="T24" s="30" t="e">
        <f ca="1">COUNTIFS(INDIRECT(A$7),1,INDIRECT(B$7),3,INDIRECT(#REF!),4)+COUNTIFS(INDIRECT(A$7),1,INDIRECT(B$7),4,INDIRECT(#REF!),4)+COUNTIFS(INDIRECT(A$7),2,INDIRECT(B$7),4,INDIRECT(#REF!),4)+COUNTIFS(INDIRECT(A$7),2,INDIRECT(B$7),3,INDIRECT(#REF!),4)</f>
        <v>#REF!</v>
      </c>
      <c r="U24" s="60" t="e">
        <f ca="1">COUNTIFS(INDIRECT(A$7),1,INDIRECT(B$7),1,INDIRECT(#REF!),4)+COUNTIFS(INDIRECT(A$7),1,INDIRECT(B$7),2,INDIRECT(#REF!),4)+COUNTIFS(INDIRECT(A$7),2,INDIRECT(B$7),1,INDIRECT(#REF!),4)+COUNTIFS(INDIRECT(A$7),2,INDIRECT(B$7),2,INDIRECT(#REF!),4)</f>
        <v>#REF!</v>
      </c>
      <c r="V24" s="59" t="e">
        <f ca="1">COUNTIFS(INDIRECT(A$7),4,INDIRECT(B$7),1,INDIRECT(#REF!),4)+COUNTIFS(INDIRECT(A$7),3,INDIRECT(B$7),1,INDIRECT(#REF!),4)</f>
        <v>#REF!</v>
      </c>
      <c r="W24" s="60" t="e">
        <f ca="1">COUNTIFS(INDIRECT(A$7),4,INDIRECT(B$7),2,INDIRECT(#REF!),4)+COUNTIFS(INDIRECT(A$7),3,INDIRECT(B$7),2,INDIRECT(#REF!),4)</f>
        <v>#REF!</v>
      </c>
      <c r="X24" s="60" t="e">
        <f ca="1">COUNTIFS(INDIRECT(A$7),1,INDIRECT(B$7),1,INDIRECT(#REF!),4)+COUNTIFS(INDIRECT(A$7),2,INDIRECT(B$7),1,INDIRECT(#REF!),4)</f>
        <v>#REF!</v>
      </c>
      <c r="Y24" s="60" t="e">
        <f ca="1">COUNTIFS(INDIRECT(A$7),1,INDIRECT(B$7),2,INDIRECT(#REF!),4)+COUNTIFS(INDIRECT(A$7),2,INDIRECT(B$7),2,INDIRECT(#REF!),4)</f>
        <v>#REF!</v>
      </c>
      <c r="Z24" s="59" t="e">
        <f ca="1">COUNTIFS(INDIRECT(A$7),1,INDIRECT(B$7),4,INDIRECT(#REF!),4)+COUNTIFS(INDIRECT(A$7),1,INDIRECT(B$7),3,INDIRECT(#REF!),4)</f>
        <v>#REF!</v>
      </c>
      <c r="AA24" s="60" t="e">
        <f ca="1">COUNTIFS(INDIRECT(A$7),1,INDIRECT(B$7),1,INDIRECT(#REF!),4)+COUNTIFS(INDIRECT(A$7),1,INDIRECT(B$7),2,INDIRECT(#REF!),4)</f>
        <v>#REF!</v>
      </c>
      <c r="AB24" s="60" t="e">
        <f ca="1">COUNTIFS(INDIRECT(A$7),2,INDIRECT(B$7),4,INDIRECT(#REF!),4)+COUNTIFS(INDIRECT(A$7),2,INDIRECT(B$7),3,INDIRECT(#REF!),4)</f>
        <v>#REF!</v>
      </c>
      <c r="AC24" s="60" t="e">
        <f ca="1">COUNTIFS(INDIRECT(A$7),2,INDIRECT(B$7),1,INDIRECT(#REF!),4)+COUNTIFS(INDIRECT(A$7),2,INDIRECT(B$7),2,INDIRECT(#REF!),4)</f>
        <v>#REF!</v>
      </c>
    </row>
    <row r="25" spans="1:29" ht="15.95" customHeight="1">
      <c r="A25" s="123"/>
      <c r="B25" s="128"/>
      <c r="C25" s="39" t="s">
        <v>4</v>
      </c>
      <c r="D25" s="152" t="e">
        <f ca="1">D24/$Q24</f>
        <v>#REF!</v>
      </c>
      <c r="E25" s="149"/>
      <c r="F25" s="149"/>
      <c r="G25" s="148" t="e">
        <f ca="1">G24/Q24</f>
        <v>#REF!</v>
      </c>
      <c r="H25" s="148"/>
      <c r="I25" s="148"/>
      <c r="J25" s="149" t="e">
        <f ca="1">J24/Q24</f>
        <v>#REF!</v>
      </c>
      <c r="K25" s="149"/>
      <c r="L25" s="149"/>
      <c r="M25" s="148" t="e">
        <f ca="1">M24/Q24</f>
        <v>#REF!</v>
      </c>
      <c r="N25" s="148"/>
      <c r="O25" s="148"/>
      <c r="P25" s="40" t="e">
        <f ca="1">P24/Q24</f>
        <v>#REF!</v>
      </c>
    </row>
    <row r="26" spans="1:29" ht="15.95" customHeight="1">
      <c r="A26" s="123"/>
      <c r="B26" s="127" t="s">
        <v>16</v>
      </c>
      <c r="C26" s="41" t="s">
        <v>3</v>
      </c>
      <c r="D26" s="150" t="e">
        <f ca="1">IF(AND(A6=4,B6=4),U26,IF(AND(A6=4,B6=2),Y26,IF(AND(A6=2,B6=4),AC26,COUNTIFS(INDIRECT(A$7),1,INDIRECT(B$7),1,INDIRECT(#REF!),5))))</f>
        <v>#REF!</v>
      </c>
      <c r="E26" s="150"/>
      <c r="F26" s="150"/>
      <c r="G26" s="151" t="e">
        <f ca="1">IF(AND(A6=4,B6=4),T26,IF(AND(A6=4,B6=2),X26,IF(AND(A6=2,B6=4),AB26,COUNTIFS(INDIRECT(A$7),1,INDIRECT(B$7),2,INDIRECT(#REF!),5))))</f>
        <v>#REF!</v>
      </c>
      <c r="H26" s="151"/>
      <c r="I26" s="151"/>
      <c r="J26" s="154" t="e">
        <f ca="1">IF(AND(A6=4,B6=4),S26,IF(AND(A6=4,B6=2),W26,IF(AND(A6=2,B6=4),AA26,COUNTIFS(INDIRECT(A$7),2,INDIRECT(B$7),1,INDIRECT(#REF!),5))))</f>
        <v>#REF!</v>
      </c>
      <c r="K26" s="154"/>
      <c r="L26" s="154"/>
      <c r="M26" s="153" t="e">
        <f ca="1">IF(AND(A6=4,B6=4),R26,IF(AND(A6=4,B6=2),V26,IF(AND(A6=2,B6=4),Z26,COUNTIFS(INDIRECT(A$7),2,INDIRECT(B$7),2,INDIRECT(#REF!),5))))</f>
        <v>#REF!</v>
      </c>
      <c r="N26" s="153"/>
      <c r="O26" s="153"/>
      <c r="P26" s="43" t="e">
        <f ca="1">Q26-SUM(D26:O26)</f>
        <v>#REF!</v>
      </c>
      <c r="Q26" s="48" t="e">
        <f>COUNTIF(#REF!,5)</f>
        <v>#REF!</v>
      </c>
      <c r="R26" s="30" t="e">
        <f ca="1">COUNTIFS(INDIRECT(A$7),4,INDIRECT(B$7),4,INDIRECT(#REF!),5)+COUNTIFS(INDIRECT(A$7),4,INDIRECT(B$7),3,INDIRECT(#REF!),5)+COUNTIFS(INDIRECT(A$7),3,INDIRECT(B$7),4,INDIRECT(#REF!),5)+COUNTIFS(INDIRECT(A$7),3,INDIRECT(B$7),3,INDIRECT(#REF!),5)</f>
        <v>#REF!</v>
      </c>
      <c r="S26" s="30" t="e">
        <f ca="1">COUNTIFS(INDIRECT(A$7),4,INDIRECT(B$7),1,INDIRECT(#REF!),5)+COUNTIFS(INDIRECT(A$7),4,INDIRECT(B$7),2,INDIRECT(#REF!),5)+COUNTIFS(INDIRECT(A$7),3,INDIRECT(B$7),1,INDIRECT(#REF!),5)+COUNTIFS(INDIRECT(A$7),3,INDIRECT(B$7),2,INDIRECT(#REF!),5)</f>
        <v>#REF!</v>
      </c>
      <c r="T26" s="30" t="e">
        <f ca="1">COUNTIFS(INDIRECT(A$7),1,INDIRECT(B$7),3,INDIRECT(#REF!),5)+COUNTIFS(INDIRECT(A$7),1,INDIRECT(B$7),4,INDIRECT(#REF!),5)+COUNTIFS(INDIRECT(A$7),2,INDIRECT(B$7),4,INDIRECT(#REF!),5)+COUNTIFS(INDIRECT(A$7),2,INDIRECT(B$7),3,INDIRECT(#REF!),5)</f>
        <v>#REF!</v>
      </c>
      <c r="U26" s="60" t="e">
        <f ca="1">COUNTIFS(INDIRECT(A$7),1,INDIRECT(B$7),1,INDIRECT(#REF!),5)+COUNTIFS(INDIRECT(A$7),1,INDIRECT(B$7),2,INDIRECT(#REF!),5)+COUNTIFS(INDIRECT(A$7),2,INDIRECT(B$7),1,INDIRECT(#REF!),5)+COUNTIFS(INDIRECT(A$7),2,INDIRECT(B$7),2,INDIRECT(#REF!),5)</f>
        <v>#REF!</v>
      </c>
      <c r="V26" s="59" t="e">
        <f ca="1">COUNTIFS(INDIRECT(A$7),4,INDIRECT(B$7),1,INDIRECT(#REF!),5)+COUNTIFS(INDIRECT(A$7),3,INDIRECT(B$7),1,INDIRECT(#REF!),5)</f>
        <v>#REF!</v>
      </c>
      <c r="W26" s="60" t="e">
        <f ca="1">COUNTIFS(INDIRECT(A$7),4,INDIRECT(B$7),2,INDIRECT(#REF!),5)+COUNTIFS(INDIRECT(A$7),3,INDIRECT(B$7),2,INDIRECT(#REF!),5)</f>
        <v>#REF!</v>
      </c>
      <c r="X26" s="60" t="e">
        <f ca="1">COUNTIFS(INDIRECT(A$7),1,INDIRECT(B$7),1,INDIRECT(#REF!),5)+COUNTIFS(INDIRECT(A$7),2,INDIRECT(B$7),1,INDIRECT(#REF!),5)</f>
        <v>#REF!</v>
      </c>
      <c r="Y26" s="60" t="e">
        <f ca="1">COUNTIFS(INDIRECT(A$7),1,INDIRECT(B$7),2,INDIRECT(#REF!),5)+COUNTIFS(INDIRECT(A$7),2,INDIRECT(B$7),2,INDIRECT(#REF!),5)</f>
        <v>#REF!</v>
      </c>
      <c r="Z26" s="59" t="e">
        <f ca="1">COUNTIFS(INDIRECT(A$7),1,INDIRECT(B$7),4,INDIRECT(#REF!),5)+COUNTIFS(INDIRECT(A$7),1,INDIRECT(B$7),3,INDIRECT(#REF!),5)</f>
        <v>#REF!</v>
      </c>
      <c r="AA26" s="60" t="e">
        <f ca="1">COUNTIFS(INDIRECT(A$7),1,INDIRECT(B$7),1,INDIRECT(#REF!),5)+COUNTIFS(INDIRECT(A$7),1,INDIRECT(B$7),2,INDIRECT(#REF!),5)</f>
        <v>#REF!</v>
      </c>
      <c r="AB26" s="60" t="e">
        <f ca="1">COUNTIFS(INDIRECT(A$7),2,INDIRECT(B$7),4,INDIRECT(#REF!),5)+COUNTIFS(INDIRECT(A$7),2,INDIRECT(B$7),3,INDIRECT(#REF!),5)</f>
        <v>#REF!</v>
      </c>
      <c r="AC26" s="60" t="e">
        <f ca="1">COUNTIFS(INDIRECT(A$7),2,INDIRECT(B$7),1,INDIRECT(#REF!),5)+COUNTIFS(INDIRECT(A$7),2,INDIRECT(B$7),2,INDIRECT(#REF!),5)</f>
        <v>#REF!</v>
      </c>
    </row>
    <row r="27" spans="1:29" ht="15.95" customHeight="1">
      <c r="A27" s="123"/>
      <c r="B27" s="128"/>
      <c r="C27" s="39" t="s">
        <v>4</v>
      </c>
      <c r="D27" s="152" t="e">
        <f ca="1">D26/$Q26</f>
        <v>#REF!</v>
      </c>
      <c r="E27" s="149"/>
      <c r="F27" s="149"/>
      <c r="G27" s="148" t="e">
        <f ca="1">G26/Q26</f>
        <v>#REF!</v>
      </c>
      <c r="H27" s="148"/>
      <c r="I27" s="148"/>
      <c r="J27" s="149" t="e">
        <f ca="1">J26/Q26</f>
        <v>#REF!</v>
      </c>
      <c r="K27" s="149"/>
      <c r="L27" s="149"/>
      <c r="M27" s="148" t="e">
        <f ca="1">M26/Q26</f>
        <v>#REF!</v>
      </c>
      <c r="N27" s="148"/>
      <c r="O27" s="148"/>
      <c r="P27" s="40" t="e">
        <f ca="1">P26/Q26</f>
        <v>#REF!</v>
      </c>
    </row>
    <row r="28" spans="1:29" ht="15.95" customHeight="1">
      <c r="A28" s="123"/>
      <c r="B28" s="127" t="s">
        <v>17</v>
      </c>
      <c r="C28" s="41" t="s">
        <v>3</v>
      </c>
      <c r="D28" s="150" t="e">
        <f ca="1">IF(AND(A6=4,B6=4),U28,IF(AND(A6=4,B6=2),Y28,IF(AND(A6=2,B6=4),AC28,COUNTIFS(INDIRECT(A$7),1,INDIRECT(B$7),1,INDIRECT(#REF!),6))))</f>
        <v>#REF!</v>
      </c>
      <c r="E28" s="150"/>
      <c r="F28" s="150"/>
      <c r="G28" s="151" t="e">
        <f ca="1">IF(AND(A6=4,B6=4),T28,IF(AND(A6=4,B6=2),X28,IF(AND(A6=2,B6=4),AB28,COUNTIFS(INDIRECT(A$7),1,INDIRECT(B$7),2,INDIRECT(#REF!),6))))</f>
        <v>#REF!</v>
      </c>
      <c r="H28" s="151"/>
      <c r="I28" s="151"/>
      <c r="J28" s="154" t="e">
        <f ca="1">IF(AND(A6=4,B6=4),S28,IF(AND(A6=4,B6=2),W28,IF(AND(A6=2,B6=4),AA28,COUNTIFS(INDIRECT(A$7),2,INDIRECT(B$7),1,INDIRECT(#REF!),6))))</f>
        <v>#REF!</v>
      </c>
      <c r="K28" s="154"/>
      <c r="L28" s="154"/>
      <c r="M28" s="153" t="e">
        <f ca="1">IF(AND(A6=4,B6=4),R28,IF(AND(A6=4,B6=2),V28,IF(AND(A6=2,B6=4),Z28,COUNTIFS(INDIRECT(A$7),2,INDIRECT(B$7),2,INDIRECT(#REF!),6))))</f>
        <v>#REF!</v>
      </c>
      <c r="N28" s="153"/>
      <c r="O28" s="153"/>
      <c r="P28" s="43" t="e">
        <f ca="1">Q28-SUM(D28:O28)</f>
        <v>#REF!</v>
      </c>
      <c r="Q28" s="48" t="e">
        <f>COUNTIF(#REF!,6)</f>
        <v>#REF!</v>
      </c>
      <c r="R28" s="30" t="e">
        <f ca="1">COUNTIFS(INDIRECT(A$7),4,INDIRECT(B$7),4,INDIRECT(#REF!),6)+COUNTIFS(INDIRECT(A$7),4,INDIRECT(B$7),3,INDIRECT(#REF!),6)+COUNTIFS(INDIRECT(A$7),3,INDIRECT(B$7),4,INDIRECT(#REF!),6)+COUNTIFS(INDIRECT(A$7),3,INDIRECT(B$7),3,INDIRECT(#REF!),6)</f>
        <v>#REF!</v>
      </c>
      <c r="S28" s="30" t="e">
        <f ca="1">COUNTIFS(INDIRECT(A$7),4,INDIRECT(B$7),1,INDIRECT(#REF!),6)+COUNTIFS(INDIRECT(A$7),4,INDIRECT(B$7),2,INDIRECT(#REF!),6)+COUNTIFS(INDIRECT(A$7),3,INDIRECT(B$7),1,INDIRECT(#REF!),6)+COUNTIFS(INDIRECT(A$7),3,INDIRECT(B$7),2,INDIRECT(#REF!),6)</f>
        <v>#REF!</v>
      </c>
      <c r="T28" s="30" t="e">
        <f ca="1">COUNTIFS(INDIRECT(A$7),1,INDIRECT(B$7),3,INDIRECT(#REF!),6)+COUNTIFS(INDIRECT(A$7),1,INDIRECT(B$7),4,INDIRECT(#REF!),6)+COUNTIFS(INDIRECT(A$7),2,INDIRECT(B$7),4,INDIRECT(#REF!),6)+COUNTIFS(INDIRECT(A$7),2,INDIRECT(B$7),3,INDIRECT(#REF!),6)</f>
        <v>#REF!</v>
      </c>
      <c r="U28" s="60" t="e">
        <f ca="1">COUNTIFS(INDIRECT(A$7),1,INDIRECT(B$7),1,INDIRECT(#REF!),6)+COUNTIFS(INDIRECT(A$7),1,INDIRECT(B$7),2,INDIRECT(#REF!),6)+COUNTIFS(INDIRECT(A$7),2,INDIRECT(B$7),1,INDIRECT(#REF!),6)+COUNTIFS(INDIRECT(A$7),2,INDIRECT(B$7),2,INDIRECT(#REF!),6)</f>
        <v>#REF!</v>
      </c>
      <c r="V28" s="59" t="e">
        <f ca="1">COUNTIFS(INDIRECT(A$7),4,INDIRECT(B$7),1,INDIRECT(#REF!),6)+COUNTIFS(INDIRECT(A$7),3,INDIRECT(B$7),1,INDIRECT(#REF!),6)</f>
        <v>#REF!</v>
      </c>
      <c r="W28" s="60" t="e">
        <f ca="1">COUNTIFS(INDIRECT(A$7),4,INDIRECT(B$7),2,INDIRECT(#REF!),6)+COUNTIFS(INDIRECT(A$7),3,INDIRECT(B$7),2,INDIRECT(#REF!),6)</f>
        <v>#REF!</v>
      </c>
      <c r="X28" s="60" t="e">
        <f ca="1">COUNTIFS(INDIRECT(A$7),1,INDIRECT(B$7),1,INDIRECT(#REF!),6)+COUNTIFS(INDIRECT(A$7),2,INDIRECT(B$7),1,INDIRECT(#REF!),6)</f>
        <v>#REF!</v>
      </c>
      <c r="Y28" s="60" t="e">
        <f ca="1">COUNTIFS(INDIRECT(A$7),1,INDIRECT(B$7),2,INDIRECT(#REF!),6)+COUNTIFS(INDIRECT(A$7),2,INDIRECT(B$7),2,INDIRECT(#REF!),6)</f>
        <v>#REF!</v>
      </c>
      <c r="Z28" s="59" t="e">
        <f ca="1">COUNTIFS(INDIRECT(A$7),1,INDIRECT(B$7),4,INDIRECT(#REF!),6)+COUNTIFS(INDIRECT(A$7),1,INDIRECT(B$7),3,INDIRECT(#REF!),6)</f>
        <v>#REF!</v>
      </c>
      <c r="AA28" s="60" t="e">
        <f ca="1">COUNTIFS(INDIRECT(A$7),1,INDIRECT(B$7),1,INDIRECT(#REF!),6)+COUNTIFS(INDIRECT(A$7),1,INDIRECT(B$7),2,INDIRECT(#REF!),6)</f>
        <v>#REF!</v>
      </c>
      <c r="AB28" s="60" t="e">
        <f ca="1">COUNTIFS(INDIRECT(A$7),2,INDIRECT(B$7),4,INDIRECT(#REF!),6)+COUNTIFS(INDIRECT(A$7),2,INDIRECT(B$7),3,INDIRECT(#REF!),6)</f>
        <v>#REF!</v>
      </c>
      <c r="AC28" s="60" t="e">
        <f ca="1">COUNTIFS(INDIRECT(A$7),2,INDIRECT(B$7),1,INDIRECT(#REF!),6)+COUNTIFS(INDIRECT(A$7),2,INDIRECT(B$7),2,INDIRECT(#REF!),6)</f>
        <v>#REF!</v>
      </c>
    </row>
    <row r="29" spans="1:29" ht="15.95" customHeight="1">
      <c r="A29" s="123"/>
      <c r="B29" s="128"/>
      <c r="C29" s="39" t="s">
        <v>4</v>
      </c>
      <c r="D29" s="152" t="e">
        <f ca="1">D28/$Q28</f>
        <v>#REF!</v>
      </c>
      <c r="E29" s="149"/>
      <c r="F29" s="149"/>
      <c r="G29" s="155" t="e">
        <f ca="1">G28/Q28</f>
        <v>#REF!</v>
      </c>
      <c r="H29" s="155"/>
      <c r="I29" s="155"/>
      <c r="J29" s="149" t="e">
        <f ca="1">J28/Q28</f>
        <v>#REF!</v>
      </c>
      <c r="K29" s="149"/>
      <c r="L29" s="149"/>
      <c r="M29" s="148" t="e">
        <f ca="1">M28/Q28</f>
        <v>#REF!</v>
      </c>
      <c r="N29" s="148"/>
      <c r="O29" s="148"/>
      <c r="P29" s="40" t="e">
        <f ca="1">P28/Q28</f>
        <v>#REF!</v>
      </c>
    </row>
    <row r="30" spans="1:29" ht="15.95" customHeight="1">
      <c r="A30" s="123"/>
      <c r="B30" s="131" t="s">
        <v>38</v>
      </c>
      <c r="C30" s="44" t="s">
        <v>3</v>
      </c>
      <c r="D30" s="150" t="e">
        <f ca="1">IF(AND(A6=4,B6=4),U30,IF(AND(A6=4,B6=2),Y30,IF(AND(A6=2,B6=4),AC30,COUNTIFS(INDIRECT(A$7),1,INDIRECT(B$7),1,INDIRECT(#REF!),7))))</f>
        <v>#REF!</v>
      </c>
      <c r="E30" s="150"/>
      <c r="F30" s="150"/>
      <c r="G30" s="151" t="e">
        <f ca="1">IF(AND(A6=4,B6=4),T30,IF(AND(A6=4,B6=2),X30,IF(AND(A6=2,B6=4),AB30,COUNTIFS(INDIRECT(A$7),1,INDIRECT(B$7),2,INDIRECT(#REF!),7))))</f>
        <v>#REF!</v>
      </c>
      <c r="H30" s="151"/>
      <c r="I30" s="151"/>
      <c r="J30" s="150" t="e">
        <f ca="1">IF(AND(A6=4,B6=4),S30,IF(AND(A6=4,B6=2),W30,IF(AND(A6=2,B6=4),AA30,COUNTIFS(INDIRECT(A$7),2,INDIRECT(B$7),1,INDIRECT(#REF!),7))))</f>
        <v>#REF!</v>
      </c>
      <c r="K30" s="150"/>
      <c r="L30" s="150"/>
      <c r="M30" s="153" t="e">
        <f ca="1">IF(AND(A6=4,B6=4),R30,IF(AND(A6=4,B6=2),V30,IF(AND(A6=2,B6=4),Z30,COUNTIFS(INDIRECT(A$7),2,INDIRECT(B$7),2,INDIRECT(#REF!),7))))</f>
        <v>#REF!</v>
      </c>
      <c r="N30" s="153"/>
      <c r="O30" s="153"/>
      <c r="P30" s="43" t="e">
        <f ca="1">Q30-SUM(D30:O30)</f>
        <v>#REF!</v>
      </c>
      <c r="Q30" s="48" t="e">
        <f>COUNTIF(#REF!,7)</f>
        <v>#REF!</v>
      </c>
      <c r="R30" s="30" t="e">
        <f ca="1">COUNTIFS(INDIRECT(A$7),4,INDIRECT(B$7),4,INDIRECT(#REF!),7)+COUNTIFS(INDIRECT(A$7),4,INDIRECT(B$7),3,INDIRECT(#REF!),7)+COUNTIFS(INDIRECT(A$7),3,INDIRECT(B$7),4,INDIRECT(#REF!),7)+COUNTIFS(INDIRECT(A$7),3,INDIRECT(B$7),3,INDIRECT(#REF!),7)</f>
        <v>#REF!</v>
      </c>
      <c r="S30" s="30" t="e">
        <f ca="1">COUNTIFS(INDIRECT(A$7),4,INDIRECT(B$7),1,INDIRECT(#REF!),7)+COUNTIFS(INDIRECT(A$7),4,INDIRECT(B$7),2,INDIRECT(#REF!),7)+COUNTIFS(INDIRECT(A$7),3,INDIRECT(B$7),1,INDIRECT(#REF!),7)+COUNTIFS(INDIRECT(A$7),3,INDIRECT(B$7),2,INDIRECT(#REF!),7)</f>
        <v>#REF!</v>
      </c>
      <c r="T30" s="30" t="e">
        <f ca="1">COUNTIFS(INDIRECT(A$7),1,INDIRECT(B$7),3,INDIRECT(#REF!),7)+COUNTIFS(INDIRECT(A$7),1,INDIRECT(B$7),4,INDIRECT(#REF!),7)+COUNTIFS(INDIRECT(A$7),2,INDIRECT(B$7),4,INDIRECT(#REF!),7)+COUNTIFS(INDIRECT(A$7),2,INDIRECT(B$7),3,INDIRECT(#REF!),7)</f>
        <v>#REF!</v>
      </c>
      <c r="U30" s="60" t="e">
        <f ca="1">COUNTIFS(INDIRECT(A$7),1,INDIRECT(B$7),1,INDIRECT(#REF!),7)+COUNTIFS(INDIRECT(A$7),1,INDIRECT(B$7),2,INDIRECT(#REF!),7)+COUNTIFS(INDIRECT(A$7),2,INDIRECT(B$7),1,INDIRECT(#REF!),7)+COUNTIFS(INDIRECT(A$7),2,INDIRECT(B$7),2,INDIRECT(#REF!),7)</f>
        <v>#REF!</v>
      </c>
      <c r="V30" s="59" t="e">
        <f ca="1">COUNTIFS(INDIRECT(A$7),4,INDIRECT(B$7),1,INDIRECT(#REF!),7)+COUNTIFS(INDIRECT(A$7),3,INDIRECT(B$7),1,INDIRECT(#REF!),7)</f>
        <v>#REF!</v>
      </c>
      <c r="W30" s="60" t="e">
        <f ca="1">COUNTIFS(INDIRECT(A$7),4,INDIRECT(B$7),2,INDIRECT(#REF!),7)+COUNTIFS(INDIRECT(A$7),3,INDIRECT(B$7),2,INDIRECT(#REF!),7)</f>
        <v>#REF!</v>
      </c>
      <c r="X30" s="60" t="e">
        <f ca="1">COUNTIFS(INDIRECT(A$7),1,INDIRECT(B$7),1,INDIRECT(#REF!),7)+COUNTIFS(INDIRECT(A$7),2,INDIRECT(B$7),1,INDIRECT(#REF!),7)</f>
        <v>#REF!</v>
      </c>
      <c r="Y30" s="60" t="e">
        <f ca="1">COUNTIFS(INDIRECT(A$7),1,INDIRECT(B$7),2,INDIRECT(#REF!),7)+COUNTIFS(INDIRECT(A$7),2,INDIRECT(B$7),2,INDIRECT(#REF!),7)</f>
        <v>#REF!</v>
      </c>
      <c r="Z30" s="59" t="e">
        <f ca="1">COUNTIFS(INDIRECT(A$7),1,INDIRECT(B$7),4,INDIRECT(#REF!),7)+COUNTIFS(INDIRECT(A$7),1,INDIRECT(B$7),3,INDIRECT(#REF!),7)</f>
        <v>#REF!</v>
      </c>
      <c r="AA30" s="60" t="e">
        <f ca="1">COUNTIFS(INDIRECT(A$7),1,INDIRECT(B$7),1,INDIRECT(#REF!),7)+COUNTIFS(INDIRECT(A$7),1,INDIRECT(B$7),2,INDIRECT(#REF!),7)</f>
        <v>#REF!</v>
      </c>
      <c r="AB30" s="60" t="e">
        <f ca="1">COUNTIFS(INDIRECT(A$7),2,INDIRECT(B$7),4,INDIRECT(#REF!),7)+COUNTIFS(INDIRECT(A$7),2,INDIRECT(B$7),3,INDIRECT(#REF!),7)</f>
        <v>#REF!</v>
      </c>
      <c r="AC30" s="60" t="e">
        <f ca="1">COUNTIFS(INDIRECT(A$7),2,INDIRECT(B$7),1,INDIRECT(#REF!),7)+COUNTIFS(INDIRECT(A$7),2,INDIRECT(B$7),2,INDIRECT(#REF!),7)</f>
        <v>#REF!</v>
      </c>
    </row>
    <row r="31" spans="1:29" ht="15.95" customHeight="1">
      <c r="A31" s="123"/>
      <c r="B31" s="131"/>
      <c r="C31" s="39" t="s">
        <v>4</v>
      </c>
      <c r="D31" s="152" t="e">
        <f ca="1">D30/$Q30</f>
        <v>#REF!</v>
      </c>
      <c r="E31" s="149"/>
      <c r="F31" s="149"/>
      <c r="G31" s="148" t="e">
        <f ca="1">G30/Q30</f>
        <v>#REF!</v>
      </c>
      <c r="H31" s="148"/>
      <c r="I31" s="148"/>
      <c r="J31" s="149" t="e">
        <f ca="1">J30/Q30</f>
        <v>#REF!</v>
      </c>
      <c r="K31" s="149"/>
      <c r="L31" s="149"/>
      <c r="M31" s="148" t="e">
        <f ca="1">M30/Q30</f>
        <v>#REF!</v>
      </c>
      <c r="N31" s="148"/>
      <c r="O31" s="148"/>
      <c r="P31" s="40" t="e">
        <f ca="1">P30/Q30</f>
        <v>#REF!</v>
      </c>
    </row>
    <row r="32" spans="1:29" ht="15.95" customHeight="1">
      <c r="A32" s="123"/>
      <c r="B32" s="121" t="s">
        <v>39</v>
      </c>
      <c r="C32" s="44" t="s">
        <v>3</v>
      </c>
      <c r="D32" s="150" t="e">
        <f ca="1">IF(AND(A6=4,B6=4),U32,IF(AND(A6=4,B6=2),Y32,IF(AND(A6=2,B6=4),AC32,COUNTIFS(INDIRECT(A$7),1,INDIRECT(B$7),1,INDIRECT(#REF!),8))))</f>
        <v>#REF!</v>
      </c>
      <c r="E32" s="150"/>
      <c r="F32" s="150"/>
      <c r="G32" s="151" t="e">
        <f ca="1">IF(AND(A6=4,B6=4),T32,IF(AND(A6=4,B6=2),X32,IF(AND(A6=2,B6=4),AB32,COUNTIFS(INDIRECT(A$7),1,INDIRECT(B$7),2,INDIRECT(#REF!),8))))</f>
        <v>#REF!</v>
      </c>
      <c r="H32" s="151"/>
      <c r="I32" s="151"/>
      <c r="J32" s="154" t="e">
        <f ca="1">IF(AND(A6=4,B6=4),S32,IF(AND(A6=4,B6=2),W32,IF(AND(A6=2,B6=4),AA32,COUNTIFS(INDIRECT(A$7),2,INDIRECT(B$7),1,INDIRECT(#REF!),8))))</f>
        <v>#REF!</v>
      </c>
      <c r="K32" s="154"/>
      <c r="L32" s="154"/>
      <c r="M32" s="153" t="e">
        <f ca="1">IF(AND(A6=4,B6=4),R32,IF(AND(A6=4,B6=2),V32,IF(AND(A6=2,B6=4),Z32,COUNTIFS(INDIRECT(A$7),2,INDIRECT(B$7),2,INDIRECT(#REF!),8))))</f>
        <v>#REF!</v>
      </c>
      <c r="N32" s="153"/>
      <c r="O32" s="153"/>
      <c r="P32" s="43" t="e">
        <f ca="1">Q32-SUM(D32:O32)</f>
        <v>#REF!</v>
      </c>
      <c r="Q32" s="48" t="e">
        <f>COUNTIF(#REF!,8)</f>
        <v>#REF!</v>
      </c>
      <c r="R32" s="30" t="e">
        <f ca="1">COUNTIFS(INDIRECT(A$7),4,INDIRECT(B$7),4,INDIRECT(#REF!),8)+COUNTIFS(INDIRECT(A$7),4,INDIRECT(B$7),3,INDIRECT(#REF!),8)+COUNTIFS(INDIRECT(A$7),3,INDIRECT(B$7),4,INDIRECT(#REF!),8)+COUNTIFS(INDIRECT(A$7),3,INDIRECT(B$7),3,INDIRECT(#REF!),8)</f>
        <v>#REF!</v>
      </c>
      <c r="S32" s="30" t="e">
        <f ca="1">COUNTIFS(INDIRECT(A$7),4,INDIRECT(B$7),1,INDIRECT(#REF!),8)+COUNTIFS(INDIRECT(A$7),4,INDIRECT(B$7),2,INDIRECT(#REF!),8)+COUNTIFS(INDIRECT(A$7),3,INDIRECT(B$7),1,INDIRECT(#REF!),8)+COUNTIFS(INDIRECT(A$7),3,INDIRECT(B$7),2,INDIRECT(#REF!),8)</f>
        <v>#REF!</v>
      </c>
      <c r="T32" s="30" t="e">
        <f ca="1">COUNTIFS(INDIRECT(A$7),1,INDIRECT(B$7),3,INDIRECT(#REF!),8)+COUNTIFS(INDIRECT(A$7),1,INDIRECT(B$7),4,INDIRECT(#REF!),8)+COUNTIFS(INDIRECT(A$7),2,INDIRECT(B$7),4,INDIRECT(#REF!),8)+COUNTIFS(INDIRECT(A$7),2,INDIRECT(B$7),3,INDIRECT(#REF!),8)</f>
        <v>#REF!</v>
      </c>
      <c r="U32" s="60" t="e">
        <f ca="1">COUNTIFS(INDIRECT(A$7),1,INDIRECT(B$7),1,INDIRECT(#REF!),8)+COUNTIFS(INDIRECT(A$7),1,INDIRECT(B$7),2,INDIRECT(#REF!),8)+COUNTIFS(INDIRECT(A$7),2,INDIRECT(B$7),1,INDIRECT(#REF!),8)+COUNTIFS(INDIRECT(A$7),2,INDIRECT(B$7),2,INDIRECT(#REF!),8)</f>
        <v>#REF!</v>
      </c>
      <c r="V32" s="59" t="e">
        <f ca="1">COUNTIFS(INDIRECT(A$7),4,INDIRECT(B$7),1,INDIRECT(#REF!),8)+COUNTIFS(INDIRECT(A$7),3,INDIRECT(B$7),1,INDIRECT(#REF!),8)</f>
        <v>#REF!</v>
      </c>
      <c r="W32" s="60" t="e">
        <f ca="1">COUNTIFS(INDIRECT(A$7),4,INDIRECT(B$7),2,INDIRECT(#REF!),8)+COUNTIFS(INDIRECT(A$7),3,INDIRECT(B$7),2,INDIRECT(#REF!),8)</f>
        <v>#REF!</v>
      </c>
      <c r="X32" s="60" t="e">
        <f ca="1">COUNTIFS(INDIRECT(A$7),1,INDIRECT(B$7),1,INDIRECT(#REF!),8)+COUNTIFS(INDIRECT(A$7),2,INDIRECT(B$7),1,INDIRECT(#REF!),8)</f>
        <v>#REF!</v>
      </c>
      <c r="Y32" s="60" t="e">
        <f ca="1">COUNTIFS(INDIRECT(A$7),1,INDIRECT(B$7),2,INDIRECT(#REF!),8)+COUNTIFS(INDIRECT(A$7),2,INDIRECT(B$7),2,INDIRECT(#REF!),8)</f>
        <v>#REF!</v>
      </c>
      <c r="Z32" s="59" t="e">
        <f ca="1">COUNTIFS(INDIRECT(A$7),1,INDIRECT(B$7),4,INDIRECT(#REF!),8)+COUNTIFS(INDIRECT(A$7),1,INDIRECT(B$7),3,INDIRECT(#REF!),8)</f>
        <v>#REF!</v>
      </c>
      <c r="AA32" s="60" t="e">
        <f ca="1">COUNTIFS(INDIRECT(A$7),1,INDIRECT(B$7),1,INDIRECT(#REF!),8)+COUNTIFS(INDIRECT(A$7),1,INDIRECT(B$7),2,INDIRECT(#REF!),8)</f>
        <v>#REF!</v>
      </c>
      <c r="AB32" s="60" t="e">
        <f ca="1">COUNTIFS(INDIRECT(A$7),2,INDIRECT(B$7),4,INDIRECT(#REF!),8)+COUNTIFS(INDIRECT(A$7),2,INDIRECT(B$7),3,INDIRECT(#REF!),8)</f>
        <v>#REF!</v>
      </c>
      <c r="AC32" s="60" t="e">
        <f ca="1">COUNTIFS(INDIRECT(A$7),2,INDIRECT(B$7),1,INDIRECT(#REF!),8)+COUNTIFS(INDIRECT(A$7),2,INDIRECT(B$7),2,INDIRECT(#REF!),8)</f>
        <v>#REF!</v>
      </c>
    </row>
    <row r="33" spans="1:29" ht="15.95" customHeight="1">
      <c r="A33" s="123"/>
      <c r="B33" s="121"/>
      <c r="C33" s="39" t="s">
        <v>4</v>
      </c>
      <c r="D33" s="152" t="e">
        <f ca="1">D32/$Q32</f>
        <v>#REF!</v>
      </c>
      <c r="E33" s="149"/>
      <c r="F33" s="149"/>
      <c r="G33" s="148" t="e">
        <f ca="1">G32/Q32</f>
        <v>#REF!</v>
      </c>
      <c r="H33" s="148"/>
      <c r="I33" s="148"/>
      <c r="J33" s="149" t="e">
        <f ca="1">J32/Q32</f>
        <v>#REF!</v>
      </c>
      <c r="K33" s="149"/>
      <c r="L33" s="149"/>
      <c r="M33" s="148" t="e">
        <f ca="1">M32/Q32</f>
        <v>#REF!</v>
      </c>
      <c r="N33" s="148"/>
      <c r="O33" s="148"/>
      <c r="P33" s="40" t="e">
        <f ca="1">P32/Q32</f>
        <v>#REF!</v>
      </c>
    </row>
    <row r="34" spans="1:29" ht="15.95" customHeight="1">
      <c r="A34" s="123"/>
      <c r="B34" s="121" t="s">
        <v>40</v>
      </c>
      <c r="C34" s="44" t="s">
        <v>3</v>
      </c>
      <c r="D34" s="150" t="e">
        <f ca="1">IF(AND(A6=4,B6=4),U34,IF(AND(A6=4,B6=2),Y34,IF(AND(A6=2,B6=4),AC34,COUNTIFS(INDIRECT(A$7),1,INDIRECT(B$7),1,INDIRECT(#REF!),9))))</f>
        <v>#REF!</v>
      </c>
      <c r="E34" s="150"/>
      <c r="F34" s="150"/>
      <c r="G34" s="151" t="e">
        <f ca="1">IF(AND(A6=4,B6=4),T34,IF(AND(A6=4,B6=2),X34,IF(AND(A6=2,B6=4),AB34,COUNTIFS(INDIRECT(A$7),1,INDIRECT(B$7),2,INDIRECT(#REF!),9))))</f>
        <v>#REF!</v>
      </c>
      <c r="H34" s="151"/>
      <c r="I34" s="151"/>
      <c r="J34" s="154" t="e">
        <f ca="1">IF(AND(A6=4,B6=4),S34,IF(AND(A6=4,B6=2),W34,IF(AND(A6=2,B6=4),AA34,COUNTIFS(INDIRECT(A$7),2,INDIRECT(B$7),1,INDIRECT(#REF!),9))))</f>
        <v>#REF!</v>
      </c>
      <c r="K34" s="154"/>
      <c r="L34" s="154"/>
      <c r="M34" s="153" t="e">
        <f ca="1">IF(AND(A6=4,B6=4),R34,IF(AND(A6=4,B6=2),V34,IF(AND(A6=2,B6=4),Z34,COUNTIFS(INDIRECT(A$7),2,INDIRECT(B$7),2,INDIRECT(#REF!),9))))</f>
        <v>#REF!</v>
      </c>
      <c r="N34" s="153"/>
      <c r="O34" s="153"/>
      <c r="P34" s="43" t="e">
        <f ca="1">Q34-SUM(D34:O34)</f>
        <v>#REF!</v>
      </c>
      <c r="Q34" s="48" t="e">
        <f>COUNTIF(#REF!,9)</f>
        <v>#REF!</v>
      </c>
      <c r="R34" s="30" t="e">
        <f ca="1">COUNTIFS(INDIRECT(A$7),4,INDIRECT(B$7),4,INDIRECT(#REF!),9)+COUNTIFS(INDIRECT(A$7),4,INDIRECT(B$7),3,INDIRECT(#REF!),9)+COUNTIFS(INDIRECT(A$7),3,INDIRECT(B$7),4,INDIRECT(#REF!),9)+COUNTIFS(INDIRECT(A$7),3,INDIRECT(B$7),3,INDIRECT(#REF!),9)</f>
        <v>#REF!</v>
      </c>
      <c r="S34" s="30" t="e">
        <f ca="1">COUNTIFS(INDIRECT(A$7),4,INDIRECT(B$7),1,INDIRECT(#REF!),9)+COUNTIFS(INDIRECT(A$7),4,INDIRECT(B$7),2,INDIRECT(#REF!),9)+COUNTIFS(INDIRECT(A$7),3,INDIRECT(B$7),1,INDIRECT(#REF!),9)+COUNTIFS(INDIRECT(A$7),3,INDIRECT(B$7),2,INDIRECT(#REF!),9)</f>
        <v>#REF!</v>
      </c>
      <c r="T34" s="30" t="e">
        <f ca="1">COUNTIFS(INDIRECT(A$7),1,INDIRECT(B$7),3,INDIRECT(#REF!),9)+COUNTIFS(INDIRECT(A$7),1,INDIRECT(B$7),4,INDIRECT(#REF!),9)+COUNTIFS(INDIRECT(A$7),2,INDIRECT(B$7),4,INDIRECT(#REF!),9)+COUNTIFS(INDIRECT(A$7),2,INDIRECT(B$7),3,INDIRECT(#REF!),9)</f>
        <v>#REF!</v>
      </c>
      <c r="U34" s="60" t="e">
        <f ca="1">COUNTIFS(INDIRECT(A$7),1,INDIRECT(B$7),1,INDIRECT(#REF!),9)+COUNTIFS(INDIRECT(A$7),1,INDIRECT(B$7),2,INDIRECT(#REF!),9)+COUNTIFS(INDIRECT(A$7),2,INDIRECT(B$7),1,INDIRECT(#REF!),9)+COUNTIFS(INDIRECT(A$7),2,INDIRECT(B$7),2,INDIRECT(#REF!),9)</f>
        <v>#REF!</v>
      </c>
      <c r="V34" s="59" t="e">
        <f ca="1">COUNTIFS(INDIRECT(A$7),4,INDIRECT(B$7),1,INDIRECT(#REF!),9)+COUNTIFS(INDIRECT(A$7),3,INDIRECT(B$7),1,INDIRECT(#REF!),9)</f>
        <v>#REF!</v>
      </c>
      <c r="W34" s="60" t="e">
        <f ca="1">COUNTIFS(INDIRECT(A$7),4,INDIRECT(B$7),2,INDIRECT(#REF!),9)+COUNTIFS(INDIRECT(A$7),3,INDIRECT(B$7),2,INDIRECT(#REF!),9)</f>
        <v>#REF!</v>
      </c>
      <c r="X34" s="60" t="e">
        <f ca="1">COUNTIFS(INDIRECT(A$7),1,INDIRECT(B$7),1,INDIRECT(#REF!),9)+COUNTIFS(INDIRECT(A$7),2,INDIRECT(B$7),1,INDIRECT(#REF!),9)</f>
        <v>#REF!</v>
      </c>
      <c r="Y34" s="60" t="e">
        <f ca="1">COUNTIFS(INDIRECT(A$7),1,INDIRECT(B$7),2,INDIRECT(#REF!),9)+COUNTIFS(INDIRECT(A$7),2,INDIRECT(B$7),2,INDIRECT(#REF!),9)</f>
        <v>#REF!</v>
      </c>
      <c r="Z34" s="59" t="e">
        <f ca="1">COUNTIFS(INDIRECT(A$7),1,INDIRECT(B$7),4,INDIRECT(#REF!),9)+COUNTIFS(INDIRECT(A$7),1,INDIRECT(B$7),3,INDIRECT(#REF!),9)</f>
        <v>#REF!</v>
      </c>
      <c r="AA34" s="60" t="e">
        <f ca="1">COUNTIFS(INDIRECT(A$7),1,INDIRECT(B$7),1,INDIRECT(#REF!),9)+COUNTIFS(INDIRECT(A$7),1,INDIRECT(B$7),2,INDIRECT(#REF!),9)</f>
        <v>#REF!</v>
      </c>
      <c r="AB34" s="60" t="e">
        <f ca="1">COUNTIFS(INDIRECT(A$7),2,INDIRECT(B$7),4,INDIRECT(#REF!),9)+COUNTIFS(INDIRECT(A$7),2,INDIRECT(B$7),3,INDIRECT(#REF!),9)</f>
        <v>#REF!</v>
      </c>
      <c r="AC34" s="60" t="e">
        <f ca="1">COUNTIFS(INDIRECT(A$7),2,INDIRECT(B$7),1,INDIRECT(#REF!),9)+COUNTIFS(INDIRECT(A$7),2,INDIRECT(B$7),2,INDIRECT(#REF!),9)</f>
        <v>#REF!</v>
      </c>
    </row>
    <row r="35" spans="1:29" ht="15.95" customHeight="1">
      <c r="A35" s="123"/>
      <c r="B35" s="121"/>
      <c r="C35" s="39" t="s">
        <v>4</v>
      </c>
      <c r="D35" s="152" t="e">
        <f ca="1">D34/$Q34</f>
        <v>#REF!</v>
      </c>
      <c r="E35" s="149"/>
      <c r="F35" s="149"/>
      <c r="G35" s="148" t="e">
        <f ca="1">G34/Q34</f>
        <v>#REF!</v>
      </c>
      <c r="H35" s="148"/>
      <c r="I35" s="148"/>
      <c r="J35" s="149" t="e">
        <f ca="1">J34/Q34</f>
        <v>#REF!</v>
      </c>
      <c r="K35" s="149"/>
      <c r="L35" s="149"/>
      <c r="M35" s="148" t="e">
        <f ca="1">M34/Q34</f>
        <v>#REF!</v>
      </c>
      <c r="N35" s="148"/>
      <c r="O35" s="148"/>
      <c r="P35" s="40" t="e">
        <f ca="1">P34/Q34</f>
        <v>#REF!</v>
      </c>
    </row>
    <row r="36" spans="1:29" ht="15.95" customHeight="1">
      <c r="A36" s="123"/>
      <c r="B36" s="121" t="s">
        <v>41</v>
      </c>
      <c r="C36" s="44" t="s">
        <v>3</v>
      </c>
      <c r="D36" s="150" t="e">
        <f ca="1">IF(AND(A6=4,B6=4),U36,IF(AND(A6=4,B6=2),Y36,IF(AND(A6=2,B6=4),AC36,COUNTIFS(INDIRECT(A$7),1,INDIRECT(B$7),1,INDIRECT(#REF!),10))))</f>
        <v>#REF!</v>
      </c>
      <c r="E36" s="150"/>
      <c r="F36" s="150"/>
      <c r="G36" s="151" t="e">
        <f ca="1">IF(AND(A6=4,B6=4),T36,IF(AND(A6=4,B6=2),X36,IF(AND(A6=2,B6=4),AB36,COUNTIFS(INDIRECT(A$7),1,INDIRECT(B$7),2,INDIRECT(#REF!),10))))</f>
        <v>#REF!</v>
      </c>
      <c r="H36" s="151"/>
      <c r="I36" s="151"/>
      <c r="J36" s="154" t="e">
        <f ca="1">IF(AND(A6=4,B6=4),S36,IF(AND(A6=4,B6=2),W36,IF(AND(A6=2,B6=4),AA36,COUNTIFS(INDIRECT(A$7),2,INDIRECT(B$7),1,INDIRECT(#REF!),10))))</f>
        <v>#REF!</v>
      </c>
      <c r="K36" s="154"/>
      <c r="L36" s="154"/>
      <c r="M36" s="153" t="e">
        <f ca="1">IF(AND(A6=4,B6=4),R36,IF(AND(A6=4,B6=2),V36,IF(AND(A6=2,B6=4),Z36,COUNTIFS(INDIRECT(A$7),2,INDIRECT(B$7),2,INDIRECT(#REF!),10))))</f>
        <v>#REF!</v>
      </c>
      <c r="N36" s="153"/>
      <c r="O36" s="153"/>
      <c r="P36" s="43" t="e">
        <f ca="1">Q36-SUM(D36:O36)</f>
        <v>#REF!</v>
      </c>
      <c r="Q36" s="48" t="e">
        <f>COUNTIF(#REF!,10)</f>
        <v>#REF!</v>
      </c>
      <c r="R36" s="30" t="e">
        <f ca="1">COUNTIFS(INDIRECT(A$7),4,INDIRECT(B$7),4,INDIRECT(#REF!),10)+COUNTIFS(INDIRECT(A$7),4,INDIRECT(B$7),3,INDIRECT(#REF!),10)+COUNTIFS(INDIRECT(A$7),3,INDIRECT(B$7),4,INDIRECT(#REF!),10)+COUNTIFS(INDIRECT(A$7),3,INDIRECT(B$7),3,INDIRECT(#REF!),10)</f>
        <v>#REF!</v>
      </c>
      <c r="S36" s="30" t="e">
        <f ca="1">COUNTIFS(INDIRECT(A$7),4,INDIRECT(B$7),1,INDIRECT(#REF!),10)+COUNTIFS(INDIRECT(A$7),4,INDIRECT(B$7),2,INDIRECT(#REF!),10)+COUNTIFS(INDIRECT(A$7),3,INDIRECT(B$7),1,INDIRECT(#REF!),10)+COUNTIFS(INDIRECT(A$7),3,INDIRECT(B$7),2,INDIRECT(#REF!),10)</f>
        <v>#REF!</v>
      </c>
      <c r="T36" s="30" t="e">
        <f ca="1">COUNTIFS(INDIRECT(A$7),1,INDIRECT(B$7),3,INDIRECT(#REF!),10)+COUNTIFS(INDIRECT(A$7),1,INDIRECT(B$7),4,INDIRECT(#REF!),10)+COUNTIFS(INDIRECT(A$7),2,INDIRECT(B$7),4,INDIRECT(#REF!),10)+COUNTIFS(INDIRECT(A$7),2,INDIRECT(B$7),3,INDIRECT(#REF!),10)</f>
        <v>#REF!</v>
      </c>
      <c r="U36" s="60" t="e">
        <f ca="1">COUNTIFS(INDIRECT(A$7),1,INDIRECT(B$7),1,INDIRECT(#REF!),10)+COUNTIFS(INDIRECT(A$7),1,INDIRECT(B$7),2,INDIRECT(#REF!),10)+COUNTIFS(INDIRECT(A$7),2,INDIRECT(B$7),1,INDIRECT(#REF!),10)+COUNTIFS(INDIRECT(A$7),2,INDIRECT(B$7),2,INDIRECT(#REF!),10)</f>
        <v>#REF!</v>
      </c>
      <c r="V36" s="59" t="e">
        <f ca="1">COUNTIFS(INDIRECT(A$7),4,INDIRECT(B$7),1,INDIRECT(#REF!),10)+COUNTIFS(INDIRECT(A$7),3,INDIRECT(B$7),1,INDIRECT(#REF!),10)</f>
        <v>#REF!</v>
      </c>
      <c r="W36" s="60" t="e">
        <f ca="1">COUNTIFS(INDIRECT(A$7),4,INDIRECT(B$7),2,INDIRECT(#REF!),10)+COUNTIFS(INDIRECT(A$7),3,INDIRECT(B$7),2,INDIRECT(#REF!),10)</f>
        <v>#REF!</v>
      </c>
      <c r="X36" s="60" t="e">
        <f ca="1">COUNTIFS(INDIRECT(A$7),1,INDIRECT(B$7),1,INDIRECT(#REF!),10)+COUNTIFS(INDIRECT(A$7),2,INDIRECT(B$7),1,INDIRECT(#REF!),10)</f>
        <v>#REF!</v>
      </c>
      <c r="Y36" s="60" t="e">
        <f ca="1">COUNTIFS(INDIRECT(A$7),1,INDIRECT(B$7),2,INDIRECT(#REF!),10)+COUNTIFS(INDIRECT(A$7),2,INDIRECT(B$7),2,INDIRECT(#REF!),10)</f>
        <v>#REF!</v>
      </c>
      <c r="Z36" s="59" t="e">
        <f ca="1">COUNTIFS(INDIRECT(A$7),1,INDIRECT(B$7),4,INDIRECT(#REF!),10)+COUNTIFS(INDIRECT(A$7),1,INDIRECT(B$7),3,INDIRECT(#REF!),10)</f>
        <v>#REF!</v>
      </c>
      <c r="AA36" s="60" t="e">
        <f ca="1">COUNTIFS(INDIRECT(A$7),1,INDIRECT(B$7),1,INDIRECT(#REF!),10)+COUNTIFS(INDIRECT(A$7),1,INDIRECT(B$7),2,INDIRECT(#REF!),10)</f>
        <v>#REF!</v>
      </c>
      <c r="AB36" s="60" t="e">
        <f ca="1">COUNTIFS(INDIRECT(A$7),2,INDIRECT(B$7),4,INDIRECT(#REF!),10)+COUNTIFS(INDIRECT(A$7),2,INDIRECT(B$7),3,INDIRECT(#REF!),10)</f>
        <v>#REF!</v>
      </c>
      <c r="AC36" s="60" t="e">
        <f ca="1">COUNTIFS(INDIRECT(A$7),2,INDIRECT(B$7),1,INDIRECT(#REF!),10)+COUNTIFS(INDIRECT(A$7),2,INDIRECT(B$7),2,INDIRECT(#REF!),10)</f>
        <v>#REF!</v>
      </c>
    </row>
    <row r="37" spans="1:29" ht="15.95" customHeight="1">
      <c r="A37" s="123"/>
      <c r="B37" s="121"/>
      <c r="C37" s="39" t="s">
        <v>4</v>
      </c>
      <c r="D37" s="152" t="e">
        <f ca="1">D36/$Q36</f>
        <v>#REF!</v>
      </c>
      <c r="E37" s="149"/>
      <c r="F37" s="149"/>
      <c r="G37" s="148" t="e">
        <f ca="1">G36/Q36</f>
        <v>#REF!</v>
      </c>
      <c r="H37" s="148"/>
      <c r="I37" s="148"/>
      <c r="J37" s="149" t="e">
        <f ca="1">J36/Q36</f>
        <v>#REF!</v>
      </c>
      <c r="K37" s="149"/>
      <c r="L37" s="149"/>
      <c r="M37" s="148" t="e">
        <f ca="1">M36/Q36</f>
        <v>#REF!</v>
      </c>
      <c r="N37" s="148"/>
      <c r="O37" s="148"/>
      <c r="P37" s="40" t="e">
        <f ca="1">P36/Q36</f>
        <v>#REF!</v>
      </c>
    </row>
    <row r="38" spans="1:29" ht="15.95" customHeight="1">
      <c r="A38" s="123"/>
      <c r="B38" s="121" t="s">
        <v>42</v>
      </c>
      <c r="C38" s="44" t="s">
        <v>3</v>
      </c>
      <c r="D38" s="150" t="e">
        <f ca="1">IF(AND(A6=4,B6=4),U38,IF(AND(A6=4,B6=2),Y38,IF(AND(A6=2,B6=4),AC38,COUNTIFS(INDIRECT(A$7),1,INDIRECT(B$7),1,INDIRECT(#REF!),11))))</f>
        <v>#REF!</v>
      </c>
      <c r="E38" s="150"/>
      <c r="F38" s="150"/>
      <c r="G38" s="151" t="e">
        <f ca="1">IF(AND(A6=4,B6=4),T38,IF(AND(A6=4,B6=2),X38,IF(AND(A6=2,B6=4),AB38,COUNTIFS(INDIRECT(A$7),1,INDIRECT(B$7),2,INDIRECT(#REF!),11))))</f>
        <v>#REF!</v>
      </c>
      <c r="H38" s="151"/>
      <c r="I38" s="151"/>
      <c r="J38" s="154" t="e">
        <f ca="1">IF(AND(A6=4,B6=4),S38,IF(AND(A6=4,B6=2),W38,IF(AND(A6=2,B6=4),AA38,COUNTIFS(INDIRECT(A$7),2,INDIRECT(B$7),1,INDIRECT(#REF!),11))))</f>
        <v>#REF!</v>
      </c>
      <c r="K38" s="154"/>
      <c r="L38" s="154"/>
      <c r="M38" s="153" t="e">
        <f ca="1">IF(AND(A6=4,B6=4),R38,IF(AND(A6=4,B6=2),V38,IF(AND(A6=2,B6=4),Z38,COUNTIFS(INDIRECT(A$7),2,INDIRECT(B$7),2,INDIRECT(#REF!),11))))</f>
        <v>#REF!</v>
      </c>
      <c r="N38" s="153"/>
      <c r="O38" s="153"/>
      <c r="P38" s="43" t="e">
        <f ca="1">Q38-SUM(D38:O38)</f>
        <v>#REF!</v>
      </c>
      <c r="Q38" s="48" t="e">
        <f>COUNTIF(#REF!,11)</f>
        <v>#REF!</v>
      </c>
      <c r="R38" s="30" t="e">
        <f ca="1">COUNTIFS(INDIRECT(A$7),4,INDIRECT(B$7),4,INDIRECT(#REF!),11)+COUNTIFS(INDIRECT(A$7),4,INDIRECT(B$7),3,INDIRECT(#REF!),11)+COUNTIFS(INDIRECT(A$7),3,INDIRECT(B$7),4,INDIRECT(#REF!),11)+COUNTIFS(INDIRECT(A$7),3,INDIRECT(B$7),3,INDIRECT(#REF!),11)</f>
        <v>#REF!</v>
      </c>
      <c r="S38" s="30" t="e">
        <f ca="1">COUNTIFS(INDIRECT(A$7),4,INDIRECT(B$7),1,INDIRECT(#REF!),11)+COUNTIFS(INDIRECT(A$7),4,INDIRECT(B$7),2,INDIRECT(#REF!),11)+COUNTIFS(INDIRECT(A$7),3,INDIRECT(B$7),1,INDIRECT(#REF!),11)+COUNTIFS(INDIRECT(A$7),3,INDIRECT(B$7),2,INDIRECT(#REF!),11)</f>
        <v>#REF!</v>
      </c>
      <c r="T38" s="30" t="e">
        <f ca="1">COUNTIFS(INDIRECT(A$7),1,INDIRECT(B$7),3,INDIRECT(#REF!),11)+COUNTIFS(INDIRECT(A$7),1,INDIRECT(B$7),4,INDIRECT(#REF!),11)+COUNTIFS(INDIRECT(A$7),2,INDIRECT(B$7),4,INDIRECT(#REF!),11)+COUNTIFS(INDIRECT(A$7),2,INDIRECT(B$7),3,INDIRECT(#REF!),11)</f>
        <v>#REF!</v>
      </c>
      <c r="U38" s="60" t="e">
        <f ca="1">COUNTIFS(INDIRECT(A$7),1,INDIRECT(B$7),1,INDIRECT(#REF!),11)+COUNTIFS(INDIRECT(A$7),1,INDIRECT(B$7),2,INDIRECT(#REF!),11)+COUNTIFS(INDIRECT(A$7),2,INDIRECT(B$7),1,INDIRECT(#REF!),11)+COUNTIFS(INDIRECT(A$7),2,INDIRECT(B$7),2,INDIRECT(#REF!),11)</f>
        <v>#REF!</v>
      </c>
      <c r="V38" s="59" t="e">
        <f ca="1">COUNTIFS(INDIRECT(A$7),4,INDIRECT(B$7),1,INDIRECT(#REF!),11)+COUNTIFS(INDIRECT(A$7),3,INDIRECT(B$7),1,INDIRECT(#REF!),11)</f>
        <v>#REF!</v>
      </c>
      <c r="W38" s="60" t="e">
        <f ca="1">COUNTIFS(INDIRECT(A$7),4,INDIRECT(B$7),2,INDIRECT(#REF!),11)+COUNTIFS(INDIRECT(A$7),3,INDIRECT(B$7),2,INDIRECT(#REF!),11)</f>
        <v>#REF!</v>
      </c>
      <c r="X38" s="60" t="e">
        <f ca="1">COUNTIFS(INDIRECT(A$7),1,INDIRECT(B$7),1,INDIRECT(#REF!),11)+COUNTIFS(INDIRECT(A$7),2,INDIRECT(B$7),1,INDIRECT(#REF!),11)</f>
        <v>#REF!</v>
      </c>
      <c r="Y38" s="60" t="e">
        <f ca="1">COUNTIFS(INDIRECT(A$7),1,INDIRECT(B$7),2,INDIRECT(#REF!),11)+COUNTIFS(INDIRECT(A$7),2,INDIRECT(B$7),2,INDIRECT(#REF!),11)</f>
        <v>#REF!</v>
      </c>
      <c r="Z38" s="59" t="e">
        <f ca="1">COUNTIFS(INDIRECT(A$7),1,INDIRECT(B$7),4,INDIRECT(#REF!),11)+COUNTIFS(INDIRECT(A$7),1,INDIRECT(B$7),3,INDIRECT(#REF!),11)</f>
        <v>#REF!</v>
      </c>
      <c r="AA38" s="60" t="e">
        <f ca="1">COUNTIFS(INDIRECT(A$7),1,INDIRECT(B$7),1,INDIRECT(#REF!),11)+COUNTIFS(INDIRECT(A$7),1,INDIRECT(B$7),2,INDIRECT(#REF!),11)</f>
        <v>#REF!</v>
      </c>
      <c r="AB38" s="60" t="e">
        <f ca="1">COUNTIFS(INDIRECT(A$7),2,INDIRECT(B$7),4,INDIRECT(#REF!),11)+COUNTIFS(INDIRECT(A$7),2,INDIRECT(B$7),3,INDIRECT(#REF!),11)</f>
        <v>#REF!</v>
      </c>
      <c r="AC38" s="60" t="e">
        <f ca="1">COUNTIFS(INDIRECT(A$7),2,INDIRECT(B$7),1,INDIRECT(#REF!),11)+COUNTIFS(INDIRECT(A$7),2,INDIRECT(B$7),2,INDIRECT(#REF!),11)</f>
        <v>#REF!</v>
      </c>
    </row>
    <row r="39" spans="1:29" ht="15.95" customHeight="1">
      <c r="A39" s="123"/>
      <c r="B39" s="121"/>
      <c r="C39" s="39" t="s">
        <v>4</v>
      </c>
      <c r="D39" s="152" t="e">
        <f ca="1">D38/$Q38</f>
        <v>#REF!</v>
      </c>
      <c r="E39" s="149"/>
      <c r="F39" s="149"/>
      <c r="G39" s="155" t="e">
        <f ca="1">G38/Q38</f>
        <v>#REF!</v>
      </c>
      <c r="H39" s="155"/>
      <c r="I39" s="155"/>
      <c r="J39" s="149" t="e">
        <f ca="1">J38/Q38</f>
        <v>#REF!</v>
      </c>
      <c r="K39" s="149"/>
      <c r="L39" s="149"/>
      <c r="M39" s="148" t="e">
        <f ca="1">M38/Q38</f>
        <v>#REF!</v>
      </c>
      <c r="N39" s="148"/>
      <c r="O39" s="148"/>
      <c r="P39" s="40" t="e">
        <f ca="1">P38/Q38</f>
        <v>#REF!</v>
      </c>
    </row>
    <row r="40" spans="1:29" ht="15.95" customHeight="1">
      <c r="A40" s="123"/>
      <c r="B40" s="121" t="s">
        <v>43</v>
      </c>
      <c r="C40" s="41" t="s">
        <v>3</v>
      </c>
      <c r="D40" s="150" t="e">
        <f ca="1">IF(AND(A6=4,B6=4),U40,IF(AND(A6=4,B6=2),Y40,IF(AND(A6=2,B6=4),AC40,COUNTIFS(INDIRECT(A$7),1,INDIRECT(B$7),1,INDIRECT(#REF!),12))))</f>
        <v>#REF!</v>
      </c>
      <c r="E40" s="150"/>
      <c r="F40" s="150"/>
      <c r="G40" s="151" t="e">
        <f ca="1">IF(AND(A6=4,B6=4),T40,IF(AND(A6=4,B6=2),X40,IF(AND(A6=2,B6=4),AB40,COUNTIFS(INDIRECT(A$7),1,INDIRECT(B$7),2,INDIRECT(#REF!),12))))</f>
        <v>#REF!</v>
      </c>
      <c r="H40" s="151"/>
      <c r="I40" s="151"/>
      <c r="J40" s="150" t="e">
        <f ca="1">IF(AND(A6=4,B6=4),S40,IF(AND(A6=4,B6=2),W40,IF(AND(A6=2,B6=4),AA40,COUNTIFS(INDIRECT(A$7),2,INDIRECT(B$7),1,INDIRECT(#REF!),12))))</f>
        <v>#REF!</v>
      </c>
      <c r="K40" s="150"/>
      <c r="L40" s="150"/>
      <c r="M40" s="153" t="e">
        <f ca="1">IF(AND(A6=4,B6=4),R40,IF(AND(A6=4,B6=2),V40,IF(AND(A6=2,B6=4),Z40,COUNTIFS(INDIRECT(A$7),2,INDIRECT(B$7),2,INDIRECT(#REF!),12))))</f>
        <v>#REF!</v>
      </c>
      <c r="N40" s="153"/>
      <c r="O40" s="153"/>
      <c r="P40" s="43" t="e">
        <f ca="1">Q40-SUM(D40:O40)</f>
        <v>#REF!</v>
      </c>
      <c r="Q40" s="48" t="e">
        <f>COUNTIF(#REF!,12)</f>
        <v>#REF!</v>
      </c>
      <c r="R40" s="30" t="e">
        <f ca="1">COUNTIFS(INDIRECT(A$7),4,INDIRECT(B$7),4,INDIRECT(#REF!),12)+COUNTIFS(INDIRECT(A$7),4,INDIRECT(B$7),3,INDIRECT(#REF!),12)+COUNTIFS(INDIRECT(A$7),3,INDIRECT(B$7),4,INDIRECT(#REF!),12)+COUNTIFS(INDIRECT(A$7),3,INDIRECT(B$7),3,INDIRECT(#REF!),12)</f>
        <v>#REF!</v>
      </c>
      <c r="S40" s="30" t="e">
        <f ca="1">COUNTIFS(INDIRECT(A$7),4,INDIRECT(B$7),1,INDIRECT(#REF!),12)+COUNTIFS(INDIRECT(A$7),4,INDIRECT(B$7),2,INDIRECT(#REF!),12)+COUNTIFS(INDIRECT(A$7),3,INDIRECT(B$7),1,INDIRECT(#REF!),12)+COUNTIFS(INDIRECT(A$7),3,INDIRECT(B$7),2,INDIRECT(#REF!),12)</f>
        <v>#REF!</v>
      </c>
      <c r="T40" s="30" t="e">
        <f ca="1">COUNTIFS(INDIRECT(A$7),1,INDIRECT(B$7),3,INDIRECT(#REF!),12)+COUNTIFS(INDIRECT(A$7),1,INDIRECT(B$7),4,INDIRECT(#REF!),12)+COUNTIFS(INDIRECT(A$7),2,INDIRECT(B$7),4,INDIRECT(#REF!),12)+COUNTIFS(INDIRECT(A$7),2,INDIRECT(B$7),3,INDIRECT(#REF!),12)</f>
        <v>#REF!</v>
      </c>
      <c r="U40" s="60" t="e">
        <f ca="1">COUNTIFS(INDIRECT(A$7),1,INDIRECT(B$7),1,INDIRECT(#REF!),12)+COUNTIFS(INDIRECT(A$7),1,INDIRECT(B$7),2,INDIRECT(#REF!),12)+COUNTIFS(INDIRECT(A$7),2,INDIRECT(B$7),1,INDIRECT(#REF!),12)+COUNTIFS(INDIRECT(A$7),2,INDIRECT(B$7),2,INDIRECT(#REF!),12)</f>
        <v>#REF!</v>
      </c>
      <c r="V40" s="59" t="e">
        <f ca="1">COUNTIFS(INDIRECT(A$7),4,INDIRECT(B$7),1,INDIRECT(#REF!),12)+COUNTIFS(INDIRECT(A$7),3,INDIRECT(B$7),1,INDIRECT(#REF!),12)</f>
        <v>#REF!</v>
      </c>
      <c r="W40" s="60" t="e">
        <f ca="1">COUNTIFS(INDIRECT(A$7),4,INDIRECT(B$7),2,INDIRECT(#REF!),12)+COUNTIFS(INDIRECT(A$7),3,INDIRECT(B$7),2,INDIRECT(#REF!),12)</f>
        <v>#REF!</v>
      </c>
      <c r="X40" s="60" t="e">
        <f ca="1">COUNTIFS(INDIRECT(A$7),1,INDIRECT(B$7),1,INDIRECT(#REF!),12)+COUNTIFS(INDIRECT(A$7),2,INDIRECT(B$7),1,INDIRECT(#REF!),12)</f>
        <v>#REF!</v>
      </c>
      <c r="Y40" s="60" t="e">
        <f ca="1">COUNTIFS(INDIRECT(A$7),1,INDIRECT(B$7),2,INDIRECT(#REF!),12)+COUNTIFS(INDIRECT(A$7),2,INDIRECT(B$7),2,INDIRECT(#REF!),12)</f>
        <v>#REF!</v>
      </c>
      <c r="Z40" s="59" t="e">
        <f ca="1">COUNTIFS(INDIRECT(A$7),1,INDIRECT(B$7),4,INDIRECT(#REF!),12)+COUNTIFS(INDIRECT(A$7),1,INDIRECT(B$7),3,INDIRECT(#REF!),12)</f>
        <v>#REF!</v>
      </c>
      <c r="AA40" s="60" t="e">
        <f ca="1">COUNTIFS(INDIRECT(A$7),1,INDIRECT(B$7),1,INDIRECT(#REF!),12)+COUNTIFS(INDIRECT(A$7),1,INDIRECT(B$7),2,INDIRECT(#REF!),12)</f>
        <v>#REF!</v>
      </c>
      <c r="AB40" s="60" t="e">
        <f ca="1">COUNTIFS(INDIRECT(A$7),2,INDIRECT(B$7),4,INDIRECT(#REF!),12)+COUNTIFS(INDIRECT(A$7),2,INDIRECT(B$7),3,INDIRECT(#REF!),12)</f>
        <v>#REF!</v>
      </c>
      <c r="AC40" s="60" t="e">
        <f ca="1">COUNTIFS(INDIRECT(A$7),2,INDIRECT(B$7),1,INDIRECT(#REF!),12)+COUNTIFS(INDIRECT(A$7),2,INDIRECT(B$7),2,INDIRECT(#REF!),12)</f>
        <v>#REF!</v>
      </c>
    </row>
    <row r="41" spans="1:29" ht="15.95" customHeight="1">
      <c r="A41" s="123"/>
      <c r="B41" s="121"/>
      <c r="C41" s="39" t="s">
        <v>4</v>
      </c>
      <c r="D41" s="152" t="e">
        <f ca="1">D40/$Q40</f>
        <v>#REF!</v>
      </c>
      <c r="E41" s="149"/>
      <c r="F41" s="149"/>
      <c r="G41" s="148" t="e">
        <f ca="1">G40/Q40</f>
        <v>#REF!</v>
      </c>
      <c r="H41" s="148"/>
      <c r="I41" s="148"/>
      <c r="J41" s="149" t="e">
        <f ca="1">J40/Q40</f>
        <v>#REF!</v>
      </c>
      <c r="K41" s="149"/>
      <c r="L41" s="149"/>
      <c r="M41" s="148" t="e">
        <f ca="1">M40/Q40</f>
        <v>#REF!</v>
      </c>
      <c r="N41" s="148"/>
      <c r="O41" s="148"/>
      <c r="P41" s="40" t="e">
        <f ca="1">P40/Q40</f>
        <v>#REF!</v>
      </c>
    </row>
    <row r="42" spans="1:29" ht="15.95" customHeight="1">
      <c r="A42" s="123"/>
      <c r="B42" s="121" t="s">
        <v>44</v>
      </c>
      <c r="C42" s="44" t="s">
        <v>3</v>
      </c>
      <c r="D42" s="150" t="e">
        <f ca="1">IF(AND(A6=4,B6=4),U42,IF(AND(A6=4,B6=2),Y42,IF(AND(A6=2,B6=4),AC42,COUNTIFS(INDIRECT(A$7),1,INDIRECT(B$7),1,INDIRECT(#REF!),13))))</f>
        <v>#REF!</v>
      </c>
      <c r="E42" s="150"/>
      <c r="F42" s="150"/>
      <c r="G42" s="151" t="e">
        <f ca="1">IF(AND(A6=4,B6=4),T42,IF(AND(A6=4,B6=2),X42,IF(AND(A6=2,B6=4),AB42,COUNTIFS(INDIRECT(A$7),1,INDIRECT(B$7),2,INDIRECT(#REF!),13))))</f>
        <v>#REF!</v>
      </c>
      <c r="H42" s="151"/>
      <c r="I42" s="151"/>
      <c r="J42" s="154" t="e">
        <f ca="1">IF(AND(A6=4,B6=4),S42,IF(AND(A6=4,B6=2),W42,IF(AND(A6=2,B6=4),AA42,COUNTIFS(INDIRECT(A$7),2,INDIRECT(B$7),1,INDIRECT(#REF!),13))))</f>
        <v>#REF!</v>
      </c>
      <c r="K42" s="154"/>
      <c r="L42" s="154"/>
      <c r="M42" s="153" t="e">
        <f ca="1">IF(AND(A6=4,B6=4),R42,IF(AND(A6=4,B6=2),V42,IF(AND(A6=2,B6=4),Z42,COUNTIFS(INDIRECT(A$7),2,INDIRECT(B$7),2,INDIRECT(#REF!),13))))</f>
        <v>#REF!</v>
      </c>
      <c r="N42" s="153"/>
      <c r="O42" s="153"/>
      <c r="P42" s="43" t="e">
        <f ca="1">Q42-SUM(D42:O42)</f>
        <v>#REF!</v>
      </c>
      <c r="Q42" s="48" t="e">
        <f>COUNTIF(#REF!,13)</f>
        <v>#REF!</v>
      </c>
      <c r="R42" s="30" t="e">
        <f ca="1">COUNTIFS(INDIRECT(A$7),4,INDIRECT(B$7),4,INDIRECT(#REF!),13)+COUNTIFS(INDIRECT(A$7),4,INDIRECT(B$7),3,INDIRECT(#REF!),13)+COUNTIFS(INDIRECT(A$7),3,INDIRECT(B$7),4,INDIRECT(#REF!),13)+COUNTIFS(INDIRECT(A$7),3,INDIRECT(B$7),3,INDIRECT(#REF!),13)</f>
        <v>#REF!</v>
      </c>
      <c r="S42" s="30" t="e">
        <f ca="1">COUNTIFS(INDIRECT(A$7),4,INDIRECT(B$7),1,INDIRECT(#REF!),13)+COUNTIFS(INDIRECT(A$7),4,INDIRECT(B$7),2,INDIRECT(#REF!),13)+COUNTIFS(INDIRECT(A$7),3,INDIRECT(B$7),1,INDIRECT(#REF!),13)+COUNTIFS(INDIRECT(A$7),3,INDIRECT(B$7),2,INDIRECT(#REF!),13)</f>
        <v>#REF!</v>
      </c>
      <c r="T42" s="30" t="e">
        <f ca="1">COUNTIFS(INDIRECT(A$7),1,INDIRECT(B$7),3,INDIRECT(#REF!),13)+COUNTIFS(INDIRECT(A$7),1,INDIRECT(B$7),4,INDIRECT(#REF!),13)+COUNTIFS(INDIRECT(A$7),2,INDIRECT(B$7),4,INDIRECT(#REF!),13)+COUNTIFS(INDIRECT(A$7),2,INDIRECT(B$7),3,INDIRECT(#REF!),13)</f>
        <v>#REF!</v>
      </c>
      <c r="U42" s="60" t="e">
        <f ca="1">COUNTIFS(INDIRECT(A$7),1,INDIRECT(B$7),1,INDIRECT(#REF!),13)+COUNTIFS(INDIRECT(A$7),1,INDIRECT(B$7),2,INDIRECT(#REF!),13)+COUNTIFS(INDIRECT(A$7),2,INDIRECT(B$7),1,INDIRECT(#REF!),13)+COUNTIFS(INDIRECT(A$7),2,INDIRECT(B$7),2,INDIRECT(#REF!),13)</f>
        <v>#REF!</v>
      </c>
      <c r="V42" s="59" t="e">
        <f ca="1">COUNTIFS(INDIRECT(A$7),4,INDIRECT(B$7),1,INDIRECT(#REF!),13)+COUNTIFS(INDIRECT(A$7),3,INDIRECT(B$7),1,INDIRECT(#REF!),13)</f>
        <v>#REF!</v>
      </c>
      <c r="W42" s="60" t="e">
        <f ca="1">COUNTIFS(INDIRECT(A$7),4,INDIRECT(B$7),2,INDIRECT(#REF!),13)+COUNTIFS(INDIRECT(A$7),3,INDIRECT(B$7),2,INDIRECT(#REF!),13)</f>
        <v>#REF!</v>
      </c>
      <c r="X42" s="60" t="e">
        <f ca="1">COUNTIFS(INDIRECT(A$7),1,INDIRECT(B$7),1,INDIRECT(#REF!),13)+COUNTIFS(INDIRECT(A$7),2,INDIRECT(B$7),1,INDIRECT(#REF!),13)</f>
        <v>#REF!</v>
      </c>
      <c r="Y42" s="60" t="e">
        <f ca="1">COUNTIFS(INDIRECT(A$7),1,INDIRECT(B$7),2,INDIRECT(#REF!),13)+COUNTIFS(INDIRECT(A$7),2,INDIRECT(B$7),2,INDIRECT(#REF!),13)</f>
        <v>#REF!</v>
      </c>
      <c r="Z42" s="59" t="e">
        <f ca="1">COUNTIFS(INDIRECT(A$7),1,INDIRECT(B$7),4,INDIRECT(#REF!),13)+COUNTIFS(INDIRECT(A$7),1,INDIRECT(B$7),3,INDIRECT(#REF!),13)</f>
        <v>#REF!</v>
      </c>
      <c r="AA42" s="60" t="e">
        <f ca="1">COUNTIFS(INDIRECT(A$7),1,INDIRECT(B$7),1,INDIRECT(#REF!),13)+COUNTIFS(INDIRECT(A$7),1,INDIRECT(B$7),2,INDIRECT(#REF!),13)</f>
        <v>#REF!</v>
      </c>
      <c r="AB42" s="60" t="e">
        <f ca="1">COUNTIFS(INDIRECT(A$7),2,INDIRECT(B$7),4,INDIRECT(#REF!),13)+COUNTIFS(INDIRECT(A$7),2,INDIRECT(B$7),3,INDIRECT(#REF!),13)</f>
        <v>#REF!</v>
      </c>
      <c r="AC42" s="60" t="e">
        <f ca="1">COUNTIFS(INDIRECT(A$7),2,INDIRECT(B$7),1,INDIRECT(#REF!),13)+COUNTIFS(INDIRECT(A$7),2,INDIRECT(B$7),2,INDIRECT(#REF!),13)</f>
        <v>#REF!</v>
      </c>
    </row>
    <row r="43" spans="1:29" ht="15.95" customHeight="1">
      <c r="A43" s="123"/>
      <c r="B43" s="121"/>
      <c r="C43" s="39" t="s">
        <v>4</v>
      </c>
      <c r="D43" s="152" t="e">
        <f ca="1">D42/$Q42</f>
        <v>#REF!</v>
      </c>
      <c r="E43" s="149"/>
      <c r="F43" s="149"/>
      <c r="G43" s="148" t="e">
        <f ca="1">G42/Q42</f>
        <v>#REF!</v>
      </c>
      <c r="H43" s="148"/>
      <c r="I43" s="148"/>
      <c r="J43" s="149" t="e">
        <f ca="1">J42/Q42</f>
        <v>#REF!</v>
      </c>
      <c r="K43" s="149"/>
      <c r="L43" s="149"/>
      <c r="M43" s="148" t="e">
        <f ca="1">M42/Q42</f>
        <v>#REF!</v>
      </c>
      <c r="N43" s="148"/>
      <c r="O43" s="148"/>
      <c r="P43" s="40" t="e">
        <f ca="1">P42/Q42</f>
        <v>#REF!</v>
      </c>
    </row>
    <row r="44" spans="1:29" ht="15.95" customHeight="1">
      <c r="A44" s="123"/>
      <c r="B44" s="121" t="s">
        <v>45</v>
      </c>
      <c r="C44" s="44" t="s">
        <v>3</v>
      </c>
      <c r="D44" s="150" t="e">
        <f ca="1">IF(AND(A6=4,B6=4),U44,IF(AND(A6=4,B6=2),Y44,IF(AND(A6=2,B6=4),AC44,COUNTIFS(INDIRECT(A$7),1,INDIRECT(B$7),1,INDIRECT(#REF!),14))))</f>
        <v>#REF!</v>
      </c>
      <c r="E44" s="150"/>
      <c r="F44" s="150"/>
      <c r="G44" s="151" t="e">
        <f ca="1">IF(AND(A6=4,B6=4),T44,IF(AND(A6=4,B6=2),X44,IF(AND(A6=2,B6=4),AB44,COUNTIFS(INDIRECT(A$7),1,INDIRECT(B$7),2,INDIRECT(#REF!),14))))</f>
        <v>#REF!</v>
      </c>
      <c r="H44" s="151"/>
      <c r="I44" s="151"/>
      <c r="J44" s="154" t="e">
        <f ca="1">IF(AND(A6=4,B6=4),S44,IF(AND(A6=4,B6=2),W44,IF(AND(A6=2,B6=4),AA44,COUNTIFS(INDIRECT(A$7),2,INDIRECT(B$7),1,INDIRECT(#REF!),14))))</f>
        <v>#REF!</v>
      </c>
      <c r="K44" s="154"/>
      <c r="L44" s="154"/>
      <c r="M44" s="153" t="e">
        <f ca="1">IF(AND(A6=4,B6=4),R44,IF(AND(A6=4,B6=2),V44,IF(AND(A6=2,B6=4),Z44,COUNTIFS(INDIRECT(A$7),2,INDIRECT(B$7),2,INDIRECT(#REF!),14))))</f>
        <v>#REF!</v>
      </c>
      <c r="N44" s="153"/>
      <c r="O44" s="153"/>
      <c r="P44" s="43" t="e">
        <f ca="1">Q44-SUM(D44:O44)</f>
        <v>#REF!</v>
      </c>
      <c r="Q44" s="48" t="e">
        <f>COUNTIF(#REF!,14)</f>
        <v>#REF!</v>
      </c>
      <c r="R44" s="30" t="e">
        <f ca="1">COUNTIFS(INDIRECT(A$7),4,INDIRECT(B$7),4,INDIRECT(#REF!),14)+COUNTIFS(INDIRECT(A$7),4,INDIRECT(B$7),3,INDIRECT(#REF!),14)+COUNTIFS(INDIRECT(A$7),3,INDIRECT(B$7),4,INDIRECT(#REF!),14)+COUNTIFS(INDIRECT(A$7),3,INDIRECT(B$7),3,INDIRECT(#REF!),14)</f>
        <v>#REF!</v>
      </c>
      <c r="S44" s="30" t="e">
        <f ca="1">COUNTIFS(INDIRECT(A$7),4,INDIRECT(B$7),1,INDIRECT(#REF!),14)+COUNTIFS(INDIRECT(A$7),4,INDIRECT(B$7),2,INDIRECT(#REF!),14)+COUNTIFS(INDIRECT(A$7),3,INDIRECT(B$7),1,INDIRECT(#REF!),14)+COUNTIFS(INDIRECT(A$7),3,INDIRECT(B$7),2,INDIRECT(#REF!),14)</f>
        <v>#REF!</v>
      </c>
      <c r="T44" s="30" t="e">
        <f ca="1">COUNTIFS(INDIRECT(A$7),1,INDIRECT(B$7),3,INDIRECT(#REF!),14)+COUNTIFS(INDIRECT(A$7),1,INDIRECT(B$7),4,INDIRECT(#REF!),14)+COUNTIFS(INDIRECT(A$7),2,INDIRECT(B$7),4,INDIRECT(#REF!),14)+COUNTIFS(INDIRECT(A$7),2,INDIRECT(B$7),3,INDIRECT(#REF!),14)</f>
        <v>#REF!</v>
      </c>
      <c r="U44" s="60" t="e">
        <f ca="1">COUNTIFS(INDIRECT(A$7),1,INDIRECT(B$7),1,INDIRECT(#REF!),14)+COUNTIFS(INDIRECT(A$7),1,INDIRECT(B$7),2,INDIRECT(#REF!),14)+COUNTIFS(INDIRECT(A$7),2,INDIRECT(B$7),1,INDIRECT(#REF!),14)+COUNTIFS(INDIRECT(A$7),2,INDIRECT(B$7),2,INDIRECT(#REF!),14)</f>
        <v>#REF!</v>
      </c>
      <c r="V44" s="59" t="e">
        <f ca="1">COUNTIFS(INDIRECT(A$7),4,INDIRECT(B$7),1,INDIRECT(#REF!),14)+COUNTIFS(INDIRECT(A$7),3,INDIRECT(B$7),1,INDIRECT(#REF!),14)</f>
        <v>#REF!</v>
      </c>
      <c r="W44" s="60" t="e">
        <f ca="1">COUNTIFS(INDIRECT(A$7),4,INDIRECT(B$7),2,INDIRECT(#REF!),14)+COUNTIFS(INDIRECT(A$7),3,INDIRECT(B$7),2,INDIRECT(#REF!),14)</f>
        <v>#REF!</v>
      </c>
      <c r="X44" s="60" t="e">
        <f ca="1">COUNTIFS(INDIRECT(A$7),1,INDIRECT(B$7),1,INDIRECT(#REF!),14)+COUNTIFS(INDIRECT(A$7),2,INDIRECT(B$7),1,INDIRECT(#REF!),14)</f>
        <v>#REF!</v>
      </c>
      <c r="Y44" s="60" t="e">
        <f ca="1">COUNTIFS(INDIRECT(A$7),1,INDIRECT(B$7),2,INDIRECT(#REF!),14)+COUNTIFS(INDIRECT(A$7),2,INDIRECT(B$7),2,INDIRECT(#REF!),14)</f>
        <v>#REF!</v>
      </c>
      <c r="Z44" s="59" t="e">
        <f ca="1">COUNTIFS(INDIRECT(A$7),1,INDIRECT(B$7),4,INDIRECT(#REF!),14)+COUNTIFS(INDIRECT(A$7),1,INDIRECT(B$7),3,INDIRECT(#REF!),14)</f>
        <v>#REF!</v>
      </c>
      <c r="AA44" s="60" t="e">
        <f ca="1">COUNTIFS(INDIRECT(A$7),1,INDIRECT(B$7),1,INDIRECT(#REF!),14)+COUNTIFS(INDIRECT(A$7),1,INDIRECT(B$7),2,INDIRECT(#REF!),14)</f>
        <v>#REF!</v>
      </c>
      <c r="AB44" s="60" t="e">
        <f ca="1">COUNTIFS(INDIRECT(A$7),2,INDIRECT(B$7),4,INDIRECT(#REF!),14)+COUNTIFS(INDIRECT(A$7),2,INDIRECT(B$7),3,INDIRECT(#REF!),14)</f>
        <v>#REF!</v>
      </c>
      <c r="AC44" s="60" t="e">
        <f ca="1">COUNTIFS(INDIRECT(A$7),2,INDIRECT(B$7),1,INDIRECT(#REF!),14)+COUNTIFS(INDIRECT(A$7),2,INDIRECT(B$7),2,INDIRECT(#REF!),14)</f>
        <v>#REF!</v>
      </c>
    </row>
    <row r="45" spans="1:29" ht="15.95" customHeight="1">
      <c r="A45" s="123"/>
      <c r="B45" s="121"/>
      <c r="C45" s="39" t="s">
        <v>4</v>
      </c>
      <c r="D45" s="152" t="e">
        <f ca="1">D44/$Q44</f>
        <v>#REF!</v>
      </c>
      <c r="E45" s="149"/>
      <c r="F45" s="149"/>
      <c r="G45" s="148" t="e">
        <f ca="1">G44/Q44</f>
        <v>#REF!</v>
      </c>
      <c r="H45" s="148"/>
      <c r="I45" s="148"/>
      <c r="J45" s="149" t="e">
        <f ca="1">J44/Q44</f>
        <v>#REF!</v>
      </c>
      <c r="K45" s="149"/>
      <c r="L45" s="149"/>
      <c r="M45" s="148" t="e">
        <f ca="1">M44/Q44</f>
        <v>#REF!</v>
      </c>
      <c r="N45" s="148"/>
      <c r="O45" s="148"/>
      <c r="P45" s="40" t="e">
        <f ca="1">P44/Q44</f>
        <v>#REF!</v>
      </c>
    </row>
    <row r="46" spans="1:29" ht="15.95" customHeight="1">
      <c r="A46" s="123"/>
      <c r="B46" s="121" t="s">
        <v>46</v>
      </c>
      <c r="C46" s="44" t="s">
        <v>3</v>
      </c>
      <c r="D46" s="150" t="e">
        <f ca="1">IF(AND(A6=4,B6=4),U46,IF(AND(A6=4,B6=2),Y46,IF(AND(A6=2,B6=4),AC46,COUNTIFS(INDIRECT(A$7),1,INDIRECT(B$7),1,INDIRECT(#REF!),15))))</f>
        <v>#REF!</v>
      </c>
      <c r="E46" s="150"/>
      <c r="F46" s="150"/>
      <c r="G46" s="151" t="e">
        <f ca="1">IF(AND(A6=4,B6=4),T46,IF(AND(A6=4,B6=2),X46,IF(AND(A6=2,B6=4),AB46,COUNTIFS(INDIRECT(A$7),1,INDIRECT(B$7),2,INDIRECT(#REF!),15))))</f>
        <v>#REF!</v>
      </c>
      <c r="H46" s="151"/>
      <c r="I46" s="151"/>
      <c r="J46" s="154" t="e">
        <f ca="1">IF(AND(A6=4,B6=4),S46,IF(AND(A6=4,B6=2),W46,IF(AND(A6=2,B6=4),AA46,COUNTIFS(INDIRECT(A$7),2,INDIRECT(B$7),1,INDIRECT(#REF!),15))))</f>
        <v>#REF!</v>
      </c>
      <c r="K46" s="154"/>
      <c r="L46" s="154"/>
      <c r="M46" s="153" t="e">
        <f ca="1">IF(AND(A6=4,B6=4),R46,IF(AND(A6=4,B6=2),V46,IF(AND(A6=2,B6=4),Z46,COUNTIFS(INDIRECT(A$7),2,INDIRECT(B$7),2,INDIRECT(#REF!),15))))</f>
        <v>#REF!</v>
      </c>
      <c r="N46" s="153"/>
      <c r="O46" s="153"/>
      <c r="P46" s="43" t="e">
        <f ca="1">Q46-SUM(D46:O46)</f>
        <v>#REF!</v>
      </c>
      <c r="Q46" s="48" t="e">
        <f>COUNTIF(#REF!,15)</f>
        <v>#REF!</v>
      </c>
      <c r="R46" s="30" t="e">
        <f ca="1">COUNTIFS(INDIRECT(A$7),4,INDIRECT(B$7),4,INDIRECT(#REF!),15)+COUNTIFS(INDIRECT(A$7),4,INDIRECT(B$7),3,INDIRECT(#REF!),15)+COUNTIFS(INDIRECT(A$7),3,INDIRECT(B$7),4,INDIRECT(#REF!),15)+COUNTIFS(INDIRECT(A$7),3,INDIRECT(B$7),3,INDIRECT(#REF!),15)</f>
        <v>#REF!</v>
      </c>
      <c r="S46" s="30" t="e">
        <f ca="1">COUNTIFS(INDIRECT(A$7),4,INDIRECT(B$7),1,INDIRECT(#REF!),15)+COUNTIFS(INDIRECT(A$7),4,INDIRECT(B$7),2,INDIRECT(#REF!),15)+COUNTIFS(INDIRECT(A$7),3,INDIRECT(B$7),1,INDIRECT(#REF!),15)+COUNTIFS(INDIRECT(A$7),3,INDIRECT(B$7),1,INDIRECT(#REF!),15)</f>
        <v>#REF!</v>
      </c>
      <c r="T46" s="30" t="e">
        <f ca="1">COUNTIFS(INDIRECT(A$7),1,INDIRECT(B$7),3,INDIRECT(#REF!),15)+COUNTIFS(INDIRECT(A$7),1,INDIRECT(B$7),4,INDIRECT(#REF!),15)+COUNTIFS(INDIRECT(A$7),2,INDIRECT(B$7),4,INDIRECT(#REF!),15)+COUNTIFS(INDIRECT(A$7),2,INDIRECT(B$7),3,INDIRECT(#REF!),15)</f>
        <v>#REF!</v>
      </c>
      <c r="U46" s="60" t="e">
        <f ca="1">COUNTIFS(INDIRECT(A$7),1,INDIRECT(B$7),1,INDIRECT(#REF!),15)+COUNTIFS(INDIRECT(A$7),1,INDIRECT(B$7),2,INDIRECT(#REF!),15)+COUNTIFS(INDIRECT(A$7),2,INDIRECT(B$7),1,INDIRECT(#REF!),15)+COUNTIFS(INDIRECT(A$7),2,INDIRECT(B$7),2,INDIRECT(#REF!),15)</f>
        <v>#REF!</v>
      </c>
      <c r="V46" s="59" t="e">
        <f ca="1">COUNTIFS(INDIRECT(A$7),4,INDIRECT(B$7),1,INDIRECT(#REF!),15)+COUNTIFS(INDIRECT(A$7),3,INDIRECT(B$7),1,INDIRECT(#REF!),15)</f>
        <v>#REF!</v>
      </c>
      <c r="W46" s="60" t="e">
        <f ca="1">COUNTIFS(INDIRECT(A$7),4,INDIRECT(B$7),2,INDIRECT(#REF!),15)+COUNTIFS(INDIRECT(A$7),3,INDIRECT(B$7),2,INDIRECT(#REF!),15)</f>
        <v>#REF!</v>
      </c>
      <c r="X46" s="60" t="e">
        <f ca="1">COUNTIFS(INDIRECT(A$7),1,INDIRECT(B$7),1,INDIRECT(#REF!),15)+COUNTIFS(INDIRECT(A$7),2,INDIRECT(B$7),1,INDIRECT(#REF!),15)</f>
        <v>#REF!</v>
      </c>
      <c r="Y46" s="60" t="e">
        <f ca="1">COUNTIFS(INDIRECT(A$7),1,INDIRECT(B$7),2,INDIRECT(#REF!),15)+COUNTIFS(INDIRECT(A$7),2,INDIRECT(B$7),2,INDIRECT(#REF!),15)</f>
        <v>#REF!</v>
      </c>
      <c r="Z46" s="59" t="e">
        <f ca="1">COUNTIFS(INDIRECT(A$7),1,INDIRECT(B$7),4,INDIRECT(#REF!),15)+COUNTIFS(INDIRECT(A$7),1,INDIRECT(B$7),3,INDIRECT(#REF!),15)</f>
        <v>#REF!</v>
      </c>
      <c r="AA46" s="60" t="e">
        <f ca="1">COUNTIFS(INDIRECT(A$7),1,INDIRECT(B$7),1,INDIRECT(#REF!),15)+COUNTIFS(INDIRECT(A$7),1,INDIRECT(B$7),2,INDIRECT(#REF!),15)</f>
        <v>#REF!</v>
      </c>
      <c r="AB46" s="60" t="e">
        <f ca="1">COUNTIFS(INDIRECT(A$7),2,INDIRECT(B$7),4,INDIRECT(#REF!),15)+COUNTIFS(INDIRECT(A$7),2,INDIRECT(B$7),3,INDIRECT(#REF!),15)</f>
        <v>#REF!</v>
      </c>
      <c r="AC46" s="60" t="e">
        <f ca="1">COUNTIFS(INDIRECT(A$7),2,INDIRECT(B$7),1,INDIRECT(#REF!),15)+COUNTIFS(INDIRECT(A$7),2,INDIRECT(B$7),2,INDIRECT(#REF!),15)</f>
        <v>#REF!</v>
      </c>
    </row>
    <row r="47" spans="1:29" ht="15.95" customHeight="1">
      <c r="A47" s="123"/>
      <c r="B47" s="121"/>
      <c r="C47" s="39" t="s">
        <v>4</v>
      </c>
      <c r="D47" s="152" t="e">
        <f ca="1">D46/$Q46</f>
        <v>#REF!</v>
      </c>
      <c r="E47" s="149"/>
      <c r="F47" s="149"/>
      <c r="G47" s="148" t="e">
        <f ca="1">G46/Q46</f>
        <v>#REF!</v>
      </c>
      <c r="H47" s="148"/>
      <c r="I47" s="148"/>
      <c r="J47" s="149" t="e">
        <f ca="1">J46/Q46</f>
        <v>#REF!</v>
      </c>
      <c r="K47" s="149"/>
      <c r="L47" s="149"/>
      <c r="M47" s="148" t="e">
        <f ca="1">M46/Q46</f>
        <v>#REF!</v>
      </c>
      <c r="N47" s="148"/>
      <c r="O47" s="148"/>
      <c r="P47" s="40" t="e">
        <f ca="1">P46/Q46</f>
        <v>#REF!</v>
      </c>
    </row>
    <row r="48" spans="1:29" ht="15.95" customHeight="1">
      <c r="A48" s="123"/>
      <c r="B48" s="121" t="s">
        <v>47</v>
      </c>
      <c r="C48" s="44" t="s">
        <v>3</v>
      </c>
      <c r="D48" s="150" t="e">
        <f ca="1">IF(AND(A6=4,B6=4),U48,IF(AND(A6=4,B6=2),Y48,IF(AND(A6=2,B6=4),AC48,COUNTIFS(INDIRECT(A$7),1,INDIRECT(B$7),1,INDIRECT(#REF!),16))))</f>
        <v>#REF!</v>
      </c>
      <c r="E48" s="150"/>
      <c r="F48" s="150"/>
      <c r="G48" s="151" t="e">
        <f ca="1">IF(AND(A6=4,B6=4),T48,IF(AND(A6=4,B6=2),X48,IF(AND(A6=2,B6=4),AB48,COUNTIFS(INDIRECT(A$7),1,INDIRECT(B$7),2,INDIRECT(#REF!),16))))</f>
        <v>#REF!</v>
      </c>
      <c r="H48" s="151"/>
      <c r="I48" s="151"/>
      <c r="J48" s="154" t="e">
        <f ca="1">IF(AND(A6=4,B6=4),S48,IF(AND(A6=4,B6=2),W48,IF(AND(A6=2,B6=4),AA48,COUNTIFS(INDIRECT(A$7),2,INDIRECT(B$7),1,INDIRECT(#REF!),16))))</f>
        <v>#REF!</v>
      </c>
      <c r="K48" s="154"/>
      <c r="L48" s="154"/>
      <c r="M48" s="153" t="e">
        <f ca="1">IF(AND(A6=4,B6=4),R48,IF(AND(A6=4,B6=2),V48,IF(AND(A6=2,B6=4),Z48,COUNTIFS(INDIRECT(A$7),2,INDIRECT(B$7),2,INDIRECT(#REF!),16))))</f>
        <v>#REF!</v>
      </c>
      <c r="N48" s="153"/>
      <c r="O48" s="153"/>
      <c r="P48" s="43" t="e">
        <f ca="1">Q48-SUM(D48:O48)</f>
        <v>#REF!</v>
      </c>
      <c r="Q48" s="48" t="e">
        <f>COUNTIF(#REF!,16)</f>
        <v>#REF!</v>
      </c>
      <c r="R48" s="30" t="e">
        <f ca="1">COUNTIFS(INDIRECT(A$7),4,INDIRECT(B$7),4,INDIRECT(#REF!),16)+COUNTIFS(INDIRECT(A$7),4,INDIRECT(B$7),3,INDIRECT(#REF!),16)+COUNTIFS(INDIRECT(A$7),3,INDIRECT(B$7),4,INDIRECT(#REF!),16)+COUNTIFS(INDIRECT(A$7),3,INDIRECT(B$7),3,INDIRECT(#REF!),16)</f>
        <v>#REF!</v>
      </c>
      <c r="S48" s="30" t="e">
        <f ca="1">COUNTIFS(INDIRECT(A$7),4,INDIRECT(B$7),1,INDIRECT(#REF!),16)+COUNTIFS(INDIRECT(A$7),4,INDIRECT(B$7),2,INDIRECT(#REF!),16)+COUNTIFS(INDIRECT(A$7),3,INDIRECT(B$7),1,INDIRECT(#REF!),16)+COUNTIFS(INDIRECT(A$7),3,INDIRECT(B$7),2,INDIRECT(#REF!),16)</f>
        <v>#REF!</v>
      </c>
      <c r="T48" s="30" t="e">
        <f ca="1">COUNTIFS(INDIRECT(A$7),1,INDIRECT(B$7),3,INDIRECT(#REF!),16)+COUNTIFS(INDIRECT(A$7),1,INDIRECT(B$7),4,INDIRECT(#REF!),16)+COUNTIFS(INDIRECT(A$7),2,INDIRECT(B$7),4,INDIRECT(#REF!),16)+COUNTIFS(INDIRECT(A$7),2,INDIRECT(B$7),3,INDIRECT(#REF!),16)</f>
        <v>#REF!</v>
      </c>
      <c r="U48" s="60" t="e">
        <f ca="1">COUNTIFS(INDIRECT(A$7),1,INDIRECT(B$7),1,INDIRECT(#REF!),16)+COUNTIFS(INDIRECT(A$7),1,INDIRECT(B$7),2,INDIRECT(#REF!),16)+COUNTIFS(INDIRECT(A$7),2,INDIRECT(B$7),1,INDIRECT(#REF!),16)+COUNTIFS(INDIRECT(A$7),2,INDIRECT(B$7),2,INDIRECT(#REF!),16)</f>
        <v>#REF!</v>
      </c>
      <c r="V48" s="59" t="e">
        <f ca="1">COUNTIFS(INDIRECT(A$7),4,INDIRECT(B$7),1,INDIRECT(#REF!),16)+COUNTIFS(INDIRECT(A$7),3,INDIRECT(B$7),1,INDIRECT(#REF!),16)</f>
        <v>#REF!</v>
      </c>
      <c r="W48" s="60" t="e">
        <f ca="1">COUNTIFS(INDIRECT(A$7),4,INDIRECT(B$7),2,INDIRECT(#REF!),16)+COUNTIFS(INDIRECT(A$7),3,INDIRECT(B$7),2,INDIRECT(#REF!),16)</f>
        <v>#REF!</v>
      </c>
      <c r="X48" s="60" t="e">
        <f ca="1">COUNTIFS(INDIRECT(A$7),1,INDIRECT(B$7),1,INDIRECT(#REF!),16)+COUNTIFS(INDIRECT(A$7),2,INDIRECT(B$7),1,INDIRECT(#REF!),16)</f>
        <v>#REF!</v>
      </c>
      <c r="Y48" s="60" t="e">
        <f ca="1">COUNTIFS(INDIRECT(A$7),1,INDIRECT(B$7),2,INDIRECT(#REF!),16)+COUNTIFS(INDIRECT(A$7),2,INDIRECT(B$7),2,INDIRECT(#REF!),16)</f>
        <v>#REF!</v>
      </c>
      <c r="Z48" s="59" t="e">
        <f ca="1">COUNTIFS(INDIRECT(A$7),1,INDIRECT(B$7),4,INDIRECT(#REF!),16)+COUNTIFS(INDIRECT(A$7),1,INDIRECT(B$7),3,INDIRECT(#REF!),16)</f>
        <v>#REF!</v>
      </c>
      <c r="AA48" s="60" t="e">
        <f ca="1">COUNTIFS(INDIRECT(A$7),1,INDIRECT(B$7),1,INDIRECT(#REF!),16)+COUNTIFS(INDIRECT(A$7),1,INDIRECT(B$7),2,INDIRECT(#REF!),16)</f>
        <v>#REF!</v>
      </c>
      <c r="AB48" s="60" t="e">
        <f ca="1">COUNTIFS(INDIRECT(A$7),2,INDIRECT(B$7),4,INDIRECT(#REF!),16)+COUNTIFS(INDIRECT(A$7),2,INDIRECT(B$7),3,INDIRECT(#REF!),16)</f>
        <v>#REF!</v>
      </c>
      <c r="AC48" s="60" t="e">
        <f ca="1">COUNTIFS(INDIRECT(A$7),2,INDIRECT(B$7),1,INDIRECT(#REF!),16)+COUNTIFS(INDIRECT(A$7),2,INDIRECT(B$7),2,INDIRECT(#REF!),16)</f>
        <v>#REF!</v>
      </c>
    </row>
    <row r="49" spans="1:29" ht="15.95" customHeight="1" thickBot="1">
      <c r="A49" s="123"/>
      <c r="B49" s="122"/>
      <c r="C49" s="36" t="s">
        <v>4</v>
      </c>
      <c r="D49" s="142" t="e">
        <f ca="1">D48/$Q48</f>
        <v>#REF!</v>
      </c>
      <c r="E49" s="143"/>
      <c r="F49" s="143"/>
      <c r="G49" s="144" t="e">
        <f ca="1">G48/Q48</f>
        <v>#REF!</v>
      </c>
      <c r="H49" s="144"/>
      <c r="I49" s="144"/>
      <c r="J49" s="143" t="e">
        <f ca="1">J48/Q48</f>
        <v>#REF!</v>
      </c>
      <c r="K49" s="143"/>
      <c r="L49" s="143"/>
      <c r="M49" s="144" t="e">
        <f ca="1">M48/Q48</f>
        <v>#REF!</v>
      </c>
      <c r="N49" s="144"/>
      <c r="O49" s="144"/>
      <c r="P49" s="37" t="e">
        <f ca="1">P48/Q48</f>
        <v>#REF!</v>
      </c>
    </row>
    <row r="50" spans="1:29" ht="15.95" customHeight="1" thickTop="1">
      <c r="A50" s="123" t="s">
        <v>11</v>
      </c>
      <c r="B50" s="125" t="s">
        <v>48</v>
      </c>
      <c r="C50" s="41" t="s">
        <v>3</v>
      </c>
      <c r="D50" s="154" t="e">
        <f ca="1">IF(AND(A6=4,B6=4),U50,IF(AND(A6=4,B6=2),Y50,IF(AND(A6=2,B6=4),AC50,COUNTIFS(INDIRECT(A$7),1,INDIRECT(B$7),1,INDIRECT(#REF!),17))))</f>
        <v>#REF!</v>
      </c>
      <c r="E50" s="154"/>
      <c r="F50" s="154"/>
      <c r="G50" s="153" t="e">
        <f ca="1">IF(AND(A6=4,B6=4),T50,IF(AND(A6=4,B6=2),X50,IF(AND(A6=2,B6=4),AB50,COUNTIFS(INDIRECT(A$7),1,INDIRECT(B$7),2,INDIRECT(#REF!),17))))</f>
        <v>#REF!</v>
      </c>
      <c r="H50" s="153"/>
      <c r="I50" s="153"/>
      <c r="J50" s="154" t="e">
        <f ca="1">IF(AND(A6=4,B6=4),S50,IF(AND(A6=4,B6=2),W50,IF(AND(A6=2,B6=4),AA50,COUNTIFS(INDIRECT(A$7),2,INDIRECT(B$7),1,INDIRECT(#REF!),17))))</f>
        <v>#REF!</v>
      </c>
      <c r="K50" s="154"/>
      <c r="L50" s="154"/>
      <c r="M50" s="153" t="e">
        <f ca="1">IF(AND(A6=4,B6=4),R50,IF(AND(A6=4,B6=2),V50,IF(AND(A6=2,B6=4),Z50,COUNTIFS(INDIRECT(A$7),2,INDIRECT(B$7),2,INDIRECT(#REF!),17))))</f>
        <v>#REF!</v>
      </c>
      <c r="N50" s="153"/>
      <c r="O50" s="153"/>
      <c r="P50" s="43" t="e">
        <f ca="1">Q50-SUM(D50:O50)</f>
        <v>#REF!</v>
      </c>
      <c r="Q50" s="48" t="e">
        <f>COUNTIF(#REF!,17)</f>
        <v>#REF!</v>
      </c>
      <c r="R50" s="30" t="e">
        <f ca="1">COUNTIFS(INDIRECT(A$7),4,INDIRECT(B$7),4,INDIRECT(#REF!),17)+COUNTIFS(INDIRECT(A$7),4,INDIRECT(B$7),3,INDIRECT(#REF!),17)+COUNTIFS(INDIRECT(A$7),3,INDIRECT(B$7),4,INDIRECT(#REF!),17)+COUNTIFS(INDIRECT(A$7),3,INDIRECT(B$7),3,INDIRECT(#REF!),17)</f>
        <v>#REF!</v>
      </c>
      <c r="S50" s="30" t="e">
        <f ca="1">COUNTIFS(INDIRECT(A$7),4,INDIRECT(B$7),1,INDIRECT(#REF!),17)+COUNTIFS(INDIRECT(A$7),4,INDIRECT(B$7),2,INDIRECT(#REF!),17)+COUNTIFS(INDIRECT(A$7),3,INDIRECT(B$7),1,INDIRECT(#REF!),17)+COUNTIFS(INDIRECT(A$7),3,INDIRECT(B$7),2,INDIRECT(#REF!),17)</f>
        <v>#REF!</v>
      </c>
      <c r="T50" s="30" t="e">
        <f ca="1">COUNTIFS(INDIRECT(A$7),1,INDIRECT(B$7),3,INDIRECT(#REF!),17)+COUNTIFS(INDIRECT(A$7),1,INDIRECT(B$7),4,INDIRECT(#REF!),17)+COUNTIFS(INDIRECT(A$7),2,INDIRECT(B$7),4,INDIRECT(#REF!),17)+COUNTIFS(INDIRECT(A$7),2,INDIRECT(B$7),3,INDIRECT(#REF!),17)</f>
        <v>#REF!</v>
      </c>
      <c r="U50" s="60" t="e">
        <f ca="1">COUNTIFS(INDIRECT(A$7),1,INDIRECT(B$7),1,INDIRECT(#REF!),17)+COUNTIFS(INDIRECT(A$7),1,INDIRECT(B$7),2,INDIRECT(#REF!),17)+COUNTIFS(INDIRECT(A$7),2,INDIRECT(B$7),1,INDIRECT(#REF!),17)+COUNTIFS(INDIRECT(A$7),2,INDIRECT(B$7),2,INDIRECT(#REF!),17)</f>
        <v>#REF!</v>
      </c>
      <c r="V50" s="59" t="e">
        <f ca="1">COUNTIFS(INDIRECT(A$7),4,INDIRECT(B$7),1,INDIRECT(#REF!),17)+COUNTIFS(INDIRECT(A$7),3,INDIRECT(B$7),1,INDIRECT(#REF!),17)</f>
        <v>#REF!</v>
      </c>
      <c r="W50" s="60" t="e">
        <f ca="1">COUNTIFS(INDIRECT(A$7),4,INDIRECT(B$7),2,INDIRECT(#REF!),17)+COUNTIFS(INDIRECT(A$7),3,INDIRECT(B$7),2,INDIRECT(#REF!),17)</f>
        <v>#REF!</v>
      </c>
      <c r="X50" s="60" t="e">
        <f ca="1">COUNTIFS(INDIRECT(A$7),1,INDIRECT(B$7),1,INDIRECT(#REF!),17)+COUNTIFS(INDIRECT(A$7),2,INDIRECT(B$7),1,INDIRECT(#REF!),17)</f>
        <v>#REF!</v>
      </c>
      <c r="Y50" s="60" t="e">
        <f ca="1">COUNTIFS(INDIRECT(A$7),1,INDIRECT(B$7),2,INDIRECT(#REF!),17)+COUNTIFS(INDIRECT(A$7),2,INDIRECT(B$7),2,INDIRECT(#REF!),17)</f>
        <v>#REF!</v>
      </c>
      <c r="Z50" s="59" t="e">
        <f ca="1">COUNTIFS(INDIRECT(A$7),1,INDIRECT(B$7),4,INDIRECT(#REF!),17)+COUNTIFS(INDIRECT(A$7),1,INDIRECT(B$7),3,INDIRECT(#REF!),17)</f>
        <v>#REF!</v>
      </c>
      <c r="AA50" s="60" t="e">
        <f ca="1">COUNTIFS(INDIRECT(A$7),1,INDIRECT(B$7),1,INDIRECT(#REF!),17)+COUNTIFS(INDIRECT(A$7),1,INDIRECT(B$7),2,INDIRECT(#REF!),17)</f>
        <v>#REF!</v>
      </c>
      <c r="AB50" s="60" t="e">
        <f ca="1">COUNTIFS(INDIRECT(A$7),2,INDIRECT(B$7),4,INDIRECT(#REF!),17)+COUNTIFS(INDIRECT(A$7),2,INDIRECT(B$7),3,INDIRECT(#REF!),17)</f>
        <v>#REF!</v>
      </c>
      <c r="AC50" s="60" t="e">
        <f ca="1">COUNTIFS(INDIRECT(A$7),2,INDIRECT(B$7),1,INDIRECT(#REF!),17)+COUNTIFS(INDIRECT(A$7),2,INDIRECT(B$7),2,INDIRECT(#REF!),17)</f>
        <v>#REF!</v>
      </c>
    </row>
    <row r="51" spans="1:29" ht="15.95" customHeight="1">
      <c r="A51" s="123"/>
      <c r="B51" s="121"/>
      <c r="C51" s="39" t="s">
        <v>4</v>
      </c>
      <c r="D51" s="152" t="e">
        <f ca="1">D50/$Q50</f>
        <v>#REF!</v>
      </c>
      <c r="E51" s="149"/>
      <c r="F51" s="149"/>
      <c r="G51" s="148" t="e">
        <f ca="1">G50/Q50</f>
        <v>#REF!</v>
      </c>
      <c r="H51" s="148"/>
      <c r="I51" s="148"/>
      <c r="J51" s="149" t="e">
        <f ca="1">J50/Q50</f>
        <v>#REF!</v>
      </c>
      <c r="K51" s="149"/>
      <c r="L51" s="149"/>
      <c r="M51" s="148" t="e">
        <f ca="1">M50/Q50</f>
        <v>#REF!</v>
      </c>
      <c r="N51" s="148"/>
      <c r="O51" s="148"/>
      <c r="P51" s="40" t="e">
        <f ca="1">P50/Q50</f>
        <v>#REF!</v>
      </c>
    </row>
    <row r="52" spans="1:29" ht="15.95" customHeight="1">
      <c r="A52" s="123"/>
      <c r="B52" s="121" t="s">
        <v>49</v>
      </c>
      <c r="C52" s="44" t="s">
        <v>3</v>
      </c>
      <c r="D52" s="150" t="e">
        <f ca="1">IF(AND(A6=4,B6=4),U52,IF(AND(A6=4,B6=2),Y52,IF(AND(A6=2,B6=4),AC52,COUNTIFS(INDIRECT(A$7),1,INDIRECT(B$7),1,INDIRECT(#REF!),18))))</f>
        <v>#REF!</v>
      </c>
      <c r="E52" s="150"/>
      <c r="F52" s="150"/>
      <c r="G52" s="151" t="e">
        <f ca="1">IF(AND(A6=4,B6=4),T52,IF(AND(A6=4,B6=2),X52,IF(AND(A6=2,B6=4),AB52,COUNTIFS(INDIRECT(A$7),1,INDIRECT(B$7),2,INDIRECT(#REF!),18))))</f>
        <v>#REF!</v>
      </c>
      <c r="H52" s="151"/>
      <c r="I52" s="151"/>
      <c r="J52" s="154" t="e">
        <f ca="1">IF(AND(A6=4,B6=4),S52,IF(AND(A6=4,B6=2),W52,IF(AND(A6=2,B6=4),AA52,COUNTIFS(INDIRECT(A$7),2,INDIRECT(B$7),1,INDIRECT(#REF!),18))))</f>
        <v>#REF!</v>
      </c>
      <c r="K52" s="154"/>
      <c r="L52" s="154"/>
      <c r="M52" s="153" t="e">
        <f ca="1">IF(AND(A6=4,B6=4),R52,IF(AND(A6=4,B6=2),V52,IF(AND(A6=2,B6=4),Z52,COUNTIFS(INDIRECT(A$7),2,INDIRECT(B$7),2,INDIRECT(#REF!),18))))</f>
        <v>#REF!</v>
      </c>
      <c r="N52" s="153"/>
      <c r="O52" s="153"/>
      <c r="P52" s="43" t="e">
        <f ca="1">Q52-SUM(D52:O52)</f>
        <v>#REF!</v>
      </c>
      <c r="Q52" s="48" t="e">
        <f>COUNTIF(#REF!,18)</f>
        <v>#REF!</v>
      </c>
      <c r="R52" s="30" t="e">
        <f ca="1">COUNTIFS(INDIRECT(A$7),4,INDIRECT(B$7),4,INDIRECT(#REF!),18)+COUNTIFS(INDIRECT(A$7),4,INDIRECT(B$7),3,INDIRECT(#REF!),18)+COUNTIFS(INDIRECT(A$7),3,INDIRECT(B$7),4,INDIRECT(#REF!),18)+COUNTIFS(INDIRECT(A$7),3,INDIRECT(B$7),3,INDIRECT(#REF!),18)</f>
        <v>#REF!</v>
      </c>
      <c r="S52" s="30" t="e">
        <f ca="1">COUNTIFS(INDIRECT(A$7),4,INDIRECT(B$7),1,INDIRECT(#REF!),18)+COUNTIFS(INDIRECT(A$7),4,INDIRECT(B$7),2,INDIRECT(#REF!),18)+COUNTIFS(INDIRECT(A$7),3,INDIRECT(B$7),1,INDIRECT(#REF!),18)+COUNTIFS(INDIRECT(A$7),3,INDIRECT(B$7),2,INDIRECT(#REF!),18)</f>
        <v>#REF!</v>
      </c>
      <c r="T52" s="30" t="e">
        <f ca="1">COUNTIFS(INDIRECT(A$7),1,INDIRECT(B$7),3,INDIRECT(#REF!),18)+COUNTIFS(INDIRECT(A$7),1,INDIRECT(B$7),4,INDIRECT(#REF!),18)+COUNTIFS(INDIRECT(A$7),2,INDIRECT(B$7),4,INDIRECT(#REF!),18)+COUNTIFS(INDIRECT(A$7),2,INDIRECT(B$7),3,INDIRECT(#REF!),18)</f>
        <v>#REF!</v>
      </c>
      <c r="U52" s="60" t="e">
        <f ca="1">COUNTIFS(INDIRECT(A$7),1,INDIRECT(B$7),1,INDIRECT(#REF!),18)+COUNTIFS(INDIRECT(A$7),1,INDIRECT(B$7),2,INDIRECT(#REF!),18)+COUNTIFS(INDIRECT(A$7),2,INDIRECT(B$7),1,INDIRECT(#REF!),18)+COUNTIFS(INDIRECT(A$7),2,INDIRECT(B$7),2,INDIRECT(#REF!),18)</f>
        <v>#REF!</v>
      </c>
      <c r="V52" s="59" t="e">
        <f ca="1">COUNTIFS(INDIRECT(A$7),4,INDIRECT(B$7),1,INDIRECT(#REF!),18)+COUNTIFS(INDIRECT(A$7),3,INDIRECT(B$7),1,INDIRECT(#REF!),18)</f>
        <v>#REF!</v>
      </c>
      <c r="W52" s="60" t="e">
        <f ca="1">COUNTIFS(INDIRECT(A$7),4,INDIRECT(B$7),2,INDIRECT(#REF!),18)+COUNTIFS(INDIRECT(A$7),3,INDIRECT(B$7),2,INDIRECT(#REF!),18)</f>
        <v>#REF!</v>
      </c>
      <c r="X52" s="60" t="e">
        <f ca="1">COUNTIFS(INDIRECT(A$7),1,INDIRECT(B$7),1,INDIRECT(#REF!),18)+COUNTIFS(INDIRECT(A$7),2,INDIRECT(B$7),1,INDIRECT(#REF!),18)</f>
        <v>#REF!</v>
      </c>
      <c r="Y52" s="60" t="e">
        <f ca="1">COUNTIFS(INDIRECT(A$7),1,INDIRECT(B$7),2,INDIRECT(#REF!),18)+COUNTIFS(INDIRECT(A$7),2,INDIRECT(B$7),2,INDIRECT(#REF!),18)</f>
        <v>#REF!</v>
      </c>
      <c r="Z52" s="59" t="e">
        <f ca="1">COUNTIFS(INDIRECT(A$7),1,INDIRECT(B$7),4,INDIRECT(#REF!),18)+COUNTIFS(INDIRECT(A$7),1,INDIRECT(B$7),3,INDIRECT(#REF!),18)</f>
        <v>#REF!</v>
      </c>
      <c r="AA52" s="60" t="e">
        <f ca="1">COUNTIFS(INDIRECT(A$7),1,INDIRECT(B$7),1,INDIRECT(#REF!),18)+COUNTIFS(INDIRECT(A$7),1,INDIRECT(B$7),2,INDIRECT(#REF!),18)</f>
        <v>#REF!</v>
      </c>
      <c r="AB52" s="60" t="e">
        <f ca="1">COUNTIFS(INDIRECT(A$7),2,INDIRECT(B$7),4,INDIRECT(#REF!),18)+COUNTIFS(INDIRECT(A$7),2,INDIRECT(B$7),3,INDIRECT(#REF!),18)</f>
        <v>#REF!</v>
      </c>
      <c r="AC52" s="60" t="e">
        <f ca="1">COUNTIFS(INDIRECT(A$7),2,INDIRECT(B$7),1,INDIRECT(#REF!),18)+COUNTIFS(INDIRECT(A$7),2,INDIRECT(B$7),2,INDIRECT(#REF!),18)</f>
        <v>#REF!</v>
      </c>
    </row>
    <row r="53" spans="1:29" ht="15.95" customHeight="1">
      <c r="A53" s="123"/>
      <c r="B53" s="121"/>
      <c r="C53" s="39" t="s">
        <v>4</v>
      </c>
      <c r="D53" s="152" t="e">
        <f ca="1">D52/$Q52</f>
        <v>#REF!</v>
      </c>
      <c r="E53" s="149"/>
      <c r="F53" s="149"/>
      <c r="G53" s="148" t="e">
        <f ca="1">G52/Q52</f>
        <v>#REF!</v>
      </c>
      <c r="H53" s="148"/>
      <c r="I53" s="148"/>
      <c r="J53" s="149" t="e">
        <f ca="1">J52/Q52</f>
        <v>#REF!</v>
      </c>
      <c r="K53" s="149"/>
      <c r="L53" s="149"/>
      <c r="M53" s="148" t="e">
        <f ca="1">M52/Q52</f>
        <v>#REF!</v>
      </c>
      <c r="N53" s="148"/>
      <c r="O53" s="148"/>
      <c r="P53" s="40" t="e">
        <f ca="1">P52/Q52</f>
        <v>#REF!</v>
      </c>
    </row>
    <row r="54" spans="1:29" ht="15.95" customHeight="1">
      <c r="A54" s="123"/>
      <c r="B54" s="121" t="s">
        <v>29</v>
      </c>
      <c r="C54" s="44" t="s">
        <v>3</v>
      </c>
      <c r="D54" s="150" t="e">
        <f ca="1">IF(AND(A6=4,B6=4),U54,IF(AND(A6=4,B6=2),Y54,IF(AND(A6=2,B6=4),AC54,COUNTIFS(INDIRECT(A$7),1,INDIRECT(B$7),1,INDIRECT(#REF!),19))))</f>
        <v>#REF!</v>
      </c>
      <c r="E54" s="150"/>
      <c r="F54" s="150"/>
      <c r="G54" s="151" t="e">
        <f ca="1">IF(AND(A6=4,B6=4),T54,IF(AND(A6=4,B6=2),X54,IF(AND(A6=2,B6=4),AB54,COUNTIFS(INDIRECT(A$7),1,INDIRECT(B$7),2,INDIRECT(#REF!),19))))</f>
        <v>#REF!</v>
      </c>
      <c r="H54" s="151"/>
      <c r="I54" s="151"/>
      <c r="J54" s="154" t="e">
        <f ca="1">IF(AND(A6=4,B6=4),S54,IF(AND(A6=4,B6=2),W54,IF(AND(A6=2,B6=4),AA54,COUNTIFS(INDIRECT(A$7),2,INDIRECT(B$7),1,INDIRECT(#REF!),19))))</f>
        <v>#REF!</v>
      </c>
      <c r="K54" s="154"/>
      <c r="L54" s="154"/>
      <c r="M54" s="153" t="e">
        <f ca="1">IF(AND(A6=4,B6=4),R54,IF(AND(A6=4,B6=2),V54,IF(AND(A6=2,B6=4),Z54,COUNTIFS(INDIRECT(A$7),2,INDIRECT(B$7),2,INDIRECT(#REF!),19))))</f>
        <v>#REF!</v>
      </c>
      <c r="N54" s="153"/>
      <c r="O54" s="153"/>
      <c r="P54" s="43" t="e">
        <f ca="1">Q54-SUM(D54:O54)</f>
        <v>#REF!</v>
      </c>
      <c r="Q54" s="48" t="e">
        <f>COUNTIF(#REF!,19)</f>
        <v>#REF!</v>
      </c>
      <c r="R54" s="30" t="e">
        <f ca="1">COUNTIFS(INDIRECT(A$7),4,INDIRECT(B$7),4,INDIRECT(#REF!),19)+COUNTIFS(INDIRECT(A$7),4,INDIRECT(B$7),3,INDIRECT(#REF!),19)+COUNTIFS(INDIRECT(A$7),3,INDIRECT(B$7),4,INDIRECT(#REF!),19)+COUNTIFS(INDIRECT(A$7),3,INDIRECT(B$7),3,INDIRECT(#REF!),19)</f>
        <v>#REF!</v>
      </c>
      <c r="S54" s="30" t="e">
        <f ca="1">COUNTIFS(INDIRECT(A$7),4,INDIRECT(B$7),1,INDIRECT(#REF!),19)+COUNTIFS(INDIRECT(A$7),4,INDIRECT(B$7),2,INDIRECT(#REF!),19)+COUNTIFS(INDIRECT(A$7),3,INDIRECT(B$7),1,INDIRECT(#REF!),19)+COUNTIFS(INDIRECT(A$7),3,INDIRECT(B$7),2,INDIRECT(#REF!),19)</f>
        <v>#REF!</v>
      </c>
      <c r="T54" s="30" t="e">
        <f ca="1">COUNTIFS(INDIRECT(A$7),1,INDIRECT(B$7),3,INDIRECT(#REF!),19)+COUNTIFS(INDIRECT(A$7),1,INDIRECT(B$7),4,INDIRECT(#REF!),19)+COUNTIFS(INDIRECT(A$7),2,INDIRECT(B$7),4,INDIRECT(#REF!),19)+COUNTIFS(INDIRECT(A$7),2,INDIRECT(B$7),3,INDIRECT(#REF!),19)</f>
        <v>#REF!</v>
      </c>
      <c r="U54" s="60" t="e">
        <f ca="1">COUNTIFS(INDIRECT(A$7),1,INDIRECT(B$7),1,INDIRECT(#REF!),19)+COUNTIFS(INDIRECT(A$7),1,INDIRECT(B$7),2,INDIRECT(#REF!),19)+COUNTIFS(INDIRECT(A$7),2,INDIRECT(B$7),1,INDIRECT(#REF!),19)+COUNTIFS(INDIRECT(A$7),2,INDIRECT(B$7),2,INDIRECT(#REF!),19)</f>
        <v>#REF!</v>
      </c>
      <c r="V54" s="59" t="e">
        <f ca="1">COUNTIFS(INDIRECT(A$7),4,INDIRECT(B$7),1,INDIRECT(#REF!),19)+COUNTIFS(INDIRECT(A$7),3,INDIRECT(B$7),1,INDIRECT(#REF!),19)</f>
        <v>#REF!</v>
      </c>
      <c r="W54" s="60" t="e">
        <f ca="1">COUNTIFS(INDIRECT(A$7),4,INDIRECT(B$7),2,INDIRECT(#REF!),19)+COUNTIFS(INDIRECT(A$7),3,INDIRECT(B$7),2,INDIRECT(#REF!),19)</f>
        <v>#REF!</v>
      </c>
      <c r="X54" s="60" t="e">
        <f ca="1">COUNTIFS(INDIRECT(A$7),1,INDIRECT(B$7),1,INDIRECT(#REF!),19)+COUNTIFS(INDIRECT(A$7),2,INDIRECT(B$7),1,INDIRECT(#REF!),19)</f>
        <v>#REF!</v>
      </c>
      <c r="Y54" s="60" t="e">
        <f ca="1">COUNTIFS(INDIRECT(A$7),1,INDIRECT(B$7),2,INDIRECT(#REF!),19)+COUNTIFS(INDIRECT(A$7),2,INDIRECT(B$7),2,INDIRECT(#REF!),19)</f>
        <v>#REF!</v>
      </c>
      <c r="Z54" s="59" t="e">
        <f ca="1">COUNTIFS(INDIRECT(A$7),1,INDIRECT(B$7),4,INDIRECT(#REF!),19)+COUNTIFS(INDIRECT(A$7),1,INDIRECT(B$7),3,INDIRECT(#REF!),19)</f>
        <v>#REF!</v>
      </c>
      <c r="AA54" s="60" t="e">
        <f ca="1">COUNTIFS(INDIRECT(A$7),1,INDIRECT(B$7),1,INDIRECT(#REF!),19)+COUNTIFS(INDIRECT(A$7),1,INDIRECT(B$7),2,INDIRECT(#REF!),19)</f>
        <v>#REF!</v>
      </c>
      <c r="AB54" s="60" t="e">
        <f ca="1">COUNTIFS(INDIRECT(A$7),2,INDIRECT(B$7),4,INDIRECT(#REF!),19)+COUNTIFS(INDIRECT(A$7),2,INDIRECT(B$7),3,INDIRECT(#REF!),19)</f>
        <v>#REF!</v>
      </c>
      <c r="AC54" s="60" t="e">
        <f ca="1">COUNTIFS(INDIRECT(A$7),2,INDIRECT(B$7),1,INDIRECT(#REF!),19)+COUNTIFS(INDIRECT(A$7),2,INDIRECT(B$7),2,INDIRECT(#REF!),19)</f>
        <v>#REF!</v>
      </c>
    </row>
    <row r="55" spans="1:29" ht="15.95" customHeight="1">
      <c r="A55" s="123"/>
      <c r="B55" s="121"/>
      <c r="C55" s="39" t="s">
        <v>4</v>
      </c>
      <c r="D55" s="152" t="e">
        <f ca="1">D54/$Q54</f>
        <v>#REF!</v>
      </c>
      <c r="E55" s="149"/>
      <c r="F55" s="149"/>
      <c r="G55" s="148" t="e">
        <f ca="1">G54/Q54</f>
        <v>#REF!</v>
      </c>
      <c r="H55" s="148"/>
      <c r="I55" s="148"/>
      <c r="J55" s="149" t="e">
        <f ca="1">J54/Q54</f>
        <v>#REF!</v>
      </c>
      <c r="K55" s="149"/>
      <c r="L55" s="149"/>
      <c r="M55" s="148" t="e">
        <f ca="1">M54/Q54</f>
        <v>#REF!</v>
      </c>
      <c r="N55" s="148"/>
      <c r="O55" s="148"/>
      <c r="P55" s="40" t="e">
        <f ca="1">P54/Q54</f>
        <v>#REF!</v>
      </c>
    </row>
    <row r="56" spans="1:29" ht="15.95" customHeight="1">
      <c r="A56" s="123"/>
      <c r="B56" s="121" t="s">
        <v>50</v>
      </c>
      <c r="C56" s="44" t="s">
        <v>3</v>
      </c>
      <c r="D56" s="150" t="e">
        <f ca="1">IF(AND(A6=4,B6=4),U56,IF(AND(A6=4,B6=2),Y56,IF(AND(A6=2,B6=4),AC56,COUNTIFS(INDIRECT(A$7),1,INDIRECT(B$7),1,INDIRECT(#REF!),20))))</f>
        <v>#REF!</v>
      </c>
      <c r="E56" s="150"/>
      <c r="F56" s="150"/>
      <c r="G56" s="151" t="e">
        <f ca="1">IF(AND(A6=4,B6=4),T56,IF(AND(A6=4,B6=2),X56,IF(AND(A6=2,B6=4),AB56,COUNTIFS(INDIRECT(A$7),1,INDIRECT(B$7),2,INDIRECT(#REF!),20))))</f>
        <v>#REF!</v>
      </c>
      <c r="H56" s="151"/>
      <c r="I56" s="151"/>
      <c r="J56" s="154" t="e">
        <f ca="1">IF(AND(A6=4,B6=4),S56,IF(AND(A6=4,B6=2),W56,IF(AND(A6=2,B6=4),AA56,COUNTIFS(INDIRECT(A$7),2,INDIRECT(B$7),1,INDIRECT(#REF!),20))))</f>
        <v>#REF!</v>
      </c>
      <c r="K56" s="154"/>
      <c r="L56" s="154"/>
      <c r="M56" s="153" t="e">
        <f ca="1">IF(AND(A6=4,B6=4),R56,IF(AND(A6=4,B6=2),V56,IF(AND(A6=2,B6=4),Z56,COUNTIFS(INDIRECT(A$7),2,INDIRECT(B$7),2,INDIRECT(#REF!),20))))</f>
        <v>#REF!</v>
      </c>
      <c r="N56" s="153"/>
      <c r="O56" s="153"/>
      <c r="P56" s="43" t="e">
        <f ca="1">Q56-SUM(D56:O56)</f>
        <v>#REF!</v>
      </c>
      <c r="Q56" s="48" t="e">
        <f>COUNTIF(#REF!,20)</f>
        <v>#REF!</v>
      </c>
      <c r="R56" s="30" t="e">
        <f ca="1">COUNTIFS(INDIRECT(A$7),4,INDIRECT(B$7),4,INDIRECT(#REF!),20)+COUNTIFS(INDIRECT(A$7),4,INDIRECT(B$7),3,INDIRECT(#REF!),20)+COUNTIFS(INDIRECT(A$7),3,INDIRECT(B$7),4,INDIRECT(#REF!),20)+COUNTIFS(INDIRECT(A$7),3,INDIRECT(B$7),3,INDIRECT(#REF!),20)</f>
        <v>#REF!</v>
      </c>
      <c r="S56" s="30" t="e">
        <f ca="1">COUNTIFS(INDIRECT(A$7),4,INDIRECT(B$7),1,INDIRECT(#REF!),20)+COUNTIFS(INDIRECT(A$7),4,INDIRECT(B$7),2,INDIRECT(#REF!),20)+COUNTIFS(INDIRECT(A$7),3,INDIRECT(B$7),1,INDIRECT(#REF!),20)+COUNTIFS(INDIRECT(A$7),3,INDIRECT(B$7),2,INDIRECT(#REF!),20)</f>
        <v>#REF!</v>
      </c>
      <c r="T56" s="30" t="e">
        <f ca="1">COUNTIFS(INDIRECT(A$7),1,INDIRECT(B$7),3,INDIRECT(#REF!),20)+COUNTIFS(INDIRECT(A$7),1,INDIRECT(B$7),4,INDIRECT(#REF!),20)+COUNTIFS(INDIRECT(A$7),2,INDIRECT(B$7),4,INDIRECT(#REF!),20)+COUNTIFS(INDIRECT(A$7),2,INDIRECT(B$7),3,INDIRECT(#REF!),20)</f>
        <v>#REF!</v>
      </c>
      <c r="U56" s="60" t="e">
        <f ca="1">COUNTIFS(INDIRECT(A$7),1,INDIRECT(B$7),1,INDIRECT(#REF!),20)+COUNTIFS(INDIRECT(A$7),1,INDIRECT(B$7),2,INDIRECT(#REF!),20)+COUNTIFS(INDIRECT(A$7),2,INDIRECT(B$7),1,INDIRECT(#REF!),20)+COUNTIFS(INDIRECT(A$7),2,INDIRECT(B$7),2,INDIRECT(#REF!),20)</f>
        <v>#REF!</v>
      </c>
      <c r="V56" s="59" t="e">
        <f ca="1">COUNTIFS(INDIRECT(A$7),4,INDIRECT(B$7),1,INDIRECT(#REF!),20)+COUNTIFS(INDIRECT(A$7),3,INDIRECT(B$7),1,INDIRECT(#REF!),20)</f>
        <v>#REF!</v>
      </c>
      <c r="W56" s="60" t="e">
        <f ca="1">COUNTIFS(INDIRECT(A$7),4,INDIRECT(B$7),2,INDIRECT(#REF!),20)+COUNTIFS(INDIRECT(A$7),3,INDIRECT(B$7),2,INDIRECT(#REF!),20)</f>
        <v>#REF!</v>
      </c>
      <c r="X56" s="60" t="e">
        <f ca="1">COUNTIFS(INDIRECT(A$7),1,INDIRECT(B$7),1,INDIRECT(#REF!),20)+COUNTIFS(INDIRECT(A$7),2,INDIRECT(B$7),1,INDIRECT(#REF!),20)</f>
        <v>#REF!</v>
      </c>
      <c r="Y56" s="60" t="e">
        <f ca="1">COUNTIFS(INDIRECT(A$7),1,INDIRECT(B$7),2,INDIRECT(#REF!),20)+COUNTIFS(INDIRECT(A$7),2,INDIRECT(B$7),2,INDIRECT(#REF!),20)</f>
        <v>#REF!</v>
      </c>
      <c r="Z56" s="59" t="e">
        <f ca="1">COUNTIFS(INDIRECT(A$7),1,INDIRECT(B$7),4,INDIRECT(#REF!),20)+COUNTIFS(INDIRECT(A$7),1,INDIRECT(B$7),3,INDIRECT(#REF!),20)</f>
        <v>#REF!</v>
      </c>
      <c r="AA56" s="60" t="e">
        <f ca="1">COUNTIFS(INDIRECT(A$7),1,INDIRECT(B$7),1,INDIRECT(#REF!),20)+COUNTIFS(INDIRECT(A$7),1,INDIRECT(B$7),2,INDIRECT(#REF!),20)</f>
        <v>#REF!</v>
      </c>
      <c r="AB56" s="60" t="e">
        <f ca="1">COUNTIFS(INDIRECT(A$7),2,INDIRECT(B$7),4,INDIRECT(#REF!),20)+COUNTIFS(INDIRECT(A$7),2,INDIRECT(B$7),3,INDIRECT(#REF!),20)</f>
        <v>#REF!</v>
      </c>
      <c r="AC56" s="60" t="e">
        <f ca="1">COUNTIFS(INDIRECT(A$7),2,INDIRECT(B$7),1,INDIRECT(#REF!),20)+COUNTIFS(INDIRECT(A$7),2,INDIRECT(B$7),2,INDIRECT(#REF!),20)</f>
        <v>#REF!</v>
      </c>
    </row>
    <row r="57" spans="1:29" ht="15.95" customHeight="1">
      <c r="A57" s="123"/>
      <c r="B57" s="121"/>
      <c r="C57" s="39" t="s">
        <v>4</v>
      </c>
      <c r="D57" s="152" t="e">
        <f ca="1">D56/$Q56</f>
        <v>#REF!</v>
      </c>
      <c r="E57" s="149"/>
      <c r="F57" s="149"/>
      <c r="G57" s="148" t="e">
        <f ca="1">G56/Q56</f>
        <v>#REF!</v>
      </c>
      <c r="H57" s="148"/>
      <c r="I57" s="148"/>
      <c r="J57" s="149" t="e">
        <f ca="1">J56/Q56</f>
        <v>#REF!</v>
      </c>
      <c r="K57" s="149"/>
      <c r="L57" s="149"/>
      <c r="M57" s="148" t="e">
        <f ca="1">M56/Q56</f>
        <v>#REF!</v>
      </c>
      <c r="N57" s="148"/>
      <c r="O57" s="148"/>
      <c r="P57" s="40" t="e">
        <f ca="1">P56/Q56</f>
        <v>#REF!</v>
      </c>
    </row>
    <row r="58" spans="1:29" ht="15.95" customHeight="1">
      <c r="A58" s="123"/>
      <c r="B58" s="121" t="s">
        <v>51</v>
      </c>
      <c r="C58" s="44" t="s">
        <v>3</v>
      </c>
      <c r="D58" s="150" t="e">
        <f ca="1">IF(AND(A6=4,B6=4),U58,IF(AND(A6=4,B6=2),Y58,IF(AND(A6=2,B6=4),AC58,COUNTIFS(INDIRECT(A$7),1,INDIRECT(B$7),1,INDIRECT(#REF!),21))))</f>
        <v>#REF!</v>
      </c>
      <c r="E58" s="150"/>
      <c r="F58" s="150"/>
      <c r="G58" s="151" t="e">
        <f ca="1">IF(AND(A6=4,B6=4),T58,IF(AND(A6=4,B6=2),X58,IF(AND(A6=2,B6=4),AB58,COUNTIFS(INDIRECT(A$7),1,INDIRECT(B$7),2,INDIRECT(#REF!),21))))</f>
        <v>#REF!</v>
      </c>
      <c r="H58" s="151"/>
      <c r="I58" s="151"/>
      <c r="J58" s="154" t="e">
        <f ca="1">IF(AND(A6=4,B6=4),S58,IF(AND(A6=4,B6=2),W58,IF(AND(A6=2,B6=4),AA58,COUNTIFS(INDIRECT(A$7),2,INDIRECT(B$7),1,INDIRECT(#REF!),21))))</f>
        <v>#REF!</v>
      </c>
      <c r="K58" s="154"/>
      <c r="L58" s="154"/>
      <c r="M58" s="153" t="e">
        <f ca="1">IF(AND(A6=4,B6=4),R58,IF(AND(A6=4,B6=2),V58,IF(AND(A6=2,B6=4),Z58,COUNTIFS(INDIRECT(A$7),2,INDIRECT(B$7),2,INDIRECT(#REF!),21))))</f>
        <v>#REF!</v>
      </c>
      <c r="N58" s="153"/>
      <c r="O58" s="153"/>
      <c r="P58" s="43" t="e">
        <f ca="1">Q58-SUM(D58:O58)</f>
        <v>#REF!</v>
      </c>
      <c r="Q58" s="48" t="e">
        <f>COUNTIF(#REF!,21)</f>
        <v>#REF!</v>
      </c>
      <c r="R58" s="30" t="e">
        <f ca="1">COUNTIFS(INDIRECT(A$7),4,INDIRECT(B$7),4,INDIRECT(#REF!),21)+COUNTIFS(INDIRECT(A$7),4,INDIRECT(B$7),3,INDIRECT(#REF!),21)+COUNTIFS(INDIRECT(A$7),3,INDIRECT(B$7),4,INDIRECT(#REF!),21)+COUNTIFS(INDIRECT(A$7),3,INDIRECT(B$7),3,INDIRECT(#REF!),21)</f>
        <v>#REF!</v>
      </c>
      <c r="S58" s="30" t="e">
        <f ca="1">COUNTIFS(INDIRECT(A$7),4,INDIRECT(B$7),1,INDIRECT(#REF!),21)+COUNTIFS(INDIRECT(A$7),4,INDIRECT(B$7),2,INDIRECT(#REF!),21)+COUNTIFS(INDIRECT(A$7),3,INDIRECT(B$7),1,INDIRECT(#REF!),21)+COUNTIFS(INDIRECT(A$7),3,INDIRECT(B$7),2,INDIRECT(#REF!),21)</f>
        <v>#REF!</v>
      </c>
      <c r="T58" s="30" t="e">
        <f ca="1">COUNTIFS(INDIRECT(A$7),1,INDIRECT(B$7),3,INDIRECT(#REF!),21)+COUNTIFS(INDIRECT(A$7),1,INDIRECT(B$7),4,INDIRECT(#REF!),21)+COUNTIFS(INDIRECT(A$7),2,INDIRECT(B$7),4,INDIRECT(#REF!),21)+COUNTIFS(INDIRECT(A$7),2,INDIRECT(B$7),3,INDIRECT(#REF!),21)</f>
        <v>#REF!</v>
      </c>
      <c r="U58" s="60" t="e">
        <f ca="1">COUNTIFS(INDIRECT(A$7),1,INDIRECT(B$7),1,INDIRECT(#REF!),21)+COUNTIFS(INDIRECT(A$7),1,INDIRECT(B$7),2,INDIRECT(#REF!),21)+COUNTIFS(INDIRECT(A$7),2,INDIRECT(B$7),1,INDIRECT(#REF!),21)+COUNTIFS(INDIRECT(A$7),2,INDIRECT(B$7),2,INDIRECT(#REF!),21)</f>
        <v>#REF!</v>
      </c>
      <c r="V58" s="59" t="e">
        <f ca="1">COUNTIFS(INDIRECT(A$7),4,INDIRECT(B$7),1,INDIRECT(#REF!),21)+COUNTIFS(INDIRECT(A$7),3,INDIRECT(B$7),1,INDIRECT(#REF!),21)</f>
        <v>#REF!</v>
      </c>
      <c r="W58" s="60" t="e">
        <f ca="1">COUNTIFS(INDIRECT(A$7),4,INDIRECT(B$7),2,INDIRECT(#REF!),21)+COUNTIFS(INDIRECT(A$7),3,INDIRECT(B$7),2,INDIRECT(#REF!),21)</f>
        <v>#REF!</v>
      </c>
      <c r="X58" s="60" t="e">
        <f ca="1">COUNTIFS(INDIRECT(A$7),1,INDIRECT(B$7),1,INDIRECT(#REF!),21)+COUNTIFS(INDIRECT(A$7),2,INDIRECT(B$7),1,INDIRECT(#REF!),21)</f>
        <v>#REF!</v>
      </c>
      <c r="Y58" s="60" t="e">
        <f ca="1">COUNTIFS(INDIRECT(A$7),1,INDIRECT(B$7),2,INDIRECT(#REF!),21)+COUNTIFS(INDIRECT(A$7),2,INDIRECT(B$7),2,INDIRECT(#REF!),21)</f>
        <v>#REF!</v>
      </c>
      <c r="Z58" s="59" t="e">
        <f ca="1">COUNTIFS(INDIRECT(A$7),1,INDIRECT(B$7),4,INDIRECT(#REF!),21)+COUNTIFS(INDIRECT(A$7),1,INDIRECT(B$7),3,INDIRECT(#REF!),21)</f>
        <v>#REF!</v>
      </c>
      <c r="AA58" s="60" t="e">
        <f ca="1">COUNTIFS(INDIRECT(A$7),1,INDIRECT(B$7),1,INDIRECT(#REF!),21)+COUNTIFS(INDIRECT(A$7),1,INDIRECT(B$7),2,INDIRECT(#REF!),21)</f>
        <v>#REF!</v>
      </c>
      <c r="AB58" s="60" t="e">
        <f ca="1">COUNTIFS(INDIRECT(A$7),2,INDIRECT(B$7),4,INDIRECT(#REF!),21)+COUNTIFS(INDIRECT(A$7),2,INDIRECT(B$7),3,INDIRECT(#REF!),21)</f>
        <v>#REF!</v>
      </c>
      <c r="AC58" s="60" t="e">
        <f ca="1">COUNTIFS(INDIRECT(A$7),2,INDIRECT(B$7),1,INDIRECT(#REF!),21)+COUNTIFS(INDIRECT(A$7),2,INDIRECT(B$7),2,INDIRECT(#REF!),21)</f>
        <v>#REF!</v>
      </c>
    </row>
    <row r="59" spans="1:29" ht="15.95" customHeight="1">
      <c r="A59" s="123"/>
      <c r="B59" s="121"/>
      <c r="C59" s="39" t="s">
        <v>4</v>
      </c>
      <c r="D59" s="152" t="e">
        <f ca="1">D58/$Q58</f>
        <v>#REF!</v>
      </c>
      <c r="E59" s="149"/>
      <c r="F59" s="149"/>
      <c r="G59" s="148" t="e">
        <f ca="1">G58/Q58</f>
        <v>#REF!</v>
      </c>
      <c r="H59" s="148"/>
      <c r="I59" s="148"/>
      <c r="J59" s="149" t="e">
        <f ca="1">J58/Q58</f>
        <v>#REF!</v>
      </c>
      <c r="K59" s="149"/>
      <c r="L59" s="149"/>
      <c r="M59" s="148" t="e">
        <f ca="1">M58/Q58</f>
        <v>#REF!</v>
      </c>
      <c r="N59" s="148"/>
      <c r="O59" s="148"/>
      <c r="P59" s="40" t="e">
        <f ca="1">P58/Q58</f>
        <v>#REF!</v>
      </c>
    </row>
    <row r="60" spans="1:29" ht="15.95" customHeight="1">
      <c r="A60" s="123"/>
      <c r="B60" s="121" t="s">
        <v>52</v>
      </c>
      <c r="C60" s="44" t="s">
        <v>3</v>
      </c>
      <c r="D60" s="150" t="e">
        <f ca="1">IF(AND(A6=4,B6=4),U60,IF(AND(A6=4,B6=2),Y60,IF(AND(A6=2,B6=4),AC60,COUNTIFS(INDIRECT(A$7),1,INDIRECT(B$7),1,INDIRECT(#REF!),22))))</f>
        <v>#REF!</v>
      </c>
      <c r="E60" s="150"/>
      <c r="F60" s="150"/>
      <c r="G60" s="151" t="e">
        <f ca="1">IF(AND(A6=4,B6=4),T60,IF(AND(A6=4,B6=2),X60,IF(AND(A6=2,B6=4),AB60,COUNTIFS(INDIRECT(A$7),1,INDIRECT(B$7),2,INDIRECT(#REF!),22))))</f>
        <v>#REF!</v>
      </c>
      <c r="H60" s="151"/>
      <c r="I60" s="151"/>
      <c r="J60" s="154" t="e">
        <f ca="1">IF(AND(A6=4,B6=4),S60,IF(AND(A6=4,B6=2),W60,IF(AND(A6=2,B6=4),AA60,COUNTIFS(INDIRECT(A$7),2,INDIRECT(B$7),1,INDIRECT(#REF!),22))))</f>
        <v>#REF!</v>
      </c>
      <c r="K60" s="154"/>
      <c r="L60" s="154"/>
      <c r="M60" s="153" t="e">
        <f ca="1">IF(AND(A6=4,B6=4),R60,IF(AND(A6=4,B6=2),V60,IF(AND(A6=2,B6=4),Z60,COUNTIFS(INDIRECT(A$7),2,INDIRECT(B$7),2,INDIRECT(#REF!),22))))</f>
        <v>#REF!</v>
      </c>
      <c r="N60" s="153"/>
      <c r="O60" s="153"/>
      <c r="P60" s="43" t="e">
        <f ca="1">Q60-SUM(D60:O60)</f>
        <v>#REF!</v>
      </c>
      <c r="Q60" s="48" t="e">
        <f>COUNTIF(#REF!,22)</f>
        <v>#REF!</v>
      </c>
      <c r="R60" s="30" t="e">
        <f ca="1">COUNTIFS(INDIRECT(A$7),4,INDIRECT(B$7),4,INDIRECT(#REF!),22)+COUNTIFS(INDIRECT(A$7),4,INDIRECT(B$7),3,INDIRECT(#REF!),22)+COUNTIFS(INDIRECT(A$7),3,INDIRECT(B$7),4,INDIRECT(#REF!),22)+COUNTIFS(INDIRECT(A$7),3,INDIRECT(B$7),3,INDIRECT(#REF!),22)</f>
        <v>#REF!</v>
      </c>
      <c r="S60" s="30" t="e">
        <f ca="1">COUNTIFS(INDIRECT(A$7),4,INDIRECT(B$7),1,INDIRECT(#REF!),22)+COUNTIFS(INDIRECT(A$7),4,INDIRECT(B$7),2,INDIRECT(#REF!),22)+COUNTIFS(INDIRECT(A$7),3,INDIRECT(B$7),1,INDIRECT(#REF!),22)+COUNTIFS(INDIRECT(A$7),3,INDIRECT(B$7),2,INDIRECT(#REF!),22)</f>
        <v>#REF!</v>
      </c>
      <c r="T60" s="30" t="e">
        <f ca="1">COUNTIFS(INDIRECT(A$7),1,INDIRECT(B$7),3,INDIRECT(#REF!),22)+COUNTIFS(INDIRECT(A$7),1,INDIRECT(B$7),4,INDIRECT(#REF!),22)+COUNTIFS(INDIRECT(A$7),2,INDIRECT(B$7),4,INDIRECT(#REF!),22)+COUNTIFS(INDIRECT(A$7),2,INDIRECT(B$7),3,INDIRECT(#REF!),22)</f>
        <v>#REF!</v>
      </c>
      <c r="U60" s="60" t="e">
        <f ca="1">COUNTIFS(INDIRECT(A$7),1,INDIRECT(B$7),1,INDIRECT(#REF!),22)+COUNTIFS(INDIRECT(A$7),1,INDIRECT(B$7),2,INDIRECT(#REF!),22)+COUNTIFS(INDIRECT(A$7),2,INDIRECT(B$7),1,INDIRECT(#REF!),22)+COUNTIFS(INDIRECT(A$7),2,INDIRECT(B$7),2,INDIRECT(#REF!),22)</f>
        <v>#REF!</v>
      </c>
      <c r="V60" s="59" t="e">
        <f ca="1">COUNTIFS(INDIRECT(A$7),4,INDIRECT(B$7),1,INDIRECT(#REF!),22)+COUNTIFS(INDIRECT(A$7),3,INDIRECT(B$7),1,INDIRECT(#REF!),22)</f>
        <v>#REF!</v>
      </c>
      <c r="W60" s="60" t="e">
        <f ca="1">COUNTIFS(INDIRECT(A$7),4,INDIRECT(B$7),2,INDIRECT(#REF!),22)+COUNTIFS(INDIRECT(A$7),3,INDIRECT(B$7),2,INDIRECT(#REF!),22)</f>
        <v>#REF!</v>
      </c>
      <c r="X60" s="60" t="e">
        <f ca="1">COUNTIFS(INDIRECT(A$7),1,INDIRECT(B$7),1,INDIRECT(#REF!),22)+COUNTIFS(INDIRECT(A$7),2,INDIRECT(B$7),1,INDIRECT(#REF!),22)</f>
        <v>#REF!</v>
      </c>
      <c r="Y60" s="60" t="e">
        <f ca="1">COUNTIFS(INDIRECT(A$7),1,INDIRECT(B$7),2,INDIRECT(#REF!),22)+COUNTIFS(INDIRECT(A$7),2,INDIRECT(B$7),2,INDIRECT(#REF!),22)</f>
        <v>#REF!</v>
      </c>
      <c r="Z60" s="59" t="e">
        <f ca="1">COUNTIFS(INDIRECT(A$7),1,INDIRECT(B$7),4,INDIRECT(#REF!),22)+COUNTIFS(INDIRECT(A$7),1,INDIRECT(B$7),3,INDIRECT(#REF!),22)</f>
        <v>#REF!</v>
      </c>
      <c r="AA60" s="60" t="e">
        <f ca="1">COUNTIFS(INDIRECT(A$7),1,INDIRECT(B$7),1,INDIRECT(#REF!),22)+COUNTIFS(INDIRECT(A$7),1,INDIRECT(B$7),2,INDIRECT(#REF!),22)</f>
        <v>#REF!</v>
      </c>
      <c r="AB60" s="60" t="e">
        <f ca="1">COUNTIFS(INDIRECT(A$7),2,INDIRECT(B$7),4,INDIRECT(#REF!),22)+COUNTIFS(INDIRECT(A$7),2,INDIRECT(B$7),3,INDIRECT(#REF!),22)</f>
        <v>#REF!</v>
      </c>
      <c r="AC60" s="60" t="e">
        <f ca="1">COUNTIFS(INDIRECT(A$7),2,INDIRECT(B$7),1,INDIRECT(#REF!),22)+COUNTIFS(INDIRECT(A$7),2,INDIRECT(B$7),2,INDIRECT(#REF!),22)</f>
        <v>#REF!</v>
      </c>
    </row>
    <row r="61" spans="1:29" ht="15.95" customHeight="1">
      <c r="A61" s="123"/>
      <c r="B61" s="121"/>
      <c r="C61" s="39" t="s">
        <v>4</v>
      </c>
      <c r="D61" s="152" t="e">
        <f ca="1">D60/$Q60</f>
        <v>#REF!</v>
      </c>
      <c r="E61" s="149"/>
      <c r="F61" s="149"/>
      <c r="G61" s="155" t="e">
        <f ca="1">G60/Q60</f>
        <v>#REF!</v>
      </c>
      <c r="H61" s="155"/>
      <c r="I61" s="155"/>
      <c r="J61" s="149" t="e">
        <f ca="1">J60/Q60</f>
        <v>#REF!</v>
      </c>
      <c r="K61" s="149"/>
      <c r="L61" s="149"/>
      <c r="M61" s="148" t="e">
        <f ca="1">M60/Q60</f>
        <v>#REF!</v>
      </c>
      <c r="N61" s="148"/>
      <c r="O61" s="148"/>
      <c r="P61" s="40" t="e">
        <f ca="1">P60/Q60</f>
        <v>#REF!</v>
      </c>
    </row>
    <row r="62" spans="1:29" ht="15.95" customHeight="1">
      <c r="A62" s="123"/>
      <c r="B62" s="121" t="s">
        <v>53</v>
      </c>
      <c r="C62" s="41" t="s">
        <v>3</v>
      </c>
      <c r="D62" s="150" t="e">
        <f ca="1">IF(AND(A6=4,B6=4),U62,IF(AND(A6=4,B6=2),Y62,IF(AND(A6=2,B6=4),AC62,COUNTIFS(INDIRECT(A$7),1,INDIRECT(B$7),1,INDIRECT(#REF!),23))))</f>
        <v>#REF!</v>
      </c>
      <c r="E62" s="150"/>
      <c r="F62" s="150"/>
      <c r="G62" s="151" t="e">
        <f ca="1">IF(AND(A6=4,B6=4),T62,IF(AND(A6=4,B6=2),X62,IF(AND(A6=2,B6=4),AB62,COUNTIFS(INDIRECT(A$7),1,INDIRECT(B$7),2,INDIRECT(#REF!),23))))</f>
        <v>#REF!</v>
      </c>
      <c r="H62" s="151"/>
      <c r="I62" s="151"/>
      <c r="J62" s="150" t="e">
        <f ca="1">IF(AND(A6=4,B6=4),S62,IF(AND(A6=4,B6=2),W62,IF(AND(A6=2,B6=4),AA62,COUNTIFS(INDIRECT(A$7),2,INDIRECT(B$7),1,INDIRECT(#REF!),23))))</f>
        <v>#REF!</v>
      </c>
      <c r="K62" s="150"/>
      <c r="L62" s="150"/>
      <c r="M62" s="153" t="e">
        <f ca="1">IF(AND(A6=4,B6=4),R62,IF(AND(A6=4,B6=2),V62,IF(AND(A6=2,B6=4),Z62,COUNTIFS(INDIRECT(A$7),2,INDIRECT(B$7),2,INDIRECT(#REF!),23))))</f>
        <v>#REF!</v>
      </c>
      <c r="N62" s="153"/>
      <c r="O62" s="153"/>
      <c r="P62" s="43" t="e">
        <f ca="1">Q62-SUM(D62:O62)</f>
        <v>#REF!</v>
      </c>
      <c r="Q62" s="48" t="e">
        <f>COUNTIF(#REF!,23)</f>
        <v>#REF!</v>
      </c>
      <c r="R62" s="30" t="e">
        <f ca="1">COUNTIFS(INDIRECT(A$7),4,INDIRECT(B$7),4,INDIRECT(#REF!),23)+COUNTIFS(INDIRECT(A$7),4,INDIRECT(B$7),3,INDIRECT(#REF!),23)+COUNTIFS(INDIRECT(A$7),3,INDIRECT(B$7),4,INDIRECT(#REF!),23)+COUNTIFS(INDIRECT(A$7),3,INDIRECT(B$7),3,INDIRECT(#REF!),23)</f>
        <v>#REF!</v>
      </c>
      <c r="S62" s="30" t="e">
        <f ca="1">COUNTIFS(INDIRECT(A$7),4,INDIRECT(B$7),1,INDIRECT(#REF!),23)+COUNTIFS(INDIRECT(A$7),4,INDIRECT(B$7),2,INDIRECT(#REF!),23)+COUNTIFS(INDIRECT(A$7),3,INDIRECT(B$7),1,INDIRECT(#REF!),23)+COUNTIFS(INDIRECT(A$7),3,INDIRECT(B$7),2,INDIRECT(#REF!),23)</f>
        <v>#REF!</v>
      </c>
      <c r="T62" s="30" t="e">
        <f ca="1">COUNTIFS(INDIRECT(A$7),1,INDIRECT(B$7),3,INDIRECT(#REF!),23)+COUNTIFS(INDIRECT(A$7),1,INDIRECT(B$7),4,INDIRECT(#REF!),23)+COUNTIFS(INDIRECT(A$7),2,INDIRECT(B$7),4,INDIRECT(#REF!),23)+COUNTIFS(INDIRECT(A$7),2,INDIRECT(B$7),3,INDIRECT(#REF!),23)</f>
        <v>#REF!</v>
      </c>
      <c r="U62" s="60" t="e">
        <f ca="1">COUNTIFS(INDIRECT(A$7),1,INDIRECT(B$7),1,INDIRECT(#REF!),23)+COUNTIFS(INDIRECT(A$7),1,INDIRECT(B$7),2,INDIRECT(#REF!),23)+COUNTIFS(INDIRECT(A$7),2,INDIRECT(B$7),1,INDIRECT(#REF!),23)+COUNTIFS(INDIRECT(A$7),2,INDIRECT(B$7),2,INDIRECT(#REF!),23)</f>
        <v>#REF!</v>
      </c>
      <c r="V62" s="59" t="e">
        <f ca="1">COUNTIFS(INDIRECT(A$7),4,INDIRECT(B$7),1,INDIRECT(#REF!),23)+COUNTIFS(INDIRECT(A$7),3,INDIRECT(B$7),1,INDIRECT(#REF!),23)</f>
        <v>#REF!</v>
      </c>
      <c r="W62" s="60" t="e">
        <f ca="1">COUNTIFS(INDIRECT(A$7),4,INDIRECT(B$7),2,INDIRECT(#REF!),23)+COUNTIFS(INDIRECT(A$7),3,INDIRECT(B$7),2,INDIRECT(#REF!),23)</f>
        <v>#REF!</v>
      </c>
      <c r="X62" s="60" t="e">
        <f ca="1">COUNTIFS(INDIRECT(A$7),1,INDIRECT(B$7),1,INDIRECT(#REF!),23)+COUNTIFS(INDIRECT(A$7),2,INDIRECT(B$7),1,INDIRECT(#REF!),23)</f>
        <v>#REF!</v>
      </c>
      <c r="Y62" s="60" t="e">
        <f ca="1">COUNTIFS(INDIRECT(A$7),1,INDIRECT(B$7),2,INDIRECT(#REF!),23)+COUNTIFS(INDIRECT(A$7),2,INDIRECT(B$7),2,INDIRECT(#REF!),23)</f>
        <v>#REF!</v>
      </c>
      <c r="Z62" s="59" t="e">
        <f ca="1">COUNTIFS(INDIRECT(A$7),1,INDIRECT(B$7),4,INDIRECT(#REF!),23)+COUNTIFS(INDIRECT(A$7),1,INDIRECT(B$7),3,INDIRECT(#REF!),23)</f>
        <v>#REF!</v>
      </c>
      <c r="AA62" s="60" t="e">
        <f ca="1">COUNTIFS(INDIRECT(A$7),1,INDIRECT(B$7),1,INDIRECT(#REF!),23)+COUNTIFS(INDIRECT(A$7),1,INDIRECT(B$7),2,INDIRECT(#REF!),23)</f>
        <v>#REF!</v>
      </c>
      <c r="AB62" s="60" t="e">
        <f ca="1">COUNTIFS(INDIRECT(A$7),2,INDIRECT(B$7),4,INDIRECT(#REF!),23)+COUNTIFS(INDIRECT(A$7),2,INDIRECT(B$7),3,INDIRECT(#REF!),23)</f>
        <v>#REF!</v>
      </c>
      <c r="AC62" s="60" t="e">
        <f ca="1">COUNTIFS(INDIRECT(A$7),2,INDIRECT(B$7),1,INDIRECT(#REF!),23)+COUNTIFS(INDIRECT(A$7),2,INDIRECT(B$7),2,INDIRECT(#REF!),23)</f>
        <v>#REF!</v>
      </c>
    </row>
    <row r="63" spans="1:29" ht="15.95" customHeight="1">
      <c r="A63" s="123"/>
      <c r="B63" s="121"/>
      <c r="C63" s="39" t="s">
        <v>4</v>
      </c>
      <c r="D63" s="152" t="e">
        <f ca="1">D62/$Q62</f>
        <v>#REF!</v>
      </c>
      <c r="E63" s="149"/>
      <c r="F63" s="149"/>
      <c r="G63" s="155" t="e">
        <f ca="1">G62/Q62</f>
        <v>#REF!</v>
      </c>
      <c r="H63" s="155"/>
      <c r="I63" s="155"/>
      <c r="J63" s="149" t="e">
        <f ca="1">J62/Q62</f>
        <v>#REF!</v>
      </c>
      <c r="K63" s="149"/>
      <c r="L63" s="149"/>
      <c r="M63" s="148" t="e">
        <f ca="1">M62/Q62</f>
        <v>#REF!</v>
      </c>
      <c r="N63" s="148"/>
      <c r="O63" s="148"/>
      <c r="P63" s="40" t="e">
        <f ca="1">P62/Q62</f>
        <v>#REF!</v>
      </c>
    </row>
    <row r="64" spans="1:29" ht="15.95" customHeight="1">
      <c r="A64" s="123"/>
      <c r="B64" s="121" t="s">
        <v>54</v>
      </c>
      <c r="C64" s="41" t="s">
        <v>3</v>
      </c>
      <c r="D64" s="150" t="e">
        <f ca="1">IF(AND(A6=4,B6=4),U64,IF(AND(A6=4,B6=2),Y64,IF(AND(A6=2,B6=4),AC64,COUNTIFS(INDIRECT(A$7),1,INDIRECT(B$7),1,INDIRECT(#REF!),24))))</f>
        <v>#REF!</v>
      </c>
      <c r="E64" s="150"/>
      <c r="F64" s="150"/>
      <c r="G64" s="151" t="e">
        <f ca="1">IF(AND(A6=4,B6=4),T64,IF(AND(A6=4,B6=2),X64,IF(AND(A6=2,B6=4),AB64,COUNTIFS(INDIRECT(A$7),1,INDIRECT(B$7),2,INDIRECT(#REF!),24))))</f>
        <v>#REF!</v>
      </c>
      <c r="H64" s="151"/>
      <c r="I64" s="151"/>
      <c r="J64" s="150" t="e">
        <f ca="1">IF(AND(A6=4,B6=4),S64,IF(AND(A6=4,B6=2),W64,IF(AND(A6=2,B6=4),AA64,COUNTIFS(INDIRECT(A$7),2,INDIRECT(B$7),1,INDIRECT(#REF!),24))))</f>
        <v>#REF!</v>
      </c>
      <c r="K64" s="150"/>
      <c r="L64" s="150"/>
      <c r="M64" s="153" t="e">
        <f ca="1">IF(AND(A6=4,B6=4),R64,IF(AND(A6=4,B6=2),V64,IF(AND(A6=2,B6=4),Z64,COUNTIFS(INDIRECT(A$7),2,INDIRECT(B$7),2,INDIRECT(#REF!),24))))</f>
        <v>#REF!</v>
      </c>
      <c r="N64" s="153"/>
      <c r="O64" s="153"/>
      <c r="P64" s="43" t="e">
        <f ca="1">Q64-SUM(D64:O64)</f>
        <v>#REF!</v>
      </c>
      <c r="Q64" s="48" t="e">
        <f>COUNTIF(#REF!,24)</f>
        <v>#REF!</v>
      </c>
      <c r="R64" s="30" t="e">
        <f ca="1">COUNTIFS(INDIRECT(A$7),4,INDIRECT(B$7),4,INDIRECT(#REF!),24)+COUNTIFS(INDIRECT(A$7),4,INDIRECT(B$7),3,INDIRECT(#REF!),24)+COUNTIFS(INDIRECT(A$7),3,INDIRECT(B$7),4,INDIRECT(#REF!),24)+COUNTIFS(INDIRECT(A$7),3,INDIRECT(B$7),3,INDIRECT(#REF!),24)</f>
        <v>#REF!</v>
      </c>
      <c r="S64" s="30" t="e">
        <f ca="1">COUNTIFS(INDIRECT(A$7),4,INDIRECT(B$7),1,INDIRECT(#REF!),24)+COUNTIFS(INDIRECT(A$7),4,INDIRECT(B$7),2,INDIRECT(#REF!),24)+COUNTIFS(INDIRECT(A$7),3,INDIRECT(B$7),1,INDIRECT(#REF!),24)+COUNTIFS(INDIRECT(A$7),3,INDIRECT(B$7),2,INDIRECT(#REF!),24)</f>
        <v>#REF!</v>
      </c>
      <c r="T64" s="30" t="e">
        <f ca="1">COUNTIFS(INDIRECT(A$7),1,INDIRECT(B$7),3,INDIRECT(#REF!),24)+COUNTIFS(INDIRECT(A$7),1,INDIRECT(B$7),4,INDIRECT(#REF!),24)+COUNTIFS(INDIRECT(A$7),2,INDIRECT(B$7),4,INDIRECT(#REF!),24)+COUNTIFS(INDIRECT(A$7),2,INDIRECT(B$7),3,INDIRECT(#REF!),24)</f>
        <v>#REF!</v>
      </c>
      <c r="U64" s="60" t="e">
        <f ca="1">COUNTIFS(INDIRECT(A$7),1,INDIRECT(B$7),1,INDIRECT(#REF!),24)+COUNTIFS(INDIRECT(A$7),1,INDIRECT(B$7),2,INDIRECT(#REF!),24)+COUNTIFS(INDIRECT(A$7),2,INDIRECT(B$7),1,INDIRECT(#REF!),24)+COUNTIFS(INDIRECT(A$7),2,INDIRECT(B$7),2,INDIRECT(#REF!),24)</f>
        <v>#REF!</v>
      </c>
      <c r="V64" s="59" t="e">
        <f ca="1">COUNTIFS(INDIRECT(A$7),4,INDIRECT(B$7),1,INDIRECT(#REF!),24)+COUNTIFS(INDIRECT(A$7),3,INDIRECT(B$7),1,INDIRECT(#REF!),24)</f>
        <v>#REF!</v>
      </c>
      <c r="W64" s="60" t="e">
        <f ca="1">COUNTIFS(INDIRECT(A$7),4,INDIRECT(B$7),2,INDIRECT(#REF!),24)+COUNTIFS(INDIRECT(A$7),3,INDIRECT(B$7),2,INDIRECT(#REF!),24)</f>
        <v>#REF!</v>
      </c>
      <c r="X64" s="60" t="e">
        <f ca="1">COUNTIFS(INDIRECT(A$7),1,INDIRECT(B$7),1,INDIRECT(#REF!),24)+COUNTIFS(INDIRECT(A$7),2,INDIRECT(B$7),1,INDIRECT(#REF!),24)</f>
        <v>#REF!</v>
      </c>
      <c r="Y64" s="60" t="e">
        <f ca="1">COUNTIFS(INDIRECT(A$7),1,INDIRECT(B$7),2,INDIRECT(#REF!),24)+COUNTIFS(INDIRECT(A$7),2,INDIRECT(B$7),2,INDIRECT(#REF!),24)</f>
        <v>#REF!</v>
      </c>
      <c r="Z64" s="59" t="e">
        <f ca="1">COUNTIFS(INDIRECT(A$7),1,INDIRECT(B$7),4,INDIRECT(#REF!),24)+COUNTIFS(INDIRECT(A$7),1,INDIRECT(B$7),3,INDIRECT(#REF!),24)</f>
        <v>#REF!</v>
      </c>
      <c r="AA64" s="60" t="e">
        <f ca="1">COUNTIFS(INDIRECT(A$7),1,INDIRECT(B$7),1,INDIRECT(#REF!),24)+COUNTIFS(INDIRECT(A$7),1,INDIRECT(B$7),2,INDIRECT(#REF!),24)</f>
        <v>#REF!</v>
      </c>
      <c r="AB64" s="60" t="e">
        <f ca="1">COUNTIFS(INDIRECT(A$7),2,INDIRECT(B$7),4,INDIRECT(#REF!),24)+COUNTIFS(INDIRECT(A$7),2,INDIRECT(B$7),3,INDIRECT(#REF!),24)</f>
        <v>#REF!</v>
      </c>
      <c r="AC64" s="60" t="e">
        <f ca="1">COUNTIFS(INDIRECT(A$7),2,INDIRECT(B$7),1,INDIRECT(#REF!),24)+COUNTIFS(INDIRECT(A$7),2,INDIRECT(B$7),2,INDIRECT(#REF!),24)</f>
        <v>#REF!</v>
      </c>
    </row>
    <row r="65" spans="1:29" ht="15.95" customHeight="1">
      <c r="A65" s="123"/>
      <c r="B65" s="121"/>
      <c r="C65" s="39" t="s">
        <v>4</v>
      </c>
      <c r="D65" s="152" t="e">
        <f ca="1">D64/$Q64</f>
        <v>#REF!</v>
      </c>
      <c r="E65" s="149"/>
      <c r="F65" s="149"/>
      <c r="G65" s="155" t="e">
        <f ca="1">G64/Q64</f>
        <v>#REF!</v>
      </c>
      <c r="H65" s="155"/>
      <c r="I65" s="155"/>
      <c r="J65" s="149" t="e">
        <f ca="1">J64/Q64</f>
        <v>#REF!</v>
      </c>
      <c r="K65" s="149"/>
      <c r="L65" s="149"/>
      <c r="M65" s="148" t="e">
        <f ca="1">M64/Q64</f>
        <v>#REF!</v>
      </c>
      <c r="N65" s="148"/>
      <c r="O65" s="148"/>
      <c r="P65" s="40" t="e">
        <f ca="1">P64/Q64</f>
        <v>#REF!</v>
      </c>
    </row>
    <row r="66" spans="1:29" ht="15.95" customHeight="1">
      <c r="A66" s="123"/>
      <c r="B66" s="121" t="s">
        <v>55</v>
      </c>
      <c r="C66" s="41" t="s">
        <v>3</v>
      </c>
      <c r="D66" s="150" t="e">
        <f ca="1">IF(AND(A6=4,B6=4),U66,IF(AND(A6=4,B6=2),Y66,IF(AND(A6=2,B6=4),AC66,COUNTIFS(INDIRECT(A$7),1,INDIRECT(B$7),1,INDIRECT(#REF!),25))))</f>
        <v>#REF!</v>
      </c>
      <c r="E66" s="150"/>
      <c r="F66" s="150"/>
      <c r="G66" s="151" t="e">
        <f ca="1">IF(AND(A6=4,B6=4),T66,IF(AND(A6=4,B6=2),X66,IF(AND(A6=2,B6=4),AB66,COUNTIFS(INDIRECT(A$7),1,INDIRECT(B$7),2,INDIRECT(#REF!),25))))</f>
        <v>#REF!</v>
      </c>
      <c r="H66" s="151"/>
      <c r="I66" s="151"/>
      <c r="J66" s="150" t="e">
        <f ca="1">IF(AND(A6=4,B6=4),S66,IF(AND(A6=4,B6=2),W66,IF(AND(A6=2,B6=4),AA66,COUNTIFS(INDIRECT(A$7),2,INDIRECT(B$7),1,INDIRECT(#REF!),25))))</f>
        <v>#REF!</v>
      </c>
      <c r="K66" s="150"/>
      <c r="L66" s="150"/>
      <c r="M66" s="153" t="e">
        <f ca="1">IF(AND(A6=4,B6=4),R66,IF(AND(A6=4,B6=2),V66,IF(AND(A6=2,B6=4),Z66,COUNTIFS(INDIRECT(A$7),2,INDIRECT(B$7),2,INDIRECT(#REF!),25))))</f>
        <v>#REF!</v>
      </c>
      <c r="N66" s="153"/>
      <c r="O66" s="153"/>
      <c r="P66" s="43" t="e">
        <f ca="1">Q66-SUM(D66:O66)</f>
        <v>#REF!</v>
      </c>
      <c r="Q66" s="48" t="e">
        <f>COUNTIF(#REF!,25)</f>
        <v>#REF!</v>
      </c>
      <c r="R66" s="30" t="e">
        <f ca="1">COUNTIFS(INDIRECT(A$7),4,INDIRECT(B$7),4,INDIRECT(#REF!),25)+COUNTIFS(INDIRECT(A$7),4,INDIRECT(B$7),3,INDIRECT(#REF!),25)+COUNTIFS(INDIRECT(A$7),3,INDIRECT(B$7),4,INDIRECT(#REF!),25)+COUNTIFS(INDIRECT(A$7),3,INDIRECT(B$7),3,INDIRECT(#REF!),25)</f>
        <v>#REF!</v>
      </c>
      <c r="S66" s="30" t="e">
        <f ca="1">COUNTIFS(INDIRECT(A$7),4,INDIRECT(B$7),1,INDIRECT(#REF!),25)+COUNTIFS(INDIRECT(A$7),4,INDIRECT(B$7),2,INDIRECT(#REF!),25)+COUNTIFS(INDIRECT(A$7),3,INDIRECT(B$7),1,INDIRECT(#REF!),25)+COUNTIFS(INDIRECT(A$7),3,INDIRECT(B$7),2,INDIRECT(#REF!),25)</f>
        <v>#REF!</v>
      </c>
      <c r="T66" s="30" t="e">
        <f ca="1">COUNTIFS(INDIRECT(A$7),1,INDIRECT(B$7),3,INDIRECT(#REF!),25)+COUNTIFS(INDIRECT(A$7),1,INDIRECT(B$7),4,INDIRECT(#REF!),25)+COUNTIFS(INDIRECT(A$7),2,INDIRECT(B$7),4,INDIRECT(#REF!),25)+COUNTIFS(INDIRECT(A$7),2,INDIRECT(B$7),3,INDIRECT(#REF!),25)</f>
        <v>#REF!</v>
      </c>
      <c r="U66" s="60" t="e">
        <f ca="1">COUNTIFS(INDIRECT(A$7),1,INDIRECT(B$7),1,INDIRECT(#REF!),25)+COUNTIFS(INDIRECT(A$7),1,INDIRECT(B$7),2,INDIRECT(#REF!),25)+COUNTIFS(INDIRECT(A$7),2,INDIRECT(B$7),1,INDIRECT(#REF!),25)+COUNTIFS(INDIRECT(A$7),2,INDIRECT(B$7),2,INDIRECT(#REF!),25)</f>
        <v>#REF!</v>
      </c>
      <c r="V66" s="59" t="e">
        <f ca="1">COUNTIFS(INDIRECT(A$7),4,INDIRECT(B$7),1,INDIRECT(#REF!),25)+COUNTIFS(INDIRECT(A$7),3,INDIRECT(B$7),1,INDIRECT(#REF!),25)</f>
        <v>#REF!</v>
      </c>
      <c r="W66" s="60" t="e">
        <f ca="1">COUNTIFS(INDIRECT(A$7),4,INDIRECT(B$7),2,INDIRECT(#REF!),25)+COUNTIFS(INDIRECT(A$7),3,INDIRECT(B$7),2,INDIRECT(#REF!),25)</f>
        <v>#REF!</v>
      </c>
      <c r="X66" s="60" t="e">
        <f ca="1">COUNTIFS(INDIRECT(A$7),1,INDIRECT(B$7),1,INDIRECT(#REF!),25)+COUNTIFS(INDIRECT(A$7),2,INDIRECT(B$7),1,INDIRECT(#REF!),25)</f>
        <v>#REF!</v>
      </c>
      <c r="Y66" s="60" t="e">
        <f ca="1">COUNTIFS(INDIRECT(A$7),1,INDIRECT(B$7),2,INDIRECT(#REF!),25)+COUNTIFS(INDIRECT(A$7),2,INDIRECT(B$7),2,INDIRECT(#REF!),25)</f>
        <v>#REF!</v>
      </c>
      <c r="Z66" s="59" t="e">
        <f ca="1">COUNTIFS(INDIRECT(A$7),1,INDIRECT(B$7),4,INDIRECT(#REF!),25)+COUNTIFS(INDIRECT(A$7),1,INDIRECT(B$7),3,INDIRECT(#REF!),25)</f>
        <v>#REF!</v>
      </c>
      <c r="AA66" s="60" t="e">
        <f ca="1">COUNTIFS(INDIRECT(A$7),1,INDIRECT(B$7),1,INDIRECT(#REF!),25)+COUNTIFS(INDIRECT(A$7),1,INDIRECT(B$7),2,INDIRECT(#REF!),25)</f>
        <v>#REF!</v>
      </c>
      <c r="AB66" s="60" t="e">
        <f ca="1">COUNTIFS(INDIRECT(A$7),2,INDIRECT(B$7),4,INDIRECT(#REF!),25)+COUNTIFS(INDIRECT(A$7),2,INDIRECT(B$7),3,INDIRECT(#REF!),25)</f>
        <v>#REF!</v>
      </c>
      <c r="AC66" s="60" t="e">
        <f ca="1">COUNTIFS(INDIRECT(A$7),2,INDIRECT(B$7),1,INDIRECT(#REF!),25)+COUNTIFS(INDIRECT(A$7),2,INDIRECT(B$7),2,INDIRECT(#REF!),25)</f>
        <v>#REF!</v>
      </c>
    </row>
    <row r="67" spans="1:29" ht="15.95" customHeight="1" thickBot="1">
      <c r="A67" s="124"/>
      <c r="B67" s="122"/>
      <c r="C67" s="36" t="s">
        <v>4</v>
      </c>
      <c r="D67" s="142" t="e">
        <f ca="1">D66/$Q66</f>
        <v>#REF!</v>
      </c>
      <c r="E67" s="143"/>
      <c r="F67" s="143"/>
      <c r="G67" s="144" t="e">
        <f ca="1">G66/Q66</f>
        <v>#REF!</v>
      </c>
      <c r="H67" s="144"/>
      <c r="I67" s="144"/>
      <c r="J67" s="143" t="e">
        <f ca="1">J66/Q66</f>
        <v>#REF!</v>
      </c>
      <c r="K67" s="143"/>
      <c r="L67" s="143"/>
      <c r="M67" s="144" t="e">
        <f ca="1">M66/Q66</f>
        <v>#REF!</v>
      </c>
      <c r="N67" s="144"/>
      <c r="O67" s="144"/>
      <c r="P67" s="37" t="e">
        <f ca="1">P66/Q66</f>
        <v>#REF!</v>
      </c>
    </row>
    <row r="68" spans="1:29" ht="15.95" customHeight="1" thickTop="1">
      <c r="E68" s="30"/>
      <c r="F68" s="47"/>
      <c r="Q68" s="30"/>
    </row>
    <row r="69" spans="1:29" ht="15.95" customHeight="1">
      <c r="E69" s="30"/>
      <c r="F69" s="47"/>
      <c r="Q69" s="30"/>
    </row>
    <row r="70" spans="1:29" ht="15.95" customHeight="1">
      <c r="E70" s="30"/>
      <c r="F70" s="47"/>
      <c r="Q70" s="30"/>
    </row>
    <row r="71" spans="1:29" ht="15.95" customHeight="1">
      <c r="E71" s="30"/>
      <c r="F71" s="47"/>
      <c r="Q71" s="30"/>
    </row>
    <row r="72" spans="1:29" ht="15.95" customHeight="1">
      <c r="E72" s="30"/>
      <c r="F72" s="47"/>
      <c r="Q72" s="30"/>
    </row>
    <row r="73" spans="1:29">
      <c r="E73" s="30"/>
      <c r="F73" s="47"/>
      <c r="Q73" s="30"/>
    </row>
    <row r="74" spans="1:29">
      <c r="E74" s="30"/>
      <c r="F74" s="47"/>
      <c r="Q74" s="30"/>
    </row>
    <row r="75" spans="1:29">
      <c r="E75" s="30"/>
      <c r="F75" s="47"/>
      <c r="Q75" s="30"/>
    </row>
    <row r="76" spans="1:29">
      <c r="E76" s="30"/>
      <c r="F76" s="47"/>
      <c r="Q76" s="30"/>
    </row>
    <row r="77" spans="1:29">
      <c r="E77" s="30"/>
      <c r="F77" s="47"/>
      <c r="Q77" s="30"/>
    </row>
    <row r="78" spans="1:29">
      <c r="E78" s="30"/>
      <c r="F78" s="47"/>
      <c r="Q78" s="30"/>
    </row>
    <row r="79" spans="1:29">
      <c r="E79" s="30"/>
      <c r="F79" s="47"/>
      <c r="Q79" s="30"/>
    </row>
    <row r="80" spans="1:29">
      <c r="E80" s="30"/>
      <c r="F80" s="47"/>
      <c r="Q80" s="30"/>
    </row>
    <row r="81" spans="5:17">
      <c r="E81" s="30"/>
      <c r="F81" s="47"/>
      <c r="Q81" s="30"/>
    </row>
    <row r="82" spans="5:17">
      <c r="E82" s="30"/>
      <c r="F82" s="47"/>
      <c r="Q82" s="30"/>
    </row>
  </sheetData>
  <sheetProtection selectLockedCells="1"/>
  <mergeCells count="276">
    <mergeCell ref="B66:B67"/>
    <mergeCell ref="D67:F67"/>
    <mergeCell ref="G67:I67"/>
    <mergeCell ref="J67:L67"/>
    <mergeCell ref="M67:O67"/>
    <mergeCell ref="M66:O66"/>
    <mergeCell ref="J66:L66"/>
    <mergeCell ref="G66:I66"/>
    <mergeCell ref="D66:F66"/>
    <mergeCell ref="B64:B65"/>
    <mergeCell ref="D65:F65"/>
    <mergeCell ref="G65:I65"/>
    <mergeCell ref="J65:L65"/>
    <mergeCell ref="M65:O65"/>
    <mergeCell ref="M64:O64"/>
    <mergeCell ref="J64:L64"/>
    <mergeCell ref="G64:I64"/>
    <mergeCell ref="D64:F64"/>
    <mergeCell ref="B62:B63"/>
    <mergeCell ref="D63:F63"/>
    <mergeCell ref="G63:I63"/>
    <mergeCell ref="J63:L63"/>
    <mergeCell ref="M63:O63"/>
    <mergeCell ref="M62:O62"/>
    <mergeCell ref="J62:L62"/>
    <mergeCell ref="G62:I62"/>
    <mergeCell ref="D62:F62"/>
    <mergeCell ref="B60:B61"/>
    <mergeCell ref="D61:F61"/>
    <mergeCell ref="G61:I61"/>
    <mergeCell ref="J61:L61"/>
    <mergeCell ref="M61:O61"/>
    <mergeCell ref="M60:O60"/>
    <mergeCell ref="J60:L60"/>
    <mergeCell ref="G60:I60"/>
    <mergeCell ref="D60:F60"/>
    <mergeCell ref="B58:B59"/>
    <mergeCell ref="D59:F59"/>
    <mergeCell ref="G59:I59"/>
    <mergeCell ref="J59:L59"/>
    <mergeCell ref="M59:O59"/>
    <mergeCell ref="M58:O58"/>
    <mergeCell ref="J58:L58"/>
    <mergeCell ref="G58:I58"/>
    <mergeCell ref="D58:F58"/>
    <mergeCell ref="M54:O54"/>
    <mergeCell ref="J54:L54"/>
    <mergeCell ref="G54:I54"/>
    <mergeCell ref="D54:F54"/>
    <mergeCell ref="B56:B57"/>
    <mergeCell ref="D57:F57"/>
    <mergeCell ref="G57:I57"/>
    <mergeCell ref="J57:L57"/>
    <mergeCell ref="M57:O57"/>
    <mergeCell ref="M56:O56"/>
    <mergeCell ref="J56:L56"/>
    <mergeCell ref="G56:I56"/>
    <mergeCell ref="D56:F56"/>
    <mergeCell ref="A50:A67"/>
    <mergeCell ref="B50:B51"/>
    <mergeCell ref="D51:F51"/>
    <mergeCell ref="G51:I51"/>
    <mergeCell ref="J51:L51"/>
    <mergeCell ref="M51:O51"/>
    <mergeCell ref="M50:O50"/>
    <mergeCell ref="J50:L50"/>
    <mergeCell ref="G50:I50"/>
    <mergeCell ref="D50:F50"/>
    <mergeCell ref="B52:B53"/>
    <mergeCell ref="D53:F53"/>
    <mergeCell ref="G53:I53"/>
    <mergeCell ref="J53:L53"/>
    <mergeCell ref="M53:O53"/>
    <mergeCell ref="M52:O52"/>
    <mergeCell ref="J52:L52"/>
    <mergeCell ref="G52:I52"/>
    <mergeCell ref="D52:F52"/>
    <mergeCell ref="B54:B55"/>
    <mergeCell ref="D55:F55"/>
    <mergeCell ref="G55:I55"/>
    <mergeCell ref="J55:L55"/>
    <mergeCell ref="M55:O55"/>
    <mergeCell ref="B48:B49"/>
    <mergeCell ref="D49:F49"/>
    <mergeCell ref="G49:I49"/>
    <mergeCell ref="J49:L49"/>
    <mergeCell ref="M49:O49"/>
    <mergeCell ref="M48:O48"/>
    <mergeCell ref="J48:L48"/>
    <mergeCell ref="G48:I48"/>
    <mergeCell ref="D48:F48"/>
    <mergeCell ref="B46:B47"/>
    <mergeCell ref="D47:F47"/>
    <mergeCell ref="G47:I47"/>
    <mergeCell ref="J47:L47"/>
    <mergeCell ref="M47:O47"/>
    <mergeCell ref="M46:O46"/>
    <mergeCell ref="J46:L46"/>
    <mergeCell ref="G46:I46"/>
    <mergeCell ref="D46:F46"/>
    <mergeCell ref="B44:B45"/>
    <mergeCell ref="D45:F45"/>
    <mergeCell ref="G45:I45"/>
    <mergeCell ref="J45:L45"/>
    <mergeCell ref="M45:O45"/>
    <mergeCell ref="M44:O44"/>
    <mergeCell ref="J44:L44"/>
    <mergeCell ref="G44:I44"/>
    <mergeCell ref="D44:F44"/>
    <mergeCell ref="B42:B43"/>
    <mergeCell ref="D43:F43"/>
    <mergeCell ref="G43:I43"/>
    <mergeCell ref="J43:L43"/>
    <mergeCell ref="M43:O43"/>
    <mergeCell ref="M42:O42"/>
    <mergeCell ref="J42:L42"/>
    <mergeCell ref="G42:I42"/>
    <mergeCell ref="D42:F42"/>
    <mergeCell ref="B40:B41"/>
    <mergeCell ref="D41:F41"/>
    <mergeCell ref="G41:I41"/>
    <mergeCell ref="J41:L41"/>
    <mergeCell ref="M41:O41"/>
    <mergeCell ref="M40:O40"/>
    <mergeCell ref="J40:L40"/>
    <mergeCell ref="G40:I40"/>
    <mergeCell ref="D40:F40"/>
    <mergeCell ref="B38:B39"/>
    <mergeCell ref="D39:F39"/>
    <mergeCell ref="G39:I39"/>
    <mergeCell ref="J39:L39"/>
    <mergeCell ref="M39:O39"/>
    <mergeCell ref="M38:O38"/>
    <mergeCell ref="J38:L38"/>
    <mergeCell ref="G38:I38"/>
    <mergeCell ref="D38:F38"/>
    <mergeCell ref="B36:B37"/>
    <mergeCell ref="D37:F37"/>
    <mergeCell ref="G37:I37"/>
    <mergeCell ref="J37:L37"/>
    <mergeCell ref="M37:O37"/>
    <mergeCell ref="M36:O36"/>
    <mergeCell ref="J36:L36"/>
    <mergeCell ref="G36:I36"/>
    <mergeCell ref="D36:F36"/>
    <mergeCell ref="B34:B35"/>
    <mergeCell ref="D35:F35"/>
    <mergeCell ref="G35:I35"/>
    <mergeCell ref="J35:L35"/>
    <mergeCell ref="M35:O35"/>
    <mergeCell ref="M34:O34"/>
    <mergeCell ref="J34:L34"/>
    <mergeCell ref="G34:I34"/>
    <mergeCell ref="D34:F34"/>
    <mergeCell ref="B32:B33"/>
    <mergeCell ref="D33:F33"/>
    <mergeCell ref="G33:I33"/>
    <mergeCell ref="J33:L33"/>
    <mergeCell ref="M33:O33"/>
    <mergeCell ref="M32:O32"/>
    <mergeCell ref="J32:L32"/>
    <mergeCell ref="G32:I32"/>
    <mergeCell ref="D32:F32"/>
    <mergeCell ref="B30:B31"/>
    <mergeCell ref="D31:F31"/>
    <mergeCell ref="G31:I31"/>
    <mergeCell ref="J31:L31"/>
    <mergeCell ref="M31:O31"/>
    <mergeCell ref="M30:O30"/>
    <mergeCell ref="J30:L30"/>
    <mergeCell ref="G30:I30"/>
    <mergeCell ref="D30:F30"/>
    <mergeCell ref="B28:B29"/>
    <mergeCell ref="D29:F29"/>
    <mergeCell ref="G29:I29"/>
    <mergeCell ref="J29:L29"/>
    <mergeCell ref="M29:O29"/>
    <mergeCell ref="M28:O28"/>
    <mergeCell ref="J28:L28"/>
    <mergeCell ref="G28:I28"/>
    <mergeCell ref="D28:F28"/>
    <mergeCell ref="B26:B27"/>
    <mergeCell ref="D27:F27"/>
    <mergeCell ref="G27:I27"/>
    <mergeCell ref="J27:L27"/>
    <mergeCell ref="M27:O27"/>
    <mergeCell ref="M26:O26"/>
    <mergeCell ref="J26:L26"/>
    <mergeCell ref="G26:I26"/>
    <mergeCell ref="D26:F26"/>
    <mergeCell ref="M22:O22"/>
    <mergeCell ref="J22:L22"/>
    <mergeCell ref="G22:I22"/>
    <mergeCell ref="D22:F22"/>
    <mergeCell ref="B24:B25"/>
    <mergeCell ref="D25:F25"/>
    <mergeCell ref="G25:I25"/>
    <mergeCell ref="J25:L25"/>
    <mergeCell ref="M25:O25"/>
    <mergeCell ref="M24:O24"/>
    <mergeCell ref="J24:L24"/>
    <mergeCell ref="G24:I24"/>
    <mergeCell ref="D24:F24"/>
    <mergeCell ref="A18:A49"/>
    <mergeCell ref="B18:B19"/>
    <mergeCell ref="D19:F19"/>
    <mergeCell ref="G19:I19"/>
    <mergeCell ref="J19:L19"/>
    <mergeCell ref="M19:O19"/>
    <mergeCell ref="M18:O18"/>
    <mergeCell ref="J18:L18"/>
    <mergeCell ref="G18:I18"/>
    <mergeCell ref="D18:F18"/>
    <mergeCell ref="B20:B21"/>
    <mergeCell ref="D21:F21"/>
    <mergeCell ref="G21:I21"/>
    <mergeCell ref="J21:L21"/>
    <mergeCell ref="M21:O21"/>
    <mergeCell ref="M20:O20"/>
    <mergeCell ref="J20:L20"/>
    <mergeCell ref="G20:I20"/>
    <mergeCell ref="D20:F20"/>
    <mergeCell ref="B22:B23"/>
    <mergeCell ref="D23:F23"/>
    <mergeCell ref="G23:I23"/>
    <mergeCell ref="J23:L23"/>
    <mergeCell ref="M23:O23"/>
    <mergeCell ref="A14:A17"/>
    <mergeCell ref="B14:B15"/>
    <mergeCell ref="D15:F15"/>
    <mergeCell ref="G15:I15"/>
    <mergeCell ref="J15:L15"/>
    <mergeCell ref="M15:O15"/>
    <mergeCell ref="M14:O14"/>
    <mergeCell ref="J14:L14"/>
    <mergeCell ref="G14:I14"/>
    <mergeCell ref="D14:F14"/>
    <mergeCell ref="B16:B17"/>
    <mergeCell ref="D17:F17"/>
    <mergeCell ref="G17:I17"/>
    <mergeCell ref="J17:L17"/>
    <mergeCell ref="M17:O17"/>
    <mergeCell ref="M16:O16"/>
    <mergeCell ref="J16:L16"/>
    <mergeCell ref="G16:I16"/>
    <mergeCell ref="D16:F16"/>
    <mergeCell ref="A10:A13"/>
    <mergeCell ref="B10:B11"/>
    <mergeCell ref="D11:F11"/>
    <mergeCell ref="G11:I11"/>
    <mergeCell ref="J11:L11"/>
    <mergeCell ref="D10:F10"/>
    <mergeCell ref="G10:I10"/>
    <mergeCell ref="J10:L10"/>
    <mergeCell ref="M10:O10"/>
    <mergeCell ref="M11:O11"/>
    <mergeCell ref="B12:B13"/>
    <mergeCell ref="D13:F13"/>
    <mergeCell ref="G13:I13"/>
    <mergeCell ref="J13:L13"/>
    <mergeCell ref="M13:O13"/>
    <mergeCell ref="D12:F12"/>
    <mergeCell ref="G12:I12"/>
    <mergeCell ref="J12:L12"/>
    <mergeCell ref="M12:O12"/>
    <mergeCell ref="B3:P3"/>
    <mergeCell ref="B5:P5"/>
    <mergeCell ref="A8:B9"/>
    <mergeCell ref="D8:F8"/>
    <mergeCell ref="D9:F9"/>
    <mergeCell ref="G9:I9"/>
    <mergeCell ref="J9:L9"/>
    <mergeCell ref="G8:I8"/>
    <mergeCell ref="J8:L8"/>
    <mergeCell ref="M8:O8"/>
    <mergeCell ref="M9:O9"/>
  </mergeCells>
  <phoneticPr fontId="23"/>
  <conditionalFormatting sqref="D9:O9">
    <cfRule type="top10" dxfId="59" priority="59" bottom="1" rank="1"/>
    <cfRule type="top10" dxfId="58" priority="60" rank="1"/>
  </conditionalFormatting>
  <conditionalFormatting sqref="D11:O11">
    <cfRule type="top10" dxfId="57" priority="57" bottom="1" rank="1"/>
    <cfRule type="top10" dxfId="56" priority="58" rank="1"/>
  </conditionalFormatting>
  <conditionalFormatting sqref="D13:O13">
    <cfRule type="top10" dxfId="55" priority="55" bottom="1" rank="1"/>
    <cfRule type="top10" dxfId="54" priority="56" rank="1"/>
  </conditionalFormatting>
  <conditionalFormatting sqref="D15:O15">
    <cfRule type="top10" dxfId="53" priority="53" bottom="1" rank="1"/>
    <cfRule type="top10" dxfId="52" priority="54" rank="1"/>
  </conditionalFormatting>
  <conditionalFormatting sqref="D17:O17">
    <cfRule type="top10" dxfId="51" priority="51" bottom="1" rank="1"/>
    <cfRule type="top10" dxfId="50" priority="52" rank="1"/>
  </conditionalFormatting>
  <conditionalFormatting sqref="D19:O19">
    <cfRule type="top10" dxfId="49" priority="49" bottom="1" rank="1"/>
    <cfRule type="top10" dxfId="48" priority="50" rank="1"/>
  </conditionalFormatting>
  <conditionalFormatting sqref="D21:O21">
    <cfRule type="top10" dxfId="47" priority="47" bottom="1" rank="1"/>
    <cfRule type="top10" dxfId="46" priority="48" rank="1"/>
  </conditionalFormatting>
  <conditionalFormatting sqref="D23:O23">
    <cfRule type="top10" dxfId="45" priority="45" bottom="1" rank="1"/>
    <cfRule type="top10" dxfId="44" priority="46" rank="1"/>
  </conditionalFormatting>
  <conditionalFormatting sqref="D25:O25">
    <cfRule type="top10" dxfId="43" priority="43" bottom="1" rank="1"/>
    <cfRule type="top10" dxfId="42" priority="44" rank="1"/>
  </conditionalFormatting>
  <conditionalFormatting sqref="D27:O27">
    <cfRule type="top10" dxfId="41" priority="41" bottom="1" rank="1"/>
    <cfRule type="top10" dxfId="40" priority="42" rank="1"/>
  </conditionalFormatting>
  <conditionalFormatting sqref="D29:O29">
    <cfRule type="top10" dxfId="39" priority="39" rank="1"/>
    <cfRule type="top10" dxfId="38" priority="40" bottom="1" rank="1"/>
  </conditionalFormatting>
  <conditionalFormatting sqref="D31:O31">
    <cfRule type="top10" dxfId="37" priority="37" bottom="1" rank="1"/>
    <cfRule type="top10" dxfId="36" priority="38" rank="1"/>
  </conditionalFormatting>
  <conditionalFormatting sqref="D33:O33">
    <cfRule type="top10" dxfId="35" priority="35" bottom="1" rank="1"/>
    <cfRule type="top10" dxfId="34" priority="36" rank="1"/>
  </conditionalFormatting>
  <conditionalFormatting sqref="D35:O35">
    <cfRule type="top10" dxfId="33" priority="33" bottom="1" rank="1"/>
    <cfRule type="top10" dxfId="32" priority="34" rank="1"/>
  </conditionalFormatting>
  <conditionalFormatting sqref="D37:O37">
    <cfRule type="top10" dxfId="31" priority="31" bottom="1" rank="1"/>
    <cfRule type="top10" dxfId="30" priority="32" rank="1"/>
  </conditionalFormatting>
  <conditionalFormatting sqref="D39:O39">
    <cfRule type="top10" dxfId="29" priority="29" bottom="1" rank="1"/>
    <cfRule type="top10" dxfId="28" priority="30" rank="1"/>
  </conditionalFormatting>
  <conditionalFormatting sqref="D41:O41">
    <cfRule type="top10" dxfId="27" priority="27" bottom="1" rank="1"/>
    <cfRule type="top10" dxfId="26" priority="28" rank="1"/>
  </conditionalFormatting>
  <conditionalFormatting sqref="D43:O43">
    <cfRule type="top10" dxfId="25" priority="25" bottom="1" rank="1"/>
    <cfRule type="top10" dxfId="24" priority="26" rank="1"/>
  </conditionalFormatting>
  <conditionalFormatting sqref="D45:O45">
    <cfRule type="top10" dxfId="23" priority="23" bottom="1" rank="1"/>
    <cfRule type="top10" dxfId="22" priority="24" rank="1"/>
  </conditionalFormatting>
  <conditionalFormatting sqref="D47:O47">
    <cfRule type="top10" dxfId="21" priority="21" bottom="1" rank="1"/>
    <cfRule type="top10" dxfId="20" priority="22" rank="1"/>
  </conditionalFormatting>
  <conditionalFormatting sqref="D49:O49">
    <cfRule type="top10" dxfId="19" priority="19" bottom="1" rank="1"/>
    <cfRule type="top10" dxfId="18" priority="20" rank="1"/>
  </conditionalFormatting>
  <conditionalFormatting sqref="D51:O51">
    <cfRule type="top10" dxfId="17" priority="17" bottom="1" rank="1"/>
    <cfRule type="top10" dxfId="16" priority="18" rank="1"/>
  </conditionalFormatting>
  <conditionalFormatting sqref="D53:O53">
    <cfRule type="top10" dxfId="15" priority="15" bottom="1" rank="1"/>
    <cfRule type="top10" dxfId="14" priority="16" rank="1"/>
  </conditionalFormatting>
  <conditionalFormatting sqref="D55:O55">
    <cfRule type="top10" dxfId="13" priority="13" bottom="1" rank="1"/>
    <cfRule type="top10" dxfId="12" priority="14" rank="1"/>
  </conditionalFormatting>
  <conditionalFormatting sqref="D57:O57">
    <cfRule type="top10" dxfId="11" priority="11" bottom="1" rank="1"/>
    <cfRule type="top10" dxfId="10" priority="12" rank="1"/>
  </conditionalFormatting>
  <conditionalFormatting sqref="D59:O59">
    <cfRule type="top10" dxfId="9" priority="9" bottom="1" rank="1"/>
    <cfRule type="top10" dxfId="8" priority="10" rank="1"/>
  </conditionalFormatting>
  <conditionalFormatting sqref="D61:O61">
    <cfRule type="top10" dxfId="7" priority="7" bottom="1" rank="1"/>
    <cfRule type="top10" dxfId="6" priority="8" rank="1"/>
  </conditionalFormatting>
  <conditionalFormatting sqref="D63:O63">
    <cfRule type="top10" dxfId="5" priority="5" bottom="1" rank="1"/>
    <cfRule type="top10" dxfId="4" priority="6" rank="1"/>
  </conditionalFormatting>
  <conditionalFormatting sqref="D65:O65">
    <cfRule type="top10" dxfId="3" priority="3" bottom="1" rank="1"/>
    <cfRule type="top10" dxfId="2" priority="4" rank="1"/>
  </conditionalFormatting>
  <conditionalFormatting sqref="D67:O67">
    <cfRule type="top10" dxfId="1" priority="1" bottom="1" rank="1"/>
    <cfRule type="top10" dxfId="0" priority="2" rank="1"/>
  </conditionalFormatting>
  <dataValidations count="2">
    <dataValidation type="list" allowBlank="1" showInputMessage="1" showErrorMessage="1" sqref="B4">
      <formula1>$A$1:$BY$1</formula1>
    </dataValidation>
    <dataValidation type="list" allowBlank="1" showInputMessage="1" showErrorMessage="1" sqref="B5:P5 B3:P3">
      <formula1>$A$1:$E$1</formula1>
    </dataValidation>
  </dataValidations>
  <pageMargins left="0.70866141732283472" right="0.70866141732283472" top="0.74803149606299213" bottom="0.74803149606299213" header="0.31496062992125984" footer="0.31496062992125984"/>
  <pageSetup paperSize="9" scale="95" orientation="portrait" r:id="rId1"/>
  <rowBreaks count="1" manualBreakCount="1">
    <brk id="4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データについて</vt:lpstr>
      <vt:lpstr>【貼付用】児童・生徒アンケートlist</vt:lpstr>
      <vt:lpstr>単純集計</vt:lpstr>
      <vt:lpstr>★★クロス集計</vt:lpstr>
      <vt:lpstr>★★クロス集計!Print_Area</vt:lpstr>
      <vt:lpstr>データについて!Print_Area</vt:lpstr>
      <vt:lpstr>単純集計!Print_Area</vt:lpstr>
      <vt:lpstr>単純集計!Print_Titles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edication003</dc:creator>
  <cp:lastModifiedBy>小牧市役所</cp:lastModifiedBy>
  <cp:lastPrinted>2022-06-13T00:14:35Z</cp:lastPrinted>
  <dcterms:created xsi:type="dcterms:W3CDTF">2017-05-01T01:32:18Z</dcterms:created>
  <dcterms:modified xsi:type="dcterms:W3CDTF">2022-12-06T01:28:27Z</dcterms:modified>
</cp:coreProperties>
</file>